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15510" windowHeight="7575" tabRatio="500" firstSheet="3" activeTab="5"/>
  </bookViews>
  <sheets>
    <sheet name="conveyance" sheetId="1" r:id="rId1"/>
    <sheet name="Civil-SOR" sheetId="2" r:id="rId2"/>
    <sheet name="WS-SOR" sheetId="3" r:id="rId3"/>
    <sheet name="Input" sheetId="4" r:id="rId4"/>
    <sheet name="LEAD" sheetId="5" r:id="rId5"/>
    <sheet name="C-data" sheetId="6" r:id="rId6"/>
    <sheet name="Joinery" sheetId="7" r:id="rId7"/>
    <sheet name="WS Data" sheetId="8" r:id="rId8"/>
    <sheet name="Civil SoR" sheetId="17" state="hidden" r:id="rId9"/>
    <sheet name="WS SoR" sheetId="18" state="hidden" r:id="rId10"/>
    <sheet name="Checklist" sheetId="19" state="hidden" r:id="rId11"/>
    <sheet name="OT Joinery" sheetId="20" state="hidden" r:id="rId12"/>
    <sheet name="Demand" sheetId="21" state="hidden" r:id="rId13"/>
    <sheet name="Sheet2" sheetId="22" state="hidden" r:id="rId14"/>
    <sheet name="Water Demand" sheetId="30" state="hidden" r:id="rId15"/>
    <sheet name="Civil Estimate" sheetId="34" r:id="rId16"/>
    <sheet name="Oxygen" sheetId="39" state="hidden" r:id="rId17"/>
    <sheet name="Ele-Data" sheetId="37" r:id="rId18"/>
    <sheet name="GA" sheetId="38" r:id="rId19"/>
    <sheet name="Sheet1" sheetId="40" r:id="rId20"/>
    <sheet name="RE" sheetId="41" r:id="rId21"/>
    <sheet name="GA1" sheetId="42" r:id="rId22"/>
    <sheet name="Civil-D" sheetId="43" r:id="rId23"/>
    <sheet name="Sheet3" sheetId="44" r:id="rId24"/>
    <sheet name="CC1st&amp; Final" sheetId="45" r:id="rId25"/>
    <sheet name="SP" sheetId="46" r:id="rId26"/>
    <sheet name="UC" sheetId="47" r:id="rId27"/>
  </sheets>
  <externalReferences>
    <externalReference r:id="rId28"/>
    <externalReference r:id="rId29"/>
  </externalReferences>
  <definedNames>
    <definedName name="_">NA()</definedName>
    <definedName name="______________________________________________________________________________________________can430">40.73</definedName>
    <definedName name="______________________________________________________________________________________________can435">43.3</definedName>
    <definedName name="_____________________________________________________________________________________________can430">40.73</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_l12">NA()</definedName>
    <definedName name="___________________________________________________________________________________________l3">NA()</definedName>
    <definedName name="___________________________________________________________________________________________l5">NA()</definedName>
    <definedName name="___________________________________________________________________________________________pc2">NA()</definedName>
    <definedName name="___________________________________________________________________________________________pv2">NA()</definedName>
    <definedName name="___________________________________________________________________________________________var1">NA()</definedName>
    <definedName name="___________________________________________________________________________________________var4">NA()</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l12">NA()</definedName>
    <definedName name="__________________________________________________________________________________________l3">NA()</definedName>
    <definedName name="__________________________________________________________________________________________l5">NA()</definedName>
    <definedName name="__________________________________________________________________________________________pc2">NA()</definedName>
    <definedName name="__________________________________________________________________________________________pv2">NA()</definedName>
    <definedName name="__________________________________________________________________________________________var1">NA()</definedName>
    <definedName name="__________________________________________________________________________________________var4">NA()</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l12">NA()</definedName>
    <definedName name="_________________________________________________________________________________________l3">NA()</definedName>
    <definedName name="_________________________________________________________________________________________l5">NA()</definedName>
    <definedName name="_________________________________________________________________________________________pc2">NA()</definedName>
    <definedName name="_________________________________________________________________________________________pv2">NA()</definedName>
    <definedName name="_________________________________________________________________________________________var1">NA()</definedName>
    <definedName name="_________________________________________________________________________________________var4">NA()</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l12">NA()</definedName>
    <definedName name="________________________________________________________________________________________l3">NA()</definedName>
    <definedName name="________________________________________________________________________________________l5">NA()</definedName>
    <definedName name="________________________________________________________________________________________pc2">NA()</definedName>
    <definedName name="________________________________________________________________________________________pv2">NA()</definedName>
    <definedName name="________________________________________________________________________________________var1">NA()</definedName>
    <definedName name="________________________________________________________________________________________var4">NA()</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l12">NA()</definedName>
    <definedName name="_______________________________________________________________________________________l3">NA()</definedName>
    <definedName name="_______________________________________________________________________________________l5">NA()</definedName>
    <definedName name="_______________________________________________________________________________________pc2">NA()</definedName>
    <definedName name="_______________________________________________________________________________________pv2">NA()</definedName>
    <definedName name="_______________________________________________________________________________________var1">NA()</definedName>
    <definedName name="_______________________________________________________________________________________var4">NA()</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l12">NA()</definedName>
    <definedName name="______________________________________________________________________________________l3">NA()</definedName>
    <definedName name="______________________________________________________________________________________l5">NA()</definedName>
    <definedName name="______________________________________________________________________________________pc2">NA()</definedName>
    <definedName name="______________________________________________________________________________________pv2">NA()</definedName>
    <definedName name="______________________________________________________________________________________var1">NA()</definedName>
    <definedName name="______________________________________________________________________________________var4">NA()</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l12">NA()</definedName>
    <definedName name="_____________________________________________________________________________________l3">NA()</definedName>
    <definedName name="_____________________________________________________________________________________l5">NA()</definedName>
    <definedName name="_____________________________________________________________________________________pc2">NA()</definedName>
    <definedName name="_____________________________________________________________________________________pv2">NA()</definedName>
    <definedName name="_____________________________________________________________________________________var1">NA()</definedName>
    <definedName name="_____________________________________________________________________________________var4">NA()</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l12">NA()</definedName>
    <definedName name="____________________________________________________________________________________l3">NA()</definedName>
    <definedName name="____________________________________________________________________________________l5">NA()</definedName>
    <definedName name="____________________________________________________________________________________pc2">NA()</definedName>
    <definedName name="____________________________________________________________________________________pv2">NA()</definedName>
    <definedName name="____________________________________________________________________________________var1">NA()</definedName>
    <definedName name="____________________________________________________________________________________var4">NA()</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l12">NA()</definedName>
    <definedName name="___________________________________________________________________________________l3">NA()</definedName>
    <definedName name="___________________________________________________________________________________l5">NA()</definedName>
    <definedName name="___________________________________________________________________________________pc2">NA()</definedName>
    <definedName name="___________________________________________________________________________________pv2">NA()</definedName>
    <definedName name="___________________________________________________________________________________var1">NA()</definedName>
    <definedName name="___________________________________________________________________________________var4">NA()</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l12">NA()</definedName>
    <definedName name="__________________________________________________________________________________l3">NA()</definedName>
    <definedName name="__________________________________________________________________________________l5">NA()</definedName>
    <definedName name="__________________________________________________________________________________pc2">NA()</definedName>
    <definedName name="__________________________________________________________________________________pv2">NA()</definedName>
    <definedName name="__________________________________________________________________________________var1">NA()</definedName>
    <definedName name="__________________________________________________________________________________var4">NA()</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l12">NA()</definedName>
    <definedName name="_________________________________________________________________________________l3">NA()</definedName>
    <definedName name="_________________________________________________________________________________l5">NA()</definedName>
    <definedName name="_________________________________________________________________________________pc2">NA()</definedName>
    <definedName name="_________________________________________________________________________________pv2">NA()</definedName>
    <definedName name="_________________________________________________________________________________var1">NA()</definedName>
    <definedName name="_________________________________________________________________________________var4">NA()</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l12">NA()</definedName>
    <definedName name="________________________________________________________________________________l3">NA()</definedName>
    <definedName name="________________________________________________________________________________l5">NA()</definedName>
    <definedName name="________________________________________________________________________________pc2">NA()</definedName>
    <definedName name="________________________________________________________________________________pv2">NA()</definedName>
    <definedName name="________________________________________________________________________________var1">NA()</definedName>
    <definedName name="________________________________________________________________________________var4">NA()</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l12">NA()</definedName>
    <definedName name="_______________________________________________________________________________l3">NA()</definedName>
    <definedName name="_______________________________________________________________________________l5">NA()</definedName>
    <definedName name="_______________________________________________________________________________pc2">NA()</definedName>
    <definedName name="_______________________________________________________________________________pv2">NA()</definedName>
    <definedName name="_______________________________________________________________________________var1">NA()</definedName>
    <definedName name="_______________________________________________________________________________var4">NA()</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l12">NA()</definedName>
    <definedName name="______________________________________________________________________________l3">NA()</definedName>
    <definedName name="______________________________________________________________________________l5">NA()</definedName>
    <definedName name="______________________________________________________________________________pc2">NA()</definedName>
    <definedName name="______________________________________________________________________________pv2">NA()</definedName>
    <definedName name="______________________________________________________________________________var1">NA()</definedName>
    <definedName name="______________________________________________________________________________var4">NA()</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l12">NA()</definedName>
    <definedName name="_____________________________________________________________________________l3">NA()</definedName>
    <definedName name="_____________________________________________________________________________l5">NA()</definedName>
    <definedName name="_____________________________________________________________________________pc2">NA()</definedName>
    <definedName name="_____________________________________________________________________________pv2">NA()</definedName>
    <definedName name="_____________________________________________________________________________var1">NA()</definedName>
    <definedName name="_____________________________________________________________________________var4">NA()</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l12">NA()</definedName>
    <definedName name="____________________________________________________________________________l3">NA()</definedName>
    <definedName name="____________________________________________________________________________l5">NA()</definedName>
    <definedName name="____________________________________________________________________________pc2">NA()</definedName>
    <definedName name="____________________________________________________________________________pv2">NA()</definedName>
    <definedName name="____________________________________________________________________________var1">NA()</definedName>
    <definedName name="____________________________________________________________________________var4">NA()</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l12">NA()</definedName>
    <definedName name="___________________________________________________________________________l3">NA()</definedName>
    <definedName name="___________________________________________________________________________l5">NA()</definedName>
    <definedName name="___________________________________________________________________________pc2">NA()</definedName>
    <definedName name="___________________________________________________________________________pv2">NA()</definedName>
    <definedName name="___________________________________________________________________________var1">NA()</definedName>
    <definedName name="___________________________________________________________________________var4">NA()</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l12">NA()</definedName>
    <definedName name="__________________________________________________________________________l3">NA()</definedName>
    <definedName name="__________________________________________________________________________l5">NA()</definedName>
    <definedName name="__________________________________________________________________________pc2">NA()</definedName>
    <definedName name="__________________________________________________________________________pv2">NA()</definedName>
    <definedName name="__________________________________________________________________________var1">NA()</definedName>
    <definedName name="__________________________________________________________________________var4">NA()</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l12">NA()</definedName>
    <definedName name="_________________________________________________________________________l3">NA()</definedName>
    <definedName name="_________________________________________________________________________l5">NA()</definedName>
    <definedName name="_________________________________________________________________________pc2">NA()</definedName>
    <definedName name="_________________________________________________________________________pv2">NA()</definedName>
    <definedName name="_________________________________________________________________________var1">NA()</definedName>
    <definedName name="_________________________________________________________________________var4">NA()</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l12">NA()</definedName>
    <definedName name="________________________________________________________________________l3">NA()</definedName>
    <definedName name="________________________________________________________________________l5">NA()</definedName>
    <definedName name="________________________________________________________________________pc2">NA()</definedName>
    <definedName name="________________________________________________________________________pv2">NA()</definedName>
    <definedName name="________________________________________________________________________var1">NA()</definedName>
    <definedName name="________________________________________________________________________var4">NA()</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l12">NA()</definedName>
    <definedName name="_______________________________________________________________________l3">NA()</definedName>
    <definedName name="_______________________________________________________________________l5">NA()</definedName>
    <definedName name="_______________________________________________________________________pc2">NA()</definedName>
    <definedName name="_______________________________________________________________________pv2">NA()</definedName>
    <definedName name="_______________________________________________________________________var1">NA()</definedName>
    <definedName name="_______________________________________________________________________var4">NA()</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l12">NA()</definedName>
    <definedName name="______________________________________________________________________l3">NA()</definedName>
    <definedName name="______________________________________________________________________l5">NA()</definedName>
    <definedName name="______________________________________________________________________pc2">NA()</definedName>
    <definedName name="______________________________________________________________________pv2">NA()</definedName>
    <definedName name="______________________________________________________________________var1">NA()</definedName>
    <definedName name="______________________________________________________________________var4">NA()</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l12">NA()</definedName>
    <definedName name="_____________________________________________________________________l3">NA()</definedName>
    <definedName name="_____________________________________________________________________l5">NA()</definedName>
    <definedName name="_____________________________________________________________________pc2">NA()</definedName>
    <definedName name="_____________________________________________________________________pv2">NA()</definedName>
    <definedName name="_____________________________________________________________________var1">NA()</definedName>
    <definedName name="_____________________________________________________________________var4">NA()</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l12">NA()</definedName>
    <definedName name="____________________________________________________________________l3">NA()</definedName>
    <definedName name="____________________________________________________________________l5">NA()</definedName>
    <definedName name="____________________________________________________________________pc2">NA()</definedName>
    <definedName name="____________________________________________________________________pv2">NA()</definedName>
    <definedName name="____________________________________________________________________var1">NA()</definedName>
    <definedName name="____________________________________________________________________var4">NA()</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l12">NA()</definedName>
    <definedName name="___________________________________________________________________l3">NA()</definedName>
    <definedName name="___________________________________________________________________l5">NA()</definedName>
    <definedName name="___________________________________________________________________pc2">NA()</definedName>
    <definedName name="___________________________________________________________________pv2">NA()</definedName>
    <definedName name="___________________________________________________________________var1">NA()</definedName>
    <definedName name="___________________________________________________________________var4">NA()</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l12">NA()</definedName>
    <definedName name="__________________________________________________________________l3">NA()</definedName>
    <definedName name="__________________________________________________________________l5">NA()</definedName>
    <definedName name="__________________________________________________________________pc2">NA()</definedName>
    <definedName name="__________________________________________________________________pv2">NA()</definedName>
    <definedName name="__________________________________________________________________var1">NA()</definedName>
    <definedName name="__________________________________________________________________var4">NA()</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l12">NA()</definedName>
    <definedName name="_________________________________________________________________l3">NA()</definedName>
    <definedName name="_________________________________________________________________l5">NA()</definedName>
    <definedName name="_________________________________________________________________pc2">NA()</definedName>
    <definedName name="_________________________________________________________________pv2">NA()</definedName>
    <definedName name="_________________________________________________________________var1">NA()</definedName>
    <definedName name="_________________________________________________________________var4">NA()</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l12">NA()</definedName>
    <definedName name="________________________________________________________________l3">NA()</definedName>
    <definedName name="________________________________________________________________l5">NA()</definedName>
    <definedName name="________________________________________________________________pc2">NA()</definedName>
    <definedName name="________________________________________________________________pv2">NA()</definedName>
    <definedName name="________________________________________________________________var1">NA()</definedName>
    <definedName name="________________________________________________________________var4">NA()</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l12">NA()</definedName>
    <definedName name="_______________________________________________________________l3">NA()</definedName>
    <definedName name="_______________________________________________________________l5">NA()</definedName>
    <definedName name="_______________________________________________________________pc2">NA()</definedName>
    <definedName name="_______________________________________________________________pv2">NA()</definedName>
    <definedName name="_______________________________________________________________var1">NA()</definedName>
    <definedName name="_______________________________________________________________var4">NA()</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l12">NA()</definedName>
    <definedName name="______________________________________________________________l3">NA()</definedName>
    <definedName name="______________________________________________________________l5">NA()</definedName>
    <definedName name="______________________________________________________________pc2">NA()</definedName>
    <definedName name="______________________________________________________________pv2">NA()</definedName>
    <definedName name="______________________________________________________________var1">NA()</definedName>
    <definedName name="______________________________________________________________var4">NA()</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l12">NA()</definedName>
    <definedName name="_____________________________________________________________l3">NA()</definedName>
    <definedName name="_____________________________________________________________l5">NA()</definedName>
    <definedName name="_____________________________________________________________pc2">NA()</definedName>
    <definedName name="_____________________________________________________________pv2">NA()</definedName>
    <definedName name="_____________________________________________________________var1">NA()</definedName>
    <definedName name="_____________________________________________________________var4">NA()</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l12">NA()</definedName>
    <definedName name="____________________________________________________________l3">NA()</definedName>
    <definedName name="____________________________________________________________l5">NA()</definedName>
    <definedName name="____________________________________________________________pc2">NA()</definedName>
    <definedName name="____________________________________________________________pv2">NA()</definedName>
    <definedName name="____________________________________________________________var1">NA()</definedName>
    <definedName name="____________________________________________________________var4">NA()</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l12">NA()</definedName>
    <definedName name="___________________________________________________________l3">NA()</definedName>
    <definedName name="___________________________________________________________l5">NA()</definedName>
    <definedName name="___________________________________________________________pc2">NA()</definedName>
    <definedName name="___________________________________________________________pv2">NA()</definedName>
    <definedName name="___________________________________________________________var1">NA()</definedName>
    <definedName name="___________________________________________________________var4">NA()</definedName>
    <definedName name="__________________________________________________________can430">40.73</definedName>
    <definedName name="__________________________________________________________can435">43.3</definedName>
    <definedName name="__________________________________________________________l12">NA()</definedName>
    <definedName name="__________________________________________________________l3">NA()</definedName>
    <definedName name="__________________________________________________________l5">NA()</definedName>
    <definedName name="__________________________________________________________pc2">NA()</definedName>
    <definedName name="__________________________________________________________pv2">NA()</definedName>
    <definedName name="__________________________________________________________var1">NA()</definedName>
    <definedName name="__________________________________________________________var4">NA()</definedName>
    <definedName name="_________________________________________________________can430">40.73</definedName>
    <definedName name="_________________________________________________________can435">43.3</definedName>
    <definedName name="_________________________________________________________l12">NA()</definedName>
    <definedName name="_________________________________________________________l3">NA()</definedName>
    <definedName name="_________________________________________________________l5">NA()</definedName>
    <definedName name="_________________________________________________________pc2">NA()</definedName>
    <definedName name="_________________________________________________________pv2">NA()</definedName>
    <definedName name="_________________________________________________________var1">NA()</definedName>
    <definedName name="_________________________________________________________var4">NA()</definedName>
    <definedName name="________________________________________________________can430">40.73</definedName>
    <definedName name="________________________________________________________can435">43.3</definedName>
    <definedName name="________________________________________________________l12">NA()</definedName>
    <definedName name="________________________________________________________l3">NA()</definedName>
    <definedName name="________________________________________________________l5">NA()</definedName>
    <definedName name="________________________________________________________pc2">NA()</definedName>
    <definedName name="________________________________________________________pv2">NA()</definedName>
    <definedName name="________________________________________________________var1">NA()</definedName>
    <definedName name="________________________________________________________var4">NA()</definedName>
    <definedName name="_______________________________________________________can430">40.73</definedName>
    <definedName name="_______________________________________________________can435">43.3</definedName>
    <definedName name="_______________________________________________________l12">NA()</definedName>
    <definedName name="_______________________________________________________l3">NA()</definedName>
    <definedName name="_______________________________________________________l5">NA()</definedName>
    <definedName name="_______________________________________________________pc2">NA()</definedName>
    <definedName name="_______________________________________________________pv2">NA()</definedName>
    <definedName name="_______________________________________________________var1">NA()</definedName>
    <definedName name="_______________________________________________________var4">NA()</definedName>
    <definedName name="______________________________________________________can430">40.73</definedName>
    <definedName name="______________________________________________________can435">43.3</definedName>
    <definedName name="______________________________________________________l12">NA()</definedName>
    <definedName name="______________________________________________________l3">NA()</definedName>
    <definedName name="______________________________________________________l5">NA()</definedName>
    <definedName name="______________________________________________________pc2">NA()</definedName>
    <definedName name="______________________________________________________pv2">NA()</definedName>
    <definedName name="______________________________________________________var1">NA()</definedName>
    <definedName name="______________________________________________________var4">NA()</definedName>
    <definedName name="_____________________________________________________can430">40.73</definedName>
    <definedName name="_____________________________________________________can435">43.3</definedName>
    <definedName name="_____________________________________________________l12">NA()</definedName>
    <definedName name="_____________________________________________________l3">NA()</definedName>
    <definedName name="_____________________________________________________l5">NA()</definedName>
    <definedName name="_____________________________________________________pc2">NA()</definedName>
    <definedName name="_____________________________________________________pv2">NA()</definedName>
    <definedName name="_____________________________________________________var1">NA()</definedName>
    <definedName name="_____________________________________________________var4">NA()</definedName>
    <definedName name="____________________________________________________can430">40.73</definedName>
    <definedName name="____________________________________________________can435">43.3</definedName>
    <definedName name="____________________________________________________l12">NA()</definedName>
    <definedName name="____________________________________________________l3">NA()</definedName>
    <definedName name="____________________________________________________l5">NA()</definedName>
    <definedName name="____________________________________________________pc2">NA()</definedName>
    <definedName name="____________________________________________________pv2">NA()</definedName>
    <definedName name="____________________________________________________var1">NA()</definedName>
    <definedName name="____________________________________________________var4">NA()</definedName>
    <definedName name="___________________________________________________can430">40.73</definedName>
    <definedName name="___________________________________________________can435">43.3</definedName>
    <definedName name="___________________________________________________l12">NA()</definedName>
    <definedName name="___________________________________________________l3">NA()</definedName>
    <definedName name="___________________________________________________l5">NA()</definedName>
    <definedName name="___________________________________________________pc2">NA()</definedName>
    <definedName name="___________________________________________________pv2">NA()</definedName>
    <definedName name="___________________________________________________var1">NA()</definedName>
    <definedName name="___________________________________________________var4">NA()</definedName>
    <definedName name="__________________________________________________can430">40.73</definedName>
    <definedName name="__________________________________________________can435">43.3</definedName>
    <definedName name="__________________________________________________l12">NA()</definedName>
    <definedName name="__________________________________________________l3">NA()</definedName>
    <definedName name="__________________________________________________l5">NA()</definedName>
    <definedName name="__________________________________________________pc2">NA()</definedName>
    <definedName name="__________________________________________________pv2">NA()</definedName>
    <definedName name="__________________________________________________var1">NA()</definedName>
    <definedName name="__________________________________________________var4">NA()</definedName>
    <definedName name="_________________________________________________can430">40.73</definedName>
    <definedName name="_________________________________________________can435">43.3</definedName>
    <definedName name="_________________________________________________l12">NA()</definedName>
    <definedName name="_________________________________________________l3">NA()</definedName>
    <definedName name="_________________________________________________l5">NA()</definedName>
    <definedName name="_________________________________________________pc2">NA()</definedName>
    <definedName name="_________________________________________________pv2">NA()</definedName>
    <definedName name="_________________________________________________var1">NA()</definedName>
    <definedName name="_________________________________________________var4">NA()</definedName>
    <definedName name="________________________________________________can430">40.73</definedName>
    <definedName name="________________________________________________can435">43.3</definedName>
    <definedName name="________________________________________________knr2">NA()</definedName>
    <definedName name="________________________________________________l12">NA()</definedName>
    <definedName name="________________________________________________l3">NA()</definedName>
    <definedName name="________________________________________________l5">NA()</definedName>
    <definedName name="________________________________________________pc2">NA()</definedName>
    <definedName name="________________________________________________pv2">NA()</definedName>
    <definedName name="________________________________________________var1">NA()</definedName>
    <definedName name="________________________________________________var4">NA()</definedName>
    <definedName name="_______________________________________________can430">40.73</definedName>
    <definedName name="_______________________________________________can435">43.3</definedName>
    <definedName name="_______________________________________________l12">NA()</definedName>
    <definedName name="_______________________________________________l3">NA()</definedName>
    <definedName name="_______________________________________________l5">NA()</definedName>
    <definedName name="_______________________________________________pc2">NA()</definedName>
    <definedName name="_______________________________________________pv2">NA()</definedName>
    <definedName name="_______________________________________________var1">NA()</definedName>
    <definedName name="_______________________________________________var4">NA()</definedName>
    <definedName name="______________________________________________can430">40.73</definedName>
    <definedName name="______________________________________________can435">43.3</definedName>
    <definedName name="______________________________________________knr2">NA()</definedName>
    <definedName name="______________________________________________l12">NA()</definedName>
    <definedName name="______________________________________________l3">NA()</definedName>
    <definedName name="______________________________________________l5">NA()</definedName>
    <definedName name="______________________________________________Met22">NA()</definedName>
    <definedName name="______________________________________________Met45">NA()</definedName>
    <definedName name="______________________________________________MEt55">NA()</definedName>
    <definedName name="______________________________________________Met63">NA()</definedName>
    <definedName name="______________________________________________mm1000">NA()</definedName>
    <definedName name="______________________________________________mm600">NA()</definedName>
    <definedName name="______________________________________________mm800">NA()</definedName>
    <definedName name="______________________________________________pc2">NA()</definedName>
    <definedName name="______________________________________________pv2">NA()</definedName>
    <definedName name="______________________________________________var1">NA()</definedName>
    <definedName name="______________________________________________var4">NA()</definedName>
    <definedName name="_____________________________________________can430">40.73</definedName>
    <definedName name="_____________________________________________can435">43.3</definedName>
    <definedName name="_____________________________________________knr2">NA()</definedName>
    <definedName name="_____________________________________________l12">NA()</definedName>
    <definedName name="_____________________________________________l3">NA()</definedName>
    <definedName name="_____________________________________________l5">NA()</definedName>
    <definedName name="_____________________________________________pc2">NA()</definedName>
    <definedName name="_____________________________________________pv2">NA()</definedName>
    <definedName name="_____________________________________________var1">NA()</definedName>
    <definedName name="_____________________________________________var4">NA()</definedName>
    <definedName name="____________________________________________can430">40.73</definedName>
    <definedName name="____________________________________________can435">43.3</definedName>
    <definedName name="____________________________________________knr2">NA()</definedName>
    <definedName name="____________________________________________l12">NA()</definedName>
    <definedName name="____________________________________________l3">NA()</definedName>
    <definedName name="____________________________________________l5">NA()</definedName>
    <definedName name="____________________________________________Met22">NA()</definedName>
    <definedName name="____________________________________________Met45">NA()</definedName>
    <definedName name="____________________________________________MEt55">NA()</definedName>
    <definedName name="____________________________________________Met63">NA()</definedName>
    <definedName name="____________________________________________mm1000">NA()</definedName>
    <definedName name="____________________________________________mm600">NA()</definedName>
    <definedName name="____________________________________________mm800">NA()</definedName>
    <definedName name="____________________________________________pc2">NA()</definedName>
    <definedName name="____________________________________________pv2">NA()</definedName>
    <definedName name="____________________________________________var1">NA()</definedName>
    <definedName name="____________________________________________var4">NA()</definedName>
    <definedName name="___________________________________________can430">40.73</definedName>
    <definedName name="___________________________________________can435">43.3</definedName>
    <definedName name="___________________________________________knr2">NA()</definedName>
    <definedName name="___________________________________________l12">NA()</definedName>
    <definedName name="___________________________________________l3">NA()</definedName>
    <definedName name="___________________________________________l5">NA()</definedName>
    <definedName name="___________________________________________Met22">NA()</definedName>
    <definedName name="___________________________________________Met45">NA()</definedName>
    <definedName name="___________________________________________MEt55">NA()</definedName>
    <definedName name="___________________________________________Met63">NA()</definedName>
    <definedName name="___________________________________________mm1000">NA()</definedName>
    <definedName name="___________________________________________mm600">NA()</definedName>
    <definedName name="___________________________________________mm800">NA()</definedName>
    <definedName name="___________________________________________pc2">NA()</definedName>
    <definedName name="___________________________________________pv2">NA()</definedName>
    <definedName name="___________________________________________var1">NA()</definedName>
    <definedName name="___________________________________________var4">NA()</definedName>
    <definedName name="__________________________________________can430">40.73</definedName>
    <definedName name="__________________________________________can435">43.3</definedName>
    <definedName name="__________________________________________l12">NA()</definedName>
    <definedName name="__________________________________________l3">NA()</definedName>
    <definedName name="__________________________________________l5">NA()</definedName>
    <definedName name="__________________________________________Met22">NA()</definedName>
    <definedName name="__________________________________________Met45">NA()</definedName>
    <definedName name="__________________________________________MEt55">NA()</definedName>
    <definedName name="__________________________________________Met63">NA()</definedName>
    <definedName name="__________________________________________mm1000">NA()</definedName>
    <definedName name="__________________________________________mm600">NA()</definedName>
    <definedName name="__________________________________________mm800">NA()</definedName>
    <definedName name="__________________________________________pc2">NA()</definedName>
    <definedName name="__________________________________________pv2">NA()</definedName>
    <definedName name="__________________________________________var1">NA()</definedName>
    <definedName name="__________________________________________var4">NA()</definedName>
    <definedName name="_________________________________________can430">40.73</definedName>
    <definedName name="_________________________________________can435">43.3</definedName>
    <definedName name="_________________________________________knr2">NA()</definedName>
    <definedName name="_________________________________________l12">NA()</definedName>
    <definedName name="_________________________________________l3">NA()</definedName>
    <definedName name="_________________________________________l5">NA()</definedName>
    <definedName name="_________________________________________Met22">NA()</definedName>
    <definedName name="_________________________________________Met45">NA()</definedName>
    <definedName name="_________________________________________MEt55">NA()</definedName>
    <definedName name="_________________________________________Met63">NA()</definedName>
    <definedName name="_________________________________________mm1000">NA()</definedName>
    <definedName name="_________________________________________mm600">NA()</definedName>
    <definedName name="_________________________________________mm800">NA()</definedName>
    <definedName name="_________________________________________pc2">NA()</definedName>
    <definedName name="_________________________________________pv2">NA()</definedName>
    <definedName name="_________________________________________var1">NA()</definedName>
    <definedName name="_________________________________________var4">NA()</definedName>
    <definedName name="________________________________________can430">40.73</definedName>
    <definedName name="________________________________________can435">43.3</definedName>
    <definedName name="________________________________________knr2" localSheetId="10">NA()</definedName>
    <definedName name="________________________________________knr2">NA()</definedName>
    <definedName name="________________________________________l12">NA()</definedName>
    <definedName name="________________________________________l3">NA()</definedName>
    <definedName name="________________________________________l5">NA()</definedName>
    <definedName name="________________________________________Met22">NA()</definedName>
    <definedName name="________________________________________Met45">NA()</definedName>
    <definedName name="________________________________________MEt55">NA()</definedName>
    <definedName name="________________________________________Met63">NA()</definedName>
    <definedName name="________________________________________mm1000">NA()</definedName>
    <definedName name="________________________________________mm600">NA()</definedName>
    <definedName name="________________________________________mm800">NA()</definedName>
    <definedName name="________________________________________pc2">NA()</definedName>
    <definedName name="________________________________________pv2">NA()</definedName>
    <definedName name="________________________________________var1">NA()</definedName>
    <definedName name="________________________________________var4">NA()</definedName>
    <definedName name="_______________________________________can430">40.73</definedName>
    <definedName name="_______________________________________can435">43.3</definedName>
    <definedName name="_______________________________________knr2">NA()</definedName>
    <definedName name="_______________________________________l12">NA()</definedName>
    <definedName name="_______________________________________l3">NA()</definedName>
    <definedName name="_______________________________________l5">NA()</definedName>
    <definedName name="_______________________________________Met22">NA()</definedName>
    <definedName name="_______________________________________Met45">NA()</definedName>
    <definedName name="_______________________________________MEt55">NA()</definedName>
    <definedName name="_______________________________________Met63">NA()</definedName>
    <definedName name="_______________________________________mm1000">NA()</definedName>
    <definedName name="_______________________________________mm600">NA()</definedName>
    <definedName name="_______________________________________mm800">NA()</definedName>
    <definedName name="_______________________________________pc2">NA()</definedName>
    <definedName name="_______________________________________pv2">NA()</definedName>
    <definedName name="_______________________________________var1">NA()</definedName>
    <definedName name="_______________________________________var4">NA()</definedName>
    <definedName name="______________________________________can430">40.73</definedName>
    <definedName name="______________________________________can435">43.3</definedName>
    <definedName name="______________________________________knr2" localSheetId="10">NA()</definedName>
    <definedName name="______________________________________knr2">NA()</definedName>
    <definedName name="______________________________________l12">NA()</definedName>
    <definedName name="______________________________________l3">NA()</definedName>
    <definedName name="______________________________________l5">NA()</definedName>
    <definedName name="______________________________________Met22">NA()</definedName>
    <definedName name="______________________________________Met45">NA()</definedName>
    <definedName name="______________________________________MEt55">NA()</definedName>
    <definedName name="______________________________________Met63">NA()</definedName>
    <definedName name="______________________________________mm1000">NA()</definedName>
    <definedName name="______________________________________mm600">NA()</definedName>
    <definedName name="______________________________________mm800">NA()</definedName>
    <definedName name="______________________________________pc2">NA()</definedName>
    <definedName name="______________________________________pv2">NA()</definedName>
    <definedName name="______________________________________var1">NA()</definedName>
    <definedName name="______________________________________var4">NA()</definedName>
    <definedName name="_____________________________________can430">40.73</definedName>
    <definedName name="_____________________________________can435">43.3</definedName>
    <definedName name="_____________________________________knr2" localSheetId="10">NA()</definedName>
    <definedName name="_____________________________________knr2">NA()</definedName>
    <definedName name="_____________________________________l12">NA()</definedName>
    <definedName name="_____________________________________l3">NA()</definedName>
    <definedName name="_____________________________________l5">NA()</definedName>
    <definedName name="_____________________________________Met22">NA()</definedName>
    <definedName name="_____________________________________Met45">NA()</definedName>
    <definedName name="_____________________________________MEt55">NA()</definedName>
    <definedName name="_____________________________________Met63">NA()</definedName>
    <definedName name="_____________________________________mm1000">NA()</definedName>
    <definedName name="_____________________________________mm600">NA()</definedName>
    <definedName name="_____________________________________mm800">NA()</definedName>
    <definedName name="_____________________________________pc2">NA()</definedName>
    <definedName name="_____________________________________pv2">NA()</definedName>
    <definedName name="_____________________________________var1">NA()</definedName>
    <definedName name="_____________________________________var4">NA()</definedName>
    <definedName name="____________________________________can430">40.73</definedName>
    <definedName name="____________________________________can435">43.3</definedName>
    <definedName name="____________________________________knr2">NA()</definedName>
    <definedName name="____________________________________l12">NA()</definedName>
    <definedName name="____________________________________l3">NA()</definedName>
    <definedName name="____________________________________l5">NA()</definedName>
    <definedName name="____________________________________pc2">NA()</definedName>
    <definedName name="____________________________________pv2">NA()</definedName>
    <definedName name="____________________________________var1">NA()</definedName>
    <definedName name="____________________________________var4">NA()</definedName>
    <definedName name="___________________________________can430">40.73</definedName>
    <definedName name="___________________________________can435">43.3</definedName>
    <definedName name="___________________________________knr2" localSheetId="10">NA()</definedName>
    <definedName name="___________________________________knr2">NA()</definedName>
    <definedName name="___________________________________l12">NA()</definedName>
    <definedName name="___________________________________l3">NA()</definedName>
    <definedName name="___________________________________l5">NA()</definedName>
    <definedName name="___________________________________Met22">NA()</definedName>
    <definedName name="___________________________________Met45">NA()</definedName>
    <definedName name="___________________________________MEt55">NA()</definedName>
    <definedName name="___________________________________Met63">NA()</definedName>
    <definedName name="___________________________________mm1000">NA()</definedName>
    <definedName name="___________________________________mm600">NA()</definedName>
    <definedName name="___________________________________mm800">NA()</definedName>
    <definedName name="___________________________________pc2">NA()</definedName>
    <definedName name="___________________________________pv2">NA()</definedName>
    <definedName name="___________________________________var1">NA()</definedName>
    <definedName name="___________________________________var4">NA()</definedName>
    <definedName name="__________________________________can430">40.73</definedName>
    <definedName name="__________________________________can435">43.3</definedName>
    <definedName name="__________________________________knr2">NA()</definedName>
    <definedName name="__________________________________l12">NA()</definedName>
    <definedName name="__________________________________l3">NA()</definedName>
    <definedName name="__________________________________l5">NA()</definedName>
    <definedName name="__________________________________Met22">NA()</definedName>
    <definedName name="__________________________________Met45">NA()</definedName>
    <definedName name="__________________________________MEt55">NA()</definedName>
    <definedName name="__________________________________Met63">NA()</definedName>
    <definedName name="__________________________________mm1000">NA()</definedName>
    <definedName name="__________________________________mm600">NA()</definedName>
    <definedName name="__________________________________mm800">NA()</definedName>
    <definedName name="__________________________________pc2">NA()</definedName>
    <definedName name="__________________________________pv2">NA()</definedName>
    <definedName name="__________________________________var1">NA()</definedName>
    <definedName name="__________________________________var4">NA()</definedName>
    <definedName name="_________________________________can430">40.73</definedName>
    <definedName name="_________________________________can435">43.3</definedName>
    <definedName name="_________________________________knr2" localSheetId="10">NA()</definedName>
    <definedName name="_________________________________knr2">NA()</definedName>
    <definedName name="_________________________________l12">NA()</definedName>
    <definedName name="_________________________________l3">NA()</definedName>
    <definedName name="_________________________________l5">NA()</definedName>
    <definedName name="_________________________________Met22">NA()</definedName>
    <definedName name="_________________________________Met45">NA()</definedName>
    <definedName name="_________________________________MEt55">NA()</definedName>
    <definedName name="_________________________________Met63">NA()</definedName>
    <definedName name="_________________________________mm1000">NA()</definedName>
    <definedName name="_________________________________mm600">NA()</definedName>
    <definedName name="_________________________________mm800">NA()</definedName>
    <definedName name="_________________________________pc2">NA()</definedName>
    <definedName name="_________________________________pv2">NA()</definedName>
    <definedName name="_________________________________var1">NA()</definedName>
    <definedName name="_________________________________var4">NA()</definedName>
    <definedName name="________________________________BSG100">NA()</definedName>
    <definedName name="________________________________BSG150">NA()</definedName>
    <definedName name="________________________________BSG5">NA()</definedName>
    <definedName name="________________________________BSG75">NA()</definedName>
    <definedName name="________________________________BTC13">NA()</definedName>
    <definedName name="________________________________BTC14">NA()</definedName>
    <definedName name="________________________________BTC15">NA()</definedName>
    <definedName name="________________________________BTC16">NA()</definedName>
    <definedName name="________________________________BTC17">NA()</definedName>
    <definedName name="________________________________BTC18">NA()</definedName>
    <definedName name="________________________________BTC19">NA()</definedName>
    <definedName name="________________________________BTC20">NA()</definedName>
    <definedName name="________________________________BTC21">NA()</definedName>
    <definedName name="________________________________BTC22">NA()</definedName>
    <definedName name="________________________________BTC23">NA()</definedName>
    <definedName name="________________________________BTC24">NA()</definedName>
    <definedName name="________________________________BTR13">NA()</definedName>
    <definedName name="________________________________BTR14">NA()</definedName>
    <definedName name="________________________________BTR15">NA()</definedName>
    <definedName name="________________________________BTR16">NA()</definedName>
    <definedName name="________________________________BTR17">NA()</definedName>
    <definedName name="________________________________BTR18">NA()</definedName>
    <definedName name="________________________________BTR19">NA()</definedName>
    <definedName name="________________________________BTR20">NA()</definedName>
    <definedName name="________________________________BTR21">NA()</definedName>
    <definedName name="________________________________BTR22">NA()</definedName>
    <definedName name="________________________________BTR23">NA()</definedName>
    <definedName name="________________________________BTR24">NA()</definedName>
    <definedName name="________________________________BTS13">NA()</definedName>
    <definedName name="________________________________BTS14">NA()</definedName>
    <definedName name="________________________________BTS15">NA()</definedName>
    <definedName name="________________________________BTS16">NA()</definedName>
    <definedName name="________________________________BTS17">NA()</definedName>
    <definedName name="________________________________BTS18">NA()</definedName>
    <definedName name="________________________________BTS19">NA()</definedName>
    <definedName name="________________________________BTS20">NA()</definedName>
    <definedName name="________________________________BTS21">NA()</definedName>
    <definedName name="________________________________BTS22">NA()</definedName>
    <definedName name="________________________________BTS23">NA()</definedName>
    <definedName name="________________________________BTS24">NA()</definedName>
    <definedName name="________________________________can430">40.73</definedName>
    <definedName name="________________________________can435">43.3</definedName>
    <definedName name="________________________________GBS113">NA()</definedName>
    <definedName name="________________________________GBS114">NA()</definedName>
    <definedName name="________________________________GBS115">NA()</definedName>
    <definedName name="________________________________GBS116">NA()</definedName>
    <definedName name="________________________________GBS117">NA()</definedName>
    <definedName name="________________________________GBS118">NA()</definedName>
    <definedName name="________________________________GBS119">NA()</definedName>
    <definedName name="________________________________GBS120">NA()</definedName>
    <definedName name="________________________________GBS121">NA()</definedName>
    <definedName name="________________________________GBS122">NA()</definedName>
    <definedName name="________________________________GBS123">NA()</definedName>
    <definedName name="________________________________GBS124">NA()</definedName>
    <definedName name="________________________________GBS213">NA()</definedName>
    <definedName name="________________________________GBS214">NA()</definedName>
    <definedName name="________________________________GBS215">NA()</definedName>
    <definedName name="________________________________GBS216">NA()</definedName>
    <definedName name="________________________________GBS217">NA()</definedName>
    <definedName name="________________________________GBS218">NA()</definedName>
    <definedName name="________________________________GBS219">NA()</definedName>
    <definedName name="________________________________GBS220">NA()</definedName>
    <definedName name="________________________________GBS221">NA()</definedName>
    <definedName name="________________________________GBS222">NA()</definedName>
    <definedName name="________________________________GBS223">NA()</definedName>
    <definedName name="________________________________GBS224">NA()</definedName>
    <definedName name="________________________________knr2">NA()</definedName>
    <definedName name="________________________________l12">NA()</definedName>
    <definedName name="________________________________l3">NA()</definedName>
    <definedName name="________________________________l5">NA()</definedName>
    <definedName name="________________________________Met22">NA()</definedName>
    <definedName name="________________________________Met45">NA()</definedName>
    <definedName name="________________________________MEt55">NA()</definedName>
    <definedName name="________________________________Met63">NA()</definedName>
    <definedName name="________________________________ML213">NA()</definedName>
    <definedName name="________________________________ML214">NA()</definedName>
    <definedName name="________________________________ML215">NA()</definedName>
    <definedName name="________________________________ML216">NA()</definedName>
    <definedName name="________________________________ML217">NA()</definedName>
    <definedName name="________________________________ML218">NA()</definedName>
    <definedName name="________________________________ML219">NA()</definedName>
    <definedName name="________________________________ML220">NA()</definedName>
    <definedName name="________________________________ML221">NA()</definedName>
    <definedName name="________________________________ML222">NA()</definedName>
    <definedName name="________________________________ML223">NA()</definedName>
    <definedName name="________________________________ML224">NA()</definedName>
    <definedName name="________________________________ML313">NA()</definedName>
    <definedName name="________________________________ML314">NA()</definedName>
    <definedName name="________________________________ML315">NA()</definedName>
    <definedName name="________________________________ML316">NA()</definedName>
    <definedName name="________________________________ML317">NA()</definedName>
    <definedName name="________________________________ML318">NA()</definedName>
    <definedName name="________________________________ML319">NA()</definedName>
    <definedName name="________________________________ML320">NA()</definedName>
    <definedName name="________________________________ML321">NA()</definedName>
    <definedName name="________________________________ML322">NA()</definedName>
    <definedName name="________________________________ML323">NA()</definedName>
    <definedName name="________________________________ML324">NA()</definedName>
    <definedName name="________________________________mm1000">NA()</definedName>
    <definedName name="________________________________mm600">NA()</definedName>
    <definedName name="________________________________mm800">NA()</definedName>
    <definedName name="________________________________PC13">NA()</definedName>
    <definedName name="________________________________PC14">NA()</definedName>
    <definedName name="________________________________PC15">NA()</definedName>
    <definedName name="________________________________PC16">NA()</definedName>
    <definedName name="________________________________PC17">NA()</definedName>
    <definedName name="________________________________PC18">NA()</definedName>
    <definedName name="________________________________PC19">NA()</definedName>
    <definedName name="________________________________pc2">NA()</definedName>
    <definedName name="________________________________PC20">NA()</definedName>
    <definedName name="________________________________PC21">NA()</definedName>
    <definedName name="________________________________PC22">NA()</definedName>
    <definedName name="________________________________PC23">NA()</definedName>
    <definedName name="________________________________PC24">NA()</definedName>
    <definedName name="________________________________pv2">NA()</definedName>
    <definedName name="________________________________var1">NA()</definedName>
    <definedName name="________________________________var4">NA()</definedName>
    <definedName name="_______________________________BSG100">NA()</definedName>
    <definedName name="_______________________________BSG150">NA()</definedName>
    <definedName name="_______________________________BSG5">NA()</definedName>
    <definedName name="_______________________________BSG75">NA()</definedName>
    <definedName name="_______________________________BTC13">NA()</definedName>
    <definedName name="_______________________________BTC14">NA()</definedName>
    <definedName name="_______________________________BTC15">NA()</definedName>
    <definedName name="_______________________________BTC16">NA()</definedName>
    <definedName name="_______________________________BTC17">NA()</definedName>
    <definedName name="_______________________________BTC18">NA()</definedName>
    <definedName name="_______________________________BTC19">NA()</definedName>
    <definedName name="_______________________________BTC20">NA()</definedName>
    <definedName name="_______________________________BTC21">NA()</definedName>
    <definedName name="_______________________________BTC22">NA()</definedName>
    <definedName name="_______________________________BTC23">NA()</definedName>
    <definedName name="_______________________________BTC24">NA()</definedName>
    <definedName name="_______________________________BTR13">NA()</definedName>
    <definedName name="_______________________________BTR14">NA()</definedName>
    <definedName name="_______________________________BTR15">NA()</definedName>
    <definedName name="_______________________________BTR16">NA()</definedName>
    <definedName name="_______________________________BTR17">NA()</definedName>
    <definedName name="_______________________________BTR18">NA()</definedName>
    <definedName name="_______________________________BTR19">NA()</definedName>
    <definedName name="_______________________________BTR20">NA()</definedName>
    <definedName name="_______________________________BTR21">NA()</definedName>
    <definedName name="_______________________________BTR22">NA()</definedName>
    <definedName name="_______________________________BTR23">NA()</definedName>
    <definedName name="_______________________________BTR24">NA()</definedName>
    <definedName name="_______________________________BTS13">NA()</definedName>
    <definedName name="_______________________________BTS14">NA()</definedName>
    <definedName name="_______________________________BTS15">NA()</definedName>
    <definedName name="_______________________________BTS16">NA()</definedName>
    <definedName name="_______________________________BTS17">NA()</definedName>
    <definedName name="_______________________________BTS18">NA()</definedName>
    <definedName name="_______________________________BTS19">NA()</definedName>
    <definedName name="_______________________________BTS20">NA()</definedName>
    <definedName name="_______________________________BTS21">NA()</definedName>
    <definedName name="_______________________________BTS22">NA()</definedName>
    <definedName name="_______________________________BTS23">NA()</definedName>
    <definedName name="_______________________________BTS24">NA()</definedName>
    <definedName name="_______________________________can430">40.73</definedName>
    <definedName name="_______________________________can435">43.3</definedName>
    <definedName name="_______________________________GBS113">NA()</definedName>
    <definedName name="_______________________________GBS114">NA()</definedName>
    <definedName name="_______________________________GBS115">NA()</definedName>
    <definedName name="_______________________________GBS116">NA()</definedName>
    <definedName name="_______________________________GBS117">NA()</definedName>
    <definedName name="_______________________________GBS118">NA()</definedName>
    <definedName name="_______________________________GBS119">NA()</definedName>
    <definedName name="_______________________________GBS120">NA()</definedName>
    <definedName name="_______________________________GBS121">NA()</definedName>
    <definedName name="_______________________________GBS122">NA()</definedName>
    <definedName name="_______________________________GBS123">NA()</definedName>
    <definedName name="_______________________________GBS124">NA()</definedName>
    <definedName name="_______________________________GBS213">NA()</definedName>
    <definedName name="_______________________________GBS214">NA()</definedName>
    <definedName name="_______________________________GBS215">NA()</definedName>
    <definedName name="_______________________________GBS216">NA()</definedName>
    <definedName name="_______________________________GBS217">NA()</definedName>
    <definedName name="_______________________________GBS218">NA()</definedName>
    <definedName name="_______________________________GBS219">NA()</definedName>
    <definedName name="_______________________________GBS220">NA()</definedName>
    <definedName name="_______________________________GBS221">NA()</definedName>
    <definedName name="_______________________________GBS222">NA()</definedName>
    <definedName name="_______________________________GBS223">NA()</definedName>
    <definedName name="_______________________________GBS224">NA()</definedName>
    <definedName name="_______________________________knr2" localSheetId="10">NA()</definedName>
    <definedName name="_______________________________knr2">NA()</definedName>
    <definedName name="_______________________________l12">NA()</definedName>
    <definedName name="_______________________________l3">NA()</definedName>
    <definedName name="_______________________________l5">NA()</definedName>
    <definedName name="_______________________________MA2">NA()</definedName>
    <definedName name="_______________________________Met22">NA()</definedName>
    <definedName name="_______________________________Met45">NA()</definedName>
    <definedName name="_______________________________MEt55">NA()</definedName>
    <definedName name="_______________________________Met63">NA()</definedName>
    <definedName name="_______________________________ML213">NA()</definedName>
    <definedName name="_______________________________ML214">NA()</definedName>
    <definedName name="_______________________________ML215">NA()</definedName>
    <definedName name="_______________________________ML216">NA()</definedName>
    <definedName name="_______________________________ML217">NA()</definedName>
    <definedName name="_______________________________ML218">NA()</definedName>
    <definedName name="_______________________________ML219">NA()</definedName>
    <definedName name="_______________________________ML220">NA()</definedName>
    <definedName name="_______________________________ML221">NA()</definedName>
    <definedName name="_______________________________ML222">NA()</definedName>
    <definedName name="_______________________________ML223">NA()</definedName>
    <definedName name="_______________________________ML224">NA()</definedName>
    <definedName name="_______________________________ML313">NA()</definedName>
    <definedName name="_______________________________ML314">NA()</definedName>
    <definedName name="_______________________________ML315">NA()</definedName>
    <definedName name="_______________________________ML316">NA()</definedName>
    <definedName name="_______________________________ML317">NA()</definedName>
    <definedName name="_______________________________ML318">NA()</definedName>
    <definedName name="_______________________________ML319">NA()</definedName>
    <definedName name="_______________________________ML320">NA()</definedName>
    <definedName name="_______________________________ML321">NA()</definedName>
    <definedName name="_______________________________ML322">NA()</definedName>
    <definedName name="_______________________________ML323">NA()</definedName>
    <definedName name="_______________________________ML324">NA()</definedName>
    <definedName name="_______________________________mm1000">NA()</definedName>
    <definedName name="_______________________________mm600">NA()</definedName>
    <definedName name="_______________________________mm800">NA()</definedName>
    <definedName name="_______________________________PC13">NA()</definedName>
    <definedName name="_______________________________PC14">NA()</definedName>
    <definedName name="_______________________________PC15">NA()</definedName>
    <definedName name="_______________________________PC16">NA()</definedName>
    <definedName name="_______________________________PC17">NA()</definedName>
    <definedName name="_______________________________PC18">NA()</definedName>
    <definedName name="_______________________________PC19">NA()</definedName>
    <definedName name="_______________________________pc2">NA()</definedName>
    <definedName name="_______________________________PC20">NA()</definedName>
    <definedName name="_______________________________PC21">NA()</definedName>
    <definedName name="_______________________________PC22">NA()</definedName>
    <definedName name="_______________________________PC23">NA()</definedName>
    <definedName name="_______________________________PC24">NA()</definedName>
    <definedName name="_______________________________pv2">NA()</definedName>
    <definedName name="_______________________________var1">NA()</definedName>
    <definedName name="_______________________________var4">NA()</definedName>
    <definedName name="______________________________BSG100">NA()</definedName>
    <definedName name="______________________________BSG150">NA()</definedName>
    <definedName name="______________________________BSG5">NA()</definedName>
    <definedName name="______________________________BSG75">NA()</definedName>
    <definedName name="______________________________BTC13">NA()</definedName>
    <definedName name="______________________________BTC14">NA()</definedName>
    <definedName name="______________________________BTC15">NA()</definedName>
    <definedName name="______________________________BTC16">NA()</definedName>
    <definedName name="______________________________BTC17">NA()</definedName>
    <definedName name="______________________________BTC18">NA()</definedName>
    <definedName name="______________________________BTC19">NA()</definedName>
    <definedName name="______________________________BTC20">NA()</definedName>
    <definedName name="______________________________BTC21">NA()</definedName>
    <definedName name="______________________________BTC22">NA()</definedName>
    <definedName name="______________________________BTC23">NA()</definedName>
    <definedName name="______________________________BTC24">NA()</definedName>
    <definedName name="______________________________BTR13">NA()</definedName>
    <definedName name="______________________________BTR14">NA()</definedName>
    <definedName name="______________________________BTR15">NA()</definedName>
    <definedName name="______________________________BTR16">NA()</definedName>
    <definedName name="______________________________BTR17">NA()</definedName>
    <definedName name="______________________________BTR18">NA()</definedName>
    <definedName name="______________________________BTR19">NA()</definedName>
    <definedName name="______________________________BTR20">NA()</definedName>
    <definedName name="______________________________BTR21">NA()</definedName>
    <definedName name="______________________________BTR22">NA()</definedName>
    <definedName name="______________________________BTR23">NA()</definedName>
    <definedName name="______________________________BTR24">NA()</definedName>
    <definedName name="______________________________BTS13">NA()</definedName>
    <definedName name="______________________________BTS14">NA()</definedName>
    <definedName name="______________________________BTS15">NA()</definedName>
    <definedName name="______________________________BTS16">NA()</definedName>
    <definedName name="______________________________BTS17">NA()</definedName>
    <definedName name="______________________________BTS18">NA()</definedName>
    <definedName name="______________________________BTS19">NA()</definedName>
    <definedName name="______________________________BTS20">NA()</definedName>
    <definedName name="______________________________BTS21">NA()</definedName>
    <definedName name="______________________________BTS22">NA()</definedName>
    <definedName name="______________________________BTS23">NA()</definedName>
    <definedName name="______________________________BTS24">NA()</definedName>
    <definedName name="______________________________can430">40.73</definedName>
    <definedName name="______________________________can435">43.3</definedName>
    <definedName name="______________________________GBS113">NA()</definedName>
    <definedName name="______________________________GBS114">NA()</definedName>
    <definedName name="______________________________GBS115">NA()</definedName>
    <definedName name="______________________________GBS116">NA()</definedName>
    <definedName name="______________________________GBS117">NA()</definedName>
    <definedName name="______________________________GBS118">NA()</definedName>
    <definedName name="______________________________GBS119">NA()</definedName>
    <definedName name="______________________________GBS120">NA()</definedName>
    <definedName name="______________________________GBS121">NA()</definedName>
    <definedName name="______________________________GBS122">NA()</definedName>
    <definedName name="______________________________GBS123">NA()</definedName>
    <definedName name="______________________________GBS124">NA()</definedName>
    <definedName name="______________________________GBS213">NA()</definedName>
    <definedName name="______________________________GBS214">NA()</definedName>
    <definedName name="______________________________GBS215">NA()</definedName>
    <definedName name="______________________________GBS216">NA()</definedName>
    <definedName name="______________________________GBS217">NA()</definedName>
    <definedName name="______________________________GBS218">NA()</definedName>
    <definedName name="______________________________GBS219">NA()</definedName>
    <definedName name="______________________________GBS220">NA()</definedName>
    <definedName name="______________________________GBS221">NA()</definedName>
    <definedName name="______________________________GBS222">NA()</definedName>
    <definedName name="______________________________GBS223">NA()</definedName>
    <definedName name="______________________________GBS224">NA()</definedName>
    <definedName name="______________________________knr2" localSheetId="10">NA()</definedName>
    <definedName name="______________________________knr2">NA()</definedName>
    <definedName name="______________________________l12">NA()</definedName>
    <definedName name="______________________________l3">NA()</definedName>
    <definedName name="______________________________l5">NA()</definedName>
    <definedName name="______________________________MA1">NA()</definedName>
    <definedName name="______________________________MA2">NA()</definedName>
    <definedName name="______________________________Met22">NA()</definedName>
    <definedName name="______________________________Met45">NA()</definedName>
    <definedName name="______________________________MEt55">NA()</definedName>
    <definedName name="______________________________Met63">NA()</definedName>
    <definedName name="______________________________ML213">NA()</definedName>
    <definedName name="______________________________ML214">NA()</definedName>
    <definedName name="______________________________ML215">NA()</definedName>
    <definedName name="______________________________ML216">NA()</definedName>
    <definedName name="______________________________ML217">NA()</definedName>
    <definedName name="______________________________ML218">NA()</definedName>
    <definedName name="______________________________ML219">NA()</definedName>
    <definedName name="______________________________ML220">NA()</definedName>
    <definedName name="______________________________ML221">NA()</definedName>
    <definedName name="______________________________ML222">NA()</definedName>
    <definedName name="______________________________ML223">NA()</definedName>
    <definedName name="______________________________ML224">NA()</definedName>
    <definedName name="______________________________ML313">NA()</definedName>
    <definedName name="______________________________ML314">NA()</definedName>
    <definedName name="______________________________ML315">NA()</definedName>
    <definedName name="______________________________ML316">NA()</definedName>
    <definedName name="______________________________ML317">NA()</definedName>
    <definedName name="______________________________ML318">NA()</definedName>
    <definedName name="______________________________ML319">NA()</definedName>
    <definedName name="______________________________ML320">NA()</definedName>
    <definedName name="______________________________ML321">NA()</definedName>
    <definedName name="______________________________ML322">NA()</definedName>
    <definedName name="______________________________ML323">NA()</definedName>
    <definedName name="______________________________ML324">NA()</definedName>
    <definedName name="______________________________mm1000">NA()</definedName>
    <definedName name="______________________________mm600">NA()</definedName>
    <definedName name="______________________________mm800">NA()</definedName>
    <definedName name="______________________________PC13">NA()</definedName>
    <definedName name="______________________________PC14">NA()</definedName>
    <definedName name="______________________________PC15">NA()</definedName>
    <definedName name="______________________________PC16">NA()</definedName>
    <definedName name="______________________________PC17">NA()</definedName>
    <definedName name="______________________________PC18">NA()</definedName>
    <definedName name="______________________________PC19">NA()</definedName>
    <definedName name="______________________________pc2">NA()</definedName>
    <definedName name="______________________________PC20">NA()</definedName>
    <definedName name="______________________________PC21">NA()</definedName>
    <definedName name="______________________________PC22">NA()</definedName>
    <definedName name="______________________________PC23">NA()</definedName>
    <definedName name="______________________________PC24">NA()</definedName>
    <definedName name="______________________________pv2">NA()</definedName>
    <definedName name="______________________________var1">NA()</definedName>
    <definedName name="______________________________var4">NA()</definedName>
    <definedName name="_____________________________BSG100">NA()</definedName>
    <definedName name="_____________________________BSG150">NA()</definedName>
    <definedName name="_____________________________BSG5">NA()</definedName>
    <definedName name="_____________________________BSG75">NA()</definedName>
    <definedName name="_____________________________BTC13">NA()</definedName>
    <definedName name="_____________________________BTC14">NA()</definedName>
    <definedName name="_____________________________BTC15">NA()</definedName>
    <definedName name="_____________________________BTC16">NA()</definedName>
    <definedName name="_____________________________BTC17">NA()</definedName>
    <definedName name="_____________________________BTC18">NA()</definedName>
    <definedName name="_____________________________BTC19">NA()</definedName>
    <definedName name="_____________________________BTC20">NA()</definedName>
    <definedName name="_____________________________BTC21">NA()</definedName>
    <definedName name="_____________________________BTC22">NA()</definedName>
    <definedName name="_____________________________BTC23">NA()</definedName>
    <definedName name="_____________________________BTC24">NA()</definedName>
    <definedName name="_____________________________BTR13">NA()</definedName>
    <definedName name="_____________________________BTR14">NA()</definedName>
    <definedName name="_____________________________BTR15">NA()</definedName>
    <definedName name="_____________________________BTR16">NA()</definedName>
    <definedName name="_____________________________BTR17">NA()</definedName>
    <definedName name="_____________________________BTR18">NA()</definedName>
    <definedName name="_____________________________BTR19">NA()</definedName>
    <definedName name="_____________________________BTR20">NA()</definedName>
    <definedName name="_____________________________BTR21">NA()</definedName>
    <definedName name="_____________________________BTR22">NA()</definedName>
    <definedName name="_____________________________BTR23">NA()</definedName>
    <definedName name="_____________________________BTR24">NA()</definedName>
    <definedName name="_____________________________BTS13">NA()</definedName>
    <definedName name="_____________________________BTS14">NA()</definedName>
    <definedName name="_____________________________BTS15">NA()</definedName>
    <definedName name="_____________________________BTS16">NA()</definedName>
    <definedName name="_____________________________BTS17">NA()</definedName>
    <definedName name="_____________________________BTS18">NA()</definedName>
    <definedName name="_____________________________BTS19">NA()</definedName>
    <definedName name="_____________________________BTS20">NA()</definedName>
    <definedName name="_____________________________BTS21">NA()</definedName>
    <definedName name="_____________________________BTS22">NA()</definedName>
    <definedName name="_____________________________BTS23">NA()</definedName>
    <definedName name="_____________________________BTS24">NA()</definedName>
    <definedName name="_____________________________can430">40.73</definedName>
    <definedName name="_____________________________can435">43.3</definedName>
    <definedName name="_____________________________GBS113">NA()</definedName>
    <definedName name="_____________________________GBS114">NA()</definedName>
    <definedName name="_____________________________GBS115">NA()</definedName>
    <definedName name="_____________________________GBS116">NA()</definedName>
    <definedName name="_____________________________GBS117">NA()</definedName>
    <definedName name="_____________________________GBS118">NA()</definedName>
    <definedName name="_____________________________GBS119">NA()</definedName>
    <definedName name="_____________________________GBS120">NA()</definedName>
    <definedName name="_____________________________GBS121">NA()</definedName>
    <definedName name="_____________________________GBS122">NA()</definedName>
    <definedName name="_____________________________GBS123">NA()</definedName>
    <definedName name="_____________________________GBS124">NA()</definedName>
    <definedName name="_____________________________GBS213">NA()</definedName>
    <definedName name="_____________________________GBS214">NA()</definedName>
    <definedName name="_____________________________GBS215">NA()</definedName>
    <definedName name="_____________________________GBS216">NA()</definedName>
    <definedName name="_____________________________GBS217">NA()</definedName>
    <definedName name="_____________________________GBS218">NA()</definedName>
    <definedName name="_____________________________GBS219">NA()</definedName>
    <definedName name="_____________________________GBS220">NA()</definedName>
    <definedName name="_____________________________GBS221">NA()</definedName>
    <definedName name="_____________________________GBS222">NA()</definedName>
    <definedName name="_____________________________GBS223">NA()</definedName>
    <definedName name="_____________________________GBS224">NA()</definedName>
    <definedName name="_____________________________knr2" localSheetId="10">NA()</definedName>
    <definedName name="_____________________________knr2">NA()</definedName>
    <definedName name="_____________________________l12">NA()</definedName>
    <definedName name="_____________________________l3">NA()</definedName>
    <definedName name="_____________________________l5">NA()</definedName>
    <definedName name="_____________________________MA1">NA()</definedName>
    <definedName name="_____________________________MA2">NA()</definedName>
    <definedName name="_____________________________Met22">NA()</definedName>
    <definedName name="_____________________________Met45">NA()</definedName>
    <definedName name="_____________________________MEt55">NA()</definedName>
    <definedName name="_____________________________Met63">NA()</definedName>
    <definedName name="_____________________________ML213">NA()</definedName>
    <definedName name="_____________________________ML214">NA()</definedName>
    <definedName name="_____________________________ML215">NA()</definedName>
    <definedName name="_____________________________ML216">NA()</definedName>
    <definedName name="_____________________________ML217">NA()</definedName>
    <definedName name="_____________________________ML218">NA()</definedName>
    <definedName name="_____________________________ML219">NA()</definedName>
    <definedName name="_____________________________ML220">NA()</definedName>
    <definedName name="_____________________________ML221">NA()</definedName>
    <definedName name="_____________________________ML222">NA()</definedName>
    <definedName name="_____________________________ML223">NA()</definedName>
    <definedName name="_____________________________ML224">NA()</definedName>
    <definedName name="_____________________________ML313">NA()</definedName>
    <definedName name="_____________________________ML314">NA()</definedName>
    <definedName name="_____________________________ML315">NA()</definedName>
    <definedName name="_____________________________ML316">NA()</definedName>
    <definedName name="_____________________________ML317">NA()</definedName>
    <definedName name="_____________________________ML318">NA()</definedName>
    <definedName name="_____________________________ML319">NA()</definedName>
    <definedName name="_____________________________ML320">NA()</definedName>
    <definedName name="_____________________________ML321">NA()</definedName>
    <definedName name="_____________________________ML322">NA()</definedName>
    <definedName name="_____________________________ML323">NA()</definedName>
    <definedName name="_____________________________ML324">NA()</definedName>
    <definedName name="_____________________________mm1000">NA()</definedName>
    <definedName name="_____________________________mm600">NA()</definedName>
    <definedName name="_____________________________mm800">NA()</definedName>
    <definedName name="_____________________________PC13">NA()</definedName>
    <definedName name="_____________________________PC14">NA()</definedName>
    <definedName name="_____________________________PC15">NA()</definedName>
    <definedName name="_____________________________PC16">NA()</definedName>
    <definedName name="_____________________________PC17">NA()</definedName>
    <definedName name="_____________________________PC18">NA()</definedName>
    <definedName name="_____________________________PC19">NA()</definedName>
    <definedName name="_____________________________pc2">NA()</definedName>
    <definedName name="_____________________________PC20">NA()</definedName>
    <definedName name="_____________________________PC21">NA()</definedName>
    <definedName name="_____________________________PC22">NA()</definedName>
    <definedName name="_____________________________PC23">NA()</definedName>
    <definedName name="_____________________________PC24">NA()</definedName>
    <definedName name="_____________________________pv2">NA()</definedName>
    <definedName name="_____________________________var1">NA()</definedName>
    <definedName name="_____________________________var4">NA()</definedName>
    <definedName name="____________________________BSG100">NA()</definedName>
    <definedName name="____________________________BSG150">NA()</definedName>
    <definedName name="____________________________BSG5">NA()</definedName>
    <definedName name="____________________________BSG75">NA()</definedName>
    <definedName name="____________________________BTC1">NA()</definedName>
    <definedName name="____________________________BTC10">NA()</definedName>
    <definedName name="____________________________BTC11">NA()</definedName>
    <definedName name="____________________________BTC12">NA()</definedName>
    <definedName name="____________________________BTC13">NA()</definedName>
    <definedName name="____________________________BTC14">NA()</definedName>
    <definedName name="____________________________BTC15">NA()</definedName>
    <definedName name="____________________________BTC16">NA()</definedName>
    <definedName name="____________________________BTC17">NA()</definedName>
    <definedName name="____________________________BTC18">NA()</definedName>
    <definedName name="____________________________BTC19">NA()</definedName>
    <definedName name="____________________________BTC2">NA()</definedName>
    <definedName name="____________________________BTC20">NA()</definedName>
    <definedName name="____________________________BTC21">NA()</definedName>
    <definedName name="____________________________BTC22">NA()</definedName>
    <definedName name="____________________________BTC23">NA()</definedName>
    <definedName name="____________________________BTC24">NA()</definedName>
    <definedName name="____________________________BTC3">NA()</definedName>
    <definedName name="____________________________BTC4">NA()</definedName>
    <definedName name="____________________________BTC5">NA()</definedName>
    <definedName name="____________________________BTC6">NA()</definedName>
    <definedName name="____________________________BTC7">NA()</definedName>
    <definedName name="____________________________BTC8">NA()</definedName>
    <definedName name="____________________________BTC9">NA()</definedName>
    <definedName name="____________________________BTR1">NA()</definedName>
    <definedName name="____________________________BTR10">NA()</definedName>
    <definedName name="____________________________BTR11">NA()</definedName>
    <definedName name="____________________________BTR12">NA()</definedName>
    <definedName name="____________________________BTR13">NA()</definedName>
    <definedName name="____________________________BTR14">NA()</definedName>
    <definedName name="____________________________BTR15">NA()</definedName>
    <definedName name="____________________________BTR16">NA()</definedName>
    <definedName name="____________________________BTR17">NA()</definedName>
    <definedName name="____________________________BTR18">NA()</definedName>
    <definedName name="____________________________BTR19">NA()</definedName>
    <definedName name="____________________________BTR2">NA()</definedName>
    <definedName name="____________________________BTR20">NA()</definedName>
    <definedName name="____________________________BTR21">NA()</definedName>
    <definedName name="____________________________BTR22">NA()</definedName>
    <definedName name="____________________________BTR23">NA()</definedName>
    <definedName name="____________________________BTR24">NA()</definedName>
    <definedName name="____________________________BTR3">NA()</definedName>
    <definedName name="____________________________BTR4">NA()</definedName>
    <definedName name="____________________________BTR5">NA()</definedName>
    <definedName name="____________________________BTR6">NA()</definedName>
    <definedName name="____________________________BTR7">NA()</definedName>
    <definedName name="____________________________BTR8">NA()</definedName>
    <definedName name="____________________________BTR9">NA()</definedName>
    <definedName name="____________________________BTS1">NA()</definedName>
    <definedName name="____________________________BTS10">NA()</definedName>
    <definedName name="____________________________BTS11">NA()</definedName>
    <definedName name="____________________________BTS12">NA()</definedName>
    <definedName name="____________________________BTS13">NA()</definedName>
    <definedName name="____________________________BTS14">NA()</definedName>
    <definedName name="____________________________BTS15">NA()</definedName>
    <definedName name="____________________________BTS16">NA()</definedName>
    <definedName name="____________________________BTS17">NA()</definedName>
    <definedName name="____________________________BTS18">NA()</definedName>
    <definedName name="____________________________BTS19">NA()</definedName>
    <definedName name="____________________________BTS2">NA()</definedName>
    <definedName name="____________________________BTS20">NA()</definedName>
    <definedName name="____________________________BTS21">NA()</definedName>
    <definedName name="____________________________BTS22">NA()</definedName>
    <definedName name="____________________________BTS23">NA()</definedName>
    <definedName name="____________________________BTS24">NA()</definedName>
    <definedName name="____________________________BTS3">NA()</definedName>
    <definedName name="____________________________BTS4">NA()</definedName>
    <definedName name="____________________________BTS5">NA()</definedName>
    <definedName name="____________________________BTS6">NA()</definedName>
    <definedName name="____________________________BTS7">NA()</definedName>
    <definedName name="____________________________BTS8">NA()</definedName>
    <definedName name="____________________________BTS9">NA()</definedName>
    <definedName name="____________________________can430">40.73</definedName>
    <definedName name="____________________________can435">43.3</definedName>
    <definedName name="____________________________GBS11">NA()</definedName>
    <definedName name="____________________________GBS110">NA()</definedName>
    <definedName name="____________________________GBS111">NA()</definedName>
    <definedName name="____________________________GBS112">NA()</definedName>
    <definedName name="____________________________GBS113">NA()</definedName>
    <definedName name="____________________________GBS114">NA()</definedName>
    <definedName name="____________________________GBS115">NA()</definedName>
    <definedName name="____________________________GBS116">NA()</definedName>
    <definedName name="____________________________GBS117">NA()</definedName>
    <definedName name="____________________________GBS118">NA()</definedName>
    <definedName name="____________________________GBS119">NA()</definedName>
    <definedName name="____________________________GBS12">NA()</definedName>
    <definedName name="____________________________GBS120">NA()</definedName>
    <definedName name="____________________________GBS121">NA()</definedName>
    <definedName name="____________________________GBS122">NA()</definedName>
    <definedName name="____________________________GBS123">NA()</definedName>
    <definedName name="____________________________GBS124">NA()</definedName>
    <definedName name="____________________________GBS13">NA()</definedName>
    <definedName name="____________________________GBS14">NA()</definedName>
    <definedName name="____________________________GBS15">NA()</definedName>
    <definedName name="____________________________GBS16">NA()</definedName>
    <definedName name="____________________________GBS17">NA()</definedName>
    <definedName name="____________________________GBS18">NA()</definedName>
    <definedName name="____________________________GBS19">NA()</definedName>
    <definedName name="____________________________GBS21">NA()</definedName>
    <definedName name="____________________________GBS210">NA()</definedName>
    <definedName name="____________________________GBS211">NA()</definedName>
    <definedName name="____________________________GBS212">NA()</definedName>
    <definedName name="____________________________GBS213">NA()</definedName>
    <definedName name="____________________________GBS214">NA()</definedName>
    <definedName name="____________________________GBS215">NA()</definedName>
    <definedName name="____________________________GBS216">NA()</definedName>
    <definedName name="____________________________GBS217">NA()</definedName>
    <definedName name="____________________________GBS218">NA()</definedName>
    <definedName name="____________________________GBS219">NA()</definedName>
    <definedName name="____________________________GBS22">NA()</definedName>
    <definedName name="____________________________GBS220">NA()</definedName>
    <definedName name="____________________________GBS221">NA()</definedName>
    <definedName name="____________________________GBS222">NA()</definedName>
    <definedName name="____________________________GBS223">NA()</definedName>
    <definedName name="____________________________GBS224">NA()</definedName>
    <definedName name="____________________________GBS23">NA()</definedName>
    <definedName name="____________________________GBS24">NA()</definedName>
    <definedName name="____________________________GBS25">NA()</definedName>
    <definedName name="____________________________GBS26">NA()</definedName>
    <definedName name="____________________________GBS27">NA()</definedName>
    <definedName name="____________________________GBS28">NA()</definedName>
    <definedName name="____________________________GBS29">NA()</definedName>
    <definedName name="____________________________knr2" localSheetId="10">NA()</definedName>
    <definedName name="____________________________knr2">NA()</definedName>
    <definedName name="____________________________l12">NA()</definedName>
    <definedName name="____________________________l3">NA()</definedName>
    <definedName name="____________________________l5">NA()</definedName>
    <definedName name="____________________________lj600">NA()</definedName>
    <definedName name="____________________________lj900">NA()</definedName>
    <definedName name="____________________________LL3">NA()</definedName>
    <definedName name="____________________________MA1">NA()</definedName>
    <definedName name="____________________________MA2">NA()</definedName>
    <definedName name="____________________________Met22">NA()</definedName>
    <definedName name="____________________________Met45">NA()</definedName>
    <definedName name="____________________________MEt55">NA()</definedName>
    <definedName name="____________________________Met63">NA()</definedName>
    <definedName name="____________________________ML21">NA()</definedName>
    <definedName name="____________________________ML210">NA()</definedName>
    <definedName name="____________________________ML211">NA()</definedName>
    <definedName name="____________________________ML212">NA()</definedName>
    <definedName name="____________________________ML213">NA()</definedName>
    <definedName name="____________________________ML214">NA()</definedName>
    <definedName name="____________________________ML215">NA()</definedName>
    <definedName name="____________________________ML216">NA()</definedName>
    <definedName name="____________________________ML217">NA()</definedName>
    <definedName name="____________________________ML218">NA()</definedName>
    <definedName name="____________________________ML219">NA()</definedName>
    <definedName name="____________________________ML22">NA()</definedName>
    <definedName name="____________________________ML220">NA()</definedName>
    <definedName name="____________________________ML221">NA()</definedName>
    <definedName name="____________________________ML222">NA()</definedName>
    <definedName name="____________________________ML223">NA()</definedName>
    <definedName name="____________________________ML224">NA()</definedName>
    <definedName name="____________________________ML23">NA()</definedName>
    <definedName name="____________________________ML24">NA()</definedName>
    <definedName name="____________________________ML25">NA()</definedName>
    <definedName name="____________________________ML26">NA()</definedName>
    <definedName name="____________________________ML27">NA()</definedName>
    <definedName name="____________________________ML28">NA()</definedName>
    <definedName name="____________________________ML29">NA()</definedName>
    <definedName name="____________________________ML31">NA()</definedName>
    <definedName name="____________________________ML310">NA()</definedName>
    <definedName name="____________________________ML311">NA()</definedName>
    <definedName name="____________________________ML312">NA()</definedName>
    <definedName name="____________________________ML313">NA()</definedName>
    <definedName name="____________________________ML314">NA()</definedName>
    <definedName name="____________________________ML315">NA()</definedName>
    <definedName name="____________________________ML316">NA()</definedName>
    <definedName name="____________________________ML317">NA()</definedName>
    <definedName name="____________________________ML318">NA()</definedName>
    <definedName name="____________________________ML319">NA()</definedName>
    <definedName name="____________________________ML32">NA()</definedName>
    <definedName name="____________________________ML320">NA()</definedName>
    <definedName name="____________________________ML321">NA()</definedName>
    <definedName name="____________________________ML322">NA()</definedName>
    <definedName name="____________________________ML323">NA()</definedName>
    <definedName name="____________________________ML324">NA()</definedName>
    <definedName name="____________________________ML33">NA()</definedName>
    <definedName name="____________________________ML34">NA()</definedName>
    <definedName name="____________________________ML35">NA()</definedName>
    <definedName name="____________________________ML36">NA()</definedName>
    <definedName name="____________________________ML37">NA()</definedName>
    <definedName name="____________________________ML38">NA()</definedName>
    <definedName name="____________________________ML39">NA()</definedName>
    <definedName name="____________________________ML7">NA()</definedName>
    <definedName name="____________________________ML8">NA()</definedName>
    <definedName name="____________________________ML9">NA()</definedName>
    <definedName name="____________________________mm1000">NA()</definedName>
    <definedName name="____________________________mm600">NA()</definedName>
    <definedName name="____________________________mm800">NA()</definedName>
    <definedName name="____________________________PC1">NA()</definedName>
    <definedName name="____________________________PC10">NA()</definedName>
    <definedName name="____________________________PC11">NA()</definedName>
    <definedName name="____________________________PC12">NA()</definedName>
    <definedName name="____________________________PC13">NA()</definedName>
    <definedName name="____________________________PC14">NA()</definedName>
    <definedName name="____________________________PC15">NA()</definedName>
    <definedName name="____________________________PC16">NA()</definedName>
    <definedName name="____________________________PC17">NA()</definedName>
    <definedName name="____________________________PC18">NA()</definedName>
    <definedName name="____________________________PC19">NA()</definedName>
    <definedName name="____________________________pc2">NA()</definedName>
    <definedName name="____________________________PC20">NA()</definedName>
    <definedName name="____________________________PC21">NA()</definedName>
    <definedName name="____________________________PC22">NA()</definedName>
    <definedName name="____________________________PC23">NA()</definedName>
    <definedName name="____________________________PC24">NA()</definedName>
    <definedName name="____________________________PC3">NA()</definedName>
    <definedName name="____________________________PC4">NA()</definedName>
    <definedName name="____________________________PC5">NA()</definedName>
    <definedName name="____________________________PC6">NA()</definedName>
    <definedName name="____________________________pc600">NA()</definedName>
    <definedName name="____________________________PC7">NA()</definedName>
    <definedName name="____________________________PC8">NA()</definedName>
    <definedName name="____________________________PC9">NA()</definedName>
    <definedName name="____________________________pc900">NA()</definedName>
    <definedName name="____________________________pv2">NA()</definedName>
    <definedName name="____________________________var1">NA()</definedName>
    <definedName name="____________________________var4">NA()</definedName>
    <definedName name="____________________________vat1">NA()</definedName>
    <definedName name="___________________________BSG100" localSheetId="10">NA()</definedName>
    <definedName name="___________________________BSG100">NA()</definedName>
    <definedName name="___________________________BSG150" localSheetId="10">NA()</definedName>
    <definedName name="___________________________BSG150">NA()</definedName>
    <definedName name="___________________________BSG5" localSheetId="10">NA()</definedName>
    <definedName name="___________________________BSG5">NA()</definedName>
    <definedName name="___________________________BSG75" localSheetId="10">NA()</definedName>
    <definedName name="___________________________BSG75">NA()</definedName>
    <definedName name="___________________________BTC1">NA()</definedName>
    <definedName name="___________________________BTC10">NA()</definedName>
    <definedName name="___________________________BTC11">NA()</definedName>
    <definedName name="___________________________BTC12">NA()</definedName>
    <definedName name="___________________________BTC13" localSheetId="10">NA()</definedName>
    <definedName name="___________________________BTC13">NA()</definedName>
    <definedName name="___________________________BTC14" localSheetId="10">NA()</definedName>
    <definedName name="___________________________BTC14">NA()</definedName>
    <definedName name="___________________________BTC15" localSheetId="10">NA()</definedName>
    <definedName name="___________________________BTC15">NA()</definedName>
    <definedName name="___________________________BTC16" localSheetId="10">NA()</definedName>
    <definedName name="___________________________BTC16">NA()</definedName>
    <definedName name="___________________________BTC17" localSheetId="10">NA()</definedName>
    <definedName name="___________________________BTC17">NA()</definedName>
    <definedName name="___________________________BTC18" localSheetId="10">NA()</definedName>
    <definedName name="___________________________BTC18">NA()</definedName>
    <definedName name="___________________________BTC19" localSheetId="10">NA()</definedName>
    <definedName name="___________________________BTC19">NA()</definedName>
    <definedName name="___________________________BTC2">NA()</definedName>
    <definedName name="___________________________BTC20" localSheetId="10">NA()</definedName>
    <definedName name="___________________________BTC20">NA()</definedName>
    <definedName name="___________________________BTC21" localSheetId="10">NA()</definedName>
    <definedName name="___________________________BTC21">NA()</definedName>
    <definedName name="___________________________BTC22" localSheetId="10">NA()</definedName>
    <definedName name="___________________________BTC22">NA()</definedName>
    <definedName name="___________________________BTC23" localSheetId="10">NA()</definedName>
    <definedName name="___________________________BTC23">NA()</definedName>
    <definedName name="___________________________BTC24" localSheetId="10">NA()</definedName>
    <definedName name="___________________________BTC24">NA()</definedName>
    <definedName name="___________________________BTC3">NA()</definedName>
    <definedName name="___________________________BTC4">NA()</definedName>
    <definedName name="___________________________BTC5">NA()</definedName>
    <definedName name="___________________________BTC6">NA()</definedName>
    <definedName name="___________________________BTC7">NA()</definedName>
    <definedName name="___________________________BTC8">NA()</definedName>
    <definedName name="___________________________BTC9">NA()</definedName>
    <definedName name="___________________________BTR1">NA()</definedName>
    <definedName name="___________________________BTR10">NA()</definedName>
    <definedName name="___________________________BTR11">NA()</definedName>
    <definedName name="___________________________BTR12">NA()</definedName>
    <definedName name="___________________________BTR13" localSheetId="10">NA()</definedName>
    <definedName name="___________________________BTR13">NA()</definedName>
    <definedName name="___________________________BTR14" localSheetId="10">NA()</definedName>
    <definedName name="___________________________BTR14">NA()</definedName>
    <definedName name="___________________________BTR15" localSheetId="10">NA()</definedName>
    <definedName name="___________________________BTR15">NA()</definedName>
    <definedName name="___________________________BTR16" localSheetId="10">NA()</definedName>
    <definedName name="___________________________BTR16">NA()</definedName>
    <definedName name="___________________________BTR17" localSheetId="10">NA()</definedName>
    <definedName name="___________________________BTR17">NA()</definedName>
    <definedName name="___________________________BTR18" localSheetId="10">NA()</definedName>
    <definedName name="___________________________BTR18">NA()</definedName>
    <definedName name="___________________________BTR19" localSheetId="10">NA()</definedName>
    <definedName name="___________________________BTR19">NA()</definedName>
    <definedName name="___________________________BTR2">NA()</definedName>
    <definedName name="___________________________BTR20" localSheetId="10">NA()</definedName>
    <definedName name="___________________________BTR20">NA()</definedName>
    <definedName name="___________________________BTR21" localSheetId="10">NA()</definedName>
    <definedName name="___________________________BTR21">NA()</definedName>
    <definedName name="___________________________BTR22" localSheetId="10">NA()</definedName>
    <definedName name="___________________________BTR22">NA()</definedName>
    <definedName name="___________________________BTR23" localSheetId="10">NA()</definedName>
    <definedName name="___________________________BTR23">NA()</definedName>
    <definedName name="___________________________BTR24" localSheetId="10">NA()</definedName>
    <definedName name="___________________________BTR24">NA()</definedName>
    <definedName name="___________________________BTR3">NA()</definedName>
    <definedName name="___________________________BTR4">NA()</definedName>
    <definedName name="___________________________BTR5">NA()</definedName>
    <definedName name="___________________________BTR6">NA()</definedName>
    <definedName name="___________________________BTR7">NA()</definedName>
    <definedName name="___________________________BTR8">NA()</definedName>
    <definedName name="___________________________BTR9">NA()</definedName>
    <definedName name="___________________________BTS1">NA()</definedName>
    <definedName name="___________________________BTS10">NA()</definedName>
    <definedName name="___________________________BTS11">NA()</definedName>
    <definedName name="___________________________BTS12">NA()</definedName>
    <definedName name="___________________________BTS13" localSheetId="10">NA()</definedName>
    <definedName name="___________________________BTS13">NA()</definedName>
    <definedName name="___________________________BTS14" localSheetId="10">NA()</definedName>
    <definedName name="___________________________BTS14">NA()</definedName>
    <definedName name="___________________________BTS15" localSheetId="10">NA()</definedName>
    <definedName name="___________________________BTS15">NA()</definedName>
    <definedName name="___________________________BTS16" localSheetId="10">NA()</definedName>
    <definedName name="___________________________BTS16">NA()</definedName>
    <definedName name="___________________________BTS17" localSheetId="10">NA()</definedName>
    <definedName name="___________________________BTS17">NA()</definedName>
    <definedName name="___________________________BTS18" localSheetId="10">NA()</definedName>
    <definedName name="___________________________BTS18">NA()</definedName>
    <definedName name="___________________________BTS19" localSheetId="10">NA()</definedName>
    <definedName name="___________________________BTS19">NA()</definedName>
    <definedName name="___________________________BTS2">NA()</definedName>
    <definedName name="___________________________BTS20" localSheetId="10">NA()</definedName>
    <definedName name="___________________________BTS20">NA()</definedName>
    <definedName name="___________________________BTS21" localSheetId="10">NA()</definedName>
    <definedName name="___________________________BTS21">NA()</definedName>
    <definedName name="___________________________BTS22" localSheetId="10">NA()</definedName>
    <definedName name="___________________________BTS22">NA()</definedName>
    <definedName name="___________________________BTS23" localSheetId="10">NA()</definedName>
    <definedName name="___________________________BTS23">NA()</definedName>
    <definedName name="___________________________BTS24" localSheetId="10">NA()</definedName>
    <definedName name="___________________________BTS24">NA()</definedName>
    <definedName name="___________________________BTS3">NA()</definedName>
    <definedName name="___________________________BTS4">NA()</definedName>
    <definedName name="___________________________BTS5">NA()</definedName>
    <definedName name="___________________________BTS6">NA()</definedName>
    <definedName name="___________________________BTS7">NA()</definedName>
    <definedName name="___________________________BTS8">NA()</definedName>
    <definedName name="___________________________BTS9">NA()</definedName>
    <definedName name="___________________________can430">40.73</definedName>
    <definedName name="___________________________can435">43.3</definedName>
    <definedName name="___________________________GBS11">NA()</definedName>
    <definedName name="___________________________GBS110">NA()</definedName>
    <definedName name="___________________________GBS111">NA()</definedName>
    <definedName name="___________________________GBS112">NA()</definedName>
    <definedName name="___________________________GBS113" localSheetId="10">NA()</definedName>
    <definedName name="___________________________GBS113">NA()</definedName>
    <definedName name="___________________________GBS114" localSheetId="10">NA()</definedName>
    <definedName name="___________________________GBS114">NA()</definedName>
    <definedName name="___________________________GBS115" localSheetId="10">NA()</definedName>
    <definedName name="___________________________GBS115">NA()</definedName>
    <definedName name="___________________________GBS116" localSheetId="10">NA()</definedName>
    <definedName name="___________________________GBS116">NA()</definedName>
    <definedName name="___________________________GBS117" localSheetId="10">NA()</definedName>
    <definedName name="___________________________GBS117">NA()</definedName>
    <definedName name="___________________________GBS118" localSheetId="10">NA()</definedName>
    <definedName name="___________________________GBS118">NA()</definedName>
    <definedName name="___________________________GBS119" localSheetId="10">NA()</definedName>
    <definedName name="___________________________GBS119">NA()</definedName>
    <definedName name="___________________________GBS12">NA()</definedName>
    <definedName name="___________________________GBS120" localSheetId="10">NA()</definedName>
    <definedName name="___________________________GBS120">NA()</definedName>
    <definedName name="___________________________GBS121" localSheetId="10">NA()</definedName>
    <definedName name="___________________________GBS121">NA()</definedName>
    <definedName name="___________________________GBS122" localSheetId="10">NA()</definedName>
    <definedName name="___________________________GBS122">NA()</definedName>
    <definedName name="___________________________GBS123" localSheetId="10">NA()</definedName>
    <definedName name="___________________________GBS123">NA()</definedName>
    <definedName name="___________________________GBS124" localSheetId="10">NA()</definedName>
    <definedName name="___________________________GBS124">NA()</definedName>
    <definedName name="___________________________GBS13">NA()</definedName>
    <definedName name="___________________________GBS14">NA()</definedName>
    <definedName name="___________________________GBS15">NA()</definedName>
    <definedName name="___________________________GBS16">NA()</definedName>
    <definedName name="___________________________GBS17">NA()</definedName>
    <definedName name="___________________________GBS18">NA()</definedName>
    <definedName name="___________________________GBS19">NA()</definedName>
    <definedName name="___________________________GBS21">NA()</definedName>
    <definedName name="___________________________GBS210">NA()</definedName>
    <definedName name="___________________________GBS211">NA()</definedName>
    <definedName name="___________________________GBS212">NA()</definedName>
    <definedName name="___________________________GBS213" localSheetId="10">NA()</definedName>
    <definedName name="___________________________GBS213">NA()</definedName>
    <definedName name="___________________________GBS214" localSheetId="10">NA()</definedName>
    <definedName name="___________________________GBS214">NA()</definedName>
    <definedName name="___________________________GBS215" localSheetId="10">NA()</definedName>
    <definedName name="___________________________GBS215">NA()</definedName>
    <definedName name="___________________________GBS216" localSheetId="10">NA()</definedName>
    <definedName name="___________________________GBS216">NA()</definedName>
    <definedName name="___________________________GBS217" localSheetId="10">NA()</definedName>
    <definedName name="___________________________GBS217">NA()</definedName>
    <definedName name="___________________________GBS218" localSheetId="10">NA()</definedName>
    <definedName name="___________________________GBS218">NA()</definedName>
    <definedName name="___________________________GBS219" localSheetId="10">NA()</definedName>
    <definedName name="___________________________GBS219">NA()</definedName>
    <definedName name="___________________________GBS22">NA()</definedName>
    <definedName name="___________________________GBS220" localSheetId="10">NA()</definedName>
    <definedName name="___________________________GBS220">NA()</definedName>
    <definedName name="___________________________GBS221" localSheetId="10">NA()</definedName>
    <definedName name="___________________________GBS221">NA()</definedName>
    <definedName name="___________________________GBS222" localSheetId="10">NA()</definedName>
    <definedName name="___________________________GBS222">NA()</definedName>
    <definedName name="___________________________GBS223" localSheetId="10">NA()</definedName>
    <definedName name="___________________________GBS223">NA()</definedName>
    <definedName name="___________________________GBS224" localSheetId="10">NA()</definedName>
    <definedName name="___________________________GBS224">NA()</definedName>
    <definedName name="___________________________GBS23">NA()</definedName>
    <definedName name="___________________________GBS24">NA()</definedName>
    <definedName name="___________________________GBS25">NA()</definedName>
    <definedName name="___________________________GBS26">NA()</definedName>
    <definedName name="___________________________GBS27">NA()</definedName>
    <definedName name="___________________________GBS28">NA()</definedName>
    <definedName name="___________________________GBS29">NA()</definedName>
    <definedName name="___________________________knr2" localSheetId="10">NA()</definedName>
    <definedName name="___________________________knr2">NA()</definedName>
    <definedName name="___________________________l12">NA()</definedName>
    <definedName name="___________________________l3">NA()</definedName>
    <definedName name="___________________________l5">NA()</definedName>
    <definedName name="___________________________lj600">NA()</definedName>
    <definedName name="___________________________lj900">NA()</definedName>
    <definedName name="___________________________LL3">NA()</definedName>
    <definedName name="___________________________MA1">NA()</definedName>
    <definedName name="___________________________MA2" localSheetId="10">NA()</definedName>
    <definedName name="___________________________MA2">NA()</definedName>
    <definedName name="___________________________Met22">NA()</definedName>
    <definedName name="___________________________Met45">NA()</definedName>
    <definedName name="___________________________MEt55">NA()</definedName>
    <definedName name="___________________________Met63">NA()</definedName>
    <definedName name="___________________________ML21">NA()</definedName>
    <definedName name="___________________________ML210">NA()</definedName>
    <definedName name="___________________________ML211">NA()</definedName>
    <definedName name="___________________________ML212">NA()</definedName>
    <definedName name="___________________________ML213" localSheetId="10">NA()</definedName>
    <definedName name="___________________________ML213">NA()</definedName>
    <definedName name="___________________________ML214" localSheetId="10">NA()</definedName>
    <definedName name="___________________________ML214">NA()</definedName>
    <definedName name="___________________________ML215" localSheetId="10">NA()</definedName>
    <definedName name="___________________________ML215">NA()</definedName>
    <definedName name="___________________________ML216" localSheetId="10">NA()</definedName>
    <definedName name="___________________________ML216">NA()</definedName>
    <definedName name="___________________________ML217" localSheetId="10">NA()</definedName>
    <definedName name="___________________________ML217">NA()</definedName>
    <definedName name="___________________________ML218" localSheetId="10">NA()</definedName>
    <definedName name="___________________________ML218">NA()</definedName>
    <definedName name="___________________________ML219" localSheetId="10">NA()</definedName>
    <definedName name="___________________________ML219">NA()</definedName>
    <definedName name="___________________________ML22">NA()</definedName>
    <definedName name="___________________________ML220" localSheetId="10">NA()</definedName>
    <definedName name="___________________________ML220">NA()</definedName>
    <definedName name="___________________________ML221" localSheetId="10">NA()</definedName>
    <definedName name="___________________________ML221">NA()</definedName>
    <definedName name="___________________________ML222" localSheetId="10">NA()</definedName>
    <definedName name="___________________________ML222">NA()</definedName>
    <definedName name="___________________________ML223" localSheetId="10">NA()</definedName>
    <definedName name="___________________________ML223">NA()</definedName>
    <definedName name="___________________________ML224" localSheetId="10">NA()</definedName>
    <definedName name="___________________________ML224">NA()</definedName>
    <definedName name="___________________________ML23">NA()</definedName>
    <definedName name="___________________________ML24">NA()</definedName>
    <definedName name="___________________________ML25">NA()</definedName>
    <definedName name="___________________________ML26">NA()</definedName>
    <definedName name="___________________________ML27">NA()</definedName>
    <definedName name="___________________________ML28">NA()</definedName>
    <definedName name="___________________________ML29">NA()</definedName>
    <definedName name="___________________________ML31">NA()</definedName>
    <definedName name="___________________________ML310">NA()</definedName>
    <definedName name="___________________________ML311">NA()</definedName>
    <definedName name="___________________________ML312">NA()</definedName>
    <definedName name="___________________________ML313" localSheetId="10">NA()</definedName>
    <definedName name="___________________________ML313">NA()</definedName>
    <definedName name="___________________________ML314" localSheetId="10">NA()</definedName>
    <definedName name="___________________________ML314">NA()</definedName>
    <definedName name="___________________________ML315" localSheetId="10">NA()</definedName>
    <definedName name="___________________________ML315">NA()</definedName>
    <definedName name="___________________________ML316" localSheetId="10">NA()</definedName>
    <definedName name="___________________________ML316">NA()</definedName>
    <definedName name="___________________________ML317" localSheetId="10">NA()</definedName>
    <definedName name="___________________________ML317">NA()</definedName>
    <definedName name="___________________________ML318" localSheetId="10">NA()</definedName>
    <definedName name="___________________________ML318">NA()</definedName>
    <definedName name="___________________________ML319" localSheetId="10">NA()</definedName>
    <definedName name="___________________________ML319">NA()</definedName>
    <definedName name="___________________________ML32">NA()</definedName>
    <definedName name="___________________________ML320" localSheetId="10">NA()</definedName>
    <definedName name="___________________________ML320">NA()</definedName>
    <definedName name="___________________________ML321" localSheetId="10">NA()</definedName>
    <definedName name="___________________________ML321">NA()</definedName>
    <definedName name="___________________________ML322" localSheetId="10">NA()</definedName>
    <definedName name="___________________________ML322">NA()</definedName>
    <definedName name="___________________________ML323" localSheetId="10">NA()</definedName>
    <definedName name="___________________________ML323">NA()</definedName>
    <definedName name="___________________________ML324" localSheetId="10">NA()</definedName>
    <definedName name="___________________________ML324">NA()</definedName>
    <definedName name="___________________________ML33">NA()</definedName>
    <definedName name="___________________________ML34">NA()</definedName>
    <definedName name="___________________________ML35">NA()</definedName>
    <definedName name="___________________________ML36">NA()</definedName>
    <definedName name="___________________________ML37">NA()</definedName>
    <definedName name="___________________________ML38">NA()</definedName>
    <definedName name="___________________________ML39">NA()</definedName>
    <definedName name="___________________________ML7">NA()</definedName>
    <definedName name="___________________________ML8">NA()</definedName>
    <definedName name="___________________________ML9">NA()</definedName>
    <definedName name="___________________________mm1000">NA()</definedName>
    <definedName name="___________________________mm600">NA()</definedName>
    <definedName name="___________________________mm800">NA()</definedName>
    <definedName name="___________________________PC1">NA()</definedName>
    <definedName name="___________________________PC10">NA()</definedName>
    <definedName name="___________________________PC11">NA()</definedName>
    <definedName name="___________________________PC12">NA()</definedName>
    <definedName name="___________________________PC13" localSheetId="10">NA()</definedName>
    <definedName name="___________________________PC13">NA()</definedName>
    <definedName name="___________________________PC14" localSheetId="10">NA()</definedName>
    <definedName name="___________________________PC14">NA()</definedName>
    <definedName name="___________________________PC15" localSheetId="10">NA()</definedName>
    <definedName name="___________________________PC15">NA()</definedName>
    <definedName name="___________________________PC16" localSheetId="10">NA()</definedName>
    <definedName name="___________________________PC16">NA()</definedName>
    <definedName name="___________________________PC17" localSheetId="10">NA()</definedName>
    <definedName name="___________________________PC17">NA()</definedName>
    <definedName name="___________________________PC18" localSheetId="10">NA()</definedName>
    <definedName name="___________________________PC18">NA()</definedName>
    <definedName name="___________________________PC19" localSheetId="10">NA()</definedName>
    <definedName name="___________________________PC19">NA()</definedName>
    <definedName name="___________________________pc2">NA()</definedName>
    <definedName name="___________________________PC20" localSheetId="10">NA()</definedName>
    <definedName name="___________________________PC20">NA()</definedName>
    <definedName name="___________________________PC21" localSheetId="10">NA()</definedName>
    <definedName name="___________________________PC21">NA()</definedName>
    <definedName name="___________________________PC22" localSheetId="10">NA()</definedName>
    <definedName name="___________________________PC22">NA()</definedName>
    <definedName name="___________________________PC23" localSheetId="10">NA()</definedName>
    <definedName name="___________________________PC23">NA()</definedName>
    <definedName name="___________________________PC24" localSheetId="10">NA()</definedName>
    <definedName name="___________________________PC24">NA()</definedName>
    <definedName name="___________________________PC3">NA()</definedName>
    <definedName name="___________________________PC4">NA()</definedName>
    <definedName name="___________________________PC5">NA()</definedName>
    <definedName name="___________________________PC6">NA()</definedName>
    <definedName name="___________________________pc600">NA()</definedName>
    <definedName name="___________________________PC7">NA()</definedName>
    <definedName name="___________________________PC8">NA()</definedName>
    <definedName name="___________________________PC9">NA()</definedName>
    <definedName name="___________________________pc900">NA()</definedName>
    <definedName name="___________________________pv2">NA()</definedName>
    <definedName name="___________________________var1">NA()</definedName>
    <definedName name="___________________________var4">NA()</definedName>
    <definedName name="___________________________vat1">NA()</definedName>
    <definedName name="__________________________BSG100">NA()</definedName>
    <definedName name="__________________________BSG150">NA()</definedName>
    <definedName name="__________________________BSG5">NA()</definedName>
    <definedName name="__________________________BSG75">NA()</definedName>
    <definedName name="__________________________BTC1">NA()</definedName>
    <definedName name="__________________________BTC10">NA()</definedName>
    <definedName name="__________________________BTC11">NA()</definedName>
    <definedName name="__________________________BTC12">NA()</definedName>
    <definedName name="__________________________BTC13">NA()</definedName>
    <definedName name="__________________________BTC14">NA()</definedName>
    <definedName name="__________________________BTC15">NA()</definedName>
    <definedName name="__________________________BTC16">NA()</definedName>
    <definedName name="__________________________BTC17">NA()</definedName>
    <definedName name="__________________________BTC18">NA()</definedName>
    <definedName name="__________________________BTC19">NA()</definedName>
    <definedName name="__________________________BTC2">NA()</definedName>
    <definedName name="__________________________BTC20">NA()</definedName>
    <definedName name="__________________________BTC21">NA()</definedName>
    <definedName name="__________________________BTC22">NA()</definedName>
    <definedName name="__________________________BTC23">NA()</definedName>
    <definedName name="__________________________BTC24">NA()</definedName>
    <definedName name="__________________________BTC3">NA()</definedName>
    <definedName name="__________________________BTC4">NA()</definedName>
    <definedName name="__________________________BTC5">NA()</definedName>
    <definedName name="__________________________BTC6">NA()</definedName>
    <definedName name="__________________________BTC7">NA()</definedName>
    <definedName name="__________________________BTC8">NA()</definedName>
    <definedName name="__________________________BTC9">NA()</definedName>
    <definedName name="__________________________BTR1">NA()</definedName>
    <definedName name="__________________________BTR10">NA()</definedName>
    <definedName name="__________________________BTR11">NA()</definedName>
    <definedName name="__________________________BTR12">NA()</definedName>
    <definedName name="__________________________BTR13">NA()</definedName>
    <definedName name="__________________________BTR14">NA()</definedName>
    <definedName name="__________________________BTR15">NA()</definedName>
    <definedName name="__________________________BTR16">NA()</definedName>
    <definedName name="__________________________BTR17">NA()</definedName>
    <definedName name="__________________________BTR18">NA()</definedName>
    <definedName name="__________________________BTR19">NA()</definedName>
    <definedName name="__________________________BTR2">NA()</definedName>
    <definedName name="__________________________BTR20">NA()</definedName>
    <definedName name="__________________________BTR21">NA()</definedName>
    <definedName name="__________________________BTR22">NA()</definedName>
    <definedName name="__________________________BTR23">NA()</definedName>
    <definedName name="__________________________BTR24">NA()</definedName>
    <definedName name="__________________________BTR3">NA()</definedName>
    <definedName name="__________________________BTR4">NA()</definedName>
    <definedName name="__________________________BTR5">NA()</definedName>
    <definedName name="__________________________BTR6">NA()</definedName>
    <definedName name="__________________________BTR7">NA()</definedName>
    <definedName name="__________________________BTR8">NA()</definedName>
    <definedName name="__________________________BTR9">NA()</definedName>
    <definedName name="__________________________BTS1">NA()</definedName>
    <definedName name="__________________________BTS10">NA()</definedName>
    <definedName name="__________________________BTS11">NA()</definedName>
    <definedName name="__________________________BTS12">NA()</definedName>
    <definedName name="__________________________BTS13">NA()</definedName>
    <definedName name="__________________________BTS14">NA()</definedName>
    <definedName name="__________________________BTS15">NA()</definedName>
    <definedName name="__________________________BTS16">NA()</definedName>
    <definedName name="__________________________BTS17">NA()</definedName>
    <definedName name="__________________________BTS18">NA()</definedName>
    <definedName name="__________________________BTS19">NA()</definedName>
    <definedName name="__________________________BTS2">NA()</definedName>
    <definedName name="__________________________BTS20">NA()</definedName>
    <definedName name="__________________________BTS21">NA()</definedName>
    <definedName name="__________________________BTS22">NA()</definedName>
    <definedName name="__________________________BTS23">NA()</definedName>
    <definedName name="__________________________BTS24">NA()</definedName>
    <definedName name="__________________________BTS3">NA()</definedName>
    <definedName name="__________________________BTS4">NA()</definedName>
    <definedName name="__________________________BTS5">NA()</definedName>
    <definedName name="__________________________BTS6">NA()</definedName>
    <definedName name="__________________________BTS7">NA()</definedName>
    <definedName name="__________________________BTS8">NA()</definedName>
    <definedName name="__________________________BTS9">NA()</definedName>
    <definedName name="__________________________can430">40.73</definedName>
    <definedName name="__________________________can435">43.3</definedName>
    <definedName name="__________________________GBS11">NA()</definedName>
    <definedName name="__________________________GBS110">NA()</definedName>
    <definedName name="__________________________GBS111">NA()</definedName>
    <definedName name="__________________________GBS112">NA()</definedName>
    <definedName name="__________________________GBS113">NA()</definedName>
    <definedName name="__________________________GBS114">NA()</definedName>
    <definedName name="__________________________GBS115">NA()</definedName>
    <definedName name="__________________________GBS116">NA()</definedName>
    <definedName name="__________________________GBS117">NA()</definedName>
    <definedName name="__________________________GBS118">NA()</definedName>
    <definedName name="__________________________GBS119">NA()</definedName>
    <definedName name="__________________________GBS12">NA()</definedName>
    <definedName name="__________________________GBS120">NA()</definedName>
    <definedName name="__________________________GBS121">NA()</definedName>
    <definedName name="__________________________GBS122">NA()</definedName>
    <definedName name="__________________________GBS123">NA()</definedName>
    <definedName name="__________________________GBS124">NA()</definedName>
    <definedName name="__________________________GBS13">NA()</definedName>
    <definedName name="__________________________GBS14">NA()</definedName>
    <definedName name="__________________________GBS15">NA()</definedName>
    <definedName name="__________________________GBS16">NA()</definedName>
    <definedName name="__________________________GBS17">NA()</definedName>
    <definedName name="__________________________GBS18">NA()</definedName>
    <definedName name="__________________________GBS19">NA()</definedName>
    <definedName name="__________________________GBS21">NA()</definedName>
    <definedName name="__________________________GBS210">NA()</definedName>
    <definedName name="__________________________GBS211">NA()</definedName>
    <definedName name="__________________________GBS212">NA()</definedName>
    <definedName name="__________________________GBS213">NA()</definedName>
    <definedName name="__________________________GBS214">NA()</definedName>
    <definedName name="__________________________GBS215">NA()</definedName>
    <definedName name="__________________________GBS216">NA()</definedName>
    <definedName name="__________________________GBS217">NA()</definedName>
    <definedName name="__________________________GBS218">NA()</definedName>
    <definedName name="__________________________GBS219">NA()</definedName>
    <definedName name="__________________________GBS22">NA()</definedName>
    <definedName name="__________________________GBS220">NA()</definedName>
    <definedName name="__________________________GBS221">NA()</definedName>
    <definedName name="__________________________GBS222">NA()</definedName>
    <definedName name="__________________________GBS223">NA()</definedName>
    <definedName name="__________________________GBS224">NA()</definedName>
    <definedName name="__________________________GBS23">NA()</definedName>
    <definedName name="__________________________GBS24">NA()</definedName>
    <definedName name="__________________________GBS25">NA()</definedName>
    <definedName name="__________________________GBS26">NA()</definedName>
    <definedName name="__________________________GBS27">NA()</definedName>
    <definedName name="__________________________GBS28">NA()</definedName>
    <definedName name="__________________________GBS29">NA()</definedName>
    <definedName name="__________________________knr2" localSheetId="10">NA()</definedName>
    <definedName name="__________________________knr2">NA()</definedName>
    <definedName name="__________________________l12" localSheetId="10">NA()</definedName>
    <definedName name="__________________________l12">NA()</definedName>
    <definedName name="__________________________l3" localSheetId="10">NA()</definedName>
    <definedName name="__________________________l3">NA()</definedName>
    <definedName name="__________________________l5" localSheetId="10">NA()</definedName>
    <definedName name="__________________________l5">NA()</definedName>
    <definedName name="__________________________lj600">NA()</definedName>
    <definedName name="__________________________lj900">NA()</definedName>
    <definedName name="__________________________LL3">NA()</definedName>
    <definedName name="__________________________MA1" localSheetId="10">NA()</definedName>
    <definedName name="__________________________MA1">NA()</definedName>
    <definedName name="__________________________MA2">NA()</definedName>
    <definedName name="__________________________Met22" localSheetId="10">NA()</definedName>
    <definedName name="__________________________Met22">NA()</definedName>
    <definedName name="__________________________Met45" localSheetId="10">NA()</definedName>
    <definedName name="__________________________Met45">NA()</definedName>
    <definedName name="__________________________MEt55" localSheetId="10">NA()</definedName>
    <definedName name="__________________________MEt55">NA()</definedName>
    <definedName name="__________________________Met63" localSheetId="10">NA()</definedName>
    <definedName name="__________________________Met63">NA()</definedName>
    <definedName name="__________________________ML21">NA()</definedName>
    <definedName name="__________________________ML210">NA()</definedName>
    <definedName name="__________________________ML211">NA()</definedName>
    <definedName name="__________________________ML212">NA()</definedName>
    <definedName name="__________________________ML213">NA()</definedName>
    <definedName name="__________________________ML214">NA()</definedName>
    <definedName name="__________________________ML215">NA()</definedName>
    <definedName name="__________________________ML216">NA()</definedName>
    <definedName name="__________________________ML217">NA()</definedName>
    <definedName name="__________________________ML218">NA()</definedName>
    <definedName name="__________________________ML219">NA()</definedName>
    <definedName name="__________________________ML22">NA()</definedName>
    <definedName name="__________________________ML220">NA()</definedName>
    <definedName name="__________________________ML221">NA()</definedName>
    <definedName name="__________________________ML222">NA()</definedName>
    <definedName name="__________________________ML223">NA()</definedName>
    <definedName name="__________________________ML224">NA()</definedName>
    <definedName name="__________________________ML23">NA()</definedName>
    <definedName name="__________________________ML24">NA()</definedName>
    <definedName name="__________________________ML25">NA()</definedName>
    <definedName name="__________________________ML26">NA()</definedName>
    <definedName name="__________________________ML27">NA()</definedName>
    <definedName name="__________________________ML28">NA()</definedName>
    <definedName name="__________________________ML29">NA()</definedName>
    <definedName name="__________________________ML31">NA()</definedName>
    <definedName name="__________________________ML310">NA()</definedName>
    <definedName name="__________________________ML311">NA()</definedName>
    <definedName name="__________________________ML312">NA()</definedName>
    <definedName name="__________________________ML313">NA()</definedName>
    <definedName name="__________________________ML314">NA()</definedName>
    <definedName name="__________________________ML315">NA()</definedName>
    <definedName name="__________________________ML316">NA()</definedName>
    <definedName name="__________________________ML317">NA()</definedName>
    <definedName name="__________________________ML318">NA()</definedName>
    <definedName name="__________________________ML319">NA()</definedName>
    <definedName name="__________________________ML32">NA()</definedName>
    <definedName name="__________________________ML320">NA()</definedName>
    <definedName name="__________________________ML321">NA()</definedName>
    <definedName name="__________________________ML322">NA()</definedName>
    <definedName name="__________________________ML323">NA()</definedName>
    <definedName name="__________________________ML324">NA()</definedName>
    <definedName name="__________________________ML33">NA()</definedName>
    <definedName name="__________________________ML34">NA()</definedName>
    <definedName name="__________________________ML35">NA()</definedName>
    <definedName name="__________________________ML36">NA()</definedName>
    <definedName name="__________________________ML37">NA()</definedName>
    <definedName name="__________________________ML38">NA()</definedName>
    <definedName name="__________________________ML39">NA()</definedName>
    <definedName name="__________________________ML7">NA()</definedName>
    <definedName name="__________________________ML8">NA()</definedName>
    <definedName name="__________________________ML9">NA()</definedName>
    <definedName name="__________________________mm1000" localSheetId="10">NA()</definedName>
    <definedName name="__________________________mm1000">NA()</definedName>
    <definedName name="__________________________mm600" localSheetId="10">NA()</definedName>
    <definedName name="__________________________mm600">NA()</definedName>
    <definedName name="__________________________mm800" localSheetId="10">NA()</definedName>
    <definedName name="__________________________mm800">NA()</definedName>
    <definedName name="__________________________PC1">NA()</definedName>
    <definedName name="__________________________PC10">NA()</definedName>
    <definedName name="__________________________PC11">NA()</definedName>
    <definedName name="__________________________PC12">NA()</definedName>
    <definedName name="__________________________PC13">NA()</definedName>
    <definedName name="__________________________PC14">NA()</definedName>
    <definedName name="__________________________PC15">NA()</definedName>
    <definedName name="__________________________PC16">NA()</definedName>
    <definedName name="__________________________PC17">NA()</definedName>
    <definedName name="__________________________PC18">NA()</definedName>
    <definedName name="__________________________PC19">NA()</definedName>
    <definedName name="__________________________pc2" localSheetId="10">NA()</definedName>
    <definedName name="__________________________pc2">NA()</definedName>
    <definedName name="__________________________PC20">NA()</definedName>
    <definedName name="__________________________PC21">NA()</definedName>
    <definedName name="__________________________PC22">NA()</definedName>
    <definedName name="__________________________PC23">NA()</definedName>
    <definedName name="__________________________PC24">NA()</definedName>
    <definedName name="__________________________PC3">NA()</definedName>
    <definedName name="__________________________PC4">NA()</definedName>
    <definedName name="__________________________PC5">NA()</definedName>
    <definedName name="__________________________PC6">NA()</definedName>
    <definedName name="__________________________pc600">NA()</definedName>
    <definedName name="__________________________PC7">NA()</definedName>
    <definedName name="__________________________PC8">NA()</definedName>
    <definedName name="__________________________PC9">NA()</definedName>
    <definedName name="__________________________pc900">NA()</definedName>
    <definedName name="__________________________pv2" localSheetId="10">NA()</definedName>
    <definedName name="__________________________pv2">NA()</definedName>
    <definedName name="__________________________var1" localSheetId="10">NA()</definedName>
    <definedName name="__________________________var1">NA()</definedName>
    <definedName name="__________________________var4">NA()</definedName>
    <definedName name="__________________________vat1">NA()</definedName>
    <definedName name="_________________________BSG100" localSheetId="10">NA()</definedName>
    <definedName name="_________________________BSG100">NA()</definedName>
    <definedName name="_________________________BSG150" localSheetId="10">NA()</definedName>
    <definedName name="_________________________BSG150">NA()</definedName>
    <definedName name="_________________________BSG5" localSheetId="10">NA()</definedName>
    <definedName name="_________________________BSG5">NA()</definedName>
    <definedName name="_________________________BSG75" localSheetId="10">NA()</definedName>
    <definedName name="_________________________BSG75">NA()</definedName>
    <definedName name="_________________________BTC1">NA()</definedName>
    <definedName name="_________________________BTC10">NA()</definedName>
    <definedName name="_________________________BTC11">NA()</definedName>
    <definedName name="_________________________BTC12">NA()</definedName>
    <definedName name="_________________________BTC13" localSheetId="10">NA()</definedName>
    <definedName name="_________________________BTC13">NA()</definedName>
    <definedName name="_________________________BTC14" localSheetId="10">NA()</definedName>
    <definedName name="_________________________BTC14">NA()</definedName>
    <definedName name="_________________________BTC15" localSheetId="10">NA()</definedName>
    <definedName name="_________________________BTC15">NA()</definedName>
    <definedName name="_________________________BTC16" localSheetId="10">NA()</definedName>
    <definedName name="_________________________BTC16">NA()</definedName>
    <definedName name="_________________________BTC17" localSheetId="10">NA()</definedName>
    <definedName name="_________________________BTC17">NA()</definedName>
    <definedName name="_________________________BTC18" localSheetId="10">NA()</definedName>
    <definedName name="_________________________BTC18">NA()</definedName>
    <definedName name="_________________________BTC19" localSheetId="10">NA()</definedName>
    <definedName name="_________________________BTC19">NA()</definedName>
    <definedName name="_________________________BTC2">NA()</definedName>
    <definedName name="_________________________BTC20" localSheetId="10">NA()</definedName>
    <definedName name="_________________________BTC20">NA()</definedName>
    <definedName name="_________________________BTC21" localSheetId="10">NA()</definedName>
    <definedName name="_________________________BTC21">NA()</definedName>
    <definedName name="_________________________BTC22" localSheetId="10">NA()</definedName>
    <definedName name="_________________________BTC22">NA()</definedName>
    <definedName name="_________________________BTC23" localSheetId="10">NA()</definedName>
    <definedName name="_________________________BTC23">NA()</definedName>
    <definedName name="_________________________BTC24" localSheetId="10">NA()</definedName>
    <definedName name="_________________________BTC24">NA()</definedName>
    <definedName name="_________________________BTC3">NA()</definedName>
    <definedName name="_________________________BTC4">NA()</definedName>
    <definedName name="_________________________BTC5">NA()</definedName>
    <definedName name="_________________________BTC6">NA()</definedName>
    <definedName name="_________________________BTC7">NA()</definedName>
    <definedName name="_________________________BTC8">NA()</definedName>
    <definedName name="_________________________BTC9">NA()</definedName>
    <definedName name="_________________________BTR1">NA()</definedName>
    <definedName name="_________________________BTR10">NA()</definedName>
    <definedName name="_________________________BTR11">NA()</definedName>
    <definedName name="_________________________BTR12">NA()</definedName>
    <definedName name="_________________________BTR13" localSheetId="10">NA()</definedName>
    <definedName name="_________________________BTR13">NA()</definedName>
    <definedName name="_________________________BTR14" localSheetId="10">NA()</definedName>
    <definedName name="_________________________BTR14">NA()</definedName>
    <definedName name="_________________________BTR15" localSheetId="10">NA()</definedName>
    <definedName name="_________________________BTR15">NA()</definedName>
    <definedName name="_________________________BTR16" localSheetId="10">NA()</definedName>
    <definedName name="_________________________BTR16">NA()</definedName>
    <definedName name="_________________________BTR17" localSheetId="10">NA()</definedName>
    <definedName name="_________________________BTR17">NA()</definedName>
    <definedName name="_________________________BTR18" localSheetId="10">NA()</definedName>
    <definedName name="_________________________BTR18">NA()</definedName>
    <definedName name="_________________________BTR19" localSheetId="10">NA()</definedName>
    <definedName name="_________________________BTR19">NA()</definedName>
    <definedName name="_________________________BTR2">NA()</definedName>
    <definedName name="_________________________BTR20" localSheetId="10">NA()</definedName>
    <definedName name="_________________________BTR20">NA()</definedName>
    <definedName name="_________________________BTR21" localSheetId="10">NA()</definedName>
    <definedName name="_________________________BTR21">NA()</definedName>
    <definedName name="_________________________BTR22" localSheetId="10">NA()</definedName>
    <definedName name="_________________________BTR22">NA()</definedName>
    <definedName name="_________________________BTR23" localSheetId="10">NA()</definedName>
    <definedName name="_________________________BTR23">NA()</definedName>
    <definedName name="_________________________BTR24" localSheetId="10">NA()</definedName>
    <definedName name="_________________________BTR24">NA()</definedName>
    <definedName name="_________________________BTR3">NA()</definedName>
    <definedName name="_________________________BTR4">NA()</definedName>
    <definedName name="_________________________BTR5">NA()</definedName>
    <definedName name="_________________________BTR6">NA()</definedName>
    <definedName name="_________________________BTR7">NA()</definedName>
    <definedName name="_________________________BTR8">NA()</definedName>
    <definedName name="_________________________BTR9">NA()</definedName>
    <definedName name="_________________________BTS1">NA()</definedName>
    <definedName name="_________________________BTS10">NA()</definedName>
    <definedName name="_________________________BTS11">NA()</definedName>
    <definedName name="_________________________BTS12">NA()</definedName>
    <definedName name="_________________________BTS13" localSheetId="10">NA()</definedName>
    <definedName name="_________________________BTS13">NA()</definedName>
    <definedName name="_________________________BTS14" localSheetId="10">NA()</definedName>
    <definedName name="_________________________BTS14">NA()</definedName>
    <definedName name="_________________________BTS15" localSheetId="10">NA()</definedName>
    <definedName name="_________________________BTS15">NA()</definedName>
    <definedName name="_________________________BTS16" localSheetId="10">NA()</definedName>
    <definedName name="_________________________BTS16">NA()</definedName>
    <definedName name="_________________________BTS17" localSheetId="10">NA()</definedName>
    <definedName name="_________________________BTS17">NA()</definedName>
    <definedName name="_________________________BTS18" localSheetId="10">NA()</definedName>
    <definedName name="_________________________BTS18">NA()</definedName>
    <definedName name="_________________________BTS19" localSheetId="10">NA()</definedName>
    <definedName name="_________________________BTS19">NA()</definedName>
    <definedName name="_________________________BTS2">NA()</definedName>
    <definedName name="_________________________BTS20" localSheetId="10">NA()</definedName>
    <definedName name="_________________________BTS20">NA()</definedName>
    <definedName name="_________________________BTS21" localSheetId="10">NA()</definedName>
    <definedName name="_________________________BTS21">NA()</definedName>
    <definedName name="_________________________BTS22" localSheetId="10">NA()</definedName>
    <definedName name="_________________________BTS22">NA()</definedName>
    <definedName name="_________________________BTS23" localSheetId="10">NA()</definedName>
    <definedName name="_________________________BTS23">NA()</definedName>
    <definedName name="_________________________BTS24" localSheetId="10">NA()</definedName>
    <definedName name="_________________________BTS24">NA()</definedName>
    <definedName name="_________________________BTS3">NA()</definedName>
    <definedName name="_________________________BTS4">NA()</definedName>
    <definedName name="_________________________BTS5">NA()</definedName>
    <definedName name="_________________________BTS6">NA()</definedName>
    <definedName name="_________________________BTS7">NA()</definedName>
    <definedName name="_________________________BTS8">NA()</definedName>
    <definedName name="_________________________BTS9">NA()</definedName>
    <definedName name="_________________________can430">40.73</definedName>
    <definedName name="_________________________can435">43.3</definedName>
    <definedName name="_________________________GBS11">NA()</definedName>
    <definedName name="_________________________GBS110">NA()</definedName>
    <definedName name="_________________________GBS111">NA()</definedName>
    <definedName name="_________________________GBS112">NA()</definedName>
    <definedName name="_________________________GBS113" localSheetId="10">NA()</definedName>
    <definedName name="_________________________GBS113">NA()</definedName>
    <definedName name="_________________________GBS114" localSheetId="10">NA()</definedName>
    <definedName name="_________________________GBS114">NA()</definedName>
    <definedName name="_________________________GBS115" localSheetId="10">NA()</definedName>
    <definedName name="_________________________GBS115">NA()</definedName>
    <definedName name="_________________________GBS116" localSheetId="10">NA()</definedName>
    <definedName name="_________________________GBS116">NA()</definedName>
    <definedName name="_________________________GBS117" localSheetId="10">NA()</definedName>
    <definedName name="_________________________GBS117">NA()</definedName>
    <definedName name="_________________________GBS118" localSheetId="10">NA()</definedName>
    <definedName name="_________________________GBS118">NA()</definedName>
    <definedName name="_________________________GBS119" localSheetId="10">NA()</definedName>
    <definedName name="_________________________GBS119">NA()</definedName>
    <definedName name="_________________________GBS12">NA()</definedName>
    <definedName name="_________________________GBS120" localSheetId="10">NA()</definedName>
    <definedName name="_________________________GBS120">NA()</definedName>
    <definedName name="_________________________GBS121" localSheetId="10">NA()</definedName>
    <definedName name="_________________________GBS121">NA()</definedName>
    <definedName name="_________________________GBS122" localSheetId="10">NA()</definedName>
    <definedName name="_________________________GBS122">NA()</definedName>
    <definedName name="_________________________GBS123" localSheetId="10">NA()</definedName>
    <definedName name="_________________________GBS123">NA()</definedName>
    <definedName name="_________________________GBS124" localSheetId="10">NA()</definedName>
    <definedName name="_________________________GBS124">NA()</definedName>
    <definedName name="_________________________GBS13">NA()</definedName>
    <definedName name="_________________________GBS14">NA()</definedName>
    <definedName name="_________________________GBS15">NA()</definedName>
    <definedName name="_________________________GBS16">NA()</definedName>
    <definedName name="_________________________GBS17">NA()</definedName>
    <definedName name="_________________________GBS18">NA()</definedName>
    <definedName name="_________________________GBS19">NA()</definedName>
    <definedName name="_________________________GBS21">NA()</definedName>
    <definedName name="_________________________GBS210">NA()</definedName>
    <definedName name="_________________________GBS211">NA()</definedName>
    <definedName name="_________________________GBS212">NA()</definedName>
    <definedName name="_________________________GBS213" localSheetId="10">NA()</definedName>
    <definedName name="_________________________GBS213">NA()</definedName>
    <definedName name="_________________________GBS214" localSheetId="10">NA()</definedName>
    <definedName name="_________________________GBS214">NA()</definedName>
    <definedName name="_________________________GBS215" localSheetId="10">NA()</definedName>
    <definedName name="_________________________GBS215">NA()</definedName>
    <definedName name="_________________________GBS216" localSheetId="10">NA()</definedName>
    <definedName name="_________________________GBS216">NA()</definedName>
    <definedName name="_________________________GBS217" localSheetId="10">NA()</definedName>
    <definedName name="_________________________GBS217">NA()</definedName>
    <definedName name="_________________________GBS218" localSheetId="10">NA()</definedName>
    <definedName name="_________________________GBS218">NA()</definedName>
    <definedName name="_________________________GBS219" localSheetId="10">NA()</definedName>
    <definedName name="_________________________GBS219">NA()</definedName>
    <definedName name="_________________________GBS22">NA()</definedName>
    <definedName name="_________________________GBS220" localSheetId="10">NA()</definedName>
    <definedName name="_________________________GBS220">NA()</definedName>
    <definedName name="_________________________GBS221" localSheetId="10">NA()</definedName>
    <definedName name="_________________________GBS221">NA()</definedName>
    <definedName name="_________________________GBS222" localSheetId="10">NA()</definedName>
    <definedName name="_________________________GBS222">NA()</definedName>
    <definedName name="_________________________GBS223" localSheetId="10">NA()</definedName>
    <definedName name="_________________________GBS223">NA()</definedName>
    <definedName name="_________________________GBS224" localSheetId="10">NA()</definedName>
    <definedName name="_________________________GBS224">NA()</definedName>
    <definedName name="_________________________GBS23">NA()</definedName>
    <definedName name="_________________________GBS24">NA()</definedName>
    <definedName name="_________________________GBS25">NA()</definedName>
    <definedName name="_________________________GBS26">NA()</definedName>
    <definedName name="_________________________GBS27">NA()</definedName>
    <definedName name="_________________________GBS28">NA()</definedName>
    <definedName name="_________________________GBS29">NA()</definedName>
    <definedName name="_________________________knr2" localSheetId="10">NA()</definedName>
    <definedName name="_________________________knr2">NA()</definedName>
    <definedName name="_________________________l12" localSheetId="10">NA()</definedName>
    <definedName name="_________________________l12">NA()</definedName>
    <definedName name="_________________________l3" localSheetId="10">NA()</definedName>
    <definedName name="_________________________l3">NA()</definedName>
    <definedName name="_________________________l5" localSheetId="10">NA()</definedName>
    <definedName name="_________________________l5">NA()</definedName>
    <definedName name="_________________________lj600">NA()</definedName>
    <definedName name="_________________________lj900">NA()</definedName>
    <definedName name="_________________________LL3">NA()</definedName>
    <definedName name="_________________________MA1">NA()</definedName>
    <definedName name="_________________________MA2" localSheetId="10">NA()</definedName>
    <definedName name="_________________________MA2">NA()</definedName>
    <definedName name="_________________________Met22" localSheetId="10">NA()</definedName>
    <definedName name="_________________________Met22">NA()</definedName>
    <definedName name="_________________________Met45" localSheetId="10">NA()</definedName>
    <definedName name="_________________________Met45">NA()</definedName>
    <definedName name="_________________________MEt55" localSheetId="10">NA()</definedName>
    <definedName name="_________________________MEt55">NA()</definedName>
    <definedName name="_________________________Met63" localSheetId="10">NA()</definedName>
    <definedName name="_________________________Met63">NA()</definedName>
    <definedName name="_________________________ML21">NA()</definedName>
    <definedName name="_________________________ML210">NA()</definedName>
    <definedName name="_________________________ML211">NA()</definedName>
    <definedName name="_________________________ML212">NA()</definedName>
    <definedName name="_________________________ML213" localSheetId="10">NA()</definedName>
    <definedName name="_________________________ML213">NA()</definedName>
    <definedName name="_________________________ML214" localSheetId="10">NA()</definedName>
    <definedName name="_________________________ML214">NA()</definedName>
    <definedName name="_________________________ML215" localSheetId="10">NA()</definedName>
    <definedName name="_________________________ML215">NA()</definedName>
    <definedName name="_________________________ML216" localSheetId="10">NA()</definedName>
    <definedName name="_________________________ML216">NA()</definedName>
    <definedName name="_________________________ML217" localSheetId="10">NA()</definedName>
    <definedName name="_________________________ML217">NA()</definedName>
    <definedName name="_________________________ML218" localSheetId="10">NA()</definedName>
    <definedName name="_________________________ML218">NA()</definedName>
    <definedName name="_________________________ML219" localSheetId="10">NA()</definedName>
    <definedName name="_________________________ML219">NA()</definedName>
    <definedName name="_________________________ML22">NA()</definedName>
    <definedName name="_________________________ML220" localSheetId="10">NA()</definedName>
    <definedName name="_________________________ML220">NA()</definedName>
    <definedName name="_________________________ML221" localSheetId="10">NA()</definedName>
    <definedName name="_________________________ML221">NA()</definedName>
    <definedName name="_________________________ML222" localSheetId="10">NA()</definedName>
    <definedName name="_________________________ML222">NA()</definedName>
    <definedName name="_________________________ML223" localSheetId="10">NA()</definedName>
    <definedName name="_________________________ML223">NA()</definedName>
    <definedName name="_________________________ML224" localSheetId="10">NA()</definedName>
    <definedName name="_________________________ML224">NA()</definedName>
    <definedName name="_________________________ML23">NA()</definedName>
    <definedName name="_________________________ML24">NA()</definedName>
    <definedName name="_________________________ML25">NA()</definedName>
    <definedName name="_________________________ML26">NA()</definedName>
    <definedName name="_________________________ML27">NA()</definedName>
    <definedName name="_________________________ML28">NA()</definedName>
    <definedName name="_________________________ML29">NA()</definedName>
    <definedName name="_________________________ML31">NA()</definedName>
    <definedName name="_________________________ML310">NA()</definedName>
    <definedName name="_________________________ML311">NA()</definedName>
    <definedName name="_________________________ML312">NA()</definedName>
    <definedName name="_________________________ML313" localSheetId="10">NA()</definedName>
    <definedName name="_________________________ML313">NA()</definedName>
    <definedName name="_________________________ML314" localSheetId="10">NA()</definedName>
    <definedName name="_________________________ML314">NA()</definedName>
    <definedName name="_________________________ML315" localSheetId="10">NA()</definedName>
    <definedName name="_________________________ML315">NA()</definedName>
    <definedName name="_________________________ML316" localSheetId="10">NA()</definedName>
    <definedName name="_________________________ML316">NA()</definedName>
    <definedName name="_________________________ML317" localSheetId="10">NA()</definedName>
    <definedName name="_________________________ML317">NA()</definedName>
    <definedName name="_________________________ML318" localSheetId="10">NA()</definedName>
    <definedName name="_________________________ML318">NA()</definedName>
    <definedName name="_________________________ML319" localSheetId="10">NA()</definedName>
    <definedName name="_________________________ML319">NA()</definedName>
    <definedName name="_________________________ML32">NA()</definedName>
    <definedName name="_________________________ML320" localSheetId="10">NA()</definedName>
    <definedName name="_________________________ML320">NA()</definedName>
    <definedName name="_________________________ML321" localSheetId="10">NA()</definedName>
    <definedName name="_________________________ML321">NA()</definedName>
    <definedName name="_________________________ML322" localSheetId="10">NA()</definedName>
    <definedName name="_________________________ML322">NA()</definedName>
    <definedName name="_________________________ML323" localSheetId="10">NA()</definedName>
    <definedName name="_________________________ML323">NA()</definedName>
    <definedName name="_________________________ML324" localSheetId="10">NA()</definedName>
    <definedName name="_________________________ML324">NA()</definedName>
    <definedName name="_________________________ML33">NA()</definedName>
    <definedName name="_________________________ML34">NA()</definedName>
    <definedName name="_________________________ML35">NA()</definedName>
    <definedName name="_________________________ML36">NA()</definedName>
    <definedName name="_________________________ML37">NA()</definedName>
    <definedName name="_________________________ML38">NA()</definedName>
    <definedName name="_________________________ML39">NA()</definedName>
    <definedName name="_________________________ML7">NA()</definedName>
    <definedName name="_________________________ML8">NA()</definedName>
    <definedName name="_________________________ML9">NA()</definedName>
    <definedName name="_________________________mm1000" localSheetId="10">NA()</definedName>
    <definedName name="_________________________mm1000">NA()</definedName>
    <definedName name="_________________________mm600" localSheetId="10">NA()</definedName>
    <definedName name="_________________________mm600">NA()</definedName>
    <definedName name="_________________________mm800" localSheetId="10">NA()</definedName>
    <definedName name="_________________________mm800">NA()</definedName>
    <definedName name="_________________________PC1">NA()</definedName>
    <definedName name="_________________________PC10">NA()</definedName>
    <definedName name="_________________________PC11">NA()</definedName>
    <definedName name="_________________________PC12">NA()</definedName>
    <definedName name="_________________________PC13" localSheetId="10">NA()</definedName>
    <definedName name="_________________________PC13">NA()</definedName>
    <definedName name="_________________________PC14" localSheetId="10">NA()</definedName>
    <definedName name="_________________________PC14">NA()</definedName>
    <definedName name="_________________________PC15" localSheetId="10">NA()</definedName>
    <definedName name="_________________________PC15">NA()</definedName>
    <definedName name="_________________________PC16" localSheetId="10">NA()</definedName>
    <definedName name="_________________________PC16">NA()</definedName>
    <definedName name="_________________________PC17" localSheetId="10">NA()</definedName>
    <definedName name="_________________________PC17">NA()</definedName>
    <definedName name="_________________________PC18" localSheetId="10">NA()</definedName>
    <definedName name="_________________________PC18">NA()</definedName>
    <definedName name="_________________________PC19" localSheetId="10">NA()</definedName>
    <definedName name="_________________________PC19">NA()</definedName>
    <definedName name="_________________________pc2" localSheetId="10">NA()</definedName>
    <definedName name="_________________________pc2">NA()</definedName>
    <definedName name="_________________________PC20" localSheetId="10">NA()</definedName>
    <definedName name="_________________________PC20">NA()</definedName>
    <definedName name="_________________________PC21" localSheetId="10">NA()</definedName>
    <definedName name="_________________________PC21">NA()</definedName>
    <definedName name="_________________________PC22" localSheetId="10">NA()</definedName>
    <definedName name="_________________________PC22">NA()</definedName>
    <definedName name="_________________________PC23" localSheetId="10">NA()</definedName>
    <definedName name="_________________________PC23">NA()</definedName>
    <definedName name="_________________________PC24" localSheetId="10">NA()</definedName>
    <definedName name="_________________________PC24">NA()</definedName>
    <definedName name="_________________________PC3">NA()</definedName>
    <definedName name="_________________________PC4">NA()</definedName>
    <definedName name="_________________________PC5">NA()</definedName>
    <definedName name="_________________________PC6">NA()</definedName>
    <definedName name="_________________________pc600">NA()</definedName>
    <definedName name="_________________________PC7">NA()</definedName>
    <definedName name="_________________________PC8">NA()</definedName>
    <definedName name="_________________________PC9">NA()</definedName>
    <definedName name="_________________________pc900">NA()</definedName>
    <definedName name="_________________________pv2" localSheetId="10">NA()</definedName>
    <definedName name="_________________________pv2">NA()</definedName>
    <definedName name="_________________________var1" localSheetId="10">NA()</definedName>
    <definedName name="_________________________var1">NA()</definedName>
    <definedName name="_________________________var4" localSheetId="10">NA()</definedName>
    <definedName name="_________________________var4">NA()</definedName>
    <definedName name="_________________________vat1">NA()</definedName>
    <definedName name="________________________BSG100">NA()</definedName>
    <definedName name="________________________BSG150">NA()</definedName>
    <definedName name="________________________BSG5">NA()</definedName>
    <definedName name="________________________BSG75">NA()</definedName>
    <definedName name="________________________BTC1" localSheetId="10">NA()</definedName>
    <definedName name="________________________BTC1">NA()</definedName>
    <definedName name="________________________BTC10" localSheetId="10">NA()</definedName>
    <definedName name="________________________BTC10">NA()</definedName>
    <definedName name="________________________BTC11" localSheetId="10">NA()</definedName>
    <definedName name="________________________BTC11">NA()</definedName>
    <definedName name="________________________BTC12" localSheetId="10">NA()</definedName>
    <definedName name="________________________BTC12">NA()</definedName>
    <definedName name="________________________BTC13">NA()</definedName>
    <definedName name="________________________BTC14">NA()</definedName>
    <definedName name="________________________BTC15">NA()</definedName>
    <definedName name="________________________BTC16">NA()</definedName>
    <definedName name="________________________BTC17">NA()</definedName>
    <definedName name="________________________BTC18">NA()</definedName>
    <definedName name="________________________BTC19">NA()</definedName>
    <definedName name="________________________BTC2" localSheetId="10">NA()</definedName>
    <definedName name="________________________BTC2">NA()</definedName>
    <definedName name="________________________BTC20">NA()</definedName>
    <definedName name="________________________BTC21">NA()</definedName>
    <definedName name="________________________BTC22">NA()</definedName>
    <definedName name="________________________BTC23">NA()</definedName>
    <definedName name="________________________BTC24">NA()</definedName>
    <definedName name="________________________BTC3" localSheetId="10">NA()</definedName>
    <definedName name="________________________BTC3">NA()</definedName>
    <definedName name="________________________BTC4" localSheetId="10">NA()</definedName>
    <definedName name="________________________BTC4">NA()</definedName>
    <definedName name="________________________BTC5" localSheetId="10">NA()</definedName>
    <definedName name="________________________BTC5">NA()</definedName>
    <definedName name="________________________BTC6" localSheetId="10">NA()</definedName>
    <definedName name="________________________BTC6">NA()</definedName>
    <definedName name="________________________BTC7" localSheetId="10">NA()</definedName>
    <definedName name="________________________BTC7">NA()</definedName>
    <definedName name="________________________BTC8" localSheetId="10">NA()</definedName>
    <definedName name="________________________BTC8">NA()</definedName>
    <definedName name="________________________BTC9" localSheetId="10">NA()</definedName>
    <definedName name="________________________BTC9">NA()</definedName>
    <definedName name="________________________BTR1" localSheetId="10">NA()</definedName>
    <definedName name="________________________BTR1">NA()</definedName>
    <definedName name="________________________BTR10" localSheetId="10">NA()</definedName>
    <definedName name="________________________BTR10">NA()</definedName>
    <definedName name="________________________BTR11" localSheetId="10">NA()</definedName>
    <definedName name="________________________BTR11">NA()</definedName>
    <definedName name="________________________BTR12" localSheetId="10">NA()</definedName>
    <definedName name="________________________BTR12">NA()</definedName>
    <definedName name="________________________BTR13">NA()</definedName>
    <definedName name="________________________BTR14">NA()</definedName>
    <definedName name="________________________BTR15">NA()</definedName>
    <definedName name="________________________BTR16">NA()</definedName>
    <definedName name="________________________BTR17">NA()</definedName>
    <definedName name="________________________BTR18">NA()</definedName>
    <definedName name="________________________BTR19">NA()</definedName>
    <definedName name="________________________BTR2" localSheetId="10">NA()</definedName>
    <definedName name="________________________BTR2">NA()</definedName>
    <definedName name="________________________BTR20">NA()</definedName>
    <definedName name="________________________BTR21">NA()</definedName>
    <definedName name="________________________BTR22">NA()</definedName>
    <definedName name="________________________BTR23">NA()</definedName>
    <definedName name="________________________BTR24">NA()</definedName>
    <definedName name="________________________BTR3" localSheetId="10">NA()</definedName>
    <definedName name="________________________BTR3">NA()</definedName>
    <definedName name="________________________BTR4" localSheetId="10">NA()</definedName>
    <definedName name="________________________BTR4">NA()</definedName>
    <definedName name="________________________BTR5" localSheetId="10">NA()</definedName>
    <definedName name="________________________BTR5">NA()</definedName>
    <definedName name="________________________BTR6" localSheetId="10">NA()</definedName>
    <definedName name="________________________BTR6">NA()</definedName>
    <definedName name="________________________BTR7" localSheetId="10">NA()</definedName>
    <definedName name="________________________BTR7">NA()</definedName>
    <definedName name="________________________BTR8" localSheetId="10">NA()</definedName>
    <definedName name="________________________BTR8">NA()</definedName>
    <definedName name="________________________BTR9" localSheetId="10">NA()</definedName>
    <definedName name="________________________BTR9">NA()</definedName>
    <definedName name="________________________BTS1" localSheetId="10">NA()</definedName>
    <definedName name="________________________BTS1">NA()</definedName>
    <definedName name="________________________BTS10" localSheetId="10">NA()</definedName>
    <definedName name="________________________BTS10">NA()</definedName>
    <definedName name="________________________BTS11" localSheetId="10">NA()</definedName>
    <definedName name="________________________BTS11">NA()</definedName>
    <definedName name="________________________BTS12" localSheetId="10">NA()</definedName>
    <definedName name="________________________BTS12">NA()</definedName>
    <definedName name="________________________BTS13">NA()</definedName>
    <definedName name="________________________BTS14">NA()</definedName>
    <definedName name="________________________BTS15">NA()</definedName>
    <definedName name="________________________BTS16">NA()</definedName>
    <definedName name="________________________BTS17">NA()</definedName>
    <definedName name="________________________BTS18">NA()</definedName>
    <definedName name="________________________BTS19">NA()</definedName>
    <definedName name="________________________BTS2" localSheetId="10">NA()</definedName>
    <definedName name="________________________BTS2">NA()</definedName>
    <definedName name="________________________BTS20">NA()</definedName>
    <definedName name="________________________BTS21">NA()</definedName>
    <definedName name="________________________BTS22">NA()</definedName>
    <definedName name="________________________BTS23">NA()</definedName>
    <definedName name="________________________BTS24">NA()</definedName>
    <definedName name="________________________BTS3" localSheetId="10">NA()</definedName>
    <definedName name="________________________BTS3">NA()</definedName>
    <definedName name="________________________BTS4" localSheetId="10">NA()</definedName>
    <definedName name="________________________BTS4">NA()</definedName>
    <definedName name="________________________BTS5" localSheetId="10">NA()</definedName>
    <definedName name="________________________BTS5">NA()</definedName>
    <definedName name="________________________BTS6" localSheetId="10">NA()</definedName>
    <definedName name="________________________BTS6">NA()</definedName>
    <definedName name="________________________BTS7" localSheetId="10">NA()</definedName>
    <definedName name="________________________BTS7">NA()</definedName>
    <definedName name="________________________BTS8" localSheetId="10">NA()</definedName>
    <definedName name="________________________BTS8">NA()</definedName>
    <definedName name="________________________BTS9" localSheetId="10">NA()</definedName>
    <definedName name="________________________BTS9">NA()</definedName>
    <definedName name="________________________can430">40.73</definedName>
    <definedName name="________________________can435">43.3</definedName>
    <definedName name="________________________GBS11" localSheetId="10">NA()</definedName>
    <definedName name="________________________GBS11">NA()</definedName>
    <definedName name="________________________GBS110" localSheetId="10">NA()</definedName>
    <definedName name="________________________GBS110">NA()</definedName>
    <definedName name="________________________GBS111" localSheetId="10">NA()</definedName>
    <definedName name="________________________GBS111">NA()</definedName>
    <definedName name="________________________GBS112" localSheetId="10">NA()</definedName>
    <definedName name="________________________GBS112">NA()</definedName>
    <definedName name="________________________GBS113">NA()</definedName>
    <definedName name="________________________GBS114">NA()</definedName>
    <definedName name="________________________GBS115">NA()</definedName>
    <definedName name="________________________GBS116">NA()</definedName>
    <definedName name="________________________GBS117">NA()</definedName>
    <definedName name="________________________GBS118">NA()</definedName>
    <definedName name="________________________GBS119">NA()</definedName>
    <definedName name="________________________GBS12" localSheetId="10">NA()</definedName>
    <definedName name="________________________GBS12">NA()</definedName>
    <definedName name="________________________GBS120">NA()</definedName>
    <definedName name="________________________GBS121">NA()</definedName>
    <definedName name="________________________GBS122">NA()</definedName>
    <definedName name="________________________GBS123">NA()</definedName>
    <definedName name="________________________GBS124">NA()</definedName>
    <definedName name="________________________GBS13" localSheetId="10">NA()</definedName>
    <definedName name="________________________GBS13">NA()</definedName>
    <definedName name="________________________GBS14" localSheetId="10">NA()</definedName>
    <definedName name="________________________GBS14">NA()</definedName>
    <definedName name="________________________GBS15" localSheetId="10">NA()</definedName>
    <definedName name="________________________GBS15">NA()</definedName>
    <definedName name="________________________GBS16" localSheetId="10">NA()</definedName>
    <definedName name="________________________GBS16">NA()</definedName>
    <definedName name="________________________GBS17" localSheetId="10">NA()</definedName>
    <definedName name="________________________GBS17">NA()</definedName>
    <definedName name="________________________GBS18" localSheetId="10">NA()</definedName>
    <definedName name="________________________GBS18">NA()</definedName>
    <definedName name="________________________GBS19" localSheetId="10">NA()</definedName>
    <definedName name="________________________GBS19">NA()</definedName>
    <definedName name="________________________GBS21" localSheetId="10">NA()</definedName>
    <definedName name="________________________GBS21">NA()</definedName>
    <definedName name="________________________GBS210" localSheetId="10">NA()</definedName>
    <definedName name="________________________GBS210">NA()</definedName>
    <definedName name="________________________GBS211" localSheetId="10">NA()</definedName>
    <definedName name="________________________GBS211">NA()</definedName>
    <definedName name="________________________GBS212" localSheetId="10">NA()</definedName>
    <definedName name="________________________GBS212">NA()</definedName>
    <definedName name="________________________GBS213">NA()</definedName>
    <definedName name="________________________GBS214">NA()</definedName>
    <definedName name="________________________GBS215">NA()</definedName>
    <definedName name="________________________GBS216">NA()</definedName>
    <definedName name="________________________GBS217">NA()</definedName>
    <definedName name="________________________GBS218">NA()</definedName>
    <definedName name="________________________GBS219">NA()</definedName>
    <definedName name="________________________GBS22" localSheetId="10">NA()</definedName>
    <definedName name="________________________GBS22">NA()</definedName>
    <definedName name="________________________GBS220">NA()</definedName>
    <definedName name="________________________GBS221">NA()</definedName>
    <definedName name="________________________GBS222">NA()</definedName>
    <definedName name="________________________GBS223">NA()</definedName>
    <definedName name="________________________GBS224">NA()</definedName>
    <definedName name="________________________GBS23" localSheetId="10">NA()</definedName>
    <definedName name="________________________GBS23">NA()</definedName>
    <definedName name="________________________GBS24" localSheetId="10">NA()</definedName>
    <definedName name="________________________GBS24">NA()</definedName>
    <definedName name="________________________GBS25" localSheetId="10">NA()</definedName>
    <definedName name="________________________GBS25">NA()</definedName>
    <definedName name="________________________GBS26" localSheetId="10">NA()</definedName>
    <definedName name="________________________GBS26">NA()</definedName>
    <definedName name="________________________GBS27" localSheetId="10">NA()</definedName>
    <definedName name="________________________GBS27">NA()</definedName>
    <definedName name="________________________GBS28" localSheetId="10">NA()</definedName>
    <definedName name="________________________GBS28">NA()</definedName>
    <definedName name="________________________GBS29" localSheetId="10">NA()</definedName>
    <definedName name="________________________GBS29">NA()</definedName>
    <definedName name="________________________knr2">NA()</definedName>
    <definedName name="________________________l12" localSheetId="10">NA()</definedName>
    <definedName name="________________________l12">NA()</definedName>
    <definedName name="________________________l3" localSheetId="10">NA()</definedName>
    <definedName name="________________________l3">NA()</definedName>
    <definedName name="________________________l5" localSheetId="10">NA()</definedName>
    <definedName name="________________________l5">NA()</definedName>
    <definedName name="________________________lj600" localSheetId="10">NA()</definedName>
    <definedName name="________________________lj600">NA()</definedName>
    <definedName name="________________________lj900" localSheetId="10">NA()</definedName>
    <definedName name="________________________lj900">NA()</definedName>
    <definedName name="________________________LL3" localSheetId="10">NA()</definedName>
    <definedName name="________________________LL3">NA()</definedName>
    <definedName name="________________________MA1" localSheetId="10">NA()</definedName>
    <definedName name="________________________MA1">NA()</definedName>
    <definedName name="________________________MA2" localSheetId="10">NA()</definedName>
    <definedName name="________________________MA2">NA()</definedName>
    <definedName name="________________________Met22" localSheetId="10">NA()</definedName>
    <definedName name="________________________Met22">NA()</definedName>
    <definedName name="________________________Met45" localSheetId="10">NA()</definedName>
    <definedName name="________________________Met45">NA()</definedName>
    <definedName name="________________________MEt55" localSheetId="10">NA()</definedName>
    <definedName name="________________________MEt55">NA()</definedName>
    <definedName name="________________________Met63" localSheetId="10">NA()</definedName>
    <definedName name="________________________Met63">NA()</definedName>
    <definedName name="________________________ML21" localSheetId="10">NA()</definedName>
    <definedName name="________________________ML21">NA()</definedName>
    <definedName name="________________________ML210" localSheetId="10">NA()</definedName>
    <definedName name="________________________ML210">NA()</definedName>
    <definedName name="________________________ML211" localSheetId="10">NA()</definedName>
    <definedName name="________________________ML211">NA()</definedName>
    <definedName name="________________________ML212" localSheetId="10">NA()</definedName>
    <definedName name="________________________ML212">NA()</definedName>
    <definedName name="________________________ML213">NA()</definedName>
    <definedName name="________________________ML214">NA()</definedName>
    <definedName name="________________________ML215">NA()</definedName>
    <definedName name="________________________ML216">NA()</definedName>
    <definedName name="________________________ML217">NA()</definedName>
    <definedName name="________________________ML218">NA()</definedName>
    <definedName name="________________________ML219">NA()</definedName>
    <definedName name="________________________ML22" localSheetId="10">NA()</definedName>
    <definedName name="________________________ML22">NA()</definedName>
    <definedName name="________________________ML220">NA()</definedName>
    <definedName name="________________________ML221">NA()</definedName>
    <definedName name="________________________ML222">NA()</definedName>
    <definedName name="________________________ML223">NA()</definedName>
    <definedName name="________________________ML224">NA()</definedName>
    <definedName name="________________________ML23" localSheetId="10">NA()</definedName>
    <definedName name="________________________ML23">NA()</definedName>
    <definedName name="________________________ML24" localSheetId="10">NA()</definedName>
    <definedName name="________________________ML24">NA()</definedName>
    <definedName name="________________________ML25" localSheetId="10">NA()</definedName>
    <definedName name="________________________ML25">NA()</definedName>
    <definedName name="________________________ML26" localSheetId="10">NA()</definedName>
    <definedName name="________________________ML26">NA()</definedName>
    <definedName name="________________________ML27" localSheetId="10">NA()</definedName>
    <definedName name="________________________ML27">NA()</definedName>
    <definedName name="________________________ML28" localSheetId="10">NA()</definedName>
    <definedName name="________________________ML28">NA()</definedName>
    <definedName name="________________________ML29" localSheetId="10">NA()</definedName>
    <definedName name="________________________ML29">NA()</definedName>
    <definedName name="________________________ML31" localSheetId="10">NA()</definedName>
    <definedName name="________________________ML31">NA()</definedName>
    <definedName name="________________________ML310" localSheetId="10">NA()</definedName>
    <definedName name="________________________ML310">NA()</definedName>
    <definedName name="________________________ML311" localSheetId="10">NA()</definedName>
    <definedName name="________________________ML311">NA()</definedName>
    <definedName name="________________________ML312" localSheetId="10">NA()</definedName>
    <definedName name="________________________ML312">NA()</definedName>
    <definedName name="________________________ML313">NA()</definedName>
    <definedName name="________________________ML314">NA()</definedName>
    <definedName name="________________________ML315">NA()</definedName>
    <definedName name="________________________ML316">NA()</definedName>
    <definedName name="________________________ML317">NA()</definedName>
    <definedName name="________________________ML318">NA()</definedName>
    <definedName name="________________________ML319">NA()</definedName>
    <definedName name="________________________ML32" localSheetId="10">NA()</definedName>
    <definedName name="________________________ML32">NA()</definedName>
    <definedName name="________________________ML320">NA()</definedName>
    <definedName name="________________________ML321">NA()</definedName>
    <definedName name="________________________ML322">NA()</definedName>
    <definedName name="________________________ML323">NA()</definedName>
    <definedName name="________________________ML324">NA()</definedName>
    <definedName name="________________________ML33" localSheetId="10">NA()</definedName>
    <definedName name="________________________ML33">NA()</definedName>
    <definedName name="________________________ML34" localSheetId="10">NA()</definedName>
    <definedName name="________________________ML34">NA()</definedName>
    <definedName name="________________________ML35" localSheetId="10">NA()</definedName>
    <definedName name="________________________ML35">NA()</definedName>
    <definedName name="________________________ML36" localSheetId="10">NA()</definedName>
    <definedName name="________________________ML36">NA()</definedName>
    <definedName name="________________________ML37" localSheetId="10">NA()</definedName>
    <definedName name="________________________ML37">NA()</definedName>
    <definedName name="________________________ML38" localSheetId="10">NA()</definedName>
    <definedName name="________________________ML38">NA()</definedName>
    <definedName name="________________________ML39" localSheetId="10">NA()</definedName>
    <definedName name="________________________ML39">NA()</definedName>
    <definedName name="________________________ML7" localSheetId="10">NA()</definedName>
    <definedName name="________________________ML7">NA()</definedName>
    <definedName name="________________________ML8" localSheetId="10">NA()</definedName>
    <definedName name="________________________ML8">NA()</definedName>
    <definedName name="________________________ML9" localSheetId="10">NA()</definedName>
    <definedName name="________________________ML9">NA()</definedName>
    <definedName name="________________________mm1000" localSheetId="10">NA()</definedName>
    <definedName name="________________________mm1000">NA()</definedName>
    <definedName name="________________________mm600" localSheetId="10">NA()</definedName>
    <definedName name="________________________mm600">NA()</definedName>
    <definedName name="________________________mm800" localSheetId="10">NA()</definedName>
    <definedName name="________________________mm800">NA()</definedName>
    <definedName name="________________________PC1" localSheetId="10">NA()</definedName>
    <definedName name="________________________PC1">NA()</definedName>
    <definedName name="________________________PC10" localSheetId="10">NA()</definedName>
    <definedName name="________________________PC10">NA()</definedName>
    <definedName name="________________________PC11" localSheetId="10">NA()</definedName>
    <definedName name="________________________PC11">NA()</definedName>
    <definedName name="________________________PC12" localSheetId="10">NA()</definedName>
    <definedName name="________________________PC12">NA()</definedName>
    <definedName name="________________________PC13">NA()</definedName>
    <definedName name="________________________PC14">NA()</definedName>
    <definedName name="________________________PC15">NA()</definedName>
    <definedName name="________________________PC16">NA()</definedName>
    <definedName name="________________________PC17">NA()</definedName>
    <definedName name="________________________PC18">NA()</definedName>
    <definedName name="________________________PC19">NA()</definedName>
    <definedName name="________________________pc2" localSheetId="10">NA()</definedName>
    <definedName name="________________________pc2">NA()</definedName>
    <definedName name="________________________PC20">NA()</definedName>
    <definedName name="________________________PC21">NA()</definedName>
    <definedName name="________________________PC22">NA()</definedName>
    <definedName name="________________________PC23">NA()</definedName>
    <definedName name="________________________PC24">NA()</definedName>
    <definedName name="________________________PC3" localSheetId="10">NA()</definedName>
    <definedName name="________________________PC3">NA()</definedName>
    <definedName name="________________________PC4" localSheetId="10">NA()</definedName>
    <definedName name="________________________PC4">NA()</definedName>
    <definedName name="________________________PC5" localSheetId="10">NA()</definedName>
    <definedName name="________________________PC5">NA()</definedName>
    <definedName name="________________________PC6" localSheetId="10">NA()</definedName>
    <definedName name="________________________PC6">NA()</definedName>
    <definedName name="________________________pc600" localSheetId="10">NA()</definedName>
    <definedName name="________________________pc600">NA()</definedName>
    <definedName name="________________________PC7" localSheetId="10">NA()</definedName>
    <definedName name="________________________PC7">NA()</definedName>
    <definedName name="________________________PC8" localSheetId="10">NA()</definedName>
    <definedName name="________________________PC8">NA()</definedName>
    <definedName name="________________________PC9" localSheetId="10">NA()</definedName>
    <definedName name="________________________PC9">NA()</definedName>
    <definedName name="________________________pc900" localSheetId="10">NA()</definedName>
    <definedName name="________________________pc900">NA()</definedName>
    <definedName name="________________________pv2" localSheetId="10">NA()</definedName>
    <definedName name="________________________pv2">NA()</definedName>
    <definedName name="________________________var1" localSheetId="10">NA()</definedName>
    <definedName name="________________________var1">NA()</definedName>
    <definedName name="________________________var4" localSheetId="10">NA()</definedName>
    <definedName name="________________________var4">NA()</definedName>
    <definedName name="________________________vat1" localSheetId="10">NA()</definedName>
    <definedName name="________________________vat1">NA()</definedName>
    <definedName name="_______________________BSG100" localSheetId="10">NA()</definedName>
    <definedName name="_______________________BSG100">NA()</definedName>
    <definedName name="_______________________BSG150" localSheetId="10">NA()</definedName>
    <definedName name="_______________________BSG150">NA()</definedName>
    <definedName name="_______________________BSG5" localSheetId="10">NA()</definedName>
    <definedName name="_______________________BSG5">NA()</definedName>
    <definedName name="_______________________BSG75" localSheetId="10">NA()</definedName>
    <definedName name="_______________________BSG75">NA()</definedName>
    <definedName name="_______________________BTC1">NA()</definedName>
    <definedName name="_______________________BTC10">NA()</definedName>
    <definedName name="_______________________BTC11">NA()</definedName>
    <definedName name="_______________________BTC12">NA()</definedName>
    <definedName name="_______________________BTC13" localSheetId="10">NA()</definedName>
    <definedName name="_______________________BTC13">NA()</definedName>
    <definedName name="_______________________BTC14" localSheetId="10">NA()</definedName>
    <definedName name="_______________________BTC14">NA()</definedName>
    <definedName name="_______________________BTC15" localSheetId="10">NA()</definedName>
    <definedName name="_______________________BTC15">NA()</definedName>
    <definedName name="_______________________BTC16" localSheetId="10">NA()</definedName>
    <definedName name="_______________________BTC16">NA()</definedName>
    <definedName name="_______________________BTC17" localSheetId="10">NA()</definedName>
    <definedName name="_______________________BTC17">NA()</definedName>
    <definedName name="_______________________BTC18" localSheetId="10">NA()</definedName>
    <definedName name="_______________________BTC18">NA()</definedName>
    <definedName name="_______________________BTC19" localSheetId="10">NA()</definedName>
    <definedName name="_______________________BTC19">NA()</definedName>
    <definedName name="_______________________BTC2">NA()</definedName>
    <definedName name="_______________________BTC20" localSheetId="10">NA()</definedName>
    <definedName name="_______________________BTC20">NA()</definedName>
    <definedName name="_______________________BTC21" localSheetId="10">NA()</definedName>
    <definedName name="_______________________BTC21">NA()</definedName>
    <definedName name="_______________________BTC22" localSheetId="10">NA()</definedName>
    <definedName name="_______________________BTC22">NA()</definedName>
    <definedName name="_______________________BTC23" localSheetId="10">NA()</definedName>
    <definedName name="_______________________BTC23">NA()</definedName>
    <definedName name="_______________________BTC24" localSheetId="10">NA()</definedName>
    <definedName name="_______________________BTC24">NA()</definedName>
    <definedName name="_______________________BTC3">NA()</definedName>
    <definedName name="_______________________BTC4">NA()</definedName>
    <definedName name="_______________________BTC5">NA()</definedName>
    <definedName name="_______________________BTC6">NA()</definedName>
    <definedName name="_______________________BTC7">NA()</definedName>
    <definedName name="_______________________BTC8">NA()</definedName>
    <definedName name="_______________________BTC9">NA()</definedName>
    <definedName name="_______________________BTR1">NA()</definedName>
    <definedName name="_______________________BTR10">NA()</definedName>
    <definedName name="_______________________BTR11">NA()</definedName>
    <definedName name="_______________________BTR12">NA()</definedName>
    <definedName name="_______________________BTR13" localSheetId="10">NA()</definedName>
    <definedName name="_______________________BTR13">NA()</definedName>
    <definedName name="_______________________BTR14" localSheetId="10">NA()</definedName>
    <definedName name="_______________________BTR14">NA()</definedName>
    <definedName name="_______________________BTR15" localSheetId="10">NA()</definedName>
    <definedName name="_______________________BTR15">NA()</definedName>
    <definedName name="_______________________BTR16" localSheetId="10">NA()</definedName>
    <definedName name="_______________________BTR16">NA()</definedName>
    <definedName name="_______________________BTR17" localSheetId="10">NA()</definedName>
    <definedName name="_______________________BTR17">NA()</definedName>
    <definedName name="_______________________BTR18" localSheetId="10">NA()</definedName>
    <definedName name="_______________________BTR18">NA()</definedName>
    <definedName name="_______________________BTR19" localSheetId="10">NA()</definedName>
    <definedName name="_______________________BTR19">NA()</definedName>
    <definedName name="_______________________BTR2">NA()</definedName>
    <definedName name="_______________________BTR20" localSheetId="10">NA()</definedName>
    <definedName name="_______________________BTR20">NA()</definedName>
    <definedName name="_______________________BTR21" localSheetId="10">NA()</definedName>
    <definedName name="_______________________BTR21">NA()</definedName>
    <definedName name="_______________________BTR22" localSheetId="10">NA()</definedName>
    <definedName name="_______________________BTR22">NA()</definedName>
    <definedName name="_______________________BTR23" localSheetId="10">NA()</definedName>
    <definedName name="_______________________BTR23">NA()</definedName>
    <definedName name="_______________________BTR24" localSheetId="10">NA()</definedName>
    <definedName name="_______________________BTR24">NA()</definedName>
    <definedName name="_______________________BTR3">NA()</definedName>
    <definedName name="_______________________BTR4">NA()</definedName>
    <definedName name="_______________________BTR5">NA()</definedName>
    <definedName name="_______________________BTR6">NA()</definedName>
    <definedName name="_______________________BTR7">NA()</definedName>
    <definedName name="_______________________BTR8">NA()</definedName>
    <definedName name="_______________________BTR9">NA()</definedName>
    <definedName name="_______________________BTS1">NA()</definedName>
    <definedName name="_______________________BTS10">NA()</definedName>
    <definedName name="_______________________BTS11">NA()</definedName>
    <definedName name="_______________________BTS12">NA()</definedName>
    <definedName name="_______________________BTS13" localSheetId="10">NA()</definedName>
    <definedName name="_______________________BTS13">NA()</definedName>
    <definedName name="_______________________BTS14" localSheetId="10">NA()</definedName>
    <definedName name="_______________________BTS14">NA()</definedName>
    <definedName name="_______________________BTS15" localSheetId="10">NA()</definedName>
    <definedName name="_______________________BTS15">NA()</definedName>
    <definedName name="_______________________BTS16" localSheetId="10">NA()</definedName>
    <definedName name="_______________________BTS16">NA()</definedName>
    <definedName name="_______________________BTS17" localSheetId="10">NA()</definedName>
    <definedName name="_______________________BTS17">NA()</definedName>
    <definedName name="_______________________BTS18" localSheetId="10">NA()</definedName>
    <definedName name="_______________________BTS18">NA()</definedName>
    <definedName name="_______________________BTS19" localSheetId="10">NA()</definedName>
    <definedName name="_______________________BTS19">NA()</definedName>
    <definedName name="_______________________BTS2">NA()</definedName>
    <definedName name="_______________________BTS20" localSheetId="10">NA()</definedName>
    <definedName name="_______________________BTS20">NA()</definedName>
    <definedName name="_______________________BTS21" localSheetId="10">NA()</definedName>
    <definedName name="_______________________BTS21">NA()</definedName>
    <definedName name="_______________________BTS22" localSheetId="10">NA()</definedName>
    <definedName name="_______________________BTS22">NA()</definedName>
    <definedName name="_______________________BTS23" localSheetId="10">NA()</definedName>
    <definedName name="_______________________BTS23">NA()</definedName>
    <definedName name="_______________________BTS24" localSheetId="10">NA()</definedName>
    <definedName name="_______________________BTS24">NA()</definedName>
    <definedName name="_______________________BTS3">NA()</definedName>
    <definedName name="_______________________BTS4">NA()</definedName>
    <definedName name="_______________________BTS5">NA()</definedName>
    <definedName name="_______________________BTS6">NA()</definedName>
    <definedName name="_______________________BTS7">NA()</definedName>
    <definedName name="_______________________BTS8">NA()</definedName>
    <definedName name="_______________________BTS9">NA()</definedName>
    <definedName name="_______________________can430">40.73</definedName>
    <definedName name="_______________________can435">43.3</definedName>
    <definedName name="_______________________GBS11">NA()</definedName>
    <definedName name="_______________________GBS110">NA()</definedName>
    <definedName name="_______________________GBS111">NA()</definedName>
    <definedName name="_______________________GBS112">NA()</definedName>
    <definedName name="_______________________GBS113" localSheetId="10">NA()</definedName>
    <definedName name="_______________________GBS113">NA()</definedName>
    <definedName name="_______________________GBS114" localSheetId="10">NA()</definedName>
    <definedName name="_______________________GBS114">NA()</definedName>
    <definedName name="_______________________GBS115" localSheetId="10">NA()</definedName>
    <definedName name="_______________________GBS115">NA()</definedName>
    <definedName name="_______________________GBS116" localSheetId="10">NA()</definedName>
    <definedName name="_______________________GBS116">NA()</definedName>
    <definedName name="_______________________GBS117" localSheetId="10">NA()</definedName>
    <definedName name="_______________________GBS117">NA()</definedName>
    <definedName name="_______________________GBS118" localSheetId="10">NA()</definedName>
    <definedName name="_______________________GBS118">NA()</definedName>
    <definedName name="_______________________GBS119" localSheetId="10">NA()</definedName>
    <definedName name="_______________________GBS119">NA()</definedName>
    <definedName name="_______________________GBS12">NA()</definedName>
    <definedName name="_______________________GBS120" localSheetId="10">NA()</definedName>
    <definedName name="_______________________GBS120">NA()</definedName>
    <definedName name="_______________________GBS121" localSheetId="10">NA()</definedName>
    <definedName name="_______________________GBS121">NA()</definedName>
    <definedName name="_______________________GBS122" localSheetId="10">NA()</definedName>
    <definedName name="_______________________GBS122">NA()</definedName>
    <definedName name="_______________________GBS123" localSheetId="10">NA()</definedName>
    <definedName name="_______________________GBS123">NA()</definedName>
    <definedName name="_______________________GBS124" localSheetId="10">NA()</definedName>
    <definedName name="_______________________GBS124">NA()</definedName>
    <definedName name="_______________________GBS13">NA()</definedName>
    <definedName name="_______________________GBS14">NA()</definedName>
    <definedName name="_______________________GBS15">NA()</definedName>
    <definedName name="_______________________GBS16">NA()</definedName>
    <definedName name="_______________________GBS17">NA()</definedName>
    <definedName name="_______________________GBS18">NA()</definedName>
    <definedName name="_______________________GBS19">NA()</definedName>
    <definedName name="_______________________GBS21">NA()</definedName>
    <definedName name="_______________________GBS210">NA()</definedName>
    <definedName name="_______________________GBS211">NA()</definedName>
    <definedName name="_______________________GBS212">NA()</definedName>
    <definedName name="_______________________GBS213" localSheetId="10">NA()</definedName>
    <definedName name="_______________________GBS213">NA()</definedName>
    <definedName name="_______________________GBS214" localSheetId="10">NA()</definedName>
    <definedName name="_______________________GBS214">NA()</definedName>
    <definedName name="_______________________GBS215" localSheetId="10">NA()</definedName>
    <definedName name="_______________________GBS215">NA()</definedName>
    <definedName name="_______________________GBS216" localSheetId="10">NA()</definedName>
    <definedName name="_______________________GBS216">NA()</definedName>
    <definedName name="_______________________GBS217" localSheetId="10">NA()</definedName>
    <definedName name="_______________________GBS217">NA()</definedName>
    <definedName name="_______________________GBS218" localSheetId="10">NA()</definedName>
    <definedName name="_______________________GBS218">NA()</definedName>
    <definedName name="_______________________GBS219" localSheetId="10">NA()</definedName>
    <definedName name="_______________________GBS219">NA()</definedName>
    <definedName name="_______________________GBS22">NA()</definedName>
    <definedName name="_______________________GBS220" localSheetId="10">NA()</definedName>
    <definedName name="_______________________GBS220">NA()</definedName>
    <definedName name="_______________________GBS221" localSheetId="10">NA()</definedName>
    <definedName name="_______________________GBS221">NA()</definedName>
    <definedName name="_______________________GBS222" localSheetId="10">NA()</definedName>
    <definedName name="_______________________GBS222">NA()</definedName>
    <definedName name="_______________________GBS223" localSheetId="10">NA()</definedName>
    <definedName name="_______________________GBS223">NA()</definedName>
    <definedName name="_______________________GBS224" localSheetId="10">NA()</definedName>
    <definedName name="_______________________GBS224">NA()</definedName>
    <definedName name="_______________________GBS23">NA()</definedName>
    <definedName name="_______________________GBS24">NA()</definedName>
    <definedName name="_______________________GBS25">NA()</definedName>
    <definedName name="_______________________GBS26">NA()</definedName>
    <definedName name="_______________________GBS27">NA()</definedName>
    <definedName name="_______________________GBS28">NA()</definedName>
    <definedName name="_______________________GBS29">NA()</definedName>
    <definedName name="_______________________knr2">NA()</definedName>
    <definedName name="_______________________l12" localSheetId="10">NA()</definedName>
    <definedName name="_______________________l12">NA()</definedName>
    <definedName name="_______________________l3" localSheetId="10">NA()</definedName>
    <definedName name="_______________________l3">NA()</definedName>
    <definedName name="_______________________l5" localSheetId="10">NA()</definedName>
    <definedName name="_______________________l5">NA()</definedName>
    <definedName name="_______________________lj600">NA()</definedName>
    <definedName name="_______________________lj900">NA()</definedName>
    <definedName name="_______________________LL3">NA()</definedName>
    <definedName name="_______________________LSO24" localSheetId="10">NA()</definedName>
    <definedName name="_______________________LSO24">"[14]lead!#ref!"</definedName>
    <definedName name="_______________________MA1" localSheetId="10">NA()</definedName>
    <definedName name="_______________________MA1">NA()</definedName>
    <definedName name="_______________________MA2" localSheetId="10">NA()</definedName>
    <definedName name="_______________________MA2">NA()</definedName>
    <definedName name="_______________________Met22" localSheetId="10">NA()</definedName>
    <definedName name="_______________________Met22">NA()</definedName>
    <definedName name="_______________________Met45" localSheetId="10">NA()</definedName>
    <definedName name="_______________________Met45">NA()</definedName>
    <definedName name="_______________________MEt55" localSheetId="10">NA()</definedName>
    <definedName name="_______________________MEt55">NA()</definedName>
    <definedName name="_______________________Met63" localSheetId="10">NA()</definedName>
    <definedName name="_______________________Met63">NA()</definedName>
    <definedName name="_______________________ML21">NA()</definedName>
    <definedName name="_______________________ML210">NA()</definedName>
    <definedName name="_______________________ML211">NA()</definedName>
    <definedName name="_______________________ML212">NA()</definedName>
    <definedName name="_______________________ML213" localSheetId="10">NA()</definedName>
    <definedName name="_______________________ML213">NA()</definedName>
    <definedName name="_______________________ML214" localSheetId="10">NA()</definedName>
    <definedName name="_______________________ML214">NA()</definedName>
    <definedName name="_______________________ML215" localSheetId="10">NA()</definedName>
    <definedName name="_______________________ML215">NA()</definedName>
    <definedName name="_______________________ML216" localSheetId="10">NA()</definedName>
    <definedName name="_______________________ML216">NA()</definedName>
    <definedName name="_______________________ML217" localSheetId="10">NA()</definedName>
    <definedName name="_______________________ML217">NA()</definedName>
    <definedName name="_______________________ML218" localSheetId="10">NA()</definedName>
    <definedName name="_______________________ML218">NA()</definedName>
    <definedName name="_______________________ML219" localSheetId="10">NA()</definedName>
    <definedName name="_______________________ML219">NA()</definedName>
    <definedName name="_______________________ML22">NA()</definedName>
    <definedName name="_______________________ML220" localSheetId="10">NA()</definedName>
    <definedName name="_______________________ML220">NA()</definedName>
    <definedName name="_______________________ML221" localSheetId="10">NA()</definedName>
    <definedName name="_______________________ML221">NA()</definedName>
    <definedName name="_______________________ML222" localSheetId="10">NA()</definedName>
    <definedName name="_______________________ML222">NA()</definedName>
    <definedName name="_______________________ML223" localSheetId="10">NA()</definedName>
    <definedName name="_______________________ML223">NA()</definedName>
    <definedName name="_______________________ML224" localSheetId="10">NA()</definedName>
    <definedName name="_______________________ML224">NA()</definedName>
    <definedName name="_______________________ML23">NA()</definedName>
    <definedName name="_______________________ML24">NA()</definedName>
    <definedName name="_______________________ML25">NA()</definedName>
    <definedName name="_______________________ML26">NA()</definedName>
    <definedName name="_______________________ML27">NA()</definedName>
    <definedName name="_______________________ML28">NA()</definedName>
    <definedName name="_______________________ML29">NA()</definedName>
    <definedName name="_______________________ML31">NA()</definedName>
    <definedName name="_______________________ML310">NA()</definedName>
    <definedName name="_______________________ML311">NA()</definedName>
    <definedName name="_______________________ML312">NA()</definedName>
    <definedName name="_______________________ML313" localSheetId="10">NA()</definedName>
    <definedName name="_______________________ML313">NA()</definedName>
    <definedName name="_______________________ML314" localSheetId="10">NA()</definedName>
    <definedName name="_______________________ML314">NA()</definedName>
    <definedName name="_______________________ML315" localSheetId="10">NA()</definedName>
    <definedName name="_______________________ML315">NA()</definedName>
    <definedName name="_______________________ML316" localSheetId="10">NA()</definedName>
    <definedName name="_______________________ML316">NA()</definedName>
    <definedName name="_______________________ML317" localSheetId="10">NA()</definedName>
    <definedName name="_______________________ML317">NA()</definedName>
    <definedName name="_______________________ML318" localSheetId="10">NA()</definedName>
    <definedName name="_______________________ML318">NA()</definedName>
    <definedName name="_______________________ML319" localSheetId="10">NA()</definedName>
    <definedName name="_______________________ML319">NA()</definedName>
    <definedName name="_______________________ML32">NA()</definedName>
    <definedName name="_______________________ML320" localSheetId="10">NA()</definedName>
    <definedName name="_______________________ML320">NA()</definedName>
    <definedName name="_______________________ML321" localSheetId="10">NA()</definedName>
    <definedName name="_______________________ML321">NA()</definedName>
    <definedName name="_______________________ML322" localSheetId="10">NA()</definedName>
    <definedName name="_______________________ML322">NA()</definedName>
    <definedName name="_______________________ML323" localSheetId="10">NA()</definedName>
    <definedName name="_______________________ML323">NA()</definedName>
    <definedName name="_______________________ML324" localSheetId="10">NA()</definedName>
    <definedName name="_______________________ML324">NA()</definedName>
    <definedName name="_______________________ML33">NA()</definedName>
    <definedName name="_______________________ML34">NA()</definedName>
    <definedName name="_______________________ML35">NA()</definedName>
    <definedName name="_______________________ML36">NA()</definedName>
    <definedName name="_______________________ML37">NA()</definedName>
    <definedName name="_______________________ML38">NA()</definedName>
    <definedName name="_______________________ML39">NA()</definedName>
    <definedName name="_______________________ML7">NA()</definedName>
    <definedName name="_______________________ML8">NA()</definedName>
    <definedName name="_______________________ML9">NA()</definedName>
    <definedName name="_______________________mm1000" localSheetId="10">NA()</definedName>
    <definedName name="_______________________mm1000">NA()</definedName>
    <definedName name="_______________________mm600" localSheetId="10">NA()</definedName>
    <definedName name="_______________________mm600">NA()</definedName>
    <definedName name="_______________________mm800" localSheetId="10">NA()</definedName>
    <definedName name="_______________________mm800">NA()</definedName>
    <definedName name="_______________________PC1">NA()</definedName>
    <definedName name="_______________________PC10">NA()</definedName>
    <definedName name="_______________________PC11">NA()</definedName>
    <definedName name="_______________________PC12">NA()</definedName>
    <definedName name="_______________________PC13" localSheetId="10">NA()</definedName>
    <definedName name="_______________________PC13">NA()</definedName>
    <definedName name="_______________________PC14" localSheetId="10">NA()</definedName>
    <definedName name="_______________________PC14">NA()</definedName>
    <definedName name="_______________________PC15" localSheetId="10">NA()</definedName>
    <definedName name="_______________________PC15">NA()</definedName>
    <definedName name="_______________________PC16" localSheetId="10">NA()</definedName>
    <definedName name="_______________________PC16">NA()</definedName>
    <definedName name="_______________________PC17" localSheetId="10">NA()</definedName>
    <definedName name="_______________________PC17">NA()</definedName>
    <definedName name="_______________________PC18" localSheetId="10">NA()</definedName>
    <definedName name="_______________________PC18">NA()</definedName>
    <definedName name="_______________________PC19" localSheetId="10">NA()</definedName>
    <definedName name="_______________________PC19">NA()</definedName>
    <definedName name="_______________________pc2" localSheetId="10">NA()</definedName>
    <definedName name="_______________________pc2">NA()</definedName>
    <definedName name="_______________________PC20" localSheetId="10">NA()</definedName>
    <definedName name="_______________________PC20">NA()</definedName>
    <definedName name="_______________________PC21" localSheetId="10">NA()</definedName>
    <definedName name="_______________________PC21">NA()</definedName>
    <definedName name="_______________________PC22" localSheetId="10">NA()</definedName>
    <definedName name="_______________________PC22">NA()</definedName>
    <definedName name="_______________________PC23" localSheetId="10">NA()</definedName>
    <definedName name="_______________________PC23">NA()</definedName>
    <definedName name="_______________________PC24" localSheetId="10">NA()</definedName>
    <definedName name="_______________________PC24">NA()</definedName>
    <definedName name="_______________________PC3">NA()</definedName>
    <definedName name="_______________________PC4">NA()</definedName>
    <definedName name="_______________________PC5">NA()</definedName>
    <definedName name="_______________________PC6">NA()</definedName>
    <definedName name="_______________________pc600">NA()</definedName>
    <definedName name="_______________________PC7">NA()</definedName>
    <definedName name="_______________________PC8">NA()</definedName>
    <definedName name="_______________________PC9">NA()</definedName>
    <definedName name="_______________________pc900">NA()</definedName>
    <definedName name="_______________________pv2" localSheetId="10">NA()</definedName>
    <definedName name="_______________________pv2">NA()</definedName>
    <definedName name="_______________________var1" localSheetId="10">NA()</definedName>
    <definedName name="_______________________var1">NA()</definedName>
    <definedName name="_______________________var4" localSheetId="10">NA()</definedName>
    <definedName name="_______________________var4">NA()</definedName>
    <definedName name="_______________________vat1">NA()</definedName>
    <definedName name="______________________BSG100" localSheetId="10">NA()</definedName>
    <definedName name="______________________BSG100">NA()</definedName>
    <definedName name="______________________BSG150" localSheetId="10">NA()</definedName>
    <definedName name="______________________BSG150">NA()</definedName>
    <definedName name="______________________BSG5" localSheetId="10">NA()</definedName>
    <definedName name="______________________BSG5">NA()</definedName>
    <definedName name="______________________BSG75" localSheetId="10">NA()</definedName>
    <definedName name="______________________BSG75">NA()</definedName>
    <definedName name="______________________BTC1" localSheetId="10">NA()</definedName>
    <definedName name="______________________BTC1">NA()</definedName>
    <definedName name="______________________BTC10" localSheetId="10">NA()</definedName>
    <definedName name="______________________BTC10">NA()</definedName>
    <definedName name="______________________BTC11" localSheetId="10">NA()</definedName>
    <definedName name="______________________BTC11">NA()</definedName>
    <definedName name="______________________BTC12" localSheetId="10">NA()</definedName>
    <definedName name="______________________BTC12">NA()</definedName>
    <definedName name="______________________BTC13" localSheetId="10">NA()</definedName>
    <definedName name="______________________BTC13">NA()</definedName>
    <definedName name="______________________BTC14" localSheetId="10">NA()</definedName>
    <definedName name="______________________BTC14">NA()</definedName>
    <definedName name="______________________BTC15" localSheetId="10">NA()</definedName>
    <definedName name="______________________BTC15">NA()</definedName>
    <definedName name="______________________BTC16" localSheetId="10">NA()</definedName>
    <definedName name="______________________BTC16">NA()</definedName>
    <definedName name="______________________BTC17" localSheetId="10">NA()</definedName>
    <definedName name="______________________BTC17">NA()</definedName>
    <definedName name="______________________BTC18" localSheetId="10">NA()</definedName>
    <definedName name="______________________BTC18">NA()</definedName>
    <definedName name="______________________BTC19" localSheetId="10">NA()</definedName>
    <definedName name="______________________BTC19">NA()</definedName>
    <definedName name="______________________BTC2" localSheetId="10">NA()</definedName>
    <definedName name="______________________BTC2">NA()</definedName>
    <definedName name="______________________BTC20" localSheetId="10">NA()</definedName>
    <definedName name="______________________BTC20">NA()</definedName>
    <definedName name="______________________BTC21" localSheetId="10">NA()</definedName>
    <definedName name="______________________BTC21">NA()</definedName>
    <definedName name="______________________BTC22" localSheetId="10">NA()</definedName>
    <definedName name="______________________BTC22">NA()</definedName>
    <definedName name="______________________BTC23" localSheetId="10">NA()</definedName>
    <definedName name="______________________BTC23">NA()</definedName>
    <definedName name="______________________BTC24" localSheetId="10">NA()</definedName>
    <definedName name="______________________BTC24">NA()</definedName>
    <definedName name="______________________BTC3" localSheetId="10">NA()</definedName>
    <definedName name="______________________BTC3">NA()</definedName>
    <definedName name="______________________BTC4" localSheetId="10">NA()</definedName>
    <definedName name="______________________BTC4">NA()</definedName>
    <definedName name="______________________BTC5" localSheetId="10">NA()</definedName>
    <definedName name="______________________BTC5">NA()</definedName>
    <definedName name="______________________BTC6" localSheetId="10">NA()</definedName>
    <definedName name="______________________BTC6">NA()</definedName>
    <definedName name="______________________BTC7" localSheetId="10">NA()</definedName>
    <definedName name="______________________BTC7">NA()</definedName>
    <definedName name="______________________BTC8" localSheetId="10">NA()</definedName>
    <definedName name="______________________BTC8">NA()</definedName>
    <definedName name="______________________BTC9" localSheetId="10">NA()</definedName>
    <definedName name="______________________BTC9">NA()</definedName>
    <definedName name="______________________BTR1" localSheetId="10">NA()</definedName>
    <definedName name="______________________BTR1">NA()</definedName>
    <definedName name="______________________BTR10" localSheetId="10">NA()</definedName>
    <definedName name="______________________BTR10">NA()</definedName>
    <definedName name="______________________BTR11" localSheetId="10">NA()</definedName>
    <definedName name="______________________BTR11">NA()</definedName>
    <definedName name="______________________BTR12" localSheetId="10">NA()</definedName>
    <definedName name="______________________BTR12">NA()</definedName>
    <definedName name="______________________BTR13" localSheetId="10">NA()</definedName>
    <definedName name="______________________BTR13">NA()</definedName>
    <definedName name="______________________BTR14" localSheetId="10">NA()</definedName>
    <definedName name="______________________BTR14">NA()</definedName>
    <definedName name="______________________BTR15" localSheetId="10">NA()</definedName>
    <definedName name="______________________BTR15">NA()</definedName>
    <definedName name="______________________BTR16" localSheetId="10">NA()</definedName>
    <definedName name="______________________BTR16">NA()</definedName>
    <definedName name="______________________BTR17" localSheetId="10">NA()</definedName>
    <definedName name="______________________BTR17">NA()</definedName>
    <definedName name="______________________BTR18" localSheetId="10">NA()</definedName>
    <definedName name="______________________BTR18">NA()</definedName>
    <definedName name="______________________BTR19" localSheetId="10">NA()</definedName>
    <definedName name="______________________BTR19">NA()</definedName>
    <definedName name="______________________BTR2" localSheetId="10">NA()</definedName>
    <definedName name="______________________BTR2">NA()</definedName>
    <definedName name="______________________BTR20" localSheetId="10">NA()</definedName>
    <definedName name="______________________BTR20">NA()</definedName>
    <definedName name="______________________BTR21" localSheetId="10">NA()</definedName>
    <definedName name="______________________BTR21">NA()</definedName>
    <definedName name="______________________BTR22" localSheetId="10">NA()</definedName>
    <definedName name="______________________BTR22">NA()</definedName>
    <definedName name="______________________BTR23" localSheetId="10">NA()</definedName>
    <definedName name="______________________BTR23">NA()</definedName>
    <definedName name="______________________BTR24" localSheetId="10">NA()</definedName>
    <definedName name="______________________BTR24">NA()</definedName>
    <definedName name="______________________BTR3" localSheetId="10">NA()</definedName>
    <definedName name="______________________BTR3">NA()</definedName>
    <definedName name="______________________BTR4" localSheetId="10">NA()</definedName>
    <definedName name="______________________BTR4">NA()</definedName>
    <definedName name="______________________BTR5" localSheetId="10">NA()</definedName>
    <definedName name="______________________BTR5">NA()</definedName>
    <definedName name="______________________BTR6" localSheetId="10">NA()</definedName>
    <definedName name="______________________BTR6">NA()</definedName>
    <definedName name="______________________BTR7" localSheetId="10">NA()</definedName>
    <definedName name="______________________BTR7">NA()</definedName>
    <definedName name="______________________BTR8" localSheetId="10">NA()</definedName>
    <definedName name="______________________BTR8">NA()</definedName>
    <definedName name="______________________BTR9" localSheetId="10">NA()</definedName>
    <definedName name="______________________BTR9">NA()</definedName>
    <definedName name="______________________BTS1" localSheetId="10">NA()</definedName>
    <definedName name="______________________BTS1">NA()</definedName>
    <definedName name="______________________BTS10" localSheetId="10">NA()</definedName>
    <definedName name="______________________BTS10">NA()</definedName>
    <definedName name="______________________BTS11" localSheetId="10">NA()</definedName>
    <definedName name="______________________BTS11">NA()</definedName>
    <definedName name="______________________BTS12" localSheetId="10">NA()</definedName>
    <definedName name="______________________BTS12">NA()</definedName>
    <definedName name="______________________BTS13" localSheetId="10">NA()</definedName>
    <definedName name="______________________BTS13">NA()</definedName>
    <definedName name="______________________BTS14" localSheetId="10">NA()</definedName>
    <definedName name="______________________BTS14">NA()</definedName>
    <definedName name="______________________BTS15" localSheetId="10">NA()</definedName>
    <definedName name="______________________BTS15">NA()</definedName>
    <definedName name="______________________BTS16" localSheetId="10">NA()</definedName>
    <definedName name="______________________BTS16">NA()</definedName>
    <definedName name="______________________BTS17" localSheetId="10">NA()</definedName>
    <definedName name="______________________BTS17">NA()</definedName>
    <definedName name="______________________BTS18" localSheetId="10">NA()</definedName>
    <definedName name="______________________BTS18">NA()</definedName>
    <definedName name="______________________BTS19" localSheetId="10">NA()</definedName>
    <definedName name="______________________BTS19">NA()</definedName>
    <definedName name="______________________BTS2" localSheetId="10">NA()</definedName>
    <definedName name="______________________BTS2">NA()</definedName>
    <definedName name="______________________BTS20" localSheetId="10">NA()</definedName>
    <definedName name="______________________BTS20">NA()</definedName>
    <definedName name="______________________BTS21" localSheetId="10">NA()</definedName>
    <definedName name="______________________BTS21">NA()</definedName>
    <definedName name="______________________BTS22" localSheetId="10">NA()</definedName>
    <definedName name="______________________BTS22">NA()</definedName>
    <definedName name="______________________BTS23" localSheetId="10">NA()</definedName>
    <definedName name="______________________BTS23">NA()</definedName>
    <definedName name="______________________BTS24" localSheetId="10">NA()</definedName>
    <definedName name="______________________BTS24">NA()</definedName>
    <definedName name="______________________BTS3" localSheetId="10">NA()</definedName>
    <definedName name="______________________BTS3">NA()</definedName>
    <definedName name="______________________BTS4" localSheetId="10">NA()</definedName>
    <definedName name="______________________BTS4">NA()</definedName>
    <definedName name="______________________BTS5" localSheetId="10">NA()</definedName>
    <definedName name="______________________BTS5">NA()</definedName>
    <definedName name="______________________BTS6" localSheetId="10">NA()</definedName>
    <definedName name="______________________BTS6">NA()</definedName>
    <definedName name="______________________BTS7" localSheetId="10">NA()</definedName>
    <definedName name="______________________BTS7">NA()</definedName>
    <definedName name="______________________BTS8" localSheetId="10">NA()</definedName>
    <definedName name="______________________BTS8">NA()</definedName>
    <definedName name="______________________BTS9" localSheetId="10">NA()</definedName>
    <definedName name="______________________BTS9">NA()</definedName>
    <definedName name="______________________can430">40.73</definedName>
    <definedName name="______________________can435">43.3</definedName>
    <definedName name="______________________GBS11" localSheetId="10">NA()</definedName>
    <definedName name="______________________GBS11">NA()</definedName>
    <definedName name="______________________GBS110" localSheetId="10">NA()</definedName>
    <definedName name="______________________GBS110">NA()</definedName>
    <definedName name="______________________GBS111" localSheetId="10">NA()</definedName>
    <definedName name="______________________GBS111">NA()</definedName>
    <definedName name="______________________GBS112" localSheetId="10">NA()</definedName>
    <definedName name="______________________GBS112">NA()</definedName>
    <definedName name="______________________GBS113" localSheetId="10">NA()</definedName>
    <definedName name="______________________GBS113">NA()</definedName>
    <definedName name="______________________GBS114" localSheetId="10">NA()</definedName>
    <definedName name="______________________GBS114">NA()</definedName>
    <definedName name="______________________GBS115" localSheetId="10">NA()</definedName>
    <definedName name="______________________GBS115">NA()</definedName>
    <definedName name="______________________GBS116" localSheetId="10">NA()</definedName>
    <definedName name="______________________GBS116">NA()</definedName>
    <definedName name="______________________GBS117" localSheetId="10">NA()</definedName>
    <definedName name="______________________GBS117">NA()</definedName>
    <definedName name="______________________GBS118" localSheetId="10">NA()</definedName>
    <definedName name="______________________GBS118">NA()</definedName>
    <definedName name="______________________GBS119" localSheetId="10">NA()</definedName>
    <definedName name="______________________GBS119">NA()</definedName>
    <definedName name="______________________GBS12" localSheetId="10">NA()</definedName>
    <definedName name="______________________GBS12">NA()</definedName>
    <definedName name="______________________GBS120" localSheetId="10">NA()</definedName>
    <definedName name="______________________GBS120">NA()</definedName>
    <definedName name="______________________GBS121" localSheetId="10">NA()</definedName>
    <definedName name="______________________GBS121">NA()</definedName>
    <definedName name="______________________GBS122" localSheetId="10">NA()</definedName>
    <definedName name="______________________GBS122">NA()</definedName>
    <definedName name="______________________GBS123" localSheetId="10">NA()</definedName>
    <definedName name="______________________GBS123">NA()</definedName>
    <definedName name="______________________GBS124" localSheetId="10">NA()</definedName>
    <definedName name="______________________GBS124">NA()</definedName>
    <definedName name="______________________GBS13" localSheetId="10">NA()</definedName>
    <definedName name="______________________GBS13">NA()</definedName>
    <definedName name="______________________GBS14" localSheetId="10">NA()</definedName>
    <definedName name="______________________GBS14">NA()</definedName>
    <definedName name="______________________GBS15" localSheetId="10">NA()</definedName>
    <definedName name="______________________GBS15">NA()</definedName>
    <definedName name="______________________GBS16" localSheetId="10">NA()</definedName>
    <definedName name="______________________GBS16">NA()</definedName>
    <definedName name="______________________GBS17" localSheetId="10">NA()</definedName>
    <definedName name="______________________GBS17">NA()</definedName>
    <definedName name="______________________GBS18" localSheetId="10">NA()</definedName>
    <definedName name="______________________GBS18">NA()</definedName>
    <definedName name="______________________GBS19" localSheetId="10">NA()</definedName>
    <definedName name="______________________GBS19">NA()</definedName>
    <definedName name="______________________GBS21" localSheetId="10">NA()</definedName>
    <definedName name="______________________GBS21">NA()</definedName>
    <definedName name="______________________GBS210" localSheetId="10">NA()</definedName>
    <definedName name="______________________GBS210">NA()</definedName>
    <definedName name="______________________GBS211" localSheetId="10">NA()</definedName>
    <definedName name="______________________GBS211">NA()</definedName>
    <definedName name="______________________GBS212" localSheetId="10">NA()</definedName>
    <definedName name="______________________GBS212">NA()</definedName>
    <definedName name="______________________GBS213" localSheetId="10">NA()</definedName>
    <definedName name="______________________GBS213">NA()</definedName>
    <definedName name="______________________GBS214" localSheetId="10">NA()</definedName>
    <definedName name="______________________GBS214">NA()</definedName>
    <definedName name="______________________GBS215" localSheetId="10">NA()</definedName>
    <definedName name="______________________GBS215">NA()</definedName>
    <definedName name="______________________GBS216" localSheetId="10">NA()</definedName>
    <definedName name="______________________GBS216">NA()</definedName>
    <definedName name="______________________GBS217" localSheetId="10">NA()</definedName>
    <definedName name="______________________GBS217">NA()</definedName>
    <definedName name="______________________GBS218" localSheetId="10">NA()</definedName>
    <definedName name="______________________GBS218">NA()</definedName>
    <definedName name="______________________GBS219" localSheetId="10">NA()</definedName>
    <definedName name="______________________GBS219">NA()</definedName>
    <definedName name="______________________GBS22" localSheetId="10">NA()</definedName>
    <definedName name="______________________GBS22">NA()</definedName>
    <definedName name="______________________GBS220" localSheetId="10">NA()</definedName>
    <definedName name="______________________GBS220">NA()</definedName>
    <definedName name="______________________GBS221" localSheetId="10">NA()</definedName>
    <definedName name="______________________GBS221">NA()</definedName>
    <definedName name="______________________GBS222" localSheetId="10">NA()</definedName>
    <definedName name="______________________GBS222">NA()</definedName>
    <definedName name="______________________GBS223" localSheetId="10">NA()</definedName>
    <definedName name="______________________GBS223">NA()</definedName>
    <definedName name="______________________GBS224" localSheetId="10">NA()</definedName>
    <definedName name="______________________GBS224">NA()</definedName>
    <definedName name="______________________GBS23" localSheetId="10">NA()</definedName>
    <definedName name="______________________GBS23">NA()</definedName>
    <definedName name="______________________GBS24" localSheetId="10">NA()</definedName>
    <definedName name="______________________GBS24">NA()</definedName>
    <definedName name="______________________GBS25" localSheetId="10">NA()</definedName>
    <definedName name="______________________GBS25">NA()</definedName>
    <definedName name="______________________GBS26" localSheetId="10">NA()</definedName>
    <definedName name="______________________GBS26">NA()</definedName>
    <definedName name="______________________GBS27" localSheetId="10">NA()</definedName>
    <definedName name="______________________GBS27">NA()</definedName>
    <definedName name="______________________GBS28" localSheetId="10">NA()</definedName>
    <definedName name="______________________GBS28">NA()</definedName>
    <definedName name="______________________GBS29" localSheetId="10">NA()</definedName>
    <definedName name="______________________GBS29">NA()</definedName>
    <definedName name="______________________knr2">NA()</definedName>
    <definedName name="______________________l12" localSheetId="10">NA()</definedName>
    <definedName name="______________________l12">NA()</definedName>
    <definedName name="______________________l3" localSheetId="10">NA()</definedName>
    <definedName name="______________________l3">NA()</definedName>
    <definedName name="______________________l5" localSheetId="10">NA()</definedName>
    <definedName name="______________________l5">NA()</definedName>
    <definedName name="______________________lj600" localSheetId="10">NA()</definedName>
    <definedName name="______________________lj600">NA()</definedName>
    <definedName name="______________________lj900" localSheetId="10">NA()</definedName>
    <definedName name="______________________lj900">NA()</definedName>
    <definedName name="______________________LL3" localSheetId="10">NA()</definedName>
    <definedName name="______________________LL3">NA()</definedName>
    <definedName name="______________________LSO24">"[14]lead!#ref!"</definedName>
    <definedName name="______________________MA1" localSheetId="10">NA()</definedName>
    <definedName name="______________________MA1">NA()</definedName>
    <definedName name="______________________MA2" localSheetId="10">NA()</definedName>
    <definedName name="______________________MA2">NA()</definedName>
    <definedName name="______________________Met22" localSheetId="10">NA()</definedName>
    <definedName name="______________________Met22">NA()</definedName>
    <definedName name="______________________Met45" localSheetId="10">NA()</definedName>
    <definedName name="______________________Met45">NA()</definedName>
    <definedName name="______________________MEt55" localSheetId="10">NA()</definedName>
    <definedName name="______________________MEt55">NA()</definedName>
    <definedName name="______________________Met63" localSheetId="10">NA()</definedName>
    <definedName name="______________________Met63">NA()</definedName>
    <definedName name="______________________ML21" localSheetId="10">NA()</definedName>
    <definedName name="______________________ML21">NA()</definedName>
    <definedName name="______________________ML210" localSheetId="10">NA()</definedName>
    <definedName name="______________________ML210">NA()</definedName>
    <definedName name="______________________ML211" localSheetId="10">NA()</definedName>
    <definedName name="______________________ML211">NA()</definedName>
    <definedName name="______________________ML212" localSheetId="10">NA()</definedName>
    <definedName name="______________________ML212">NA()</definedName>
    <definedName name="______________________ML213" localSheetId="10">NA()</definedName>
    <definedName name="______________________ML213">NA()</definedName>
    <definedName name="______________________ML214" localSheetId="10">NA()</definedName>
    <definedName name="______________________ML214">NA()</definedName>
    <definedName name="______________________ML215" localSheetId="10">NA()</definedName>
    <definedName name="______________________ML215">NA()</definedName>
    <definedName name="______________________ML216" localSheetId="10">NA()</definedName>
    <definedName name="______________________ML216">NA()</definedName>
    <definedName name="______________________ML217" localSheetId="10">NA()</definedName>
    <definedName name="______________________ML217">NA()</definedName>
    <definedName name="______________________ML218" localSheetId="10">NA()</definedName>
    <definedName name="______________________ML218">NA()</definedName>
    <definedName name="______________________ML219" localSheetId="10">NA()</definedName>
    <definedName name="______________________ML219">NA()</definedName>
    <definedName name="______________________ML22" localSheetId="10">NA()</definedName>
    <definedName name="______________________ML22">NA()</definedName>
    <definedName name="______________________ML220" localSheetId="10">NA()</definedName>
    <definedName name="______________________ML220">NA()</definedName>
    <definedName name="______________________ML221" localSheetId="10">NA()</definedName>
    <definedName name="______________________ML221">NA()</definedName>
    <definedName name="______________________ML222" localSheetId="10">NA()</definedName>
    <definedName name="______________________ML222">NA()</definedName>
    <definedName name="______________________ML223" localSheetId="10">NA()</definedName>
    <definedName name="______________________ML223">NA()</definedName>
    <definedName name="______________________ML224" localSheetId="10">NA()</definedName>
    <definedName name="______________________ML224">NA()</definedName>
    <definedName name="______________________ML23" localSheetId="10">NA()</definedName>
    <definedName name="______________________ML23">NA()</definedName>
    <definedName name="______________________ML24" localSheetId="10">NA()</definedName>
    <definedName name="______________________ML24">NA()</definedName>
    <definedName name="______________________ML25" localSheetId="10">NA()</definedName>
    <definedName name="______________________ML25">NA()</definedName>
    <definedName name="______________________ML26" localSheetId="10">NA()</definedName>
    <definedName name="______________________ML26">NA()</definedName>
    <definedName name="______________________ML27" localSheetId="10">NA()</definedName>
    <definedName name="______________________ML27">NA()</definedName>
    <definedName name="______________________ML28" localSheetId="10">NA()</definedName>
    <definedName name="______________________ML28">NA()</definedName>
    <definedName name="______________________ML29" localSheetId="10">NA()</definedName>
    <definedName name="______________________ML29">NA()</definedName>
    <definedName name="______________________ML31" localSheetId="10">NA()</definedName>
    <definedName name="______________________ML31">NA()</definedName>
    <definedName name="______________________ML310" localSheetId="10">NA()</definedName>
    <definedName name="______________________ML310">NA()</definedName>
    <definedName name="______________________ML311" localSheetId="10">NA()</definedName>
    <definedName name="______________________ML311">NA()</definedName>
    <definedName name="______________________ML312" localSheetId="10">NA()</definedName>
    <definedName name="______________________ML312">NA()</definedName>
    <definedName name="______________________ML313" localSheetId="10">NA()</definedName>
    <definedName name="______________________ML313">NA()</definedName>
    <definedName name="______________________ML314" localSheetId="10">NA()</definedName>
    <definedName name="______________________ML314">NA()</definedName>
    <definedName name="______________________ML315" localSheetId="10">NA()</definedName>
    <definedName name="______________________ML315">NA()</definedName>
    <definedName name="______________________ML316" localSheetId="10">NA()</definedName>
    <definedName name="______________________ML316">NA()</definedName>
    <definedName name="______________________ML317" localSheetId="10">NA()</definedName>
    <definedName name="______________________ML317">NA()</definedName>
    <definedName name="______________________ML318" localSheetId="10">NA()</definedName>
    <definedName name="______________________ML318">NA()</definedName>
    <definedName name="______________________ML319" localSheetId="10">NA()</definedName>
    <definedName name="______________________ML319">NA()</definedName>
    <definedName name="______________________ML32" localSheetId="10">NA()</definedName>
    <definedName name="______________________ML32">NA()</definedName>
    <definedName name="______________________ML320" localSheetId="10">NA()</definedName>
    <definedName name="______________________ML320">NA()</definedName>
    <definedName name="______________________ML321" localSheetId="10">NA()</definedName>
    <definedName name="______________________ML321">NA()</definedName>
    <definedName name="______________________ML322" localSheetId="10">NA()</definedName>
    <definedName name="______________________ML322">NA()</definedName>
    <definedName name="______________________ML323" localSheetId="10">NA()</definedName>
    <definedName name="______________________ML323">NA()</definedName>
    <definedName name="______________________ML324" localSheetId="10">NA()</definedName>
    <definedName name="______________________ML324">NA()</definedName>
    <definedName name="______________________ML33" localSheetId="10">NA()</definedName>
    <definedName name="______________________ML33">NA()</definedName>
    <definedName name="______________________ML34" localSheetId="10">NA()</definedName>
    <definedName name="______________________ML34">NA()</definedName>
    <definedName name="______________________ML35" localSheetId="10">NA()</definedName>
    <definedName name="______________________ML35">NA()</definedName>
    <definedName name="______________________ML36" localSheetId="10">NA()</definedName>
    <definedName name="______________________ML36">NA()</definedName>
    <definedName name="______________________ML37" localSheetId="10">NA()</definedName>
    <definedName name="______________________ML37">NA()</definedName>
    <definedName name="______________________ML38" localSheetId="10">NA()</definedName>
    <definedName name="______________________ML38">NA()</definedName>
    <definedName name="______________________ML39" localSheetId="10">NA()</definedName>
    <definedName name="______________________ML39">NA()</definedName>
    <definedName name="______________________ML7" localSheetId="10">NA()</definedName>
    <definedName name="______________________ML7">NA()</definedName>
    <definedName name="______________________ML8" localSheetId="10">NA()</definedName>
    <definedName name="______________________ML8">NA()</definedName>
    <definedName name="______________________ML9" localSheetId="10">NA()</definedName>
    <definedName name="______________________ML9">NA()</definedName>
    <definedName name="______________________mm1000" localSheetId="10">NA()</definedName>
    <definedName name="______________________mm1000">NA()</definedName>
    <definedName name="______________________mm600" localSheetId="10">NA()</definedName>
    <definedName name="______________________mm600">NA()</definedName>
    <definedName name="______________________mm800" localSheetId="10">NA()</definedName>
    <definedName name="______________________mm800">NA()</definedName>
    <definedName name="______________________PC1" localSheetId="10">NA()</definedName>
    <definedName name="______________________PC1">NA()</definedName>
    <definedName name="______________________PC10" localSheetId="10">NA()</definedName>
    <definedName name="______________________PC10">NA()</definedName>
    <definedName name="______________________PC11" localSheetId="10">NA()</definedName>
    <definedName name="______________________PC11">NA()</definedName>
    <definedName name="______________________PC12" localSheetId="10">NA()</definedName>
    <definedName name="______________________PC12">NA()</definedName>
    <definedName name="______________________PC13" localSheetId="10">NA()</definedName>
    <definedName name="______________________PC13">NA()</definedName>
    <definedName name="______________________PC14" localSheetId="10">NA()</definedName>
    <definedName name="______________________PC14">NA()</definedName>
    <definedName name="______________________PC15" localSheetId="10">NA()</definedName>
    <definedName name="______________________PC15">NA()</definedName>
    <definedName name="______________________PC16" localSheetId="10">NA()</definedName>
    <definedName name="______________________PC16">NA()</definedName>
    <definedName name="______________________PC17" localSheetId="10">NA()</definedName>
    <definedName name="______________________PC17">NA()</definedName>
    <definedName name="______________________PC18" localSheetId="10">NA()</definedName>
    <definedName name="______________________PC18">NA()</definedName>
    <definedName name="______________________PC19" localSheetId="10">NA()</definedName>
    <definedName name="______________________PC19">NA()</definedName>
    <definedName name="______________________pc2" localSheetId="10">NA()</definedName>
    <definedName name="______________________pc2">NA()</definedName>
    <definedName name="______________________PC20" localSheetId="10">NA()</definedName>
    <definedName name="______________________PC20">NA()</definedName>
    <definedName name="______________________PC21" localSheetId="10">NA()</definedName>
    <definedName name="______________________PC21">NA()</definedName>
    <definedName name="______________________PC22" localSheetId="10">NA()</definedName>
    <definedName name="______________________PC22">NA()</definedName>
    <definedName name="______________________PC23" localSheetId="10">NA()</definedName>
    <definedName name="______________________PC23">NA()</definedName>
    <definedName name="______________________PC24" localSheetId="10">NA()</definedName>
    <definedName name="______________________PC24">NA()</definedName>
    <definedName name="______________________PC3" localSheetId="10">NA()</definedName>
    <definedName name="______________________PC3">NA()</definedName>
    <definedName name="______________________PC4" localSheetId="10">NA()</definedName>
    <definedName name="______________________PC4">NA()</definedName>
    <definedName name="______________________PC5" localSheetId="10">NA()</definedName>
    <definedName name="______________________PC5">NA()</definedName>
    <definedName name="______________________PC6" localSheetId="10">NA()</definedName>
    <definedName name="______________________PC6">NA()</definedName>
    <definedName name="______________________pc600" localSheetId="10">NA()</definedName>
    <definedName name="______________________pc600">NA()</definedName>
    <definedName name="______________________PC7" localSheetId="10">NA()</definedName>
    <definedName name="______________________PC7">NA()</definedName>
    <definedName name="______________________PC8" localSheetId="10">NA()</definedName>
    <definedName name="______________________PC8">NA()</definedName>
    <definedName name="______________________PC9" localSheetId="10">NA()</definedName>
    <definedName name="______________________PC9">NA()</definedName>
    <definedName name="______________________pc900" localSheetId="10">NA()</definedName>
    <definedName name="______________________pc900">NA()</definedName>
    <definedName name="______________________pv2" localSheetId="10">NA()</definedName>
    <definedName name="______________________pv2">NA()</definedName>
    <definedName name="______________________var1" localSheetId="10">NA()</definedName>
    <definedName name="______________________var1">NA()</definedName>
    <definedName name="______________________var4" localSheetId="10">NA()</definedName>
    <definedName name="______________________var4">NA()</definedName>
    <definedName name="______________________vat1" localSheetId="10">NA()</definedName>
    <definedName name="______________________vat1">NA()</definedName>
    <definedName name="_____________________BSG100" localSheetId="10">NA()</definedName>
    <definedName name="_____________________BSG100">NA()</definedName>
    <definedName name="_____________________BSG150" localSheetId="10">NA()</definedName>
    <definedName name="_____________________BSG150">NA()</definedName>
    <definedName name="_____________________BSG5" localSheetId="10">NA()</definedName>
    <definedName name="_____________________BSG5">NA()</definedName>
    <definedName name="_____________________BSG75" localSheetId="10">NA()</definedName>
    <definedName name="_____________________BSG75">NA()</definedName>
    <definedName name="_____________________BTC1" localSheetId="10">NA()</definedName>
    <definedName name="_____________________BTC1">NA()</definedName>
    <definedName name="_____________________BTC10" localSheetId="10">NA()</definedName>
    <definedName name="_____________________BTC10">NA()</definedName>
    <definedName name="_____________________BTC11" localSheetId="10">NA()</definedName>
    <definedName name="_____________________BTC11">NA()</definedName>
    <definedName name="_____________________BTC12" localSheetId="10">NA()</definedName>
    <definedName name="_____________________BTC12">NA()</definedName>
    <definedName name="_____________________BTC13" localSheetId="10">NA()</definedName>
    <definedName name="_____________________BTC13">NA()</definedName>
    <definedName name="_____________________BTC14" localSheetId="10">NA()</definedName>
    <definedName name="_____________________BTC14">NA()</definedName>
    <definedName name="_____________________BTC15" localSheetId="10">NA()</definedName>
    <definedName name="_____________________BTC15">NA()</definedName>
    <definedName name="_____________________BTC16" localSheetId="10">NA()</definedName>
    <definedName name="_____________________BTC16">NA()</definedName>
    <definedName name="_____________________BTC17" localSheetId="10">NA()</definedName>
    <definedName name="_____________________BTC17">NA()</definedName>
    <definedName name="_____________________BTC18" localSheetId="10">NA()</definedName>
    <definedName name="_____________________BTC18">NA()</definedName>
    <definedName name="_____________________BTC19" localSheetId="10">NA()</definedName>
    <definedName name="_____________________BTC19">NA()</definedName>
    <definedName name="_____________________BTC2" localSheetId="10">NA()</definedName>
    <definedName name="_____________________BTC2">NA()</definedName>
    <definedName name="_____________________BTC20" localSheetId="10">NA()</definedName>
    <definedName name="_____________________BTC20">NA()</definedName>
    <definedName name="_____________________BTC21" localSheetId="10">NA()</definedName>
    <definedName name="_____________________BTC21">NA()</definedName>
    <definedName name="_____________________BTC22" localSheetId="10">NA()</definedName>
    <definedName name="_____________________BTC22">NA()</definedName>
    <definedName name="_____________________BTC23" localSheetId="10">NA()</definedName>
    <definedName name="_____________________BTC23">NA()</definedName>
    <definedName name="_____________________BTC24" localSheetId="10">NA()</definedName>
    <definedName name="_____________________BTC24">NA()</definedName>
    <definedName name="_____________________BTC3" localSheetId="10">NA()</definedName>
    <definedName name="_____________________BTC3">NA()</definedName>
    <definedName name="_____________________BTC4" localSheetId="10">NA()</definedName>
    <definedName name="_____________________BTC4">NA()</definedName>
    <definedName name="_____________________BTC5" localSheetId="10">NA()</definedName>
    <definedName name="_____________________BTC5">NA()</definedName>
    <definedName name="_____________________BTC6" localSheetId="10">NA()</definedName>
    <definedName name="_____________________BTC6">NA()</definedName>
    <definedName name="_____________________BTC7" localSheetId="10">NA()</definedName>
    <definedName name="_____________________BTC7">NA()</definedName>
    <definedName name="_____________________BTC8" localSheetId="10">NA()</definedName>
    <definedName name="_____________________BTC8">NA()</definedName>
    <definedName name="_____________________BTC9" localSheetId="10">NA()</definedName>
    <definedName name="_____________________BTC9">NA()</definedName>
    <definedName name="_____________________BTR1" localSheetId="10">NA()</definedName>
    <definedName name="_____________________BTR1">NA()</definedName>
    <definedName name="_____________________BTR10" localSheetId="10">NA()</definedName>
    <definedName name="_____________________BTR10">NA()</definedName>
    <definedName name="_____________________BTR11" localSheetId="10">NA()</definedName>
    <definedName name="_____________________BTR11">NA()</definedName>
    <definedName name="_____________________BTR12" localSheetId="10">NA()</definedName>
    <definedName name="_____________________BTR12">NA()</definedName>
    <definedName name="_____________________BTR13" localSheetId="10">NA()</definedName>
    <definedName name="_____________________BTR13">NA()</definedName>
    <definedName name="_____________________BTR14" localSheetId="10">NA()</definedName>
    <definedName name="_____________________BTR14">NA()</definedName>
    <definedName name="_____________________BTR15" localSheetId="10">NA()</definedName>
    <definedName name="_____________________BTR15">NA()</definedName>
    <definedName name="_____________________BTR16" localSheetId="10">NA()</definedName>
    <definedName name="_____________________BTR16">NA()</definedName>
    <definedName name="_____________________BTR17" localSheetId="10">NA()</definedName>
    <definedName name="_____________________BTR17">NA()</definedName>
    <definedName name="_____________________BTR18" localSheetId="10">NA()</definedName>
    <definedName name="_____________________BTR18">NA()</definedName>
    <definedName name="_____________________BTR19" localSheetId="10">NA()</definedName>
    <definedName name="_____________________BTR19">NA()</definedName>
    <definedName name="_____________________BTR2" localSheetId="10">NA()</definedName>
    <definedName name="_____________________BTR2">NA()</definedName>
    <definedName name="_____________________BTR20" localSheetId="10">NA()</definedName>
    <definedName name="_____________________BTR20">NA()</definedName>
    <definedName name="_____________________BTR21" localSheetId="10">NA()</definedName>
    <definedName name="_____________________BTR21">NA()</definedName>
    <definedName name="_____________________BTR22" localSheetId="10">NA()</definedName>
    <definedName name="_____________________BTR22">NA()</definedName>
    <definedName name="_____________________BTR23" localSheetId="10">NA()</definedName>
    <definedName name="_____________________BTR23">NA()</definedName>
    <definedName name="_____________________BTR24" localSheetId="10">NA()</definedName>
    <definedName name="_____________________BTR24">NA()</definedName>
    <definedName name="_____________________BTR3" localSheetId="10">NA()</definedName>
    <definedName name="_____________________BTR3">NA()</definedName>
    <definedName name="_____________________BTR4" localSheetId="10">NA()</definedName>
    <definedName name="_____________________BTR4">NA()</definedName>
    <definedName name="_____________________BTR5" localSheetId="10">NA()</definedName>
    <definedName name="_____________________BTR5">NA()</definedName>
    <definedName name="_____________________BTR6" localSheetId="10">NA()</definedName>
    <definedName name="_____________________BTR6">NA()</definedName>
    <definedName name="_____________________BTR7" localSheetId="10">NA()</definedName>
    <definedName name="_____________________BTR7">NA()</definedName>
    <definedName name="_____________________BTR8" localSheetId="10">NA()</definedName>
    <definedName name="_____________________BTR8">NA()</definedName>
    <definedName name="_____________________BTR9" localSheetId="10">NA()</definedName>
    <definedName name="_____________________BTR9">NA()</definedName>
    <definedName name="_____________________BTS1" localSheetId="10">NA()</definedName>
    <definedName name="_____________________BTS1">NA()</definedName>
    <definedName name="_____________________BTS10" localSheetId="10">NA()</definedName>
    <definedName name="_____________________BTS10">NA()</definedName>
    <definedName name="_____________________BTS11" localSheetId="10">NA()</definedName>
    <definedName name="_____________________BTS11">NA()</definedName>
    <definedName name="_____________________BTS12" localSheetId="10">NA()</definedName>
    <definedName name="_____________________BTS12">NA()</definedName>
    <definedName name="_____________________BTS13" localSheetId="10">NA()</definedName>
    <definedName name="_____________________BTS13">NA()</definedName>
    <definedName name="_____________________BTS14" localSheetId="10">NA()</definedName>
    <definedName name="_____________________BTS14">NA()</definedName>
    <definedName name="_____________________BTS15" localSheetId="10">NA()</definedName>
    <definedName name="_____________________BTS15">NA()</definedName>
    <definedName name="_____________________BTS16" localSheetId="10">NA()</definedName>
    <definedName name="_____________________BTS16">NA()</definedName>
    <definedName name="_____________________BTS17" localSheetId="10">NA()</definedName>
    <definedName name="_____________________BTS17">NA()</definedName>
    <definedName name="_____________________BTS18" localSheetId="10">NA()</definedName>
    <definedName name="_____________________BTS18">NA()</definedName>
    <definedName name="_____________________BTS19" localSheetId="10">NA()</definedName>
    <definedName name="_____________________BTS19">NA()</definedName>
    <definedName name="_____________________BTS2" localSheetId="10">NA()</definedName>
    <definedName name="_____________________BTS2">NA()</definedName>
    <definedName name="_____________________BTS20" localSheetId="10">NA()</definedName>
    <definedName name="_____________________BTS20">NA()</definedName>
    <definedName name="_____________________BTS21" localSheetId="10">NA()</definedName>
    <definedName name="_____________________BTS21">NA()</definedName>
    <definedName name="_____________________BTS22" localSheetId="10">NA()</definedName>
    <definedName name="_____________________BTS22">NA()</definedName>
    <definedName name="_____________________BTS23" localSheetId="10">NA()</definedName>
    <definedName name="_____________________BTS23">NA()</definedName>
    <definedName name="_____________________BTS24" localSheetId="10">NA()</definedName>
    <definedName name="_____________________BTS24">NA()</definedName>
    <definedName name="_____________________BTS3" localSheetId="10">NA()</definedName>
    <definedName name="_____________________BTS3">NA()</definedName>
    <definedName name="_____________________BTS4" localSheetId="10">NA()</definedName>
    <definedName name="_____________________BTS4">NA()</definedName>
    <definedName name="_____________________BTS5" localSheetId="10">NA()</definedName>
    <definedName name="_____________________BTS5">NA()</definedName>
    <definedName name="_____________________BTS6" localSheetId="10">NA()</definedName>
    <definedName name="_____________________BTS6">NA()</definedName>
    <definedName name="_____________________BTS7" localSheetId="10">NA()</definedName>
    <definedName name="_____________________BTS7">NA()</definedName>
    <definedName name="_____________________BTS8" localSheetId="10">NA()</definedName>
    <definedName name="_____________________BTS8">NA()</definedName>
    <definedName name="_____________________BTS9" localSheetId="10">NA()</definedName>
    <definedName name="_____________________BTS9">NA()</definedName>
    <definedName name="_____________________can430">40.73</definedName>
    <definedName name="_____________________can435">43.3</definedName>
    <definedName name="_____________________GBS11" localSheetId="10">NA()</definedName>
    <definedName name="_____________________GBS11">NA()</definedName>
    <definedName name="_____________________GBS110" localSheetId="10">NA()</definedName>
    <definedName name="_____________________GBS110">NA()</definedName>
    <definedName name="_____________________GBS111" localSheetId="10">NA()</definedName>
    <definedName name="_____________________GBS111">NA()</definedName>
    <definedName name="_____________________GBS112" localSheetId="10">NA()</definedName>
    <definedName name="_____________________GBS112">NA()</definedName>
    <definedName name="_____________________GBS113" localSheetId="10">NA()</definedName>
    <definedName name="_____________________GBS113">NA()</definedName>
    <definedName name="_____________________GBS114" localSheetId="10">NA()</definedName>
    <definedName name="_____________________GBS114">NA()</definedName>
    <definedName name="_____________________GBS115" localSheetId="10">NA()</definedName>
    <definedName name="_____________________GBS115">NA()</definedName>
    <definedName name="_____________________GBS116" localSheetId="10">NA()</definedName>
    <definedName name="_____________________GBS116">NA()</definedName>
    <definedName name="_____________________GBS117" localSheetId="10">NA()</definedName>
    <definedName name="_____________________GBS117">NA()</definedName>
    <definedName name="_____________________GBS118" localSheetId="10">NA()</definedName>
    <definedName name="_____________________GBS118">NA()</definedName>
    <definedName name="_____________________GBS119" localSheetId="10">NA()</definedName>
    <definedName name="_____________________GBS119">NA()</definedName>
    <definedName name="_____________________GBS12" localSheetId="10">NA()</definedName>
    <definedName name="_____________________GBS12">NA()</definedName>
    <definedName name="_____________________GBS120" localSheetId="10">NA()</definedName>
    <definedName name="_____________________GBS120">NA()</definedName>
    <definedName name="_____________________GBS121" localSheetId="10">NA()</definedName>
    <definedName name="_____________________GBS121">NA()</definedName>
    <definedName name="_____________________GBS122" localSheetId="10">NA()</definedName>
    <definedName name="_____________________GBS122">NA()</definedName>
    <definedName name="_____________________GBS123" localSheetId="10">NA()</definedName>
    <definedName name="_____________________GBS123">NA()</definedName>
    <definedName name="_____________________GBS124" localSheetId="10">NA()</definedName>
    <definedName name="_____________________GBS124">NA()</definedName>
    <definedName name="_____________________GBS13" localSheetId="10">NA()</definedName>
    <definedName name="_____________________GBS13">NA()</definedName>
    <definedName name="_____________________GBS14" localSheetId="10">NA()</definedName>
    <definedName name="_____________________GBS14">NA()</definedName>
    <definedName name="_____________________GBS15" localSheetId="10">NA()</definedName>
    <definedName name="_____________________GBS15">NA()</definedName>
    <definedName name="_____________________GBS16" localSheetId="10">NA()</definedName>
    <definedName name="_____________________GBS16">NA()</definedName>
    <definedName name="_____________________GBS17" localSheetId="10">NA()</definedName>
    <definedName name="_____________________GBS17">NA()</definedName>
    <definedName name="_____________________GBS18" localSheetId="10">NA()</definedName>
    <definedName name="_____________________GBS18">NA()</definedName>
    <definedName name="_____________________GBS19" localSheetId="10">NA()</definedName>
    <definedName name="_____________________GBS19">NA()</definedName>
    <definedName name="_____________________GBS21" localSheetId="10">NA()</definedName>
    <definedName name="_____________________GBS21">NA()</definedName>
    <definedName name="_____________________GBS210" localSheetId="10">NA()</definedName>
    <definedName name="_____________________GBS210">NA()</definedName>
    <definedName name="_____________________GBS211" localSheetId="10">NA()</definedName>
    <definedName name="_____________________GBS211">NA()</definedName>
    <definedName name="_____________________GBS212" localSheetId="10">NA()</definedName>
    <definedName name="_____________________GBS212">NA()</definedName>
    <definedName name="_____________________GBS213" localSheetId="10">NA()</definedName>
    <definedName name="_____________________GBS213">NA()</definedName>
    <definedName name="_____________________GBS214" localSheetId="10">NA()</definedName>
    <definedName name="_____________________GBS214">NA()</definedName>
    <definedName name="_____________________GBS215" localSheetId="10">NA()</definedName>
    <definedName name="_____________________GBS215">NA()</definedName>
    <definedName name="_____________________GBS216" localSheetId="10">NA()</definedName>
    <definedName name="_____________________GBS216">NA()</definedName>
    <definedName name="_____________________GBS217" localSheetId="10">NA()</definedName>
    <definedName name="_____________________GBS217">NA()</definedName>
    <definedName name="_____________________GBS218" localSheetId="10">NA()</definedName>
    <definedName name="_____________________GBS218">NA()</definedName>
    <definedName name="_____________________GBS219" localSheetId="10">NA()</definedName>
    <definedName name="_____________________GBS219">NA()</definedName>
    <definedName name="_____________________GBS22" localSheetId="10">NA()</definedName>
    <definedName name="_____________________GBS22">NA()</definedName>
    <definedName name="_____________________GBS220" localSheetId="10">NA()</definedName>
    <definedName name="_____________________GBS220">NA()</definedName>
    <definedName name="_____________________GBS221" localSheetId="10">NA()</definedName>
    <definedName name="_____________________GBS221">NA()</definedName>
    <definedName name="_____________________GBS222" localSheetId="10">NA()</definedName>
    <definedName name="_____________________GBS222">NA()</definedName>
    <definedName name="_____________________GBS223" localSheetId="10">NA()</definedName>
    <definedName name="_____________________GBS223">NA()</definedName>
    <definedName name="_____________________GBS224" localSheetId="10">NA()</definedName>
    <definedName name="_____________________GBS224">NA()</definedName>
    <definedName name="_____________________GBS23" localSheetId="10">NA()</definedName>
    <definedName name="_____________________GBS23">NA()</definedName>
    <definedName name="_____________________GBS24" localSheetId="10">NA()</definedName>
    <definedName name="_____________________GBS24">NA()</definedName>
    <definedName name="_____________________GBS25" localSheetId="10">NA()</definedName>
    <definedName name="_____________________GBS25">NA()</definedName>
    <definedName name="_____________________GBS26" localSheetId="10">NA()</definedName>
    <definedName name="_____________________GBS26">NA()</definedName>
    <definedName name="_____________________GBS27" localSheetId="10">NA()</definedName>
    <definedName name="_____________________GBS27">NA()</definedName>
    <definedName name="_____________________GBS28" localSheetId="10">NA()</definedName>
    <definedName name="_____________________GBS28">NA()</definedName>
    <definedName name="_____________________GBS29" localSheetId="10">NA()</definedName>
    <definedName name="_____________________GBS29">NA()</definedName>
    <definedName name="_____________________knr2">NA()</definedName>
    <definedName name="_____________________l12" localSheetId="10">NA()</definedName>
    <definedName name="_____________________l12">NA()</definedName>
    <definedName name="_____________________l3" localSheetId="10">NA()</definedName>
    <definedName name="_____________________l3">NA()</definedName>
    <definedName name="_____________________l5" localSheetId="10">NA()</definedName>
    <definedName name="_____________________l5">NA()</definedName>
    <definedName name="_____________________lj600" localSheetId="10">NA()</definedName>
    <definedName name="_____________________lj600">NA()</definedName>
    <definedName name="_____________________lj900" localSheetId="10">NA()</definedName>
    <definedName name="_____________________lj900">NA()</definedName>
    <definedName name="_____________________LL3" localSheetId="10">NA()</definedName>
    <definedName name="_____________________LL3">NA()</definedName>
    <definedName name="_____________________LSO24" localSheetId="10">NA()</definedName>
    <definedName name="_____________________LSO24">"[14]lead!#ref!"</definedName>
    <definedName name="_____________________MA1" localSheetId="10">NA()</definedName>
    <definedName name="_____________________MA1">NA()</definedName>
    <definedName name="_____________________MA2" localSheetId="10">NA()</definedName>
    <definedName name="_____________________MA2">NA()</definedName>
    <definedName name="_____________________Met22" localSheetId="10">NA()</definedName>
    <definedName name="_____________________Met22">NA()</definedName>
    <definedName name="_____________________Met45" localSheetId="10">NA()</definedName>
    <definedName name="_____________________Met45">NA()</definedName>
    <definedName name="_____________________MEt55" localSheetId="10">NA()</definedName>
    <definedName name="_____________________MEt55">NA()</definedName>
    <definedName name="_____________________Met63" localSheetId="10">NA()</definedName>
    <definedName name="_____________________Met63">NA()</definedName>
    <definedName name="_____________________ML21" localSheetId="10">NA()</definedName>
    <definedName name="_____________________ML21">NA()</definedName>
    <definedName name="_____________________ML210" localSheetId="10">NA()</definedName>
    <definedName name="_____________________ML210">NA()</definedName>
    <definedName name="_____________________ML211" localSheetId="10">NA()</definedName>
    <definedName name="_____________________ML211">NA()</definedName>
    <definedName name="_____________________ML212" localSheetId="10">NA()</definedName>
    <definedName name="_____________________ML212">NA()</definedName>
    <definedName name="_____________________ML213" localSheetId="10">NA()</definedName>
    <definedName name="_____________________ML213">NA()</definedName>
    <definedName name="_____________________ML214" localSheetId="10">NA()</definedName>
    <definedName name="_____________________ML214">NA()</definedName>
    <definedName name="_____________________ML215" localSheetId="10">NA()</definedName>
    <definedName name="_____________________ML215">NA()</definedName>
    <definedName name="_____________________ML216" localSheetId="10">NA()</definedName>
    <definedName name="_____________________ML216">NA()</definedName>
    <definedName name="_____________________ML217" localSheetId="10">NA()</definedName>
    <definedName name="_____________________ML217">NA()</definedName>
    <definedName name="_____________________ML218" localSheetId="10">NA()</definedName>
    <definedName name="_____________________ML218">NA()</definedName>
    <definedName name="_____________________ML219" localSheetId="10">NA()</definedName>
    <definedName name="_____________________ML219">NA()</definedName>
    <definedName name="_____________________ML22" localSheetId="10">NA()</definedName>
    <definedName name="_____________________ML22">NA()</definedName>
    <definedName name="_____________________ML220" localSheetId="10">NA()</definedName>
    <definedName name="_____________________ML220">NA()</definedName>
    <definedName name="_____________________ML221" localSheetId="10">NA()</definedName>
    <definedName name="_____________________ML221">NA()</definedName>
    <definedName name="_____________________ML222" localSheetId="10">NA()</definedName>
    <definedName name="_____________________ML222">NA()</definedName>
    <definedName name="_____________________ML223" localSheetId="10">NA()</definedName>
    <definedName name="_____________________ML223">NA()</definedName>
    <definedName name="_____________________ML224" localSheetId="10">NA()</definedName>
    <definedName name="_____________________ML224">NA()</definedName>
    <definedName name="_____________________ML23" localSheetId="10">NA()</definedName>
    <definedName name="_____________________ML23">NA()</definedName>
    <definedName name="_____________________ML24" localSheetId="10">NA()</definedName>
    <definedName name="_____________________ML24">NA()</definedName>
    <definedName name="_____________________ML25" localSheetId="10">NA()</definedName>
    <definedName name="_____________________ML25">NA()</definedName>
    <definedName name="_____________________ML26" localSheetId="10">NA()</definedName>
    <definedName name="_____________________ML26">NA()</definedName>
    <definedName name="_____________________ML27" localSheetId="10">NA()</definedName>
    <definedName name="_____________________ML27">NA()</definedName>
    <definedName name="_____________________ML28" localSheetId="10">NA()</definedName>
    <definedName name="_____________________ML28">NA()</definedName>
    <definedName name="_____________________ML29" localSheetId="10">NA()</definedName>
    <definedName name="_____________________ML29">NA()</definedName>
    <definedName name="_____________________ML31" localSheetId="10">NA()</definedName>
    <definedName name="_____________________ML31">NA()</definedName>
    <definedName name="_____________________ML310" localSheetId="10">NA()</definedName>
    <definedName name="_____________________ML310">NA()</definedName>
    <definedName name="_____________________ML311" localSheetId="10">NA()</definedName>
    <definedName name="_____________________ML311">NA()</definedName>
    <definedName name="_____________________ML312" localSheetId="10">NA()</definedName>
    <definedName name="_____________________ML312">NA()</definedName>
    <definedName name="_____________________ML313" localSheetId="10">NA()</definedName>
    <definedName name="_____________________ML313">NA()</definedName>
    <definedName name="_____________________ML314" localSheetId="10">NA()</definedName>
    <definedName name="_____________________ML314">NA()</definedName>
    <definedName name="_____________________ML315" localSheetId="10">NA()</definedName>
    <definedName name="_____________________ML315">NA()</definedName>
    <definedName name="_____________________ML316" localSheetId="10">NA()</definedName>
    <definedName name="_____________________ML316">NA()</definedName>
    <definedName name="_____________________ML317" localSheetId="10">NA()</definedName>
    <definedName name="_____________________ML317">NA()</definedName>
    <definedName name="_____________________ML318" localSheetId="10">NA()</definedName>
    <definedName name="_____________________ML318">NA()</definedName>
    <definedName name="_____________________ML319" localSheetId="10">NA()</definedName>
    <definedName name="_____________________ML319">NA()</definedName>
    <definedName name="_____________________ML32" localSheetId="10">NA()</definedName>
    <definedName name="_____________________ML32">NA()</definedName>
    <definedName name="_____________________ML320" localSheetId="10">NA()</definedName>
    <definedName name="_____________________ML320">NA()</definedName>
    <definedName name="_____________________ML321" localSheetId="10">NA()</definedName>
    <definedName name="_____________________ML321">NA()</definedName>
    <definedName name="_____________________ML322" localSheetId="10">NA()</definedName>
    <definedName name="_____________________ML322">NA()</definedName>
    <definedName name="_____________________ML323" localSheetId="10">NA()</definedName>
    <definedName name="_____________________ML323">NA()</definedName>
    <definedName name="_____________________ML324" localSheetId="10">NA()</definedName>
    <definedName name="_____________________ML324">NA()</definedName>
    <definedName name="_____________________ML33" localSheetId="10">NA()</definedName>
    <definedName name="_____________________ML33">NA()</definedName>
    <definedName name="_____________________ML34" localSheetId="10">NA()</definedName>
    <definedName name="_____________________ML34">NA()</definedName>
    <definedName name="_____________________ML35" localSheetId="10">NA()</definedName>
    <definedName name="_____________________ML35">NA()</definedName>
    <definedName name="_____________________ML36" localSheetId="10">NA()</definedName>
    <definedName name="_____________________ML36">NA()</definedName>
    <definedName name="_____________________ML37" localSheetId="10">NA()</definedName>
    <definedName name="_____________________ML37">NA()</definedName>
    <definedName name="_____________________ML38" localSheetId="10">NA()</definedName>
    <definedName name="_____________________ML38">NA()</definedName>
    <definedName name="_____________________ML39" localSheetId="10">NA()</definedName>
    <definedName name="_____________________ML39">NA()</definedName>
    <definedName name="_____________________ML7" localSheetId="10">NA()</definedName>
    <definedName name="_____________________ML7">NA()</definedName>
    <definedName name="_____________________ML8" localSheetId="10">NA()</definedName>
    <definedName name="_____________________ML8">NA()</definedName>
    <definedName name="_____________________ML9" localSheetId="10">NA()</definedName>
    <definedName name="_____________________ML9">NA()</definedName>
    <definedName name="_____________________mm1000" localSheetId="10">NA()</definedName>
    <definedName name="_____________________mm1000">NA()</definedName>
    <definedName name="_____________________mm600" localSheetId="10">NA()</definedName>
    <definedName name="_____________________mm600">NA()</definedName>
    <definedName name="_____________________mm800" localSheetId="10">NA()</definedName>
    <definedName name="_____________________mm800">NA()</definedName>
    <definedName name="_____________________PC1" localSheetId="10">NA()</definedName>
    <definedName name="_____________________PC1">NA()</definedName>
    <definedName name="_____________________PC10" localSheetId="10">NA()</definedName>
    <definedName name="_____________________PC10">NA()</definedName>
    <definedName name="_____________________PC11" localSheetId="10">NA()</definedName>
    <definedName name="_____________________PC11">NA()</definedName>
    <definedName name="_____________________PC12" localSheetId="10">NA()</definedName>
    <definedName name="_____________________PC12">NA()</definedName>
    <definedName name="_____________________PC13" localSheetId="10">NA()</definedName>
    <definedName name="_____________________PC13">NA()</definedName>
    <definedName name="_____________________PC14" localSheetId="10">NA()</definedName>
    <definedName name="_____________________PC14">NA()</definedName>
    <definedName name="_____________________PC15" localSheetId="10">NA()</definedName>
    <definedName name="_____________________PC15">NA()</definedName>
    <definedName name="_____________________PC16" localSheetId="10">NA()</definedName>
    <definedName name="_____________________PC16">NA()</definedName>
    <definedName name="_____________________PC17" localSheetId="10">NA()</definedName>
    <definedName name="_____________________PC17">NA()</definedName>
    <definedName name="_____________________PC18" localSheetId="10">NA()</definedName>
    <definedName name="_____________________PC18">NA()</definedName>
    <definedName name="_____________________PC19" localSheetId="10">NA()</definedName>
    <definedName name="_____________________PC19">NA()</definedName>
    <definedName name="_____________________pc2" localSheetId="10">NA()</definedName>
    <definedName name="_____________________pc2">NA()</definedName>
    <definedName name="_____________________PC20" localSheetId="10">NA()</definedName>
    <definedName name="_____________________PC20">NA()</definedName>
    <definedName name="_____________________PC21" localSheetId="10">NA()</definedName>
    <definedName name="_____________________PC21">NA()</definedName>
    <definedName name="_____________________PC22" localSheetId="10">NA()</definedName>
    <definedName name="_____________________PC22">NA()</definedName>
    <definedName name="_____________________PC23" localSheetId="10">NA()</definedName>
    <definedName name="_____________________PC23">NA()</definedName>
    <definedName name="_____________________PC24" localSheetId="10">NA()</definedName>
    <definedName name="_____________________PC24">NA()</definedName>
    <definedName name="_____________________PC3" localSheetId="10">NA()</definedName>
    <definedName name="_____________________PC3">NA()</definedName>
    <definedName name="_____________________PC4" localSheetId="10">NA()</definedName>
    <definedName name="_____________________PC4">NA()</definedName>
    <definedName name="_____________________PC5" localSheetId="10">NA()</definedName>
    <definedName name="_____________________PC5">NA()</definedName>
    <definedName name="_____________________PC6" localSheetId="10">NA()</definedName>
    <definedName name="_____________________PC6">NA()</definedName>
    <definedName name="_____________________pc600" localSheetId="10">NA()</definedName>
    <definedName name="_____________________pc600">NA()</definedName>
    <definedName name="_____________________PC7" localSheetId="10">NA()</definedName>
    <definedName name="_____________________PC7">NA()</definedName>
    <definedName name="_____________________PC8" localSheetId="10">NA()</definedName>
    <definedName name="_____________________PC8">NA()</definedName>
    <definedName name="_____________________PC9" localSheetId="10">NA()</definedName>
    <definedName name="_____________________PC9">NA()</definedName>
    <definedName name="_____________________pc900" localSheetId="10">NA()</definedName>
    <definedName name="_____________________pc900">NA()</definedName>
    <definedName name="_____________________pv2" localSheetId="10">NA()</definedName>
    <definedName name="_____________________pv2">NA()</definedName>
    <definedName name="_____________________var1" localSheetId="10">NA()</definedName>
    <definedName name="_____________________var1">NA()</definedName>
    <definedName name="_____________________var4" localSheetId="10">NA()</definedName>
    <definedName name="_____________________var4">NA()</definedName>
    <definedName name="_____________________vat1" localSheetId="10">NA()</definedName>
    <definedName name="_____________________vat1">NA()</definedName>
    <definedName name="____________________BSG100" localSheetId="10">NA()</definedName>
    <definedName name="____________________BSG100">NA()</definedName>
    <definedName name="____________________BSG150" localSheetId="10">NA()</definedName>
    <definedName name="____________________BSG150">NA()</definedName>
    <definedName name="____________________BSG5" localSheetId="10">NA()</definedName>
    <definedName name="____________________BSG5">NA()</definedName>
    <definedName name="____________________BSG75" localSheetId="10">NA()</definedName>
    <definedName name="____________________BSG75">NA()</definedName>
    <definedName name="____________________BTC1" localSheetId="10">NA()</definedName>
    <definedName name="____________________BTC1">NA()</definedName>
    <definedName name="____________________BTC10" localSheetId="10">NA()</definedName>
    <definedName name="____________________BTC10">NA()</definedName>
    <definedName name="____________________BTC11" localSheetId="10">NA()</definedName>
    <definedName name="____________________BTC11">NA()</definedName>
    <definedName name="____________________BTC12" localSheetId="10">NA()</definedName>
    <definedName name="____________________BTC12">NA()</definedName>
    <definedName name="____________________BTC13" localSheetId="10">NA()</definedName>
    <definedName name="____________________BTC13">NA()</definedName>
    <definedName name="____________________BTC14" localSheetId="10">NA()</definedName>
    <definedName name="____________________BTC14">NA()</definedName>
    <definedName name="____________________BTC15" localSheetId="10">NA()</definedName>
    <definedName name="____________________BTC15">NA()</definedName>
    <definedName name="____________________BTC16" localSheetId="10">NA()</definedName>
    <definedName name="____________________BTC16">NA()</definedName>
    <definedName name="____________________BTC17" localSheetId="10">NA()</definedName>
    <definedName name="____________________BTC17">NA()</definedName>
    <definedName name="____________________BTC18" localSheetId="10">NA()</definedName>
    <definedName name="____________________BTC18">NA()</definedName>
    <definedName name="____________________BTC19" localSheetId="10">NA()</definedName>
    <definedName name="____________________BTC19">NA()</definedName>
    <definedName name="____________________BTC2" localSheetId="10">NA()</definedName>
    <definedName name="____________________BTC2">NA()</definedName>
    <definedName name="____________________BTC20" localSheetId="10">NA()</definedName>
    <definedName name="____________________BTC20">NA()</definedName>
    <definedName name="____________________BTC21" localSheetId="10">NA()</definedName>
    <definedName name="____________________BTC21">NA()</definedName>
    <definedName name="____________________BTC22" localSheetId="10">NA()</definedName>
    <definedName name="____________________BTC22">NA()</definedName>
    <definedName name="____________________BTC23" localSheetId="10">NA()</definedName>
    <definedName name="____________________BTC23">NA()</definedName>
    <definedName name="____________________BTC24" localSheetId="10">NA()</definedName>
    <definedName name="____________________BTC24">NA()</definedName>
    <definedName name="____________________BTC3" localSheetId="10">NA()</definedName>
    <definedName name="____________________BTC3">NA()</definedName>
    <definedName name="____________________BTC4" localSheetId="10">NA()</definedName>
    <definedName name="____________________BTC4">NA()</definedName>
    <definedName name="____________________BTC5" localSheetId="10">NA()</definedName>
    <definedName name="____________________BTC5">NA()</definedName>
    <definedName name="____________________BTC6" localSheetId="10">NA()</definedName>
    <definedName name="____________________BTC6">NA()</definedName>
    <definedName name="____________________BTC7" localSheetId="10">NA()</definedName>
    <definedName name="____________________BTC7">NA()</definedName>
    <definedName name="____________________BTC8" localSheetId="10">NA()</definedName>
    <definedName name="____________________BTC8">NA()</definedName>
    <definedName name="____________________BTC9" localSheetId="10">NA()</definedName>
    <definedName name="____________________BTC9">NA()</definedName>
    <definedName name="____________________BTR1" localSheetId="10">NA()</definedName>
    <definedName name="____________________BTR1">NA()</definedName>
    <definedName name="____________________BTR10" localSheetId="10">NA()</definedName>
    <definedName name="____________________BTR10">NA()</definedName>
    <definedName name="____________________BTR11" localSheetId="10">NA()</definedName>
    <definedName name="____________________BTR11">NA()</definedName>
    <definedName name="____________________BTR12" localSheetId="10">NA()</definedName>
    <definedName name="____________________BTR12">NA()</definedName>
    <definedName name="____________________BTR13" localSheetId="10">NA()</definedName>
    <definedName name="____________________BTR13">NA()</definedName>
    <definedName name="____________________BTR14" localSheetId="10">NA()</definedName>
    <definedName name="____________________BTR14">NA()</definedName>
    <definedName name="____________________BTR15" localSheetId="10">NA()</definedName>
    <definedName name="____________________BTR15">NA()</definedName>
    <definedName name="____________________BTR16" localSheetId="10">NA()</definedName>
    <definedName name="____________________BTR16">NA()</definedName>
    <definedName name="____________________BTR17" localSheetId="10">NA()</definedName>
    <definedName name="____________________BTR17">NA()</definedName>
    <definedName name="____________________BTR18" localSheetId="10">NA()</definedName>
    <definedName name="____________________BTR18">NA()</definedName>
    <definedName name="____________________BTR19" localSheetId="10">NA()</definedName>
    <definedName name="____________________BTR19">NA()</definedName>
    <definedName name="____________________BTR2" localSheetId="10">NA()</definedName>
    <definedName name="____________________BTR2">NA()</definedName>
    <definedName name="____________________BTR20" localSheetId="10">NA()</definedName>
    <definedName name="____________________BTR20">NA()</definedName>
    <definedName name="____________________BTR21" localSheetId="10">NA()</definedName>
    <definedName name="____________________BTR21">NA()</definedName>
    <definedName name="____________________BTR22" localSheetId="10">NA()</definedName>
    <definedName name="____________________BTR22">NA()</definedName>
    <definedName name="____________________BTR23" localSheetId="10">NA()</definedName>
    <definedName name="____________________BTR23">NA()</definedName>
    <definedName name="____________________BTR24" localSheetId="10">NA()</definedName>
    <definedName name="____________________BTR24">NA()</definedName>
    <definedName name="____________________BTR3" localSheetId="10">NA()</definedName>
    <definedName name="____________________BTR3">NA()</definedName>
    <definedName name="____________________BTR4" localSheetId="10">NA()</definedName>
    <definedName name="____________________BTR4">NA()</definedName>
    <definedName name="____________________BTR5" localSheetId="10">NA()</definedName>
    <definedName name="____________________BTR5">NA()</definedName>
    <definedName name="____________________BTR6" localSheetId="10">NA()</definedName>
    <definedName name="____________________BTR6">NA()</definedName>
    <definedName name="____________________BTR7" localSheetId="10">NA()</definedName>
    <definedName name="____________________BTR7">NA()</definedName>
    <definedName name="____________________BTR8" localSheetId="10">NA()</definedName>
    <definedName name="____________________BTR8">NA()</definedName>
    <definedName name="____________________BTR9" localSheetId="10">NA()</definedName>
    <definedName name="____________________BTR9">NA()</definedName>
    <definedName name="____________________BTS1" localSheetId="10">NA()</definedName>
    <definedName name="____________________BTS1">NA()</definedName>
    <definedName name="____________________BTS10" localSheetId="10">NA()</definedName>
    <definedName name="____________________BTS10">NA()</definedName>
    <definedName name="____________________BTS11" localSheetId="10">NA()</definedName>
    <definedName name="____________________BTS11">NA()</definedName>
    <definedName name="____________________BTS12" localSheetId="10">NA()</definedName>
    <definedName name="____________________BTS12">NA()</definedName>
    <definedName name="____________________BTS13" localSheetId="10">NA()</definedName>
    <definedName name="____________________BTS13">NA()</definedName>
    <definedName name="____________________BTS14" localSheetId="10">NA()</definedName>
    <definedName name="____________________BTS14">NA()</definedName>
    <definedName name="____________________BTS15" localSheetId="10">NA()</definedName>
    <definedName name="____________________BTS15">NA()</definedName>
    <definedName name="____________________BTS16" localSheetId="10">NA()</definedName>
    <definedName name="____________________BTS16">NA()</definedName>
    <definedName name="____________________BTS17" localSheetId="10">NA()</definedName>
    <definedName name="____________________BTS17">NA()</definedName>
    <definedName name="____________________BTS18" localSheetId="10">NA()</definedName>
    <definedName name="____________________BTS18">NA()</definedName>
    <definedName name="____________________BTS19" localSheetId="10">NA()</definedName>
    <definedName name="____________________BTS19">NA()</definedName>
    <definedName name="____________________BTS2" localSheetId="10">NA()</definedName>
    <definedName name="____________________BTS2">NA()</definedName>
    <definedName name="____________________BTS20" localSheetId="10">NA()</definedName>
    <definedName name="____________________BTS20">NA()</definedName>
    <definedName name="____________________BTS21" localSheetId="10">NA()</definedName>
    <definedName name="____________________BTS21">NA()</definedName>
    <definedName name="____________________BTS22" localSheetId="10">NA()</definedName>
    <definedName name="____________________BTS22">NA()</definedName>
    <definedName name="____________________BTS23" localSheetId="10">NA()</definedName>
    <definedName name="____________________BTS23">NA()</definedName>
    <definedName name="____________________BTS24" localSheetId="10">NA()</definedName>
    <definedName name="____________________BTS24">NA()</definedName>
    <definedName name="____________________BTS3" localSheetId="10">NA()</definedName>
    <definedName name="____________________BTS3">NA()</definedName>
    <definedName name="____________________BTS4" localSheetId="10">NA()</definedName>
    <definedName name="____________________BTS4">NA()</definedName>
    <definedName name="____________________BTS5" localSheetId="10">NA()</definedName>
    <definedName name="____________________BTS5">NA()</definedName>
    <definedName name="____________________BTS6" localSheetId="10">NA()</definedName>
    <definedName name="____________________BTS6">NA()</definedName>
    <definedName name="____________________BTS7" localSheetId="10">NA()</definedName>
    <definedName name="____________________BTS7">NA()</definedName>
    <definedName name="____________________BTS8" localSheetId="10">NA()</definedName>
    <definedName name="____________________BTS8">NA()</definedName>
    <definedName name="____________________BTS9" localSheetId="10">NA()</definedName>
    <definedName name="____________________BTS9">NA()</definedName>
    <definedName name="____________________can430">40.73</definedName>
    <definedName name="____________________can435">43.3</definedName>
    <definedName name="____________________GBS11" localSheetId="10">NA()</definedName>
    <definedName name="____________________GBS11">NA()</definedName>
    <definedName name="____________________GBS110" localSheetId="10">NA()</definedName>
    <definedName name="____________________GBS110">NA()</definedName>
    <definedName name="____________________GBS111" localSheetId="10">NA()</definedName>
    <definedName name="____________________GBS111">NA()</definedName>
    <definedName name="____________________GBS112" localSheetId="10">NA()</definedName>
    <definedName name="____________________GBS112">NA()</definedName>
    <definedName name="____________________GBS113" localSheetId="10">NA()</definedName>
    <definedName name="____________________GBS113">NA()</definedName>
    <definedName name="____________________GBS114" localSheetId="10">NA()</definedName>
    <definedName name="____________________GBS114">NA()</definedName>
    <definedName name="____________________GBS115" localSheetId="10">NA()</definedName>
    <definedName name="____________________GBS115">NA()</definedName>
    <definedName name="____________________GBS116" localSheetId="10">NA()</definedName>
    <definedName name="____________________GBS116">NA()</definedName>
    <definedName name="____________________GBS117" localSheetId="10">NA()</definedName>
    <definedName name="____________________GBS117">NA()</definedName>
    <definedName name="____________________GBS118" localSheetId="10">NA()</definedName>
    <definedName name="____________________GBS118">NA()</definedName>
    <definedName name="____________________GBS119" localSheetId="10">NA()</definedName>
    <definedName name="____________________GBS119">NA()</definedName>
    <definedName name="____________________GBS12" localSheetId="10">NA()</definedName>
    <definedName name="____________________GBS12">NA()</definedName>
    <definedName name="____________________GBS120" localSheetId="10">NA()</definedName>
    <definedName name="____________________GBS120">NA()</definedName>
    <definedName name="____________________GBS121" localSheetId="10">NA()</definedName>
    <definedName name="____________________GBS121">NA()</definedName>
    <definedName name="____________________GBS122" localSheetId="10">NA()</definedName>
    <definedName name="____________________GBS122">NA()</definedName>
    <definedName name="____________________GBS123" localSheetId="10">NA()</definedName>
    <definedName name="____________________GBS123">NA()</definedName>
    <definedName name="____________________GBS124" localSheetId="10">NA()</definedName>
    <definedName name="____________________GBS124">NA()</definedName>
    <definedName name="____________________GBS13" localSheetId="10">NA()</definedName>
    <definedName name="____________________GBS13">NA()</definedName>
    <definedName name="____________________GBS14" localSheetId="10">NA()</definedName>
    <definedName name="____________________GBS14">NA()</definedName>
    <definedName name="____________________GBS15" localSheetId="10">NA()</definedName>
    <definedName name="____________________GBS15">NA()</definedName>
    <definedName name="____________________GBS16" localSheetId="10">NA()</definedName>
    <definedName name="____________________GBS16">NA()</definedName>
    <definedName name="____________________GBS17" localSheetId="10">NA()</definedName>
    <definedName name="____________________GBS17">NA()</definedName>
    <definedName name="____________________GBS18" localSheetId="10">NA()</definedName>
    <definedName name="____________________GBS18">NA()</definedName>
    <definedName name="____________________GBS19" localSheetId="10">NA()</definedName>
    <definedName name="____________________GBS19">NA()</definedName>
    <definedName name="____________________GBS21" localSheetId="10">NA()</definedName>
    <definedName name="____________________GBS21">NA()</definedName>
    <definedName name="____________________GBS210" localSheetId="10">NA()</definedName>
    <definedName name="____________________GBS210">NA()</definedName>
    <definedName name="____________________GBS211" localSheetId="10">NA()</definedName>
    <definedName name="____________________GBS211">NA()</definedName>
    <definedName name="____________________GBS212" localSheetId="10">NA()</definedName>
    <definedName name="____________________GBS212">NA()</definedName>
    <definedName name="____________________GBS213" localSheetId="10">NA()</definedName>
    <definedName name="____________________GBS213">NA()</definedName>
    <definedName name="____________________GBS214" localSheetId="10">NA()</definedName>
    <definedName name="____________________GBS214">NA()</definedName>
    <definedName name="____________________GBS215" localSheetId="10">NA()</definedName>
    <definedName name="____________________GBS215">NA()</definedName>
    <definedName name="____________________GBS216" localSheetId="10">NA()</definedName>
    <definedName name="____________________GBS216">NA()</definedName>
    <definedName name="____________________GBS217" localSheetId="10">NA()</definedName>
    <definedName name="____________________GBS217">NA()</definedName>
    <definedName name="____________________GBS218" localSheetId="10">NA()</definedName>
    <definedName name="____________________GBS218">NA()</definedName>
    <definedName name="____________________GBS219" localSheetId="10">NA()</definedName>
    <definedName name="____________________GBS219">NA()</definedName>
    <definedName name="____________________GBS22" localSheetId="10">NA()</definedName>
    <definedName name="____________________GBS22">NA()</definedName>
    <definedName name="____________________GBS220" localSheetId="10">NA()</definedName>
    <definedName name="____________________GBS220">NA()</definedName>
    <definedName name="____________________GBS221" localSheetId="10">NA()</definedName>
    <definedName name="____________________GBS221">NA()</definedName>
    <definedName name="____________________GBS222" localSheetId="10">NA()</definedName>
    <definedName name="____________________GBS222">NA()</definedName>
    <definedName name="____________________GBS223" localSheetId="10">NA()</definedName>
    <definedName name="____________________GBS223">NA()</definedName>
    <definedName name="____________________GBS224" localSheetId="10">NA()</definedName>
    <definedName name="____________________GBS224">NA()</definedName>
    <definedName name="____________________GBS23" localSheetId="10">NA()</definedName>
    <definedName name="____________________GBS23">NA()</definedName>
    <definedName name="____________________GBS24" localSheetId="10">NA()</definedName>
    <definedName name="____________________GBS24">NA()</definedName>
    <definedName name="____________________GBS25" localSheetId="10">NA()</definedName>
    <definedName name="____________________GBS25">NA()</definedName>
    <definedName name="____________________GBS26" localSheetId="10">NA()</definedName>
    <definedName name="____________________GBS26">NA()</definedName>
    <definedName name="____________________GBS27" localSheetId="10">NA()</definedName>
    <definedName name="____________________GBS27">NA()</definedName>
    <definedName name="____________________GBS28" localSheetId="10">NA()</definedName>
    <definedName name="____________________GBS28">NA()</definedName>
    <definedName name="____________________GBS29" localSheetId="10">NA()</definedName>
    <definedName name="____________________GBS29">NA()</definedName>
    <definedName name="____________________knr2" localSheetId="10">NA()</definedName>
    <definedName name="____________________knr2">NA()</definedName>
    <definedName name="____________________l12" localSheetId="10">NA()</definedName>
    <definedName name="____________________l12">NA()</definedName>
    <definedName name="____________________l3" localSheetId="10">NA()</definedName>
    <definedName name="____________________l3">NA()</definedName>
    <definedName name="____________________l5" localSheetId="10">NA()</definedName>
    <definedName name="____________________l5">NA()</definedName>
    <definedName name="____________________lj600" localSheetId="10">NA()</definedName>
    <definedName name="____________________lj600">NA()</definedName>
    <definedName name="____________________lj900" localSheetId="10">NA()</definedName>
    <definedName name="____________________lj900">NA()</definedName>
    <definedName name="____________________LL3" localSheetId="10">NA()</definedName>
    <definedName name="____________________LL3">NA()</definedName>
    <definedName name="____________________LSO24" localSheetId="10">NA()</definedName>
    <definedName name="____________________LSO24">"[14]lead!#ref!"</definedName>
    <definedName name="____________________MA1" localSheetId="10">NA()</definedName>
    <definedName name="____________________MA1">NA()</definedName>
    <definedName name="____________________MA2" localSheetId="10">NA()</definedName>
    <definedName name="____________________MA2">NA()</definedName>
    <definedName name="____________________Met22" localSheetId="10">NA()</definedName>
    <definedName name="____________________Met22">NA()</definedName>
    <definedName name="____________________Met45" localSheetId="10">NA()</definedName>
    <definedName name="____________________Met45">NA()</definedName>
    <definedName name="____________________MEt55" localSheetId="10">NA()</definedName>
    <definedName name="____________________MEt55">NA()</definedName>
    <definedName name="____________________Met63" localSheetId="10">NA()</definedName>
    <definedName name="____________________Met63">NA()</definedName>
    <definedName name="____________________ML21" localSheetId="10">NA()</definedName>
    <definedName name="____________________ML21">NA()</definedName>
    <definedName name="____________________ML210" localSheetId="10">NA()</definedName>
    <definedName name="____________________ML210">NA()</definedName>
    <definedName name="____________________ML211" localSheetId="10">NA()</definedName>
    <definedName name="____________________ML211">NA()</definedName>
    <definedName name="____________________ML212" localSheetId="10">NA()</definedName>
    <definedName name="____________________ML212">NA()</definedName>
    <definedName name="____________________ML213" localSheetId="10">NA()</definedName>
    <definedName name="____________________ML213">NA()</definedName>
    <definedName name="____________________ML214" localSheetId="10">NA()</definedName>
    <definedName name="____________________ML214">NA()</definedName>
    <definedName name="____________________ML215" localSheetId="10">NA()</definedName>
    <definedName name="____________________ML215">NA()</definedName>
    <definedName name="____________________ML216" localSheetId="10">NA()</definedName>
    <definedName name="____________________ML216">NA()</definedName>
    <definedName name="____________________ML217" localSheetId="10">NA()</definedName>
    <definedName name="____________________ML217">NA()</definedName>
    <definedName name="____________________ML218" localSheetId="10">NA()</definedName>
    <definedName name="____________________ML218">NA()</definedName>
    <definedName name="____________________ML219" localSheetId="10">NA()</definedName>
    <definedName name="____________________ML219">NA()</definedName>
    <definedName name="____________________ML22" localSheetId="10">NA()</definedName>
    <definedName name="____________________ML22">NA()</definedName>
    <definedName name="____________________ML220" localSheetId="10">NA()</definedName>
    <definedName name="____________________ML220">NA()</definedName>
    <definedName name="____________________ML221" localSheetId="10">NA()</definedName>
    <definedName name="____________________ML221">NA()</definedName>
    <definedName name="____________________ML222" localSheetId="10">NA()</definedName>
    <definedName name="____________________ML222">NA()</definedName>
    <definedName name="____________________ML223" localSheetId="10">NA()</definedName>
    <definedName name="____________________ML223">NA()</definedName>
    <definedName name="____________________ML224" localSheetId="10">NA()</definedName>
    <definedName name="____________________ML224">NA()</definedName>
    <definedName name="____________________ML23" localSheetId="10">NA()</definedName>
    <definedName name="____________________ML23">NA()</definedName>
    <definedName name="____________________ML24" localSheetId="10">NA()</definedName>
    <definedName name="____________________ML24">NA()</definedName>
    <definedName name="____________________ML25" localSheetId="10">NA()</definedName>
    <definedName name="____________________ML25">NA()</definedName>
    <definedName name="____________________ML26" localSheetId="10">NA()</definedName>
    <definedName name="____________________ML26">NA()</definedName>
    <definedName name="____________________ML27" localSheetId="10">NA()</definedName>
    <definedName name="____________________ML27">NA()</definedName>
    <definedName name="____________________ML28" localSheetId="10">NA()</definedName>
    <definedName name="____________________ML28">NA()</definedName>
    <definedName name="____________________ML29" localSheetId="10">NA()</definedName>
    <definedName name="____________________ML29">NA()</definedName>
    <definedName name="____________________ML31" localSheetId="10">NA()</definedName>
    <definedName name="____________________ML31">NA()</definedName>
    <definedName name="____________________ML310" localSheetId="10">NA()</definedName>
    <definedName name="____________________ML310">NA()</definedName>
    <definedName name="____________________ML311" localSheetId="10">NA()</definedName>
    <definedName name="____________________ML311">NA()</definedName>
    <definedName name="____________________ML312" localSheetId="10">NA()</definedName>
    <definedName name="____________________ML312">NA()</definedName>
    <definedName name="____________________ML313" localSheetId="10">NA()</definedName>
    <definedName name="____________________ML313">NA()</definedName>
    <definedName name="____________________ML314" localSheetId="10">NA()</definedName>
    <definedName name="____________________ML314">NA()</definedName>
    <definedName name="____________________ML315" localSheetId="10">NA()</definedName>
    <definedName name="____________________ML315">NA()</definedName>
    <definedName name="____________________ML316" localSheetId="10">NA()</definedName>
    <definedName name="____________________ML316">NA()</definedName>
    <definedName name="____________________ML317" localSheetId="10">NA()</definedName>
    <definedName name="____________________ML317">NA()</definedName>
    <definedName name="____________________ML318" localSheetId="10">NA()</definedName>
    <definedName name="____________________ML318">NA()</definedName>
    <definedName name="____________________ML319" localSheetId="10">NA()</definedName>
    <definedName name="____________________ML319">NA()</definedName>
    <definedName name="____________________ML32" localSheetId="10">NA()</definedName>
    <definedName name="____________________ML32">NA()</definedName>
    <definedName name="____________________ML320" localSheetId="10">NA()</definedName>
    <definedName name="____________________ML320">NA()</definedName>
    <definedName name="____________________ML321" localSheetId="10">NA()</definedName>
    <definedName name="____________________ML321">NA()</definedName>
    <definedName name="____________________ML322" localSheetId="10">NA()</definedName>
    <definedName name="____________________ML322">NA()</definedName>
    <definedName name="____________________ML323" localSheetId="10">NA()</definedName>
    <definedName name="____________________ML323">NA()</definedName>
    <definedName name="____________________ML324" localSheetId="10">NA()</definedName>
    <definedName name="____________________ML324">NA()</definedName>
    <definedName name="____________________ML33" localSheetId="10">NA()</definedName>
    <definedName name="____________________ML33">NA()</definedName>
    <definedName name="____________________ML34" localSheetId="10">NA()</definedName>
    <definedName name="____________________ML34">NA()</definedName>
    <definedName name="____________________ML35" localSheetId="10">NA()</definedName>
    <definedName name="____________________ML35">NA()</definedName>
    <definedName name="____________________ML36" localSheetId="10">NA()</definedName>
    <definedName name="____________________ML36">NA()</definedName>
    <definedName name="____________________ML37" localSheetId="10">NA()</definedName>
    <definedName name="____________________ML37">NA()</definedName>
    <definedName name="____________________ML38" localSheetId="10">NA()</definedName>
    <definedName name="____________________ML38">NA()</definedName>
    <definedName name="____________________ML39" localSheetId="10">NA()</definedName>
    <definedName name="____________________ML39">NA()</definedName>
    <definedName name="____________________ML7" localSheetId="10">NA()</definedName>
    <definedName name="____________________ML7">NA()</definedName>
    <definedName name="____________________ML8" localSheetId="10">NA()</definedName>
    <definedName name="____________________ML8">NA()</definedName>
    <definedName name="____________________ML9" localSheetId="10">NA()</definedName>
    <definedName name="____________________ML9">NA()</definedName>
    <definedName name="____________________mm1000" localSheetId="10">NA()</definedName>
    <definedName name="____________________mm1000">NA()</definedName>
    <definedName name="____________________mm600" localSheetId="10">NA()</definedName>
    <definedName name="____________________mm600">NA()</definedName>
    <definedName name="____________________mm800" localSheetId="10">NA()</definedName>
    <definedName name="____________________mm800">NA()</definedName>
    <definedName name="____________________PC1" localSheetId="10">NA()</definedName>
    <definedName name="____________________PC1">NA()</definedName>
    <definedName name="____________________PC10" localSheetId="10">NA()</definedName>
    <definedName name="____________________PC10">NA()</definedName>
    <definedName name="____________________PC11" localSheetId="10">NA()</definedName>
    <definedName name="____________________PC11">NA()</definedName>
    <definedName name="____________________PC12" localSheetId="10">NA()</definedName>
    <definedName name="____________________PC12">NA()</definedName>
    <definedName name="____________________PC13" localSheetId="10">NA()</definedName>
    <definedName name="____________________PC13">NA()</definedName>
    <definedName name="____________________PC14" localSheetId="10">NA()</definedName>
    <definedName name="____________________PC14">NA()</definedName>
    <definedName name="____________________PC15" localSheetId="10">NA()</definedName>
    <definedName name="____________________PC15">NA()</definedName>
    <definedName name="____________________PC16" localSheetId="10">NA()</definedName>
    <definedName name="____________________PC16">NA()</definedName>
    <definedName name="____________________PC17" localSheetId="10">NA()</definedName>
    <definedName name="____________________PC17">NA()</definedName>
    <definedName name="____________________PC18" localSheetId="10">NA()</definedName>
    <definedName name="____________________PC18">NA()</definedName>
    <definedName name="____________________PC19" localSheetId="10">NA()</definedName>
    <definedName name="____________________PC19">NA()</definedName>
    <definedName name="____________________pc2" localSheetId="10">NA()</definedName>
    <definedName name="____________________pc2">NA()</definedName>
    <definedName name="____________________PC20" localSheetId="10">NA()</definedName>
    <definedName name="____________________PC20">NA()</definedName>
    <definedName name="____________________PC21" localSheetId="10">NA()</definedName>
    <definedName name="____________________PC21">NA()</definedName>
    <definedName name="____________________PC22" localSheetId="10">NA()</definedName>
    <definedName name="____________________PC22">NA()</definedName>
    <definedName name="____________________PC23" localSheetId="10">NA()</definedName>
    <definedName name="____________________PC23">NA()</definedName>
    <definedName name="____________________PC24" localSheetId="10">NA()</definedName>
    <definedName name="____________________PC24">NA()</definedName>
    <definedName name="____________________PC3" localSheetId="10">NA()</definedName>
    <definedName name="____________________PC3">NA()</definedName>
    <definedName name="____________________PC4" localSheetId="10">NA()</definedName>
    <definedName name="____________________PC4">NA()</definedName>
    <definedName name="____________________PC5" localSheetId="10">NA()</definedName>
    <definedName name="____________________PC5">NA()</definedName>
    <definedName name="____________________PC6" localSheetId="10">NA()</definedName>
    <definedName name="____________________PC6">NA()</definedName>
    <definedName name="____________________pc600" localSheetId="10">NA()</definedName>
    <definedName name="____________________pc600">NA()</definedName>
    <definedName name="____________________PC7" localSheetId="10">NA()</definedName>
    <definedName name="____________________PC7">NA()</definedName>
    <definedName name="____________________PC8" localSheetId="10">NA()</definedName>
    <definedName name="____________________PC8">NA()</definedName>
    <definedName name="____________________PC9" localSheetId="10">NA()</definedName>
    <definedName name="____________________PC9">NA()</definedName>
    <definedName name="____________________pc900" localSheetId="10">NA()</definedName>
    <definedName name="____________________pc900">NA()</definedName>
    <definedName name="____________________pv2" localSheetId="10">NA()</definedName>
    <definedName name="____________________pv2">NA()</definedName>
    <definedName name="____________________var1" localSheetId="10">NA()</definedName>
    <definedName name="____________________var1">NA()</definedName>
    <definedName name="____________________var4" localSheetId="10">NA()</definedName>
    <definedName name="____________________var4">NA()</definedName>
    <definedName name="____________________vat1" localSheetId="10">NA()</definedName>
    <definedName name="____________________vat1">NA()</definedName>
    <definedName name="___________________BSG100" localSheetId="10">NA()</definedName>
    <definedName name="___________________BSG100">NA()</definedName>
    <definedName name="___________________BSG150" localSheetId="10">NA()</definedName>
    <definedName name="___________________BSG150">NA()</definedName>
    <definedName name="___________________BSG5" localSheetId="10">NA()</definedName>
    <definedName name="___________________BSG5">NA()</definedName>
    <definedName name="___________________BSG75" localSheetId="10">NA()</definedName>
    <definedName name="___________________BSG75">NA()</definedName>
    <definedName name="___________________BTC1" localSheetId="10">NA()</definedName>
    <definedName name="___________________BTC1">NA()</definedName>
    <definedName name="___________________BTC10" localSheetId="10">NA()</definedName>
    <definedName name="___________________BTC10">NA()</definedName>
    <definedName name="___________________BTC11" localSheetId="10">NA()</definedName>
    <definedName name="___________________BTC11">NA()</definedName>
    <definedName name="___________________BTC12" localSheetId="10">NA()</definedName>
    <definedName name="___________________BTC12">NA()</definedName>
    <definedName name="___________________BTC13" localSheetId="10">NA()</definedName>
    <definedName name="___________________BTC13">NA()</definedName>
    <definedName name="___________________BTC14" localSheetId="10">NA()</definedName>
    <definedName name="___________________BTC14">NA()</definedName>
    <definedName name="___________________BTC15" localSheetId="10">NA()</definedName>
    <definedName name="___________________BTC15">NA()</definedName>
    <definedName name="___________________BTC16" localSheetId="10">NA()</definedName>
    <definedName name="___________________BTC16">NA()</definedName>
    <definedName name="___________________BTC17" localSheetId="10">NA()</definedName>
    <definedName name="___________________BTC17">NA()</definedName>
    <definedName name="___________________BTC18" localSheetId="10">NA()</definedName>
    <definedName name="___________________BTC18">NA()</definedName>
    <definedName name="___________________BTC19" localSheetId="10">NA()</definedName>
    <definedName name="___________________BTC19">NA()</definedName>
    <definedName name="___________________BTC2" localSheetId="10">NA()</definedName>
    <definedName name="___________________BTC2">NA()</definedName>
    <definedName name="___________________BTC20" localSheetId="10">NA()</definedName>
    <definedName name="___________________BTC20">NA()</definedName>
    <definedName name="___________________BTC21" localSheetId="10">NA()</definedName>
    <definedName name="___________________BTC21">NA()</definedName>
    <definedName name="___________________BTC22" localSheetId="10">NA()</definedName>
    <definedName name="___________________BTC22">NA()</definedName>
    <definedName name="___________________BTC23" localSheetId="10">NA()</definedName>
    <definedName name="___________________BTC23">NA()</definedName>
    <definedName name="___________________BTC24" localSheetId="10">NA()</definedName>
    <definedName name="___________________BTC24">NA()</definedName>
    <definedName name="___________________BTC3" localSheetId="10">NA()</definedName>
    <definedName name="___________________BTC3">NA()</definedName>
    <definedName name="___________________BTC4" localSheetId="10">NA()</definedName>
    <definedName name="___________________BTC4">NA()</definedName>
    <definedName name="___________________BTC5" localSheetId="10">NA()</definedName>
    <definedName name="___________________BTC5">NA()</definedName>
    <definedName name="___________________BTC6" localSheetId="10">NA()</definedName>
    <definedName name="___________________BTC6">NA()</definedName>
    <definedName name="___________________BTC7" localSheetId="10">NA()</definedName>
    <definedName name="___________________BTC7">NA()</definedName>
    <definedName name="___________________BTC8" localSheetId="10">NA()</definedName>
    <definedName name="___________________BTC8">NA()</definedName>
    <definedName name="___________________BTC9" localSheetId="10">NA()</definedName>
    <definedName name="___________________BTC9">NA()</definedName>
    <definedName name="___________________BTR1" localSheetId="10">NA()</definedName>
    <definedName name="___________________BTR1">NA()</definedName>
    <definedName name="___________________BTR10" localSheetId="10">NA()</definedName>
    <definedName name="___________________BTR10">NA()</definedName>
    <definedName name="___________________BTR11" localSheetId="10">NA()</definedName>
    <definedName name="___________________BTR11">NA()</definedName>
    <definedName name="___________________BTR12" localSheetId="10">NA()</definedName>
    <definedName name="___________________BTR12">NA()</definedName>
    <definedName name="___________________BTR13" localSheetId="10">NA()</definedName>
    <definedName name="___________________BTR13">NA()</definedName>
    <definedName name="___________________BTR14" localSheetId="10">NA()</definedName>
    <definedName name="___________________BTR14">NA()</definedName>
    <definedName name="___________________BTR15" localSheetId="10">NA()</definedName>
    <definedName name="___________________BTR15">NA()</definedName>
    <definedName name="___________________BTR16" localSheetId="10">NA()</definedName>
    <definedName name="___________________BTR16">NA()</definedName>
    <definedName name="___________________BTR17" localSheetId="10">NA()</definedName>
    <definedName name="___________________BTR17">NA()</definedName>
    <definedName name="___________________BTR18" localSheetId="10">NA()</definedName>
    <definedName name="___________________BTR18">NA()</definedName>
    <definedName name="___________________BTR19" localSheetId="10">NA()</definedName>
    <definedName name="___________________BTR19">NA()</definedName>
    <definedName name="___________________BTR2" localSheetId="10">NA()</definedName>
    <definedName name="___________________BTR2">NA()</definedName>
    <definedName name="___________________BTR20" localSheetId="10">NA()</definedName>
    <definedName name="___________________BTR20">NA()</definedName>
    <definedName name="___________________BTR21" localSheetId="10">NA()</definedName>
    <definedName name="___________________BTR21">NA()</definedName>
    <definedName name="___________________BTR22" localSheetId="10">NA()</definedName>
    <definedName name="___________________BTR22">NA()</definedName>
    <definedName name="___________________BTR23" localSheetId="10">NA()</definedName>
    <definedName name="___________________BTR23">NA()</definedName>
    <definedName name="___________________BTR24" localSheetId="10">NA()</definedName>
    <definedName name="___________________BTR24">NA()</definedName>
    <definedName name="___________________BTR3" localSheetId="10">NA()</definedName>
    <definedName name="___________________BTR3">NA()</definedName>
    <definedName name="___________________BTR4" localSheetId="10">NA()</definedName>
    <definedName name="___________________BTR4">NA()</definedName>
    <definedName name="___________________BTR5" localSheetId="10">NA()</definedName>
    <definedName name="___________________BTR5">NA()</definedName>
    <definedName name="___________________BTR6" localSheetId="10">NA()</definedName>
    <definedName name="___________________BTR6">NA()</definedName>
    <definedName name="___________________BTR7" localSheetId="10">NA()</definedName>
    <definedName name="___________________BTR7">NA()</definedName>
    <definedName name="___________________BTR8" localSheetId="10">NA()</definedName>
    <definedName name="___________________BTR8">NA()</definedName>
    <definedName name="___________________BTR9" localSheetId="10">NA()</definedName>
    <definedName name="___________________BTR9">NA()</definedName>
    <definedName name="___________________BTS1" localSheetId="10">NA()</definedName>
    <definedName name="___________________BTS1">NA()</definedName>
    <definedName name="___________________BTS10" localSheetId="10">NA()</definedName>
    <definedName name="___________________BTS10">NA()</definedName>
    <definedName name="___________________BTS11" localSheetId="10">NA()</definedName>
    <definedName name="___________________BTS11">NA()</definedName>
    <definedName name="___________________BTS12" localSheetId="10">NA()</definedName>
    <definedName name="___________________BTS12">NA()</definedName>
    <definedName name="___________________BTS13" localSheetId="10">NA()</definedName>
    <definedName name="___________________BTS13">NA()</definedName>
    <definedName name="___________________BTS14" localSheetId="10">NA()</definedName>
    <definedName name="___________________BTS14">NA()</definedName>
    <definedName name="___________________BTS15" localSheetId="10">NA()</definedName>
    <definedName name="___________________BTS15">NA()</definedName>
    <definedName name="___________________BTS16" localSheetId="10">NA()</definedName>
    <definedName name="___________________BTS16">NA()</definedName>
    <definedName name="___________________BTS17" localSheetId="10">NA()</definedName>
    <definedName name="___________________BTS17">NA()</definedName>
    <definedName name="___________________BTS18" localSheetId="10">NA()</definedName>
    <definedName name="___________________BTS18">NA()</definedName>
    <definedName name="___________________BTS19" localSheetId="10">NA()</definedName>
    <definedName name="___________________BTS19">NA()</definedName>
    <definedName name="___________________BTS2" localSheetId="10">NA()</definedName>
    <definedName name="___________________BTS2">NA()</definedName>
    <definedName name="___________________BTS20" localSheetId="10">NA()</definedName>
    <definedName name="___________________BTS20">NA()</definedName>
    <definedName name="___________________BTS21" localSheetId="10">NA()</definedName>
    <definedName name="___________________BTS21">NA()</definedName>
    <definedName name="___________________BTS22" localSheetId="10">NA()</definedName>
    <definedName name="___________________BTS22">NA()</definedName>
    <definedName name="___________________BTS23" localSheetId="10">NA()</definedName>
    <definedName name="___________________BTS23">NA()</definedName>
    <definedName name="___________________BTS24" localSheetId="10">NA()</definedName>
    <definedName name="___________________BTS24">NA()</definedName>
    <definedName name="___________________BTS3" localSheetId="10">NA()</definedName>
    <definedName name="___________________BTS3">NA()</definedName>
    <definedName name="___________________BTS4" localSheetId="10">NA()</definedName>
    <definedName name="___________________BTS4">NA()</definedName>
    <definedName name="___________________BTS5" localSheetId="10">NA()</definedName>
    <definedName name="___________________BTS5">NA()</definedName>
    <definedName name="___________________BTS6" localSheetId="10">NA()</definedName>
    <definedName name="___________________BTS6">NA()</definedName>
    <definedName name="___________________BTS7" localSheetId="10">NA()</definedName>
    <definedName name="___________________BTS7">NA()</definedName>
    <definedName name="___________________BTS8" localSheetId="10">NA()</definedName>
    <definedName name="___________________BTS8">NA()</definedName>
    <definedName name="___________________BTS9" localSheetId="10">NA()</definedName>
    <definedName name="___________________BTS9">NA()</definedName>
    <definedName name="___________________can430">40.73</definedName>
    <definedName name="___________________can435">43.3</definedName>
    <definedName name="___________________GBS11" localSheetId="10">NA()</definedName>
    <definedName name="___________________GBS11">NA()</definedName>
    <definedName name="___________________GBS110" localSheetId="10">NA()</definedName>
    <definedName name="___________________GBS110">NA()</definedName>
    <definedName name="___________________GBS111" localSheetId="10">NA()</definedName>
    <definedName name="___________________GBS111">NA()</definedName>
    <definedName name="___________________GBS112" localSheetId="10">NA()</definedName>
    <definedName name="___________________GBS112">NA()</definedName>
    <definedName name="___________________GBS113" localSheetId="10">NA()</definedName>
    <definedName name="___________________GBS113">NA()</definedName>
    <definedName name="___________________GBS114" localSheetId="10">NA()</definedName>
    <definedName name="___________________GBS114">NA()</definedName>
    <definedName name="___________________GBS115" localSheetId="10">NA()</definedName>
    <definedName name="___________________GBS115">NA()</definedName>
    <definedName name="___________________GBS116" localSheetId="10">NA()</definedName>
    <definedName name="___________________GBS116">NA()</definedName>
    <definedName name="___________________GBS117" localSheetId="10">NA()</definedName>
    <definedName name="___________________GBS117">NA()</definedName>
    <definedName name="___________________GBS118" localSheetId="10">NA()</definedName>
    <definedName name="___________________GBS118">NA()</definedName>
    <definedName name="___________________GBS119" localSheetId="10">NA()</definedName>
    <definedName name="___________________GBS119">NA()</definedName>
    <definedName name="___________________GBS12" localSheetId="10">NA()</definedName>
    <definedName name="___________________GBS12">NA()</definedName>
    <definedName name="___________________GBS120" localSheetId="10">NA()</definedName>
    <definedName name="___________________GBS120">NA()</definedName>
    <definedName name="___________________GBS121" localSheetId="10">NA()</definedName>
    <definedName name="___________________GBS121">NA()</definedName>
    <definedName name="___________________GBS122" localSheetId="10">NA()</definedName>
    <definedName name="___________________GBS122">NA()</definedName>
    <definedName name="___________________GBS123" localSheetId="10">NA()</definedName>
    <definedName name="___________________GBS123">NA()</definedName>
    <definedName name="___________________GBS124" localSheetId="10">NA()</definedName>
    <definedName name="___________________GBS124">NA()</definedName>
    <definedName name="___________________GBS13" localSheetId="10">NA()</definedName>
    <definedName name="___________________GBS13">NA()</definedName>
    <definedName name="___________________GBS14" localSheetId="10">NA()</definedName>
    <definedName name="___________________GBS14">NA()</definedName>
    <definedName name="___________________GBS15" localSheetId="10">NA()</definedName>
    <definedName name="___________________GBS15">NA()</definedName>
    <definedName name="___________________GBS16" localSheetId="10">NA()</definedName>
    <definedName name="___________________GBS16">NA()</definedName>
    <definedName name="___________________GBS17" localSheetId="10">NA()</definedName>
    <definedName name="___________________GBS17">NA()</definedName>
    <definedName name="___________________GBS18" localSheetId="10">NA()</definedName>
    <definedName name="___________________GBS18">NA()</definedName>
    <definedName name="___________________GBS19" localSheetId="10">NA()</definedName>
    <definedName name="___________________GBS19">NA()</definedName>
    <definedName name="___________________GBS21" localSheetId="10">NA()</definedName>
    <definedName name="___________________GBS21">NA()</definedName>
    <definedName name="___________________GBS210" localSheetId="10">NA()</definedName>
    <definedName name="___________________GBS210">NA()</definedName>
    <definedName name="___________________GBS211" localSheetId="10">NA()</definedName>
    <definedName name="___________________GBS211">NA()</definedName>
    <definedName name="___________________GBS212" localSheetId="10">NA()</definedName>
    <definedName name="___________________GBS212">NA()</definedName>
    <definedName name="___________________GBS213" localSheetId="10">NA()</definedName>
    <definedName name="___________________GBS213">NA()</definedName>
    <definedName name="___________________GBS214" localSheetId="10">NA()</definedName>
    <definedName name="___________________GBS214">NA()</definedName>
    <definedName name="___________________GBS215" localSheetId="10">NA()</definedName>
    <definedName name="___________________GBS215">NA()</definedName>
    <definedName name="___________________GBS216" localSheetId="10">NA()</definedName>
    <definedName name="___________________GBS216">NA()</definedName>
    <definedName name="___________________GBS217" localSheetId="10">NA()</definedName>
    <definedName name="___________________GBS217">NA()</definedName>
    <definedName name="___________________GBS218" localSheetId="10">NA()</definedName>
    <definedName name="___________________GBS218">NA()</definedName>
    <definedName name="___________________GBS219" localSheetId="10">NA()</definedName>
    <definedName name="___________________GBS219">NA()</definedName>
    <definedName name="___________________GBS22" localSheetId="10">NA()</definedName>
    <definedName name="___________________GBS22">NA()</definedName>
    <definedName name="___________________GBS220" localSheetId="10">NA()</definedName>
    <definedName name="___________________GBS220">NA()</definedName>
    <definedName name="___________________GBS221" localSheetId="10">NA()</definedName>
    <definedName name="___________________GBS221">NA()</definedName>
    <definedName name="___________________GBS222" localSheetId="10">NA()</definedName>
    <definedName name="___________________GBS222">NA()</definedName>
    <definedName name="___________________GBS223" localSheetId="10">NA()</definedName>
    <definedName name="___________________GBS223">NA()</definedName>
    <definedName name="___________________GBS224" localSheetId="10">NA()</definedName>
    <definedName name="___________________GBS224">NA()</definedName>
    <definedName name="___________________GBS23" localSheetId="10">NA()</definedName>
    <definedName name="___________________GBS23">NA()</definedName>
    <definedName name="___________________GBS24" localSheetId="10">NA()</definedName>
    <definedName name="___________________GBS24">NA()</definedName>
    <definedName name="___________________GBS25" localSheetId="10">NA()</definedName>
    <definedName name="___________________GBS25">NA()</definedName>
    <definedName name="___________________GBS26" localSheetId="10">NA()</definedName>
    <definedName name="___________________GBS26">NA()</definedName>
    <definedName name="___________________GBS27" localSheetId="10">NA()</definedName>
    <definedName name="___________________GBS27">NA()</definedName>
    <definedName name="___________________GBS28" localSheetId="10">NA()</definedName>
    <definedName name="___________________GBS28">NA()</definedName>
    <definedName name="___________________GBS29" localSheetId="10">NA()</definedName>
    <definedName name="___________________GBS29">NA()</definedName>
    <definedName name="___________________knr2">NA()</definedName>
    <definedName name="___________________l12" localSheetId="10">NA()</definedName>
    <definedName name="___________________l12">NA()</definedName>
    <definedName name="___________________l3" localSheetId="10">NA()</definedName>
    <definedName name="___________________l3">NA()</definedName>
    <definedName name="___________________l5" localSheetId="10">NA()</definedName>
    <definedName name="___________________l5">NA()</definedName>
    <definedName name="___________________lj600" localSheetId="10">NA()</definedName>
    <definedName name="___________________lj600">NA()</definedName>
    <definedName name="___________________lj900" localSheetId="10">NA()</definedName>
    <definedName name="___________________lj900">NA()</definedName>
    <definedName name="___________________LL3" localSheetId="10">NA()</definedName>
    <definedName name="___________________LL3">NA()</definedName>
    <definedName name="___________________LSO24" localSheetId="10">NA()</definedName>
    <definedName name="___________________LSO24">"[14]lead!#ref!"</definedName>
    <definedName name="___________________MA1" localSheetId="10">NA()</definedName>
    <definedName name="___________________MA1">NA()</definedName>
    <definedName name="___________________MA2" localSheetId="10">NA()</definedName>
    <definedName name="___________________MA2">NA()</definedName>
    <definedName name="___________________Met22" localSheetId="10">NA()</definedName>
    <definedName name="___________________Met22">NA()</definedName>
    <definedName name="___________________Met45" localSheetId="10">NA()</definedName>
    <definedName name="___________________Met45">NA()</definedName>
    <definedName name="___________________MEt55" localSheetId="10">NA()</definedName>
    <definedName name="___________________MEt55">NA()</definedName>
    <definedName name="___________________Met63" localSheetId="10">NA()</definedName>
    <definedName name="___________________Met63">NA()</definedName>
    <definedName name="___________________ML21" localSheetId="10">NA()</definedName>
    <definedName name="___________________ML21">NA()</definedName>
    <definedName name="___________________ML210" localSheetId="10">NA()</definedName>
    <definedName name="___________________ML210">NA()</definedName>
    <definedName name="___________________ML211" localSheetId="10">NA()</definedName>
    <definedName name="___________________ML211">NA()</definedName>
    <definedName name="___________________ML212" localSheetId="10">NA()</definedName>
    <definedName name="___________________ML212">NA()</definedName>
    <definedName name="___________________ML213" localSheetId="10">NA()</definedName>
    <definedName name="___________________ML213">NA()</definedName>
    <definedName name="___________________ML214" localSheetId="10">NA()</definedName>
    <definedName name="___________________ML214">NA()</definedName>
    <definedName name="___________________ML215" localSheetId="10">NA()</definedName>
    <definedName name="___________________ML215">NA()</definedName>
    <definedName name="___________________ML216" localSheetId="10">NA()</definedName>
    <definedName name="___________________ML216">NA()</definedName>
    <definedName name="___________________ML217" localSheetId="10">NA()</definedName>
    <definedName name="___________________ML217">NA()</definedName>
    <definedName name="___________________ML218" localSheetId="10">NA()</definedName>
    <definedName name="___________________ML218">NA()</definedName>
    <definedName name="___________________ML219" localSheetId="10">NA()</definedName>
    <definedName name="___________________ML219">NA()</definedName>
    <definedName name="___________________ML22" localSheetId="10">NA()</definedName>
    <definedName name="___________________ML22">NA()</definedName>
    <definedName name="___________________ML220" localSheetId="10">NA()</definedName>
    <definedName name="___________________ML220">NA()</definedName>
    <definedName name="___________________ML221" localSheetId="10">NA()</definedName>
    <definedName name="___________________ML221">NA()</definedName>
    <definedName name="___________________ML222" localSheetId="10">NA()</definedName>
    <definedName name="___________________ML222">NA()</definedName>
    <definedName name="___________________ML223" localSheetId="10">NA()</definedName>
    <definedName name="___________________ML223">NA()</definedName>
    <definedName name="___________________ML224" localSheetId="10">NA()</definedName>
    <definedName name="___________________ML224">NA()</definedName>
    <definedName name="___________________ML23" localSheetId="10">NA()</definedName>
    <definedName name="___________________ML23">NA()</definedName>
    <definedName name="___________________ML24" localSheetId="10">NA()</definedName>
    <definedName name="___________________ML24">NA()</definedName>
    <definedName name="___________________ML25" localSheetId="10">NA()</definedName>
    <definedName name="___________________ML25">NA()</definedName>
    <definedName name="___________________ML26" localSheetId="10">NA()</definedName>
    <definedName name="___________________ML26">NA()</definedName>
    <definedName name="___________________ML27" localSheetId="10">NA()</definedName>
    <definedName name="___________________ML27">NA()</definedName>
    <definedName name="___________________ML28" localSheetId="10">NA()</definedName>
    <definedName name="___________________ML28">NA()</definedName>
    <definedName name="___________________ML29" localSheetId="10">NA()</definedName>
    <definedName name="___________________ML29">NA()</definedName>
    <definedName name="___________________ML31" localSheetId="10">NA()</definedName>
    <definedName name="___________________ML31">NA()</definedName>
    <definedName name="___________________ML310" localSheetId="10">NA()</definedName>
    <definedName name="___________________ML310">NA()</definedName>
    <definedName name="___________________ML311" localSheetId="10">NA()</definedName>
    <definedName name="___________________ML311">NA()</definedName>
    <definedName name="___________________ML312" localSheetId="10">NA()</definedName>
    <definedName name="___________________ML312">NA()</definedName>
    <definedName name="___________________ML313" localSheetId="10">NA()</definedName>
    <definedName name="___________________ML313">NA()</definedName>
    <definedName name="___________________ML314" localSheetId="10">NA()</definedName>
    <definedName name="___________________ML314">NA()</definedName>
    <definedName name="___________________ML315" localSheetId="10">NA()</definedName>
    <definedName name="___________________ML315">NA()</definedName>
    <definedName name="___________________ML316" localSheetId="10">NA()</definedName>
    <definedName name="___________________ML316">NA()</definedName>
    <definedName name="___________________ML317" localSheetId="10">NA()</definedName>
    <definedName name="___________________ML317">NA()</definedName>
    <definedName name="___________________ML318" localSheetId="10">NA()</definedName>
    <definedName name="___________________ML318">NA()</definedName>
    <definedName name="___________________ML319" localSheetId="10">NA()</definedName>
    <definedName name="___________________ML319">NA()</definedName>
    <definedName name="___________________ML32" localSheetId="10">NA()</definedName>
    <definedName name="___________________ML32">NA()</definedName>
    <definedName name="___________________ML320" localSheetId="10">NA()</definedName>
    <definedName name="___________________ML320">NA()</definedName>
    <definedName name="___________________ML321" localSheetId="10">NA()</definedName>
    <definedName name="___________________ML321">NA()</definedName>
    <definedName name="___________________ML322" localSheetId="10">NA()</definedName>
    <definedName name="___________________ML322">NA()</definedName>
    <definedName name="___________________ML323" localSheetId="10">NA()</definedName>
    <definedName name="___________________ML323">NA()</definedName>
    <definedName name="___________________ML324" localSheetId="10">NA()</definedName>
    <definedName name="___________________ML324">NA()</definedName>
    <definedName name="___________________ML33" localSheetId="10">NA()</definedName>
    <definedName name="___________________ML33">NA()</definedName>
    <definedName name="___________________ML34" localSheetId="10">NA()</definedName>
    <definedName name="___________________ML34">NA()</definedName>
    <definedName name="___________________ML35" localSheetId="10">NA()</definedName>
    <definedName name="___________________ML35">NA()</definedName>
    <definedName name="___________________ML36" localSheetId="10">NA()</definedName>
    <definedName name="___________________ML36">NA()</definedName>
    <definedName name="___________________ML37" localSheetId="10">NA()</definedName>
    <definedName name="___________________ML37">NA()</definedName>
    <definedName name="___________________ML38" localSheetId="10">NA()</definedName>
    <definedName name="___________________ML38">NA()</definedName>
    <definedName name="___________________ML39" localSheetId="10">NA()</definedName>
    <definedName name="___________________ML39">NA()</definedName>
    <definedName name="___________________ML7" localSheetId="10">NA()</definedName>
    <definedName name="___________________ML7">NA()</definedName>
    <definedName name="___________________ML8" localSheetId="10">NA()</definedName>
    <definedName name="___________________ML8">NA()</definedName>
    <definedName name="___________________ML9" localSheetId="10">NA()</definedName>
    <definedName name="___________________ML9">NA()</definedName>
    <definedName name="___________________mm1000" localSheetId="10">NA()</definedName>
    <definedName name="___________________mm1000">NA()</definedName>
    <definedName name="___________________mm600" localSheetId="10">NA()</definedName>
    <definedName name="___________________mm600">NA()</definedName>
    <definedName name="___________________mm800" localSheetId="10">NA()</definedName>
    <definedName name="___________________mm800">NA()</definedName>
    <definedName name="___________________PC1" localSheetId="10">NA()</definedName>
    <definedName name="___________________PC1">NA()</definedName>
    <definedName name="___________________PC10" localSheetId="10">NA()</definedName>
    <definedName name="___________________PC10">NA()</definedName>
    <definedName name="___________________PC11" localSheetId="10">NA()</definedName>
    <definedName name="___________________PC11">NA()</definedName>
    <definedName name="___________________PC12" localSheetId="10">NA()</definedName>
    <definedName name="___________________PC12">NA()</definedName>
    <definedName name="___________________PC13" localSheetId="10">NA()</definedName>
    <definedName name="___________________PC13">NA()</definedName>
    <definedName name="___________________PC14" localSheetId="10">NA()</definedName>
    <definedName name="___________________PC14">NA()</definedName>
    <definedName name="___________________PC15" localSheetId="10">NA()</definedName>
    <definedName name="___________________PC15">NA()</definedName>
    <definedName name="___________________PC16" localSheetId="10">NA()</definedName>
    <definedName name="___________________PC16">NA()</definedName>
    <definedName name="___________________PC17" localSheetId="10">NA()</definedName>
    <definedName name="___________________PC17">NA()</definedName>
    <definedName name="___________________PC18" localSheetId="10">NA()</definedName>
    <definedName name="___________________PC18">NA()</definedName>
    <definedName name="___________________PC19" localSheetId="10">NA()</definedName>
    <definedName name="___________________PC19">NA()</definedName>
    <definedName name="___________________pc2" localSheetId="10">NA()</definedName>
    <definedName name="___________________pc2">NA()</definedName>
    <definedName name="___________________PC20" localSheetId="10">NA()</definedName>
    <definedName name="___________________PC20">NA()</definedName>
    <definedName name="___________________PC21" localSheetId="10">NA()</definedName>
    <definedName name="___________________PC21">NA()</definedName>
    <definedName name="___________________PC22" localSheetId="10">NA()</definedName>
    <definedName name="___________________PC22">NA()</definedName>
    <definedName name="___________________PC23" localSheetId="10">NA()</definedName>
    <definedName name="___________________PC23">NA()</definedName>
    <definedName name="___________________PC24" localSheetId="10">NA()</definedName>
    <definedName name="___________________PC24">NA()</definedName>
    <definedName name="___________________PC3" localSheetId="10">NA()</definedName>
    <definedName name="___________________PC3">NA()</definedName>
    <definedName name="___________________PC4" localSheetId="10">NA()</definedName>
    <definedName name="___________________PC4">NA()</definedName>
    <definedName name="___________________PC5" localSheetId="10">NA()</definedName>
    <definedName name="___________________PC5">NA()</definedName>
    <definedName name="___________________PC6" localSheetId="10">NA()</definedName>
    <definedName name="___________________PC6">NA()</definedName>
    <definedName name="___________________pc600" localSheetId="10">NA()</definedName>
    <definedName name="___________________pc600">NA()</definedName>
    <definedName name="___________________PC7" localSheetId="10">NA()</definedName>
    <definedName name="___________________PC7">NA()</definedName>
    <definedName name="___________________PC8" localSheetId="10">NA()</definedName>
    <definedName name="___________________PC8">NA()</definedName>
    <definedName name="___________________PC9" localSheetId="10">NA()</definedName>
    <definedName name="___________________PC9">NA()</definedName>
    <definedName name="___________________pc900" localSheetId="10">NA()</definedName>
    <definedName name="___________________pc900">NA()</definedName>
    <definedName name="___________________pv2" localSheetId="10">NA()</definedName>
    <definedName name="___________________pv2">NA()</definedName>
    <definedName name="___________________var1" localSheetId="10">NA()</definedName>
    <definedName name="___________________var1">NA()</definedName>
    <definedName name="___________________var4" localSheetId="10">NA()</definedName>
    <definedName name="___________________var4">NA()</definedName>
    <definedName name="___________________vat1" localSheetId="10">NA()</definedName>
    <definedName name="___________________vat1">NA()</definedName>
    <definedName name="__________________BSG100" localSheetId="10">NA()</definedName>
    <definedName name="__________________BSG100">NA()</definedName>
    <definedName name="__________________BSG150" localSheetId="10">NA()</definedName>
    <definedName name="__________________BSG150">NA()</definedName>
    <definedName name="__________________BSG5" localSheetId="10">NA()</definedName>
    <definedName name="__________________BSG5">NA()</definedName>
    <definedName name="__________________BSG75" localSheetId="10">NA()</definedName>
    <definedName name="__________________BSG75">NA()</definedName>
    <definedName name="__________________BTC1" localSheetId="10">NA()</definedName>
    <definedName name="__________________BTC1">NA()</definedName>
    <definedName name="__________________BTC10" localSheetId="10">NA()</definedName>
    <definedName name="__________________BTC10">NA()</definedName>
    <definedName name="__________________BTC11" localSheetId="10">NA()</definedName>
    <definedName name="__________________BTC11">NA()</definedName>
    <definedName name="__________________BTC12" localSheetId="10">NA()</definedName>
    <definedName name="__________________BTC12">NA()</definedName>
    <definedName name="__________________BTC13" localSheetId="10">NA()</definedName>
    <definedName name="__________________BTC13">NA()</definedName>
    <definedName name="__________________BTC14" localSheetId="10">NA()</definedName>
    <definedName name="__________________BTC14">NA()</definedName>
    <definedName name="__________________BTC15" localSheetId="10">NA()</definedName>
    <definedName name="__________________BTC15">NA()</definedName>
    <definedName name="__________________BTC16" localSheetId="10">NA()</definedName>
    <definedName name="__________________BTC16">NA()</definedName>
    <definedName name="__________________BTC17" localSheetId="10">NA()</definedName>
    <definedName name="__________________BTC17">NA()</definedName>
    <definedName name="__________________BTC18" localSheetId="10">NA()</definedName>
    <definedName name="__________________BTC18">NA()</definedName>
    <definedName name="__________________BTC19" localSheetId="10">NA()</definedName>
    <definedName name="__________________BTC19">NA()</definedName>
    <definedName name="__________________BTC2" localSheetId="10">NA()</definedName>
    <definedName name="__________________BTC2">NA()</definedName>
    <definedName name="__________________BTC20" localSheetId="10">NA()</definedName>
    <definedName name="__________________BTC20">NA()</definedName>
    <definedName name="__________________BTC21" localSheetId="10">NA()</definedName>
    <definedName name="__________________BTC21">NA()</definedName>
    <definedName name="__________________BTC22" localSheetId="10">NA()</definedName>
    <definedName name="__________________BTC22">NA()</definedName>
    <definedName name="__________________BTC23" localSheetId="10">NA()</definedName>
    <definedName name="__________________BTC23">NA()</definedName>
    <definedName name="__________________BTC24" localSheetId="10">NA()</definedName>
    <definedName name="__________________BTC24">NA()</definedName>
    <definedName name="__________________BTC3" localSheetId="10">NA()</definedName>
    <definedName name="__________________BTC3">NA()</definedName>
    <definedName name="__________________BTC4" localSheetId="10">NA()</definedName>
    <definedName name="__________________BTC4">NA()</definedName>
    <definedName name="__________________BTC5" localSheetId="10">NA()</definedName>
    <definedName name="__________________BTC5">NA()</definedName>
    <definedName name="__________________BTC6" localSheetId="10">NA()</definedName>
    <definedName name="__________________BTC6">NA()</definedName>
    <definedName name="__________________BTC7" localSheetId="10">NA()</definedName>
    <definedName name="__________________BTC7">NA()</definedName>
    <definedName name="__________________BTC8" localSheetId="10">NA()</definedName>
    <definedName name="__________________BTC8">NA()</definedName>
    <definedName name="__________________BTC9" localSheetId="10">NA()</definedName>
    <definedName name="__________________BTC9">NA()</definedName>
    <definedName name="__________________BTR1" localSheetId="10">NA()</definedName>
    <definedName name="__________________BTR1">NA()</definedName>
    <definedName name="__________________BTR10" localSheetId="10">NA()</definedName>
    <definedName name="__________________BTR10">NA()</definedName>
    <definedName name="__________________BTR11" localSheetId="10">NA()</definedName>
    <definedName name="__________________BTR11">NA()</definedName>
    <definedName name="__________________BTR12" localSheetId="10">NA()</definedName>
    <definedName name="__________________BTR12">NA()</definedName>
    <definedName name="__________________BTR13" localSheetId="10">NA()</definedName>
    <definedName name="__________________BTR13">NA()</definedName>
    <definedName name="__________________BTR14" localSheetId="10">NA()</definedName>
    <definedName name="__________________BTR14">NA()</definedName>
    <definedName name="__________________BTR15" localSheetId="10">NA()</definedName>
    <definedName name="__________________BTR15">NA()</definedName>
    <definedName name="__________________BTR16" localSheetId="10">NA()</definedName>
    <definedName name="__________________BTR16">NA()</definedName>
    <definedName name="__________________BTR17" localSheetId="10">NA()</definedName>
    <definedName name="__________________BTR17">NA()</definedName>
    <definedName name="__________________BTR18" localSheetId="10">NA()</definedName>
    <definedName name="__________________BTR18">NA()</definedName>
    <definedName name="__________________BTR19" localSheetId="10">NA()</definedName>
    <definedName name="__________________BTR19">NA()</definedName>
    <definedName name="__________________BTR2" localSheetId="10">NA()</definedName>
    <definedName name="__________________BTR2">NA()</definedName>
    <definedName name="__________________BTR20" localSheetId="10">NA()</definedName>
    <definedName name="__________________BTR20">NA()</definedName>
    <definedName name="__________________BTR21" localSheetId="10">NA()</definedName>
    <definedName name="__________________BTR21">NA()</definedName>
    <definedName name="__________________BTR22" localSheetId="10">NA()</definedName>
    <definedName name="__________________BTR22">NA()</definedName>
    <definedName name="__________________BTR23" localSheetId="10">NA()</definedName>
    <definedName name="__________________BTR23">NA()</definedName>
    <definedName name="__________________BTR24" localSheetId="10">NA()</definedName>
    <definedName name="__________________BTR24">NA()</definedName>
    <definedName name="__________________BTR3" localSheetId="10">NA()</definedName>
    <definedName name="__________________BTR3">NA()</definedName>
    <definedName name="__________________BTR4" localSheetId="10">NA()</definedName>
    <definedName name="__________________BTR4">NA()</definedName>
    <definedName name="__________________BTR5" localSheetId="10">NA()</definedName>
    <definedName name="__________________BTR5">NA()</definedName>
    <definedName name="__________________BTR6" localSheetId="10">NA()</definedName>
    <definedName name="__________________BTR6">NA()</definedName>
    <definedName name="__________________BTR7" localSheetId="10">NA()</definedName>
    <definedName name="__________________BTR7">NA()</definedName>
    <definedName name="__________________BTR8" localSheetId="10">NA()</definedName>
    <definedName name="__________________BTR8">NA()</definedName>
    <definedName name="__________________BTR9" localSheetId="10">NA()</definedName>
    <definedName name="__________________BTR9">NA()</definedName>
    <definedName name="__________________BTS1" localSheetId="10">NA()</definedName>
    <definedName name="__________________BTS1">NA()</definedName>
    <definedName name="__________________BTS10" localSheetId="10">NA()</definedName>
    <definedName name="__________________BTS10">NA()</definedName>
    <definedName name="__________________BTS11" localSheetId="10">NA()</definedName>
    <definedName name="__________________BTS11">NA()</definedName>
    <definedName name="__________________BTS12" localSheetId="10">NA()</definedName>
    <definedName name="__________________BTS12">NA()</definedName>
    <definedName name="__________________BTS13" localSheetId="10">NA()</definedName>
    <definedName name="__________________BTS13">NA()</definedName>
    <definedName name="__________________BTS14" localSheetId="10">NA()</definedName>
    <definedName name="__________________BTS14">NA()</definedName>
    <definedName name="__________________BTS15" localSheetId="10">NA()</definedName>
    <definedName name="__________________BTS15">NA()</definedName>
    <definedName name="__________________BTS16" localSheetId="10">NA()</definedName>
    <definedName name="__________________BTS16">NA()</definedName>
    <definedName name="__________________BTS17" localSheetId="10">NA()</definedName>
    <definedName name="__________________BTS17">NA()</definedName>
    <definedName name="__________________BTS18" localSheetId="10">NA()</definedName>
    <definedName name="__________________BTS18">NA()</definedName>
    <definedName name="__________________BTS19" localSheetId="10">NA()</definedName>
    <definedName name="__________________BTS19">NA()</definedName>
    <definedName name="__________________BTS2" localSheetId="10">NA()</definedName>
    <definedName name="__________________BTS2">NA()</definedName>
    <definedName name="__________________BTS20" localSheetId="10">NA()</definedName>
    <definedName name="__________________BTS20">NA()</definedName>
    <definedName name="__________________BTS21" localSheetId="10">NA()</definedName>
    <definedName name="__________________BTS21">NA()</definedName>
    <definedName name="__________________BTS22" localSheetId="10">NA()</definedName>
    <definedName name="__________________BTS22">NA()</definedName>
    <definedName name="__________________BTS23" localSheetId="10">NA()</definedName>
    <definedName name="__________________BTS23">NA()</definedName>
    <definedName name="__________________BTS24" localSheetId="10">NA()</definedName>
    <definedName name="__________________BTS24">NA()</definedName>
    <definedName name="__________________BTS3" localSheetId="10">NA()</definedName>
    <definedName name="__________________BTS3">NA()</definedName>
    <definedName name="__________________BTS4" localSheetId="10">NA()</definedName>
    <definedName name="__________________BTS4">NA()</definedName>
    <definedName name="__________________BTS5" localSheetId="10">NA()</definedName>
    <definedName name="__________________BTS5">NA()</definedName>
    <definedName name="__________________BTS6" localSheetId="10">NA()</definedName>
    <definedName name="__________________BTS6">NA()</definedName>
    <definedName name="__________________BTS7" localSheetId="10">NA()</definedName>
    <definedName name="__________________BTS7">NA()</definedName>
    <definedName name="__________________BTS8" localSheetId="10">NA()</definedName>
    <definedName name="__________________BTS8">NA()</definedName>
    <definedName name="__________________BTS9" localSheetId="10">NA()</definedName>
    <definedName name="__________________BTS9">NA()</definedName>
    <definedName name="__________________can430">40.73</definedName>
    <definedName name="__________________can435">43.3</definedName>
    <definedName name="__________________GBS11" localSheetId="10">NA()</definedName>
    <definedName name="__________________GBS11">NA()</definedName>
    <definedName name="__________________GBS110" localSheetId="10">NA()</definedName>
    <definedName name="__________________GBS110">NA()</definedName>
    <definedName name="__________________GBS111" localSheetId="10">NA()</definedName>
    <definedName name="__________________GBS111">NA()</definedName>
    <definedName name="__________________GBS112" localSheetId="10">NA()</definedName>
    <definedName name="__________________GBS112">NA()</definedName>
    <definedName name="__________________GBS113" localSheetId="10">NA()</definedName>
    <definedName name="__________________GBS113">NA()</definedName>
    <definedName name="__________________GBS114" localSheetId="10">NA()</definedName>
    <definedName name="__________________GBS114">NA()</definedName>
    <definedName name="__________________GBS115" localSheetId="10">NA()</definedName>
    <definedName name="__________________GBS115">NA()</definedName>
    <definedName name="__________________GBS116" localSheetId="10">NA()</definedName>
    <definedName name="__________________GBS116">NA()</definedName>
    <definedName name="__________________GBS117" localSheetId="10">NA()</definedName>
    <definedName name="__________________GBS117">NA()</definedName>
    <definedName name="__________________GBS118" localSheetId="10">NA()</definedName>
    <definedName name="__________________GBS118">NA()</definedName>
    <definedName name="__________________GBS119" localSheetId="10">NA()</definedName>
    <definedName name="__________________GBS119">NA()</definedName>
    <definedName name="__________________GBS12" localSheetId="10">NA()</definedName>
    <definedName name="__________________GBS12">NA()</definedName>
    <definedName name="__________________GBS120" localSheetId="10">NA()</definedName>
    <definedName name="__________________GBS120">NA()</definedName>
    <definedName name="__________________GBS121" localSheetId="10">NA()</definedName>
    <definedName name="__________________GBS121">NA()</definedName>
    <definedName name="__________________GBS122" localSheetId="10">NA()</definedName>
    <definedName name="__________________GBS122">NA()</definedName>
    <definedName name="__________________GBS123" localSheetId="10">NA()</definedName>
    <definedName name="__________________GBS123">NA()</definedName>
    <definedName name="__________________GBS124" localSheetId="10">NA()</definedName>
    <definedName name="__________________GBS124">NA()</definedName>
    <definedName name="__________________GBS13" localSheetId="10">NA()</definedName>
    <definedName name="__________________GBS13">NA()</definedName>
    <definedName name="__________________GBS14" localSheetId="10">NA()</definedName>
    <definedName name="__________________GBS14">NA()</definedName>
    <definedName name="__________________GBS15" localSheetId="10">NA()</definedName>
    <definedName name="__________________GBS15">NA()</definedName>
    <definedName name="__________________GBS16" localSheetId="10">NA()</definedName>
    <definedName name="__________________GBS16">NA()</definedName>
    <definedName name="__________________GBS17" localSheetId="10">NA()</definedName>
    <definedName name="__________________GBS17">NA()</definedName>
    <definedName name="__________________GBS18" localSheetId="10">NA()</definedName>
    <definedName name="__________________GBS18">NA()</definedName>
    <definedName name="__________________GBS19" localSheetId="10">NA()</definedName>
    <definedName name="__________________GBS19">NA()</definedName>
    <definedName name="__________________GBS21" localSheetId="10">NA()</definedName>
    <definedName name="__________________GBS21">NA()</definedName>
    <definedName name="__________________GBS210" localSheetId="10">NA()</definedName>
    <definedName name="__________________GBS210">NA()</definedName>
    <definedName name="__________________GBS211" localSheetId="10">NA()</definedName>
    <definedName name="__________________GBS211">NA()</definedName>
    <definedName name="__________________GBS212" localSheetId="10">NA()</definedName>
    <definedName name="__________________GBS212">NA()</definedName>
    <definedName name="__________________GBS213" localSheetId="10">NA()</definedName>
    <definedName name="__________________GBS213">NA()</definedName>
    <definedName name="__________________GBS214" localSheetId="10">NA()</definedName>
    <definedName name="__________________GBS214">NA()</definedName>
    <definedName name="__________________GBS215" localSheetId="10">NA()</definedName>
    <definedName name="__________________GBS215">NA()</definedName>
    <definedName name="__________________GBS216" localSheetId="10">NA()</definedName>
    <definedName name="__________________GBS216">NA()</definedName>
    <definedName name="__________________GBS217" localSheetId="10">NA()</definedName>
    <definedName name="__________________GBS217">NA()</definedName>
    <definedName name="__________________GBS218" localSheetId="10">NA()</definedName>
    <definedName name="__________________GBS218">NA()</definedName>
    <definedName name="__________________GBS219" localSheetId="10">NA()</definedName>
    <definedName name="__________________GBS219">NA()</definedName>
    <definedName name="__________________GBS22" localSheetId="10">NA()</definedName>
    <definedName name="__________________GBS22">NA()</definedName>
    <definedName name="__________________GBS220" localSheetId="10">NA()</definedName>
    <definedName name="__________________GBS220">NA()</definedName>
    <definedName name="__________________GBS221" localSheetId="10">NA()</definedName>
    <definedName name="__________________GBS221">NA()</definedName>
    <definedName name="__________________GBS222" localSheetId="10">NA()</definedName>
    <definedName name="__________________GBS222">NA()</definedName>
    <definedName name="__________________GBS223" localSheetId="10">NA()</definedName>
    <definedName name="__________________GBS223">NA()</definedName>
    <definedName name="__________________GBS224" localSheetId="10">NA()</definedName>
    <definedName name="__________________GBS224">NA()</definedName>
    <definedName name="__________________GBS23" localSheetId="10">NA()</definedName>
    <definedName name="__________________GBS23">NA()</definedName>
    <definedName name="__________________GBS24" localSheetId="10">NA()</definedName>
    <definedName name="__________________GBS24">NA()</definedName>
    <definedName name="__________________GBS25" localSheetId="10">NA()</definedName>
    <definedName name="__________________GBS25">NA()</definedName>
    <definedName name="__________________GBS26" localSheetId="10">NA()</definedName>
    <definedName name="__________________GBS26">NA()</definedName>
    <definedName name="__________________GBS27" localSheetId="10">NA()</definedName>
    <definedName name="__________________GBS27">NA()</definedName>
    <definedName name="__________________GBS28" localSheetId="10">NA()</definedName>
    <definedName name="__________________GBS28">NA()</definedName>
    <definedName name="__________________GBS29" localSheetId="10">NA()</definedName>
    <definedName name="__________________GBS29">NA()</definedName>
    <definedName name="__________________knr2" localSheetId="10">NA()</definedName>
    <definedName name="__________________knr2">NA()</definedName>
    <definedName name="__________________l12" localSheetId="10">NA()</definedName>
    <definedName name="__________________l12">NA()</definedName>
    <definedName name="__________________l3" localSheetId="10">NA()</definedName>
    <definedName name="__________________l3">NA()</definedName>
    <definedName name="__________________l5" localSheetId="10">NA()</definedName>
    <definedName name="__________________l5">NA()</definedName>
    <definedName name="__________________lj600" localSheetId="10">NA()</definedName>
    <definedName name="__________________lj600">NA()</definedName>
    <definedName name="__________________lj900" localSheetId="10">NA()</definedName>
    <definedName name="__________________lj900">NA()</definedName>
    <definedName name="__________________LL3" localSheetId="10">NA()</definedName>
    <definedName name="__________________LL3">NA()</definedName>
    <definedName name="__________________LSO24" localSheetId="10">NA()</definedName>
    <definedName name="__________________LSO24">"[14]lead!#ref!"</definedName>
    <definedName name="__________________MA1" localSheetId="10">NA()</definedName>
    <definedName name="__________________MA1">NA()</definedName>
    <definedName name="__________________MA2" localSheetId="10">NA()</definedName>
    <definedName name="__________________MA2">NA()</definedName>
    <definedName name="__________________Met22" localSheetId="10">NA()</definedName>
    <definedName name="__________________Met22">NA()</definedName>
    <definedName name="__________________Met45" localSheetId="10">NA()</definedName>
    <definedName name="__________________Met45">NA()</definedName>
    <definedName name="__________________MEt55" localSheetId="10">NA()</definedName>
    <definedName name="__________________MEt55">NA()</definedName>
    <definedName name="__________________Met63" localSheetId="10">NA()</definedName>
    <definedName name="__________________Met63">NA()</definedName>
    <definedName name="__________________ML21" localSheetId="10">NA()</definedName>
    <definedName name="__________________ML21">NA()</definedName>
    <definedName name="__________________ML210" localSheetId="10">NA()</definedName>
    <definedName name="__________________ML210">NA()</definedName>
    <definedName name="__________________ML211" localSheetId="10">NA()</definedName>
    <definedName name="__________________ML211">NA()</definedName>
    <definedName name="__________________ML212" localSheetId="10">NA()</definedName>
    <definedName name="__________________ML212">NA()</definedName>
    <definedName name="__________________ML213" localSheetId="10">NA()</definedName>
    <definedName name="__________________ML213">NA()</definedName>
    <definedName name="__________________ML214" localSheetId="10">NA()</definedName>
    <definedName name="__________________ML214">NA()</definedName>
    <definedName name="__________________ML215" localSheetId="10">NA()</definedName>
    <definedName name="__________________ML215">NA()</definedName>
    <definedName name="__________________ML216" localSheetId="10">NA()</definedName>
    <definedName name="__________________ML216">NA()</definedName>
    <definedName name="__________________ML217" localSheetId="10">NA()</definedName>
    <definedName name="__________________ML217">NA()</definedName>
    <definedName name="__________________ML218" localSheetId="10">NA()</definedName>
    <definedName name="__________________ML218">NA()</definedName>
    <definedName name="__________________ML219" localSheetId="10">NA()</definedName>
    <definedName name="__________________ML219">NA()</definedName>
    <definedName name="__________________ML22" localSheetId="10">NA()</definedName>
    <definedName name="__________________ML22">NA()</definedName>
    <definedName name="__________________ML220" localSheetId="10">NA()</definedName>
    <definedName name="__________________ML220">NA()</definedName>
    <definedName name="__________________ML221" localSheetId="10">NA()</definedName>
    <definedName name="__________________ML221">NA()</definedName>
    <definedName name="__________________ML222" localSheetId="10">NA()</definedName>
    <definedName name="__________________ML222">NA()</definedName>
    <definedName name="__________________ML223" localSheetId="10">NA()</definedName>
    <definedName name="__________________ML223">NA()</definedName>
    <definedName name="__________________ML224" localSheetId="10">NA()</definedName>
    <definedName name="__________________ML224">NA()</definedName>
    <definedName name="__________________ML23" localSheetId="10">NA()</definedName>
    <definedName name="__________________ML23">NA()</definedName>
    <definedName name="__________________ML24" localSheetId="10">NA()</definedName>
    <definedName name="__________________ML24">NA()</definedName>
    <definedName name="__________________ML25" localSheetId="10">NA()</definedName>
    <definedName name="__________________ML25">NA()</definedName>
    <definedName name="__________________ML26" localSheetId="10">NA()</definedName>
    <definedName name="__________________ML26">NA()</definedName>
    <definedName name="__________________ML27" localSheetId="10">NA()</definedName>
    <definedName name="__________________ML27">NA()</definedName>
    <definedName name="__________________ML28" localSheetId="10">NA()</definedName>
    <definedName name="__________________ML28">NA()</definedName>
    <definedName name="__________________ML29" localSheetId="10">NA()</definedName>
    <definedName name="__________________ML29">NA()</definedName>
    <definedName name="__________________ML31" localSheetId="10">NA()</definedName>
    <definedName name="__________________ML31">NA()</definedName>
    <definedName name="__________________ML310" localSheetId="10">NA()</definedName>
    <definedName name="__________________ML310">NA()</definedName>
    <definedName name="__________________ML311" localSheetId="10">NA()</definedName>
    <definedName name="__________________ML311">NA()</definedName>
    <definedName name="__________________ML312" localSheetId="10">NA()</definedName>
    <definedName name="__________________ML312">NA()</definedName>
    <definedName name="__________________ML313" localSheetId="10">NA()</definedName>
    <definedName name="__________________ML313">NA()</definedName>
    <definedName name="__________________ML314" localSheetId="10">NA()</definedName>
    <definedName name="__________________ML314">NA()</definedName>
    <definedName name="__________________ML315" localSheetId="10">NA()</definedName>
    <definedName name="__________________ML315">NA()</definedName>
    <definedName name="__________________ML316" localSheetId="10">NA()</definedName>
    <definedName name="__________________ML316">NA()</definedName>
    <definedName name="__________________ML317" localSheetId="10">NA()</definedName>
    <definedName name="__________________ML317">NA()</definedName>
    <definedName name="__________________ML318" localSheetId="10">NA()</definedName>
    <definedName name="__________________ML318">NA()</definedName>
    <definedName name="__________________ML319" localSheetId="10">NA()</definedName>
    <definedName name="__________________ML319">NA()</definedName>
    <definedName name="__________________ML32" localSheetId="10">NA()</definedName>
    <definedName name="__________________ML32">NA()</definedName>
    <definedName name="__________________ML320" localSheetId="10">NA()</definedName>
    <definedName name="__________________ML320">NA()</definedName>
    <definedName name="__________________ML321" localSheetId="10">NA()</definedName>
    <definedName name="__________________ML321">NA()</definedName>
    <definedName name="__________________ML322" localSheetId="10">NA()</definedName>
    <definedName name="__________________ML322">NA()</definedName>
    <definedName name="__________________ML323" localSheetId="10">NA()</definedName>
    <definedName name="__________________ML323">NA()</definedName>
    <definedName name="__________________ML324" localSheetId="10">NA()</definedName>
    <definedName name="__________________ML324">NA()</definedName>
    <definedName name="__________________ML33" localSheetId="10">NA()</definedName>
    <definedName name="__________________ML33">NA()</definedName>
    <definedName name="__________________ML34" localSheetId="10">NA()</definedName>
    <definedName name="__________________ML34">NA()</definedName>
    <definedName name="__________________ML35" localSheetId="10">NA()</definedName>
    <definedName name="__________________ML35">NA()</definedName>
    <definedName name="__________________ML36" localSheetId="10">NA()</definedName>
    <definedName name="__________________ML36">NA()</definedName>
    <definedName name="__________________ML37" localSheetId="10">NA()</definedName>
    <definedName name="__________________ML37">NA()</definedName>
    <definedName name="__________________ML38" localSheetId="10">NA()</definedName>
    <definedName name="__________________ML38">NA()</definedName>
    <definedName name="__________________ML39" localSheetId="10">NA()</definedName>
    <definedName name="__________________ML39">NA()</definedName>
    <definedName name="__________________ML7" localSheetId="10">NA()</definedName>
    <definedName name="__________________ML7">NA()</definedName>
    <definedName name="__________________ML8" localSheetId="10">NA()</definedName>
    <definedName name="__________________ML8">NA()</definedName>
    <definedName name="__________________ML9" localSheetId="10">NA()</definedName>
    <definedName name="__________________ML9">NA()</definedName>
    <definedName name="__________________mm1000" localSheetId="10">NA()</definedName>
    <definedName name="__________________mm1000">NA()</definedName>
    <definedName name="__________________mm600" localSheetId="10">NA()</definedName>
    <definedName name="__________________mm600">NA()</definedName>
    <definedName name="__________________mm800" localSheetId="10">NA()</definedName>
    <definedName name="__________________mm800">NA()</definedName>
    <definedName name="__________________PC1" localSheetId="10">NA()</definedName>
    <definedName name="__________________PC1">NA()</definedName>
    <definedName name="__________________PC10" localSheetId="10">NA()</definedName>
    <definedName name="__________________PC10">NA()</definedName>
    <definedName name="__________________PC11" localSheetId="10">NA()</definedName>
    <definedName name="__________________PC11">NA()</definedName>
    <definedName name="__________________PC12" localSheetId="10">NA()</definedName>
    <definedName name="__________________PC12">NA()</definedName>
    <definedName name="__________________PC13" localSheetId="10">NA()</definedName>
    <definedName name="__________________PC13">NA()</definedName>
    <definedName name="__________________PC14" localSheetId="10">NA()</definedName>
    <definedName name="__________________PC14">NA()</definedName>
    <definedName name="__________________PC15" localSheetId="10">NA()</definedName>
    <definedName name="__________________PC15">NA()</definedName>
    <definedName name="__________________PC16" localSheetId="10">NA()</definedName>
    <definedName name="__________________PC16">NA()</definedName>
    <definedName name="__________________PC17" localSheetId="10">NA()</definedName>
    <definedName name="__________________PC17">NA()</definedName>
    <definedName name="__________________PC18" localSheetId="10">NA()</definedName>
    <definedName name="__________________PC18">NA()</definedName>
    <definedName name="__________________PC19" localSheetId="10">NA()</definedName>
    <definedName name="__________________PC19">NA()</definedName>
    <definedName name="__________________pc2" localSheetId="10">NA()</definedName>
    <definedName name="__________________pc2">NA()</definedName>
    <definedName name="__________________PC20" localSheetId="10">NA()</definedName>
    <definedName name="__________________PC20">NA()</definedName>
    <definedName name="__________________PC21" localSheetId="10">NA()</definedName>
    <definedName name="__________________PC21">NA()</definedName>
    <definedName name="__________________PC22" localSheetId="10">NA()</definedName>
    <definedName name="__________________PC22">NA()</definedName>
    <definedName name="__________________PC23" localSheetId="10">NA()</definedName>
    <definedName name="__________________PC23">NA()</definedName>
    <definedName name="__________________PC24" localSheetId="10">NA()</definedName>
    <definedName name="__________________PC24">NA()</definedName>
    <definedName name="__________________PC3" localSheetId="10">NA()</definedName>
    <definedName name="__________________PC3">NA()</definedName>
    <definedName name="__________________PC4" localSheetId="10">NA()</definedName>
    <definedName name="__________________PC4">NA()</definedName>
    <definedName name="__________________PC5" localSheetId="10">NA()</definedName>
    <definedName name="__________________PC5">NA()</definedName>
    <definedName name="__________________PC6" localSheetId="10">NA()</definedName>
    <definedName name="__________________PC6">NA()</definedName>
    <definedName name="__________________pc600" localSheetId="10">NA()</definedName>
    <definedName name="__________________pc600">NA()</definedName>
    <definedName name="__________________PC7" localSheetId="10">NA()</definedName>
    <definedName name="__________________PC7">NA()</definedName>
    <definedName name="__________________PC8" localSheetId="10">NA()</definedName>
    <definedName name="__________________PC8">NA()</definedName>
    <definedName name="__________________PC9" localSheetId="10">NA()</definedName>
    <definedName name="__________________PC9">NA()</definedName>
    <definedName name="__________________pc900" localSheetId="10">NA()</definedName>
    <definedName name="__________________pc900">NA()</definedName>
    <definedName name="__________________pv2" localSheetId="10">NA()</definedName>
    <definedName name="__________________pv2">NA()</definedName>
    <definedName name="__________________var1" localSheetId="10">NA()</definedName>
    <definedName name="__________________var1">NA()</definedName>
    <definedName name="__________________var4" localSheetId="10">NA()</definedName>
    <definedName name="__________________var4">NA()</definedName>
    <definedName name="__________________vat1" localSheetId="10">NA()</definedName>
    <definedName name="__________________vat1">NA()</definedName>
    <definedName name="_________________BSG100" localSheetId="10">NA()</definedName>
    <definedName name="_________________BSG100">NA()</definedName>
    <definedName name="_________________BSG150" localSheetId="10">NA()</definedName>
    <definedName name="_________________BSG150">NA()</definedName>
    <definedName name="_________________BSG5" localSheetId="10">NA()</definedName>
    <definedName name="_________________BSG5">NA()</definedName>
    <definedName name="_________________BSG75" localSheetId="10">NA()</definedName>
    <definedName name="_________________BSG75">NA()</definedName>
    <definedName name="_________________BTC1" localSheetId="10">NA()</definedName>
    <definedName name="_________________BTC1">NA()</definedName>
    <definedName name="_________________BTC10" localSheetId="10">NA()</definedName>
    <definedName name="_________________BTC10">NA()</definedName>
    <definedName name="_________________BTC11" localSheetId="10">NA()</definedName>
    <definedName name="_________________BTC11">NA()</definedName>
    <definedName name="_________________BTC12" localSheetId="10">NA()</definedName>
    <definedName name="_________________BTC12">NA()</definedName>
    <definedName name="_________________BTC13" localSheetId="10">NA()</definedName>
    <definedName name="_________________BTC13">NA()</definedName>
    <definedName name="_________________BTC14" localSheetId="10">NA()</definedName>
    <definedName name="_________________BTC14">NA()</definedName>
    <definedName name="_________________BTC15" localSheetId="10">NA()</definedName>
    <definedName name="_________________BTC15">NA()</definedName>
    <definedName name="_________________BTC16" localSheetId="10">NA()</definedName>
    <definedName name="_________________BTC16">NA()</definedName>
    <definedName name="_________________BTC17" localSheetId="10">NA()</definedName>
    <definedName name="_________________BTC17">NA()</definedName>
    <definedName name="_________________BTC18" localSheetId="10">NA()</definedName>
    <definedName name="_________________BTC18">NA()</definedName>
    <definedName name="_________________BTC19" localSheetId="10">NA()</definedName>
    <definedName name="_________________BTC19">NA()</definedName>
    <definedName name="_________________BTC2" localSheetId="10">NA()</definedName>
    <definedName name="_________________BTC2">NA()</definedName>
    <definedName name="_________________BTC20" localSheetId="10">NA()</definedName>
    <definedName name="_________________BTC20">NA()</definedName>
    <definedName name="_________________BTC21" localSheetId="10">NA()</definedName>
    <definedName name="_________________BTC21">NA()</definedName>
    <definedName name="_________________BTC22" localSheetId="10">NA()</definedName>
    <definedName name="_________________BTC22">NA()</definedName>
    <definedName name="_________________BTC23" localSheetId="10">NA()</definedName>
    <definedName name="_________________BTC23">NA()</definedName>
    <definedName name="_________________BTC24" localSheetId="10">NA()</definedName>
    <definedName name="_________________BTC24">NA()</definedName>
    <definedName name="_________________BTC3" localSheetId="10">NA()</definedName>
    <definedName name="_________________BTC3">NA()</definedName>
    <definedName name="_________________BTC4" localSheetId="10">NA()</definedName>
    <definedName name="_________________BTC4">NA()</definedName>
    <definedName name="_________________BTC5" localSheetId="10">NA()</definedName>
    <definedName name="_________________BTC5">NA()</definedName>
    <definedName name="_________________BTC6" localSheetId="10">NA()</definedName>
    <definedName name="_________________BTC6">NA()</definedName>
    <definedName name="_________________BTC7" localSheetId="10">NA()</definedName>
    <definedName name="_________________BTC7">NA()</definedName>
    <definedName name="_________________BTC8" localSheetId="10">NA()</definedName>
    <definedName name="_________________BTC8">NA()</definedName>
    <definedName name="_________________BTC9" localSheetId="10">NA()</definedName>
    <definedName name="_________________BTC9">NA()</definedName>
    <definedName name="_________________BTR1" localSheetId="10">NA()</definedName>
    <definedName name="_________________BTR1">NA()</definedName>
    <definedName name="_________________BTR10" localSheetId="10">NA()</definedName>
    <definedName name="_________________BTR10">NA()</definedName>
    <definedName name="_________________BTR11" localSheetId="10">NA()</definedName>
    <definedName name="_________________BTR11">NA()</definedName>
    <definedName name="_________________BTR12" localSheetId="10">NA()</definedName>
    <definedName name="_________________BTR12">NA()</definedName>
    <definedName name="_________________BTR13" localSheetId="10">NA()</definedName>
    <definedName name="_________________BTR13">NA()</definedName>
    <definedName name="_________________BTR14" localSheetId="10">NA()</definedName>
    <definedName name="_________________BTR14">NA()</definedName>
    <definedName name="_________________BTR15" localSheetId="10">NA()</definedName>
    <definedName name="_________________BTR15">NA()</definedName>
    <definedName name="_________________BTR16" localSheetId="10">NA()</definedName>
    <definedName name="_________________BTR16">NA()</definedName>
    <definedName name="_________________BTR17" localSheetId="10">NA()</definedName>
    <definedName name="_________________BTR17">NA()</definedName>
    <definedName name="_________________BTR18" localSheetId="10">NA()</definedName>
    <definedName name="_________________BTR18">NA()</definedName>
    <definedName name="_________________BTR19" localSheetId="10">NA()</definedName>
    <definedName name="_________________BTR19">NA()</definedName>
    <definedName name="_________________BTR2" localSheetId="10">NA()</definedName>
    <definedName name="_________________BTR2">NA()</definedName>
    <definedName name="_________________BTR20" localSheetId="10">NA()</definedName>
    <definedName name="_________________BTR20">NA()</definedName>
    <definedName name="_________________BTR21" localSheetId="10">NA()</definedName>
    <definedName name="_________________BTR21">NA()</definedName>
    <definedName name="_________________BTR22" localSheetId="10">NA()</definedName>
    <definedName name="_________________BTR22">NA()</definedName>
    <definedName name="_________________BTR23" localSheetId="10">NA()</definedName>
    <definedName name="_________________BTR23">NA()</definedName>
    <definedName name="_________________BTR24" localSheetId="10">NA()</definedName>
    <definedName name="_________________BTR24">NA()</definedName>
    <definedName name="_________________BTR3" localSheetId="10">NA()</definedName>
    <definedName name="_________________BTR3">NA()</definedName>
    <definedName name="_________________BTR4" localSheetId="10">NA()</definedName>
    <definedName name="_________________BTR4">NA()</definedName>
    <definedName name="_________________BTR5" localSheetId="10">NA()</definedName>
    <definedName name="_________________BTR5">NA()</definedName>
    <definedName name="_________________BTR6" localSheetId="10">NA()</definedName>
    <definedName name="_________________BTR6">NA()</definedName>
    <definedName name="_________________BTR7" localSheetId="10">NA()</definedName>
    <definedName name="_________________BTR7">NA()</definedName>
    <definedName name="_________________BTR8" localSheetId="10">NA()</definedName>
    <definedName name="_________________BTR8">NA()</definedName>
    <definedName name="_________________BTR9" localSheetId="10">NA()</definedName>
    <definedName name="_________________BTR9">NA()</definedName>
    <definedName name="_________________BTS1" localSheetId="10">NA()</definedName>
    <definedName name="_________________BTS1">NA()</definedName>
    <definedName name="_________________BTS10" localSheetId="10">NA()</definedName>
    <definedName name="_________________BTS10">NA()</definedName>
    <definedName name="_________________BTS11" localSheetId="10">NA()</definedName>
    <definedName name="_________________BTS11">NA()</definedName>
    <definedName name="_________________BTS12" localSheetId="10">NA()</definedName>
    <definedName name="_________________BTS12">NA()</definedName>
    <definedName name="_________________BTS13" localSheetId="10">NA()</definedName>
    <definedName name="_________________BTS13">NA()</definedName>
    <definedName name="_________________BTS14" localSheetId="10">NA()</definedName>
    <definedName name="_________________BTS14">NA()</definedName>
    <definedName name="_________________BTS15" localSheetId="10">NA()</definedName>
    <definedName name="_________________BTS15">NA()</definedName>
    <definedName name="_________________BTS16" localSheetId="10">NA()</definedName>
    <definedName name="_________________BTS16">NA()</definedName>
    <definedName name="_________________BTS17" localSheetId="10">NA()</definedName>
    <definedName name="_________________BTS17">NA()</definedName>
    <definedName name="_________________BTS18" localSheetId="10">NA()</definedName>
    <definedName name="_________________BTS18">NA()</definedName>
    <definedName name="_________________BTS19" localSheetId="10">NA()</definedName>
    <definedName name="_________________BTS19">NA()</definedName>
    <definedName name="_________________BTS2" localSheetId="10">NA()</definedName>
    <definedName name="_________________BTS2">NA()</definedName>
    <definedName name="_________________BTS20" localSheetId="10">NA()</definedName>
    <definedName name="_________________BTS20">NA()</definedName>
    <definedName name="_________________BTS21" localSheetId="10">NA()</definedName>
    <definedName name="_________________BTS21">NA()</definedName>
    <definedName name="_________________BTS22" localSheetId="10">NA()</definedName>
    <definedName name="_________________BTS22">NA()</definedName>
    <definedName name="_________________BTS23" localSheetId="10">NA()</definedName>
    <definedName name="_________________BTS23">NA()</definedName>
    <definedName name="_________________BTS24" localSheetId="10">NA()</definedName>
    <definedName name="_________________BTS24">NA()</definedName>
    <definedName name="_________________BTS3" localSheetId="10">NA()</definedName>
    <definedName name="_________________BTS3">NA()</definedName>
    <definedName name="_________________BTS4" localSheetId="10">NA()</definedName>
    <definedName name="_________________BTS4">NA()</definedName>
    <definedName name="_________________BTS5" localSheetId="10">NA()</definedName>
    <definedName name="_________________BTS5">NA()</definedName>
    <definedName name="_________________BTS6" localSheetId="10">NA()</definedName>
    <definedName name="_________________BTS6">NA()</definedName>
    <definedName name="_________________BTS7" localSheetId="10">NA()</definedName>
    <definedName name="_________________BTS7">NA()</definedName>
    <definedName name="_________________BTS8" localSheetId="10">NA()</definedName>
    <definedName name="_________________BTS8">NA()</definedName>
    <definedName name="_________________BTS9" localSheetId="10">NA()</definedName>
    <definedName name="_________________BTS9">NA()</definedName>
    <definedName name="_________________can430">40.73</definedName>
    <definedName name="_________________can435">43.3</definedName>
    <definedName name="_________________GBS11" localSheetId="10">NA()</definedName>
    <definedName name="_________________GBS11">NA()</definedName>
    <definedName name="_________________GBS110" localSheetId="10">NA()</definedName>
    <definedName name="_________________GBS110">NA()</definedName>
    <definedName name="_________________GBS111" localSheetId="10">NA()</definedName>
    <definedName name="_________________GBS111">NA()</definedName>
    <definedName name="_________________GBS112" localSheetId="10">NA()</definedName>
    <definedName name="_________________GBS112">NA()</definedName>
    <definedName name="_________________GBS113" localSheetId="10">NA()</definedName>
    <definedName name="_________________GBS113">NA()</definedName>
    <definedName name="_________________GBS114" localSheetId="10">NA()</definedName>
    <definedName name="_________________GBS114">NA()</definedName>
    <definedName name="_________________GBS115" localSheetId="10">NA()</definedName>
    <definedName name="_________________GBS115">NA()</definedName>
    <definedName name="_________________GBS116" localSheetId="10">NA()</definedName>
    <definedName name="_________________GBS116">NA()</definedName>
    <definedName name="_________________GBS117" localSheetId="10">NA()</definedName>
    <definedName name="_________________GBS117">NA()</definedName>
    <definedName name="_________________GBS118" localSheetId="10">NA()</definedName>
    <definedName name="_________________GBS118">NA()</definedName>
    <definedName name="_________________GBS119" localSheetId="10">NA()</definedName>
    <definedName name="_________________GBS119">NA()</definedName>
    <definedName name="_________________GBS12" localSheetId="10">NA()</definedName>
    <definedName name="_________________GBS12">NA()</definedName>
    <definedName name="_________________GBS120" localSheetId="10">NA()</definedName>
    <definedName name="_________________GBS120">NA()</definedName>
    <definedName name="_________________GBS121" localSheetId="10">NA()</definedName>
    <definedName name="_________________GBS121">NA()</definedName>
    <definedName name="_________________GBS122" localSheetId="10">NA()</definedName>
    <definedName name="_________________GBS122">NA()</definedName>
    <definedName name="_________________GBS123" localSheetId="10">NA()</definedName>
    <definedName name="_________________GBS123">NA()</definedName>
    <definedName name="_________________GBS124" localSheetId="10">NA()</definedName>
    <definedName name="_________________GBS124">NA()</definedName>
    <definedName name="_________________GBS13" localSheetId="10">NA()</definedName>
    <definedName name="_________________GBS13">NA()</definedName>
    <definedName name="_________________GBS14" localSheetId="10">NA()</definedName>
    <definedName name="_________________GBS14">NA()</definedName>
    <definedName name="_________________GBS15" localSheetId="10">NA()</definedName>
    <definedName name="_________________GBS15">NA()</definedName>
    <definedName name="_________________GBS16" localSheetId="10">NA()</definedName>
    <definedName name="_________________GBS16">NA()</definedName>
    <definedName name="_________________GBS17" localSheetId="10">NA()</definedName>
    <definedName name="_________________GBS17">NA()</definedName>
    <definedName name="_________________GBS18" localSheetId="10">NA()</definedName>
    <definedName name="_________________GBS18">NA()</definedName>
    <definedName name="_________________GBS19" localSheetId="10">NA()</definedName>
    <definedName name="_________________GBS19">NA()</definedName>
    <definedName name="_________________GBS21" localSheetId="10">NA()</definedName>
    <definedName name="_________________GBS21">NA()</definedName>
    <definedName name="_________________GBS210" localSheetId="10">NA()</definedName>
    <definedName name="_________________GBS210">NA()</definedName>
    <definedName name="_________________GBS211" localSheetId="10">NA()</definedName>
    <definedName name="_________________GBS211">NA()</definedName>
    <definedName name="_________________GBS212" localSheetId="10">NA()</definedName>
    <definedName name="_________________GBS212">NA()</definedName>
    <definedName name="_________________GBS213" localSheetId="10">NA()</definedName>
    <definedName name="_________________GBS213">NA()</definedName>
    <definedName name="_________________GBS214" localSheetId="10">NA()</definedName>
    <definedName name="_________________GBS214">NA()</definedName>
    <definedName name="_________________GBS215" localSheetId="10">NA()</definedName>
    <definedName name="_________________GBS215">NA()</definedName>
    <definedName name="_________________GBS216" localSheetId="10">NA()</definedName>
    <definedName name="_________________GBS216">NA()</definedName>
    <definedName name="_________________GBS217" localSheetId="10">NA()</definedName>
    <definedName name="_________________GBS217">NA()</definedName>
    <definedName name="_________________GBS218" localSheetId="10">NA()</definedName>
    <definedName name="_________________GBS218">NA()</definedName>
    <definedName name="_________________GBS219" localSheetId="10">NA()</definedName>
    <definedName name="_________________GBS219">NA()</definedName>
    <definedName name="_________________GBS22" localSheetId="10">NA()</definedName>
    <definedName name="_________________GBS22">NA()</definedName>
    <definedName name="_________________GBS220" localSheetId="10">NA()</definedName>
    <definedName name="_________________GBS220">NA()</definedName>
    <definedName name="_________________GBS221" localSheetId="10">NA()</definedName>
    <definedName name="_________________GBS221">NA()</definedName>
    <definedName name="_________________GBS222" localSheetId="10">NA()</definedName>
    <definedName name="_________________GBS222">NA()</definedName>
    <definedName name="_________________GBS223" localSheetId="10">NA()</definedName>
    <definedName name="_________________GBS223">NA()</definedName>
    <definedName name="_________________GBS224" localSheetId="10">NA()</definedName>
    <definedName name="_________________GBS224">NA()</definedName>
    <definedName name="_________________GBS23" localSheetId="10">NA()</definedName>
    <definedName name="_________________GBS23">NA()</definedName>
    <definedName name="_________________GBS24" localSheetId="10">NA()</definedName>
    <definedName name="_________________GBS24">NA()</definedName>
    <definedName name="_________________GBS25" localSheetId="10">NA()</definedName>
    <definedName name="_________________GBS25">NA()</definedName>
    <definedName name="_________________GBS26" localSheetId="10">NA()</definedName>
    <definedName name="_________________GBS26">NA()</definedName>
    <definedName name="_________________GBS27" localSheetId="10">NA()</definedName>
    <definedName name="_________________GBS27">NA()</definedName>
    <definedName name="_________________GBS28" localSheetId="10">NA()</definedName>
    <definedName name="_________________GBS28">NA()</definedName>
    <definedName name="_________________GBS29" localSheetId="10">NA()</definedName>
    <definedName name="_________________GBS29">NA()</definedName>
    <definedName name="_________________knr2" localSheetId="10">NA()</definedName>
    <definedName name="_________________knr2">NA()</definedName>
    <definedName name="_________________l12" localSheetId="10">NA()</definedName>
    <definedName name="_________________l12">NA()</definedName>
    <definedName name="_________________l3" localSheetId="10">NA()</definedName>
    <definedName name="_________________l3">NA()</definedName>
    <definedName name="_________________l5" localSheetId="10">NA()</definedName>
    <definedName name="_________________l5">NA()</definedName>
    <definedName name="_________________lj600" localSheetId="10">NA()</definedName>
    <definedName name="_________________lj600">NA()</definedName>
    <definedName name="_________________lj900" localSheetId="10">NA()</definedName>
    <definedName name="_________________lj900">NA()</definedName>
    <definedName name="_________________LL3" localSheetId="10">NA()</definedName>
    <definedName name="_________________LL3">NA()</definedName>
    <definedName name="_________________LSO24" localSheetId="10">NA()</definedName>
    <definedName name="_________________LSO24">"[14]lead!#ref!"</definedName>
    <definedName name="_________________MA1" localSheetId="10">NA()</definedName>
    <definedName name="_________________MA1">NA()</definedName>
    <definedName name="_________________MA2" localSheetId="10">NA()</definedName>
    <definedName name="_________________MA2">NA()</definedName>
    <definedName name="_________________Met22" localSheetId="10">NA()</definedName>
    <definedName name="_________________Met22">NA()</definedName>
    <definedName name="_________________Met45" localSheetId="10">NA()</definedName>
    <definedName name="_________________Met45">NA()</definedName>
    <definedName name="_________________MEt55" localSheetId="10">NA()</definedName>
    <definedName name="_________________MEt55">NA()</definedName>
    <definedName name="_________________Met63" localSheetId="10">NA()</definedName>
    <definedName name="_________________Met63">NA()</definedName>
    <definedName name="_________________ML21" localSheetId="10">NA()</definedName>
    <definedName name="_________________ML21">NA()</definedName>
    <definedName name="_________________ML210" localSheetId="10">NA()</definedName>
    <definedName name="_________________ML210">NA()</definedName>
    <definedName name="_________________ML211" localSheetId="10">NA()</definedName>
    <definedName name="_________________ML211">NA()</definedName>
    <definedName name="_________________ML212" localSheetId="10">NA()</definedName>
    <definedName name="_________________ML212">NA()</definedName>
    <definedName name="_________________ML213" localSheetId="10">NA()</definedName>
    <definedName name="_________________ML213">NA()</definedName>
    <definedName name="_________________ML214" localSheetId="10">NA()</definedName>
    <definedName name="_________________ML214">NA()</definedName>
    <definedName name="_________________ML215" localSheetId="10">NA()</definedName>
    <definedName name="_________________ML215">NA()</definedName>
    <definedName name="_________________ML216" localSheetId="10">NA()</definedName>
    <definedName name="_________________ML216">NA()</definedName>
    <definedName name="_________________ML217" localSheetId="10">NA()</definedName>
    <definedName name="_________________ML217">NA()</definedName>
    <definedName name="_________________ML218" localSheetId="10">NA()</definedName>
    <definedName name="_________________ML218">NA()</definedName>
    <definedName name="_________________ML219" localSheetId="10">NA()</definedName>
    <definedName name="_________________ML219">NA()</definedName>
    <definedName name="_________________ML22" localSheetId="10">NA()</definedName>
    <definedName name="_________________ML22">NA()</definedName>
    <definedName name="_________________ML220" localSheetId="10">NA()</definedName>
    <definedName name="_________________ML220">NA()</definedName>
    <definedName name="_________________ML221" localSheetId="10">NA()</definedName>
    <definedName name="_________________ML221">NA()</definedName>
    <definedName name="_________________ML222" localSheetId="10">NA()</definedName>
    <definedName name="_________________ML222">NA()</definedName>
    <definedName name="_________________ML223" localSheetId="10">NA()</definedName>
    <definedName name="_________________ML223">NA()</definedName>
    <definedName name="_________________ML224" localSheetId="10">NA()</definedName>
    <definedName name="_________________ML224">NA()</definedName>
    <definedName name="_________________ML23" localSheetId="10">NA()</definedName>
    <definedName name="_________________ML23">NA()</definedName>
    <definedName name="_________________ML24" localSheetId="10">NA()</definedName>
    <definedName name="_________________ML24">NA()</definedName>
    <definedName name="_________________ML25" localSheetId="10">NA()</definedName>
    <definedName name="_________________ML25">NA()</definedName>
    <definedName name="_________________ML26" localSheetId="10">NA()</definedName>
    <definedName name="_________________ML26">NA()</definedName>
    <definedName name="_________________ML27" localSheetId="10">NA()</definedName>
    <definedName name="_________________ML27">NA()</definedName>
    <definedName name="_________________ML28" localSheetId="10">NA()</definedName>
    <definedName name="_________________ML28">NA()</definedName>
    <definedName name="_________________ML29" localSheetId="10">NA()</definedName>
    <definedName name="_________________ML29">NA()</definedName>
    <definedName name="_________________ML31" localSheetId="10">NA()</definedName>
    <definedName name="_________________ML31">NA()</definedName>
    <definedName name="_________________ML310" localSheetId="10">NA()</definedName>
    <definedName name="_________________ML310">NA()</definedName>
    <definedName name="_________________ML311" localSheetId="10">NA()</definedName>
    <definedName name="_________________ML311">NA()</definedName>
    <definedName name="_________________ML312" localSheetId="10">NA()</definedName>
    <definedName name="_________________ML312">NA()</definedName>
    <definedName name="_________________ML313" localSheetId="10">NA()</definedName>
    <definedName name="_________________ML313">NA()</definedName>
    <definedName name="_________________ML314" localSheetId="10">NA()</definedName>
    <definedName name="_________________ML314">NA()</definedName>
    <definedName name="_________________ML315" localSheetId="10">NA()</definedName>
    <definedName name="_________________ML315">NA()</definedName>
    <definedName name="_________________ML316" localSheetId="10">NA()</definedName>
    <definedName name="_________________ML316">NA()</definedName>
    <definedName name="_________________ML317" localSheetId="10">NA()</definedName>
    <definedName name="_________________ML317">NA()</definedName>
    <definedName name="_________________ML318" localSheetId="10">NA()</definedName>
    <definedName name="_________________ML318">NA()</definedName>
    <definedName name="_________________ML319" localSheetId="10">NA()</definedName>
    <definedName name="_________________ML319">NA()</definedName>
    <definedName name="_________________ML32" localSheetId="10">NA()</definedName>
    <definedName name="_________________ML32">NA()</definedName>
    <definedName name="_________________ML320" localSheetId="10">NA()</definedName>
    <definedName name="_________________ML320">NA()</definedName>
    <definedName name="_________________ML321" localSheetId="10">NA()</definedName>
    <definedName name="_________________ML321">NA()</definedName>
    <definedName name="_________________ML322" localSheetId="10">NA()</definedName>
    <definedName name="_________________ML322">NA()</definedName>
    <definedName name="_________________ML323" localSheetId="10">NA()</definedName>
    <definedName name="_________________ML323">NA()</definedName>
    <definedName name="_________________ML324" localSheetId="10">NA()</definedName>
    <definedName name="_________________ML324">NA()</definedName>
    <definedName name="_________________ML33" localSheetId="10">NA()</definedName>
    <definedName name="_________________ML33">NA()</definedName>
    <definedName name="_________________ML34" localSheetId="10">NA()</definedName>
    <definedName name="_________________ML34">NA()</definedName>
    <definedName name="_________________ML35" localSheetId="10">NA()</definedName>
    <definedName name="_________________ML35">NA()</definedName>
    <definedName name="_________________ML36" localSheetId="10">NA()</definedName>
    <definedName name="_________________ML36">NA()</definedName>
    <definedName name="_________________ML37" localSheetId="10">NA()</definedName>
    <definedName name="_________________ML37">NA()</definedName>
    <definedName name="_________________ML38" localSheetId="10">NA()</definedName>
    <definedName name="_________________ML38">NA()</definedName>
    <definedName name="_________________ML39" localSheetId="10">NA()</definedName>
    <definedName name="_________________ML39">NA()</definedName>
    <definedName name="_________________ML7" localSheetId="10">NA()</definedName>
    <definedName name="_________________ML7">NA()</definedName>
    <definedName name="_________________ML8" localSheetId="10">NA()</definedName>
    <definedName name="_________________ML8">NA()</definedName>
    <definedName name="_________________ML9" localSheetId="10">NA()</definedName>
    <definedName name="_________________ML9">NA()</definedName>
    <definedName name="_________________mm1000" localSheetId="10">NA()</definedName>
    <definedName name="_________________mm1000">NA()</definedName>
    <definedName name="_________________mm600" localSheetId="10">NA()</definedName>
    <definedName name="_________________mm600">NA()</definedName>
    <definedName name="_________________mm800" localSheetId="10">NA()</definedName>
    <definedName name="_________________mm800">NA()</definedName>
    <definedName name="_________________PC1" localSheetId="10">NA()</definedName>
    <definedName name="_________________PC1">NA()</definedName>
    <definedName name="_________________PC10" localSheetId="10">NA()</definedName>
    <definedName name="_________________PC10">NA()</definedName>
    <definedName name="_________________PC11" localSheetId="10">NA()</definedName>
    <definedName name="_________________PC11">NA()</definedName>
    <definedName name="_________________PC12" localSheetId="10">NA()</definedName>
    <definedName name="_________________PC12">NA()</definedName>
    <definedName name="_________________PC13" localSheetId="10">NA()</definedName>
    <definedName name="_________________PC13">NA()</definedName>
    <definedName name="_________________PC14" localSheetId="10">NA()</definedName>
    <definedName name="_________________PC14">NA()</definedName>
    <definedName name="_________________PC15" localSheetId="10">NA()</definedName>
    <definedName name="_________________PC15">NA()</definedName>
    <definedName name="_________________PC16" localSheetId="10">NA()</definedName>
    <definedName name="_________________PC16">NA()</definedName>
    <definedName name="_________________PC17" localSheetId="10">NA()</definedName>
    <definedName name="_________________PC17">NA()</definedName>
    <definedName name="_________________PC18" localSheetId="10">NA()</definedName>
    <definedName name="_________________PC18">NA()</definedName>
    <definedName name="_________________PC19" localSheetId="10">NA()</definedName>
    <definedName name="_________________PC19">NA()</definedName>
    <definedName name="_________________pc2" localSheetId="10">NA()</definedName>
    <definedName name="_________________pc2">NA()</definedName>
    <definedName name="_________________PC20" localSheetId="10">NA()</definedName>
    <definedName name="_________________PC20">NA()</definedName>
    <definedName name="_________________PC21" localSheetId="10">NA()</definedName>
    <definedName name="_________________PC21">NA()</definedName>
    <definedName name="_________________PC22" localSheetId="10">NA()</definedName>
    <definedName name="_________________PC22">NA()</definedName>
    <definedName name="_________________PC23" localSheetId="10">NA()</definedName>
    <definedName name="_________________PC23">NA()</definedName>
    <definedName name="_________________PC24" localSheetId="10">NA()</definedName>
    <definedName name="_________________PC24">NA()</definedName>
    <definedName name="_________________PC3" localSheetId="10">NA()</definedName>
    <definedName name="_________________PC3">NA()</definedName>
    <definedName name="_________________PC4" localSheetId="10">NA()</definedName>
    <definedName name="_________________PC4">NA()</definedName>
    <definedName name="_________________PC5" localSheetId="10">NA()</definedName>
    <definedName name="_________________PC5">NA()</definedName>
    <definedName name="_________________PC6" localSheetId="10">NA()</definedName>
    <definedName name="_________________PC6">NA()</definedName>
    <definedName name="_________________pc600" localSheetId="10">NA()</definedName>
    <definedName name="_________________pc600">NA()</definedName>
    <definedName name="_________________PC7" localSheetId="10">NA()</definedName>
    <definedName name="_________________PC7">NA()</definedName>
    <definedName name="_________________PC8" localSheetId="10">NA()</definedName>
    <definedName name="_________________PC8">NA()</definedName>
    <definedName name="_________________PC9" localSheetId="10">NA()</definedName>
    <definedName name="_________________PC9">NA()</definedName>
    <definedName name="_________________pc900" localSheetId="10">NA()</definedName>
    <definedName name="_________________pc900">NA()</definedName>
    <definedName name="_________________pv2" localSheetId="10">NA()</definedName>
    <definedName name="_________________pv2">NA()</definedName>
    <definedName name="_________________var1" localSheetId="10">NA()</definedName>
    <definedName name="_________________var1">NA()</definedName>
    <definedName name="_________________var4" localSheetId="10">NA()</definedName>
    <definedName name="_________________var4">NA()</definedName>
    <definedName name="_________________vat1" localSheetId="10">NA()</definedName>
    <definedName name="_________________vat1">NA()</definedName>
    <definedName name="________________BSG100" localSheetId="10">NA()</definedName>
    <definedName name="________________BSG100">NA()</definedName>
    <definedName name="________________BSG150" localSheetId="10">NA()</definedName>
    <definedName name="________________BSG150">NA()</definedName>
    <definedName name="________________BSG5" localSheetId="10">NA()</definedName>
    <definedName name="________________BSG5">NA()</definedName>
    <definedName name="________________BSG75" localSheetId="10">NA()</definedName>
    <definedName name="________________BSG75">NA()</definedName>
    <definedName name="________________BTC1" localSheetId="10">NA()</definedName>
    <definedName name="________________BTC1">NA()</definedName>
    <definedName name="________________BTC10" localSheetId="10">NA()</definedName>
    <definedName name="________________BTC10">NA()</definedName>
    <definedName name="________________BTC11" localSheetId="10">NA()</definedName>
    <definedName name="________________BTC11">NA()</definedName>
    <definedName name="________________BTC12" localSheetId="10">NA()</definedName>
    <definedName name="________________BTC12">NA()</definedName>
    <definedName name="________________BTC13" localSheetId="10">NA()</definedName>
    <definedName name="________________BTC13">NA()</definedName>
    <definedName name="________________BTC14" localSheetId="10">NA()</definedName>
    <definedName name="________________BTC14">NA()</definedName>
    <definedName name="________________BTC15" localSheetId="10">NA()</definedName>
    <definedName name="________________BTC15">NA()</definedName>
    <definedName name="________________BTC16" localSheetId="10">NA()</definedName>
    <definedName name="________________BTC16">NA()</definedName>
    <definedName name="________________BTC17" localSheetId="10">NA()</definedName>
    <definedName name="________________BTC17">NA()</definedName>
    <definedName name="________________BTC18" localSheetId="10">NA()</definedName>
    <definedName name="________________BTC18">NA()</definedName>
    <definedName name="________________BTC19" localSheetId="10">NA()</definedName>
    <definedName name="________________BTC19">NA()</definedName>
    <definedName name="________________BTC2" localSheetId="10">NA()</definedName>
    <definedName name="________________BTC2">NA()</definedName>
    <definedName name="________________BTC20" localSheetId="10">NA()</definedName>
    <definedName name="________________BTC20">NA()</definedName>
    <definedName name="________________BTC21" localSheetId="10">NA()</definedName>
    <definedName name="________________BTC21">NA()</definedName>
    <definedName name="________________BTC22" localSheetId="10">NA()</definedName>
    <definedName name="________________BTC22">NA()</definedName>
    <definedName name="________________BTC23" localSheetId="10">NA()</definedName>
    <definedName name="________________BTC23">NA()</definedName>
    <definedName name="________________BTC24" localSheetId="10">NA()</definedName>
    <definedName name="________________BTC24">NA()</definedName>
    <definedName name="________________BTC3" localSheetId="10">NA()</definedName>
    <definedName name="________________BTC3">NA()</definedName>
    <definedName name="________________BTC4" localSheetId="10">NA()</definedName>
    <definedName name="________________BTC4">NA()</definedName>
    <definedName name="________________BTC5" localSheetId="10">NA()</definedName>
    <definedName name="________________BTC5">NA()</definedName>
    <definedName name="________________BTC6" localSheetId="10">NA()</definedName>
    <definedName name="________________BTC6">NA()</definedName>
    <definedName name="________________BTC7" localSheetId="10">NA()</definedName>
    <definedName name="________________BTC7">NA()</definedName>
    <definedName name="________________BTC8" localSheetId="10">NA()</definedName>
    <definedName name="________________BTC8">NA()</definedName>
    <definedName name="________________BTC9" localSheetId="10">NA()</definedName>
    <definedName name="________________BTC9">NA()</definedName>
    <definedName name="________________BTR1" localSheetId="10">NA()</definedName>
    <definedName name="________________BTR1">NA()</definedName>
    <definedName name="________________BTR10" localSheetId="10">NA()</definedName>
    <definedName name="________________BTR10">NA()</definedName>
    <definedName name="________________BTR11" localSheetId="10">NA()</definedName>
    <definedName name="________________BTR11">NA()</definedName>
    <definedName name="________________BTR12" localSheetId="10">NA()</definedName>
    <definedName name="________________BTR12">NA()</definedName>
    <definedName name="________________BTR13" localSheetId="10">NA()</definedName>
    <definedName name="________________BTR13">NA()</definedName>
    <definedName name="________________BTR14" localSheetId="10">NA()</definedName>
    <definedName name="________________BTR14">NA()</definedName>
    <definedName name="________________BTR15" localSheetId="10">NA()</definedName>
    <definedName name="________________BTR15">NA()</definedName>
    <definedName name="________________BTR16" localSheetId="10">NA()</definedName>
    <definedName name="________________BTR16">NA()</definedName>
    <definedName name="________________BTR17" localSheetId="10">NA()</definedName>
    <definedName name="________________BTR17">NA()</definedName>
    <definedName name="________________BTR18" localSheetId="10">NA()</definedName>
    <definedName name="________________BTR18">NA()</definedName>
    <definedName name="________________BTR19" localSheetId="10">NA()</definedName>
    <definedName name="________________BTR19">NA()</definedName>
    <definedName name="________________BTR2" localSheetId="10">NA()</definedName>
    <definedName name="________________BTR2">NA()</definedName>
    <definedName name="________________BTR20" localSheetId="10">NA()</definedName>
    <definedName name="________________BTR20">NA()</definedName>
    <definedName name="________________BTR21" localSheetId="10">NA()</definedName>
    <definedName name="________________BTR21">NA()</definedName>
    <definedName name="________________BTR22" localSheetId="10">NA()</definedName>
    <definedName name="________________BTR22">NA()</definedName>
    <definedName name="________________BTR23" localSheetId="10">NA()</definedName>
    <definedName name="________________BTR23">NA()</definedName>
    <definedName name="________________BTR24" localSheetId="10">NA()</definedName>
    <definedName name="________________BTR24">NA()</definedName>
    <definedName name="________________BTR3" localSheetId="10">NA()</definedName>
    <definedName name="________________BTR3">NA()</definedName>
    <definedName name="________________BTR4" localSheetId="10">NA()</definedName>
    <definedName name="________________BTR4">NA()</definedName>
    <definedName name="________________BTR5" localSheetId="10">NA()</definedName>
    <definedName name="________________BTR5">NA()</definedName>
    <definedName name="________________BTR6" localSheetId="10">NA()</definedName>
    <definedName name="________________BTR6">NA()</definedName>
    <definedName name="________________BTR7" localSheetId="10">NA()</definedName>
    <definedName name="________________BTR7">NA()</definedName>
    <definedName name="________________BTR8" localSheetId="10">NA()</definedName>
    <definedName name="________________BTR8">NA()</definedName>
    <definedName name="________________BTR9" localSheetId="10">NA()</definedName>
    <definedName name="________________BTR9">NA()</definedName>
    <definedName name="________________BTS1" localSheetId="10">NA()</definedName>
    <definedName name="________________BTS1">NA()</definedName>
    <definedName name="________________BTS10" localSheetId="10">NA()</definedName>
    <definedName name="________________BTS10">NA()</definedName>
    <definedName name="________________BTS11" localSheetId="10">NA()</definedName>
    <definedName name="________________BTS11">NA()</definedName>
    <definedName name="________________BTS12" localSheetId="10">NA()</definedName>
    <definedName name="________________BTS12">NA()</definedName>
    <definedName name="________________BTS13" localSheetId="10">NA()</definedName>
    <definedName name="________________BTS13">NA()</definedName>
    <definedName name="________________BTS14" localSheetId="10">NA()</definedName>
    <definedName name="________________BTS14">NA()</definedName>
    <definedName name="________________BTS15" localSheetId="10">NA()</definedName>
    <definedName name="________________BTS15">NA()</definedName>
    <definedName name="________________BTS16" localSheetId="10">NA()</definedName>
    <definedName name="________________BTS16">NA()</definedName>
    <definedName name="________________BTS17" localSheetId="10">NA()</definedName>
    <definedName name="________________BTS17">NA()</definedName>
    <definedName name="________________BTS18" localSheetId="10">NA()</definedName>
    <definedName name="________________BTS18">NA()</definedName>
    <definedName name="________________BTS19" localSheetId="10">NA()</definedName>
    <definedName name="________________BTS19">NA()</definedName>
    <definedName name="________________BTS2" localSheetId="10">NA()</definedName>
    <definedName name="________________BTS2">NA()</definedName>
    <definedName name="________________BTS20" localSheetId="10">NA()</definedName>
    <definedName name="________________BTS20">NA()</definedName>
    <definedName name="________________BTS21" localSheetId="10">NA()</definedName>
    <definedName name="________________BTS21">NA()</definedName>
    <definedName name="________________BTS22" localSheetId="10">NA()</definedName>
    <definedName name="________________BTS22">NA()</definedName>
    <definedName name="________________BTS23" localSheetId="10">NA()</definedName>
    <definedName name="________________BTS23">NA()</definedName>
    <definedName name="________________BTS24" localSheetId="10">NA()</definedName>
    <definedName name="________________BTS24">NA()</definedName>
    <definedName name="________________BTS3" localSheetId="10">NA()</definedName>
    <definedName name="________________BTS3">NA()</definedName>
    <definedName name="________________BTS4" localSheetId="10">NA()</definedName>
    <definedName name="________________BTS4">NA()</definedName>
    <definedName name="________________BTS5" localSheetId="10">NA()</definedName>
    <definedName name="________________BTS5">NA()</definedName>
    <definedName name="________________BTS6" localSheetId="10">NA()</definedName>
    <definedName name="________________BTS6">NA()</definedName>
    <definedName name="________________BTS7" localSheetId="10">NA()</definedName>
    <definedName name="________________BTS7">NA()</definedName>
    <definedName name="________________BTS8" localSheetId="10">NA()</definedName>
    <definedName name="________________BTS8">NA()</definedName>
    <definedName name="________________BTS9" localSheetId="10">NA()</definedName>
    <definedName name="________________BTS9">NA()</definedName>
    <definedName name="________________can430">40.73</definedName>
    <definedName name="________________can435">43.3</definedName>
    <definedName name="________________GBS11" localSheetId="10">NA()</definedName>
    <definedName name="________________GBS11">NA()</definedName>
    <definedName name="________________GBS110" localSheetId="10">NA()</definedName>
    <definedName name="________________GBS110">NA()</definedName>
    <definedName name="________________GBS111" localSheetId="10">NA()</definedName>
    <definedName name="________________GBS111">NA()</definedName>
    <definedName name="________________GBS112" localSheetId="10">NA()</definedName>
    <definedName name="________________GBS112">NA()</definedName>
    <definedName name="________________GBS113" localSheetId="10">NA()</definedName>
    <definedName name="________________GBS113">NA()</definedName>
    <definedName name="________________GBS114" localSheetId="10">NA()</definedName>
    <definedName name="________________GBS114">NA()</definedName>
    <definedName name="________________GBS115" localSheetId="10">NA()</definedName>
    <definedName name="________________GBS115">NA()</definedName>
    <definedName name="________________GBS116" localSheetId="10">NA()</definedName>
    <definedName name="________________GBS116">NA()</definedName>
    <definedName name="________________GBS117" localSheetId="10">NA()</definedName>
    <definedName name="________________GBS117">NA()</definedName>
    <definedName name="________________GBS118" localSheetId="10">NA()</definedName>
    <definedName name="________________GBS118">NA()</definedName>
    <definedName name="________________GBS119" localSheetId="10">NA()</definedName>
    <definedName name="________________GBS119">NA()</definedName>
    <definedName name="________________GBS12" localSheetId="10">NA()</definedName>
    <definedName name="________________GBS12">NA()</definedName>
    <definedName name="________________GBS120" localSheetId="10">NA()</definedName>
    <definedName name="________________GBS120">NA()</definedName>
    <definedName name="________________GBS121" localSheetId="10">NA()</definedName>
    <definedName name="________________GBS121">NA()</definedName>
    <definedName name="________________GBS122" localSheetId="10">NA()</definedName>
    <definedName name="________________GBS122">NA()</definedName>
    <definedName name="________________GBS123" localSheetId="10">NA()</definedName>
    <definedName name="________________GBS123">NA()</definedName>
    <definedName name="________________GBS124" localSheetId="10">NA()</definedName>
    <definedName name="________________GBS124">NA()</definedName>
    <definedName name="________________GBS13" localSheetId="10">NA()</definedName>
    <definedName name="________________GBS13">NA()</definedName>
    <definedName name="________________GBS14" localSheetId="10">NA()</definedName>
    <definedName name="________________GBS14">NA()</definedName>
    <definedName name="________________GBS15" localSheetId="10">NA()</definedName>
    <definedName name="________________GBS15">NA()</definedName>
    <definedName name="________________GBS16" localSheetId="10">NA()</definedName>
    <definedName name="________________GBS16">NA()</definedName>
    <definedName name="________________GBS17" localSheetId="10">NA()</definedName>
    <definedName name="________________GBS17">NA()</definedName>
    <definedName name="________________GBS18" localSheetId="10">NA()</definedName>
    <definedName name="________________GBS18">NA()</definedName>
    <definedName name="________________GBS19" localSheetId="10">NA()</definedName>
    <definedName name="________________GBS19">NA()</definedName>
    <definedName name="________________GBS21" localSheetId="10">NA()</definedName>
    <definedName name="________________GBS21">NA()</definedName>
    <definedName name="________________GBS210" localSheetId="10">NA()</definedName>
    <definedName name="________________GBS210">NA()</definedName>
    <definedName name="________________GBS211" localSheetId="10">NA()</definedName>
    <definedName name="________________GBS211">NA()</definedName>
    <definedName name="________________GBS212" localSheetId="10">NA()</definedName>
    <definedName name="________________GBS212">NA()</definedName>
    <definedName name="________________GBS213" localSheetId="10">NA()</definedName>
    <definedName name="________________GBS213">NA()</definedName>
    <definedName name="________________GBS214" localSheetId="10">NA()</definedName>
    <definedName name="________________GBS214">NA()</definedName>
    <definedName name="________________GBS215" localSheetId="10">NA()</definedName>
    <definedName name="________________GBS215">NA()</definedName>
    <definedName name="________________GBS216" localSheetId="10">NA()</definedName>
    <definedName name="________________GBS216">NA()</definedName>
    <definedName name="________________GBS217" localSheetId="10">NA()</definedName>
    <definedName name="________________GBS217">NA()</definedName>
    <definedName name="________________GBS218" localSheetId="10">NA()</definedName>
    <definedName name="________________GBS218">NA()</definedName>
    <definedName name="________________GBS219" localSheetId="10">NA()</definedName>
    <definedName name="________________GBS219">NA()</definedName>
    <definedName name="________________GBS22" localSheetId="10">NA()</definedName>
    <definedName name="________________GBS22">NA()</definedName>
    <definedName name="________________GBS220" localSheetId="10">NA()</definedName>
    <definedName name="________________GBS220">NA()</definedName>
    <definedName name="________________GBS221" localSheetId="10">NA()</definedName>
    <definedName name="________________GBS221">NA()</definedName>
    <definedName name="________________GBS222" localSheetId="10">NA()</definedName>
    <definedName name="________________GBS222">NA()</definedName>
    <definedName name="________________GBS223" localSheetId="10">NA()</definedName>
    <definedName name="________________GBS223">NA()</definedName>
    <definedName name="________________GBS224" localSheetId="10">NA()</definedName>
    <definedName name="________________GBS224">NA()</definedName>
    <definedName name="________________GBS23" localSheetId="10">NA()</definedName>
    <definedName name="________________GBS23">NA()</definedName>
    <definedName name="________________GBS24" localSheetId="10">NA()</definedName>
    <definedName name="________________GBS24">NA()</definedName>
    <definedName name="________________GBS25" localSheetId="10">NA()</definedName>
    <definedName name="________________GBS25">NA()</definedName>
    <definedName name="________________GBS26" localSheetId="10">NA()</definedName>
    <definedName name="________________GBS26">NA()</definedName>
    <definedName name="________________GBS27" localSheetId="10">NA()</definedName>
    <definedName name="________________GBS27">NA()</definedName>
    <definedName name="________________GBS28" localSheetId="10">NA()</definedName>
    <definedName name="________________GBS28">NA()</definedName>
    <definedName name="________________GBS29" localSheetId="10">NA()</definedName>
    <definedName name="________________GBS29">NA()</definedName>
    <definedName name="________________knr2" localSheetId="10">NA()</definedName>
    <definedName name="________________knr2">NA()</definedName>
    <definedName name="________________l12" localSheetId="10">NA()</definedName>
    <definedName name="________________l12">NA()</definedName>
    <definedName name="________________l3" localSheetId="10">NA()</definedName>
    <definedName name="________________l3">NA()</definedName>
    <definedName name="________________l5" localSheetId="10">NA()</definedName>
    <definedName name="________________l5">NA()</definedName>
    <definedName name="________________lj600" localSheetId="10">NA()</definedName>
    <definedName name="________________lj600">NA()</definedName>
    <definedName name="________________lj900" localSheetId="10">NA()</definedName>
    <definedName name="________________lj900">NA()</definedName>
    <definedName name="________________LL3" localSheetId="10">NA()</definedName>
    <definedName name="________________LL3">NA()</definedName>
    <definedName name="________________LSO24" localSheetId="10">NA()</definedName>
    <definedName name="________________LSO24">"[14]lead!#ref!"</definedName>
    <definedName name="________________MA1" localSheetId="10">NA()</definedName>
    <definedName name="________________MA1">NA()</definedName>
    <definedName name="________________MA2" localSheetId="10">NA()</definedName>
    <definedName name="________________MA2">NA()</definedName>
    <definedName name="________________me12">NA()</definedName>
    <definedName name="________________Met22" localSheetId="10">NA()</definedName>
    <definedName name="________________Met22">NA()</definedName>
    <definedName name="________________Met45" localSheetId="10">NA()</definedName>
    <definedName name="________________Met45">NA()</definedName>
    <definedName name="________________MEt55" localSheetId="10">NA()</definedName>
    <definedName name="________________MEt55">NA()</definedName>
    <definedName name="________________Met63" localSheetId="10">NA()</definedName>
    <definedName name="________________Met63">NA()</definedName>
    <definedName name="________________ML21" localSheetId="10">NA()</definedName>
    <definedName name="________________ML21">NA()</definedName>
    <definedName name="________________ML210" localSheetId="10">NA()</definedName>
    <definedName name="________________ML210">NA()</definedName>
    <definedName name="________________ML211" localSheetId="10">NA()</definedName>
    <definedName name="________________ML211">NA()</definedName>
    <definedName name="________________ML212" localSheetId="10">NA()</definedName>
    <definedName name="________________ML212">NA()</definedName>
    <definedName name="________________ML213" localSheetId="10">NA()</definedName>
    <definedName name="________________ML213">NA()</definedName>
    <definedName name="________________ML214" localSheetId="10">NA()</definedName>
    <definedName name="________________ML214">NA()</definedName>
    <definedName name="________________ML215" localSheetId="10">NA()</definedName>
    <definedName name="________________ML215">NA()</definedName>
    <definedName name="________________ML216" localSheetId="10">NA()</definedName>
    <definedName name="________________ML216">NA()</definedName>
    <definedName name="________________ML217" localSheetId="10">NA()</definedName>
    <definedName name="________________ML217">NA()</definedName>
    <definedName name="________________ML218" localSheetId="10">NA()</definedName>
    <definedName name="________________ML218">NA()</definedName>
    <definedName name="________________ML219" localSheetId="10">NA()</definedName>
    <definedName name="________________ML219">NA()</definedName>
    <definedName name="________________ML22" localSheetId="10">NA()</definedName>
    <definedName name="________________ML22">NA()</definedName>
    <definedName name="________________ML220" localSheetId="10">NA()</definedName>
    <definedName name="________________ML220">NA()</definedName>
    <definedName name="________________ML221" localSheetId="10">NA()</definedName>
    <definedName name="________________ML221">NA()</definedName>
    <definedName name="________________ML222" localSheetId="10">NA()</definedName>
    <definedName name="________________ML222">NA()</definedName>
    <definedName name="________________ML223" localSheetId="10">NA()</definedName>
    <definedName name="________________ML223">NA()</definedName>
    <definedName name="________________ML224" localSheetId="10">NA()</definedName>
    <definedName name="________________ML224">NA()</definedName>
    <definedName name="________________ML23" localSheetId="10">NA()</definedName>
    <definedName name="________________ML23">NA()</definedName>
    <definedName name="________________ML24" localSheetId="10">NA()</definedName>
    <definedName name="________________ML24">NA()</definedName>
    <definedName name="________________ML25" localSheetId="10">NA()</definedName>
    <definedName name="________________ML25">NA()</definedName>
    <definedName name="________________ML26" localSheetId="10">NA()</definedName>
    <definedName name="________________ML26">NA()</definedName>
    <definedName name="________________ML27" localSheetId="10">NA()</definedName>
    <definedName name="________________ML27">NA()</definedName>
    <definedName name="________________ML28" localSheetId="10">NA()</definedName>
    <definedName name="________________ML28">NA()</definedName>
    <definedName name="________________ML29" localSheetId="10">NA()</definedName>
    <definedName name="________________ML29">NA()</definedName>
    <definedName name="________________ML31" localSheetId="10">NA()</definedName>
    <definedName name="________________ML31">NA()</definedName>
    <definedName name="________________ML310" localSheetId="10">NA()</definedName>
    <definedName name="________________ML310">NA()</definedName>
    <definedName name="________________ML311" localSheetId="10">NA()</definedName>
    <definedName name="________________ML311">NA()</definedName>
    <definedName name="________________ML312" localSheetId="10">NA()</definedName>
    <definedName name="________________ML312">NA()</definedName>
    <definedName name="________________ML313" localSheetId="10">NA()</definedName>
    <definedName name="________________ML313">NA()</definedName>
    <definedName name="________________ML314" localSheetId="10">NA()</definedName>
    <definedName name="________________ML314">NA()</definedName>
    <definedName name="________________ML315" localSheetId="10">NA()</definedName>
    <definedName name="________________ML315">NA()</definedName>
    <definedName name="________________ML316" localSheetId="10">NA()</definedName>
    <definedName name="________________ML316">NA()</definedName>
    <definedName name="________________ML317" localSheetId="10">NA()</definedName>
    <definedName name="________________ML317">NA()</definedName>
    <definedName name="________________ML318" localSheetId="10">NA()</definedName>
    <definedName name="________________ML318">NA()</definedName>
    <definedName name="________________ML319" localSheetId="10">NA()</definedName>
    <definedName name="________________ML319">NA()</definedName>
    <definedName name="________________ML32" localSheetId="10">NA()</definedName>
    <definedName name="________________ML32">NA()</definedName>
    <definedName name="________________ML320" localSheetId="10">NA()</definedName>
    <definedName name="________________ML320">NA()</definedName>
    <definedName name="________________ML321" localSheetId="10">NA()</definedName>
    <definedName name="________________ML321">NA()</definedName>
    <definedName name="________________ML322" localSheetId="10">NA()</definedName>
    <definedName name="________________ML322">NA()</definedName>
    <definedName name="________________ML323" localSheetId="10">NA()</definedName>
    <definedName name="________________ML323">NA()</definedName>
    <definedName name="________________ML324" localSheetId="10">NA()</definedName>
    <definedName name="________________ML324">NA()</definedName>
    <definedName name="________________ML33" localSheetId="10">NA()</definedName>
    <definedName name="________________ML33">NA()</definedName>
    <definedName name="________________ML34" localSheetId="10">NA()</definedName>
    <definedName name="________________ML34">NA()</definedName>
    <definedName name="________________ML35" localSheetId="10">NA()</definedName>
    <definedName name="________________ML35">NA()</definedName>
    <definedName name="________________ML36" localSheetId="10">NA()</definedName>
    <definedName name="________________ML36">NA()</definedName>
    <definedName name="________________ML37" localSheetId="10">NA()</definedName>
    <definedName name="________________ML37">NA()</definedName>
    <definedName name="________________ML38" localSheetId="10">NA()</definedName>
    <definedName name="________________ML38">NA()</definedName>
    <definedName name="________________ML39" localSheetId="10">NA()</definedName>
    <definedName name="________________ML39">NA()</definedName>
    <definedName name="________________ML7" localSheetId="10">NA()</definedName>
    <definedName name="________________ML7">NA()</definedName>
    <definedName name="________________ML8" localSheetId="10">NA()</definedName>
    <definedName name="________________ML8">NA()</definedName>
    <definedName name="________________ML9" localSheetId="10">NA()</definedName>
    <definedName name="________________ML9">NA()</definedName>
    <definedName name="________________mm1000" localSheetId="10">NA()</definedName>
    <definedName name="________________mm1000">NA()</definedName>
    <definedName name="________________mm600" localSheetId="10">NA()</definedName>
    <definedName name="________________mm600">NA()</definedName>
    <definedName name="________________mm800" localSheetId="10">NA()</definedName>
    <definedName name="________________mm800">NA()</definedName>
    <definedName name="________________PC1" localSheetId="10">NA()</definedName>
    <definedName name="________________PC1">NA()</definedName>
    <definedName name="________________PC10" localSheetId="10">NA()</definedName>
    <definedName name="________________PC10">NA()</definedName>
    <definedName name="________________PC11" localSheetId="10">NA()</definedName>
    <definedName name="________________PC11">NA()</definedName>
    <definedName name="________________PC12" localSheetId="10">NA()</definedName>
    <definedName name="________________PC12">NA()</definedName>
    <definedName name="________________PC13" localSheetId="10">NA()</definedName>
    <definedName name="________________PC13">NA()</definedName>
    <definedName name="________________PC14" localSheetId="10">NA()</definedName>
    <definedName name="________________PC14">NA()</definedName>
    <definedName name="________________PC15" localSheetId="10">NA()</definedName>
    <definedName name="________________PC15">NA()</definedName>
    <definedName name="________________PC16" localSheetId="10">NA()</definedName>
    <definedName name="________________PC16">NA()</definedName>
    <definedName name="________________PC17" localSheetId="10">NA()</definedName>
    <definedName name="________________PC17">NA()</definedName>
    <definedName name="________________PC18" localSheetId="10">NA()</definedName>
    <definedName name="________________PC18">NA()</definedName>
    <definedName name="________________PC19" localSheetId="10">NA()</definedName>
    <definedName name="________________PC19">NA()</definedName>
    <definedName name="________________pc2" localSheetId="10">NA()</definedName>
    <definedName name="________________pc2">NA()</definedName>
    <definedName name="________________PC20" localSheetId="10">NA()</definedName>
    <definedName name="________________PC20">NA()</definedName>
    <definedName name="________________PC21" localSheetId="10">NA()</definedName>
    <definedName name="________________PC21">NA()</definedName>
    <definedName name="________________PC22" localSheetId="10">NA()</definedName>
    <definedName name="________________PC22">NA()</definedName>
    <definedName name="________________PC23" localSheetId="10">NA()</definedName>
    <definedName name="________________PC23">NA()</definedName>
    <definedName name="________________PC24" localSheetId="10">NA()</definedName>
    <definedName name="________________PC24">NA()</definedName>
    <definedName name="________________PC3" localSheetId="10">NA()</definedName>
    <definedName name="________________PC3">NA()</definedName>
    <definedName name="________________PC4" localSheetId="10">NA()</definedName>
    <definedName name="________________PC4">NA()</definedName>
    <definedName name="________________PC5" localSheetId="10">NA()</definedName>
    <definedName name="________________PC5">NA()</definedName>
    <definedName name="________________PC6" localSheetId="10">NA()</definedName>
    <definedName name="________________PC6">NA()</definedName>
    <definedName name="________________pc600" localSheetId="10">NA()</definedName>
    <definedName name="________________pc600">NA()</definedName>
    <definedName name="________________PC7" localSheetId="10">NA()</definedName>
    <definedName name="________________PC7">NA()</definedName>
    <definedName name="________________PC8" localSheetId="10">NA()</definedName>
    <definedName name="________________PC8">NA()</definedName>
    <definedName name="________________PC9" localSheetId="10">NA()</definedName>
    <definedName name="________________PC9">NA()</definedName>
    <definedName name="________________pc900" localSheetId="10">NA()</definedName>
    <definedName name="________________pc900">NA()</definedName>
    <definedName name="________________pv2" localSheetId="10">NA()</definedName>
    <definedName name="________________pv2">NA()</definedName>
    <definedName name="________________var1" localSheetId="10">NA()</definedName>
    <definedName name="________________var1">NA()</definedName>
    <definedName name="________________var4" localSheetId="10">NA()</definedName>
    <definedName name="________________var4">NA()</definedName>
    <definedName name="________________vat1" localSheetId="10">NA()</definedName>
    <definedName name="________________vat1">NA()</definedName>
    <definedName name="_______________BSG100" localSheetId="10">NA()</definedName>
    <definedName name="_______________BSG100">NA()</definedName>
    <definedName name="_______________BSG150" localSheetId="10">NA()</definedName>
    <definedName name="_______________BSG150">NA()</definedName>
    <definedName name="_______________BSG5" localSheetId="10">NA()</definedName>
    <definedName name="_______________BSG5">NA()</definedName>
    <definedName name="_______________BSG75" localSheetId="10">NA()</definedName>
    <definedName name="_______________BSG75">NA()</definedName>
    <definedName name="_______________BTC1" localSheetId="10">NA()</definedName>
    <definedName name="_______________BTC1">NA()</definedName>
    <definedName name="_______________BTC10" localSheetId="10">NA()</definedName>
    <definedName name="_______________BTC10">NA()</definedName>
    <definedName name="_______________BTC11" localSheetId="10">NA()</definedName>
    <definedName name="_______________BTC11">NA()</definedName>
    <definedName name="_______________BTC12" localSheetId="10">NA()</definedName>
    <definedName name="_______________BTC12">NA()</definedName>
    <definedName name="_______________BTC13" localSheetId="10">NA()</definedName>
    <definedName name="_______________BTC13">NA()</definedName>
    <definedName name="_______________BTC14" localSheetId="10">NA()</definedName>
    <definedName name="_______________BTC14">NA()</definedName>
    <definedName name="_______________BTC15" localSheetId="10">NA()</definedName>
    <definedName name="_______________BTC15">NA()</definedName>
    <definedName name="_______________BTC16" localSheetId="10">NA()</definedName>
    <definedName name="_______________BTC16">NA()</definedName>
    <definedName name="_______________BTC17" localSheetId="10">NA()</definedName>
    <definedName name="_______________BTC17">NA()</definedName>
    <definedName name="_______________BTC18" localSheetId="10">NA()</definedName>
    <definedName name="_______________BTC18">NA()</definedName>
    <definedName name="_______________BTC19" localSheetId="10">NA()</definedName>
    <definedName name="_______________BTC19">NA()</definedName>
    <definedName name="_______________BTC2" localSheetId="10">NA()</definedName>
    <definedName name="_______________BTC2">NA()</definedName>
    <definedName name="_______________BTC20" localSheetId="10">NA()</definedName>
    <definedName name="_______________BTC20">NA()</definedName>
    <definedName name="_______________BTC21" localSheetId="10">NA()</definedName>
    <definedName name="_______________BTC21">NA()</definedName>
    <definedName name="_______________BTC22" localSheetId="10">NA()</definedName>
    <definedName name="_______________BTC22">NA()</definedName>
    <definedName name="_______________BTC23" localSheetId="10">NA()</definedName>
    <definedName name="_______________BTC23">NA()</definedName>
    <definedName name="_______________BTC24" localSheetId="10">NA()</definedName>
    <definedName name="_______________BTC24">NA()</definedName>
    <definedName name="_______________BTC3" localSheetId="10">NA()</definedName>
    <definedName name="_______________BTC3">NA()</definedName>
    <definedName name="_______________BTC4" localSheetId="10">NA()</definedName>
    <definedName name="_______________BTC4">NA()</definedName>
    <definedName name="_______________BTC5" localSheetId="10">NA()</definedName>
    <definedName name="_______________BTC5">NA()</definedName>
    <definedName name="_______________BTC6" localSheetId="10">NA()</definedName>
    <definedName name="_______________BTC6">NA()</definedName>
    <definedName name="_______________BTC7" localSheetId="10">NA()</definedName>
    <definedName name="_______________BTC7">NA()</definedName>
    <definedName name="_______________BTC8" localSheetId="10">NA()</definedName>
    <definedName name="_______________BTC8">NA()</definedName>
    <definedName name="_______________BTC9" localSheetId="10">NA()</definedName>
    <definedName name="_______________BTC9">NA()</definedName>
    <definedName name="_______________BTR1" localSheetId="10">NA()</definedName>
    <definedName name="_______________BTR1">NA()</definedName>
    <definedName name="_______________BTR10" localSheetId="10">NA()</definedName>
    <definedName name="_______________BTR10">NA()</definedName>
    <definedName name="_______________BTR11" localSheetId="10">NA()</definedName>
    <definedName name="_______________BTR11">NA()</definedName>
    <definedName name="_______________BTR12" localSheetId="10">NA()</definedName>
    <definedName name="_______________BTR12">NA()</definedName>
    <definedName name="_______________BTR13" localSheetId="10">NA()</definedName>
    <definedName name="_______________BTR13">NA()</definedName>
    <definedName name="_______________BTR14" localSheetId="10">NA()</definedName>
    <definedName name="_______________BTR14">NA()</definedName>
    <definedName name="_______________BTR15" localSheetId="10">NA()</definedName>
    <definedName name="_______________BTR15">NA()</definedName>
    <definedName name="_______________BTR16" localSheetId="10">NA()</definedName>
    <definedName name="_______________BTR16">NA()</definedName>
    <definedName name="_______________BTR17" localSheetId="10">NA()</definedName>
    <definedName name="_______________BTR17">NA()</definedName>
    <definedName name="_______________BTR18" localSheetId="10">NA()</definedName>
    <definedName name="_______________BTR18">NA()</definedName>
    <definedName name="_______________BTR19" localSheetId="10">NA()</definedName>
    <definedName name="_______________BTR19">NA()</definedName>
    <definedName name="_______________BTR2" localSheetId="10">NA()</definedName>
    <definedName name="_______________BTR2">NA()</definedName>
    <definedName name="_______________BTR20" localSheetId="10">NA()</definedName>
    <definedName name="_______________BTR20">NA()</definedName>
    <definedName name="_______________BTR21" localSheetId="10">NA()</definedName>
    <definedName name="_______________BTR21">NA()</definedName>
    <definedName name="_______________BTR22" localSheetId="10">NA()</definedName>
    <definedName name="_______________BTR22">NA()</definedName>
    <definedName name="_______________BTR23" localSheetId="10">NA()</definedName>
    <definedName name="_______________BTR23">NA()</definedName>
    <definedName name="_______________BTR24" localSheetId="10">NA()</definedName>
    <definedName name="_______________BTR24">NA()</definedName>
    <definedName name="_______________BTR3" localSheetId="10">NA()</definedName>
    <definedName name="_______________BTR3">NA()</definedName>
    <definedName name="_______________BTR4" localSheetId="10">NA()</definedName>
    <definedName name="_______________BTR4">NA()</definedName>
    <definedName name="_______________BTR5" localSheetId="10">NA()</definedName>
    <definedName name="_______________BTR5">NA()</definedName>
    <definedName name="_______________BTR6" localSheetId="10">NA()</definedName>
    <definedName name="_______________BTR6">NA()</definedName>
    <definedName name="_______________BTR7" localSheetId="10">NA()</definedName>
    <definedName name="_______________BTR7">NA()</definedName>
    <definedName name="_______________BTR8" localSheetId="10">NA()</definedName>
    <definedName name="_______________BTR8">NA()</definedName>
    <definedName name="_______________BTR9" localSheetId="10">NA()</definedName>
    <definedName name="_______________BTR9">NA()</definedName>
    <definedName name="_______________BTS1" localSheetId="10">NA()</definedName>
    <definedName name="_______________BTS1">NA()</definedName>
    <definedName name="_______________BTS10" localSheetId="10">NA()</definedName>
    <definedName name="_______________BTS10">NA()</definedName>
    <definedName name="_______________BTS11" localSheetId="10">NA()</definedName>
    <definedName name="_______________BTS11">NA()</definedName>
    <definedName name="_______________BTS12" localSheetId="10">NA()</definedName>
    <definedName name="_______________BTS12">NA()</definedName>
    <definedName name="_______________BTS13" localSheetId="10">NA()</definedName>
    <definedName name="_______________BTS13">NA()</definedName>
    <definedName name="_______________BTS14" localSheetId="10">NA()</definedName>
    <definedName name="_______________BTS14">NA()</definedName>
    <definedName name="_______________BTS15" localSheetId="10">NA()</definedName>
    <definedName name="_______________BTS15">NA()</definedName>
    <definedName name="_______________BTS16" localSheetId="10">NA()</definedName>
    <definedName name="_______________BTS16">NA()</definedName>
    <definedName name="_______________BTS17" localSheetId="10">NA()</definedName>
    <definedName name="_______________BTS17">NA()</definedName>
    <definedName name="_______________BTS18" localSheetId="10">NA()</definedName>
    <definedName name="_______________BTS18">NA()</definedName>
    <definedName name="_______________BTS19" localSheetId="10">NA()</definedName>
    <definedName name="_______________BTS19">NA()</definedName>
    <definedName name="_______________BTS2" localSheetId="10">NA()</definedName>
    <definedName name="_______________BTS2">NA()</definedName>
    <definedName name="_______________BTS20" localSheetId="10">NA()</definedName>
    <definedName name="_______________BTS20">NA()</definedName>
    <definedName name="_______________BTS21" localSheetId="10">NA()</definedName>
    <definedName name="_______________BTS21">NA()</definedName>
    <definedName name="_______________BTS22" localSheetId="10">NA()</definedName>
    <definedName name="_______________BTS22">NA()</definedName>
    <definedName name="_______________BTS23" localSheetId="10">NA()</definedName>
    <definedName name="_______________BTS23">NA()</definedName>
    <definedName name="_______________BTS24" localSheetId="10">NA()</definedName>
    <definedName name="_______________BTS24">NA()</definedName>
    <definedName name="_______________BTS3" localSheetId="10">NA()</definedName>
    <definedName name="_______________BTS3">NA()</definedName>
    <definedName name="_______________BTS4" localSheetId="10">NA()</definedName>
    <definedName name="_______________BTS4">NA()</definedName>
    <definedName name="_______________BTS5" localSheetId="10">NA()</definedName>
    <definedName name="_______________BTS5">NA()</definedName>
    <definedName name="_______________BTS6" localSheetId="10">NA()</definedName>
    <definedName name="_______________BTS6">NA()</definedName>
    <definedName name="_______________BTS7" localSheetId="10">NA()</definedName>
    <definedName name="_______________BTS7">NA()</definedName>
    <definedName name="_______________BTS8" localSheetId="10">NA()</definedName>
    <definedName name="_______________BTS8">NA()</definedName>
    <definedName name="_______________BTS9" localSheetId="10">NA()</definedName>
    <definedName name="_______________BTS9">NA()</definedName>
    <definedName name="_______________can430">40.73</definedName>
    <definedName name="_______________can435">43.3</definedName>
    <definedName name="_______________G120907">"[21]data!#ref!"</definedName>
    <definedName name="_______________GBS11" localSheetId="10">NA()</definedName>
    <definedName name="_______________GBS11">NA()</definedName>
    <definedName name="_______________GBS110" localSheetId="10">NA()</definedName>
    <definedName name="_______________GBS110">NA()</definedName>
    <definedName name="_______________GBS111" localSheetId="10">NA()</definedName>
    <definedName name="_______________GBS111">NA()</definedName>
    <definedName name="_______________GBS112" localSheetId="10">NA()</definedName>
    <definedName name="_______________GBS112">NA()</definedName>
    <definedName name="_______________GBS113" localSheetId="10">NA()</definedName>
    <definedName name="_______________GBS113">NA()</definedName>
    <definedName name="_______________GBS114" localSheetId="10">NA()</definedName>
    <definedName name="_______________GBS114">NA()</definedName>
    <definedName name="_______________GBS115" localSheetId="10">NA()</definedName>
    <definedName name="_______________GBS115">NA()</definedName>
    <definedName name="_______________GBS116" localSheetId="10">NA()</definedName>
    <definedName name="_______________GBS116">NA()</definedName>
    <definedName name="_______________GBS117" localSheetId="10">NA()</definedName>
    <definedName name="_______________GBS117">NA()</definedName>
    <definedName name="_______________GBS118" localSheetId="10">NA()</definedName>
    <definedName name="_______________GBS118">NA()</definedName>
    <definedName name="_______________GBS119" localSheetId="10">NA()</definedName>
    <definedName name="_______________GBS119">NA()</definedName>
    <definedName name="_______________GBS12" localSheetId="10">NA()</definedName>
    <definedName name="_______________GBS12">NA()</definedName>
    <definedName name="_______________GBS120" localSheetId="10">NA()</definedName>
    <definedName name="_______________GBS120">NA()</definedName>
    <definedName name="_______________GBS121" localSheetId="10">NA()</definedName>
    <definedName name="_______________GBS121">NA()</definedName>
    <definedName name="_______________GBS122" localSheetId="10">NA()</definedName>
    <definedName name="_______________GBS122">NA()</definedName>
    <definedName name="_______________GBS123" localSheetId="10">NA()</definedName>
    <definedName name="_______________GBS123">NA()</definedName>
    <definedName name="_______________GBS124" localSheetId="10">NA()</definedName>
    <definedName name="_______________GBS124">NA()</definedName>
    <definedName name="_______________GBS13" localSheetId="10">NA()</definedName>
    <definedName name="_______________GBS13">NA()</definedName>
    <definedName name="_______________GBS14" localSheetId="10">NA()</definedName>
    <definedName name="_______________GBS14">NA()</definedName>
    <definedName name="_______________GBS15" localSheetId="10">NA()</definedName>
    <definedName name="_______________GBS15">NA()</definedName>
    <definedName name="_______________GBS16" localSheetId="10">NA()</definedName>
    <definedName name="_______________GBS16">NA()</definedName>
    <definedName name="_______________GBS17" localSheetId="10">NA()</definedName>
    <definedName name="_______________GBS17">NA()</definedName>
    <definedName name="_______________GBS18" localSheetId="10">NA()</definedName>
    <definedName name="_______________GBS18">NA()</definedName>
    <definedName name="_______________GBS19" localSheetId="10">NA()</definedName>
    <definedName name="_______________GBS19">NA()</definedName>
    <definedName name="_______________GBS21" localSheetId="10">NA()</definedName>
    <definedName name="_______________GBS21">NA()</definedName>
    <definedName name="_______________GBS210" localSheetId="10">NA()</definedName>
    <definedName name="_______________GBS210">NA()</definedName>
    <definedName name="_______________GBS211" localSheetId="10">NA()</definedName>
    <definedName name="_______________GBS211">NA()</definedName>
    <definedName name="_______________GBS212" localSheetId="10">NA()</definedName>
    <definedName name="_______________GBS212">NA()</definedName>
    <definedName name="_______________GBS213" localSheetId="10">NA()</definedName>
    <definedName name="_______________GBS213">NA()</definedName>
    <definedName name="_______________GBS214" localSheetId="10">NA()</definedName>
    <definedName name="_______________GBS214">NA()</definedName>
    <definedName name="_______________GBS215" localSheetId="10">NA()</definedName>
    <definedName name="_______________GBS215">NA()</definedName>
    <definedName name="_______________GBS216" localSheetId="10">NA()</definedName>
    <definedName name="_______________GBS216">NA()</definedName>
    <definedName name="_______________GBS217" localSheetId="10">NA()</definedName>
    <definedName name="_______________GBS217">NA()</definedName>
    <definedName name="_______________GBS218" localSheetId="10">NA()</definedName>
    <definedName name="_______________GBS218">NA()</definedName>
    <definedName name="_______________GBS219" localSheetId="10">NA()</definedName>
    <definedName name="_______________GBS219">NA()</definedName>
    <definedName name="_______________GBS22" localSheetId="10">NA()</definedName>
    <definedName name="_______________GBS22">NA()</definedName>
    <definedName name="_______________GBS220" localSheetId="10">NA()</definedName>
    <definedName name="_______________GBS220">NA()</definedName>
    <definedName name="_______________GBS221" localSheetId="10">NA()</definedName>
    <definedName name="_______________GBS221">NA()</definedName>
    <definedName name="_______________GBS222" localSheetId="10">NA()</definedName>
    <definedName name="_______________GBS222">NA()</definedName>
    <definedName name="_______________GBS223" localSheetId="10">NA()</definedName>
    <definedName name="_______________GBS223">NA()</definedName>
    <definedName name="_______________GBS224" localSheetId="10">NA()</definedName>
    <definedName name="_______________GBS224">NA()</definedName>
    <definedName name="_______________GBS23" localSheetId="10">NA()</definedName>
    <definedName name="_______________GBS23">NA()</definedName>
    <definedName name="_______________GBS24" localSheetId="10">NA()</definedName>
    <definedName name="_______________GBS24">NA()</definedName>
    <definedName name="_______________GBS25" localSheetId="10">NA()</definedName>
    <definedName name="_______________GBS25">NA()</definedName>
    <definedName name="_______________GBS26" localSheetId="10">NA()</definedName>
    <definedName name="_______________GBS26">NA()</definedName>
    <definedName name="_______________GBS27" localSheetId="10">NA()</definedName>
    <definedName name="_______________GBS27">NA()</definedName>
    <definedName name="_______________GBS28" localSheetId="10">NA()</definedName>
    <definedName name="_______________GBS28">NA()</definedName>
    <definedName name="_______________GBS29" localSheetId="10">NA()</definedName>
    <definedName name="_______________GBS29">NA()</definedName>
    <definedName name="_______________knr2" localSheetId="10">NA()</definedName>
    <definedName name="_______________knr2">NA()</definedName>
    <definedName name="_______________l12" localSheetId="10">NA()</definedName>
    <definedName name="_______________l12">NA()</definedName>
    <definedName name="_______________l3" localSheetId="10">NA()</definedName>
    <definedName name="_______________l3">NA()</definedName>
    <definedName name="_______________l5" localSheetId="10">NA()</definedName>
    <definedName name="_______________l5">NA()</definedName>
    <definedName name="_______________lj600" localSheetId="10">NA()</definedName>
    <definedName name="_______________lj600">NA()</definedName>
    <definedName name="_______________lj900" localSheetId="10">NA()</definedName>
    <definedName name="_______________lj900">NA()</definedName>
    <definedName name="_______________LL3" localSheetId="10">NA()</definedName>
    <definedName name="_______________LL3">NA()</definedName>
    <definedName name="_______________LSO24" localSheetId="10">NA()</definedName>
    <definedName name="_______________LSO24">"[14]lead!#ref!"</definedName>
    <definedName name="_______________MA1" localSheetId="10">NA()</definedName>
    <definedName name="_______________MA1">NA()</definedName>
    <definedName name="_______________MA2" localSheetId="10">NA()</definedName>
    <definedName name="_______________MA2">NA()</definedName>
    <definedName name="_______________Met22" localSheetId="10">NA()</definedName>
    <definedName name="_______________Met22">NA()</definedName>
    <definedName name="_______________Met45" localSheetId="10">NA()</definedName>
    <definedName name="_______________Met45">NA()</definedName>
    <definedName name="_______________MEt55" localSheetId="10">NA()</definedName>
    <definedName name="_______________MEt55">NA()</definedName>
    <definedName name="_______________Met63" localSheetId="10">NA()</definedName>
    <definedName name="_______________Met63">NA()</definedName>
    <definedName name="_______________ML21" localSheetId="10">NA()</definedName>
    <definedName name="_______________ML21">NA()</definedName>
    <definedName name="_______________ML210" localSheetId="10">NA()</definedName>
    <definedName name="_______________ML210">NA()</definedName>
    <definedName name="_______________ML211" localSheetId="10">NA()</definedName>
    <definedName name="_______________ML211">NA()</definedName>
    <definedName name="_______________ML212" localSheetId="10">NA()</definedName>
    <definedName name="_______________ML212">NA()</definedName>
    <definedName name="_______________ML213" localSheetId="10">NA()</definedName>
    <definedName name="_______________ML213">NA()</definedName>
    <definedName name="_______________ML214" localSheetId="10">NA()</definedName>
    <definedName name="_______________ML214">NA()</definedName>
    <definedName name="_______________ML215" localSheetId="10">NA()</definedName>
    <definedName name="_______________ML215">NA()</definedName>
    <definedName name="_______________ML216" localSheetId="10">NA()</definedName>
    <definedName name="_______________ML216">NA()</definedName>
    <definedName name="_______________ML217" localSheetId="10">NA()</definedName>
    <definedName name="_______________ML217">NA()</definedName>
    <definedName name="_______________ML218" localSheetId="10">NA()</definedName>
    <definedName name="_______________ML218">NA()</definedName>
    <definedName name="_______________ML219" localSheetId="10">NA()</definedName>
    <definedName name="_______________ML219">NA()</definedName>
    <definedName name="_______________ML22" localSheetId="10">NA()</definedName>
    <definedName name="_______________ML22">NA()</definedName>
    <definedName name="_______________ML220" localSheetId="10">NA()</definedName>
    <definedName name="_______________ML220">NA()</definedName>
    <definedName name="_______________ML221" localSheetId="10">NA()</definedName>
    <definedName name="_______________ML221">NA()</definedName>
    <definedName name="_______________ML222" localSheetId="10">NA()</definedName>
    <definedName name="_______________ML222">NA()</definedName>
    <definedName name="_______________ML223" localSheetId="10">NA()</definedName>
    <definedName name="_______________ML223">NA()</definedName>
    <definedName name="_______________ML224" localSheetId="10">NA()</definedName>
    <definedName name="_______________ML224">NA()</definedName>
    <definedName name="_______________ML23" localSheetId="10">NA()</definedName>
    <definedName name="_______________ML23">NA()</definedName>
    <definedName name="_______________ML24" localSheetId="10">NA()</definedName>
    <definedName name="_______________ML24">NA()</definedName>
    <definedName name="_______________ML25" localSheetId="10">NA()</definedName>
    <definedName name="_______________ML25">NA()</definedName>
    <definedName name="_______________ML26" localSheetId="10">NA()</definedName>
    <definedName name="_______________ML26">NA()</definedName>
    <definedName name="_______________ML27" localSheetId="10">NA()</definedName>
    <definedName name="_______________ML27">NA()</definedName>
    <definedName name="_______________ML28" localSheetId="10">NA()</definedName>
    <definedName name="_______________ML28">NA()</definedName>
    <definedName name="_______________ML29" localSheetId="10">NA()</definedName>
    <definedName name="_______________ML29">NA()</definedName>
    <definedName name="_______________ML31" localSheetId="10">NA()</definedName>
    <definedName name="_______________ML31">NA()</definedName>
    <definedName name="_______________ML310" localSheetId="10">NA()</definedName>
    <definedName name="_______________ML310">NA()</definedName>
    <definedName name="_______________ML311" localSheetId="10">NA()</definedName>
    <definedName name="_______________ML311">NA()</definedName>
    <definedName name="_______________ML312" localSheetId="10">NA()</definedName>
    <definedName name="_______________ML312">NA()</definedName>
    <definedName name="_______________ML313" localSheetId="10">NA()</definedName>
    <definedName name="_______________ML313">NA()</definedName>
    <definedName name="_______________ML314" localSheetId="10">NA()</definedName>
    <definedName name="_______________ML314">NA()</definedName>
    <definedName name="_______________ML315" localSheetId="10">NA()</definedName>
    <definedName name="_______________ML315">NA()</definedName>
    <definedName name="_______________ML316" localSheetId="10">NA()</definedName>
    <definedName name="_______________ML316">NA()</definedName>
    <definedName name="_______________ML317" localSheetId="10">NA()</definedName>
    <definedName name="_______________ML317">NA()</definedName>
    <definedName name="_______________ML318" localSheetId="10">NA()</definedName>
    <definedName name="_______________ML318">NA()</definedName>
    <definedName name="_______________ML319" localSheetId="10">NA()</definedName>
    <definedName name="_______________ML319">NA()</definedName>
    <definedName name="_______________ML32" localSheetId="10">NA()</definedName>
    <definedName name="_______________ML32">NA()</definedName>
    <definedName name="_______________ML320" localSheetId="10">NA()</definedName>
    <definedName name="_______________ML320">NA()</definedName>
    <definedName name="_______________ML321" localSheetId="10">NA()</definedName>
    <definedName name="_______________ML321">NA()</definedName>
    <definedName name="_______________ML322" localSheetId="10">NA()</definedName>
    <definedName name="_______________ML322">NA()</definedName>
    <definedName name="_______________ML323" localSheetId="10">NA()</definedName>
    <definedName name="_______________ML323">NA()</definedName>
    <definedName name="_______________ML324" localSheetId="10">NA()</definedName>
    <definedName name="_______________ML324">NA()</definedName>
    <definedName name="_______________ML33" localSheetId="10">NA()</definedName>
    <definedName name="_______________ML33">NA()</definedName>
    <definedName name="_______________ML34" localSheetId="10">NA()</definedName>
    <definedName name="_______________ML34">NA()</definedName>
    <definedName name="_______________ML35" localSheetId="10">NA()</definedName>
    <definedName name="_______________ML35">NA()</definedName>
    <definedName name="_______________ML36" localSheetId="10">NA()</definedName>
    <definedName name="_______________ML36">NA()</definedName>
    <definedName name="_______________ML37" localSheetId="10">NA()</definedName>
    <definedName name="_______________ML37">NA()</definedName>
    <definedName name="_______________ML38" localSheetId="10">NA()</definedName>
    <definedName name="_______________ML38">NA()</definedName>
    <definedName name="_______________ML39" localSheetId="10">NA()</definedName>
    <definedName name="_______________ML39">NA()</definedName>
    <definedName name="_______________ML7" localSheetId="10">NA()</definedName>
    <definedName name="_______________ML7">NA()</definedName>
    <definedName name="_______________ML8" localSheetId="10">NA()</definedName>
    <definedName name="_______________ML8">NA()</definedName>
    <definedName name="_______________ML9" localSheetId="10">NA()</definedName>
    <definedName name="_______________ML9">NA()</definedName>
    <definedName name="_______________mm1000" localSheetId="10">NA()</definedName>
    <definedName name="_______________mm1000">NA()</definedName>
    <definedName name="_______________mm600" localSheetId="10">NA()</definedName>
    <definedName name="_______________mm600">NA()</definedName>
    <definedName name="_______________mm800" localSheetId="10">NA()</definedName>
    <definedName name="_______________mm800">NA()</definedName>
    <definedName name="_______________PC1" localSheetId="10">NA()</definedName>
    <definedName name="_______________PC1">NA()</definedName>
    <definedName name="_______________PC10" localSheetId="10">NA()</definedName>
    <definedName name="_______________PC10">NA()</definedName>
    <definedName name="_______________PC11" localSheetId="10">NA()</definedName>
    <definedName name="_______________PC11">NA()</definedName>
    <definedName name="_______________PC12" localSheetId="10">NA()</definedName>
    <definedName name="_______________PC12">NA()</definedName>
    <definedName name="_______________PC13" localSheetId="10">NA()</definedName>
    <definedName name="_______________PC13">NA()</definedName>
    <definedName name="_______________PC14" localSheetId="10">NA()</definedName>
    <definedName name="_______________PC14">NA()</definedName>
    <definedName name="_______________PC15" localSheetId="10">NA()</definedName>
    <definedName name="_______________PC15">NA()</definedName>
    <definedName name="_______________PC16" localSheetId="10">NA()</definedName>
    <definedName name="_______________PC16">NA()</definedName>
    <definedName name="_______________PC17" localSheetId="10">NA()</definedName>
    <definedName name="_______________PC17">NA()</definedName>
    <definedName name="_______________PC18" localSheetId="10">NA()</definedName>
    <definedName name="_______________PC18">NA()</definedName>
    <definedName name="_______________PC19" localSheetId="10">NA()</definedName>
    <definedName name="_______________PC19">NA()</definedName>
    <definedName name="_______________pc2" localSheetId="10">NA()</definedName>
    <definedName name="_______________pc2">NA()</definedName>
    <definedName name="_______________PC20" localSheetId="10">NA()</definedName>
    <definedName name="_______________PC20">NA()</definedName>
    <definedName name="_______________PC21" localSheetId="10">NA()</definedName>
    <definedName name="_______________PC21">NA()</definedName>
    <definedName name="_______________PC22" localSheetId="10">NA()</definedName>
    <definedName name="_______________PC22">NA()</definedName>
    <definedName name="_______________PC23" localSheetId="10">NA()</definedName>
    <definedName name="_______________PC23">NA()</definedName>
    <definedName name="_______________PC24" localSheetId="10">NA()</definedName>
    <definedName name="_______________PC24">NA()</definedName>
    <definedName name="_______________PC3" localSheetId="10">NA()</definedName>
    <definedName name="_______________PC3">NA()</definedName>
    <definedName name="_______________PC4" localSheetId="10">NA()</definedName>
    <definedName name="_______________PC4">NA()</definedName>
    <definedName name="_______________PC5" localSheetId="10">NA()</definedName>
    <definedName name="_______________PC5">NA()</definedName>
    <definedName name="_______________PC6" localSheetId="10">NA()</definedName>
    <definedName name="_______________PC6">NA()</definedName>
    <definedName name="_______________pc600" localSheetId="10">NA()</definedName>
    <definedName name="_______________pc600">NA()</definedName>
    <definedName name="_______________PC7" localSheetId="10">NA()</definedName>
    <definedName name="_______________PC7">NA()</definedName>
    <definedName name="_______________PC8" localSheetId="10">NA()</definedName>
    <definedName name="_______________PC8">NA()</definedName>
    <definedName name="_______________PC9" localSheetId="10">NA()</definedName>
    <definedName name="_______________PC9">NA()</definedName>
    <definedName name="_______________pc900" localSheetId="10">NA()</definedName>
    <definedName name="_______________pc900">NA()</definedName>
    <definedName name="_______________pv2" localSheetId="10">NA()</definedName>
    <definedName name="_______________pv2">NA()</definedName>
    <definedName name="_______________var1" localSheetId="10">NA()</definedName>
    <definedName name="_______________var1">NA()</definedName>
    <definedName name="_______________var4" localSheetId="10">NA()</definedName>
    <definedName name="_______________var4">NA()</definedName>
    <definedName name="_______________vat1" localSheetId="10">NA()</definedName>
    <definedName name="_______________vat1">NA()</definedName>
    <definedName name="______________BSG100" localSheetId="10">NA()</definedName>
    <definedName name="______________BSG100">NA()</definedName>
    <definedName name="______________BSG150" localSheetId="10">NA()</definedName>
    <definedName name="______________BSG150">NA()</definedName>
    <definedName name="______________BSG5" localSheetId="10">NA()</definedName>
    <definedName name="______________BSG5">NA()</definedName>
    <definedName name="______________BSG75" localSheetId="10">NA()</definedName>
    <definedName name="______________BSG75">NA()</definedName>
    <definedName name="______________BTC1" localSheetId="10">NA()</definedName>
    <definedName name="______________BTC1">NA()</definedName>
    <definedName name="______________BTC10" localSheetId="10">NA()</definedName>
    <definedName name="______________BTC10">NA()</definedName>
    <definedName name="______________BTC11" localSheetId="10">NA()</definedName>
    <definedName name="______________BTC11">NA()</definedName>
    <definedName name="______________BTC12" localSheetId="10">NA()</definedName>
    <definedName name="______________BTC12">NA()</definedName>
    <definedName name="______________BTC13" localSheetId="10">NA()</definedName>
    <definedName name="______________BTC13">NA()</definedName>
    <definedName name="______________BTC14" localSheetId="10">NA()</definedName>
    <definedName name="______________BTC14">NA()</definedName>
    <definedName name="______________BTC15" localSheetId="10">NA()</definedName>
    <definedName name="______________BTC15">NA()</definedName>
    <definedName name="______________BTC16" localSheetId="10">NA()</definedName>
    <definedName name="______________BTC16">NA()</definedName>
    <definedName name="______________BTC17" localSheetId="10">NA()</definedName>
    <definedName name="______________BTC17">NA()</definedName>
    <definedName name="______________BTC18" localSheetId="10">NA()</definedName>
    <definedName name="______________BTC18">NA()</definedName>
    <definedName name="______________BTC19" localSheetId="10">NA()</definedName>
    <definedName name="______________BTC19">NA()</definedName>
    <definedName name="______________BTC2" localSheetId="10">NA()</definedName>
    <definedName name="______________BTC2">NA()</definedName>
    <definedName name="______________BTC20" localSheetId="10">NA()</definedName>
    <definedName name="______________BTC20">NA()</definedName>
    <definedName name="______________BTC21" localSheetId="10">NA()</definedName>
    <definedName name="______________BTC21">NA()</definedName>
    <definedName name="______________BTC22" localSheetId="10">NA()</definedName>
    <definedName name="______________BTC22">NA()</definedName>
    <definedName name="______________BTC23" localSheetId="10">NA()</definedName>
    <definedName name="______________BTC23">NA()</definedName>
    <definedName name="______________BTC24" localSheetId="10">NA()</definedName>
    <definedName name="______________BTC24">NA()</definedName>
    <definedName name="______________BTC3" localSheetId="10">NA()</definedName>
    <definedName name="______________BTC3">NA()</definedName>
    <definedName name="______________BTC4" localSheetId="10">NA()</definedName>
    <definedName name="______________BTC4">NA()</definedName>
    <definedName name="______________BTC5" localSheetId="10">NA()</definedName>
    <definedName name="______________BTC5">NA()</definedName>
    <definedName name="______________BTC6" localSheetId="10">NA()</definedName>
    <definedName name="______________BTC6">NA()</definedName>
    <definedName name="______________BTC7" localSheetId="10">NA()</definedName>
    <definedName name="______________BTC7">NA()</definedName>
    <definedName name="______________BTC8" localSheetId="10">NA()</definedName>
    <definedName name="______________BTC8">NA()</definedName>
    <definedName name="______________BTC9" localSheetId="10">NA()</definedName>
    <definedName name="______________BTC9">NA()</definedName>
    <definedName name="______________BTR1" localSheetId="10">NA()</definedName>
    <definedName name="______________BTR1">NA()</definedName>
    <definedName name="______________BTR10" localSheetId="10">NA()</definedName>
    <definedName name="______________BTR10">NA()</definedName>
    <definedName name="______________BTR11" localSheetId="10">NA()</definedName>
    <definedName name="______________BTR11">NA()</definedName>
    <definedName name="______________BTR12" localSheetId="10">NA()</definedName>
    <definedName name="______________BTR12">NA()</definedName>
    <definedName name="______________BTR13" localSheetId="10">NA()</definedName>
    <definedName name="______________BTR13">NA()</definedName>
    <definedName name="______________BTR14" localSheetId="10">NA()</definedName>
    <definedName name="______________BTR14">NA()</definedName>
    <definedName name="______________BTR15" localSheetId="10">NA()</definedName>
    <definedName name="______________BTR15">NA()</definedName>
    <definedName name="______________BTR16" localSheetId="10">NA()</definedName>
    <definedName name="______________BTR16">NA()</definedName>
    <definedName name="______________BTR17" localSheetId="10">NA()</definedName>
    <definedName name="______________BTR17">NA()</definedName>
    <definedName name="______________BTR18" localSheetId="10">NA()</definedName>
    <definedName name="______________BTR18">NA()</definedName>
    <definedName name="______________BTR19" localSheetId="10">NA()</definedName>
    <definedName name="______________BTR19">NA()</definedName>
    <definedName name="______________BTR2" localSheetId="10">NA()</definedName>
    <definedName name="______________BTR2">NA()</definedName>
    <definedName name="______________BTR20" localSheetId="10">NA()</definedName>
    <definedName name="______________BTR20">NA()</definedName>
    <definedName name="______________BTR21" localSheetId="10">NA()</definedName>
    <definedName name="______________BTR21">NA()</definedName>
    <definedName name="______________BTR22" localSheetId="10">NA()</definedName>
    <definedName name="______________BTR22">NA()</definedName>
    <definedName name="______________BTR23" localSheetId="10">NA()</definedName>
    <definedName name="______________BTR23">NA()</definedName>
    <definedName name="______________BTR24" localSheetId="10">NA()</definedName>
    <definedName name="______________BTR24">NA()</definedName>
    <definedName name="______________BTR3" localSheetId="10">NA()</definedName>
    <definedName name="______________BTR3">NA()</definedName>
    <definedName name="______________BTR4" localSheetId="10">NA()</definedName>
    <definedName name="______________BTR4">NA()</definedName>
    <definedName name="______________BTR5" localSheetId="10">NA()</definedName>
    <definedName name="______________BTR5">NA()</definedName>
    <definedName name="______________BTR6" localSheetId="10">NA()</definedName>
    <definedName name="______________BTR6">NA()</definedName>
    <definedName name="______________BTR7" localSheetId="10">NA()</definedName>
    <definedName name="______________BTR7">NA()</definedName>
    <definedName name="______________BTR8" localSheetId="10">NA()</definedName>
    <definedName name="______________BTR8">NA()</definedName>
    <definedName name="______________BTR9" localSheetId="10">NA()</definedName>
    <definedName name="______________BTR9">NA()</definedName>
    <definedName name="______________BTS1" localSheetId="10">NA()</definedName>
    <definedName name="______________BTS1">NA()</definedName>
    <definedName name="______________BTS10" localSheetId="10">NA()</definedName>
    <definedName name="______________BTS10">NA()</definedName>
    <definedName name="______________BTS11" localSheetId="10">NA()</definedName>
    <definedName name="______________BTS11">NA()</definedName>
    <definedName name="______________BTS12" localSheetId="10">NA()</definedName>
    <definedName name="______________BTS12">NA()</definedName>
    <definedName name="______________BTS13" localSheetId="10">NA()</definedName>
    <definedName name="______________BTS13">NA()</definedName>
    <definedName name="______________BTS14" localSheetId="10">NA()</definedName>
    <definedName name="______________BTS14">NA()</definedName>
    <definedName name="______________BTS15" localSheetId="10">NA()</definedName>
    <definedName name="______________BTS15">NA()</definedName>
    <definedName name="______________BTS16" localSheetId="10">NA()</definedName>
    <definedName name="______________BTS16">NA()</definedName>
    <definedName name="______________BTS17" localSheetId="10">NA()</definedName>
    <definedName name="______________BTS17">NA()</definedName>
    <definedName name="______________BTS18" localSheetId="10">NA()</definedName>
    <definedName name="______________BTS18">NA()</definedName>
    <definedName name="______________BTS19" localSheetId="10">NA()</definedName>
    <definedName name="______________BTS19">NA()</definedName>
    <definedName name="______________BTS2" localSheetId="10">NA()</definedName>
    <definedName name="______________BTS2">NA()</definedName>
    <definedName name="______________BTS20" localSheetId="10">NA()</definedName>
    <definedName name="______________BTS20">NA()</definedName>
    <definedName name="______________BTS21" localSheetId="10">NA()</definedName>
    <definedName name="______________BTS21">NA()</definedName>
    <definedName name="______________BTS22" localSheetId="10">NA()</definedName>
    <definedName name="______________BTS22">NA()</definedName>
    <definedName name="______________BTS23" localSheetId="10">NA()</definedName>
    <definedName name="______________BTS23">NA()</definedName>
    <definedName name="______________BTS24" localSheetId="10">NA()</definedName>
    <definedName name="______________BTS24">NA()</definedName>
    <definedName name="______________BTS3" localSheetId="10">NA()</definedName>
    <definedName name="______________BTS3">NA()</definedName>
    <definedName name="______________BTS4" localSheetId="10">NA()</definedName>
    <definedName name="______________BTS4">NA()</definedName>
    <definedName name="______________BTS5" localSheetId="10">NA()</definedName>
    <definedName name="______________BTS5">NA()</definedName>
    <definedName name="______________BTS6" localSheetId="10">NA()</definedName>
    <definedName name="______________BTS6">NA()</definedName>
    <definedName name="______________BTS7" localSheetId="10">NA()</definedName>
    <definedName name="______________BTS7">NA()</definedName>
    <definedName name="______________BTS8" localSheetId="10">NA()</definedName>
    <definedName name="______________BTS8">NA()</definedName>
    <definedName name="______________BTS9" localSheetId="10">NA()</definedName>
    <definedName name="______________BTS9">NA()</definedName>
    <definedName name="______________can430">40.73</definedName>
    <definedName name="______________can435">43.3</definedName>
    <definedName name="______________G120907">"[21]data!#ref!"</definedName>
    <definedName name="______________GBS11" localSheetId="10">NA()</definedName>
    <definedName name="______________GBS11">NA()</definedName>
    <definedName name="______________GBS110" localSheetId="10">NA()</definedName>
    <definedName name="______________GBS110">NA()</definedName>
    <definedName name="______________GBS111" localSheetId="10">NA()</definedName>
    <definedName name="______________GBS111">NA()</definedName>
    <definedName name="______________GBS112" localSheetId="10">NA()</definedName>
    <definedName name="______________GBS112">NA()</definedName>
    <definedName name="______________GBS113" localSheetId="10">NA()</definedName>
    <definedName name="______________GBS113">NA()</definedName>
    <definedName name="______________GBS114" localSheetId="10">NA()</definedName>
    <definedName name="______________GBS114">NA()</definedName>
    <definedName name="______________GBS115" localSheetId="10">NA()</definedName>
    <definedName name="______________GBS115">NA()</definedName>
    <definedName name="______________GBS116" localSheetId="10">NA()</definedName>
    <definedName name="______________GBS116">NA()</definedName>
    <definedName name="______________GBS117" localSheetId="10">NA()</definedName>
    <definedName name="______________GBS117">NA()</definedName>
    <definedName name="______________GBS118" localSheetId="10">NA()</definedName>
    <definedName name="______________GBS118">NA()</definedName>
    <definedName name="______________GBS119" localSheetId="10">NA()</definedName>
    <definedName name="______________GBS119">NA()</definedName>
    <definedName name="______________GBS12" localSheetId="10">NA()</definedName>
    <definedName name="______________GBS12">NA()</definedName>
    <definedName name="______________GBS120" localSheetId="10">NA()</definedName>
    <definedName name="______________GBS120">NA()</definedName>
    <definedName name="______________GBS121" localSheetId="10">NA()</definedName>
    <definedName name="______________GBS121">NA()</definedName>
    <definedName name="______________GBS122" localSheetId="10">NA()</definedName>
    <definedName name="______________GBS122">NA()</definedName>
    <definedName name="______________GBS123" localSheetId="10">NA()</definedName>
    <definedName name="______________GBS123">NA()</definedName>
    <definedName name="______________GBS124" localSheetId="10">NA()</definedName>
    <definedName name="______________GBS124">NA()</definedName>
    <definedName name="______________GBS13" localSheetId="10">NA()</definedName>
    <definedName name="______________GBS13">NA()</definedName>
    <definedName name="______________GBS14" localSheetId="10">NA()</definedName>
    <definedName name="______________GBS14">NA()</definedName>
    <definedName name="______________GBS15" localSheetId="10">NA()</definedName>
    <definedName name="______________GBS15">NA()</definedName>
    <definedName name="______________GBS16" localSheetId="10">NA()</definedName>
    <definedName name="______________GBS16">NA()</definedName>
    <definedName name="______________GBS17" localSheetId="10">NA()</definedName>
    <definedName name="______________GBS17">NA()</definedName>
    <definedName name="______________GBS18" localSheetId="10">NA()</definedName>
    <definedName name="______________GBS18">NA()</definedName>
    <definedName name="______________GBS19" localSheetId="10">NA()</definedName>
    <definedName name="______________GBS19">NA()</definedName>
    <definedName name="______________GBS21" localSheetId="10">NA()</definedName>
    <definedName name="______________GBS21">NA()</definedName>
    <definedName name="______________GBS210" localSheetId="10">NA()</definedName>
    <definedName name="______________GBS210">NA()</definedName>
    <definedName name="______________GBS211" localSheetId="10">NA()</definedName>
    <definedName name="______________GBS211">NA()</definedName>
    <definedName name="______________GBS212" localSheetId="10">NA()</definedName>
    <definedName name="______________GBS212">NA()</definedName>
    <definedName name="______________GBS213" localSheetId="10">NA()</definedName>
    <definedName name="______________GBS213">NA()</definedName>
    <definedName name="______________GBS214" localSheetId="10">NA()</definedName>
    <definedName name="______________GBS214">NA()</definedName>
    <definedName name="______________GBS215" localSheetId="10">NA()</definedName>
    <definedName name="______________GBS215">NA()</definedName>
    <definedName name="______________GBS216" localSheetId="10">NA()</definedName>
    <definedName name="______________GBS216">NA()</definedName>
    <definedName name="______________GBS217" localSheetId="10">NA()</definedName>
    <definedName name="______________GBS217">NA()</definedName>
    <definedName name="______________GBS218" localSheetId="10">NA()</definedName>
    <definedName name="______________GBS218">NA()</definedName>
    <definedName name="______________GBS219" localSheetId="10">NA()</definedName>
    <definedName name="______________GBS219">NA()</definedName>
    <definedName name="______________GBS22" localSheetId="10">NA()</definedName>
    <definedName name="______________GBS22">NA()</definedName>
    <definedName name="______________GBS220" localSheetId="10">NA()</definedName>
    <definedName name="______________GBS220">NA()</definedName>
    <definedName name="______________GBS221" localSheetId="10">NA()</definedName>
    <definedName name="______________GBS221">NA()</definedName>
    <definedName name="______________GBS222" localSheetId="10">NA()</definedName>
    <definedName name="______________GBS222">NA()</definedName>
    <definedName name="______________GBS223" localSheetId="10">NA()</definedName>
    <definedName name="______________GBS223">NA()</definedName>
    <definedName name="______________GBS224" localSheetId="10">NA()</definedName>
    <definedName name="______________GBS224">NA()</definedName>
    <definedName name="______________GBS23" localSheetId="10">NA()</definedName>
    <definedName name="______________GBS23">NA()</definedName>
    <definedName name="______________GBS24" localSheetId="10">NA()</definedName>
    <definedName name="______________GBS24">NA()</definedName>
    <definedName name="______________GBS25" localSheetId="10">NA()</definedName>
    <definedName name="______________GBS25">NA()</definedName>
    <definedName name="______________GBS26" localSheetId="10">NA()</definedName>
    <definedName name="______________GBS26">NA()</definedName>
    <definedName name="______________GBS27" localSheetId="10">NA()</definedName>
    <definedName name="______________GBS27">NA()</definedName>
    <definedName name="______________GBS28" localSheetId="10">NA()</definedName>
    <definedName name="______________GBS28">NA()</definedName>
    <definedName name="______________GBS29" localSheetId="10">NA()</definedName>
    <definedName name="______________GBS29">NA()</definedName>
    <definedName name="______________knr2" localSheetId="10">NA()</definedName>
    <definedName name="______________knr2">NA()</definedName>
    <definedName name="______________l12" localSheetId="10">NA()</definedName>
    <definedName name="______________l12">NA()</definedName>
    <definedName name="______________l3" localSheetId="10">NA()</definedName>
    <definedName name="______________l3">NA()</definedName>
    <definedName name="______________l5" localSheetId="10">NA()</definedName>
    <definedName name="______________l5">NA()</definedName>
    <definedName name="______________lj600" localSheetId="10">NA()</definedName>
    <definedName name="______________lj600">NA()</definedName>
    <definedName name="______________lj900" localSheetId="10">NA()</definedName>
    <definedName name="______________lj900">NA()</definedName>
    <definedName name="______________LL3" localSheetId="10">NA()</definedName>
    <definedName name="______________LL3">NA()</definedName>
    <definedName name="______________LSO24" localSheetId="10">NA()</definedName>
    <definedName name="______________LSO24">"[14]lead!#ref!"</definedName>
    <definedName name="______________MA1" localSheetId="10">NA()</definedName>
    <definedName name="______________MA1">NA()</definedName>
    <definedName name="______________MA2" localSheetId="10">NA()</definedName>
    <definedName name="______________MA2">NA()</definedName>
    <definedName name="______________me12">NA()</definedName>
    <definedName name="______________Met22" localSheetId="10">NA()</definedName>
    <definedName name="______________Met22">NA()</definedName>
    <definedName name="______________Met45" localSheetId="10">NA()</definedName>
    <definedName name="______________Met45">NA()</definedName>
    <definedName name="______________MEt55" localSheetId="10">NA()</definedName>
    <definedName name="______________MEt55">NA()</definedName>
    <definedName name="______________Met63" localSheetId="10">NA()</definedName>
    <definedName name="______________Met63">NA()</definedName>
    <definedName name="______________ML21" localSheetId="10">NA()</definedName>
    <definedName name="______________ML21">NA()</definedName>
    <definedName name="______________ML210" localSheetId="10">NA()</definedName>
    <definedName name="______________ML210">NA()</definedName>
    <definedName name="______________ML211" localSheetId="10">NA()</definedName>
    <definedName name="______________ML211">NA()</definedName>
    <definedName name="______________ML212" localSheetId="10">NA()</definedName>
    <definedName name="______________ML212">NA()</definedName>
    <definedName name="______________ML213" localSheetId="10">NA()</definedName>
    <definedName name="______________ML213">NA()</definedName>
    <definedName name="______________ML214" localSheetId="10">NA()</definedName>
    <definedName name="______________ML214">NA()</definedName>
    <definedName name="______________ML215" localSheetId="10">NA()</definedName>
    <definedName name="______________ML215">NA()</definedName>
    <definedName name="______________ML216" localSheetId="10">NA()</definedName>
    <definedName name="______________ML216">NA()</definedName>
    <definedName name="______________ML217" localSheetId="10">NA()</definedName>
    <definedName name="______________ML217">NA()</definedName>
    <definedName name="______________ML218" localSheetId="10">NA()</definedName>
    <definedName name="______________ML218">NA()</definedName>
    <definedName name="______________ML219" localSheetId="10">NA()</definedName>
    <definedName name="______________ML219">NA()</definedName>
    <definedName name="______________ML22" localSheetId="10">NA()</definedName>
    <definedName name="______________ML22">NA()</definedName>
    <definedName name="______________ML220" localSheetId="10">NA()</definedName>
    <definedName name="______________ML220">NA()</definedName>
    <definedName name="______________ML221" localSheetId="10">NA()</definedName>
    <definedName name="______________ML221">NA()</definedName>
    <definedName name="______________ML222" localSheetId="10">NA()</definedName>
    <definedName name="______________ML222">NA()</definedName>
    <definedName name="______________ML223" localSheetId="10">NA()</definedName>
    <definedName name="______________ML223">NA()</definedName>
    <definedName name="______________ML224" localSheetId="10">NA()</definedName>
    <definedName name="______________ML224">NA()</definedName>
    <definedName name="______________ML23" localSheetId="10">NA()</definedName>
    <definedName name="______________ML23">NA()</definedName>
    <definedName name="______________ML24" localSheetId="10">NA()</definedName>
    <definedName name="______________ML24">NA()</definedName>
    <definedName name="______________ML25" localSheetId="10">NA()</definedName>
    <definedName name="______________ML25">NA()</definedName>
    <definedName name="______________ML26" localSheetId="10">NA()</definedName>
    <definedName name="______________ML26">NA()</definedName>
    <definedName name="______________ML27" localSheetId="10">NA()</definedName>
    <definedName name="______________ML27">NA()</definedName>
    <definedName name="______________ML28" localSheetId="10">NA()</definedName>
    <definedName name="______________ML28">NA()</definedName>
    <definedName name="______________ML29" localSheetId="10">NA()</definedName>
    <definedName name="______________ML29">NA()</definedName>
    <definedName name="______________ML31" localSheetId="10">NA()</definedName>
    <definedName name="______________ML31">NA()</definedName>
    <definedName name="______________ML310" localSheetId="10">NA()</definedName>
    <definedName name="______________ML310">NA()</definedName>
    <definedName name="______________ML311" localSheetId="10">NA()</definedName>
    <definedName name="______________ML311">NA()</definedName>
    <definedName name="______________ML312" localSheetId="10">NA()</definedName>
    <definedName name="______________ML312">NA()</definedName>
    <definedName name="______________ML313" localSheetId="10">NA()</definedName>
    <definedName name="______________ML313">NA()</definedName>
    <definedName name="______________ML314" localSheetId="10">NA()</definedName>
    <definedName name="______________ML314">NA()</definedName>
    <definedName name="______________ML315" localSheetId="10">NA()</definedName>
    <definedName name="______________ML315">NA()</definedName>
    <definedName name="______________ML316" localSheetId="10">NA()</definedName>
    <definedName name="______________ML316">NA()</definedName>
    <definedName name="______________ML317" localSheetId="10">NA()</definedName>
    <definedName name="______________ML317">NA()</definedName>
    <definedName name="______________ML318" localSheetId="10">NA()</definedName>
    <definedName name="______________ML318">NA()</definedName>
    <definedName name="______________ML319" localSheetId="10">NA()</definedName>
    <definedName name="______________ML319">NA()</definedName>
    <definedName name="______________ML32" localSheetId="10">NA()</definedName>
    <definedName name="______________ML32">NA()</definedName>
    <definedName name="______________ML320" localSheetId="10">NA()</definedName>
    <definedName name="______________ML320">NA()</definedName>
    <definedName name="______________ML321" localSheetId="10">NA()</definedName>
    <definedName name="______________ML321">NA()</definedName>
    <definedName name="______________ML322" localSheetId="10">NA()</definedName>
    <definedName name="______________ML322">NA()</definedName>
    <definedName name="______________ML323" localSheetId="10">NA()</definedName>
    <definedName name="______________ML323">NA()</definedName>
    <definedName name="______________ML324" localSheetId="10">NA()</definedName>
    <definedName name="______________ML324">NA()</definedName>
    <definedName name="______________ML33" localSheetId="10">NA()</definedName>
    <definedName name="______________ML33">NA()</definedName>
    <definedName name="______________ML34" localSheetId="10">NA()</definedName>
    <definedName name="______________ML34">NA()</definedName>
    <definedName name="______________ML35" localSheetId="10">NA()</definedName>
    <definedName name="______________ML35">NA()</definedName>
    <definedName name="______________ML36" localSheetId="10">NA()</definedName>
    <definedName name="______________ML36">NA()</definedName>
    <definedName name="______________ML37" localSheetId="10">NA()</definedName>
    <definedName name="______________ML37">NA()</definedName>
    <definedName name="______________ML38" localSheetId="10">NA()</definedName>
    <definedName name="______________ML38">NA()</definedName>
    <definedName name="______________ML39" localSheetId="10">NA()</definedName>
    <definedName name="______________ML39">NA()</definedName>
    <definedName name="______________ML7" localSheetId="10">NA()</definedName>
    <definedName name="______________ML7">NA()</definedName>
    <definedName name="______________ML8" localSheetId="10">NA()</definedName>
    <definedName name="______________ML8">NA()</definedName>
    <definedName name="______________ML9" localSheetId="10">NA()</definedName>
    <definedName name="______________ML9">NA()</definedName>
    <definedName name="______________mm1000" localSheetId="10">NA()</definedName>
    <definedName name="______________mm1000">NA()</definedName>
    <definedName name="______________mm600" localSheetId="10">NA()</definedName>
    <definedName name="______________mm600">NA()</definedName>
    <definedName name="______________mm800" localSheetId="10">NA()</definedName>
    <definedName name="______________mm800">NA()</definedName>
    <definedName name="______________PC1" localSheetId="10">NA()</definedName>
    <definedName name="______________PC1">NA()</definedName>
    <definedName name="______________PC10" localSheetId="10">NA()</definedName>
    <definedName name="______________PC10">NA()</definedName>
    <definedName name="______________PC11" localSheetId="10">NA()</definedName>
    <definedName name="______________PC11">NA()</definedName>
    <definedName name="______________PC12" localSheetId="10">NA()</definedName>
    <definedName name="______________PC12">NA()</definedName>
    <definedName name="______________PC13" localSheetId="10">NA()</definedName>
    <definedName name="______________PC13">NA()</definedName>
    <definedName name="______________PC14" localSheetId="10">NA()</definedName>
    <definedName name="______________PC14">NA()</definedName>
    <definedName name="______________PC15" localSheetId="10">NA()</definedName>
    <definedName name="______________PC15">NA()</definedName>
    <definedName name="______________PC16" localSheetId="10">NA()</definedName>
    <definedName name="______________PC16">NA()</definedName>
    <definedName name="______________PC17" localSheetId="10">NA()</definedName>
    <definedName name="______________PC17">NA()</definedName>
    <definedName name="______________PC18" localSheetId="10">NA()</definedName>
    <definedName name="______________PC18">NA()</definedName>
    <definedName name="______________PC19" localSheetId="10">NA()</definedName>
    <definedName name="______________PC19">NA()</definedName>
    <definedName name="______________pc2" localSheetId="10">NA()</definedName>
    <definedName name="______________pc2">NA()</definedName>
    <definedName name="______________PC20" localSheetId="10">NA()</definedName>
    <definedName name="______________PC20">NA()</definedName>
    <definedName name="______________PC21" localSheetId="10">NA()</definedName>
    <definedName name="______________PC21">NA()</definedName>
    <definedName name="______________PC22" localSheetId="10">NA()</definedName>
    <definedName name="______________PC22">NA()</definedName>
    <definedName name="______________PC23" localSheetId="10">NA()</definedName>
    <definedName name="______________PC23">NA()</definedName>
    <definedName name="______________PC24" localSheetId="10">NA()</definedName>
    <definedName name="______________PC24">NA()</definedName>
    <definedName name="______________PC3" localSheetId="10">NA()</definedName>
    <definedName name="______________PC3">NA()</definedName>
    <definedName name="______________PC4" localSheetId="10">NA()</definedName>
    <definedName name="______________PC4">NA()</definedName>
    <definedName name="______________PC5" localSheetId="10">NA()</definedName>
    <definedName name="______________PC5">NA()</definedName>
    <definedName name="______________PC6" localSheetId="10">NA()</definedName>
    <definedName name="______________PC6">NA()</definedName>
    <definedName name="______________pc600" localSheetId="10">NA()</definedName>
    <definedName name="______________pc600">NA()</definedName>
    <definedName name="______________PC7" localSheetId="10">NA()</definedName>
    <definedName name="______________PC7">NA()</definedName>
    <definedName name="______________PC8" localSheetId="10">NA()</definedName>
    <definedName name="______________PC8">NA()</definedName>
    <definedName name="______________PC9" localSheetId="10">NA()</definedName>
    <definedName name="______________PC9">NA()</definedName>
    <definedName name="______________pc900" localSheetId="10">NA()</definedName>
    <definedName name="______________pc900">NA()</definedName>
    <definedName name="______________pv2" localSheetId="10">NA()</definedName>
    <definedName name="______________pv2">NA()</definedName>
    <definedName name="______________var1" localSheetId="10">NA()</definedName>
    <definedName name="______________var1">NA()</definedName>
    <definedName name="______________var4" localSheetId="10">NA()</definedName>
    <definedName name="______________var4">NA()</definedName>
    <definedName name="______________vat1" localSheetId="10">NA()</definedName>
    <definedName name="______________vat1">NA()</definedName>
    <definedName name="_____________BSG100" localSheetId="10">NA()</definedName>
    <definedName name="_____________BSG100">NA()</definedName>
    <definedName name="_____________BSG150" localSheetId="10">NA()</definedName>
    <definedName name="_____________BSG150">NA()</definedName>
    <definedName name="_____________BSG5" localSheetId="10">NA()</definedName>
    <definedName name="_____________BSG5">NA()</definedName>
    <definedName name="_____________BSG75" localSheetId="10">NA()</definedName>
    <definedName name="_____________BSG75">NA()</definedName>
    <definedName name="_____________BTC1" localSheetId="10">NA()</definedName>
    <definedName name="_____________BTC1">NA()</definedName>
    <definedName name="_____________BTC10" localSheetId="10">NA()</definedName>
    <definedName name="_____________BTC10">NA()</definedName>
    <definedName name="_____________BTC11" localSheetId="10">NA()</definedName>
    <definedName name="_____________BTC11">NA()</definedName>
    <definedName name="_____________BTC12" localSheetId="10">NA()</definedName>
    <definedName name="_____________BTC12">NA()</definedName>
    <definedName name="_____________BTC13" localSheetId="10">NA()</definedName>
    <definedName name="_____________BTC13">NA()</definedName>
    <definedName name="_____________BTC14" localSheetId="10">NA()</definedName>
    <definedName name="_____________BTC14">NA()</definedName>
    <definedName name="_____________BTC15" localSheetId="10">NA()</definedName>
    <definedName name="_____________BTC15">NA()</definedName>
    <definedName name="_____________BTC16" localSheetId="10">NA()</definedName>
    <definedName name="_____________BTC16">NA()</definedName>
    <definedName name="_____________BTC17" localSheetId="10">NA()</definedName>
    <definedName name="_____________BTC17">NA()</definedName>
    <definedName name="_____________BTC18" localSheetId="10">NA()</definedName>
    <definedName name="_____________BTC18">NA()</definedName>
    <definedName name="_____________BTC19" localSheetId="10">NA()</definedName>
    <definedName name="_____________BTC19">NA()</definedName>
    <definedName name="_____________BTC2" localSheetId="10">NA()</definedName>
    <definedName name="_____________BTC2">NA()</definedName>
    <definedName name="_____________BTC20" localSheetId="10">NA()</definedName>
    <definedName name="_____________BTC20">NA()</definedName>
    <definedName name="_____________BTC21" localSheetId="10">NA()</definedName>
    <definedName name="_____________BTC21">NA()</definedName>
    <definedName name="_____________BTC22" localSheetId="10">NA()</definedName>
    <definedName name="_____________BTC22">NA()</definedName>
    <definedName name="_____________BTC23" localSheetId="10">NA()</definedName>
    <definedName name="_____________BTC23">NA()</definedName>
    <definedName name="_____________BTC24" localSheetId="10">NA()</definedName>
    <definedName name="_____________BTC24">NA()</definedName>
    <definedName name="_____________BTC3" localSheetId="10">NA()</definedName>
    <definedName name="_____________BTC3">NA()</definedName>
    <definedName name="_____________BTC4" localSheetId="10">NA()</definedName>
    <definedName name="_____________BTC4">NA()</definedName>
    <definedName name="_____________BTC5" localSheetId="10">NA()</definedName>
    <definedName name="_____________BTC5">NA()</definedName>
    <definedName name="_____________BTC6" localSheetId="10">NA()</definedName>
    <definedName name="_____________BTC6">NA()</definedName>
    <definedName name="_____________BTC7" localSheetId="10">NA()</definedName>
    <definedName name="_____________BTC7">NA()</definedName>
    <definedName name="_____________BTC8" localSheetId="10">NA()</definedName>
    <definedName name="_____________BTC8">NA()</definedName>
    <definedName name="_____________BTC9" localSheetId="10">NA()</definedName>
    <definedName name="_____________BTC9">NA()</definedName>
    <definedName name="_____________BTR1" localSheetId="10">NA()</definedName>
    <definedName name="_____________BTR1">NA()</definedName>
    <definedName name="_____________BTR10" localSheetId="10">NA()</definedName>
    <definedName name="_____________BTR10">NA()</definedName>
    <definedName name="_____________BTR11" localSheetId="10">NA()</definedName>
    <definedName name="_____________BTR11">NA()</definedName>
    <definedName name="_____________BTR12" localSheetId="10">NA()</definedName>
    <definedName name="_____________BTR12">NA()</definedName>
    <definedName name="_____________BTR13" localSheetId="10">NA()</definedName>
    <definedName name="_____________BTR13">NA()</definedName>
    <definedName name="_____________BTR14" localSheetId="10">NA()</definedName>
    <definedName name="_____________BTR14">NA()</definedName>
    <definedName name="_____________BTR15" localSheetId="10">NA()</definedName>
    <definedName name="_____________BTR15">NA()</definedName>
    <definedName name="_____________BTR16" localSheetId="10">NA()</definedName>
    <definedName name="_____________BTR16">NA()</definedName>
    <definedName name="_____________BTR17" localSheetId="10">NA()</definedName>
    <definedName name="_____________BTR17">NA()</definedName>
    <definedName name="_____________BTR18" localSheetId="10">NA()</definedName>
    <definedName name="_____________BTR18">NA()</definedName>
    <definedName name="_____________BTR19" localSheetId="10">NA()</definedName>
    <definedName name="_____________BTR19">NA()</definedName>
    <definedName name="_____________BTR2" localSheetId="10">NA()</definedName>
    <definedName name="_____________BTR2">NA()</definedName>
    <definedName name="_____________BTR20" localSheetId="10">NA()</definedName>
    <definedName name="_____________BTR20">NA()</definedName>
    <definedName name="_____________BTR21" localSheetId="10">NA()</definedName>
    <definedName name="_____________BTR21">NA()</definedName>
    <definedName name="_____________BTR22" localSheetId="10">NA()</definedName>
    <definedName name="_____________BTR22">NA()</definedName>
    <definedName name="_____________BTR23" localSheetId="10">NA()</definedName>
    <definedName name="_____________BTR23">NA()</definedName>
    <definedName name="_____________BTR24" localSheetId="10">NA()</definedName>
    <definedName name="_____________BTR24">NA()</definedName>
    <definedName name="_____________BTR3" localSheetId="10">NA()</definedName>
    <definedName name="_____________BTR3">NA()</definedName>
    <definedName name="_____________BTR4" localSheetId="10">NA()</definedName>
    <definedName name="_____________BTR4">NA()</definedName>
    <definedName name="_____________BTR5" localSheetId="10">NA()</definedName>
    <definedName name="_____________BTR5">NA()</definedName>
    <definedName name="_____________BTR6" localSheetId="10">NA()</definedName>
    <definedName name="_____________BTR6">NA()</definedName>
    <definedName name="_____________BTR7" localSheetId="10">NA()</definedName>
    <definedName name="_____________BTR7">NA()</definedName>
    <definedName name="_____________BTR8" localSheetId="10">NA()</definedName>
    <definedName name="_____________BTR8">NA()</definedName>
    <definedName name="_____________BTR9" localSheetId="10">NA()</definedName>
    <definedName name="_____________BTR9">NA()</definedName>
    <definedName name="_____________BTS1" localSheetId="10">NA()</definedName>
    <definedName name="_____________BTS1">NA()</definedName>
    <definedName name="_____________BTS10" localSheetId="10">NA()</definedName>
    <definedName name="_____________BTS10">NA()</definedName>
    <definedName name="_____________BTS11" localSheetId="10">NA()</definedName>
    <definedName name="_____________BTS11">NA()</definedName>
    <definedName name="_____________BTS12" localSheetId="10">NA()</definedName>
    <definedName name="_____________BTS12">NA()</definedName>
    <definedName name="_____________BTS13" localSheetId="10">NA()</definedName>
    <definedName name="_____________BTS13">NA()</definedName>
    <definedName name="_____________BTS14" localSheetId="10">NA()</definedName>
    <definedName name="_____________BTS14">NA()</definedName>
    <definedName name="_____________BTS15" localSheetId="10">NA()</definedName>
    <definedName name="_____________BTS15">NA()</definedName>
    <definedName name="_____________BTS16" localSheetId="10">NA()</definedName>
    <definedName name="_____________BTS16">NA()</definedName>
    <definedName name="_____________BTS17" localSheetId="10">NA()</definedName>
    <definedName name="_____________BTS17">NA()</definedName>
    <definedName name="_____________BTS18" localSheetId="10">NA()</definedName>
    <definedName name="_____________BTS18">NA()</definedName>
    <definedName name="_____________BTS19" localSheetId="10">NA()</definedName>
    <definedName name="_____________BTS19">NA()</definedName>
    <definedName name="_____________BTS2" localSheetId="10">NA()</definedName>
    <definedName name="_____________BTS2">NA()</definedName>
    <definedName name="_____________BTS20" localSheetId="10">NA()</definedName>
    <definedName name="_____________BTS20">NA()</definedName>
    <definedName name="_____________BTS21" localSheetId="10">NA()</definedName>
    <definedName name="_____________BTS21">NA()</definedName>
    <definedName name="_____________BTS22" localSheetId="10">NA()</definedName>
    <definedName name="_____________BTS22">NA()</definedName>
    <definedName name="_____________BTS23" localSheetId="10">NA()</definedName>
    <definedName name="_____________BTS23">NA()</definedName>
    <definedName name="_____________BTS24" localSheetId="10">NA()</definedName>
    <definedName name="_____________BTS24">NA()</definedName>
    <definedName name="_____________BTS3" localSheetId="10">NA()</definedName>
    <definedName name="_____________BTS3">NA()</definedName>
    <definedName name="_____________BTS4" localSheetId="10">NA()</definedName>
    <definedName name="_____________BTS4">NA()</definedName>
    <definedName name="_____________BTS5" localSheetId="10">NA()</definedName>
    <definedName name="_____________BTS5">NA()</definedName>
    <definedName name="_____________BTS6" localSheetId="10">NA()</definedName>
    <definedName name="_____________BTS6">NA()</definedName>
    <definedName name="_____________BTS7" localSheetId="10">NA()</definedName>
    <definedName name="_____________BTS7">NA()</definedName>
    <definedName name="_____________BTS8" localSheetId="10">NA()</definedName>
    <definedName name="_____________BTS8">NA()</definedName>
    <definedName name="_____________BTS9" localSheetId="10">NA()</definedName>
    <definedName name="_____________BTS9">NA()</definedName>
    <definedName name="_____________can430">40.73</definedName>
    <definedName name="_____________can435">43.3</definedName>
    <definedName name="_____________G120907">"[22]data!#ref!"</definedName>
    <definedName name="_____________GBS11" localSheetId="10">NA()</definedName>
    <definedName name="_____________GBS11">NA()</definedName>
    <definedName name="_____________GBS110" localSheetId="10">NA()</definedName>
    <definedName name="_____________GBS110">NA()</definedName>
    <definedName name="_____________GBS111" localSheetId="10">NA()</definedName>
    <definedName name="_____________GBS111">NA()</definedName>
    <definedName name="_____________GBS112" localSheetId="10">NA()</definedName>
    <definedName name="_____________GBS112">NA()</definedName>
    <definedName name="_____________GBS113" localSheetId="10">NA()</definedName>
    <definedName name="_____________GBS113">NA()</definedName>
    <definedName name="_____________GBS114" localSheetId="10">NA()</definedName>
    <definedName name="_____________GBS114">NA()</definedName>
    <definedName name="_____________GBS115" localSheetId="10">NA()</definedName>
    <definedName name="_____________GBS115">NA()</definedName>
    <definedName name="_____________GBS116" localSheetId="10">NA()</definedName>
    <definedName name="_____________GBS116">NA()</definedName>
    <definedName name="_____________GBS117" localSheetId="10">NA()</definedName>
    <definedName name="_____________GBS117">NA()</definedName>
    <definedName name="_____________GBS118" localSheetId="10">NA()</definedName>
    <definedName name="_____________GBS118">NA()</definedName>
    <definedName name="_____________GBS119" localSheetId="10">NA()</definedName>
    <definedName name="_____________GBS119">NA()</definedName>
    <definedName name="_____________GBS12" localSheetId="10">NA()</definedName>
    <definedName name="_____________GBS12">NA()</definedName>
    <definedName name="_____________GBS120" localSheetId="10">NA()</definedName>
    <definedName name="_____________GBS120">NA()</definedName>
    <definedName name="_____________GBS121" localSheetId="10">NA()</definedName>
    <definedName name="_____________GBS121">NA()</definedName>
    <definedName name="_____________GBS122" localSheetId="10">NA()</definedName>
    <definedName name="_____________GBS122">NA()</definedName>
    <definedName name="_____________GBS123" localSheetId="10">NA()</definedName>
    <definedName name="_____________GBS123">NA()</definedName>
    <definedName name="_____________GBS124" localSheetId="10">NA()</definedName>
    <definedName name="_____________GBS124">NA()</definedName>
    <definedName name="_____________GBS13" localSheetId="10">NA()</definedName>
    <definedName name="_____________GBS13">NA()</definedName>
    <definedName name="_____________GBS14" localSheetId="10">NA()</definedName>
    <definedName name="_____________GBS14">NA()</definedName>
    <definedName name="_____________GBS15" localSheetId="10">NA()</definedName>
    <definedName name="_____________GBS15">NA()</definedName>
    <definedName name="_____________GBS16" localSheetId="10">NA()</definedName>
    <definedName name="_____________GBS16">NA()</definedName>
    <definedName name="_____________GBS17" localSheetId="10">NA()</definedName>
    <definedName name="_____________GBS17">NA()</definedName>
    <definedName name="_____________GBS18" localSheetId="10">NA()</definedName>
    <definedName name="_____________GBS18">NA()</definedName>
    <definedName name="_____________GBS19" localSheetId="10">NA()</definedName>
    <definedName name="_____________GBS19">NA()</definedName>
    <definedName name="_____________GBS21" localSheetId="10">NA()</definedName>
    <definedName name="_____________GBS21">NA()</definedName>
    <definedName name="_____________GBS210" localSheetId="10">NA()</definedName>
    <definedName name="_____________GBS210">NA()</definedName>
    <definedName name="_____________GBS211" localSheetId="10">NA()</definedName>
    <definedName name="_____________GBS211">NA()</definedName>
    <definedName name="_____________GBS212" localSheetId="10">NA()</definedName>
    <definedName name="_____________GBS212">NA()</definedName>
    <definedName name="_____________GBS213" localSheetId="10">NA()</definedName>
    <definedName name="_____________GBS213">NA()</definedName>
    <definedName name="_____________GBS214" localSheetId="10">NA()</definedName>
    <definedName name="_____________GBS214">NA()</definedName>
    <definedName name="_____________GBS215" localSheetId="10">NA()</definedName>
    <definedName name="_____________GBS215">NA()</definedName>
    <definedName name="_____________GBS216" localSheetId="10">NA()</definedName>
    <definedName name="_____________GBS216">NA()</definedName>
    <definedName name="_____________GBS217" localSheetId="10">NA()</definedName>
    <definedName name="_____________GBS217">NA()</definedName>
    <definedName name="_____________GBS218" localSheetId="10">NA()</definedName>
    <definedName name="_____________GBS218">NA()</definedName>
    <definedName name="_____________GBS219" localSheetId="10">NA()</definedName>
    <definedName name="_____________GBS219">NA()</definedName>
    <definedName name="_____________GBS22" localSheetId="10">NA()</definedName>
    <definedName name="_____________GBS22">NA()</definedName>
    <definedName name="_____________GBS220" localSheetId="10">NA()</definedName>
    <definedName name="_____________GBS220">NA()</definedName>
    <definedName name="_____________GBS221" localSheetId="10">NA()</definedName>
    <definedName name="_____________GBS221">NA()</definedName>
    <definedName name="_____________GBS222" localSheetId="10">NA()</definedName>
    <definedName name="_____________GBS222">NA()</definedName>
    <definedName name="_____________GBS223" localSheetId="10">NA()</definedName>
    <definedName name="_____________GBS223">NA()</definedName>
    <definedName name="_____________GBS224" localSheetId="10">NA()</definedName>
    <definedName name="_____________GBS224">NA()</definedName>
    <definedName name="_____________GBS23" localSheetId="10">NA()</definedName>
    <definedName name="_____________GBS23">NA()</definedName>
    <definedName name="_____________GBS24" localSheetId="10">NA()</definedName>
    <definedName name="_____________GBS24">NA()</definedName>
    <definedName name="_____________GBS25" localSheetId="10">NA()</definedName>
    <definedName name="_____________GBS25">NA()</definedName>
    <definedName name="_____________GBS26" localSheetId="10">NA()</definedName>
    <definedName name="_____________GBS26">NA()</definedName>
    <definedName name="_____________GBS27" localSheetId="10">NA()</definedName>
    <definedName name="_____________GBS27">NA()</definedName>
    <definedName name="_____________GBS28" localSheetId="10">NA()</definedName>
    <definedName name="_____________GBS28">NA()</definedName>
    <definedName name="_____________GBS29" localSheetId="10">NA()</definedName>
    <definedName name="_____________GBS29">NA()</definedName>
    <definedName name="_____________knr2" localSheetId="10">NA()</definedName>
    <definedName name="_____________knr2">NA()</definedName>
    <definedName name="_____________l12" localSheetId="10">NA()</definedName>
    <definedName name="_____________l12">NA()</definedName>
    <definedName name="_____________l3" localSheetId="10">NA()</definedName>
    <definedName name="_____________l3">NA()</definedName>
    <definedName name="_____________l5" localSheetId="10">NA()</definedName>
    <definedName name="_____________l5">NA()</definedName>
    <definedName name="_____________lj600" localSheetId="10">NA()</definedName>
    <definedName name="_____________lj600">NA()</definedName>
    <definedName name="_____________lj900" localSheetId="10">NA()</definedName>
    <definedName name="_____________lj900">NA()</definedName>
    <definedName name="_____________LL3" localSheetId="10">NA()</definedName>
    <definedName name="_____________LL3">NA()</definedName>
    <definedName name="_____________LSO24" localSheetId="10">NA()</definedName>
    <definedName name="_____________LSO24">"[14]lead!#ref!"</definedName>
    <definedName name="_____________MA1" localSheetId="10">NA()</definedName>
    <definedName name="_____________MA1">NA()</definedName>
    <definedName name="_____________MA2" localSheetId="10">NA()</definedName>
    <definedName name="_____________MA2">NA()</definedName>
    <definedName name="_____________me12">NA()</definedName>
    <definedName name="_____________Met22" localSheetId="10">NA()</definedName>
    <definedName name="_____________Met22">NA()</definedName>
    <definedName name="_____________Met45" localSheetId="10">NA()</definedName>
    <definedName name="_____________Met45">NA()</definedName>
    <definedName name="_____________MEt55" localSheetId="10">NA()</definedName>
    <definedName name="_____________MEt55">NA()</definedName>
    <definedName name="_____________Met63" localSheetId="10">NA()</definedName>
    <definedName name="_____________Met63">NA()</definedName>
    <definedName name="_____________ML21" localSheetId="10">NA()</definedName>
    <definedName name="_____________ML21">NA()</definedName>
    <definedName name="_____________ML210" localSheetId="10">NA()</definedName>
    <definedName name="_____________ML210">NA()</definedName>
    <definedName name="_____________ML211" localSheetId="10">NA()</definedName>
    <definedName name="_____________ML211">NA()</definedName>
    <definedName name="_____________ML212" localSheetId="10">NA()</definedName>
    <definedName name="_____________ML212">NA()</definedName>
    <definedName name="_____________ML213" localSheetId="10">NA()</definedName>
    <definedName name="_____________ML213">NA()</definedName>
    <definedName name="_____________ML214" localSheetId="10">NA()</definedName>
    <definedName name="_____________ML214">NA()</definedName>
    <definedName name="_____________ML215" localSheetId="10">NA()</definedName>
    <definedName name="_____________ML215">NA()</definedName>
    <definedName name="_____________ML216" localSheetId="10">NA()</definedName>
    <definedName name="_____________ML216">NA()</definedName>
    <definedName name="_____________ML217" localSheetId="10">NA()</definedName>
    <definedName name="_____________ML217">NA()</definedName>
    <definedName name="_____________ML218" localSheetId="10">NA()</definedName>
    <definedName name="_____________ML218">NA()</definedName>
    <definedName name="_____________ML219" localSheetId="10">NA()</definedName>
    <definedName name="_____________ML219">NA()</definedName>
    <definedName name="_____________ML22" localSheetId="10">NA()</definedName>
    <definedName name="_____________ML22">NA()</definedName>
    <definedName name="_____________ML220" localSheetId="10">NA()</definedName>
    <definedName name="_____________ML220">NA()</definedName>
    <definedName name="_____________ML221" localSheetId="10">NA()</definedName>
    <definedName name="_____________ML221">NA()</definedName>
    <definedName name="_____________ML222" localSheetId="10">NA()</definedName>
    <definedName name="_____________ML222">NA()</definedName>
    <definedName name="_____________ML223" localSheetId="10">NA()</definedName>
    <definedName name="_____________ML223">NA()</definedName>
    <definedName name="_____________ML224" localSheetId="10">NA()</definedName>
    <definedName name="_____________ML224">NA()</definedName>
    <definedName name="_____________ML23" localSheetId="10">NA()</definedName>
    <definedName name="_____________ML23">NA()</definedName>
    <definedName name="_____________ML24" localSheetId="10">NA()</definedName>
    <definedName name="_____________ML24">NA()</definedName>
    <definedName name="_____________ML25" localSheetId="10">NA()</definedName>
    <definedName name="_____________ML25">NA()</definedName>
    <definedName name="_____________ML26" localSheetId="10">NA()</definedName>
    <definedName name="_____________ML26">NA()</definedName>
    <definedName name="_____________ML27" localSheetId="10">NA()</definedName>
    <definedName name="_____________ML27">NA()</definedName>
    <definedName name="_____________ML28" localSheetId="10">NA()</definedName>
    <definedName name="_____________ML28">NA()</definedName>
    <definedName name="_____________ML29" localSheetId="10">NA()</definedName>
    <definedName name="_____________ML29">NA()</definedName>
    <definedName name="_____________ML31" localSheetId="10">NA()</definedName>
    <definedName name="_____________ML31">NA()</definedName>
    <definedName name="_____________ML310" localSheetId="10">NA()</definedName>
    <definedName name="_____________ML310">NA()</definedName>
    <definedName name="_____________ML311" localSheetId="10">NA()</definedName>
    <definedName name="_____________ML311">NA()</definedName>
    <definedName name="_____________ML312" localSheetId="10">NA()</definedName>
    <definedName name="_____________ML312">NA()</definedName>
    <definedName name="_____________ML313" localSheetId="10">NA()</definedName>
    <definedName name="_____________ML313">NA()</definedName>
    <definedName name="_____________ML314" localSheetId="10">NA()</definedName>
    <definedName name="_____________ML314">NA()</definedName>
    <definedName name="_____________ML315" localSheetId="10">NA()</definedName>
    <definedName name="_____________ML315">NA()</definedName>
    <definedName name="_____________ML316" localSheetId="10">NA()</definedName>
    <definedName name="_____________ML316">NA()</definedName>
    <definedName name="_____________ML317" localSheetId="10">NA()</definedName>
    <definedName name="_____________ML317">NA()</definedName>
    <definedName name="_____________ML318" localSheetId="10">NA()</definedName>
    <definedName name="_____________ML318">NA()</definedName>
    <definedName name="_____________ML319" localSheetId="10">NA()</definedName>
    <definedName name="_____________ML319">NA()</definedName>
    <definedName name="_____________ML32" localSheetId="10">NA()</definedName>
    <definedName name="_____________ML32">NA()</definedName>
    <definedName name="_____________ML320" localSheetId="10">NA()</definedName>
    <definedName name="_____________ML320">NA()</definedName>
    <definedName name="_____________ML321" localSheetId="10">NA()</definedName>
    <definedName name="_____________ML321">NA()</definedName>
    <definedName name="_____________ML322" localSheetId="10">NA()</definedName>
    <definedName name="_____________ML322">NA()</definedName>
    <definedName name="_____________ML323" localSheetId="10">NA()</definedName>
    <definedName name="_____________ML323">NA()</definedName>
    <definedName name="_____________ML324" localSheetId="10">NA()</definedName>
    <definedName name="_____________ML324">NA()</definedName>
    <definedName name="_____________ML33" localSheetId="10">NA()</definedName>
    <definedName name="_____________ML33">NA()</definedName>
    <definedName name="_____________ML34" localSheetId="10">NA()</definedName>
    <definedName name="_____________ML34">NA()</definedName>
    <definedName name="_____________ML35" localSheetId="10">NA()</definedName>
    <definedName name="_____________ML35">NA()</definedName>
    <definedName name="_____________ML36" localSheetId="10">NA()</definedName>
    <definedName name="_____________ML36">NA()</definedName>
    <definedName name="_____________ML37" localSheetId="10">NA()</definedName>
    <definedName name="_____________ML37">NA()</definedName>
    <definedName name="_____________ML38" localSheetId="10">NA()</definedName>
    <definedName name="_____________ML38">NA()</definedName>
    <definedName name="_____________ML39" localSheetId="10">NA()</definedName>
    <definedName name="_____________ML39">NA()</definedName>
    <definedName name="_____________ML7" localSheetId="10">NA()</definedName>
    <definedName name="_____________ML7">NA()</definedName>
    <definedName name="_____________ML8" localSheetId="10">NA()</definedName>
    <definedName name="_____________ML8">NA()</definedName>
    <definedName name="_____________ML9" localSheetId="10">NA()</definedName>
    <definedName name="_____________ML9">NA()</definedName>
    <definedName name="_____________mm1000" localSheetId="10">NA()</definedName>
    <definedName name="_____________mm1000">NA()</definedName>
    <definedName name="_____________mm600" localSheetId="10">NA()</definedName>
    <definedName name="_____________mm600">NA()</definedName>
    <definedName name="_____________mm800" localSheetId="10">NA()</definedName>
    <definedName name="_____________mm800">NA()</definedName>
    <definedName name="_____________PC1" localSheetId="10">NA()</definedName>
    <definedName name="_____________PC1">NA()</definedName>
    <definedName name="_____________PC10" localSheetId="10">NA()</definedName>
    <definedName name="_____________PC10">NA()</definedName>
    <definedName name="_____________PC11" localSheetId="10">NA()</definedName>
    <definedName name="_____________PC11">NA()</definedName>
    <definedName name="_____________PC12" localSheetId="10">NA()</definedName>
    <definedName name="_____________PC12">NA()</definedName>
    <definedName name="_____________PC13" localSheetId="10">NA()</definedName>
    <definedName name="_____________PC13">NA()</definedName>
    <definedName name="_____________PC14" localSheetId="10">NA()</definedName>
    <definedName name="_____________PC14">NA()</definedName>
    <definedName name="_____________PC15" localSheetId="10">NA()</definedName>
    <definedName name="_____________PC15">NA()</definedName>
    <definedName name="_____________PC16" localSheetId="10">NA()</definedName>
    <definedName name="_____________PC16">NA()</definedName>
    <definedName name="_____________PC17" localSheetId="10">NA()</definedName>
    <definedName name="_____________PC17">NA()</definedName>
    <definedName name="_____________PC18" localSheetId="10">NA()</definedName>
    <definedName name="_____________PC18">NA()</definedName>
    <definedName name="_____________PC19" localSheetId="10">NA()</definedName>
    <definedName name="_____________PC19">NA()</definedName>
    <definedName name="_____________pc2" localSheetId="10">NA()</definedName>
    <definedName name="_____________pc2">NA()</definedName>
    <definedName name="_____________PC20" localSheetId="10">NA()</definedName>
    <definedName name="_____________PC20">NA()</definedName>
    <definedName name="_____________PC21" localSheetId="10">NA()</definedName>
    <definedName name="_____________PC21">NA()</definedName>
    <definedName name="_____________PC22" localSheetId="10">NA()</definedName>
    <definedName name="_____________PC22">NA()</definedName>
    <definedName name="_____________PC23" localSheetId="10">NA()</definedName>
    <definedName name="_____________PC23">NA()</definedName>
    <definedName name="_____________PC24" localSheetId="10">NA()</definedName>
    <definedName name="_____________PC24">NA()</definedName>
    <definedName name="_____________PC3" localSheetId="10">NA()</definedName>
    <definedName name="_____________PC3">NA()</definedName>
    <definedName name="_____________PC4" localSheetId="10">NA()</definedName>
    <definedName name="_____________PC4">NA()</definedName>
    <definedName name="_____________PC5" localSheetId="10">NA()</definedName>
    <definedName name="_____________PC5">NA()</definedName>
    <definedName name="_____________PC6" localSheetId="10">NA()</definedName>
    <definedName name="_____________PC6">NA()</definedName>
    <definedName name="_____________pc600" localSheetId="10">NA()</definedName>
    <definedName name="_____________pc600">NA()</definedName>
    <definedName name="_____________PC7" localSheetId="10">NA()</definedName>
    <definedName name="_____________PC7">NA()</definedName>
    <definedName name="_____________PC8" localSheetId="10">NA()</definedName>
    <definedName name="_____________PC8">NA()</definedName>
    <definedName name="_____________PC9" localSheetId="10">NA()</definedName>
    <definedName name="_____________PC9">NA()</definedName>
    <definedName name="_____________pc900" localSheetId="10">NA()</definedName>
    <definedName name="_____________pc900">NA()</definedName>
    <definedName name="_____________pv2" localSheetId="10">NA()</definedName>
    <definedName name="_____________pv2">NA()</definedName>
    <definedName name="_____________var1" localSheetId="10">NA()</definedName>
    <definedName name="_____________var1">NA()</definedName>
    <definedName name="_____________var4" localSheetId="10">NA()</definedName>
    <definedName name="_____________var4">NA()</definedName>
    <definedName name="_____________vat1" localSheetId="10">NA()</definedName>
    <definedName name="_____________vat1">NA()</definedName>
    <definedName name="____________BSG100" localSheetId="10">NA()</definedName>
    <definedName name="____________BSG100">NA()</definedName>
    <definedName name="____________BSG150" localSheetId="10">NA()</definedName>
    <definedName name="____________BSG150">NA()</definedName>
    <definedName name="____________BSG5" localSheetId="10">NA()</definedName>
    <definedName name="____________BSG5">NA()</definedName>
    <definedName name="____________BSG75" localSheetId="10">NA()</definedName>
    <definedName name="____________BSG75">NA()</definedName>
    <definedName name="____________BTC1" localSheetId="10">NA()</definedName>
    <definedName name="____________BTC1">NA()</definedName>
    <definedName name="____________BTC10" localSheetId="10">NA()</definedName>
    <definedName name="____________BTC10">NA()</definedName>
    <definedName name="____________BTC11" localSheetId="10">NA()</definedName>
    <definedName name="____________BTC11">NA()</definedName>
    <definedName name="____________BTC12" localSheetId="10">NA()</definedName>
    <definedName name="____________BTC12">NA()</definedName>
    <definedName name="____________BTC13" localSheetId="10">NA()</definedName>
    <definedName name="____________BTC13">NA()</definedName>
    <definedName name="____________BTC14" localSheetId="10">NA()</definedName>
    <definedName name="____________BTC14">NA()</definedName>
    <definedName name="____________BTC15" localSheetId="10">NA()</definedName>
    <definedName name="____________BTC15">NA()</definedName>
    <definedName name="____________BTC16" localSheetId="10">NA()</definedName>
    <definedName name="____________BTC16">NA()</definedName>
    <definedName name="____________BTC17" localSheetId="10">NA()</definedName>
    <definedName name="____________BTC17">NA()</definedName>
    <definedName name="____________BTC18" localSheetId="10">NA()</definedName>
    <definedName name="____________BTC18">NA()</definedName>
    <definedName name="____________BTC19" localSheetId="10">NA()</definedName>
    <definedName name="____________BTC19">NA()</definedName>
    <definedName name="____________BTC2" localSheetId="10">NA()</definedName>
    <definedName name="____________BTC2">NA()</definedName>
    <definedName name="____________BTC20" localSheetId="10">NA()</definedName>
    <definedName name="____________BTC20">NA()</definedName>
    <definedName name="____________BTC21" localSheetId="10">NA()</definedName>
    <definedName name="____________BTC21">NA()</definedName>
    <definedName name="____________BTC22" localSheetId="10">NA()</definedName>
    <definedName name="____________BTC22">NA()</definedName>
    <definedName name="____________BTC23" localSheetId="10">NA()</definedName>
    <definedName name="____________BTC23">NA()</definedName>
    <definedName name="____________BTC24" localSheetId="10">NA()</definedName>
    <definedName name="____________BTC24">NA()</definedName>
    <definedName name="____________BTC3" localSheetId="10">NA()</definedName>
    <definedName name="____________BTC3">NA()</definedName>
    <definedName name="____________BTC4" localSheetId="10">NA()</definedName>
    <definedName name="____________BTC4">NA()</definedName>
    <definedName name="____________BTC5" localSheetId="10">NA()</definedName>
    <definedName name="____________BTC5">NA()</definedName>
    <definedName name="____________BTC6" localSheetId="10">NA()</definedName>
    <definedName name="____________BTC6">NA()</definedName>
    <definedName name="____________BTC7" localSheetId="10">NA()</definedName>
    <definedName name="____________BTC7">NA()</definedName>
    <definedName name="____________BTC8" localSheetId="10">NA()</definedName>
    <definedName name="____________BTC8">NA()</definedName>
    <definedName name="____________BTC9" localSheetId="10">NA()</definedName>
    <definedName name="____________BTC9">NA()</definedName>
    <definedName name="____________BTR1" localSheetId="10">NA()</definedName>
    <definedName name="____________BTR1">NA()</definedName>
    <definedName name="____________BTR10" localSheetId="10">NA()</definedName>
    <definedName name="____________BTR10">NA()</definedName>
    <definedName name="____________BTR11" localSheetId="10">NA()</definedName>
    <definedName name="____________BTR11">NA()</definedName>
    <definedName name="____________BTR12" localSheetId="10">NA()</definedName>
    <definedName name="____________BTR12">NA()</definedName>
    <definedName name="____________BTR13" localSheetId="10">NA()</definedName>
    <definedName name="____________BTR13">NA()</definedName>
    <definedName name="____________BTR14" localSheetId="10">NA()</definedName>
    <definedName name="____________BTR14">NA()</definedName>
    <definedName name="____________BTR15" localSheetId="10">NA()</definedName>
    <definedName name="____________BTR15">NA()</definedName>
    <definedName name="____________BTR16" localSheetId="10">NA()</definedName>
    <definedName name="____________BTR16">NA()</definedName>
    <definedName name="____________BTR17" localSheetId="10">NA()</definedName>
    <definedName name="____________BTR17">NA()</definedName>
    <definedName name="____________BTR18" localSheetId="10">NA()</definedName>
    <definedName name="____________BTR18">NA()</definedName>
    <definedName name="____________BTR19" localSheetId="10">NA()</definedName>
    <definedName name="____________BTR19">NA()</definedName>
    <definedName name="____________BTR2" localSheetId="10">NA()</definedName>
    <definedName name="____________BTR2">NA()</definedName>
    <definedName name="____________BTR20" localSheetId="10">NA()</definedName>
    <definedName name="____________BTR20">NA()</definedName>
    <definedName name="____________BTR21" localSheetId="10">NA()</definedName>
    <definedName name="____________BTR21">NA()</definedName>
    <definedName name="____________BTR22" localSheetId="10">NA()</definedName>
    <definedName name="____________BTR22">NA()</definedName>
    <definedName name="____________BTR23" localSheetId="10">NA()</definedName>
    <definedName name="____________BTR23">NA()</definedName>
    <definedName name="____________BTR24" localSheetId="10">NA()</definedName>
    <definedName name="____________BTR24">NA()</definedName>
    <definedName name="____________BTR3" localSheetId="10">NA()</definedName>
    <definedName name="____________BTR3">NA()</definedName>
    <definedName name="____________BTR4" localSheetId="10">NA()</definedName>
    <definedName name="____________BTR4">NA()</definedName>
    <definedName name="____________BTR5" localSheetId="10">NA()</definedName>
    <definedName name="____________BTR5">NA()</definedName>
    <definedName name="____________BTR6" localSheetId="10">NA()</definedName>
    <definedName name="____________BTR6">NA()</definedName>
    <definedName name="____________BTR7" localSheetId="10">NA()</definedName>
    <definedName name="____________BTR7">NA()</definedName>
    <definedName name="____________BTR8" localSheetId="10">NA()</definedName>
    <definedName name="____________BTR8">NA()</definedName>
    <definedName name="____________BTR9" localSheetId="10">NA()</definedName>
    <definedName name="____________BTR9">NA()</definedName>
    <definedName name="____________BTS1" localSheetId="10">NA()</definedName>
    <definedName name="____________BTS1">NA()</definedName>
    <definedName name="____________BTS10" localSheetId="10">NA()</definedName>
    <definedName name="____________BTS10">NA()</definedName>
    <definedName name="____________BTS11" localSheetId="10">NA()</definedName>
    <definedName name="____________BTS11">NA()</definedName>
    <definedName name="____________BTS12" localSheetId="10">NA()</definedName>
    <definedName name="____________BTS12">NA()</definedName>
    <definedName name="____________BTS13" localSheetId="10">NA()</definedName>
    <definedName name="____________BTS13">NA()</definedName>
    <definedName name="____________BTS14" localSheetId="10">NA()</definedName>
    <definedName name="____________BTS14">NA()</definedName>
    <definedName name="____________BTS15" localSheetId="10">NA()</definedName>
    <definedName name="____________BTS15">NA()</definedName>
    <definedName name="____________BTS16" localSheetId="10">NA()</definedName>
    <definedName name="____________BTS16">NA()</definedName>
    <definedName name="____________BTS17" localSheetId="10">NA()</definedName>
    <definedName name="____________BTS17">NA()</definedName>
    <definedName name="____________BTS18" localSheetId="10">NA()</definedName>
    <definedName name="____________BTS18">NA()</definedName>
    <definedName name="____________BTS19" localSheetId="10">NA()</definedName>
    <definedName name="____________BTS19">NA()</definedName>
    <definedName name="____________BTS2" localSheetId="10">NA()</definedName>
    <definedName name="____________BTS2">NA()</definedName>
    <definedName name="____________BTS20" localSheetId="10">NA()</definedName>
    <definedName name="____________BTS20">NA()</definedName>
    <definedName name="____________BTS21" localSheetId="10">NA()</definedName>
    <definedName name="____________BTS21">NA()</definedName>
    <definedName name="____________BTS22" localSheetId="10">NA()</definedName>
    <definedName name="____________BTS22">NA()</definedName>
    <definedName name="____________BTS23" localSheetId="10">NA()</definedName>
    <definedName name="____________BTS23">NA()</definedName>
    <definedName name="____________BTS24" localSheetId="10">NA()</definedName>
    <definedName name="____________BTS24">NA()</definedName>
    <definedName name="____________BTS3" localSheetId="10">NA()</definedName>
    <definedName name="____________BTS3">NA()</definedName>
    <definedName name="____________BTS4" localSheetId="10">NA()</definedName>
    <definedName name="____________BTS4">NA()</definedName>
    <definedName name="____________BTS5" localSheetId="10">NA()</definedName>
    <definedName name="____________BTS5">NA()</definedName>
    <definedName name="____________BTS6" localSheetId="10">NA()</definedName>
    <definedName name="____________BTS6">NA()</definedName>
    <definedName name="____________BTS7" localSheetId="10">NA()</definedName>
    <definedName name="____________BTS7">NA()</definedName>
    <definedName name="____________BTS8" localSheetId="10">NA()</definedName>
    <definedName name="____________BTS8">NA()</definedName>
    <definedName name="____________BTS9" localSheetId="10">NA()</definedName>
    <definedName name="____________BTS9">NA()</definedName>
    <definedName name="____________can430">40.73</definedName>
    <definedName name="____________can435">43.3</definedName>
    <definedName name="____________G120907">"[23]data!#ref!"</definedName>
    <definedName name="____________GBS11" localSheetId="10">NA()</definedName>
    <definedName name="____________GBS11">NA()</definedName>
    <definedName name="____________GBS110" localSheetId="10">NA()</definedName>
    <definedName name="____________GBS110">NA()</definedName>
    <definedName name="____________GBS111" localSheetId="10">NA()</definedName>
    <definedName name="____________GBS111">NA()</definedName>
    <definedName name="____________GBS112" localSheetId="10">NA()</definedName>
    <definedName name="____________GBS112">NA()</definedName>
    <definedName name="____________GBS113" localSheetId="10">NA()</definedName>
    <definedName name="____________GBS113">NA()</definedName>
    <definedName name="____________GBS114" localSheetId="10">NA()</definedName>
    <definedName name="____________GBS114">NA()</definedName>
    <definedName name="____________GBS115" localSheetId="10">NA()</definedName>
    <definedName name="____________GBS115">NA()</definedName>
    <definedName name="____________GBS116" localSheetId="10">NA()</definedName>
    <definedName name="____________GBS116">NA()</definedName>
    <definedName name="____________GBS117" localSheetId="10">NA()</definedName>
    <definedName name="____________GBS117">NA()</definedName>
    <definedName name="____________GBS118" localSheetId="10">NA()</definedName>
    <definedName name="____________GBS118">NA()</definedName>
    <definedName name="____________GBS119" localSheetId="10">NA()</definedName>
    <definedName name="____________GBS119">NA()</definedName>
    <definedName name="____________GBS12" localSheetId="10">NA()</definedName>
    <definedName name="____________GBS12">NA()</definedName>
    <definedName name="____________GBS120" localSheetId="10">NA()</definedName>
    <definedName name="____________GBS120">NA()</definedName>
    <definedName name="____________GBS121" localSheetId="10">NA()</definedName>
    <definedName name="____________GBS121">NA()</definedName>
    <definedName name="____________GBS122" localSheetId="10">NA()</definedName>
    <definedName name="____________GBS122">NA()</definedName>
    <definedName name="____________GBS123" localSheetId="10">NA()</definedName>
    <definedName name="____________GBS123">NA()</definedName>
    <definedName name="____________GBS124" localSheetId="10">NA()</definedName>
    <definedName name="____________GBS124">NA()</definedName>
    <definedName name="____________GBS13" localSheetId="10">NA()</definedName>
    <definedName name="____________GBS13">NA()</definedName>
    <definedName name="____________GBS14" localSheetId="10">NA()</definedName>
    <definedName name="____________GBS14">NA()</definedName>
    <definedName name="____________GBS15" localSheetId="10">NA()</definedName>
    <definedName name="____________GBS15">NA()</definedName>
    <definedName name="____________GBS16" localSheetId="10">NA()</definedName>
    <definedName name="____________GBS16">NA()</definedName>
    <definedName name="____________GBS17" localSheetId="10">NA()</definedName>
    <definedName name="____________GBS17">NA()</definedName>
    <definedName name="____________GBS18" localSheetId="10">NA()</definedName>
    <definedName name="____________GBS18">NA()</definedName>
    <definedName name="____________GBS19" localSheetId="10">NA()</definedName>
    <definedName name="____________GBS19">NA()</definedName>
    <definedName name="____________GBS21" localSheetId="10">NA()</definedName>
    <definedName name="____________GBS21">NA()</definedName>
    <definedName name="____________GBS210" localSheetId="10">NA()</definedName>
    <definedName name="____________GBS210">NA()</definedName>
    <definedName name="____________GBS211" localSheetId="10">NA()</definedName>
    <definedName name="____________GBS211">NA()</definedName>
    <definedName name="____________GBS212" localSheetId="10">NA()</definedName>
    <definedName name="____________GBS212">NA()</definedName>
    <definedName name="____________GBS213" localSheetId="10">NA()</definedName>
    <definedName name="____________GBS213">NA()</definedName>
    <definedName name="____________GBS214" localSheetId="10">NA()</definedName>
    <definedName name="____________GBS214">NA()</definedName>
    <definedName name="____________GBS215" localSheetId="10">NA()</definedName>
    <definedName name="____________GBS215">NA()</definedName>
    <definedName name="____________GBS216" localSheetId="10">NA()</definedName>
    <definedName name="____________GBS216">NA()</definedName>
    <definedName name="____________GBS217" localSheetId="10">NA()</definedName>
    <definedName name="____________GBS217">NA()</definedName>
    <definedName name="____________GBS218" localSheetId="10">NA()</definedName>
    <definedName name="____________GBS218">NA()</definedName>
    <definedName name="____________GBS219" localSheetId="10">NA()</definedName>
    <definedName name="____________GBS219">NA()</definedName>
    <definedName name="____________GBS22" localSheetId="10">NA()</definedName>
    <definedName name="____________GBS22">NA()</definedName>
    <definedName name="____________GBS220" localSheetId="10">NA()</definedName>
    <definedName name="____________GBS220">NA()</definedName>
    <definedName name="____________GBS221" localSheetId="10">NA()</definedName>
    <definedName name="____________GBS221">NA()</definedName>
    <definedName name="____________GBS222" localSheetId="10">NA()</definedName>
    <definedName name="____________GBS222">NA()</definedName>
    <definedName name="____________GBS223" localSheetId="10">NA()</definedName>
    <definedName name="____________GBS223">NA()</definedName>
    <definedName name="____________GBS224" localSheetId="10">NA()</definedName>
    <definedName name="____________GBS224">NA()</definedName>
    <definedName name="____________GBS23" localSheetId="10">NA()</definedName>
    <definedName name="____________GBS23">NA()</definedName>
    <definedName name="____________GBS24" localSheetId="10">NA()</definedName>
    <definedName name="____________GBS24">NA()</definedName>
    <definedName name="____________GBS25" localSheetId="10">NA()</definedName>
    <definedName name="____________GBS25">NA()</definedName>
    <definedName name="____________GBS26" localSheetId="10">NA()</definedName>
    <definedName name="____________GBS26">NA()</definedName>
    <definedName name="____________GBS27" localSheetId="10">NA()</definedName>
    <definedName name="____________GBS27">NA()</definedName>
    <definedName name="____________GBS28" localSheetId="10">NA()</definedName>
    <definedName name="____________GBS28">NA()</definedName>
    <definedName name="____________GBS29" localSheetId="10">NA()</definedName>
    <definedName name="____________GBS29">NA()</definedName>
    <definedName name="____________knr2" localSheetId="10">NA()</definedName>
    <definedName name="____________knr2">NA()</definedName>
    <definedName name="____________l12" localSheetId="10">NA()</definedName>
    <definedName name="____________l12">NA()</definedName>
    <definedName name="____________l13" localSheetId="10">NA()</definedName>
    <definedName name="____________l3" localSheetId="10">NA()</definedName>
    <definedName name="____________l3">NA()</definedName>
    <definedName name="____________l5" localSheetId="10">NA()</definedName>
    <definedName name="____________l5">NA()</definedName>
    <definedName name="____________lj600" localSheetId="10">NA()</definedName>
    <definedName name="____________lj600">NA()</definedName>
    <definedName name="____________lj900" localSheetId="10">NA()</definedName>
    <definedName name="____________lj900">NA()</definedName>
    <definedName name="____________LL3" localSheetId="10">NA()</definedName>
    <definedName name="____________LL3">NA()</definedName>
    <definedName name="____________LSO24" localSheetId="10">NA()</definedName>
    <definedName name="____________LSO24">"[14]lead!#ref!"</definedName>
    <definedName name="____________MA1" localSheetId="10">NA()</definedName>
    <definedName name="____________MA1">NA()</definedName>
    <definedName name="____________MA2">NA()</definedName>
    <definedName name="____________me12">NA()</definedName>
    <definedName name="____________Met22" localSheetId="10">NA()</definedName>
    <definedName name="____________Met22">NA()</definedName>
    <definedName name="____________Met45" localSheetId="10">NA()</definedName>
    <definedName name="____________Met45">NA()</definedName>
    <definedName name="____________Met54" localSheetId="10">NA()</definedName>
    <definedName name="____________Met54">NA()</definedName>
    <definedName name="____________MEt55" localSheetId="10">NA()</definedName>
    <definedName name="____________MEt55">NA()</definedName>
    <definedName name="____________Met63" localSheetId="10">NA()</definedName>
    <definedName name="____________Met63">NA()</definedName>
    <definedName name="____________ML21" localSheetId="10">NA()</definedName>
    <definedName name="____________ML21">NA()</definedName>
    <definedName name="____________ML210" localSheetId="10">NA()</definedName>
    <definedName name="____________ML210">NA()</definedName>
    <definedName name="____________ML211" localSheetId="10">NA()</definedName>
    <definedName name="____________ML211">NA()</definedName>
    <definedName name="____________ML212" localSheetId="10">NA()</definedName>
    <definedName name="____________ML212">NA()</definedName>
    <definedName name="____________ML213" localSheetId="10">NA()</definedName>
    <definedName name="____________ML213">NA()</definedName>
    <definedName name="____________ML214" localSheetId="10">NA()</definedName>
    <definedName name="____________ML214">NA()</definedName>
    <definedName name="____________ML215" localSheetId="10">NA()</definedName>
    <definedName name="____________ML215">NA()</definedName>
    <definedName name="____________ML216" localSheetId="10">NA()</definedName>
    <definedName name="____________ML216">NA()</definedName>
    <definedName name="____________ML217" localSheetId="10">NA()</definedName>
    <definedName name="____________ML217">NA()</definedName>
    <definedName name="____________ML218" localSheetId="10">NA()</definedName>
    <definedName name="____________ML218">NA()</definedName>
    <definedName name="____________ML219" localSheetId="10">NA()</definedName>
    <definedName name="____________ML219">NA()</definedName>
    <definedName name="____________ML22" localSheetId="10">NA()</definedName>
    <definedName name="____________ML22">NA()</definedName>
    <definedName name="____________ML220" localSheetId="10">NA()</definedName>
    <definedName name="____________ML220">NA()</definedName>
    <definedName name="____________ML221" localSheetId="10">NA()</definedName>
    <definedName name="____________ML221">NA()</definedName>
    <definedName name="____________ML222" localSheetId="10">NA()</definedName>
    <definedName name="____________ML222">NA()</definedName>
    <definedName name="____________ML223" localSheetId="10">NA()</definedName>
    <definedName name="____________ML223">NA()</definedName>
    <definedName name="____________ML224" localSheetId="10">NA()</definedName>
    <definedName name="____________ML224">NA()</definedName>
    <definedName name="____________ML23" localSheetId="10">NA()</definedName>
    <definedName name="____________ML23">NA()</definedName>
    <definedName name="____________ML24" localSheetId="10">NA()</definedName>
    <definedName name="____________ML24">NA()</definedName>
    <definedName name="____________ML25" localSheetId="10">NA()</definedName>
    <definedName name="____________ML25">NA()</definedName>
    <definedName name="____________ML26" localSheetId="10">NA()</definedName>
    <definedName name="____________ML26">NA()</definedName>
    <definedName name="____________ML27" localSheetId="10">NA()</definedName>
    <definedName name="____________ML27">NA()</definedName>
    <definedName name="____________ML28" localSheetId="10">NA()</definedName>
    <definedName name="____________ML28">NA()</definedName>
    <definedName name="____________ML29" localSheetId="10">NA()</definedName>
    <definedName name="____________ML29">NA()</definedName>
    <definedName name="____________ML31" localSheetId="10">NA()</definedName>
    <definedName name="____________ML31">NA()</definedName>
    <definedName name="____________ML310" localSheetId="10">NA()</definedName>
    <definedName name="____________ML310">NA()</definedName>
    <definedName name="____________ML311" localSheetId="10">NA()</definedName>
    <definedName name="____________ML311">NA()</definedName>
    <definedName name="____________ML312" localSheetId="10">NA()</definedName>
    <definedName name="____________ML312">NA()</definedName>
    <definedName name="____________ML313" localSheetId="10">NA()</definedName>
    <definedName name="____________ML313">NA()</definedName>
    <definedName name="____________ML314" localSheetId="10">NA()</definedName>
    <definedName name="____________ML314">NA()</definedName>
    <definedName name="____________ML315" localSheetId="10">NA()</definedName>
    <definedName name="____________ML315">NA()</definedName>
    <definedName name="____________ML316" localSheetId="10">NA()</definedName>
    <definedName name="____________ML316">NA()</definedName>
    <definedName name="____________ML317" localSheetId="10">NA()</definedName>
    <definedName name="____________ML317">NA()</definedName>
    <definedName name="____________ML318" localSheetId="10">NA()</definedName>
    <definedName name="____________ML318">NA()</definedName>
    <definedName name="____________ML319" localSheetId="10">NA()</definedName>
    <definedName name="____________ML319">NA()</definedName>
    <definedName name="____________ML32" localSheetId="10">NA()</definedName>
    <definedName name="____________ML32">NA()</definedName>
    <definedName name="____________ML320" localSheetId="10">NA()</definedName>
    <definedName name="____________ML320">NA()</definedName>
    <definedName name="____________ML321" localSheetId="10">NA()</definedName>
    <definedName name="____________ML321">NA()</definedName>
    <definedName name="____________ML322" localSheetId="10">NA()</definedName>
    <definedName name="____________ML322">NA()</definedName>
    <definedName name="____________ML323" localSheetId="10">NA()</definedName>
    <definedName name="____________ML323">NA()</definedName>
    <definedName name="____________ML324" localSheetId="10">NA()</definedName>
    <definedName name="____________ML324">NA()</definedName>
    <definedName name="____________ML33" localSheetId="10">NA()</definedName>
    <definedName name="____________ML33">NA()</definedName>
    <definedName name="____________ML34" localSheetId="10">NA()</definedName>
    <definedName name="____________ML34">NA()</definedName>
    <definedName name="____________ML35" localSheetId="10">NA()</definedName>
    <definedName name="____________ML35">NA()</definedName>
    <definedName name="____________ML36" localSheetId="10">NA()</definedName>
    <definedName name="____________ML36">NA()</definedName>
    <definedName name="____________ML37" localSheetId="10">NA()</definedName>
    <definedName name="____________ML37">NA()</definedName>
    <definedName name="____________ML38" localSheetId="10">NA()</definedName>
    <definedName name="____________ML38">NA()</definedName>
    <definedName name="____________ML39" localSheetId="10">NA()</definedName>
    <definedName name="____________ML39">NA()</definedName>
    <definedName name="____________ML7" localSheetId="10">NA()</definedName>
    <definedName name="____________ML7">NA()</definedName>
    <definedName name="____________ML8" localSheetId="10">NA()</definedName>
    <definedName name="____________ML8">NA()</definedName>
    <definedName name="____________ML9" localSheetId="10">NA()</definedName>
    <definedName name="____________ML9">NA()</definedName>
    <definedName name="____________mm1000" localSheetId="10">NA()</definedName>
    <definedName name="____________mm1000">NA()</definedName>
    <definedName name="____________mm600" localSheetId="10">NA()</definedName>
    <definedName name="____________mm600">NA()</definedName>
    <definedName name="____________mm800" localSheetId="10">NA()</definedName>
    <definedName name="____________mm800">NA()</definedName>
    <definedName name="____________PC1" localSheetId="10">NA()</definedName>
    <definedName name="____________PC1">NA()</definedName>
    <definedName name="____________PC10" localSheetId="10">NA()</definedName>
    <definedName name="____________PC10">NA()</definedName>
    <definedName name="____________PC11" localSheetId="10">NA()</definedName>
    <definedName name="____________PC11">NA()</definedName>
    <definedName name="____________PC12" localSheetId="10">NA()</definedName>
    <definedName name="____________PC12">NA()</definedName>
    <definedName name="____________PC13" localSheetId="10">NA()</definedName>
    <definedName name="____________PC13">NA()</definedName>
    <definedName name="____________PC14" localSheetId="10">NA()</definedName>
    <definedName name="____________PC14">NA()</definedName>
    <definedName name="____________PC15" localSheetId="10">NA()</definedName>
    <definedName name="____________PC15">NA()</definedName>
    <definedName name="____________PC16" localSheetId="10">NA()</definedName>
    <definedName name="____________PC16">NA()</definedName>
    <definedName name="____________PC17" localSheetId="10">NA()</definedName>
    <definedName name="____________PC17">NA()</definedName>
    <definedName name="____________PC18" localSheetId="10">NA()</definedName>
    <definedName name="____________PC18">NA()</definedName>
    <definedName name="____________PC19" localSheetId="10">NA()</definedName>
    <definedName name="____________PC19">NA()</definedName>
    <definedName name="____________pc2" localSheetId="10">NA()</definedName>
    <definedName name="____________pc2">NA()</definedName>
    <definedName name="____________PC20" localSheetId="10">NA()</definedName>
    <definedName name="____________PC20">NA()</definedName>
    <definedName name="____________PC21" localSheetId="10">NA()</definedName>
    <definedName name="____________PC21">NA()</definedName>
    <definedName name="____________PC22" localSheetId="10">NA()</definedName>
    <definedName name="____________PC22">NA()</definedName>
    <definedName name="____________PC23" localSheetId="10">NA()</definedName>
    <definedName name="____________PC23">NA()</definedName>
    <definedName name="____________PC24" localSheetId="10">NA()</definedName>
    <definedName name="____________PC24">NA()</definedName>
    <definedName name="____________PC3" localSheetId="10">NA()</definedName>
    <definedName name="____________PC3">NA()</definedName>
    <definedName name="____________PC4" localSheetId="10">NA()</definedName>
    <definedName name="____________PC4">NA()</definedName>
    <definedName name="____________PC5" localSheetId="10">NA()</definedName>
    <definedName name="____________PC5">NA()</definedName>
    <definedName name="____________PC6" localSheetId="10">NA()</definedName>
    <definedName name="____________PC6">NA()</definedName>
    <definedName name="____________pc600" localSheetId="10">NA()</definedName>
    <definedName name="____________pc600">NA()</definedName>
    <definedName name="____________PC7" localSheetId="10">NA()</definedName>
    <definedName name="____________PC7">NA()</definedName>
    <definedName name="____________PC8" localSheetId="10">NA()</definedName>
    <definedName name="____________PC8">NA()</definedName>
    <definedName name="____________PC9" localSheetId="10">NA()</definedName>
    <definedName name="____________PC9">NA()</definedName>
    <definedName name="____________pc900" localSheetId="10">NA()</definedName>
    <definedName name="____________pc900">NA()</definedName>
    <definedName name="____________pv2" localSheetId="10">NA()</definedName>
    <definedName name="____________pv2">NA()</definedName>
    <definedName name="____________var1" localSheetId="10">NA()</definedName>
    <definedName name="____________var1">NA()</definedName>
    <definedName name="____________var4" localSheetId="10">NA()</definedName>
    <definedName name="____________var4">NA()</definedName>
    <definedName name="____________vat1" localSheetId="10">NA()</definedName>
    <definedName name="____________vat1">NA()</definedName>
    <definedName name="___________BSG100" localSheetId="10">NA()</definedName>
    <definedName name="___________BSG100">NA()</definedName>
    <definedName name="___________BSG150" localSheetId="10">NA()</definedName>
    <definedName name="___________BSG150">NA()</definedName>
    <definedName name="___________BSG5" localSheetId="10">NA()</definedName>
    <definedName name="___________BSG5">NA()</definedName>
    <definedName name="___________BSG75" localSheetId="10">NA()</definedName>
    <definedName name="___________BSG75">NA()</definedName>
    <definedName name="___________BTC1" localSheetId="10">NA()</definedName>
    <definedName name="___________BTC1">NA()</definedName>
    <definedName name="___________BTC10" localSheetId="10">NA()</definedName>
    <definedName name="___________BTC10">NA()</definedName>
    <definedName name="___________BTC11" localSheetId="10">NA()</definedName>
    <definedName name="___________BTC11">NA()</definedName>
    <definedName name="___________BTC12" localSheetId="10">NA()</definedName>
    <definedName name="___________BTC12">NA()</definedName>
    <definedName name="___________BTC13" localSheetId="10">NA()</definedName>
    <definedName name="___________BTC13">NA()</definedName>
    <definedName name="___________BTC14" localSheetId="10">NA()</definedName>
    <definedName name="___________BTC14">NA()</definedName>
    <definedName name="___________BTC15" localSheetId="10">NA()</definedName>
    <definedName name="___________BTC15">NA()</definedName>
    <definedName name="___________BTC16" localSheetId="10">NA()</definedName>
    <definedName name="___________BTC16">NA()</definedName>
    <definedName name="___________BTC17" localSheetId="10">NA()</definedName>
    <definedName name="___________BTC17">NA()</definedName>
    <definedName name="___________BTC18" localSheetId="10">NA()</definedName>
    <definedName name="___________BTC18">NA()</definedName>
    <definedName name="___________BTC19" localSheetId="10">NA()</definedName>
    <definedName name="___________BTC19">NA()</definedName>
    <definedName name="___________BTC2" localSheetId="10">NA()</definedName>
    <definedName name="___________BTC2">NA()</definedName>
    <definedName name="___________BTC20" localSheetId="10">NA()</definedName>
    <definedName name="___________BTC20">NA()</definedName>
    <definedName name="___________BTC21" localSheetId="10">NA()</definedName>
    <definedName name="___________BTC21">NA()</definedName>
    <definedName name="___________BTC22" localSheetId="10">NA()</definedName>
    <definedName name="___________BTC22">NA()</definedName>
    <definedName name="___________BTC23" localSheetId="10">NA()</definedName>
    <definedName name="___________BTC23">NA()</definedName>
    <definedName name="___________BTC24" localSheetId="10">NA()</definedName>
    <definedName name="___________BTC24">NA()</definedName>
    <definedName name="___________BTC3" localSheetId="10">NA()</definedName>
    <definedName name="___________BTC3">NA()</definedName>
    <definedName name="___________BTC4" localSheetId="10">NA()</definedName>
    <definedName name="___________BTC4">NA()</definedName>
    <definedName name="___________BTC5" localSheetId="10">NA()</definedName>
    <definedName name="___________BTC5">NA()</definedName>
    <definedName name="___________BTC6" localSheetId="10">NA()</definedName>
    <definedName name="___________BTC6">NA()</definedName>
    <definedName name="___________BTC7" localSheetId="10">NA()</definedName>
    <definedName name="___________BTC7">NA()</definedName>
    <definedName name="___________BTC8" localSheetId="10">NA()</definedName>
    <definedName name="___________BTC8">NA()</definedName>
    <definedName name="___________BTC9" localSheetId="10">NA()</definedName>
    <definedName name="___________BTC9">NA()</definedName>
    <definedName name="___________BTR1" localSheetId="10">NA()</definedName>
    <definedName name="___________BTR1">NA()</definedName>
    <definedName name="___________BTR10" localSheetId="10">NA()</definedName>
    <definedName name="___________BTR10">NA()</definedName>
    <definedName name="___________BTR11" localSheetId="10">NA()</definedName>
    <definedName name="___________BTR11">NA()</definedName>
    <definedName name="___________BTR12" localSheetId="10">NA()</definedName>
    <definedName name="___________BTR12">NA()</definedName>
    <definedName name="___________BTR13" localSheetId="10">NA()</definedName>
    <definedName name="___________BTR13">NA()</definedName>
    <definedName name="___________BTR14" localSheetId="10">NA()</definedName>
    <definedName name="___________BTR14">NA()</definedName>
    <definedName name="___________BTR15" localSheetId="10">NA()</definedName>
    <definedName name="___________BTR15">NA()</definedName>
    <definedName name="___________BTR16" localSheetId="10">NA()</definedName>
    <definedName name="___________BTR16">NA()</definedName>
    <definedName name="___________BTR17" localSheetId="10">NA()</definedName>
    <definedName name="___________BTR17">NA()</definedName>
    <definedName name="___________BTR18" localSheetId="10">NA()</definedName>
    <definedName name="___________BTR18">NA()</definedName>
    <definedName name="___________BTR19" localSheetId="10">NA()</definedName>
    <definedName name="___________BTR19">NA()</definedName>
    <definedName name="___________BTR2" localSheetId="10">NA()</definedName>
    <definedName name="___________BTR2">NA()</definedName>
    <definedName name="___________BTR20" localSheetId="10">NA()</definedName>
    <definedName name="___________BTR20">NA()</definedName>
    <definedName name="___________BTR21" localSheetId="10">NA()</definedName>
    <definedName name="___________BTR21">NA()</definedName>
    <definedName name="___________BTR22" localSheetId="10">NA()</definedName>
    <definedName name="___________BTR22">NA()</definedName>
    <definedName name="___________BTR23" localSheetId="10">NA()</definedName>
    <definedName name="___________BTR23">NA()</definedName>
    <definedName name="___________BTR24" localSheetId="10">NA()</definedName>
    <definedName name="___________BTR24">NA()</definedName>
    <definedName name="___________BTR3" localSheetId="10">NA()</definedName>
    <definedName name="___________BTR3">NA()</definedName>
    <definedName name="___________BTR4" localSheetId="10">NA()</definedName>
    <definedName name="___________BTR4">NA()</definedName>
    <definedName name="___________BTR5" localSheetId="10">NA()</definedName>
    <definedName name="___________BTR5">NA()</definedName>
    <definedName name="___________BTR6" localSheetId="10">NA()</definedName>
    <definedName name="___________BTR6">NA()</definedName>
    <definedName name="___________BTR7" localSheetId="10">NA()</definedName>
    <definedName name="___________BTR7">NA()</definedName>
    <definedName name="___________BTR8" localSheetId="10">NA()</definedName>
    <definedName name="___________BTR8">NA()</definedName>
    <definedName name="___________BTR9" localSheetId="10">NA()</definedName>
    <definedName name="___________BTR9">NA()</definedName>
    <definedName name="___________BTS1" localSheetId="10">NA()</definedName>
    <definedName name="___________BTS1">NA()</definedName>
    <definedName name="___________BTS10" localSheetId="10">NA()</definedName>
    <definedName name="___________BTS10">NA()</definedName>
    <definedName name="___________BTS11" localSheetId="10">NA()</definedName>
    <definedName name="___________BTS11">NA()</definedName>
    <definedName name="___________BTS12" localSheetId="10">NA()</definedName>
    <definedName name="___________BTS12">NA()</definedName>
    <definedName name="___________BTS13" localSheetId="10">NA()</definedName>
    <definedName name="___________BTS13">NA()</definedName>
    <definedName name="___________BTS14" localSheetId="10">NA()</definedName>
    <definedName name="___________BTS14">NA()</definedName>
    <definedName name="___________BTS15" localSheetId="10">NA()</definedName>
    <definedName name="___________BTS15">NA()</definedName>
    <definedName name="___________BTS16" localSheetId="10">NA()</definedName>
    <definedName name="___________BTS16">NA()</definedName>
    <definedName name="___________BTS17" localSheetId="10">NA()</definedName>
    <definedName name="___________BTS17">NA()</definedName>
    <definedName name="___________BTS18" localSheetId="10">NA()</definedName>
    <definedName name="___________BTS18">NA()</definedName>
    <definedName name="___________BTS19" localSheetId="10">NA()</definedName>
    <definedName name="___________BTS19">NA()</definedName>
    <definedName name="___________BTS2" localSheetId="10">NA()</definedName>
    <definedName name="___________BTS2">NA()</definedName>
    <definedName name="___________BTS20" localSheetId="10">NA()</definedName>
    <definedName name="___________BTS20">NA()</definedName>
    <definedName name="___________BTS21" localSheetId="10">NA()</definedName>
    <definedName name="___________BTS21">NA()</definedName>
    <definedName name="___________BTS22" localSheetId="10">NA()</definedName>
    <definedName name="___________BTS22">NA()</definedName>
    <definedName name="___________BTS23" localSheetId="10">NA()</definedName>
    <definedName name="___________BTS23">NA()</definedName>
    <definedName name="___________BTS24" localSheetId="10">NA()</definedName>
    <definedName name="___________BTS24">NA()</definedName>
    <definedName name="___________BTS3" localSheetId="10">NA()</definedName>
    <definedName name="___________BTS3">NA()</definedName>
    <definedName name="___________BTS4" localSheetId="10">NA()</definedName>
    <definedName name="___________BTS4">NA()</definedName>
    <definedName name="___________BTS5" localSheetId="10">NA()</definedName>
    <definedName name="___________BTS5">NA()</definedName>
    <definedName name="___________BTS6" localSheetId="10">NA()</definedName>
    <definedName name="___________BTS6">NA()</definedName>
    <definedName name="___________BTS7" localSheetId="10">NA()</definedName>
    <definedName name="___________BTS7">NA()</definedName>
    <definedName name="___________BTS8" localSheetId="10">NA()</definedName>
    <definedName name="___________BTS8">NA()</definedName>
    <definedName name="___________BTS9" localSheetId="10">NA()</definedName>
    <definedName name="___________BTS9">NA()</definedName>
    <definedName name="___________can430">40.73</definedName>
    <definedName name="___________can435">43.3</definedName>
    <definedName name="___________ewe1">NA()</definedName>
    <definedName name="___________GBS11" localSheetId="10">NA()</definedName>
    <definedName name="___________GBS11">NA()</definedName>
    <definedName name="___________GBS110" localSheetId="10">NA()</definedName>
    <definedName name="___________GBS110">NA()</definedName>
    <definedName name="___________GBS111" localSheetId="10">NA()</definedName>
    <definedName name="___________GBS111">NA()</definedName>
    <definedName name="___________GBS112" localSheetId="10">NA()</definedName>
    <definedName name="___________GBS112">NA()</definedName>
    <definedName name="___________GBS113" localSheetId="10">NA()</definedName>
    <definedName name="___________GBS113">NA()</definedName>
    <definedName name="___________GBS114" localSheetId="10">NA()</definedName>
    <definedName name="___________GBS114">NA()</definedName>
    <definedName name="___________GBS115" localSheetId="10">NA()</definedName>
    <definedName name="___________GBS115">NA()</definedName>
    <definedName name="___________GBS116" localSheetId="10">NA()</definedName>
    <definedName name="___________GBS116">NA()</definedName>
    <definedName name="___________GBS117" localSheetId="10">NA()</definedName>
    <definedName name="___________GBS117">NA()</definedName>
    <definedName name="___________GBS118" localSheetId="10">NA()</definedName>
    <definedName name="___________GBS118">NA()</definedName>
    <definedName name="___________GBS119" localSheetId="10">NA()</definedName>
    <definedName name="___________GBS119">NA()</definedName>
    <definedName name="___________GBS12" localSheetId="10">NA()</definedName>
    <definedName name="___________GBS12">NA()</definedName>
    <definedName name="___________GBS120" localSheetId="10">NA()</definedName>
    <definedName name="___________GBS120">NA()</definedName>
    <definedName name="___________GBS121" localSheetId="10">NA()</definedName>
    <definedName name="___________GBS121">NA()</definedName>
    <definedName name="___________GBS122" localSheetId="10">NA()</definedName>
    <definedName name="___________GBS122">NA()</definedName>
    <definedName name="___________GBS123" localSheetId="10">NA()</definedName>
    <definedName name="___________GBS123">NA()</definedName>
    <definedName name="___________GBS124" localSheetId="10">NA()</definedName>
    <definedName name="___________GBS124">NA()</definedName>
    <definedName name="___________GBS13" localSheetId="10">NA()</definedName>
    <definedName name="___________GBS13">NA()</definedName>
    <definedName name="___________GBS14" localSheetId="10">NA()</definedName>
    <definedName name="___________GBS14">NA()</definedName>
    <definedName name="___________GBS15" localSheetId="10">NA()</definedName>
    <definedName name="___________GBS15">NA()</definedName>
    <definedName name="___________GBS16" localSheetId="10">NA()</definedName>
    <definedName name="___________GBS16">NA()</definedName>
    <definedName name="___________GBS17" localSheetId="10">NA()</definedName>
    <definedName name="___________GBS17">NA()</definedName>
    <definedName name="___________GBS18" localSheetId="10">NA()</definedName>
    <definedName name="___________GBS18">NA()</definedName>
    <definedName name="___________GBS19" localSheetId="10">NA()</definedName>
    <definedName name="___________GBS19">NA()</definedName>
    <definedName name="___________GBS21" localSheetId="10">NA()</definedName>
    <definedName name="___________GBS21">NA()</definedName>
    <definedName name="___________GBS210" localSheetId="10">NA()</definedName>
    <definedName name="___________GBS210">NA()</definedName>
    <definedName name="___________GBS211" localSheetId="10">NA()</definedName>
    <definedName name="___________GBS211">NA()</definedName>
    <definedName name="___________GBS212" localSheetId="10">NA()</definedName>
    <definedName name="___________GBS212">NA()</definedName>
    <definedName name="___________GBS213" localSheetId="10">NA()</definedName>
    <definedName name="___________GBS213">NA()</definedName>
    <definedName name="___________GBS214" localSheetId="10">NA()</definedName>
    <definedName name="___________GBS214">NA()</definedName>
    <definedName name="___________GBS215" localSheetId="10">NA()</definedName>
    <definedName name="___________GBS215">NA()</definedName>
    <definedName name="___________GBS216" localSheetId="10">NA()</definedName>
    <definedName name="___________GBS216">NA()</definedName>
    <definedName name="___________GBS217" localSheetId="10">NA()</definedName>
    <definedName name="___________GBS217">NA()</definedName>
    <definedName name="___________GBS218" localSheetId="10">NA()</definedName>
    <definedName name="___________GBS218">NA()</definedName>
    <definedName name="___________GBS219" localSheetId="10">NA()</definedName>
    <definedName name="___________GBS219">NA()</definedName>
    <definedName name="___________GBS22" localSheetId="10">NA()</definedName>
    <definedName name="___________GBS22">NA()</definedName>
    <definedName name="___________GBS220" localSheetId="10">NA()</definedName>
    <definedName name="___________GBS220">NA()</definedName>
    <definedName name="___________GBS221" localSheetId="10">NA()</definedName>
    <definedName name="___________GBS221">NA()</definedName>
    <definedName name="___________GBS222" localSheetId="10">NA()</definedName>
    <definedName name="___________GBS222">NA()</definedName>
    <definedName name="___________GBS223" localSheetId="10">NA()</definedName>
    <definedName name="___________GBS223">NA()</definedName>
    <definedName name="___________GBS224" localSheetId="10">NA()</definedName>
    <definedName name="___________GBS224">NA()</definedName>
    <definedName name="___________GBS23" localSheetId="10">NA()</definedName>
    <definedName name="___________GBS23">NA()</definedName>
    <definedName name="___________GBS24" localSheetId="10">NA()</definedName>
    <definedName name="___________GBS24">NA()</definedName>
    <definedName name="___________GBS25" localSheetId="10">NA()</definedName>
    <definedName name="___________GBS25">NA()</definedName>
    <definedName name="___________GBS26" localSheetId="10">NA()</definedName>
    <definedName name="___________GBS26">NA()</definedName>
    <definedName name="___________GBS27" localSheetId="10">NA()</definedName>
    <definedName name="___________GBS27">NA()</definedName>
    <definedName name="___________GBS28" localSheetId="10">NA()</definedName>
    <definedName name="___________GBS28">NA()</definedName>
    <definedName name="___________GBS29" localSheetId="10">NA()</definedName>
    <definedName name="___________GBS29">NA()</definedName>
    <definedName name="___________knr2">NA()</definedName>
    <definedName name="___________l12" localSheetId="10">NA()</definedName>
    <definedName name="___________l12">NA()</definedName>
    <definedName name="___________l3" localSheetId="10">NA()</definedName>
    <definedName name="___________l3">NA()</definedName>
    <definedName name="___________l5" localSheetId="10">NA()</definedName>
    <definedName name="___________l5">NA()</definedName>
    <definedName name="___________lj600" localSheetId="10">NA()</definedName>
    <definedName name="___________lj600">NA()</definedName>
    <definedName name="___________lj900" localSheetId="10">NA()</definedName>
    <definedName name="___________lj900">NA()</definedName>
    <definedName name="___________LL3" localSheetId="10">NA()</definedName>
    <definedName name="___________LL3">NA()</definedName>
    <definedName name="___________LSO24">NA()</definedName>
    <definedName name="___________MA1">NA()</definedName>
    <definedName name="___________MA2">NA()</definedName>
    <definedName name="___________me12">NA()</definedName>
    <definedName name="___________Met22" localSheetId="10">NA()</definedName>
    <definedName name="___________Met22">NA()</definedName>
    <definedName name="___________Met45" localSheetId="10">NA()</definedName>
    <definedName name="___________Met45">NA()</definedName>
    <definedName name="___________MEt55" localSheetId="10">NA()</definedName>
    <definedName name="___________MEt55">NA()</definedName>
    <definedName name="___________Met63" localSheetId="10">NA()</definedName>
    <definedName name="___________Met63">NA()</definedName>
    <definedName name="___________ML21" localSheetId="10">NA()</definedName>
    <definedName name="___________ML21">NA()</definedName>
    <definedName name="___________ML210" localSheetId="10">NA()</definedName>
    <definedName name="___________ML210">NA()</definedName>
    <definedName name="___________ML211" localSheetId="10">NA()</definedName>
    <definedName name="___________ML211">NA()</definedName>
    <definedName name="___________ML212" localSheetId="10">NA()</definedName>
    <definedName name="___________ML212">NA()</definedName>
    <definedName name="___________ML213" localSheetId="10">NA()</definedName>
    <definedName name="___________ML213">NA()</definedName>
    <definedName name="___________ML214" localSheetId="10">NA()</definedName>
    <definedName name="___________ML214">NA()</definedName>
    <definedName name="___________ML215" localSheetId="10">NA()</definedName>
    <definedName name="___________ML215">NA()</definedName>
    <definedName name="___________ML216" localSheetId="10">NA()</definedName>
    <definedName name="___________ML216">NA()</definedName>
    <definedName name="___________ML217" localSheetId="10">NA()</definedName>
    <definedName name="___________ML217">NA()</definedName>
    <definedName name="___________ML218" localSheetId="10">NA()</definedName>
    <definedName name="___________ML218">NA()</definedName>
    <definedName name="___________ML219" localSheetId="10">NA()</definedName>
    <definedName name="___________ML219">NA()</definedName>
    <definedName name="___________ML22" localSheetId="10">NA()</definedName>
    <definedName name="___________ML22">NA()</definedName>
    <definedName name="___________ML220" localSheetId="10">NA()</definedName>
    <definedName name="___________ML220">NA()</definedName>
    <definedName name="___________ML221" localSheetId="10">NA()</definedName>
    <definedName name="___________ML221">NA()</definedName>
    <definedName name="___________ML222" localSheetId="10">NA()</definedName>
    <definedName name="___________ML222">NA()</definedName>
    <definedName name="___________ML223" localSheetId="10">NA()</definedName>
    <definedName name="___________ML223">NA()</definedName>
    <definedName name="___________ML224" localSheetId="10">NA()</definedName>
    <definedName name="___________ML224">NA()</definedName>
    <definedName name="___________ML23" localSheetId="10">NA()</definedName>
    <definedName name="___________ML23">NA()</definedName>
    <definedName name="___________ML24" localSheetId="10">NA()</definedName>
    <definedName name="___________ML24">NA()</definedName>
    <definedName name="___________ML25" localSheetId="10">NA()</definedName>
    <definedName name="___________ML25">NA()</definedName>
    <definedName name="___________ML26" localSheetId="10">NA()</definedName>
    <definedName name="___________ML26">NA()</definedName>
    <definedName name="___________ML27" localSheetId="10">NA()</definedName>
    <definedName name="___________ML27">NA()</definedName>
    <definedName name="___________ML28" localSheetId="10">NA()</definedName>
    <definedName name="___________ML28">NA()</definedName>
    <definedName name="___________ML29" localSheetId="10">NA()</definedName>
    <definedName name="___________ML29">NA()</definedName>
    <definedName name="___________ML31" localSheetId="10">NA()</definedName>
    <definedName name="___________ML31">NA()</definedName>
    <definedName name="___________ML310" localSheetId="10">NA()</definedName>
    <definedName name="___________ML310">NA()</definedName>
    <definedName name="___________ML311" localSheetId="10">NA()</definedName>
    <definedName name="___________ML311">NA()</definedName>
    <definedName name="___________ML312" localSheetId="10">NA()</definedName>
    <definedName name="___________ML312">NA()</definedName>
    <definedName name="___________ML313" localSheetId="10">NA()</definedName>
    <definedName name="___________ML313">NA()</definedName>
    <definedName name="___________ML314" localSheetId="10">NA()</definedName>
    <definedName name="___________ML314">NA()</definedName>
    <definedName name="___________ML315" localSheetId="10">NA()</definedName>
    <definedName name="___________ML315">NA()</definedName>
    <definedName name="___________ML316" localSheetId="10">NA()</definedName>
    <definedName name="___________ML316">NA()</definedName>
    <definedName name="___________ML317" localSheetId="10">NA()</definedName>
    <definedName name="___________ML317">NA()</definedName>
    <definedName name="___________ML318" localSheetId="10">NA()</definedName>
    <definedName name="___________ML318">NA()</definedName>
    <definedName name="___________ML319" localSheetId="10">NA()</definedName>
    <definedName name="___________ML319">NA()</definedName>
    <definedName name="___________ML32" localSheetId="10">NA()</definedName>
    <definedName name="___________ML32">NA()</definedName>
    <definedName name="___________ML320" localSheetId="10">NA()</definedName>
    <definedName name="___________ML320">NA()</definedName>
    <definedName name="___________ML321" localSheetId="10">NA()</definedName>
    <definedName name="___________ML321">NA()</definedName>
    <definedName name="___________ML322" localSheetId="10">NA()</definedName>
    <definedName name="___________ML322">NA()</definedName>
    <definedName name="___________ML323" localSheetId="10">NA()</definedName>
    <definedName name="___________ML323">NA()</definedName>
    <definedName name="___________ML324" localSheetId="10">NA()</definedName>
    <definedName name="___________ML324">NA()</definedName>
    <definedName name="___________ML33" localSheetId="10">NA()</definedName>
    <definedName name="___________ML33">NA()</definedName>
    <definedName name="___________ML34" localSheetId="10">NA()</definedName>
    <definedName name="___________ML34">NA()</definedName>
    <definedName name="___________ML35" localSheetId="10">NA()</definedName>
    <definedName name="___________ML35">NA()</definedName>
    <definedName name="___________ML36" localSheetId="10">NA()</definedName>
    <definedName name="___________ML36">NA()</definedName>
    <definedName name="___________ML37" localSheetId="10">NA()</definedName>
    <definedName name="___________ML37">NA()</definedName>
    <definedName name="___________ML38" localSheetId="10">NA()</definedName>
    <definedName name="___________ML38">NA()</definedName>
    <definedName name="___________ML39" localSheetId="10">NA()</definedName>
    <definedName name="___________ML39">NA()</definedName>
    <definedName name="___________ML7" localSheetId="10">NA()</definedName>
    <definedName name="___________ML7">NA()</definedName>
    <definedName name="___________ML8" localSheetId="10">NA()</definedName>
    <definedName name="___________ML8">NA()</definedName>
    <definedName name="___________ML9" localSheetId="10">NA()</definedName>
    <definedName name="___________ML9">NA()</definedName>
    <definedName name="___________mm1000" localSheetId="10">NA()</definedName>
    <definedName name="___________mm1000">NA()</definedName>
    <definedName name="___________mm600" localSheetId="10">NA()</definedName>
    <definedName name="___________mm600">NA()</definedName>
    <definedName name="___________mm800" localSheetId="10">NA()</definedName>
    <definedName name="___________mm800">NA()</definedName>
    <definedName name="___________PC1" localSheetId="10">NA()</definedName>
    <definedName name="___________PC1">NA()</definedName>
    <definedName name="___________PC10" localSheetId="10">NA()</definedName>
    <definedName name="___________PC10">NA()</definedName>
    <definedName name="___________PC11" localSheetId="10">NA()</definedName>
    <definedName name="___________PC11">NA()</definedName>
    <definedName name="___________PC12" localSheetId="10">NA()</definedName>
    <definedName name="___________PC12">NA()</definedName>
    <definedName name="___________PC13" localSheetId="10">NA()</definedName>
    <definedName name="___________PC13">NA()</definedName>
    <definedName name="___________PC14" localSheetId="10">NA()</definedName>
    <definedName name="___________PC14">NA()</definedName>
    <definedName name="___________PC15" localSheetId="10">NA()</definedName>
    <definedName name="___________PC15">NA()</definedName>
    <definedName name="___________PC16" localSheetId="10">NA()</definedName>
    <definedName name="___________PC16">NA()</definedName>
    <definedName name="___________PC17" localSheetId="10">NA()</definedName>
    <definedName name="___________PC17">NA()</definedName>
    <definedName name="___________PC18" localSheetId="10">NA()</definedName>
    <definedName name="___________PC18">NA()</definedName>
    <definedName name="___________PC19" localSheetId="10">NA()</definedName>
    <definedName name="___________PC19">NA()</definedName>
    <definedName name="___________pc2" localSheetId="10">NA()</definedName>
    <definedName name="___________pc2">NA()</definedName>
    <definedName name="___________PC20" localSheetId="10">NA()</definedName>
    <definedName name="___________PC20">NA()</definedName>
    <definedName name="___________PC21" localSheetId="10">NA()</definedName>
    <definedName name="___________PC21">NA()</definedName>
    <definedName name="___________PC22" localSheetId="10">NA()</definedName>
    <definedName name="___________PC22">NA()</definedName>
    <definedName name="___________PC23" localSheetId="10">NA()</definedName>
    <definedName name="___________PC23">NA()</definedName>
    <definedName name="___________PC24" localSheetId="10">NA()</definedName>
    <definedName name="___________PC24">NA()</definedName>
    <definedName name="___________PC3" localSheetId="10">NA()</definedName>
    <definedName name="___________PC3">NA()</definedName>
    <definedName name="___________PC4" localSheetId="10">NA()</definedName>
    <definedName name="___________PC4">NA()</definedName>
    <definedName name="___________PC5" localSheetId="10">NA()</definedName>
    <definedName name="___________PC5">NA()</definedName>
    <definedName name="___________PC6" localSheetId="10">NA()</definedName>
    <definedName name="___________PC6">NA()</definedName>
    <definedName name="___________pc600" localSheetId="10">NA()</definedName>
    <definedName name="___________pc600">NA()</definedName>
    <definedName name="___________PC7" localSheetId="10">NA()</definedName>
    <definedName name="___________PC7">NA()</definedName>
    <definedName name="___________PC8" localSheetId="10">NA()</definedName>
    <definedName name="___________PC8">NA()</definedName>
    <definedName name="___________PC9" localSheetId="10">NA()</definedName>
    <definedName name="___________PC9">NA()</definedName>
    <definedName name="___________pc900" localSheetId="10">NA()</definedName>
    <definedName name="___________pc900">NA()</definedName>
    <definedName name="___________pv2" localSheetId="10">NA()</definedName>
    <definedName name="___________pv2">NA()</definedName>
    <definedName name="___________var1" localSheetId="10">NA()</definedName>
    <definedName name="___________var1">NA()</definedName>
    <definedName name="___________var4" localSheetId="10">NA()</definedName>
    <definedName name="___________var4">NA()</definedName>
    <definedName name="___________vat1" localSheetId="10">NA()</definedName>
    <definedName name="___________vat1">NA()</definedName>
    <definedName name="__________BSG100" localSheetId="10">NA()</definedName>
    <definedName name="__________BSG100">NA()</definedName>
    <definedName name="__________BSG150" localSheetId="10">NA()</definedName>
    <definedName name="__________BSG150">NA()</definedName>
    <definedName name="__________BSG5" localSheetId="10">NA()</definedName>
    <definedName name="__________BSG5">NA()</definedName>
    <definedName name="__________BSG75" localSheetId="10">NA()</definedName>
    <definedName name="__________BSG75">NA()</definedName>
    <definedName name="__________BTC1" localSheetId="10">NA()</definedName>
    <definedName name="__________BTC1">NA()</definedName>
    <definedName name="__________BTC10" localSheetId="10">NA()</definedName>
    <definedName name="__________BTC10">NA()</definedName>
    <definedName name="__________BTC11" localSheetId="10">NA()</definedName>
    <definedName name="__________BTC11">NA()</definedName>
    <definedName name="__________BTC12" localSheetId="10">NA()</definedName>
    <definedName name="__________BTC12">NA()</definedName>
    <definedName name="__________BTC13" localSheetId="10">NA()</definedName>
    <definedName name="__________BTC13">NA()</definedName>
    <definedName name="__________BTC14" localSheetId="10">NA()</definedName>
    <definedName name="__________BTC14">NA()</definedName>
    <definedName name="__________BTC15" localSheetId="10">NA()</definedName>
    <definedName name="__________BTC15">NA()</definedName>
    <definedName name="__________BTC16" localSheetId="10">NA()</definedName>
    <definedName name="__________BTC16">NA()</definedName>
    <definedName name="__________BTC17" localSheetId="10">NA()</definedName>
    <definedName name="__________BTC17">NA()</definedName>
    <definedName name="__________BTC18" localSheetId="10">NA()</definedName>
    <definedName name="__________BTC18">NA()</definedName>
    <definedName name="__________BTC19" localSheetId="10">NA()</definedName>
    <definedName name="__________BTC19">NA()</definedName>
    <definedName name="__________BTC2" localSheetId="10">NA()</definedName>
    <definedName name="__________BTC2">NA()</definedName>
    <definedName name="__________BTC20" localSheetId="10">NA()</definedName>
    <definedName name="__________BTC20">NA()</definedName>
    <definedName name="__________BTC21" localSheetId="10">NA()</definedName>
    <definedName name="__________BTC21">NA()</definedName>
    <definedName name="__________BTC22" localSheetId="10">NA()</definedName>
    <definedName name="__________BTC22">NA()</definedName>
    <definedName name="__________BTC23" localSheetId="10">NA()</definedName>
    <definedName name="__________BTC23">NA()</definedName>
    <definedName name="__________BTC24" localSheetId="10">NA()</definedName>
    <definedName name="__________BTC24">NA()</definedName>
    <definedName name="__________BTC3" localSheetId="10">NA()</definedName>
    <definedName name="__________BTC3">NA()</definedName>
    <definedName name="__________BTC4" localSheetId="10">NA()</definedName>
    <definedName name="__________BTC4">NA()</definedName>
    <definedName name="__________BTC5" localSheetId="10">NA()</definedName>
    <definedName name="__________BTC5">NA()</definedName>
    <definedName name="__________BTC6" localSheetId="10">NA()</definedName>
    <definedName name="__________BTC6">NA()</definedName>
    <definedName name="__________BTC7" localSheetId="10">NA()</definedName>
    <definedName name="__________BTC7">NA()</definedName>
    <definedName name="__________BTC8" localSheetId="10">NA()</definedName>
    <definedName name="__________BTC8">NA()</definedName>
    <definedName name="__________BTC9" localSheetId="10">NA()</definedName>
    <definedName name="__________BTC9">NA()</definedName>
    <definedName name="__________BTR1" localSheetId="10">NA()</definedName>
    <definedName name="__________BTR1">NA()</definedName>
    <definedName name="__________BTR10" localSheetId="10">NA()</definedName>
    <definedName name="__________BTR10">NA()</definedName>
    <definedName name="__________BTR11" localSheetId="10">NA()</definedName>
    <definedName name="__________BTR11">NA()</definedName>
    <definedName name="__________BTR12" localSheetId="10">NA()</definedName>
    <definedName name="__________BTR12">NA()</definedName>
    <definedName name="__________BTR13" localSheetId="10">NA()</definedName>
    <definedName name="__________BTR13">NA()</definedName>
    <definedName name="__________BTR14" localSheetId="10">NA()</definedName>
    <definedName name="__________BTR14">NA()</definedName>
    <definedName name="__________BTR15" localSheetId="10">NA()</definedName>
    <definedName name="__________BTR15">NA()</definedName>
    <definedName name="__________BTR16" localSheetId="10">NA()</definedName>
    <definedName name="__________BTR16">NA()</definedName>
    <definedName name="__________BTR17" localSheetId="10">NA()</definedName>
    <definedName name="__________BTR17">NA()</definedName>
    <definedName name="__________BTR18" localSheetId="10">NA()</definedName>
    <definedName name="__________BTR18">NA()</definedName>
    <definedName name="__________BTR19" localSheetId="10">NA()</definedName>
    <definedName name="__________BTR19">NA()</definedName>
    <definedName name="__________BTR2" localSheetId="10">NA()</definedName>
    <definedName name="__________BTR2">NA()</definedName>
    <definedName name="__________BTR20" localSheetId="10">NA()</definedName>
    <definedName name="__________BTR20">NA()</definedName>
    <definedName name="__________BTR21" localSheetId="10">NA()</definedName>
    <definedName name="__________BTR21">NA()</definedName>
    <definedName name="__________BTR22" localSheetId="10">NA()</definedName>
    <definedName name="__________BTR22">NA()</definedName>
    <definedName name="__________BTR23" localSheetId="10">NA()</definedName>
    <definedName name="__________BTR23">NA()</definedName>
    <definedName name="__________BTR24" localSheetId="10">NA()</definedName>
    <definedName name="__________BTR24">NA()</definedName>
    <definedName name="__________BTR3" localSheetId="10">NA()</definedName>
    <definedName name="__________BTR3">NA()</definedName>
    <definedName name="__________BTR4" localSheetId="10">NA()</definedName>
    <definedName name="__________BTR4">NA()</definedName>
    <definedName name="__________BTR5" localSheetId="10">NA()</definedName>
    <definedName name="__________BTR5">NA()</definedName>
    <definedName name="__________BTR6" localSheetId="10">NA()</definedName>
    <definedName name="__________BTR6">NA()</definedName>
    <definedName name="__________BTR7" localSheetId="10">NA()</definedName>
    <definedName name="__________BTR7">NA()</definedName>
    <definedName name="__________BTR8" localSheetId="10">NA()</definedName>
    <definedName name="__________BTR8">NA()</definedName>
    <definedName name="__________BTR9" localSheetId="10">NA()</definedName>
    <definedName name="__________BTR9">NA()</definedName>
    <definedName name="__________BTS1" localSheetId="10">NA()</definedName>
    <definedName name="__________BTS1">NA()</definedName>
    <definedName name="__________BTS10" localSheetId="10">NA()</definedName>
    <definedName name="__________BTS10">NA()</definedName>
    <definedName name="__________BTS11" localSheetId="10">NA()</definedName>
    <definedName name="__________BTS11">NA()</definedName>
    <definedName name="__________BTS12" localSheetId="10">NA()</definedName>
    <definedName name="__________BTS12">NA()</definedName>
    <definedName name="__________BTS13" localSheetId="10">NA()</definedName>
    <definedName name="__________BTS13">NA()</definedName>
    <definedName name="__________BTS14" localSheetId="10">NA()</definedName>
    <definedName name="__________BTS14">NA()</definedName>
    <definedName name="__________BTS15" localSheetId="10">NA()</definedName>
    <definedName name="__________BTS15">NA()</definedName>
    <definedName name="__________BTS16" localSheetId="10">NA()</definedName>
    <definedName name="__________BTS16">NA()</definedName>
    <definedName name="__________BTS17" localSheetId="10">NA()</definedName>
    <definedName name="__________BTS17">NA()</definedName>
    <definedName name="__________BTS18" localSheetId="10">NA()</definedName>
    <definedName name="__________BTS18">NA()</definedName>
    <definedName name="__________BTS19" localSheetId="10">NA()</definedName>
    <definedName name="__________BTS19">NA()</definedName>
    <definedName name="__________BTS2" localSheetId="10">NA()</definedName>
    <definedName name="__________BTS2">NA()</definedName>
    <definedName name="__________BTS20" localSheetId="10">NA()</definedName>
    <definedName name="__________BTS20">NA()</definedName>
    <definedName name="__________BTS21" localSheetId="10">NA()</definedName>
    <definedName name="__________BTS21">NA()</definedName>
    <definedName name="__________BTS22" localSheetId="10">NA()</definedName>
    <definedName name="__________BTS22">NA()</definedName>
    <definedName name="__________BTS23" localSheetId="10">NA()</definedName>
    <definedName name="__________BTS23">NA()</definedName>
    <definedName name="__________BTS24" localSheetId="10">NA()</definedName>
    <definedName name="__________BTS24">NA()</definedName>
    <definedName name="__________BTS3" localSheetId="10">NA()</definedName>
    <definedName name="__________BTS3">NA()</definedName>
    <definedName name="__________BTS4" localSheetId="10">NA()</definedName>
    <definedName name="__________BTS4">NA()</definedName>
    <definedName name="__________BTS5" localSheetId="10">NA()</definedName>
    <definedName name="__________BTS5">NA()</definedName>
    <definedName name="__________BTS6" localSheetId="10">NA()</definedName>
    <definedName name="__________BTS6">NA()</definedName>
    <definedName name="__________BTS7" localSheetId="10">NA()</definedName>
    <definedName name="__________BTS7">NA()</definedName>
    <definedName name="__________BTS8" localSheetId="10">NA()</definedName>
    <definedName name="__________BTS8">NA()</definedName>
    <definedName name="__________BTS9" localSheetId="10">NA()</definedName>
    <definedName name="__________BTS9">NA()</definedName>
    <definedName name="__________can430">40.73</definedName>
    <definedName name="__________can435">43.3</definedName>
    <definedName name="__________G120907">"[23]data!#ref!"</definedName>
    <definedName name="__________GBS11" localSheetId="10">NA()</definedName>
    <definedName name="__________GBS11">NA()</definedName>
    <definedName name="__________GBS110" localSheetId="10">NA()</definedName>
    <definedName name="__________GBS110">NA()</definedName>
    <definedName name="__________GBS111" localSheetId="10">NA()</definedName>
    <definedName name="__________GBS111">NA()</definedName>
    <definedName name="__________GBS112" localSheetId="10">NA()</definedName>
    <definedName name="__________GBS112">NA()</definedName>
    <definedName name="__________GBS113" localSheetId="10">NA()</definedName>
    <definedName name="__________GBS113">NA()</definedName>
    <definedName name="__________GBS114" localSheetId="10">NA()</definedName>
    <definedName name="__________GBS114">NA()</definedName>
    <definedName name="__________GBS115" localSheetId="10">NA()</definedName>
    <definedName name="__________GBS115">NA()</definedName>
    <definedName name="__________GBS116" localSheetId="10">NA()</definedName>
    <definedName name="__________GBS116">NA()</definedName>
    <definedName name="__________GBS117" localSheetId="10">NA()</definedName>
    <definedName name="__________GBS117">NA()</definedName>
    <definedName name="__________GBS118" localSheetId="10">NA()</definedName>
    <definedName name="__________GBS118">NA()</definedName>
    <definedName name="__________GBS119" localSheetId="10">NA()</definedName>
    <definedName name="__________GBS119">NA()</definedName>
    <definedName name="__________GBS12" localSheetId="10">NA()</definedName>
    <definedName name="__________GBS12">NA()</definedName>
    <definedName name="__________GBS120" localSheetId="10">NA()</definedName>
    <definedName name="__________GBS120">NA()</definedName>
    <definedName name="__________GBS121" localSheetId="10">NA()</definedName>
    <definedName name="__________GBS121">NA()</definedName>
    <definedName name="__________GBS122" localSheetId="10">NA()</definedName>
    <definedName name="__________GBS122">NA()</definedName>
    <definedName name="__________GBS123" localSheetId="10">NA()</definedName>
    <definedName name="__________GBS123">NA()</definedName>
    <definedName name="__________GBS124" localSheetId="10">NA()</definedName>
    <definedName name="__________GBS124">NA()</definedName>
    <definedName name="__________GBS13" localSheetId="10">NA()</definedName>
    <definedName name="__________GBS13">NA()</definedName>
    <definedName name="__________GBS14" localSheetId="10">NA()</definedName>
    <definedName name="__________GBS14">NA()</definedName>
    <definedName name="__________GBS15" localSheetId="10">NA()</definedName>
    <definedName name="__________GBS15">NA()</definedName>
    <definedName name="__________GBS16" localSheetId="10">NA()</definedName>
    <definedName name="__________GBS16">NA()</definedName>
    <definedName name="__________GBS17" localSheetId="10">NA()</definedName>
    <definedName name="__________GBS17">NA()</definedName>
    <definedName name="__________GBS18" localSheetId="10">NA()</definedName>
    <definedName name="__________GBS18">NA()</definedName>
    <definedName name="__________GBS19" localSheetId="10">NA()</definedName>
    <definedName name="__________GBS19">NA()</definedName>
    <definedName name="__________GBS21" localSheetId="10">NA()</definedName>
    <definedName name="__________GBS21">NA()</definedName>
    <definedName name="__________GBS210" localSheetId="10">NA()</definedName>
    <definedName name="__________GBS210">NA()</definedName>
    <definedName name="__________GBS211" localSheetId="10">NA()</definedName>
    <definedName name="__________GBS211">NA()</definedName>
    <definedName name="__________GBS212" localSheetId="10">NA()</definedName>
    <definedName name="__________GBS212">NA()</definedName>
    <definedName name="__________GBS213" localSheetId="10">NA()</definedName>
    <definedName name="__________GBS213">NA()</definedName>
    <definedName name="__________GBS214" localSheetId="10">NA()</definedName>
    <definedName name="__________GBS214">NA()</definedName>
    <definedName name="__________GBS215" localSheetId="10">NA()</definedName>
    <definedName name="__________GBS215">NA()</definedName>
    <definedName name="__________GBS216" localSheetId="10">NA()</definedName>
    <definedName name="__________GBS216">NA()</definedName>
    <definedName name="__________GBS217" localSheetId="10">NA()</definedName>
    <definedName name="__________GBS217">NA()</definedName>
    <definedName name="__________GBS218" localSheetId="10">NA()</definedName>
    <definedName name="__________GBS218">NA()</definedName>
    <definedName name="__________GBS219" localSheetId="10">NA()</definedName>
    <definedName name="__________GBS219">NA()</definedName>
    <definedName name="__________GBS22" localSheetId="10">NA()</definedName>
    <definedName name="__________GBS22">NA()</definedName>
    <definedName name="__________GBS220" localSheetId="10">NA()</definedName>
    <definedName name="__________GBS220">NA()</definedName>
    <definedName name="__________GBS221" localSheetId="10">NA()</definedName>
    <definedName name="__________GBS221">NA()</definedName>
    <definedName name="__________GBS222" localSheetId="10">NA()</definedName>
    <definedName name="__________GBS222">NA()</definedName>
    <definedName name="__________GBS223" localSheetId="10">NA()</definedName>
    <definedName name="__________GBS223">NA()</definedName>
    <definedName name="__________GBS224" localSheetId="10">NA()</definedName>
    <definedName name="__________GBS224">NA()</definedName>
    <definedName name="__________GBS23" localSheetId="10">NA()</definedName>
    <definedName name="__________GBS23">NA()</definedName>
    <definedName name="__________GBS24" localSheetId="10">NA()</definedName>
    <definedName name="__________GBS24">NA()</definedName>
    <definedName name="__________GBS25" localSheetId="10">NA()</definedName>
    <definedName name="__________GBS25">NA()</definedName>
    <definedName name="__________GBS26" localSheetId="10">NA()</definedName>
    <definedName name="__________GBS26">NA()</definedName>
    <definedName name="__________GBS27" localSheetId="10">NA()</definedName>
    <definedName name="__________GBS27">NA()</definedName>
    <definedName name="__________GBS28" localSheetId="10">NA()</definedName>
    <definedName name="__________GBS28">NA()</definedName>
    <definedName name="__________GBS29" localSheetId="10">NA()</definedName>
    <definedName name="__________GBS29">NA()</definedName>
    <definedName name="__________KC139" localSheetId="10">NA()</definedName>
    <definedName name="__________KC139">NA()</definedName>
    <definedName name="__________knr2" localSheetId="10">NA()</definedName>
    <definedName name="__________knr2">NA()</definedName>
    <definedName name="__________l12" localSheetId="10">NA()</definedName>
    <definedName name="__________l12">NA()</definedName>
    <definedName name="__________l3" localSheetId="10">NA()</definedName>
    <definedName name="__________l3">NA()</definedName>
    <definedName name="__________l5" localSheetId="10">NA()</definedName>
    <definedName name="__________l5">NA()</definedName>
    <definedName name="__________lj600" localSheetId="10">NA()</definedName>
    <definedName name="__________lj600">NA()</definedName>
    <definedName name="__________lj900" localSheetId="10">NA()</definedName>
    <definedName name="__________lj900">NA()</definedName>
    <definedName name="__________LL3" localSheetId="10">NA()</definedName>
    <definedName name="__________LL3">NA()</definedName>
    <definedName name="__________LSO24" localSheetId="10">NA()</definedName>
    <definedName name="__________LSO24">"[14]lead!#ref!"</definedName>
    <definedName name="__________MA1">NA()</definedName>
    <definedName name="__________MA2">NA()</definedName>
    <definedName name="__________me12">NA()</definedName>
    <definedName name="__________Met22" localSheetId="10">NA()</definedName>
    <definedName name="__________Met22">NA()</definedName>
    <definedName name="__________Met45" localSheetId="10">NA()</definedName>
    <definedName name="__________Met45">NA()</definedName>
    <definedName name="__________MEt55" localSheetId="10">NA()</definedName>
    <definedName name="__________MEt55">NA()</definedName>
    <definedName name="__________Met63" localSheetId="10">NA()</definedName>
    <definedName name="__________Met63">NA()</definedName>
    <definedName name="__________ML21" localSheetId="10">NA()</definedName>
    <definedName name="__________ML21">NA()</definedName>
    <definedName name="__________ML210" localSheetId="10">NA()</definedName>
    <definedName name="__________ML210">NA()</definedName>
    <definedName name="__________ML211" localSheetId="10">NA()</definedName>
    <definedName name="__________ML211">NA()</definedName>
    <definedName name="__________ML212" localSheetId="10">NA()</definedName>
    <definedName name="__________ML212">NA()</definedName>
    <definedName name="__________ML213" localSheetId="10">NA()</definedName>
    <definedName name="__________ML213">NA()</definedName>
    <definedName name="__________ML214" localSheetId="10">NA()</definedName>
    <definedName name="__________ML214">NA()</definedName>
    <definedName name="__________ML215" localSheetId="10">NA()</definedName>
    <definedName name="__________ML215">NA()</definedName>
    <definedName name="__________ML216" localSheetId="10">NA()</definedName>
    <definedName name="__________ML216">NA()</definedName>
    <definedName name="__________ML217" localSheetId="10">NA()</definedName>
    <definedName name="__________ML217">NA()</definedName>
    <definedName name="__________ML218" localSheetId="10">NA()</definedName>
    <definedName name="__________ML218">NA()</definedName>
    <definedName name="__________ML219" localSheetId="10">NA()</definedName>
    <definedName name="__________ML219">NA()</definedName>
    <definedName name="__________ML22" localSheetId="10">NA()</definedName>
    <definedName name="__________ML22">NA()</definedName>
    <definedName name="__________ML220" localSheetId="10">NA()</definedName>
    <definedName name="__________ML220">NA()</definedName>
    <definedName name="__________ML221" localSheetId="10">NA()</definedName>
    <definedName name="__________ML221">NA()</definedName>
    <definedName name="__________ML222" localSheetId="10">NA()</definedName>
    <definedName name="__________ML222">NA()</definedName>
    <definedName name="__________ML223" localSheetId="10">NA()</definedName>
    <definedName name="__________ML223">NA()</definedName>
    <definedName name="__________ML224" localSheetId="10">NA()</definedName>
    <definedName name="__________ML224">NA()</definedName>
    <definedName name="__________ML23" localSheetId="10">NA()</definedName>
    <definedName name="__________ML23">NA()</definedName>
    <definedName name="__________ML24" localSheetId="10">NA()</definedName>
    <definedName name="__________ML24">NA()</definedName>
    <definedName name="__________ML25" localSheetId="10">NA()</definedName>
    <definedName name="__________ML25">NA()</definedName>
    <definedName name="__________ML26" localSheetId="10">NA()</definedName>
    <definedName name="__________ML26">NA()</definedName>
    <definedName name="__________ML27" localSheetId="10">NA()</definedName>
    <definedName name="__________ML27">NA()</definedName>
    <definedName name="__________ML28" localSheetId="10">NA()</definedName>
    <definedName name="__________ML28">NA()</definedName>
    <definedName name="__________ML29" localSheetId="10">NA()</definedName>
    <definedName name="__________ML29">NA()</definedName>
    <definedName name="__________ML31" localSheetId="10">NA()</definedName>
    <definedName name="__________ML31">NA()</definedName>
    <definedName name="__________ML310" localSheetId="10">NA()</definedName>
    <definedName name="__________ML310">NA()</definedName>
    <definedName name="__________ML311" localSheetId="10">NA()</definedName>
    <definedName name="__________ML311">NA()</definedName>
    <definedName name="__________ML312" localSheetId="10">NA()</definedName>
    <definedName name="__________ML312">NA()</definedName>
    <definedName name="__________ML313" localSheetId="10">NA()</definedName>
    <definedName name="__________ML313">NA()</definedName>
    <definedName name="__________ML314" localSheetId="10">NA()</definedName>
    <definedName name="__________ML314">NA()</definedName>
    <definedName name="__________ML315" localSheetId="10">NA()</definedName>
    <definedName name="__________ML315">NA()</definedName>
    <definedName name="__________ML316" localSheetId="10">NA()</definedName>
    <definedName name="__________ML316">NA()</definedName>
    <definedName name="__________ML317" localSheetId="10">NA()</definedName>
    <definedName name="__________ML317">NA()</definedName>
    <definedName name="__________ML318" localSheetId="10">NA()</definedName>
    <definedName name="__________ML318">NA()</definedName>
    <definedName name="__________ML319" localSheetId="10">NA()</definedName>
    <definedName name="__________ML319">NA()</definedName>
    <definedName name="__________ML32" localSheetId="10">NA()</definedName>
    <definedName name="__________ML32">NA()</definedName>
    <definedName name="__________ML320" localSheetId="10">NA()</definedName>
    <definedName name="__________ML320">NA()</definedName>
    <definedName name="__________ML321" localSheetId="10">NA()</definedName>
    <definedName name="__________ML321">NA()</definedName>
    <definedName name="__________ML322" localSheetId="10">NA()</definedName>
    <definedName name="__________ML322">NA()</definedName>
    <definedName name="__________ML323" localSheetId="10">NA()</definedName>
    <definedName name="__________ML323">NA()</definedName>
    <definedName name="__________ML324" localSheetId="10">NA()</definedName>
    <definedName name="__________ML324">NA()</definedName>
    <definedName name="__________ML33" localSheetId="10">NA()</definedName>
    <definedName name="__________ML33">NA()</definedName>
    <definedName name="__________ML34" localSheetId="10">NA()</definedName>
    <definedName name="__________ML34">NA()</definedName>
    <definedName name="__________ML35" localSheetId="10">NA()</definedName>
    <definedName name="__________ML35">NA()</definedName>
    <definedName name="__________ML36" localSheetId="10">NA()</definedName>
    <definedName name="__________ML36">NA()</definedName>
    <definedName name="__________ML37" localSheetId="10">NA()</definedName>
    <definedName name="__________ML37">NA()</definedName>
    <definedName name="__________ML38" localSheetId="10">NA()</definedName>
    <definedName name="__________ML38">NA()</definedName>
    <definedName name="__________ML39" localSheetId="10">NA()</definedName>
    <definedName name="__________ML39">NA()</definedName>
    <definedName name="__________ML7" localSheetId="10">NA()</definedName>
    <definedName name="__________ML7">NA()</definedName>
    <definedName name="__________ML8" localSheetId="10">NA()</definedName>
    <definedName name="__________ML8">NA()</definedName>
    <definedName name="__________ML9" localSheetId="10">NA()</definedName>
    <definedName name="__________ML9">NA()</definedName>
    <definedName name="__________mm1000" localSheetId="10">NA()</definedName>
    <definedName name="__________mm1000">NA()</definedName>
    <definedName name="__________mm600" localSheetId="10">NA()</definedName>
    <definedName name="__________mm600">NA()</definedName>
    <definedName name="__________mm800" localSheetId="10">NA()</definedName>
    <definedName name="__________mm800">NA()</definedName>
    <definedName name="__________PC1" localSheetId="10">NA()</definedName>
    <definedName name="__________PC1">NA()</definedName>
    <definedName name="__________PC10" localSheetId="10">NA()</definedName>
    <definedName name="__________PC10">NA()</definedName>
    <definedName name="__________PC11" localSheetId="10">NA()</definedName>
    <definedName name="__________PC11">NA()</definedName>
    <definedName name="__________PC12" localSheetId="10">NA()</definedName>
    <definedName name="__________PC12">NA()</definedName>
    <definedName name="__________PC13" localSheetId="10">NA()</definedName>
    <definedName name="__________PC13">NA()</definedName>
    <definedName name="__________PC14" localSheetId="10">NA()</definedName>
    <definedName name="__________PC14">NA()</definedName>
    <definedName name="__________PC15" localSheetId="10">NA()</definedName>
    <definedName name="__________PC15">NA()</definedName>
    <definedName name="__________PC16" localSheetId="10">NA()</definedName>
    <definedName name="__________PC16">NA()</definedName>
    <definedName name="__________PC17" localSheetId="10">NA()</definedName>
    <definedName name="__________PC17">NA()</definedName>
    <definedName name="__________PC18" localSheetId="10">NA()</definedName>
    <definedName name="__________PC18">NA()</definedName>
    <definedName name="__________PC19" localSheetId="10">NA()</definedName>
    <definedName name="__________PC19">NA()</definedName>
    <definedName name="__________pc2" localSheetId="10">NA()</definedName>
    <definedName name="__________pc2">NA()</definedName>
    <definedName name="__________PC20" localSheetId="10">NA()</definedName>
    <definedName name="__________PC20">NA()</definedName>
    <definedName name="__________PC21" localSheetId="10">NA()</definedName>
    <definedName name="__________PC21">NA()</definedName>
    <definedName name="__________PC22" localSheetId="10">NA()</definedName>
    <definedName name="__________PC22">NA()</definedName>
    <definedName name="__________PC23" localSheetId="10">NA()</definedName>
    <definedName name="__________PC23">NA()</definedName>
    <definedName name="__________PC24" localSheetId="10">NA()</definedName>
    <definedName name="__________PC24">NA()</definedName>
    <definedName name="__________PC3" localSheetId="10">NA()</definedName>
    <definedName name="__________PC3">NA()</definedName>
    <definedName name="__________PC4" localSheetId="10">NA()</definedName>
    <definedName name="__________PC4">NA()</definedName>
    <definedName name="__________PC5" localSheetId="10">NA()</definedName>
    <definedName name="__________PC5">NA()</definedName>
    <definedName name="__________PC6" localSheetId="10">NA()</definedName>
    <definedName name="__________PC6">NA()</definedName>
    <definedName name="__________pc600" localSheetId="10">NA()</definedName>
    <definedName name="__________pc600">NA()</definedName>
    <definedName name="__________PC7" localSheetId="10">NA()</definedName>
    <definedName name="__________PC7">NA()</definedName>
    <definedName name="__________PC8" localSheetId="10">NA()</definedName>
    <definedName name="__________PC8">NA()</definedName>
    <definedName name="__________PC9" localSheetId="10">NA()</definedName>
    <definedName name="__________PC9">NA()</definedName>
    <definedName name="__________pc900" localSheetId="10">NA()</definedName>
    <definedName name="__________pc900">NA()</definedName>
    <definedName name="__________pv2" localSheetId="10">NA()</definedName>
    <definedName name="__________pv2">NA()</definedName>
    <definedName name="__________S12" localSheetId="10">NA()</definedName>
    <definedName name="__________S12">NA()</definedName>
    <definedName name="__________var1" localSheetId="10">NA()</definedName>
    <definedName name="__________var1">NA()</definedName>
    <definedName name="__________var4" localSheetId="10">NA()</definedName>
    <definedName name="__________var4">NA()</definedName>
    <definedName name="__________vat1" localSheetId="10">NA()</definedName>
    <definedName name="__________vat1">NA()</definedName>
    <definedName name="_________BSG100">NA()</definedName>
    <definedName name="_________BSG150">NA()</definedName>
    <definedName name="_________BSG5">NA()</definedName>
    <definedName name="_________BSG75">NA()</definedName>
    <definedName name="_________BTC1">NA()</definedName>
    <definedName name="_________BTC10">NA()</definedName>
    <definedName name="_________BTC11">NA()</definedName>
    <definedName name="_________BTC12">NA()</definedName>
    <definedName name="_________BTC13">NA()</definedName>
    <definedName name="_________BTC14">NA()</definedName>
    <definedName name="_________BTC15">NA()</definedName>
    <definedName name="_________BTC16">NA()</definedName>
    <definedName name="_________BTC17">NA()</definedName>
    <definedName name="_________BTC18">NA()</definedName>
    <definedName name="_________BTC19">NA()</definedName>
    <definedName name="_________BTC2">NA()</definedName>
    <definedName name="_________BTC20">NA()</definedName>
    <definedName name="_________BTC21">NA()</definedName>
    <definedName name="_________BTC22">NA()</definedName>
    <definedName name="_________BTC23">NA()</definedName>
    <definedName name="_________BTC24">NA()</definedName>
    <definedName name="_________BTC3">NA()</definedName>
    <definedName name="_________BTC4">NA()</definedName>
    <definedName name="_________BTC5">NA()</definedName>
    <definedName name="_________BTC6">NA()</definedName>
    <definedName name="_________BTC7">NA()</definedName>
    <definedName name="_________BTC8">NA()</definedName>
    <definedName name="_________BTC9">NA()</definedName>
    <definedName name="_________BTR1">NA()</definedName>
    <definedName name="_________BTR10">NA()</definedName>
    <definedName name="_________BTR11">NA()</definedName>
    <definedName name="_________BTR12">NA()</definedName>
    <definedName name="_________BTR13">NA()</definedName>
    <definedName name="_________BTR14">NA()</definedName>
    <definedName name="_________BTR15">NA()</definedName>
    <definedName name="_________BTR16">NA()</definedName>
    <definedName name="_________BTR17">NA()</definedName>
    <definedName name="_________BTR18">NA()</definedName>
    <definedName name="_________BTR19">NA()</definedName>
    <definedName name="_________BTR2">NA()</definedName>
    <definedName name="_________BTR20">NA()</definedName>
    <definedName name="_________BTR21">NA()</definedName>
    <definedName name="_________BTR22">NA()</definedName>
    <definedName name="_________BTR23">NA()</definedName>
    <definedName name="_________BTR24">NA()</definedName>
    <definedName name="_________BTR3">NA()</definedName>
    <definedName name="_________BTR4">NA()</definedName>
    <definedName name="_________BTR5">NA()</definedName>
    <definedName name="_________BTR6">NA()</definedName>
    <definedName name="_________BTR7">NA()</definedName>
    <definedName name="_________BTR8">NA()</definedName>
    <definedName name="_________BTR9">NA()</definedName>
    <definedName name="_________BTS1">NA()</definedName>
    <definedName name="_________BTS10">NA()</definedName>
    <definedName name="_________BTS11">NA()</definedName>
    <definedName name="_________BTS12">NA()</definedName>
    <definedName name="_________BTS13">NA()</definedName>
    <definedName name="_________BTS14">NA()</definedName>
    <definedName name="_________BTS15">NA()</definedName>
    <definedName name="_________BTS16">NA()</definedName>
    <definedName name="_________BTS17">NA()</definedName>
    <definedName name="_________BTS18">NA()</definedName>
    <definedName name="_________BTS19">NA()</definedName>
    <definedName name="_________BTS2">NA()</definedName>
    <definedName name="_________BTS20">NA()</definedName>
    <definedName name="_________BTS21">NA()</definedName>
    <definedName name="_________BTS22">NA()</definedName>
    <definedName name="_________BTS23">NA()</definedName>
    <definedName name="_________BTS24">NA()</definedName>
    <definedName name="_________BTS3">NA()</definedName>
    <definedName name="_________BTS4">NA()</definedName>
    <definedName name="_________BTS5">NA()</definedName>
    <definedName name="_________BTS6">NA()</definedName>
    <definedName name="_________BTS7">NA()</definedName>
    <definedName name="_________BTS8">NA()</definedName>
    <definedName name="_________BTS9">NA()</definedName>
    <definedName name="_________can430">40.73</definedName>
    <definedName name="_________can435">43.3</definedName>
    <definedName name="_________GBS11">NA()</definedName>
    <definedName name="_________GBS110">NA()</definedName>
    <definedName name="_________GBS111">NA()</definedName>
    <definedName name="_________GBS112">NA()</definedName>
    <definedName name="_________GBS113">NA()</definedName>
    <definedName name="_________GBS114">NA()</definedName>
    <definedName name="_________GBS115">NA()</definedName>
    <definedName name="_________GBS116">NA()</definedName>
    <definedName name="_________GBS117">NA()</definedName>
    <definedName name="_________GBS118">NA()</definedName>
    <definedName name="_________GBS119">NA()</definedName>
    <definedName name="_________GBS12">NA()</definedName>
    <definedName name="_________GBS120">NA()</definedName>
    <definedName name="_________GBS121">NA()</definedName>
    <definedName name="_________GBS122">NA()</definedName>
    <definedName name="_________GBS123">NA()</definedName>
    <definedName name="_________GBS124">NA()</definedName>
    <definedName name="_________GBS13">NA()</definedName>
    <definedName name="_________GBS14">NA()</definedName>
    <definedName name="_________GBS15">NA()</definedName>
    <definedName name="_________GBS16">NA()</definedName>
    <definedName name="_________GBS17">NA()</definedName>
    <definedName name="_________GBS18">NA()</definedName>
    <definedName name="_________GBS19">NA()</definedName>
    <definedName name="_________GBS21">NA()</definedName>
    <definedName name="_________GBS210">NA()</definedName>
    <definedName name="_________GBS211">NA()</definedName>
    <definedName name="_________GBS212">NA()</definedName>
    <definedName name="_________GBS213">NA()</definedName>
    <definedName name="_________GBS214">NA()</definedName>
    <definedName name="_________GBS215">NA()</definedName>
    <definedName name="_________GBS216">NA()</definedName>
    <definedName name="_________GBS217">NA()</definedName>
    <definedName name="_________GBS218">NA()</definedName>
    <definedName name="_________GBS219">NA()</definedName>
    <definedName name="_________GBS22">NA()</definedName>
    <definedName name="_________GBS220">NA()</definedName>
    <definedName name="_________GBS221">NA()</definedName>
    <definedName name="_________GBS222">NA()</definedName>
    <definedName name="_________GBS223">NA()</definedName>
    <definedName name="_________GBS224">NA()</definedName>
    <definedName name="_________GBS23">NA()</definedName>
    <definedName name="_________GBS24">NA()</definedName>
    <definedName name="_________GBS25">NA()</definedName>
    <definedName name="_________GBS26">NA()</definedName>
    <definedName name="_________GBS27">NA()</definedName>
    <definedName name="_________GBS28">NA()</definedName>
    <definedName name="_________GBS29">NA()</definedName>
    <definedName name="_________KC139" localSheetId="10">NA()</definedName>
    <definedName name="_________KC139">NA()</definedName>
    <definedName name="_________knr2">NA()</definedName>
    <definedName name="_________l12" localSheetId="10">NA()</definedName>
    <definedName name="_________l12">NA()</definedName>
    <definedName name="_________l3" localSheetId="10">NA()</definedName>
    <definedName name="_________l3">NA()</definedName>
    <definedName name="_________l5" localSheetId="10">NA()</definedName>
    <definedName name="_________l5">NA()</definedName>
    <definedName name="_________lj600">NA()</definedName>
    <definedName name="_________lj900">NA()</definedName>
    <definedName name="_________LL3">NA()</definedName>
    <definedName name="_________LSO24" localSheetId="10">NA()</definedName>
    <definedName name="_________LSO24">"[14]lead!#ref!"</definedName>
    <definedName name="_________MA1">NA()</definedName>
    <definedName name="_________MA2">NA()</definedName>
    <definedName name="_________me12">NA()</definedName>
    <definedName name="_________Met22" localSheetId="10">NA()</definedName>
    <definedName name="_________Met22">NA()</definedName>
    <definedName name="_________Met45" localSheetId="10">NA()</definedName>
    <definedName name="_________Met45">NA()</definedName>
    <definedName name="_________MEt55" localSheetId="10">NA()</definedName>
    <definedName name="_________MEt55">NA()</definedName>
    <definedName name="_________Met63" localSheetId="10">NA()</definedName>
    <definedName name="_________Met63">NA()</definedName>
    <definedName name="_________ML21">NA()</definedName>
    <definedName name="_________ML210">NA()</definedName>
    <definedName name="_________ML211">NA()</definedName>
    <definedName name="_________ML212">NA()</definedName>
    <definedName name="_________ML213">NA()</definedName>
    <definedName name="_________ML214">NA()</definedName>
    <definedName name="_________ML215">NA()</definedName>
    <definedName name="_________ML216">NA()</definedName>
    <definedName name="_________ML217">NA()</definedName>
    <definedName name="_________ML218">NA()</definedName>
    <definedName name="_________ML219">NA()</definedName>
    <definedName name="_________ML22">NA()</definedName>
    <definedName name="_________ML220">NA()</definedName>
    <definedName name="_________ML221">NA()</definedName>
    <definedName name="_________ML222">NA()</definedName>
    <definedName name="_________ML223">NA()</definedName>
    <definedName name="_________ML224">NA()</definedName>
    <definedName name="_________ML23">NA()</definedName>
    <definedName name="_________ML24">NA()</definedName>
    <definedName name="_________ML25">NA()</definedName>
    <definedName name="_________ML26">NA()</definedName>
    <definedName name="_________ML27">NA()</definedName>
    <definedName name="_________ML28">NA()</definedName>
    <definedName name="_________ML29">NA()</definedName>
    <definedName name="_________ML31">NA()</definedName>
    <definedName name="_________ML310">NA()</definedName>
    <definedName name="_________ML311">NA()</definedName>
    <definedName name="_________ML312">NA()</definedName>
    <definedName name="_________ML313">NA()</definedName>
    <definedName name="_________ML314">NA()</definedName>
    <definedName name="_________ML315">NA()</definedName>
    <definedName name="_________ML316">NA()</definedName>
    <definedName name="_________ML317">NA()</definedName>
    <definedName name="_________ML318">NA()</definedName>
    <definedName name="_________ML319">NA()</definedName>
    <definedName name="_________ML32">NA()</definedName>
    <definedName name="_________ML320">NA()</definedName>
    <definedName name="_________ML321">NA()</definedName>
    <definedName name="_________ML322">NA()</definedName>
    <definedName name="_________ML323">NA()</definedName>
    <definedName name="_________ML324">NA()</definedName>
    <definedName name="_________ML33">NA()</definedName>
    <definedName name="_________ML34">NA()</definedName>
    <definedName name="_________ML35">NA()</definedName>
    <definedName name="_________ML36">NA()</definedName>
    <definedName name="_________ML37">NA()</definedName>
    <definedName name="_________ML38">NA()</definedName>
    <definedName name="_________ML39">NA()</definedName>
    <definedName name="_________ML7">NA()</definedName>
    <definedName name="_________ML8">NA()</definedName>
    <definedName name="_________ML9">NA()</definedName>
    <definedName name="_________mm1000" localSheetId="10">NA()</definedName>
    <definedName name="_________mm1000">NA()</definedName>
    <definedName name="_________mm600" localSheetId="10">NA()</definedName>
    <definedName name="_________mm600">NA()</definedName>
    <definedName name="_________mm800" localSheetId="10">NA()</definedName>
    <definedName name="_________mm800">NA()</definedName>
    <definedName name="_________PC1">NA()</definedName>
    <definedName name="_________PC10">NA()</definedName>
    <definedName name="_________PC11">NA()</definedName>
    <definedName name="_________PC12">NA()</definedName>
    <definedName name="_________PC13">NA()</definedName>
    <definedName name="_________PC14">NA()</definedName>
    <definedName name="_________PC15">NA()</definedName>
    <definedName name="_________PC16">NA()</definedName>
    <definedName name="_________PC17">NA()</definedName>
    <definedName name="_________PC18">NA()</definedName>
    <definedName name="_________PC19">NA()</definedName>
    <definedName name="_________pc2" localSheetId="10">NA()</definedName>
    <definedName name="_________pc2">NA()</definedName>
    <definedName name="_________PC20">NA()</definedName>
    <definedName name="_________PC21">NA()</definedName>
    <definedName name="_________PC22">NA()</definedName>
    <definedName name="_________PC23">NA()</definedName>
    <definedName name="_________PC24">NA()</definedName>
    <definedName name="_________PC3">NA()</definedName>
    <definedName name="_________PC4">NA()</definedName>
    <definedName name="_________PC5">NA()</definedName>
    <definedName name="_________PC6">NA()</definedName>
    <definedName name="_________pc600">NA()</definedName>
    <definedName name="_________PC7">NA()</definedName>
    <definedName name="_________PC8">NA()</definedName>
    <definedName name="_________PC9">NA()</definedName>
    <definedName name="_________pc900">NA()</definedName>
    <definedName name="_________pv2" localSheetId="10">NA()</definedName>
    <definedName name="_________pv2">NA()</definedName>
    <definedName name="_________RT5565" localSheetId="10">NA()</definedName>
    <definedName name="_________RT5565">NA()</definedName>
    <definedName name="_________S12" localSheetId="10">NA()</definedName>
    <definedName name="_________S12">NA()</definedName>
    <definedName name="_________var1" localSheetId="10">NA()</definedName>
    <definedName name="_________var1">NA()</definedName>
    <definedName name="_________var4" localSheetId="10">NA()</definedName>
    <definedName name="_________var4">NA()</definedName>
    <definedName name="_________vat1">NA()</definedName>
    <definedName name="________BSG100">NA()</definedName>
    <definedName name="________BSG150">NA()</definedName>
    <definedName name="________BSG5">NA()</definedName>
    <definedName name="________BSG75">NA()</definedName>
    <definedName name="________BTC1">NA()</definedName>
    <definedName name="________BTC10">NA()</definedName>
    <definedName name="________BTC11">NA()</definedName>
    <definedName name="________BTC12">NA()</definedName>
    <definedName name="________BTC13">NA()</definedName>
    <definedName name="________BTC14">NA()</definedName>
    <definedName name="________BTC15">NA()</definedName>
    <definedName name="________BTC16">NA()</definedName>
    <definedName name="________BTC17">NA()</definedName>
    <definedName name="________BTC18">NA()</definedName>
    <definedName name="________BTC19">NA()</definedName>
    <definedName name="________BTC2">NA()</definedName>
    <definedName name="________BTC20">NA()</definedName>
    <definedName name="________BTC21">NA()</definedName>
    <definedName name="________BTC22">NA()</definedName>
    <definedName name="________BTC23">NA()</definedName>
    <definedName name="________BTC24">NA()</definedName>
    <definedName name="________BTC3">NA()</definedName>
    <definedName name="________BTC4">NA()</definedName>
    <definedName name="________BTC5">NA()</definedName>
    <definedName name="________BTC6">NA()</definedName>
    <definedName name="________BTC7">NA()</definedName>
    <definedName name="________BTC8">NA()</definedName>
    <definedName name="________BTC9">NA()</definedName>
    <definedName name="________BTR1">NA()</definedName>
    <definedName name="________BTR10">NA()</definedName>
    <definedName name="________BTR11">NA()</definedName>
    <definedName name="________BTR12">NA()</definedName>
    <definedName name="________BTR13">NA()</definedName>
    <definedName name="________BTR14">NA()</definedName>
    <definedName name="________BTR15">NA()</definedName>
    <definedName name="________BTR16">NA()</definedName>
    <definedName name="________BTR17">NA()</definedName>
    <definedName name="________BTR18">NA()</definedName>
    <definedName name="________BTR19">NA()</definedName>
    <definedName name="________BTR2">NA()</definedName>
    <definedName name="________BTR20">NA()</definedName>
    <definedName name="________BTR21">NA()</definedName>
    <definedName name="________BTR22">NA()</definedName>
    <definedName name="________BTR23">NA()</definedName>
    <definedName name="________BTR24">NA()</definedName>
    <definedName name="________BTR3">NA()</definedName>
    <definedName name="________BTR4">NA()</definedName>
    <definedName name="________BTR5">NA()</definedName>
    <definedName name="________BTR6">NA()</definedName>
    <definedName name="________BTR7">NA()</definedName>
    <definedName name="________BTR8">NA()</definedName>
    <definedName name="________BTR9">NA()</definedName>
    <definedName name="________BTS1">NA()</definedName>
    <definedName name="________BTS10">NA()</definedName>
    <definedName name="________BTS11">NA()</definedName>
    <definedName name="________BTS12">NA()</definedName>
    <definedName name="________BTS13">NA()</definedName>
    <definedName name="________BTS14">NA()</definedName>
    <definedName name="________BTS15">NA()</definedName>
    <definedName name="________BTS16">NA()</definedName>
    <definedName name="________BTS17">NA()</definedName>
    <definedName name="________BTS18">NA()</definedName>
    <definedName name="________BTS19">NA()</definedName>
    <definedName name="________BTS2">NA()</definedName>
    <definedName name="________BTS20">NA()</definedName>
    <definedName name="________BTS21">NA()</definedName>
    <definedName name="________BTS22">NA()</definedName>
    <definedName name="________BTS23">NA()</definedName>
    <definedName name="________BTS24">NA()</definedName>
    <definedName name="________BTS3">NA()</definedName>
    <definedName name="________BTS4">NA()</definedName>
    <definedName name="________BTS5">NA()</definedName>
    <definedName name="________BTS6">NA()</definedName>
    <definedName name="________BTS7">NA()</definedName>
    <definedName name="________BTS8">NA()</definedName>
    <definedName name="________BTS9">NA()</definedName>
    <definedName name="________can430">40.73</definedName>
    <definedName name="________can435">43.3</definedName>
    <definedName name="________G120907">"[31]data!#ref!"</definedName>
    <definedName name="________GBS11">NA()</definedName>
    <definedName name="________GBS110">NA()</definedName>
    <definedName name="________GBS111">NA()</definedName>
    <definedName name="________GBS112">NA()</definedName>
    <definedName name="________GBS113">NA()</definedName>
    <definedName name="________GBS114">NA()</definedName>
    <definedName name="________GBS115">NA()</definedName>
    <definedName name="________GBS116">NA()</definedName>
    <definedName name="________GBS117">NA()</definedName>
    <definedName name="________GBS118">NA()</definedName>
    <definedName name="________GBS119">NA()</definedName>
    <definedName name="________GBS12">NA()</definedName>
    <definedName name="________GBS120">NA()</definedName>
    <definedName name="________GBS121">NA()</definedName>
    <definedName name="________GBS122">NA()</definedName>
    <definedName name="________GBS123">NA()</definedName>
    <definedName name="________GBS124">NA()</definedName>
    <definedName name="________GBS13">NA()</definedName>
    <definedName name="________GBS14">NA()</definedName>
    <definedName name="________GBS15">NA()</definedName>
    <definedName name="________GBS16">NA()</definedName>
    <definedName name="________GBS17">NA()</definedName>
    <definedName name="________GBS18">NA()</definedName>
    <definedName name="________GBS19">NA()</definedName>
    <definedName name="________GBS21">NA()</definedName>
    <definedName name="________GBS210">NA()</definedName>
    <definedName name="________GBS211">NA()</definedName>
    <definedName name="________GBS212">NA()</definedName>
    <definedName name="________GBS213">NA()</definedName>
    <definedName name="________GBS214">NA()</definedName>
    <definedName name="________GBS215">NA()</definedName>
    <definedName name="________GBS216">NA()</definedName>
    <definedName name="________GBS217">NA()</definedName>
    <definedName name="________GBS218">NA()</definedName>
    <definedName name="________GBS219">NA()</definedName>
    <definedName name="________GBS22">NA()</definedName>
    <definedName name="________GBS220">NA()</definedName>
    <definedName name="________GBS221">NA()</definedName>
    <definedName name="________GBS222">NA()</definedName>
    <definedName name="________GBS223">NA()</definedName>
    <definedName name="________GBS224">NA()</definedName>
    <definedName name="________GBS23">NA()</definedName>
    <definedName name="________GBS24">NA()</definedName>
    <definedName name="________GBS25">NA()</definedName>
    <definedName name="________GBS26">NA()</definedName>
    <definedName name="________GBS27">NA()</definedName>
    <definedName name="________GBS28">NA()</definedName>
    <definedName name="________GBS29">NA()</definedName>
    <definedName name="________KC139" localSheetId="10">NA()</definedName>
    <definedName name="________KC139">NA()</definedName>
    <definedName name="________knr2" localSheetId="10">NA()</definedName>
    <definedName name="________knr2">NA()</definedName>
    <definedName name="________l12" localSheetId="10">NA()</definedName>
    <definedName name="________l12">NA()</definedName>
    <definedName name="________l3" localSheetId="10">NA()</definedName>
    <definedName name="________l3">NA()</definedName>
    <definedName name="________l5" localSheetId="10">NA()</definedName>
    <definedName name="________l5">NA()</definedName>
    <definedName name="________lj600">NA()</definedName>
    <definedName name="________lj900">NA()</definedName>
    <definedName name="________LL3">NA()</definedName>
    <definedName name="________LSO24" localSheetId="10">NA()</definedName>
    <definedName name="________LSO24">"[14]lead!#ref!"</definedName>
    <definedName name="________MA1">NA()</definedName>
    <definedName name="________MA2" localSheetId="10">NA()</definedName>
    <definedName name="________MA2">NA()</definedName>
    <definedName name="________me12">NA()</definedName>
    <definedName name="________Met22" localSheetId="10">NA()</definedName>
    <definedName name="________Met22">NA()</definedName>
    <definedName name="________Met45" localSheetId="10">NA()</definedName>
    <definedName name="________Met45">NA()</definedName>
    <definedName name="________MEt55" localSheetId="10">NA()</definedName>
    <definedName name="________MEt55">NA()</definedName>
    <definedName name="________Met63" localSheetId="10">NA()</definedName>
    <definedName name="________Met63">NA()</definedName>
    <definedName name="________ML21">NA()</definedName>
    <definedName name="________ML210">NA()</definedName>
    <definedName name="________ML211">NA()</definedName>
    <definedName name="________ML212">NA()</definedName>
    <definedName name="________ML213">NA()</definedName>
    <definedName name="________ML214">NA()</definedName>
    <definedName name="________ML215">NA()</definedName>
    <definedName name="________ML216">NA()</definedName>
    <definedName name="________ML217">NA()</definedName>
    <definedName name="________ML218">NA()</definedName>
    <definedName name="________ML219">NA()</definedName>
    <definedName name="________ML22">NA()</definedName>
    <definedName name="________ML220">NA()</definedName>
    <definedName name="________ML221">NA()</definedName>
    <definedName name="________ML222">NA()</definedName>
    <definedName name="________ML223">NA()</definedName>
    <definedName name="________ML224">NA()</definedName>
    <definedName name="________ML23">NA()</definedName>
    <definedName name="________ML24">NA()</definedName>
    <definedName name="________ML25">NA()</definedName>
    <definedName name="________ML26">NA()</definedName>
    <definedName name="________ML27">NA()</definedName>
    <definedName name="________ML28">NA()</definedName>
    <definedName name="________ML29">NA()</definedName>
    <definedName name="________ML31">NA()</definedName>
    <definedName name="________ML310">NA()</definedName>
    <definedName name="________ML311">NA()</definedName>
    <definedName name="________ML312">NA()</definedName>
    <definedName name="________ML313">NA()</definedName>
    <definedName name="________ML314">NA()</definedName>
    <definedName name="________ML315">NA()</definedName>
    <definedName name="________ML316">NA()</definedName>
    <definedName name="________ML317">NA()</definedName>
    <definedName name="________ML318">NA()</definedName>
    <definedName name="________ML319">NA()</definedName>
    <definedName name="________ML32">NA()</definedName>
    <definedName name="________ML320">NA()</definedName>
    <definedName name="________ML321">NA()</definedName>
    <definedName name="________ML322">NA()</definedName>
    <definedName name="________ML323">NA()</definedName>
    <definedName name="________ML324">NA()</definedName>
    <definedName name="________ML33">NA()</definedName>
    <definedName name="________ML34">NA()</definedName>
    <definedName name="________ML35">NA()</definedName>
    <definedName name="________ML36">NA()</definedName>
    <definedName name="________ML37">NA()</definedName>
    <definedName name="________ML38">NA()</definedName>
    <definedName name="________ML39">NA()</definedName>
    <definedName name="________ML7">NA()</definedName>
    <definedName name="________ML8">NA()</definedName>
    <definedName name="________ML9">NA()</definedName>
    <definedName name="________mm1000" localSheetId="10">NA()</definedName>
    <definedName name="________mm1000">NA()</definedName>
    <definedName name="________mm600" localSheetId="10">NA()</definedName>
    <definedName name="________mm600">NA()</definedName>
    <definedName name="________mm800" localSheetId="10">NA()</definedName>
    <definedName name="________mm800">NA()</definedName>
    <definedName name="________PC1">NA()</definedName>
    <definedName name="________PC10">NA()</definedName>
    <definedName name="________PC11">NA()</definedName>
    <definedName name="________PC12">NA()</definedName>
    <definedName name="________PC13">NA()</definedName>
    <definedName name="________PC14">NA()</definedName>
    <definedName name="________PC15">NA()</definedName>
    <definedName name="________PC16">NA()</definedName>
    <definedName name="________PC17">NA()</definedName>
    <definedName name="________PC18">NA()</definedName>
    <definedName name="________PC19">NA()</definedName>
    <definedName name="________pc2" localSheetId="10">NA()</definedName>
    <definedName name="________pc2">NA()</definedName>
    <definedName name="________PC20">NA()</definedName>
    <definedName name="________PC21">NA()</definedName>
    <definedName name="________PC22">NA()</definedName>
    <definedName name="________PC23">NA()</definedName>
    <definedName name="________PC24">NA()</definedName>
    <definedName name="________PC3">NA()</definedName>
    <definedName name="________PC4">NA()</definedName>
    <definedName name="________PC5">NA()</definedName>
    <definedName name="________PC6">NA()</definedName>
    <definedName name="________pc600">NA()</definedName>
    <definedName name="________PC7">NA()</definedName>
    <definedName name="________PC8">NA()</definedName>
    <definedName name="________PC9">NA()</definedName>
    <definedName name="________pc900">NA()</definedName>
    <definedName name="________pv2" localSheetId="10">NA()</definedName>
    <definedName name="________pv2">NA()</definedName>
    <definedName name="________S12" localSheetId="10">NA()</definedName>
    <definedName name="________S12">NA()</definedName>
    <definedName name="________var1" localSheetId="10">NA()</definedName>
    <definedName name="________var1">NA()</definedName>
    <definedName name="________var4" localSheetId="10">NA()</definedName>
    <definedName name="________var4">NA()</definedName>
    <definedName name="________vat1">NA()</definedName>
    <definedName name="_______BSG100">NA()</definedName>
    <definedName name="_______BSG150">NA()</definedName>
    <definedName name="_______BSG5">NA()</definedName>
    <definedName name="_______BSG75">NA()</definedName>
    <definedName name="_______BTC1">NA()</definedName>
    <definedName name="_______BTC10">NA()</definedName>
    <definedName name="_______BTC11">NA()</definedName>
    <definedName name="_______BTC12">NA()</definedName>
    <definedName name="_______BTC13">NA()</definedName>
    <definedName name="_______BTC14">NA()</definedName>
    <definedName name="_______BTC15">NA()</definedName>
    <definedName name="_______BTC16">NA()</definedName>
    <definedName name="_______BTC17">NA()</definedName>
    <definedName name="_______BTC18">NA()</definedName>
    <definedName name="_______BTC19">NA()</definedName>
    <definedName name="_______BTC2">NA()</definedName>
    <definedName name="_______BTC20">NA()</definedName>
    <definedName name="_______BTC21">NA()</definedName>
    <definedName name="_______BTC22">NA()</definedName>
    <definedName name="_______BTC23">NA()</definedName>
    <definedName name="_______BTC24">NA()</definedName>
    <definedName name="_______BTC3">NA()</definedName>
    <definedName name="_______BTC4">NA()</definedName>
    <definedName name="_______BTC5">NA()</definedName>
    <definedName name="_______BTC6">NA()</definedName>
    <definedName name="_______BTC7">NA()</definedName>
    <definedName name="_______BTC8">NA()</definedName>
    <definedName name="_______BTC9">NA()</definedName>
    <definedName name="_______BTR1">NA()</definedName>
    <definedName name="_______BTR10">NA()</definedName>
    <definedName name="_______BTR11">NA()</definedName>
    <definedName name="_______BTR12">NA()</definedName>
    <definedName name="_______BTR13">NA()</definedName>
    <definedName name="_______BTR14">NA()</definedName>
    <definedName name="_______BTR15">NA()</definedName>
    <definedName name="_______BTR16">NA()</definedName>
    <definedName name="_______BTR17">NA()</definedName>
    <definedName name="_______BTR18">NA()</definedName>
    <definedName name="_______BTR19">NA()</definedName>
    <definedName name="_______BTR2">NA()</definedName>
    <definedName name="_______BTR20">NA()</definedName>
    <definedName name="_______BTR21">NA()</definedName>
    <definedName name="_______BTR22">NA()</definedName>
    <definedName name="_______BTR23">NA()</definedName>
    <definedName name="_______BTR24">NA()</definedName>
    <definedName name="_______BTR3">NA()</definedName>
    <definedName name="_______BTR4">NA()</definedName>
    <definedName name="_______BTR5">NA()</definedName>
    <definedName name="_______BTR6">NA()</definedName>
    <definedName name="_______BTR7">NA()</definedName>
    <definedName name="_______BTR8">NA()</definedName>
    <definedName name="_______BTR9">NA()</definedName>
    <definedName name="_______BTS1">NA()</definedName>
    <definedName name="_______BTS10">NA()</definedName>
    <definedName name="_______BTS11">NA()</definedName>
    <definedName name="_______BTS12">NA()</definedName>
    <definedName name="_______BTS13">NA()</definedName>
    <definedName name="_______BTS14">NA()</definedName>
    <definedName name="_______BTS15">NA()</definedName>
    <definedName name="_______BTS16">NA()</definedName>
    <definedName name="_______BTS17">NA()</definedName>
    <definedName name="_______BTS18">NA()</definedName>
    <definedName name="_______BTS19">NA()</definedName>
    <definedName name="_______BTS2">NA()</definedName>
    <definedName name="_______BTS20">NA()</definedName>
    <definedName name="_______BTS21">NA()</definedName>
    <definedName name="_______BTS22">NA()</definedName>
    <definedName name="_______BTS23">NA()</definedName>
    <definedName name="_______BTS24">NA()</definedName>
    <definedName name="_______BTS3">NA()</definedName>
    <definedName name="_______BTS4">NA()</definedName>
    <definedName name="_______BTS5">NA()</definedName>
    <definedName name="_______BTS6">NA()</definedName>
    <definedName name="_______BTS7">NA()</definedName>
    <definedName name="_______BTS8">NA()</definedName>
    <definedName name="_______BTS9">NA()</definedName>
    <definedName name="_______can430">40.73</definedName>
    <definedName name="_______can435">43.3</definedName>
    <definedName name="_______cbr1">NA()</definedName>
    <definedName name="_______cbr2">NA()</definedName>
    <definedName name="_______cbr3">NA()</definedName>
    <definedName name="_______cbr4">NA()</definedName>
    <definedName name="_______ewe1">NA()</definedName>
    <definedName name="_______G120907">"[31]data!#ref!"</definedName>
    <definedName name="_______GBS11">NA()</definedName>
    <definedName name="_______GBS110">NA()</definedName>
    <definedName name="_______GBS111">NA()</definedName>
    <definedName name="_______GBS112">NA()</definedName>
    <definedName name="_______GBS113">NA()</definedName>
    <definedName name="_______GBS114">NA()</definedName>
    <definedName name="_______GBS115">NA()</definedName>
    <definedName name="_______GBS116">NA()</definedName>
    <definedName name="_______GBS117">NA()</definedName>
    <definedName name="_______GBS118">NA()</definedName>
    <definedName name="_______GBS119">NA()</definedName>
    <definedName name="_______GBS12">NA()</definedName>
    <definedName name="_______GBS120">NA()</definedName>
    <definedName name="_______GBS121">NA()</definedName>
    <definedName name="_______GBS122">NA()</definedName>
    <definedName name="_______GBS123">NA()</definedName>
    <definedName name="_______GBS124">NA()</definedName>
    <definedName name="_______GBS13">NA()</definedName>
    <definedName name="_______GBS14">NA()</definedName>
    <definedName name="_______GBS15">NA()</definedName>
    <definedName name="_______GBS16">NA()</definedName>
    <definedName name="_______GBS17">NA()</definedName>
    <definedName name="_______GBS18">NA()</definedName>
    <definedName name="_______GBS19">NA()</definedName>
    <definedName name="_______GBS21">NA()</definedName>
    <definedName name="_______GBS210">NA()</definedName>
    <definedName name="_______GBS211">NA()</definedName>
    <definedName name="_______GBS212">NA()</definedName>
    <definedName name="_______GBS213">NA()</definedName>
    <definedName name="_______GBS214">NA()</definedName>
    <definedName name="_______GBS215">NA()</definedName>
    <definedName name="_______GBS216">NA()</definedName>
    <definedName name="_______GBS217">NA()</definedName>
    <definedName name="_______GBS218">NA()</definedName>
    <definedName name="_______GBS219">NA()</definedName>
    <definedName name="_______GBS22">NA()</definedName>
    <definedName name="_______GBS220">NA()</definedName>
    <definedName name="_______GBS221">NA()</definedName>
    <definedName name="_______GBS222">NA()</definedName>
    <definedName name="_______GBS223">NA()</definedName>
    <definedName name="_______GBS224">NA()</definedName>
    <definedName name="_______GBS23">NA()</definedName>
    <definedName name="_______GBS24">NA()</definedName>
    <definedName name="_______GBS25">NA()</definedName>
    <definedName name="_______GBS26">NA()</definedName>
    <definedName name="_______GBS27">NA()</definedName>
    <definedName name="_______GBS28">NA()</definedName>
    <definedName name="_______GBS29">NA()</definedName>
    <definedName name="_______KC139" localSheetId="10">NA()</definedName>
    <definedName name="_______KC139">NA()</definedName>
    <definedName name="_______knr2" localSheetId="10">NA()</definedName>
    <definedName name="_______knr2">NA()</definedName>
    <definedName name="_______l12" localSheetId="10">NA()</definedName>
    <definedName name="_______l12">NA()</definedName>
    <definedName name="_______l3" localSheetId="10">NA()</definedName>
    <definedName name="_______l3">NA()</definedName>
    <definedName name="_______l5" localSheetId="10">NA()</definedName>
    <definedName name="_______l5">NA()</definedName>
    <definedName name="_______lj600">NA()</definedName>
    <definedName name="_______lj900">NA()</definedName>
    <definedName name="_______LL3">NA()</definedName>
    <definedName name="_______LSO24" localSheetId="10">NA()</definedName>
    <definedName name="_______LSO24">"[14]lead!#ref!"</definedName>
    <definedName name="_______MA1" localSheetId="10">NA()</definedName>
    <definedName name="_______MA1">NA()</definedName>
    <definedName name="_______MA2">NA()</definedName>
    <definedName name="_______me12" localSheetId="10">NA()</definedName>
    <definedName name="_______me12">NA()</definedName>
    <definedName name="_______Met22" localSheetId="10">NA()</definedName>
    <definedName name="_______Met22">NA()</definedName>
    <definedName name="_______Met45" localSheetId="10">NA()</definedName>
    <definedName name="_______Met45">NA()</definedName>
    <definedName name="_______MEt55" localSheetId="10">NA()</definedName>
    <definedName name="_______MEt55">NA()</definedName>
    <definedName name="_______Met63" localSheetId="10">NA()</definedName>
    <definedName name="_______Met63">NA()</definedName>
    <definedName name="_______ML21">NA()</definedName>
    <definedName name="_______ML210">NA()</definedName>
    <definedName name="_______ML211">NA()</definedName>
    <definedName name="_______ML212">NA()</definedName>
    <definedName name="_______ML213">NA()</definedName>
    <definedName name="_______ML214">NA()</definedName>
    <definedName name="_______ML215">NA()</definedName>
    <definedName name="_______ML216">NA()</definedName>
    <definedName name="_______ML217">NA()</definedName>
    <definedName name="_______ML218">NA()</definedName>
    <definedName name="_______ML219">NA()</definedName>
    <definedName name="_______ML22">NA()</definedName>
    <definedName name="_______ML220">NA()</definedName>
    <definedName name="_______ML221">NA()</definedName>
    <definedName name="_______ML222">NA()</definedName>
    <definedName name="_______ML223">NA()</definedName>
    <definedName name="_______ML224">NA()</definedName>
    <definedName name="_______ML23">NA()</definedName>
    <definedName name="_______ML24">NA()</definedName>
    <definedName name="_______ML25">NA()</definedName>
    <definedName name="_______ML26">NA()</definedName>
    <definedName name="_______ML27">NA()</definedName>
    <definedName name="_______ML28">NA()</definedName>
    <definedName name="_______ML29">NA()</definedName>
    <definedName name="_______ML31">NA()</definedName>
    <definedName name="_______ML310">NA()</definedName>
    <definedName name="_______ML311">NA()</definedName>
    <definedName name="_______ML312">NA()</definedName>
    <definedName name="_______ML313">NA()</definedName>
    <definedName name="_______ML314">NA()</definedName>
    <definedName name="_______ML315">NA()</definedName>
    <definedName name="_______ML316">NA()</definedName>
    <definedName name="_______ML317">NA()</definedName>
    <definedName name="_______ML318">NA()</definedName>
    <definedName name="_______ML319">NA()</definedName>
    <definedName name="_______ML32">NA()</definedName>
    <definedName name="_______ML320">NA()</definedName>
    <definedName name="_______ML321">NA()</definedName>
    <definedName name="_______ML322">NA()</definedName>
    <definedName name="_______ML323">NA()</definedName>
    <definedName name="_______ML324">NA()</definedName>
    <definedName name="_______ML33">NA()</definedName>
    <definedName name="_______ML34">NA()</definedName>
    <definedName name="_______ML35">NA()</definedName>
    <definedName name="_______ML36">NA()</definedName>
    <definedName name="_______ML37">NA()</definedName>
    <definedName name="_______ML38">NA()</definedName>
    <definedName name="_______ML39">NA()</definedName>
    <definedName name="_______ML7">NA()</definedName>
    <definedName name="_______ML8">NA()</definedName>
    <definedName name="_______ML9">NA()</definedName>
    <definedName name="_______mm1000" localSheetId="10">NA()</definedName>
    <definedName name="_______mm1000">NA()</definedName>
    <definedName name="_______mm20">NA()</definedName>
    <definedName name="_______mm40">NA()</definedName>
    <definedName name="_______mm600" localSheetId="10">NA()</definedName>
    <definedName name="_______mm600">NA()</definedName>
    <definedName name="_______mm800" localSheetId="10">NA()</definedName>
    <definedName name="_______mm800">NA()</definedName>
    <definedName name="_______PC1">NA()</definedName>
    <definedName name="_______PC10">NA()</definedName>
    <definedName name="_______PC11">NA()</definedName>
    <definedName name="_______PC12">NA()</definedName>
    <definedName name="_______PC13">NA()</definedName>
    <definedName name="_______PC14">NA()</definedName>
    <definedName name="_______PC15">NA()</definedName>
    <definedName name="_______PC16">NA()</definedName>
    <definedName name="_______PC17">NA()</definedName>
    <definedName name="_______PC18">NA()</definedName>
    <definedName name="_______PC19">NA()</definedName>
    <definedName name="_______pc2" localSheetId="10">NA()</definedName>
    <definedName name="_______pc2">NA()</definedName>
    <definedName name="_______PC20">NA()</definedName>
    <definedName name="_______PC21">NA()</definedName>
    <definedName name="_______PC22">NA()</definedName>
    <definedName name="_______PC23">NA()</definedName>
    <definedName name="_______PC24">NA()</definedName>
    <definedName name="_______PC3">NA()</definedName>
    <definedName name="_______PC4">NA()</definedName>
    <definedName name="_______PC5">NA()</definedName>
    <definedName name="_______PC6">NA()</definedName>
    <definedName name="_______pc600">NA()</definedName>
    <definedName name="_______PC7">NA()</definedName>
    <definedName name="_______PC8">NA()</definedName>
    <definedName name="_______PC9">NA()</definedName>
    <definedName name="_______pc900">NA()</definedName>
    <definedName name="_______pv2" localSheetId="10">NA()</definedName>
    <definedName name="_______pv2">NA()</definedName>
    <definedName name="_______RT5565" localSheetId="10">NA()</definedName>
    <definedName name="_______RT5565">NA()</definedName>
    <definedName name="_______S12" localSheetId="10">NA()</definedName>
    <definedName name="_______S12">NA()</definedName>
    <definedName name="_______var1" localSheetId="10">NA()</definedName>
    <definedName name="_______var1">NA()</definedName>
    <definedName name="_______var4" localSheetId="10">NA()</definedName>
    <definedName name="_______var4">NA()</definedName>
    <definedName name="_______vat1">NA()</definedName>
    <definedName name="_______vat2">NA()</definedName>
    <definedName name="______BSG100">NA()</definedName>
    <definedName name="______BSG150">NA()</definedName>
    <definedName name="______BSG5">NA()</definedName>
    <definedName name="______BSG75">NA()</definedName>
    <definedName name="______BTC1">NA()</definedName>
    <definedName name="______BTC10">NA()</definedName>
    <definedName name="______BTC11">NA()</definedName>
    <definedName name="______BTC12">NA()</definedName>
    <definedName name="______BTC13">NA()</definedName>
    <definedName name="______BTC14">NA()</definedName>
    <definedName name="______BTC15">NA()</definedName>
    <definedName name="______BTC16">NA()</definedName>
    <definedName name="______BTC17">NA()</definedName>
    <definedName name="______BTC18">NA()</definedName>
    <definedName name="______BTC19">NA()</definedName>
    <definedName name="______BTC2">NA()</definedName>
    <definedName name="______BTC20">NA()</definedName>
    <definedName name="______BTC21">NA()</definedName>
    <definedName name="______BTC22">NA()</definedName>
    <definedName name="______BTC23">NA()</definedName>
    <definedName name="______BTC24">NA()</definedName>
    <definedName name="______BTC3">NA()</definedName>
    <definedName name="______BTC4">NA()</definedName>
    <definedName name="______BTC5">NA()</definedName>
    <definedName name="______BTC6">NA()</definedName>
    <definedName name="______BTC7">NA()</definedName>
    <definedName name="______BTC8">NA()</definedName>
    <definedName name="______BTC9">NA()</definedName>
    <definedName name="______BTR1">NA()</definedName>
    <definedName name="______BTR10">NA()</definedName>
    <definedName name="______BTR11">NA()</definedName>
    <definedName name="______BTR12">NA()</definedName>
    <definedName name="______BTR13">NA()</definedName>
    <definedName name="______BTR14">NA()</definedName>
    <definedName name="______BTR15">NA()</definedName>
    <definedName name="______BTR16">NA()</definedName>
    <definedName name="______BTR17">NA()</definedName>
    <definedName name="______BTR18">NA()</definedName>
    <definedName name="______BTR19">NA()</definedName>
    <definedName name="______BTR2">NA()</definedName>
    <definedName name="______BTR20">NA()</definedName>
    <definedName name="______BTR21">NA()</definedName>
    <definedName name="______BTR22">NA()</definedName>
    <definedName name="______BTR23">NA()</definedName>
    <definedName name="______BTR24">NA()</definedName>
    <definedName name="______BTR3">NA()</definedName>
    <definedName name="______BTR4">NA()</definedName>
    <definedName name="______BTR5">NA()</definedName>
    <definedName name="______BTR6">NA()</definedName>
    <definedName name="______BTR7">NA()</definedName>
    <definedName name="______BTR8">NA()</definedName>
    <definedName name="______BTR9">NA()</definedName>
    <definedName name="______BTS1">NA()</definedName>
    <definedName name="______BTS10">NA()</definedName>
    <definedName name="______BTS11">NA()</definedName>
    <definedName name="______BTS12">NA()</definedName>
    <definedName name="______BTS13">NA()</definedName>
    <definedName name="______BTS14">NA()</definedName>
    <definedName name="______BTS15">NA()</definedName>
    <definedName name="______BTS16">NA()</definedName>
    <definedName name="______BTS17">NA()</definedName>
    <definedName name="______BTS18">NA()</definedName>
    <definedName name="______BTS19">NA()</definedName>
    <definedName name="______BTS2">NA()</definedName>
    <definedName name="______BTS20">NA()</definedName>
    <definedName name="______BTS21">NA()</definedName>
    <definedName name="______BTS22">NA()</definedName>
    <definedName name="______BTS23">NA()</definedName>
    <definedName name="______BTS24">NA()</definedName>
    <definedName name="______BTS3">NA()</definedName>
    <definedName name="______BTS4">NA()</definedName>
    <definedName name="______BTS5">NA()</definedName>
    <definedName name="______BTS6">NA()</definedName>
    <definedName name="______BTS7">NA()</definedName>
    <definedName name="______BTS8">NA()</definedName>
    <definedName name="______BTS9">NA()</definedName>
    <definedName name="______can430">40.73</definedName>
    <definedName name="______can435">43.3</definedName>
    <definedName name="______cbr1">NA()</definedName>
    <definedName name="______cbr2">NA()</definedName>
    <definedName name="______cbr3">NA()</definedName>
    <definedName name="______cbr4">NA()</definedName>
    <definedName name="______dem2">NA()</definedName>
    <definedName name="______er1" localSheetId="10">NA()</definedName>
    <definedName name="______er1">NA()</definedName>
    <definedName name="______f1">NA()</definedName>
    <definedName name="______G120907">"[34]data!#ref!"</definedName>
    <definedName name="______GBS11">NA()</definedName>
    <definedName name="______GBS110">NA()</definedName>
    <definedName name="______GBS111">NA()</definedName>
    <definedName name="______GBS112">NA()</definedName>
    <definedName name="______GBS113">NA()</definedName>
    <definedName name="______GBS114">NA()</definedName>
    <definedName name="______GBS115">NA()</definedName>
    <definedName name="______GBS116">NA()</definedName>
    <definedName name="______GBS117">NA()</definedName>
    <definedName name="______GBS118">NA()</definedName>
    <definedName name="______GBS119">NA()</definedName>
    <definedName name="______GBS12">NA()</definedName>
    <definedName name="______GBS120">NA()</definedName>
    <definedName name="______GBS121">NA()</definedName>
    <definedName name="______GBS122">NA()</definedName>
    <definedName name="______GBS123">NA()</definedName>
    <definedName name="______GBS124">NA()</definedName>
    <definedName name="______GBS13">NA()</definedName>
    <definedName name="______GBS14">NA()</definedName>
    <definedName name="______GBS15">NA()</definedName>
    <definedName name="______GBS16">NA()</definedName>
    <definedName name="______GBS17">NA()</definedName>
    <definedName name="______GBS18">NA()</definedName>
    <definedName name="______GBS19">NA()</definedName>
    <definedName name="______GBS21">NA()</definedName>
    <definedName name="______GBS210">NA()</definedName>
    <definedName name="______GBS211">NA()</definedName>
    <definedName name="______GBS212">NA()</definedName>
    <definedName name="______GBS213">NA()</definedName>
    <definedName name="______GBS214">NA()</definedName>
    <definedName name="______GBS215">NA()</definedName>
    <definedName name="______GBS216">NA()</definedName>
    <definedName name="______GBS217">NA()</definedName>
    <definedName name="______GBS218">NA()</definedName>
    <definedName name="______GBS219">NA()</definedName>
    <definedName name="______GBS22">NA()</definedName>
    <definedName name="______GBS220">NA()</definedName>
    <definedName name="______GBS221">NA()</definedName>
    <definedName name="______GBS222">NA()</definedName>
    <definedName name="______GBS223">NA()</definedName>
    <definedName name="______GBS224">NA()</definedName>
    <definedName name="______GBS23">NA()</definedName>
    <definedName name="______GBS24">NA()</definedName>
    <definedName name="______GBS25">NA()</definedName>
    <definedName name="______GBS26">NA()</definedName>
    <definedName name="______GBS27">NA()</definedName>
    <definedName name="______GBS28">NA()</definedName>
    <definedName name="______GBS29">NA()</definedName>
    <definedName name="______KC139" localSheetId="10">NA()</definedName>
    <definedName name="______KC139">NA()</definedName>
    <definedName name="______knr2" localSheetId="10">NA()</definedName>
    <definedName name="______knr2">NA()</definedName>
    <definedName name="______KNR3">NA()</definedName>
    <definedName name="______l12" localSheetId="10">NA()</definedName>
    <definedName name="______l12">NA()</definedName>
    <definedName name="______l3" localSheetId="10">NA()</definedName>
    <definedName name="______l3">NA()</definedName>
    <definedName name="______l5" localSheetId="10">NA()</definedName>
    <definedName name="______l5">NA()</definedName>
    <definedName name="______lj600">NA()</definedName>
    <definedName name="______lj900">NA()</definedName>
    <definedName name="______LL3">NA()</definedName>
    <definedName name="______LSO24">"[14]lead!#ref!"</definedName>
    <definedName name="______MA1">NA()</definedName>
    <definedName name="______MA2" localSheetId="10">NA()</definedName>
    <definedName name="______MA2">NA()</definedName>
    <definedName name="______me12" localSheetId="10">NA()</definedName>
    <definedName name="______me12">NA()</definedName>
    <definedName name="______Met22" localSheetId="10">NA()</definedName>
    <definedName name="______Met22">NA()</definedName>
    <definedName name="______Met45" localSheetId="10">NA()</definedName>
    <definedName name="______Met45">NA()</definedName>
    <definedName name="______MEt55" localSheetId="10">NA()</definedName>
    <definedName name="______MEt55">NA()</definedName>
    <definedName name="______Met63" localSheetId="10">NA()</definedName>
    <definedName name="______Met63">NA()</definedName>
    <definedName name="______ML21">NA()</definedName>
    <definedName name="______ML210">NA()</definedName>
    <definedName name="______ML211">NA()</definedName>
    <definedName name="______ML212">NA()</definedName>
    <definedName name="______ML213">NA()</definedName>
    <definedName name="______ML214">NA()</definedName>
    <definedName name="______ML215">NA()</definedName>
    <definedName name="______ML216">NA()</definedName>
    <definedName name="______ML217">NA()</definedName>
    <definedName name="______ML218">NA()</definedName>
    <definedName name="______ML219">NA()</definedName>
    <definedName name="______ML22">NA()</definedName>
    <definedName name="______ML220">NA()</definedName>
    <definedName name="______ML221">NA()</definedName>
    <definedName name="______ML222">NA()</definedName>
    <definedName name="______ML223">NA()</definedName>
    <definedName name="______ML224">NA()</definedName>
    <definedName name="______ML23">NA()</definedName>
    <definedName name="______ML24">NA()</definedName>
    <definedName name="______ML25">NA()</definedName>
    <definedName name="______ML26">NA()</definedName>
    <definedName name="______ML27">NA()</definedName>
    <definedName name="______ML28">NA()</definedName>
    <definedName name="______ML29">NA()</definedName>
    <definedName name="______ML31">NA()</definedName>
    <definedName name="______ML310">NA()</definedName>
    <definedName name="______ML311">NA()</definedName>
    <definedName name="______ML312">NA()</definedName>
    <definedName name="______ML313">NA()</definedName>
    <definedName name="______ML314">NA()</definedName>
    <definedName name="______ML315">NA()</definedName>
    <definedName name="______ML316">NA()</definedName>
    <definedName name="______ML317">NA()</definedName>
    <definedName name="______ML318">NA()</definedName>
    <definedName name="______ML319">NA()</definedName>
    <definedName name="______ML32">NA()</definedName>
    <definedName name="______ML320">NA()</definedName>
    <definedName name="______ML321">NA()</definedName>
    <definedName name="______ML322">NA()</definedName>
    <definedName name="______ML323">NA()</definedName>
    <definedName name="______ML324">NA()</definedName>
    <definedName name="______ML33">NA()</definedName>
    <definedName name="______ML34">NA()</definedName>
    <definedName name="______ML35">NA()</definedName>
    <definedName name="______ML36">NA()</definedName>
    <definedName name="______ML37">NA()</definedName>
    <definedName name="______ML38">NA()</definedName>
    <definedName name="______ML39">NA()</definedName>
    <definedName name="______ML7">NA()</definedName>
    <definedName name="______ML8">NA()</definedName>
    <definedName name="______ML9">NA()</definedName>
    <definedName name="______mm1000" localSheetId="10">NA()</definedName>
    <definedName name="______mm1000">NA()</definedName>
    <definedName name="______mm20">NA()</definedName>
    <definedName name="______mm40">NA()</definedName>
    <definedName name="______mm600" localSheetId="10">NA()</definedName>
    <definedName name="______mm600">NA()</definedName>
    <definedName name="______mm800" localSheetId="10">NA()</definedName>
    <definedName name="______mm800">NA()</definedName>
    <definedName name="______PC1">NA()</definedName>
    <definedName name="______PC10">NA()</definedName>
    <definedName name="______PC11">NA()</definedName>
    <definedName name="______PC12">NA()</definedName>
    <definedName name="______PC13">NA()</definedName>
    <definedName name="______PC14">NA()</definedName>
    <definedName name="______PC15">NA()</definedName>
    <definedName name="______PC16">NA()</definedName>
    <definedName name="______PC17">NA()</definedName>
    <definedName name="______PC18">NA()</definedName>
    <definedName name="______PC19">NA()</definedName>
    <definedName name="______pc2" localSheetId="10">NA()</definedName>
    <definedName name="______pc2">NA()</definedName>
    <definedName name="______PC20">NA()</definedName>
    <definedName name="______PC21">NA()</definedName>
    <definedName name="______PC22">NA()</definedName>
    <definedName name="______PC23">NA()</definedName>
    <definedName name="______PC24">NA()</definedName>
    <definedName name="______PC3">NA()</definedName>
    <definedName name="______PC4">NA()</definedName>
    <definedName name="______PC5">NA()</definedName>
    <definedName name="______PC6">NA()</definedName>
    <definedName name="______pc600">NA()</definedName>
    <definedName name="______PC7">NA()</definedName>
    <definedName name="______PC8">NA()</definedName>
    <definedName name="______PC9">NA()</definedName>
    <definedName name="______pc900">NA()</definedName>
    <definedName name="______pv2" localSheetId="10">NA()</definedName>
    <definedName name="______pv2">NA()</definedName>
    <definedName name="______S12" localSheetId="10">NA()</definedName>
    <definedName name="______S12">NA()</definedName>
    <definedName name="______var1" localSheetId="10">NA()</definedName>
    <definedName name="______var1">NA()</definedName>
    <definedName name="______var4" localSheetId="10">NA()</definedName>
    <definedName name="______var4">NA()</definedName>
    <definedName name="______vat1">NA()</definedName>
    <definedName name="______vat2">NA()</definedName>
    <definedName name="______xlnm_Print_Titles_1">NA()</definedName>
    <definedName name="_____12" localSheetId="10">NA()</definedName>
    <definedName name="_____12">NA()</definedName>
    <definedName name="_____BSG100" localSheetId="10">NA()</definedName>
    <definedName name="_____BSG100">NA()</definedName>
    <definedName name="_____BSG150" localSheetId="10">NA()</definedName>
    <definedName name="_____BSG150">NA()</definedName>
    <definedName name="_____BSG5" localSheetId="10">NA()</definedName>
    <definedName name="_____BSG5">NA()</definedName>
    <definedName name="_____BSG75" localSheetId="10">NA()</definedName>
    <definedName name="_____BSG75">NA()</definedName>
    <definedName name="_____BTC1" localSheetId="10">NA()</definedName>
    <definedName name="_____BTC1">NA()</definedName>
    <definedName name="_____BTC10" localSheetId="10">NA()</definedName>
    <definedName name="_____BTC10">NA()</definedName>
    <definedName name="_____BTC11" localSheetId="10">NA()</definedName>
    <definedName name="_____BTC11">NA()</definedName>
    <definedName name="_____BTC12" localSheetId="10">NA()</definedName>
    <definedName name="_____BTC12">NA()</definedName>
    <definedName name="_____BTC13" localSheetId="10">NA()</definedName>
    <definedName name="_____BTC13">NA()</definedName>
    <definedName name="_____BTC14" localSheetId="10">NA()</definedName>
    <definedName name="_____BTC14">NA()</definedName>
    <definedName name="_____BTC15" localSheetId="10">NA()</definedName>
    <definedName name="_____BTC15">NA()</definedName>
    <definedName name="_____BTC16" localSheetId="10">NA()</definedName>
    <definedName name="_____BTC16">NA()</definedName>
    <definedName name="_____BTC17" localSheetId="10">NA()</definedName>
    <definedName name="_____BTC17">NA()</definedName>
    <definedName name="_____BTC18" localSheetId="10">NA()</definedName>
    <definedName name="_____BTC18">NA()</definedName>
    <definedName name="_____BTC19" localSheetId="10">NA()</definedName>
    <definedName name="_____BTC19">NA()</definedName>
    <definedName name="_____BTC2" localSheetId="10">NA()</definedName>
    <definedName name="_____BTC2">NA()</definedName>
    <definedName name="_____BTC20" localSheetId="10">NA()</definedName>
    <definedName name="_____BTC20">NA()</definedName>
    <definedName name="_____BTC21" localSheetId="10">NA()</definedName>
    <definedName name="_____BTC21">NA()</definedName>
    <definedName name="_____BTC22" localSheetId="10">NA()</definedName>
    <definedName name="_____BTC22">NA()</definedName>
    <definedName name="_____BTC23" localSheetId="10">NA()</definedName>
    <definedName name="_____BTC23">NA()</definedName>
    <definedName name="_____BTC24" localSheetId="10">NA()</definedName>
    <definedName name="_____BTC24">NA()</definedName>
    <definedName name="_____BTC3" localSheetId="10">NA()</definedName>
    <definedName name="_____BTC3">NA()</definedName>
    <definedName name="_____BTC4" localSheetId="10">NA()</definedName>
    <definedName name="_____BTC4">NA()</definedName>
    <definedName name="_____BTC5" localSheetId="10">NA()</definedName>
    <definedName name="_____BTC5">NA()</definedName>
    <definedName name="_____BTC6" localSheetId="10">NA()</definedName>
    <definedName name="_____BTC6">NA()</definedName>
    <definedName name="_____BTC7" localSheetId="10">NA()</definedName>
    <definedName name="_____BTC7">NA()</definedName>
    <definedName name="_____BTC8" localSheetId="10">NA()</definedName>
    <definedName name="_____BTC8">NA()</definedName>
    <definedName name="_____BTC9" localSheetId="10">NA()</definedName>
    <definedName name="_____BTC9">NA()</definedName>
    <definedName name="_____BTR1" localSheetId="10">NA()</definedName>
    <definedName name="_____BTR1">NA()</definedName>
    <definedName name="_____BTR10" localSheetId="10">NA()</definedName>
    <definedName name="_____BTR10">NA()</definedName>
    <definedName name="_____BTR11" localSheetId="10">NA()</definedName>
    <definedName name="_____BTR11">NA()</definedName>
    <definedName name="_____BTR12" localSheetId="10">NA()</definedName>
    <definedName name="_____BTR12">NA()</definedName>
    <definedName name="_____BTR13" localSheetId="10">NA()</definedName>
    <definedName name="_____BTR13">NA()</definedName>
    <definedName name="_____BTR14" localSheetId="10">NA()</definedName>
    <definedName name="_____BTR14">NA()</definedName>
    <definedName name="_____BTR15" localSheetId="10">NA()</definedName>
    <definedName name="_____BTR15">NA()</definedName>
    <definedName name="_____BTR16" localSheetId="10">NA()</definedName>
    <definedName name="_____BTR16">NA()</definedName>
    <definedName name="_____BTR17" localSheetId="10">NA()</definedName>
    <definedName name="_____BTR17">NA()</definedName>
    <definedName name="_____BTR18" localSheetId="10">NA()</definedName>
    <definedName name="_____BTR18">NA()</definedName>
    <definedName name="_____BTR19" localSheetId="10">NA()</definedName>
    <definedName name="_____BTR19">NA()</definedName>
    <definedName name="_____BTR2" localSheetId="10">NA()</definedName>
    <definedName name="_____BTR2">NA()</definedName>
    <definedName name="_____BTR20" localSheetId="10">NA()</definedName>
    <definedName name="_____BTR20">NA()</definedName>
    <definedName name="_____BTR21" localSheetId="10">NA()</definedName>
    <definedName name="_____BTR21">NA()</definedName>
    <definedName name="_____BTR22" localSheetId="10">NA()</definedName>
    <definedName name="_____BTR22">NA()</definedName>
    <definedName name="_____BTR23" localSheetId="10">NA()</definedName>
    <definedName name="_____BTR23">NA()</definedName>
    <definedName name="_____BTR24" localSheetId="10">NA()</definedName>
    <definedName name="_____BTR24">NA()</definedName>
    <definedName name="_____BTR3" localSheetId="10">NA()</definedName>
    <definedName name="_____BTR3">NA()</definedName>
    <definedName name="_____BTR4" localSheetId="10">NA()</definedName>
    <definedName name="_____BTR4">NA()</definedName>
    <definedName name="_____BTR5" localSheetId="10">NA()</definedName>
    <definedName name="_____BTR5">NA()</definedName>
    <definedName name="_____BTR6" localSheetId="10">NA()</definedName>
    <definedName name="_____BTR6">NA()</definedName>
    <definedName name="_____BTR7" localSheetId="10">NA()</definedName>
    <definedName name="_____BTR7">NA()</definedName>
    <definedName name="_____BTR8" localSheetId="10">NA()</definedName>
    <definedName name="_____BTR8">NA()</definedName>
    <definedName name="_____BTR9" localSheetId="10">NA()</definedName>
    <definedName name="_____BTR9">NA()</definedName>
    <definedName name="_____BTS1" localSheetId="10">NA()</definedName>
    <definedName name="_____BTS1">NA()</definedName>
    <definedName name="_____BTS10" localSheetId="10">NA()</definedName>
    <definedName name="_____BTS10">NA()</definedName>
    <definedName name="_____BTS11" localSheetId="10">NA()</definedName>
    <definedName name="_____BTS11">NA()</definedName>
    <definedName name="_____BTS12" localSheetId="10">NA()</definedName>
    <definedName name="_____BTS12">NA()</definedName>
    <definedName name="_____BTS13" localSheetId="10">NA()</definedName>
    <definedName name="_____BTS13">NA()</definedName>
    <definedName name="_____BTS14" localSheetId="10">NA()</definedName>
    <definedName name="_____BTS14">NA()</definedName>
    <definedName name="_____BTS15" localSheetId="10">NA()</definedName>
    <definedName name="_____BTS15">NA()</definedName>
    <definedName name="_____BTS16" localSheetId="10">NA()</definedName>
    <definedName name="_____BTS16">NA()</definedName>
    <definedName name="_____BTS17" localSheetId="10">NA()</definedName>
    <definedName name="_____BTS17">NA()</definedName>
    <definedName name="_____BTS18" localSheetId="10">NA()</definedName>
    <definedName name="_____BTS18">NA()</definedName>
    <definedName name="_____BTS19" localSheetId="10">NA()</definedName>
    <definedName name="_____BTS19">NA()</definedName>
    <definedName name="_____BTS2" localSheetId="10">NA()</definedName>
    <definedName name="_____BTS2">NA()</definedName>
    <definedName name="_____BTS20" localSheetId="10">NA()</definedName>
    <definedName name="_____BTS20">NA()</definedName>
    <definedName name="_____BTS21" localSheetId="10">NA()</definedName>
    <definedName name="_____BTS21">NA()</definedName>
    <definedName name="_____BTS22" localSheetId="10">NA()</definedName>
    <definedName name="_____BTS22">NA()</definedName>
    <definedName name="_____BTS23" localSheetId="10">NA()</definedName>
    <definedName name="_____BTS23">NA()</definedName>
    <definedName name="_____BTS24" localSheetId="10">NA()</definedName>
    <definedName name="_____BTS24">NA()</definedName>
    <definedName name="_____BTS3" localSheetId="10">NA()</definedName>
    <definedName name="_____BTS3">NA()</definedName>
    <definedName name="_____BTS4" localSheetId="10">NA()</definedName>
    <definedName name="_____BTS4">NA()</definedName>
    <definedName name="_____BTS5" localSheetId="10">NA()</definedName>
    <definedName name="_____BTS5">NA()</definedName>
    <definedName name="_____BTS6" localSheetId="10">NA()</definedName>
    <definedName name="_____BTS6">NA()</definedName>
    <definedName name="_____BTS7" localSheetId="10">NA()</definedName>
    <definedName name="_____BTS7">NA()</definedName>
    <definedName name="_____BTS8" localSheetId="10">NA()</definedName>
    <definedName name="_____BTS8">NA()</definedName>
    <definedName name="_____BTS9" localSheetId="10">NA()</definedName>
    <definedName name="_____BTS9">NA()</definedName>
    <definedName name="_____can430">40.73</definedName>
    <definedName name="_____can435">43.3</definedName>
    <definedName name="_____cbr1">NA()</definedName>
    <definedName name="_____cbr2">NA()</definedName>
    <definedName name="_____cbr3">NA()</definedName>
    <definedName name="_____cbr4">NA()</definedName>
    <definedName name="_____dem2">NA()</definedName>
    <definedName name="_____er1" localSheetId="10">NA()</definedName>
    <definedName name="_____er1">NA()</definedName>
    <definedName name="_____f1">NA()</definedName>
    <definedName name="_____G120907">"[34]data!#ref!"</definedName>
    <definedName name="_____GBS11" localSheetId="10">NA()</definedName>
    <definedName name="_____GBS11">NA()</definedName>
    <definedName name="_____GBS110" localSheetId="10">NA()</definedName>
    <definedName name="_____GBS110">NA()</definedName>
    <definedName name="_____GBS111" localSheetId="10">NA()</definedName>
    <definedName name="_____GBS111">NA()</definedName>
    <definedName name="_____GBS112" localSheetId="10">NA()</definedName>
    <definedName name="_____GBS112">NA()</definedName>
    <definedName name="_____GBS113" localSheetId="10">NA()</definedName>
    <definedName name="_____GBS113">NA()</definedName>
    <definedName name="_____GBS114" localSheetId="10">NA()</definedName>
    <definedName name="_____GBS114">NA()</definedName>
    <definedName name="_____GBS115" localSheetId="10">NA()</definedName>
    <definedName name="_____GBS115">NA()</definedName>
    <definedName name="_____GBS116" localSheetId="10">NA()</definedName>
    <definedName name="_____GBS116">NA()</definedName>
    <definedName name="_____GBS117" localSheetId="10">NA()</definedName>
    <definedName name="_____GBS117">NA()</definedName>
    <definedName name="_____GBS118" localSheetId="10">NA()</definedName>
    <definedName name="_____GBS118">NA()</definedName>
    <definedName name="_____GBS119" localSheetId="10">NA()</definedName>
    <definedName name="_____GBS119">NA()</definedName>
    <definedName name="_____GBS12" localSheetId="10">NA()</definedName>
    <definedName name="_____GBS12">NA()</definedName>
    <definedName name="_____GBS120" localSheetId="10">NA()</definedName>
    <definedName name="_____GBS120">NA()</definedName>
    <definedName name="_____GBS121" localSheetId="10">NA()</definedName>
    <definedName name="_____GBS121">NA()</definedName>
    <definedName name="_____GBS122" localSheetId="10">NA()</definedName>
    <definedName name="_____GBS122">NA()</definedName>
    <definedName name="_____GBS123" localSheetId="10">NA()</definedName>
    <definedName name="_____GBS123">NA()</definedName>
    <definedName name="_____GBS124" localSheetId="10">NA()</definedName>
    <definedName name="_____GBS124">NA()</definedName>
    <definedName name="_____GBS13" localSheetId="10">NA()</definedName>
    <definedName name="_____GBS13">NA()</definedName>
    <definedName name="_____GBS14" localSheetId="10">NA()</definedName>
    <definedName name="_____GBS14">NA()</definedName>
    <definedName name="_____GBS15" localSheetId="10">NA()</definedName>
    <definedName name="_____GBS15">NA()</definedName>
    <definedName name="_____GBS16" localSheetId="10">NA()</definedName>
    <definedName name="_____GBS16">NA()</definedName>
    <definedName name="_____GBS17" localSheetId="10">NA()</definedName>
    <definedName name="_____GBS17">NA()</definedName>
    <definedName name="_____GBS18" localSheetId="10">NA()</definedName>
    <definedName name="_____GBS18">NA()</definedName>
    <definedName name="_____GBS19" localSheetId="10">NA()</definedName>
    <definedName name="_____GBS19">NA()</definedName>
    <definedName name="_____GBS21" localSheetId="10">NA()</definedName>
    <definedName name="_____GBS21">NA()</definedName>
    <definedName name="_____GBS210" localSheetId="10">NA()</definedName>
    <definedName name="_____GBS210">NA()</definedName>
    <definedName name="_____GBS211" localSheetId="10">NA()</definedName>
    <definedName name="_____GBS211">NA()</definedName>
    <definedName name="_____GBS212" localSheetId="10">NA()</definedName>
    <definedName name="_____GBS212">NA()</definedName>
    <definedName name="_____GBS213" localSheetId="10">NA()</definedName>
    <definedName name="_____GBS213">NA()</definedName>
    <definedName name="_____GBS214" localSheetId="10">NA()</definedName>
    <definedName name="_____GBS214">NA()</definedName>
    <definedName name="_____GBS215" localSheetId="10">NA()</definedName>
    <definedName name="_____GBS215">NA()</definedName>
    <definedName name="_____GBS216" localSheetId="10">NA()</definedName>
    <definedName name="_____GBS216">NA()</definedName>
    <definedName name="_____GBS217" localSheetId="10">NA()</definedName>
    <definedName name="_____GBS217">NA()</definedName>
    <definedName name="_____GBS218" localSheetId="10">NA()</definedName>
    <definedName name="_____GBS218">NA()</definedName>
    <definedName name="_____GBS219" localSheetId="10">NA()</definedName>
    <definedName name="_____GBS219">NA()</definedName>
    <definedName name="_____GBS22" localSheetId="10">NA()</definedName>
    <definedName name="_____GBS22">NA()</definedName>
    <definedName name="_____GBS220" localSheetId="10">NA()</definedName>
    <definedName name="_____GBS220">NA()</definedName>
    <definedName name="_____GBS221" localSheetId="10">NA()</definedName>
    <definedName name="_____GBS221">NA()</definedName>
    <definedName name="_____GBS222" localSheetId="10">NA()</definedName>
    <definedName name="_____GBS222">NA()</definedName>
    <definedName name="_____GBS223" localSheetId="10">NA()</definedName>
    <definedName name="_____GBS223">NA()</definedName>
    <definedName name="_____GBS224" localSheetId="10">NA()</definedName>
    <definedName name="_____GBS224">NA()</definedName>
    <definedName name="_____GBS23" localSheetId="10">NA()</definedName>
    <definedName name="_____GBS23">NA()</definedName>
    <definedName name="_____GBS24" localSheetId="10">NA()</definedName>
    <definedName name="_____GBS24">NA()</definedName>
    <definedName name="_____GBS25" localSheetId="10">NA()</definedName>
    <definedName name="_____GBS25">NA()</definedName>
    <definedName name="_____GBS26" localSheetId="10">NA()</definedName>
    <definedName name="_____GBS26">NA()</definedName>
    <definedName name="_____GBS27" localSheetId="10">NA()</definedName>
    <definedName name="_____GBS27">NA()</definedName>
    <definedName name="_____GBS28" localSheetId="10">NA()</definedName>
    <definedName name="_____GBS28">NA()</definedName>
    <definedName name="_____GBS29" localSheetId="10">NA()</definedName>
    <definedName name="_____GBS29">NA()</definedName>
    <definedName name="_____grp10003">NA()</definedName>
    <definedName name="_____grp3503">NA()</definedName>
    <definedName name="_____grp4003">NA()</definedName>
    <definedName name="_____grp4503">NA()</definedName>
    <definedName name="_____grp5003">NA()</definedName>
    <definedName name="_____grp6003">NA()</definedName>
    <definedName name="_____grp7003">NA()</definedName>
    <definedName name="_____grp8003">NA()</definedName>
    <definedName name="_____grp9003">NA()</definedName>
    <definedName name="_____KC139" localSheetId="10">NA()</definedName>
    <definedName name="_____KC139">NA()</definedName>
    <definedName name="_____knr2" localSheetId="10">NA()</definedName>
    <definedName name="_____knr2">NA()</definedName>
    <definedName name="_____KNR3">NA()</definedName>
    <definedName name="_____l12" localSheetId="10">NA()</definedName>
    <definedName name="_____l12">NA()</definedName>
    <definedName name="_____l3" localSheetId="10">NA()</definedName>
    <definedName name="_____l3">NA()</definedName>
    <definedName name="_____l5" localSheetId="10">NA()</definedName>
    <definedName name="_____l5">NA()</definedName>
    <definedName name="_____lj600" localSheetId="10">NA()</definedName>
    <definedName name="_____lj600">NA()</definedName>
    <definedName name="_____lj900" localSheetId="10">NA()</definedName>
    <definedName name="_____lj900">NA()</definedName>
    <definedName name="_____LL3" localSheetId="10">NA()</definedName>
    <definedName name="_____LL3">NA()</definedName>
    <definedName name="_____LSO24">"[14]lead!#ref!"</definedName>
    <definedName name="_____MA1" localSheetId="10">NA()</definedName>
    <definedName name="_____MA1">NA()</definedName>
    <definedName name="_____MA2">NA()</definedName>
    <definedName name="_____me12" localSheetId="10">NA()</definedName>
    <definedName name="_____me12">NA()</definedName>
    <definedName name="_____Met22" localSheetId="10">NA()</definedName>
    <definedName name="_____Met22">NA()</definedName>
    <definedName name="_____Met45" localSheetId="10">NA()</definedName>
    <definedName name="_____Met45">NA()</definedName>
    <definedName name="_____MEt55" localSheetId="10">NA()</definedName>
    <definedName name="_____MEt55">NA()</definedName>
    <definedName name="_____Met63" localSheetId="10">NA()</definedName>
    <definedName name="_____Met63">NA()</definedName>
    <definedName name="_____ML21" localSheetId="10">NA()</definedName>
    <definedName name="_____ML21">NA()</definedName>
    <definedName name="_____ML210" localSheetId="10">NA()</definedName>
    <definedName name="_____ML210">NA()</definedName>
    <definedName name="_____ML211" localSheetId="10">NA()</definedName>
    <definedName name="_____ML211">NA()</definedName>
    <definedName name="_____ML212" localSheetId="10">NA()</definedName>
    <definedName name="_____ML212">NA()</definedName>
    <definedName name="_____ML213" localSheetId="10">NA()</definedName>
    <definedName name="_____ML213">NA()</definedName>
    <definedName name="_____ML214" localSheetId="10">NA()</definedName>
    <definedName name="_____ML214">NA()</definedName>
    <definedName name="_____ML215" localSheetId="10">NA()</definedName>
    <definedName name="_____ML215">NA()</definedName>
    <definedName name="_____ML216" localSheetId="10">NA()</definedName>
    <definedName name="_____ML216">NA()</definedName>
    <definedName name="_____ML217" localSheetId="10">NA()</definedName>
    <definedName name="_____ML217">NA()</definedName>
    <definedName name="_____ML218" localSheetId="10">NA()</definedName>
    <definedName name="_____ML218">NA()</definedName>
    <definedName name="_____ML219" localSheetId="10">NA()</definedName>
    <definedName name="_____ML219">NA()</definedName>
    <definedName name="_____ML22" localSheetId="10">NA()</definedName>
    <definedName name="_____ML22">NA()</definedName>
    <definedName name="_____ML220" localSheetId="10">NA()</definedName>
    <definedName name="_____ML220">NA()</definedName>
    <definedName name="_____ML221" localSheetId="10">NA()</definedName>
    <definedName name="_____ML221">NA()</definedName>
    <definedName name="_____ML222" localSheetId="10">NA()</definedName>
    <definedName name="_____ML222">NA()</definedName>
    <definedName name="_____ML223" localSheetId="10">NA()</definedName>
    <definedName name="_____ML223">NA()</definedName>
    <definedName name="_____ML224" localSheetId="10">NA()</definedName>
    <definedName name="_____ML224">NA()</definedName>
    <definedName name="_____ML23" localSheetId="10">NA()</definedName>
    <definedName name="_____ML23">NA()</definedName>
    <definedName name="_____ML24" localSheetId="10">NA()</definedName>
    <definedName name="_____ML24">NA()</definedName>
    <definedName name="_____ML25" localSheetId="10">NA()</definedName>
    <definedName name="_____ML25">NA()</definedName>
    <definedName name="_____ML26" localSheetId="10">NA()</definedName>
    <definedName name="_____ML26">NA()</definedName>
    <definedName name="_____ML27" localSheetId="10">NA()</definedName>
    <definedName name="_____ML27">NA()</definedName>
    <definedName name="_____ML28" localSheetId="10">NA()</definedName>
    <definedName name="_____ML28">NA()</definedName>
    <definedName name="_____ML29" localSheetId="10">NA()</definedName>
    <definedName name="_____ML29">NA()</definedName>
    <definedName name="_____ML31" localSheetId="10">NA()</definedName>
    <definedName name="_____ML31">NA()</definedName>
    <definedName name="_____ML310" localSheetId="10">NA()</definedName>
    <definedName name="_____ML310">NA()</definedName>
    <definedName name="_____ML311" localSheetId="10">NA()</definedName>
    <definedName name="_____ML311">NA()</definedName>
    <definedName name="_____ML312" localSheetId="10">NA()</definedName>
    <definedName name="_____ML312">NA()</definedName>
    <definedName name="_____ML313" localSheetId="10">NA()</definedName>
    <definedName name="_____ML313">NA()</definedName>
    <definedName name="_____ML314" localSheetId="10">NA()</definedName>
    <definedName name="_____ML314">NA()</definedName>
    <definedName name="_____ML315" localSheetId="10">NA()</definedName>
    <definedName name="_____ML315">NA()</definedName>
    <definedName name="_____ML316" localSheetId="10">NA()</definedName>
    <definedName name="_____ML316">NA()</definedName>
    <definedName name="_____ML317" localSheetId="10">NA()</definedName>
    <definedName name="_____ML317">NA()</definedName>
    <definedName name="_____ML318" localSheetId="10">NA()</definedName>
    <definedName name="_____ML318">NA()</definedName>
    <definedName name="_____ML319" localSheetId="10">NA()</definedName>
    <definedName name="_____ML319">NA()</definedName>
    <definedName name="_____ML32" localSheetId="10">NA()</definedName>
    <definedName name="_____ML32">NA()</definedName>
    <definedName name="_____ML320" localSheetId="10">NA()</definedName>
    <definedName name="_____ML320">NA()</definedName>
    <definedName name="_____ML321" localSheetId="10">NA()</definedName>
    <definedName name="_____ML321">NA()</definedName>
    <definedName name="_____ML322" localSheetId="10">NA()</definedName>
    <definedName name="_____ML322">NA()</definedName>
    <definedName name="_____ML323" localSheetId="10">NA()</definedName>
    <definedName name="_____ML323">NA()</definedName>
    <definedName name="_____ML324" localSheetId="10">NA()</definedName>
    <definedName name="_____ML324">NA()</definedName>
    <definedName name="_____ML33" localSheetId="10">NA()</definedName>
    <definedName name="_____ML33">NA()</definedName>
    <definedName name="_____ML34" localSheetId="10">NA()</definedName>
    <definedName name="_____ML34">NA()</definedName>
    <definedName name="_____ML35" localSheetId="10">NA()</definedName>
    <definedName name="_____ML35">NA()</definedName>
    <definedName name="_____ML36" localSheetId="10">NA()</definedName>
    <definedName name="_____ML36">NA()</definedName>
    <definedName name="_____ML37" localSheetId="10">NA()</definedName>
    <definedName name="_____ML37">NA()</definedName>
    <definedName name="_____ML38" localSheetId="10">NA()</definedName>
    <definedName name="_____ML38">NA()</definedName>
    <definedName name="_____ML39" localSheetId="10">NA()</definedName>
    <definedName name="_____ML39">NA()</definedName>
    <definedName name="_____ML7" localSheetId="10">NA()</definedName>
    <definedName name="_____ML7">NA()</definedName>
    <definedName name="_____ML8" localSheetId="10">NA()</definedName>
    <definedName name="_____ML8">NA()</definedName>
    <definedName name="_____ML9" localSheetId="10">NA()</definedName>
    <definedName name="_____ML9">NA()</definedName>
    <definedName name="_____mm1000" localSheetId="10">NA()</definedName>
    <definedName name="_____mm1000">NA()</definedName>
    <definedName name="_____mm20">NA()</definedName>
    <definedName name="_____mm40">NA()</definedName>
    <definedName name="_____mm600" localSheetId="10">NA()</definedName>
    <definedName name="_____mm600">NA()</definedName>
    <definedName name="_____mm800" localSheetId="10">NA()</definedName>
    <definedName name="_____mm800">NA()</definedName>
    <definedName name="_____PC1" localSheetId="10">NA()</definedName>
    <definedName name="_____PC1">NA()</definedName>
    <definedName name="_____PC10" localSheetId="10">NA()</definedName>
    <definedName name="_____PC10">NA()</definedName>
    <definedName name="_____PC11" localSheetId="10">NA()</definedName>
    <definedName name="_____PC11">NA()</definedName>
    <definedName name="_____PC12" localSheetId="10">NA()</definedName>
    <definedName name="_____PC12">NA()</definedName>
    <definedName name="_____PC13" localSheetId="10">NA()</definedName>
    <definedName name="_____PC13">NA()</definedName>
    <definedName name="_____PC14" localSheetId="10">NA()</definedName>
    <definedName name="_____PC14">NA()</definedName>
    <definedName name="_____PC15" localSheetId="10">NA()</definedName>
    <definedName name="_____PC15">NA()</definedName>
    <definedName name="_____PC16" localSheetId="10">NA()</definedName>
    <definedName name="_____PC16">NA()</definedName>
    <definedName name="_____PC17" localSheetId="10">NA()</definedName>
    <definedName name="_____PC17">NA()</definedName>
    <definedName name="_____PC18" localSheetId="10">NA()</definedName>
    <definedName name="_____PC18">NA()</definedName>
    <definedName name="_____PC19" localSheetId="10">NA()</definedName>
    <definedName name="_____PC19">NA()</definedName>
    <definedName name="_____pc2" localSheetId="10">NA()</definedName>
    <definedName name="_____pc2">NA()</definedName>
    <definedName name="_____PC20" localSheetId="10">NA()</definedName>
    <definedName name="_____PC20">NA()</definedName>
    <definedName name="_____PC21" localSheetId="10">NA()</definedName>
    <definedName name="_____PC21">NA()</definedName>
    <definedName name="_____PC22" localSheetId="10">NA()</definedName>
    <definedName name="_____PC22">NA()</definedName>
    <definedName name="_____PC23" localSheetId="10">NA()</definedName>
    <definedName name="_____PC23">NA()</definedName>
    <definedName name="_____PC24" localSheetId="10">NA()</definedName>
    <definedName name="_____PC24">NA()</definedName>
    <definedName name="_____PC3" localSheetId="10">NA()</definedName>
    <definedName name="_____PC3">NA()</definedName>
    <definedName name="_____PC4" localSheetId="10">NA()</definedName>
    <definedName name="_____PC4">NA()</definedName>
    <definedName name="_____PC5" localSheetId="10">NA()</definedName>
    <definedName name="_____PC5">NA()</definedName>
    <definedName name="_____PC6" localSheetId="10">NA()</definedName>
    <definedName name="_____PC6">NA()</definedName>
    <definedName name="_____pc600" localSheetId="10">NA()</definedName>
    <definedName name="_____pc600">NA()</definedName>
    <definedName name="_____PC7" localSheetId="10">NA()</definedName>
    <definedName name="_____PC7">NA()</definedName>
    <definedName name="_____PC8" localSheetId="10">NA()</definedName>
    <definedName name="_____PC8">NA()</definedName>
    <definedName name="_____PC9" localSheetId="10">NA()</definedName>
    <definedName name="_____PC9">NA()</definedName>
    <definedName name="_____pc900" localSheetId="10">NA()</definedName>
    <definedName name="_____pc900">NA()</definedName>
    <definedName name="_____psc10006">NA()</definedName>
    <definedName name="_____psc10008">NA()</definedName>
    <definedName name="_____psc3506">NA()</definedName>
    <definedName name="_____psc3508">NA()</definedName>
    <definedName name="_____psc4006">NA()</definedName>
    <definedName name="_____psc4008">NA()</definedName>
    <definedName name="_____psc4506">NA()</definedName>
    <definedName name="_____psc4508">NA()</definedName>
    <definedName name="_____psc5006">NA()</definedName>
    <definedName name="_____psc5008">NA()</definedName>
    <definedName name="_____psc6006">NA()</definedName>
    <definedName name="_____psc6008">NA()</definedName>
    <definedName name="_____psc7006">NA()</definedName>
    <definedName name="_____psc7008">NA()</definedName>
    <definedName name="_____psc8006">NA()</definedName>
    <definedName name="_____psc8008">NA()</definedName>
    <definedName name="_____psc9006">NA()</definedName>
    <definedName name="_____psc9008">NA()</definedName>
    <definedName name="_____pv2" localSheetId="10">NA()</definedName>
    <definedName name="_____pv2">NA()</definedName>
    <definedName name="_____RT5565" localSheetId="10">NA()</definedName>
    <definedName name="_____RT5565">NA()</definedName>
    <definedName name="_____S12" localSheetId="10">NA()</definedName>
    <definedName name="_____S12">NA()</definedName>
    <definedName name="_____var1" localSheetId="10">NA()</definedName>
    <definedName name="_____var1">NA()</definedName>
    <definedName name="_____var4" localSheetId="10">NA()</definedName>
    <definedName name="_____var4">NA()</definedName>
    <definedName name="_____vat1" localSheetId="10">NA()</definedName>
    <definedName name="_____vat1">NA()</definedName>
    <definedName name="_____vat2">NA()</definedName>
    <definedName name="_____xh11010">NA()</definedName>
    <definedName name="_____xh1104">NA()</definedName>
    <definedName name="_____xh1106">NA()</definedName>
    <definedName name="_____xh1108">NA()</definedName>
    <definedName name="_____xh12510">NA()</definedName>
    <definedName name="_____xh1254">NA()</definedName>
    <definedName name="_____xh1256">NA()</definedName>
    <definedName name="_____xh1258">NA()</definedName>
    <definedName name="_____xh14010">NA()</definedName>
    <definedName name="_____xh1404">NA()</definedName>
    <definedName name="_____xh1406">NA()</definedName>
    <definedName name="_____xh1408">NA()</definedName>
    <definedName name="_____xh16010">NA()</definedName>
    <definedName name="_____xh1604">NA()</definedName>
    <definedName name="_____xh1606">NA()</definedName>
    <definedName name="_____xh1608">NA()</definedName>
    <definedName name="_____xh18010">NA()</definedName>
    <definedName name="_____xh1804">NA()</definedName>
    <definedName name="_____xh1806">NA()</definedName>
    <definedName name="_____xh1808">NA()</definedName>
    <definedName name="_____xh20010">NA()</definedName>
    <definedName name="_____xh2004">NA()</definedName>
    <definedName name="_____xh2006">NA()</definedName>
    <definedName name="_____xh2008">NA()</definedName>
    <definedName name="_____xh22510">NA()</definedName>
    <definedName name="_____xh2254">NA()</definedName>
    <definedName name="_____xh2258">NA()</definedName>
    <definedName name="_____xh25010">NA()</definedName>
    <definedName name="_____xh2504">NA()</definedName>
    <definedName name="_____xh2508">NA()</definedName>
    <definedName name="_____xh28010">NA()</definedName>
    <definedName name="_____xh2804">NA()</definedName>
    <definedName name="_____xh2808">NA()</definedName>
    <definedName name="_____xh31510">NA()</definedName>
    <definedName name="_____xh3154">NA()</definedName>
    <definedName name="_____xh3158">NA()</definedName>
    <definedName name="_____xh3554">NA()</definedName>
    <definedName name="_____xh3556">NA()</definedName>
    <definedName name="_____xh6310">NA()</definedName>
    <definedName name="_____xh636">NA()</definedName>
    <definedName name="_____xh638">NA()</definedName>
    <definedName name="_____xh7510">NA()</definedName>
    <definedName name="_____xh754">NA()</definedName>
    <definedName name="_____xh756">NA()</definedName>
    <definedName name="_____xh758">NA()</definedName>
    <definedName name="_____xh9010">NA()</definedName>
    <definedName name="_____xh904">NA()</definedName>
    <definedName name="_____xh906">NA()</definedName>
    <definedName name="_____xh908">NA()</definedName>
    <definedName name="_____xk7200">NA()</definedName>
    <definedName name="_____xk7350">NA()</definedName>
    <definedName name="_____xk7400">NA()</definedName>
    <definedName name="_____xk7450">NA()</definedName>
    <definedName name="_____xk7500">NA()</definedName>
    <definedName name="_____xk7600">NA()</definedName>
    <definedName name="_____xk9100">NA()</definedName>
    <definedName name="_____xk91000">NA()</definedName>
    <definedName name="_____xk9150">NA()</definedName>
    <definedName name="_____xk9200">NA()</definedName>
    <definedName name="_____xk9250">NA()</definedName>
    <definedName name="_____xk9300">NA()</definedName>
    <definedName name="_____xk9350">NA()</definedName>
    <definedName name="_____xk9400">NA()</definedName>
    <definedName name="_____xk9450">NA()</definedName>
    <definedName name="_____xk9500">NA()</definedName>
    <definedName name="_____xk9600">NA()</definedName>
    <definedName name="_____xk9700">NA()</definedName>
    <definedName name="_____xk9750">NA()</definedName>
    <definedName name="_____xk9800">NA()</definedName>
    <definedName name="_____xk9900">NA()</definedName>
    <definedName name="_____xlnm_Print_Titles_1">NA()</definedName>
    <definedName name="_____xp12510">NA()</definedName>
    <definedName name="_____xp16010">NA()</definedName>
    <definedName name="_____xp18010">NA()</definedName>
    <definedName name="_____xp20010">NA()</definedName>
    <definedName name="_____xp2004">NA()</definedName>
    <definedName name="_____xp22510">NA()</definedName>
    <definedName name="_____xp2254">NA()</definedName>
    <definedName name="_____xp2256">NA()</definedName>
    <definedName name="_____xp25010">NA()</definedName>
    <definedName name="_____xp2504">NA()</definedName>
    <definedName name="_____xp2506">NA()</definedName>
    <definedName name="_____xp28010">NA()</definedName>
    <definedName name="_____xp2804">NA()</definedName>
    <definedName name="_____xp2806">NA()</definedName>
    <definedName name="_____xp31510">NA()</definedName>
    <definedName name="_____xp3154">NA()</definedName>
    <definedName name="_____xp3156">NA()</definedName>
    <definedName name="_____xp634">NA()</definedName>
    <definedName name="____A5">NA()</definedName>
    <definedName name="____BSG100">NA()</definedName>
    <definedName name="____BSG150">NA()</definedName>
    <definedName name="____BSG5">NA()</definedName>
    <definedName name="____BSG75">NA()</definedName>
    <definedName name="____BTC1">NA()</definedName>
    <definedName name="____BTC10">NA()</definedName>
    <definedName name="____BTC11">NA()</definedName>
    <definedName name="____BTC12">NA()</definedName>
    <definedName name="____BTC13">NA()</definedName>
    <definedName name="____BTC14">NA()</definedName>
    <definedName name="____BTC15">NA()</definedName>
    <definedName name="____BTC16">NA()</definedName>
    <definedName name="____BTC17">NA()</definedName>
    <definedName name="____BTC18">NA()</definedName>
    <definedName name="____BTC19">NA()</definedName>
    <definedName name="____BTC2">NA()</definedName>
    <definedName name="____BTC20">NA()</definedName>
    <definedName name="____BTC21">NA()</definedName>
    <definedName name="____BTC22">NA()</definedName>
    <definedName name="____BTC23">NA()</definedName>
    <definedName name="____BTC24">NA()</definedName>
    <definedName name="____BTC3">NA()</definedName>
    <definedName name="____BTC4">NA()</definedName>
    <definedName name="____BTC5">NA()</definedName>
    <definedName name="____BTC6">NA()</definedName>
    <definedName name="____BTC7">NA()</definedName>
    <definedName name="____BTC8">NA()</definedName>
    <definedName name="____BTC9">NA()</definedName>
    <definedName name="____BTR1">NA()</definedName>
    <definedName name="____BTR10">NA()</definedName>
    <definedName name="____BTR11">NA()</definedName>
    <definedName name="____BTR12">NA()</definedName>
    <definedName name="____BTR13">NA()</definedName>
    <definedName name="____BTR14">NA()</definedName>
    <definedName name="____BTR15">NA()</definedName>
    <definedName name="____BTR16">NA()</definedName>
    <definedName name="____BTR17">NA()</definedName>
    <definedName name="____BTR18">NA()</definedName>
    <definedName name="____BTR19">NA()</definedName>
    <definedName name="____BTR2">NA()</definedName>
    <definedName name="____BTR20">NA()</definedName>
    <definedName name="____BTR21">NA()</definedName>
    <definedName name="____BTR22">NA()</definedName>
    <definedName name="____BTR23">NA()</definedName>
    <definedName name="____BTR24">NA()</definedName>
    <definedName name="____BTR3">NA()</definedName>
    <definedName name="____BTR4">NA()</definedName>
    <definedName name="____BTR5">NA()</definedName>
    <definedName name="____BTR6">NA()</definedName>
    <definedName name="____BTR7">NA()</definedName>
    <definedName name="____BTR8">NA()</definedName>
    <definedName name="____BTR9">NA()</definedName>
    <definedName name="____BTS1">NA()</definedName>
    <definedName name="____BTS10">NA()</definedName>
    <definedName name="____BTS11">NA()</definedName>
    <definedName name="____BTS12">NA()</definedName>
    <definedName name="____BTS13">NA()</definedName>
    <definedName name="____BTS14">NA()</definedName>
    <definedName name="____BTS15">NA()</definedName>
    <definedName name="____BTS16">NA()</definedName>
    <definedName name="____BTS17">NA()</definedName>
    <definedName name="____BTS18">NA()</definedName>
    <definedName name="____BTS19">NA()</definedName>
    <definedName name="____BTS2">NA()</definedName>
    <definedName name="____BTS20">NA()</definedName>
    <definedName name="____BTS21">NA()</definedName>
    <definedName name="____BTS22">NA()</definedName>
    <definedName name="____BTS23">NA()</definedName>
    <definedName name="____BTS24">NA()</definedName>
    <definedName name="____BTS3">NA()</definedName>
    <definedName name="____BTS4">NA()</definedName>
    <definedName name="____BTS5">NA()</definedName>
    <definedName name="____BTS6">NA()</definedName>
    <definedName name="____BTS7">NA()</definedName>
    <definedName name="____BTS8">NA()</definedName>
    <definedName name="____BTS9">NA()</definedName>
    <definedName name="____can430">40.73</definedName>
    <definedName name="____can435">43.3</definedName>
    <definedName name="____cbr1">NA()</definedName>
    <definedName name="____cbr2">NA()</definedName>
    <definedName name="____cbr3">NA()</definedName>
    <definedName name="____cbr4">NA()</definedName>
    <definedName name="____dem2">NA()</definedName>
    <definedName name="____df3">NA()</definedName>
    <definedName name="____er1" localSheetId="10">NA()</definedName>
    <definedName name="____er1">NA()</definedName>
    <definedName name="____ewe1">NA()</definedName>
    <definedName name="____f1">NA()</definedName>
    <definedName name="____G120907">"[42]data!#ref!"</definedName>
    <definedName name="____GBS11">NA()</definedName>
    <definedName name="____GBS110">NA()</definedName>
    <definedName name="____GBS111">NA()</definedName>
    <definedName name="____GBS112">NA()</definedName>
    <definedName name="____GBS113">NA()</definedName>
    <definedName name="____GBS114">NA()</definedName>
    <definedName name="____GBS115">NA()</definedName>
    <definedName name="____GBS116">NA()</definedName>
    <definedName name="____GBS117">NA()</definedName>
    <definedName name="____GBS118">NA()</definedName>
    <definedName name="____GBS119">NA()</definedName>
    <definedName name="____GBS12">NA()</definedName>
    <definedName name="____GBS120">NA()</definedName>
    <definedName name="____GBS121">NA()</definedName>
    <definedName name="____GBS122">NA()</definedName>
    <definedName name="____GBS123">NA()</definedName>
    <definedName name="____GBS124">NA()</definedName>
    <definedName name="____GBS13">NA()</definedName>
    <definedName name="____GBS14">NA()</definedName>
    <definedName name="____GBS15">NA()</definedName>
    <definedName name="____GBS16">NA()</definedName>
    <definedName name="____GBS17">NA()</definedName>
    <definedName name="____GBS18">NA()</definedName>
    <definedName name="____GBS19">NA()</definedName>
    <definedName name="____GBS21">NA()</definedName>
    <definedName name="____GBS210">NA()</definedName>
    <definedName name="____GBS211">NA()</definedName>
    <definedName name="____GBS212">NA()</definedName>
    <definedName name="____GBS213">NA()</definedName>
    <definedName name="____GBS214">NA()</definedName>
    <definedName name="____GBS215">NA()</definedName>
    <definedName name="____GBS216">NA()</definedName>
    <definedName name="____GBS217">NA()</definedName>
    <definedName name="____GBS218">NA()</definedName>
    <definedName name="____GBS219">NA()</definedName>
    <definedName name="____GBS22">NA()</definedName>
    <definedName name="____GBS220">NA()</definedName>
    <definedName name="____GBS221">NA()</definedName>
    <definedName name="____GBS222">NA()</definedName>
    <definedName name="____GBS223">NA()</definedName>
    <definedName name="____GBS224">NA()</definedName>
    <definedName name="____GBS23">NA()</definedName>
    <definedName name="____GBS24">NA()</definedName>
    <definedName name="____GBS25">NA()</definedName>
    <definedName name="____GBS26">NA()</definedName>
    <definedName name="____GBS27">NA()</definedName>
    <definedName name="____GBS28">NA()</definedName>
    <definedName name="____GBS29">NA()</definedName>
    <definedName name="____KC139" localSheetId="10">NA()</definedName>
    <definedName name="____KC139">NA()</definedName>
    <definedName name="____knr2" localSheetId="10">NA()</definedName>
    <definedName name="____knr2">NA()</definedName>
    <definedName name="____l12" localSheetId="10">NA()</definedName>
    <definedName name="____l12">NA()</definedName>
    <definedName name="____l3" localSheetId="10">NA()</definedName>
    <definedName name="____l3">NA()</definedName>
    <definedName name="____l5" localSheetId="10">NA()</definedName>
    <definedName name="____l5">NA()</definedName>
    <definedName name="____lj600">NA()</definedName>
    <definedName name="____lj900">NA()</definedName>
    <definedName name="____LL3">NA()</definedName>
    <definedName name="____LSO24">"[14]lead!#ref!"</definedName>
    <definedName name="____MA1">NA()</definedName>
    <definedName name="____MA2">NA()</definedName>
    <definedName name="____me12">NA()</definedName>
    <definedName name="____Met22" localSheetId="10">NA()</definedName>
    <definedName name="____Met22">NA()</definedName>
    <definedName name="____Met45" localSheetId="10">NA()</definedName>
    <definedName name="____Met45">NA()</definedName>
    <definedName name="____MEt55" localSheetId="10">NA()</definedName>
    <definedName name="____MEt55">NA()</definedName>
    <definedName name="____Met63" localSheetId="10">NA()</definedName>
    <definedName name="____Met63">NA()</definedName>
    <definedName name="____ML21">NA()</definedName>
    <definedName name="____ML210">NA()</definedName>
    <definedName name="____ML211">NA()</definedName>
    <definedName name="____ML212">NA()</definedName>
    <definedName name="____ML213">NA()</definedName>
    <definedName name="____ML214">NA()</definedName>
    <definedName name="____ML215">NA()</definedName>
    <definedName name="____ML216">NA()</definedName>
    <definedName name="____ML217">NA()</definedName>
    <definedName name="____ML218">NA()</definedName>
    <definedName name="____ML219">NA()</definedName>
    <definedName name="____ML22">NA()</definedName>
    <definedName name="____ML220">NA()</definedName>
    <definedName name="____ML221">NA()</definedName>
    <definedName name="____ML222">NA()</definedName>
    <definedName name="____ML223">NA()</definedName>
    <definedName name="____ML224">NA()</definedName>
    <definedName name="____ML23">NA()</definedName>
    <definedName name="____ML24">NA()</definedName>
    <definedName name="____ML25">NA()</definedName>
    <definedName name="____ML26">NA()</definedName>
    <definedName name="____ML27">NA()</definedName>
    <definedName name="____ML28">NA()</definedName>
    <definedName name="____ML29">NA()</definedName>
    <definedName name="____ML31">NA()</definedName>
    <definedName name="____ML310">NA()</definedName>
    <definedName name="____ML311">NA()</definedName>
    <definedName name="____ML312">NA()</definedName>
    <definedName name="____ML313">NA()</definedName>
    <definedName name="____ML314">NA()</definedName>
    <definedName name="____ML315">NA()</definedName>
    <definedName name="____ML316">NA()</definedName>
    <definedName name="____ML317">NA()</definedName>
    <definedName name="____ML318">NA()</definedName>
    <definedName name="____ML319">NA()</definedName>
    <definedName name="____ML32">NA()</definedName>
    <definedName name="____ML320">NA()</definedName>
    <definedName name="____ML321">NA()</definedName>
    <definedName name="____ML322">NA()</definedName>
    <definedName name="____ML323">NA()</definedName>
    <definedName name="____ML324">NA()</definedName>
    <definedName name="____ML33">NA()</definedName>
    <definedName name="____ML34">NA()</definedName>
    <definedName name="____ML35">NA()</definedName>
    <definedName name="____ML36">NA()</definedName>
    <definedName name="____ML37">NA()</definedName>
    <definedName name="____ML38">NA()</definedName>
    <definedName name="____ML39">NA()</definedName>
    <definedName name="____ML7">NA()</definedName>
    <definedName name="____ML8">NA()</definedName>
    <definedName name="____ML9">NA()</definedName>
    <definedName name="____mm1000" localSheetId="10">NA()</definedName>
    <definedName name="____mm1000">NA()</definedName>
    <definedName name="____mm20">NA()</definedName>
    <definedName name="____mm40">NA()</definedName>
    <definedName name="____mm600" localSheetId="10">NA()</definedName>
    <definedName name="____mm600">NA()</definedName>
    <definedName name="____mm800" localSheetId="10">NA()</definedName>
    <definedName name="____mm800">NA()</definedName>
    <definedName name="____PC1">NA()</definedName>
    <definedName name="____PC10">NA()</definedName>
    <definedName name="____PC11">NA()</definedName>
    <definedName name="____PC12">NA()</definedName>
    <definedName name="____PC13">NA()</definedName>
    <definedName name="____PC14">NA()</definedName>
    <definedName name="____PC15">NA()</definedName>
    <definedName name="____PC16">NA()</definedName>
    <definedName name="____PC17">NA()</definedName>
    <definedName name="____PC18">NA()</definedName>
    <definedName name="____PC19">NA()</definedName>
    <definedName name="____pc2" localSheetId="10">NA()</definedName>
    <definedName name="____pc2">NA()</definedName>
    <definedName name="____PC20">NA()</definedName>
    <definedName name="____PC21">NA()</definedName>
    <definedName name="____PC22">NA()</definedName>
    <definedName name="____PC23">NA()</definedName>
    <definedName name="____PC24">NA()</definedName>
    <definedName name="____PC3">NA()</definedName>
    <definedName name="____PC4">NA()</definedName>
    <definedName name="____PC5">NA()</definedName>
    <definedName name="____PC6">NA()</definedName>
    <definedName name="____pc600">NA()</definedName>
    <definedName name="____PC7">NA()</definedName>
    <definedName name="____PC8">NA()</definedName>
    <definedName name="____PC9">NA()</definedName>
    <definedName name="____pc900">NA()</definedName>
    <definedName name="____pv1">NA()</definedName>
    <definedName name="____pv2" localSheetId="10">NA()</definedName>
    <definedName name="____pv2">NA()</definedName>
    <definedName name="____S12" localSheetId="10">NA()</definedName>
    <definedName name="____S12">NA()</definedName>
    <definedName name="____SO016">NA()</definedName>
    <definedName name="____SP001">NA()</definedName>
    <definedName name="____SP002">NA()</definedName>
    <definedName name="____SP003">NA()</definedName>
    <definedName name="____SP004">NA()</definedName>
    <definedName name="____SP005">NA()</definedName>
    <definedName name="____SP006">NA()</definedName>
    <definedName name="____SP007">NA()</definedName>
    <definedName name="____SP008">NA()</definedName>
    <definedName name="____SP009">NA()</definedName>
    <definedName name="____SP010">NA()</definedName>
    <definedName name="____SP011">NA()</definedName>
    <definedName name="____SP012">NA()</definedName>
    <definedName name="____SP013">NA()</definedName>
    <definedName name="____SP014">NA()</definedName>
    <definedName name="____SP015">NA()</definedName>
    <definedName name="____SP016">NA()</definedName>
    <definedName name="____SP017">NA()</definedName>
    <definedName name="____SP018">NA()</definedName>
    <definedName name="____SP019">NA()</definedName>
    <definedName name="____SP020">NA()</definedName>
    <definedName name="____SP021">NA()</definedName>
    <definedName name="____SP022">NA()</definedName>
    <definedName name="____SP023">NA()</definedName>
    <definedName name="____SP024">NA()</definedName>
    <definedName name="____SP025">NA()</definedName>
    <definedName name="____SP026">NA()</definedName>
    <definedName name="____SP027">NA()</definedName>
    <definedName name="____SP028">NA()</definedName>
    <definedName name="____SP029">NA()</definedName>
    <definedName name="____SP030">NA()</definedName>
    <definedName name="____SP031">NA()</definedName>
    <definedName name="____SP032">NA()</definedName>
    <definedName name="____SP033">NA()</definedName>
    <definedName name="____SP034">NA()</definedName>
    <definedName name="____SP035">NA()</definedName>
    <definedName name="____SP036">NA()</definedName>
    <definedName name="____SP037">NA()</definedName>
    <definedName name="____SP038">NA()</definedName>
    <definedName name="____SP039">NA()</definedName>
    <definedName name="____SP040">NA()</definedName>
    <definedName name="____SP041">NA()</definedName>
    <definedName name="____SP042">NA()</definedName>
    <definedName name="____SP043">NA()</definedName>
    <definedName name="____SP044">NA()</definedName>
    <definedName name="____SP045">NA()</definedName>
    <definedName name="____SP046">NA()</definedName>
    <definedName name="____SP047">NA()</definedName>
    <definedName name="____SP048">NA()</definedName>
    <definedName name="____SP049">NA()</definedName>
    <definedName name="____SP050">NA()</definedName>
    <definedName name="____SP051">NA()</definedName>
    <definedName name="____SP052">NA()</definedName>
    <definedName name="____SP053">NA()</definedName>
    <definedName name="____SP054">NA()</definedName>
    <definedName name="____SP055">NA()</definedName>
    <definedName name="____SP056">NA()</definedName>
    <definedName name="____SP057">NA()</definedName>
    <definedName name="____SP058">NA()</definedName>
    <definedName name="____SP059">NA()</definedName>
    <definedName name="____SP060">NA()</definedName>
    <definedName name="____SP061">NA()</definedName>
    <definedName name="____SP062">NA()</definedName>
    <definedName name="____SP063">NA()</definedName>
    <definedName name="____SP064">NA()</definedName>
    <definedName name="____SP065">NA()</definedName>
    <definedName name="____SP066">NA()</definedName>
    <definedName name="____SP067">NA()</definedName>
    <definedName name="____SP068">NA()</definedName>
    <definedName name="____SP069">NA()</definedName>
    <definedName name="____SP070">NA()</definedName>
    <definedName name="____sp071">NA()</definedName>
    <definedName name="____SP072">NA()</definedName>
    <definedName name="____SP073">NA()</definedName>
    <definedName name="____SP074">NA()</definedName>
    <definedName name="____SP075">NA()</definedName>
    <definedName name="____SP076">NA()</definedName>
    <definedName name="____SP077">NA()</definedName>
    <definedName name="____sp078">NA()</definedName>
    <definedName name="____SPO79">NA()</definedName>
    <definedName name="____var1" localSheetId="10">NA()</definedName>
    <definedName name="____var1">NA()</definedName>
    <definedName name="____var4" localSheetId="10">NA()</definedName>
    <definedName name="____var4">NA()</definedName>
    <definedName name="____vat1">NA()</definedName>
    <definedName name="____vat2">NA()</definedName>
    <definedName name="____xlnm_Print_Titles_1">NA()</definedName>
    <definedName name="___BSG100" localSheetId="10">NA()</definedName>
    <definedName name="___BSG100">NA()</definedName>
    <definedName name="___BSG150" localSheetId="10">NA()</definedName>
    <definedName name="___BSG150">NA()</definedName>
    <definedName name="___BSG5" localSheetId="10">NA()</definedName>
    <definedName name="___BSG5">NA()</definedName>
    <definedName name="___BSG75" localSheetId="10">NA()</definedName>
    <definedName name="___BSG75">NA()</definedName>
    <definedName name="___BTC1" localSheetId="10">NA()</definedName>
    <definedName name="___BTC1">NA()</definedName>
    <definedName name="___BTC10" localSheetId="10">NA()</definedName>
    <definedName name="___BTC10">NA()</definedName>
    <definedName name="___BTC11" localSheetId="10">NA()</definedName>
    <definedName name="___BTC11">NA()</definedName>
    <definedName name="___BTC12" localSheetId="10">NA()</definedName>
    <definedName name="___BTC12">NA()</definedName>
    <definedName name="___BTC13" localSheetId="10">NA()</definedName>
    <definedName name="___BTC13">NA()</definedName>
    <definedName name="___BTC14" localSheetId="10">NA()</definedName>
    <definedName name="___BTC14">NA()</definedName>
    <definedName name="___BTC15" localSheetId="10">NA()</definedName>
    <definedName name="___BTC15">NA()</definedName>
    <definedName name="___BTC16" localSheetId="10">NA()</definedName>
    <definedName name="___BTC16">NA()</definedName>
    <definedName name="___BTC17" localSheetId="10">NA()</definedName>
    <definedName name="___BTC17">NA()</definedName>
    <definedName name="___BTC18" localSheetId="10">NA()</definedName>
    <definedName name="___BTC18">NA()</definedName>
    <definedName name="___BTC19" localSheetId="10">NA()</definedName>
    <definedName name="___BTC19">NA()</definedName>
    <definedName name="___BTC2" localSheetId="10">NA()</definedName>
    <definedName name="___BTC2">NA()</definedName>
    <definedName name="___BTC20" localSheetId="10">NA()</definedName>
    <definedName name="___BTC20">NA()</definedName>
    <definedName name="___BTC21" localSheetId="10">NA()</definedName>
    <definedName name="___BTC21">NA()</definedName>
    <definedName name="___BTC22" localSheetId="10">NA()</definedName>
    <definedName name="___BTC22">NA()</definedName>
    <definedName name="___BTC23" localSheetId="10">NA()</definedName>
    <definedName name="___BTC23">NA()</definedName>
    <definedName name="___BTC24" localSheetId="10">NA()</definedName>
    <definedName name="___BTC24">NA()</definedName>
    <definedName name="___BTC3" localSheetId="10">NA()</definedName>
    <definedName name="___BTC3">NA()</definedName>
    <definedName name="___BTC4" localSheetId="10">NA()</definedName>
    <definedName name="___BTC4">NA()</definedName>
    <definedName name="___BTC5" localSheetId="10">NA()</definedName>
    <definedName name="___BTC5">NA()</definedName>
    <definedName name="___BTC6" localSheetId="10">NA()</definedName>
    <definedName name="___BTC6">NA()</definedName>
    <definedName name="___BTC7" localSheetId="10">NA()</definedName>
    <definedName name="___BTC7">NA()</definedName>
    <definedName name="___BTC8" localSheetId="10">NA()</definedName>
    <definedName name="___BTC8">NA()</definedName>
    <definedName name="___BTC9" localSheetId="10">NA()</definedName>
    <definedName name="___BTC9">NA()</definedName>
    <definedName name="___BTR1" localSheetId="10">NA()</definedName>
    <definedName name="___BTR1">NA()</definedName>
    <definedName name="___BTR10" localSheetId="10">NA()</definedName>
    <definedName name="___BTR10">NA()</definedName>
    <definedName name="___BTR11" localSheetId="10">NA()</definedName>
    <definedName name="___BTR11">NA()</definedName>
    <definedName name="___BTR12" localSheetId="10">NA()</definedName>
    <definedName name="___BTR12">NA()</definedName>
    <definedName name="___BTR13" localSheetId="10">NA()</definedName>
    <definedName name="___BTR13">NA()</definedName>
    <definedName name="___BTR14" localSheetId="10">NA()</definedName>
    <definedName name="___BTR14">NA()</definedName>
    <definedName name="___BTR15" localSheetId="10">NA()</definedName>
    <definedName name="___BTR15">NA()</definedName>
    <definedName name="___BTR16" localSheetId="10">NA()</definedName>
    <definedName name="___BTR16">NA()</definedName>
    <definedName name="___BTR17" localSheetId="10">NA()</definedName>
    <definedName name="___BTR17">NA()</definedName>
    <definedName name="___BTR18" localSheetId="10">NA()</definedName>
    <definedName name="___BTR18">NA()</definedName>
    <definedName name="___BTR19" localSheetId="10">NA()</definedName>
    <definedName name="___BTR19">NA()</definedName>
    <definedName name="___BTR2" localSheetId="10">NA()</definedName>
    <definedName name="___BTR2">NA()</definedName>
    <definedName name="___BTR20" localSheetId="10">NA()</definedName>
    <definedName name="___BTR20">NA()</definedName>
    <definedName name="___BTR21" localSheetId="10">NA()</definedName>
    <definedName name="___BTR21">NA()</definedName>
    <definedName name="___BTR22" localSheetId="10">NA()</definedName>
    <definedName name="___BTR22">NA()</definedName>
    <definedName name="___BTR23" localSheetId="10">NA()</definedName>
    <definedName name="___BTR23">NA()</definedName>
    <definedName name="___BTR24" localSheetId="10">NA()</definedName>
    <definedName name="___BTR24">NA()</definedName>
    <definedName name="___BTR3" localSheetId="10">NA()</definedName>
    <definedName name="___BTR3">NA()</definedName>
    <definedName name="___BTR4" localSheetId="10">NA()</definedName>
    <definedName name="___BTR4">NA()</definedName>
    <definedName name="___BTR5" localSheetId="10">NA()</definedName>
    <definedName name="___BTR5">NA()</definedName>
    <definedName name="___BTR6" localSheetId="10">NA()</definedName>
    <definedName name="___BTR6">NA()</definedName>
    <definedName name="___BTR7" localSheetId="10">NA()</definedName>
    <definedName name="___BTR7">NA()</definedName>
    <definedName name="___BTR8" localSheetId="10">NA()</definedName>
    <definedName name="___BTR8">NA()</definedName>
    <definedName name="___BTR9" localSheetId="10">NA()</definedName>
    <definedName name="___BTR9">NA()</definedName>
    <definedName name="___BTS1" localSheetId="10">NA()</definedName>
    <definedName name="___BTS1">NA()</definedName>
    <definedName name="___BTS10" localSheetId="10">NA()</definedName>
    <definedName name="___BTS10">NA()</definedName>
    <definedName name="___BTS11" localSheetId="10">NA()</definedName>
    <definedName name="___BTS11">NA()</definedName>
    <definedName name="___BTS12" localSheetId="10">NA()</definedName>
    <definedName name="___BTS12">NA()</definedName>
    <definedName name="___BTS13" localSheetId="10">NA()</definedName>
    <definedName name="___BTS13">NA()</definedName>
    <definedName name="___BTS14" localSheetId="10">NA()</definedName>
    <definedName name="___BTS14">NA()</definedName>
    <definedName name="___BTS15" localSheetId="10">NA()</definedName>
    <definedName name="___BTS15">NA()</definedName>
    <definedName name="___BTS16" localSheetId="10">NA()</definedName>
    <definedName name="___BTS16">NA()</definedName>
    <definedName name="___BTS17" localSheetId="10">NA()</definedName>
    <definedName name="___BTS17">NA()</definedName>
    <definedName name="___BTS18" localSheetId="10">NA()</definedName>
    <definedName name="___BTS18">NA()</definedName>
    <definedName name="___BTS19" localSheetId="10">NA()</definedName>
    <definedName name="___BTS19">NA()</definedName>
    <definedName name="___BTS2" localSheetId="10">NA()</definedName>
    <definedName name="___BTS2">NA()</definedName>
    <definedName name="___BTS20" localSheetId="10">NA()</definedName>
    <definedName name="___BTS20">NA()</definedName>
    <definedName name="___BTS21" localSheetId="10">NA()</definedName>
    <definedName name="___BTS21">NA()</definedName>
    <definedName name="___BTS22" localSheetId="10">NA()</definedName>
    <definedName name="___BTS22">NA()</definedName>
    <definedName name="___BTS23" localSheetId="10">NA()</definedName>
    <definedName name="___BTS23">NA()</definedName>
    <definedName name="___BTS24" localSheetId="10">NA()</definedName>
    <definedName name="___BTS24">NA()</definedName>
    <definedName name="___BTS3" localSheetId="10">NA()</definedName>
    <definedName name="___BTS3">NA()</definedName>
    <definedName name="___BTS4" localSheetId="10">NA()</definedName>
    <definedName name="___BTS4">NA()</definedName>
    <definedName name="___BTS5" localSheetId="10">NA()</definedName>
    <definedName name="___BTS5">NA()</definedName>
    <definedName name="___BTS6" localSheetId="10">NA()</definedName>
    <definedName name="___BTS6">NA()</definedName>
    <definedName name="___BTS7" localSheetId="10">NA()</definedName>
    <definedName name="___BTS7">NA()</definedName>
    <definedName name="___BTS8" localSheetId="10">NA()</definedName>
    <definedName name="___BTS8">NA()</definedName>
    <definedName name="___BTS9" localSheetId="10">NA()</definedName>
    <definedName name="___BTS9">NA()</definedName>
    <definedName name="___can430">40.73</definedName>
    <definedName name="___can435">43.3</definedName>
    <definedName name="___cbr1">NA()</definedName>
    <definedName name="___cbr2">NA()</definedName>
    <definedName name="___cbr3">NA()</definedName>
    <definedName name="___cbr4">NA()</definedName>
    <definedName name="___cem1">NA()</definedName>
    <definedName name="___df3">NA()</definedName>
    <definedName name="___er1" localSheetId="10">NA()</definedName>
    <definedName name="___er1">NA()</definedName>
    <definedName name="___ewe1">NA()</definedName>
    <definedName name="___f1">NA()</definedName>
    <definedName name="___G120907">"[42]data!#ref!"</definedName>
    <definedName name="___GBS11" localSheetId="10">NA()</definedName>
    <definedName name="___GBS11">NA()</definedName>
    <definedName name="___GBS110" localSheetId="10">NA()</definedName>
    <definedName name="___GBS110">NA()</definedName>
    <definedName name="___GBS111" localSheetId="10">NA()</definedName>
    <definedName name="___GBS111">NA()</definedName>
    <definedName name="___GBS112" localSheetId="10">NA()</definedName>
    <definedName name="___GBS112">NA()</definedName>
    <definedName name="___GBS113" localSheetId="10">NA()</definedName>
    <definedName name="___GBS113">NA()</definedName>
    <definedName name="___GBS114" localSheetId="10">NA()</definedName>
    <definedName name="___GBS114">NA()</definedName>
    <definedName name="___GBS115" localSheetId="10">NA()</definedName>
    <definedName name="___GBS115">NA()</definedName>
    <definedName name="___GBS116" localSheetId="10">NA()</definedName>
    <definedName name="___GBS116">NA()</definedName>
    <definedName name="___GBS117" localSheetId="10">NA()</definedName>
    <definedName name="___GBS117">NA()</definedName>
    <definedName name="___GBS118" localSheetId="10">NA()</definedName>
    <definedName name="___GBS118">NA()</definedName>
    <definedName name="___GBS119" localSheetId="10">NA()</definedName>
    <definedName name="___GBS119">NA()</definedName>
    <definedName name="___GBS12" localSheetId="10">NA()</definedName>
    <definedName name="___GBS12">NA()</definedName>
    <definedName name="___GBS120" localSheetId="10">NA()</definedName>
    <definedName name="___GBS120">NA()</definedName>
    <definedName name="___GBS121" localSheetId="10">NA()</definedName>
    <definedName name="___GBS121">NA()</definedName>
    <definedName name="___GBS122" localSheetId="10">NA()</definedName>
    <definedName name="___GBS122">NA()</definedName>
    <definedName name="___GBS123" localSheetId="10">NA()</definedName>
    <definedName name="___GBS123">NA()</definedName>
    <definedName name="___GBS124" localSheetId="10">NA()</definedName>
    <definedName name="___GBS124">NA()</definedName>
    <definedName name="___GBS13" localSheetId="10">NA()</definedName>
    <definedName name="___GBS13">NA()</definedName>
    <definedName name="___GBS14" localSheetId="10">NA()</definedName>
    <definedName name="___GBS14">NA()</definedName>
    <definedName name="___GBS15" localSheetId="10">NA()</definedName>
    <definedName name="___GBS15">NA()</definedName>
    <definedName name="___GBS16" localSheetId="10">NA()</definedName>
    <definedName name="___GBS16">NA()</definedName>
    <definedName name="___GBS17" localSheetId="10">NA()</definedName>
    <definedName name="___GBS17">NA()</definedName>
    <definedName name="___GBS18" localSheetId="10">NA()</definedName>
    <definedName name="___GBS18">NA()</definedName>
    <definedName name="___GBS19" localSheetId="10">NA()</definedName>
    <definedName name="___GBS19">NA()</definedName>
    <definedName name="___GBS21" localSheetId="10">NA()</definedName>
    <definedName name="___GBS21">NA()</definedName>
    <definedName name="___GBS210" localSheetId="10">NA()</definedName>
    <definedName name="___GBS210">NA()</definedName>
    <definedName name="___GBS211" localSheetId="10">NA()</definedName>
    <definedName name="___GBS211">NA()</definedName>
    <definedName name="___GBS212" localSheetId="10">NA()</definedName>
    <definedName name="___GBS212">NA()</definedName>
    <definedName name="___GBS213" localSheetId="10">NA()</definedName>
    <definedName name="___GBS213">NA()</definedName>
    <definedName name="___GBS214" localSheetId="10">NA()</definedName>
    <definedName name="___GBS214">NA()</definedName>
    <definedName name="___GBS215" localSheetId="10">NA()</definedName>
    <definedName name="___GBS215">NA()</definedName>
    <definedName name="___GBS216" localSheetId="10">NA()</definedName>
    <definedName name="___GBS216">NA()</definedName>
    <definedName name="___GBS217" localSheetId="10">NA()</definedName>
    <definedName name="___GBS217">NA()</definedName>
    <definedName name="___GBS218" localSheetId="10">NA()</definedName>
    <definedName name="___GBS218">NA()</definedName>
    <definedName name="___GBS219" localSheetId="10">NA()</definedName>
    <definedName name="___GBS219">NA()</definedName>
    <definedName name="___GBS22" localSheetId="10">NA()</definedName>
    <definedName name="___GBS22">NA()</definedName>
    <definedName name="___GBS220" localSheetId="10">NA()</definedName>
    <definedName name="___GBS220">NA()</definedName>
    <definedName name="___GBS221" localSheetId="10">NA()</definedName>
    <definedName name="___GBS221">NA()</definedName>
    <definedName name="___GBS222" localSheetId="10">NA()</definedName>
    <definedName name="___GBS222">NA()</definedName>
    <definedName name="___GBS223" localSheetId="10">NA()</definedName>
    <definedName name="___GBS223">NA()</definedName>
    <definedName name="___GBS224" localSheetId="10">NA()</definedName>
    <definedName name="___GBS224">NA()</definedName>
    <definedName name="___GBS23" localSheetId="10">NA()</definedName>
    <definedName name="___GBS23">NA()</definedName>
    <definedName name="___GBS24" localSheetId="10">NA()</definedName>
    <definedName name="___GBS24">NA()</definedName>
    <definedName name="___GBS25" localSheetId="10">NA()</definedName>
    <definedName name="___GBS25">NA()</definedName>
    <definedName name="___GBS26" localSheetId="10">NA()</definedName>
    <definedName name="___GBS26">NA()</definedName>
    <definedName name="___GBS27" localSheetId="10">NA()</definedName>
    <definedName name="___GBS27">NA()</definedName>
    <definedName name="___GBS28" localSheetId="10">NA()</definedName>
    <definedName name="___GBS28">NA()</definedName>
    <definedName name="___GBS29" localSheetId="10">NA()</definedName>
    <definedName name="___GBS29">NA()</definedName>
    <definedName name="___grp10003">NA()</definedName>
    <definedName name="___grp3503">NA()</definedName>
    <definedName name="___grp4003">NA()</definedName>
    <definedName name="___grp4503">NA()</definedName>
    <definedName name="___grp5003">NA()</definedName>
    <definedName name="___grp6003">NA()</definedName>
    <definedName name="___grp7003">NA()</definedName>
    <definedName name="___grp8003">NA()</definedName>
    <definedName name="___grp9003">NA()</definedName>
    <definedName name="___KC139" localSheetId="10">NA()</definedName>
    <definedName name="___KC139">NA()</definedName>
    <definedName name="___knr2" localSheetId="10">NA()</definedName>
    <definedName name="___knr2">NA()</definedName>
    <definedName name="___KNR3">NA()</definedName>
    <definedName name="___l12" localSheetId="10">NA()</definedName>
    <definedName name="___l12">NA()</definedName>
    <definedName name="___l3" localSheetId="10">NA()</definedName>
    <definedName name="___l3">NA()</definedName>
    <definedName name="___l5" localSheetId="10">NA()</definedName>
    <definedName name="___l5">NA()</definedName>
    <definedName name="___lj600" localSheetId="10">NA()</definedName>
    <definedName name="___lj600">NA()</definedName>
    <definedName name="___lj900" localSheetId="10">NA()</definedName>
    <definedName name="___lj900">NA()</definedName>
    <definedName name="___LL3" localSheetId="10">NA()</definedName>
    <definedName name="___LL3">NA()</definedName>
    <definedName name="___LSO24">"[14]lead!#ref!"</definedName>
    <definedName name="___MA1">NA()</definedName>
    <definedName name="___me12">NA()</definedName>
    <definedName name="___me15">NA()</definedName>
    <definedName name="___Met22" localSheetId="10">NA()</definedName>
    <definedName name="___Met22">NA()</definedName>
    <definedName name="___Met45" localSheetId="10">NA()</definedName>
    <definedName name="___Met45">NA()</definedName>
    <definedName name="___MEt55" localSheetId="10">NA()</definedName>
    <definedName name="___MEt55">NA()</definedName>
    <definedName name="___Met63" localSheetId="10">NA()</definedName>
    <definedName name="___Met63">NA()</definedName>
    <definedName name="___ML21" localSheetId="10">NA()</definedName>
    <definedName name="___ML21">NA()</definedName>
    <definedName name="___ML210" localSheetId="10">NA()</definedName>
    <definedName name="___ML210">NA()</definedName>
    <definedName name="___ML211" localSheetId="10">NA()</definedName>
    <definedName name="___ML211">NA()</definedName>
    <definedName name="___ML212" localSheetId="10">NA()</definedName>
    <definedName name="___ML212">NA()</definedName>
    <definedName name="___ML213" localSheetId="10">NA()</definedName>
    <definedName name="___ML213">NA()</definedName>
    <definedName name="___ML214" localSheetId="10">NA()</definedName>
    <definedName name="___ML214">NA()</definedName>
    <definedName name="___ML215" localSheetId="10">NA()</definedName>
    <definedName name="___ML215">NA()</definedName>
    <definedName name="___ML216" localSheetId="10">NA()</definedName>
    <definedName name="___ML216">NA()</definedName>
    <definedName name="___ML217" localSheetId="10">NA()</definedName>
    <definedName name="___ML217">NA()</definedName>
    <definedName name="___ML218" localSheetId="10">NA()</definedName>
    <definedName name="___ML218">NA()</definedName>
    <definedName name="___ML219" localSheetId="10">NA()</definedName>
    <definedName name="___ML219">NA()</definedName>
    <definedName name="___ML22" localSheetId="10">NA()</definedName>
    <definedName name="___ML22">NA()</definedName>
    <definedName name="___ML220" localSheetId="10">NA()</definedName>
    <definedName name="___ML220">NA()</definedName>
    <definedName name="___ML221" localSheetId="10">NA()</definedName>
    <definedName name="___ML221">NA()</definedName>
    <definedName name="___ML222" localSheetId="10">NA()</definedName>
    <definedName name="___ML222">NA()</definedName>
    <definedName name="___ML223" localSheetId="10">NA()</definedName>
    <definedName name="___ML223">NA()</definedName>
    <definedName name="___ML224" localSheetId="10">NA()</definedName>
    <definedName name="___ML224">NA()</definedName>
    <definedName name="___ML23" localSheetId="10">NA()</definedName>
    <definedName name="___ML23">NA()</definedName>
    <definedName name="___ML24" localSheetId="10">NA()</definedName>
    <definedName name="___ML24">NA()</definedName>
    <definedName name="___ML25" localSheetId="10">NA()</definedName>
    <definedName name="___ML25">NA()</definedName>
    <definedName name="___ML26" localSheetId="10">NA()</definedName>
    <definedName name="___ML26">NA()</definedName>
    <definedName name="___ML27" localSheetId="10">NA()</definedName>
    <definedName name="___ML27">NA()</definedName>
    <definedName name="___ML28" localSheetId="10">NA()</definedName>
    <definedName name="___ML28">NA()</definedName>
    <definedName name="___ML29" localSheetId="10">NA()</definedName>
    <definedName name="___ML29">NA()</definedName>
    <definedName name="___ML31" localSheetId="10">NA()</definedName>
    <definedName name="___ML31">NA()</definedName>
    <definedName name="___ML310" localSheetId="10">NA()</definedName>
    <definedName name="___ML310">NA()</definedName>
    <definedName name="___ML311" localSheetId="10">NA()</definedName>
    <definedName name="___ML311">NA()</definedName>
    <definedName name="___ML312" localSheetId="10">NA()</definedName>
    <definedName name="___ML312">NA()</definedName>
    <definedName name="___ML313" localSheetId="10">NA()</definedName>
    <definedName name="___ML313">NA()</definedName>
    <definedName name="___ML314" localSheetId="10">NA()</definedName>
    <definedName name="___ML314">NA()</definedName>
    <definedName name="___ML315" localSheetId="10">NA()</definedName>
    <definedName name="___ML315">NA()</definedName>
    <definedName name="___ML316" localSheetId="10">NA()</definedName>
    <definedName name="___ML316">NA()</definedName>
    <definedName name="___ML317" localSheetId="10">NA()</definedName>
    <definedName name="___ML317">NA()</definedName>
    <definedName name="___ML318" localSheetId="10">NA()</definedName>
    <definedName name="___ML318">NA()</definedName>
    <definedName name="___ML319" localSheetId="10">NA()</definedName>
    <definedName name="___ML319">NA()</definedName>
    <definedName name="___ML32" localSheetId="10">NA()</definedName>
    <definedName name="___ML32">NA()</definedName>
    <definedName name="___ML320" localSheetId="10">NA()</definedName>
    <definedName name="___ML320">NA()</definedName>
    <definedName name="___ML321" localSheetId="10">NA()</definedName>
    <definedName name="___ML321">NA()</definedName>
    <definedName name="___ML322" localSheetId="10">NA()</definedName>
    <definedName name="___ML322">NA()</definedName>
    <definedName name="___ML323" localSheetId="10">NA()</definedName>
    <definedName name="___ML323">NA()</definedName>
    <definedName name="___ML324" localSheetId="10">NA()</definedName>
    <definedName name="___ML324">NA()</definedName>
    <definedName name="___ML33" localSheetId="10">NA()</definedName>
    <definedName name="___ML33">NA()</definedName>
    <definedName name="___ML34" localSheetId="10">NA()</definedName>
    <definedName name="___ML34">NA()</definedName>
    <definedName name="___ML35" localSheetId="10">NA()</definedName>
    <definedName name="___ML35">NA()</definedName>
    <definedName name="___ML36" localSheetId="10">NA()</definedName>
    <definedName name="___ML36">NA()</definedName>
    <definedName name="___ML37" localSheetId="10">NA()</definedName>
    <definedName name="___ML37">NA()</definedName>
    <definedName name="___ML38" localSheetId="10">NA()</definedName>
    <definedName name="___ML38">NA()</definedName>
    <definedName name="___ML39" localSheetId="10">NA()</definedName>
    <definedName name="___ML39">NA()</definedName>
    <definedName name="___ML7" localSheetId="10">NA()</definedName>
    <definedName name="___ML7">NA()</definedName>
    <definedName name="___ML8" localSheetId="10">NA()</definedName>
    <definedName name="___ML8">NA()</definedName>
    <definedName name="___ML9" localSheetId="10">NA()</definedName>
    <definedName name="___ML9">NA()</definedName>
    <definedName name="___mm1000" localSheetId="10">NA()</definedName>
    <definedName name="___mm1000">NA()</definedName>
    <definedName name="___mm20">NA()</definedName>
    <definedName name="___mm40">NA()</definedName>
    <definedName name="___mm600" localSheetId="10">NA()</definedName>
    <definedName name="___mm600">NA()</definedName>
    <definedName name="___mm800" localSheetId="10">NA()</definedName>
    <definedName name="___mm800">NA()</definedName>
    <definedName name="___ne10">NA()</definedName>
    <definedName name="___PC1" localSheetId="10">NA()</definedName>
    <definedName name="___PC1">NA()</definedName>
    <definedName name="___PC10" localSheetId="10">NA()</definedName>
    <definedName name="___PC10">NA()</definedName>
    <definedName name="___PC11" localSheetId="10">NA()</definedName>
    <definedName name="___PC11">NA()</definedName>
    <definedName name="___PC12" localSheetId="10">NA()</definedName>
    <definedName name="___PC12">NA()</definedName>
    <definedName name="___PC13" localSheetId="10">NA()</definedName>
    <definedName name="___PC13">NA()</definedName>
    <definedName name="___PC14" localSheetId="10">NA()</definedName>
    <definedName name="___PC14">NA()</definedName>
    <definedName name="___PC15" localSheetId="10">NA()</definedName>
    <definedName name="___PC15">NA()</definedName>
    <definedName name="___PC16" localSheetId="10">NA()</definedName>
    <definedName name="___PC16">NA()</definedName>
    <definedName name="___PC17" localSheetId="10">NA()</definedName>
    <definedName name="___PC17">NA()</definedName>
    <definedName name="___PC18" localSheetId="10">NA()</definedName>
    <definedName name="___PC18">NA()</definedName>
    <definedName name="___PC19" localSheetId="10">NA()</definedName>
    <definedName name="___PC19">NA()</definedName>
    <definedName name="___pc2" localSheetId="10">NA()</definedName>
    <definedName name="___pc2">NA()</definedName>
    <definedName name="___PC20" localSheetId="10">NA()</definedName>
    <definedName name="___PC20">NA()</definedName>
    <definedName name="___PC21" localSheetId="10">NA()</definedName>
    <definedName name="___PC21">NA()</definedName>
    <definedName name="___PC22" localSheetId="10">NA()</definedName>
    <definedName name="___PC22">NA()</definedName>
    <definedName name="___PC23" localSheetId="10">NA()</definedName>
    <definedName name="___PC23">NA()</definedName>
    <definedName name="___PC24" localSheetId="10">NA()</definedName>
    <definedName name="___PC24">NA()</definedName>
    <definedName name="___PC3" localSheetId="10">NA()</definedName>
    <definedName name="___PC3">NA()</definedName>
    <definedName name="___PC4" localSheetId="10">NA()</definedName>
    <definedName name="___PC4">NA()</definedName>
    <definedName name="___PC5" localSheetId="10">NA()</definedName>
    <definedName name="___PC5">NA()</definedName>
    <definedName name="___PC6" localSheetId="10">NA()</definedName>
    <definedName name="___PC6">NA()</definedName>
    <definedName name="___pc600" localSheetId="10">NA()</definedName>
    <definedName name="___pc600">NA()</definedName>
    <definedName name="___PC7" localSheetId="10">NA()</definedName>
    <definedName name="___PC7">NA()</definedName>
    <definedName name="___PC8" localSheetId="10">NA()</definedName>
    <definedName name="___PC8">NA()</definedName>
    <definedName name="___PC9" localSheetId="10">NA()</definedName>
    <definedName name="___PC9">NA()</definedName>
    <definedName name="___pc900" localSheetId="10">NA()</definedName>
    <definedName name="___pc900">NA()</definedName>
    <definedName name="___psc10006">NA()</definedName>
    <definedName name="___psc10008">NA()</definedName>
    <definedName name="___psc3506">NA()</definedName>
    <definedName name="___psc3508">NA()</definedName>
    <definedName name="___psc4006">NA()</definedName>
    <definedName name="___psc4008">NA()</definedName>
    <definedName name="___psc4506">NA()</definedName>
    <definedName name="___psc4508">NA()</definedName>
    <definedName name="___psc5006">NA()</definedName>
    <definedName name="___psc5008">NA()</definedName>
    <definedName name="___psc6006">NA()</definedName>
    <definedName name="___psc6008">NA()</definedName>
    <definedName name="___psc7006">NA()</definedName>
    <definedName name="___psc7008">NA()</definedName>
    <definedName name="___psc8006">NA()</definedName>
    <definedName name="___psc8008">NA()</definedName>
    <definedName name="___psc9006">NA()</definedName>
    <definedName name="___psc9008">NA()</definedName>
    <definedName name="___pv2" localSheetId="10">NA()</definedName>
    <definedName name="___pv2">NA()</definedName>
    <definedName name="___RT5565" localSheetId="10">NA()</definedName>
    <definedName name="___RT5565">NA()</definedName>
    <definedName name="___S12" localSheetId="10">NA()</definedName>
    <definedName name="___S12">NA()</definedName>
    <definedName name="___var1" localSheetId="10">NA()</definedName>
    <definedName name="___var1">NA()</definedName>
    <definedName name="___var4" localSheetId="10">NA()</definedName>
    <definedName name="___var4">NA()</definedName>
    <definedName name="___vat1" localSheetId="10">NA()</definedName>
    <definedName name="___vat1">NA()</definedName>
    <definedName name="___vat2">NA()</definedName>
    <definedName name="___xh11010">NA()</definedName>
    <definedName name="___xh1104">NA()</definedName>
    <definedName name="___xh1106">NA()</definedName>
    <definedName name="___xh1108">NA()</definedName>
    <definedName name="___xh12510">NA()</definedName>
    <definedName name="___xh1254">NA()</definedName>
    <definedName name="___xh1256">NA()</definedName>
    <definedName name="___xh1258">NA()</definedName>
    <definedName name="___xh14010">NA()</definedName>
    <definedName name="___xh1404">NA()</definedName>
    <definedName name="___xh1406">NA()</definedName>
    <definedName name="___xh1408">NA()</definedName>
    <definedName name="___xh16010">NA()</definedName>
    <definedName name="___xh1604">NA()</definedName>
    <definedName name="___xh1606">NA()</definedName>
    <definedName name="___xh1608">NA()</definedName>
    <definedName name="___xh18010">NA()</definedName>
    <definedName name="___xh1804">NA()</definedName>
    <definedName name="___xh1806">NA()</definedName>
    <definedName name="___xh1808">NA()</definedName>
    <definedName name="___xh20010">NA()</definedName>
    <definedName name="___xh2004">NA()</definedName>
    <definedName name="___xh2006">NA()</definedName>
    <definedName name="___xh2008">NA()</definedName>
    <definedName name="___xh22510">NA()</definedName>
    <definedName name="___xh2254">NA()</definedName>
    <definedName name="___xh2258">NA()</definedName>
    <definedName name="___xh25010">NA()</definedName>
    <definedName name="___xh2504">NA()</definedName>
    <definedName name="___xh2508">NA()</definedName>
    <definedName name="___xh28010">NA()</definedName>
    <definedName name="___xh2804">NA()</definedName>
    <definedName name="___xh2808">NA()</definedName>
    <definedName name="___xh31510">NA()</definedName>
    <definedName name="___xh3154">NA()</definedName>
    <definedName name="___xh3158">NA()</definedName>
    <definedName name="___xh3554">NA()</definedName>
    <definedName name="___xh3556">NA()</definedName>
    <definedName name="___xh6310">NA()</definedName>
    <definedName name="___xh636">NA()</definedName>
    <definedName name="___xh638">NA()</definedName>
    <definedName name="___xh7510">NA()</definedName>
    <definedName name="___xh754">NA()</definedName>
    <definedName name="___xh756">NA()</definedName>
    <definedName name="___xh758">NA()</definedName>
    <definedName name="___xh9010">NA()</definedName>
    <definedName name="___xh904">NA()</definedName>
    <definedName name="___xh906">NA()</definedName>
    <definedName name="___xh908">NA()</definedName>
    <definedName name="___xk7200">NA()</definedName>
    <definedName name="___xk7350">NA()</definedName>
    <definedName name="___xk7400">NA()</definedName>
    <definedName name="___xk7450">NA()</definedName>
    <definedName name="___xk7500">NA()</definedName>
    <definedName name="___xk7600">NA()</definedName>
    <definedName name="___xk9100">NA()</definedName>
    <definedName name="___xk91000">NA()</definedName>
    <definedName name="___xk9150">NA()</definedName>
    <definedName name="___xk9200">NA()</definedName>
    <definedName name="___xk9250">NA()</definedName>
    <definedName name="___xk9300">NA()</definedName>
    <definedName name="___xk9350">NA()</definedName>
    <definedName name="___xk9400">NA()</definedName>
    <definedName name="___xk9450">NA()</definedName>
    <definedName name="___xk9500">NA()</definedName>
    <definedName name="___xk9600">NA()</definedName>
    <definedName name="___xk9700">NA()</definedName>
    <definedName name="___xk9750">NA()</definedName>
    <definedName name="___xk9800">NA()</definedName>
    <definedName name="___xk9900">NA()</definedName>
    <definedName name="___xlfn_BAHTTEXT">NA()</definedName>
    <definedName name="___xlfn_ISFORMULA">NA()</definedName>
    <definedName name="___xlnm_Database">NA()</definedName>
    <definedName name="___xlnm_Print_Area" localSheetId="6">Joinery!$A$1:$I$1268</definedName>
    <definedName name="___xlnm_Print_Area" localSheetId="4">LEAD!$A$1:$N$49</definedName>
    <definedName name="___xlnm_Print_Area">NA()</definedName>
    <definedName name="___xlnm_Print_Titles" localSheetId="8">'Civil SoR'!$2:$2</definedName>
    <definedName name="___xlnm_Print_Titles" localSheetId="4">LEAD!$3:$5</definedName>
    <definedName name="___xlnm_Print_Titles" localSheetId="7">'WS Data'!$3:$3</definedName>
    <definedName name="___xlnm_Print_Titles" localSheetId="9">'WS SoR'!$3:$3</definedName>
    <definedName name="___xlnm_Print_Titles">NA()</definedName>
    <definedName name="___xlnm_Print_Titles_1">NA()</definedName>
    <definedName name="___xp12510">NA()</definedName>
    <definedName name="___xp16010">NA()</definedName>
    <definedName name="___xp18010">NA()</definedName>
    <definedName name="___xp20010">NA()</definedName>
    <definedName name="___xp2004">NA()</definedName>
    <definedName name="___xp22510">NA()</definedName>
    <definedName name="___xp2254">NA()</definedName>
    <definedName name="___xp2256">NA()</definedName>
    <definedName name="___xp25010">NA()</definedName>
    <definedName name="___xp2504">NA()</definedName>
    <definedName name="___xp2506">NA()</definedName>
    <definedName name="___xp28010">NA()</definedName>
    <definedName name="___xp2804">NA()</definedName>
    <definedName name="___xp2806">NA()</definedName>
    <definedName name="___xp31510">NA()</definedName>
    <definedName name="___xp3154">NA()</definedName>
    <definedName name="___xp3156">NA()</definedName>
    <definedName name="___xp634">NA()</definedName>
    <definedName name="__AUX1" localSheetId="10">NA()</definedName>
    <definedName name="__AUX1">NA()</definedName>
    <definedName name="__aux2" localSheetId="10">NA()</definedName>
    <definedName name="__aux2">NA()</definedName>
    <definedName name="__AUX3" localSheetId="10">NA()</definedName>
    <definedName name="__AUX3">NA()</definedName>
    <definedName name="__BSG100">NA()</definedName>
    <definedName name="__BSG150">NA()</definedName>
    <definedName name="__BSG5">NA()</definedName>
    <definedName name="__BSG75">NA()</definedName>
    <definedName name="__BTC1">NA()</definedName>
    <definedName name="__BTC10">NA()</definedName>
    <definedName name="__BTC11">NA()</definedName>
    <definedName name="__BTC12">NA()</definedName>
    <definedName name="__BTC13">NA()</definedName>
    <definedName name="__BTC14">NA()</definedName>
    <definedName name="__BTC15">NA()</definedName>
    <definedName name="__BTC16">NA()</definedName>
    <definedName name="__BTC17">NA()</definedName>
    <definedName name="__BTC18">NA()</definedName>
    <definedName name="__BTC19">NA()</definedName>
    <definedName name="__BTC2">NA()</definedName>
    <definedName name="__BTC20">NA()</definedName>
    <definedName name="__BTC21">NA()</definedName>
    <definedName name="__BTC22">NA()</definedName>
    <definedName name="__BTC23">NA()</definedName>
    <definedName name="__BTC24">NA()</definedName>
    <definedName name="__BTC3">NA()</definedName>
    <definedName name="__BTC4">NA()</definedName>
    <definedName name="__BTC5">NA()</definedName>
    <definedName name="__BTC6">NA()</definedName>
    <definedName name="__BTC7">NA()</definedName>
    <definedName name="__BTC8">NA()</definedName>
    <definedName name="__BTC9">NA()</definedName>
    <definedName name="__BTR1">NA()</definedName>
    <definedName name="__BTR10">NA()</definedName>
    <definedName name="__BTR11">NA()</definedName>
    <definedName name="__BTR12">NA()</definedName>
    <definedName name="__BTR13">NA()</definedName>
    <definedName name="__BTR14">NA()</definedName>
    <definedName name="__BTR15">NA()</definedName>
    <definedName name="__BTR16">NA()</definedName>
    <definedName name="__BTR17">NA()</definedName>
    <definedName name="__BTR18">NA()</definedName>
    <definedName name="__BTR19">NA()</definedName>
    <definedName name="__BTR2">NA()</definedName>
    <definedName name="__BTR20">NA()</definedName>
    <definedName name="__BTR21">NA()</definedName>
    <definedName name="__BTR22">NA()</definedName>
    <definedName name="__BTR23">NA()</definedName>
    <definedName name="__BTR24">NA()</definedName>
    <definedName name="__BTR3">NA()</definedName>
    <definedName name="__BTR4">NA()</definedName>
    <definedName name="__BTR5">NA()</definedName>
    <definedName name="__BTR6">NA()</definedName>
    <definedName name="__BTR7">NA()</definedName>
    <definedName name="__BTR8">NA()</definedName>
    <definedName name="__BTR9">NA()</definedName>
    <definedName name="__BTS1">NA()</definedName>
    <definedName name="__BTS10">NA()</definedName>
    <definedName name="__BTS11">NA()</definedName>
    <definedName name="__BTS12">NA()</definedName>
    <definedName name="__BTS13">NA()</definedName>
    <definedName name="__BTS14">NA()</definedName>
    <definedName name="__BTS15">NA()</definedName>
    <definedName name="__BTS16">NA()</definedName>
    <definedName name="__BTS17">NA()</definedName>
    <definedName name="__BTS18">NA()</definedName>
    <definedName name="__BTS19">NA()</definedName>
    <definedName name="__BTS2">NA()</definedName>
    <definedName name="__BTS20">NA()</definedName>
    <definedName name="__BTS21">NA()</definedName>
    <definedName name="__BTS22">NA()</definedName>
    <definedName name="__BTS23">NA()</definedName>
    <definedName name="__BTS24">NA()</definedName>
    <definedName name="__BTS3">NA()</definedName>
    <definedName name="__BTS4">NA()</definedName>
    <definedName name="__BTS5">NA()</definedName>
    <definedName name="__BTS6">NA()</definedName>
    <definedName name="__BTS7">NA()</definedName>
    <definedName name="__BTS8">NA()</definedName>
    <definedName name="__BTS9">NA()</definedName>
    <definedName name="__can430">40.73</definedName>
    <definedName name="__can435">43.3</definedName>
    <definedName name="__cbr1">NA()</definedName>
    <definedName name="__cbr2">NA()</definedName>
    <definedName name="__cbr3">NA()</definedName>
    <definedName name="__cbr4">NA()</definedName>
    <definedName name="__dem2">NA()</definedName>
    <definedName name="__df3">NA()</definedName>
    <definedName name="__er1" localSheetId="10">NA()</definedName>
    <definedName name="__er1">NA()</definedName>
    <definedName name="__ewe1">NA()</definedName>
    <definedName name="__f1">NA()</definedName>
    <definedName name="__G120907">"[54]data!#ref!"</definedName>
    <definedName name="__GBS11">NA()</definedName>
    <definedName name="__GBS110">NA()</definedName>
    <definedName name="__GBS111">NA()</definedName>
    <definedName name="__GBS112">NA()</definedName>
    <definedName name="__GBS113">NA()</definedName>
    <definedName name="__GBS114">NA()</definedName>
    <definedName name="__GBS115">NA()</definedName>
    <definedName name="__GBS116">NA()</definedName>
    <definedName name="__GBS117">NA()</definedName>
    <definedName name="__GBS118">NA()</definedName>
    <definedName name="__GBS119">NA()</definedName>
    <definedName name="__GBS12">NA()</definedName>
    <definedName name="__GBS120">NA()</definedName>
    <definedName name="__GBS121">NA()</definedName>
    <definedName name="__GBS122">NA()</definedName>
    <definedName name="__GBS123">NA()</definedName>
    <definedName name="__GBS124">NA()</definedName>
    <definedName name="__GBS13">NA()</definedName>
    <definedName name="__GBS14">NA()</definedName>
    <definedName name="__GBS15">NA()</definedName>
    <definedName name="__GBS16">NA()</definedName>
    <definedName name="__GBS17">NA()</definedName>
    <definedName name="__GBS18">NA()</definedName>
    <definedName name="__GBS19">NA()</definedName>
    <definedName name="__GBS21">NA()</definedName>
    <definedName name="__GBS210">NA()</definedName>
    <definedName name="__GBS211">NA()</definedName>
    <definedName name="__GBS212">NA()</definedName>
    <definedName name="__GBS213">NA()</definedName>
    <definedName name="__GBS214">NA()</definedName>
    <definedName name="__GBS215">NA()</definedName>
    <definedName name="__GBS216">NA()</definedName>
    <definedName name="__GBS217">NA()</definedName>
    <definedName name="__GBS218">NA()</definedName>
    <definedName name="__GBS219">NA()</definedName>
    <definedName name="__GBS22">NA()</definedName>
    <definedName name="__GBS220">NA()</definedName>
    <definedName name="__GBS221">NA()</definedName>
    <definedName name="__GBS222">NA()</definedName>
    <definedName name="__GBS223">NA()</definedName>
    <definedName name="__GBS224">NA()</definedName>
    <definedName name="__GBS23">NA()</definedName>
    <definedName name="__GBS24">NA()</definedName>
    <definedName name="__GBS25">NA()</definedName>
    <definedName name="__GBS26">NA()</definedName>
    <definedName name="__GBS27">NA()</definedName>
    <definedName name="__GBS28">NA()</definedName>
    <definedName name="__GBS29">NA()</definedName>
    <definedName name="__grp10003">NA()</definedName>
    <definedName name="__grp3503">NA()</definedName>
    <definedName name="__grp4003">NA()</definedName>
    <definedName name="__grp4503">NA()</definedName>
    <definedName name="__grp5003">NA()</definedName>
    <definedName name="__grp6003">NA()</definedName>
    <definedName name="__grp7003">NA()</definedName>
    <definedName name="__grp8003">NA()</definedName>
    <definedName name="__grp9003">NA()</definedName>
    <definedName name="__gus1" localSheetId="10">NA()</definedName>
    <definedName name="__gus1">NA()</definedName>
    <definedName name="__hpm1" localSheetId="10">NA()</definedName>
    <definedName name="__hpm1">NA()</definedName>
    <definedName name="__IRC12">"[56]mrates!$m$9"</definedName>
    <definedName name="__IRC19">"[56]mrates!$m$10"</definedName>
    <definedName name="__IRC25">"[56]mrates!$m$11"</definedName>
    <definedName name="__IRC40">"[56]mrates!$m$12"</definedName>
    <definedName name="__IRC5">"[56]mrates!$m$7"</definedName>
    <definedName name="__IRC50">"[56]mrates!$m$13"</definedName>
    <definedName name="__IRC60">"[56]mrates!$m$14"</definedName>
    <definedName name="__IRC9">"[56]mrates!$m$8"</definedName>
    <definedName name="__k1">NA()</definedName>
    <definedName name="__KC139" localSheetId="10">NA()</definedName>
    <definedName name="__KC139">NA()</definedName>
    <definedName name="__KC580" localSheetId="10">NA()</definedName>
    <definedName name="__KC580">NA()</definedName>
    <definedName name="__knr2" localSheetId="10">NA()</definedName>
    <definedName name="__knr2">NA()</definedName>
    <definedName name="__KNR3">NA()</definedName>
    <definedName name="__l12" localSheetId="10">NA()</definedName>
    <definedName name="__l12">NA()</definedName>
    <definedName name="__l3" localSheetId="10">NA()</definedName>
    <definedName name="__l3">NA()</definedName>
    <definedName name="__l5" localSheetId="10">NA()</definedName>
    <definedName name="__l5">NA()</definedName>
    <definedName name="__lcn1" localSheetId="10">NA()</definedName>
    <definedName name="__lcn1">NA()</definedName>
    <definedName name="__lj600">NA()</definedName>
    <definedName name="__lj900">NA()</definedName>
    <definedName name="__LL3">NA()</definedName>
    <definedName name="__lm1" localSheetId="10">NA()</definedName>
    <definedName name="__lm1">NA()</definedName>
    <definedName name="__LSO24">"[14]lead!#ref!"</definedName>
    <definedName name="__ma2" localSheetId="10">NA()</definedName>
    <definedName name="__ma2">NA()</definedName>
    <definedName name="__me12" localSheetId="10">NA()</definedName>
    <definedName name="__me12">NA()</definedName>
    <definedName name="__Met22" localSheetId="10">NA()</definedName>
    <definedName name="__Met22">NA()</definedName>
    <definedName name="__Met45" localSheetId="10">NA()</definedName>
    <definedName name="__Met45">NA()</definedName>
    <definedName name="__MEt55" localSheetId="10">NA()</definedName>
    <definedName name="__MEt55">NA()</definedName>
    <definedName name="__Met63" localSheetId="10">NA()</definedName>
    <definedName name="__Met63">NA()</definedName>
    <definedName name="__ML21">NA()</definedName>
    <definedName name="__ML210">NA()</definedName>
    <definedName name="__ML211">NA()</definedName>
    <definedName name="__ML212">NA()</definedName>
    <definedName name="__ML213">NA()</definedName>
    <definedName name="__ML214">NA()</definedName>
    <definedName name="__ML215">NA()</definedName>
    <definedName name="__ML216">NA()</definedName>
    <definedName name="__ML217">NA()</definedName>
    <definedName name="__ML218">NA()</definedName>
    <definedName name="__ML219">NA()</definedName>
    <definedName name="__ML22">NA()</definedName>
    <definedName name="__ML220">NA()</definedName>
    <definedName name="__ML221">NA()</definedName>
    <definedName name="__ML222">NA()</definedName>
    <definedName name="__ML223">NA()</definedName>
    <definedName name="__ML224">NA()</definedName>
    <definedName name="__ML23">NA()</definedName>
    <definedName name="__ML24">NA()</definedName>
    <definedName name="__ML25">NA()</definedName>
    <definedName name="__ML26">NA()</definedName>
    <definedName name="__ML27">NA()</definedName>
    <definedName name="__ML28">NA()</definedName>
    <definedName name="__ML29">NA()</definedName>
    <definedName name="__ML31">NA()</definedName>
    <definedName name="__ML310">NA()</definedName>
    <definedName name="__ML311">NA()</definedName>
    <definedName name="__ML312">NA()</definedName>
    <definedName name="__ML313">NA()</definedName>
    <definedName name="__ML314">NA()</definedName>
    <definedName name="__ML315">NA()</definedName>
    <definedName name="__ML316">NA()</definedName>
    <definedName name="__ML317">NA()</definedName>
    <definedName name="__ML318">NA()</definedName>
    <definedName name="__ML319">NA()</definedName>
    <definedName name="__ML32">NA()</definedName>
    <definedName name="__ML320">NA()</definedName>
    <definedName name="__ML321">NA()</definedName>
    <definedName name="__ML322">NA()</definedName>
    <definedName name="__ML323">NA()</definedName>
    <definedName name="__ML324">NA()</definedName>
    <definedName name="__ML33">NA()</definedName>
    <definedName name="__ML34">NA()</definedName>
    <definedName name="__ML35">NA()</definedName>
    <definedName name="__ML36">NA()</definedName>
    <definedName name="__ML37">NA()</definedName>
    <definedName name="__ML38">NA()</definedName>
    <definedName name="__ML39">NA()</definedName>
    <definedName name="__ML7">NA()</definedName>
    <definedName name="__ML8">NA()</definedName>
    <definedName name="__ML9">NA()</definedName>
    <definedName name="__mm1000" localSheetId="10">NA()</definedName>
    <definedName name="__mm1000">NA()</definedName>
    <definedName name="__mm20">NA()</definedName>
    <definedName name="__mm40">NA()</definedName>
    <definedName name="__mm600" localSheetId="10">NA()</definedName>
    <definedName name="__mm600">NA()</definedName>
    <definedName name="__mm800" localSheetId="10">NA()</definedName>
    <definedName name="__mm800">NA()</definedName>
    <definedName name="__MT1">NA()</definedName>
    <definedName name="__MT10">NA()</definedName>
    <definedName name="__MT100">NA()</definedName>
    <definedName name="__MT101">NA()</definedName>
    <definedName name="__MT102">NA()</definedName>
    <definedName name="__MT103">NA()</definedName>
    <definedName name="__MT104">NA()</definedName>
    <definedName name="__MT105">NA()</definedName>
    <definedName name="__MT106">NA()</definedName>
    <definedName name="__MT107">NA()</definedName>
    <definedName name="__MT108">NA()</definedName>
    <definedName name="__MT109">NA()</definedName>
    <definedName name="__MT11">NA()</definedName>
    <definedName name="__MT110">NA()</definedName>
    <definedName name="__MT111">NA()</definedName>
    <definedName name="__MT112">NA()</definedName>
    <definedName name="__MT113">NA()</definedName>
    <definedName name="__MT114">NA()</definedName>
    <definedName name="__MT115">NA()</definedName>
    <definedName name="__MT116">NA()</definedName>
    <definedName name="__MT117">NA()</definedName>
    <definedName name="__MT118">NA()</definedName>
    <definedName name="__MT119">NA()</definedName>
    <definedName name="__MT12">NA()</definedName>
    <definedName name="__MT120">NA()</definedName>
    <definedName name="__MT121">NA()</definedName>
    <definedName name="__MT122">NA()</definedName>
    <definedName name="__MT123">NA()</definedName>
    <definedName name="__MT124">NA()</definedName>
    <definedName name="__MT125">NA()</definedName>
    <definedName name="__MT126">NA()</definedName>
    <definedName name="__MT127">NA()</definedName>
    <definedName name="__MT128">NA()</definedName>
    <definedName name="__MT129">NA()</definedName>
    <definedName name="__MT13">NA()</definedName>
    <definedName name="__MT130">NA()</definedName>
    <definedName name="__MT131">NA()</definedName>
    <definedName name="__MT132">NA()</definedName>
    <definedName name="__MT133">NA()</definedName>
    <definedName name="__MT134">NA()</definedName>
    <definedName name="__MT135">NA()</definedName>
    <definedName name="__MT136">NA()</definedName>
    <definedName name="__MT137">NA()</definedName>
    <definedName name="__MT138">NA()</definedName>
    <definedName name="__MT139">NA()</definedName>
    <definedName name="__MT14">NA()</definedName>
    <definedName name="__MT140">NA()</definedName>
    <definedName name="__MT141">NA()</definedName>
    <definedName name="__MT142">NA()</definedName>
    <definedName name="__MT143">NA()</definedName>
    <definedName name="__MT144">NA()</definedName>
    <definedName name="__MT145">NA()</definedName>
    <definedName name="__MT146">NA()</definedName>
    <definedName name="__MT147">NA()</definedName>
    <definedName name="__MT148">NA()</definedName>
    <definedName name="__MT149">NA()</definedName>
    <definedName name="__MT15">NA()</definedName>
    <definedName name="__MT150">NA()</definedName>
    <definedName name="__MT16">NA()</definedName>
    <definedName name="__MT17">NA()</definedName>
    <definedName name="__MT18">NA()</definedName>
    <definedName name="__MT19">NA()</definedName>
    <definedName name="__MT2">NA()</definedName>
    <definedName name="__MT20">NA()</definedName>
    <definedName name="__MT21">NA()</definedName>
    <definedName name="__MT22">NA()</definedName>
    <definedName name="__MT23">NA()</definedName>
    <definedName name="__MT24">NA()</definedName>
    <definedName name="__MT25">NA()</definedName>
    <definedName name="__MT26">NA()</definedName>
    <definedName name="__MT27">NA()</definedName>
    <definedName name="__MT28">NA()</definedName>
    <definedName name="__MT29">NA()</definedName>
    <definedName name="__MT3">NA()</definedName>
    <definedName name="__MT30">NA()</definedName>
    <definedName name="__MT31">NA()</definedName>
    <definedName name="__MT32">NA()</definedName>
    <definedName name="__MT33">NA()</definedName>
    <definedName name="__MT34">NA()</definedName>
    <definedName name="__MT35">NA()</definedName>
    <definedName name="__MT36">NA()</definedName>
    <definedName name="__MT37">NA()</definedName>
    <definedName name="__MT38">NA()</definedName>
    <definedName name="__MT39">NA()</definedName>
    <definedName name="__MT4">NA()</definedName>
    <definedName name="__MT40">NA()</definedName>
    <definedName name="__MT41">NA()</definedName>
    <definedName name="__MT42">NA()</definedName>
    <definedName name="__MT43">NA()</definedName>
    <definedName name="__MT44">NA()</definedName>
    <definedName name="__MT45">NA()</definedName>
    <definedName name="__MT46">NA()</definedName>
    <definedName name="__MT47">NA()</definedName>
    <definedName name="__MT48">NA()</definedName>
    <definedName name="__MT49">NA()</definedName>
    <definedName name="__MT5">NA()</definedName>
    <definedName name="__MT50">NA()</definedName>
    <definedName name="__MT500">NA()</definedName>
    <definedName name="__MT51">NA()</definedName>
    <definedName name="__MT52">NA()</definedName>
    <definedName name="__MT53">NA()</definedName>
    <definedName name="__MT54">NA()</definedName>
    <definedName name="__MT55">NA()</definedName>
    <definedName name="__MT56">NA()</definedName>
    <definedName name="__MT57">NA()</definedName>
    <definedName name="__MT58">NA()</definedName>
    <definedName name="__MT59">NA()</definedName>
    <definedName name="__MT6">NA()</definedName>
    <definedName name="__MT60">NA()</definedName>
    <definedName name="__MT61">NA()</definedName>
    <definedName name="__MT62">NA()</definedName>
    <definedName name="__MT63">NA()</definedName>
    <definedName name="__MT64">NA()</definedName>
    <definedName name="__MT65">NA()</definedName>
    <definedName name="__MT66">NA()</definedName>
    <definedName name="__MT67">NA()</definedName>
    <definedName name="__MT68">NA()</definedName>
    <definedName name="__MT69">NA()</definedName>
    <definedName name="__MT7">NA()</definedName>
    <definedName name="__MT70">NA()</definedName>
    <definedName name="__MT71">NA()</definedName>
    <definedName name="__MT72">NA()</definedName>
    <definedName name="__MT73">NA()</definedName>
    <definedName name="__MT74">NA()</definedName>
    <definedName name="__MT75">NA()</definedName>
    <definedName name="__MT76">NA()</definedName>
    <definedName name="__MT77">NA()</definedName>
    <definedName name="__MT78">NA()</definedName>
    <definedName name="__MT79">NA()</definedName>
    <definedName name="__MT8">NA()</definedName>
    <definedName name="__MT80">NA()</definedName>
    <definedName name="__MT81">NA()</definedName>
    <definedName name="__MT82">NA()</definedName>
    <definedName name="__MT83">NA()</definedName>
    <definedName name="__MT84">NA()</definedName>
    <definedName name="__MT85">NA()</definedName>
    <definedName name="__MT86">NA()</definedName>
    <definedName name="__MT87">NA()</definedName>
    <definedName name="__MT88">NA()</definedName>
    <definedName name="__MT89">NA()</definedName>
    <definedName name="__MT9">NA()</definedName>
    <definedName name="__MT90">NA()</definedName>
    <definedName name="__MT91">NA()</definedName>
    <definedName name="__MT92">NA()</definedName>
    <definedName name="__MT93">NA()</definedName>
    <definedName name="__MT94">NA()</definedName>
    <definedName name="__MT95">NA()</definedName>
    <definedName name="__MT96">NA()</definedName>
    <definedName name="__MT97">NA()</definedName>
    <definedName name="__MT98">NA()</definedName>
    <definedName name="__MT99">NA()</definedName>
    <definedName name="__p5">NA()</definedName>
    <definedName name="__PC1">NA()</definedName>
    <definedName name="__PC10">NA()</definedName>
    <definedName name="__PC11">NA()</definedName>
    <definedName name="__PC12">NA()</definedName>
    <definedName name="__PC13">NA()</definedName>
    <definedName name="__PC14">NA()</definedName>
    <definedName name="__PC15">NA()</definedName>
    <definedName name="__PC16">NA()</definedName>
    <definedName name="__PC17">NA()</definedName>
    <definedName name="__PC18">NA()</definedName>
    <definedName name="__PC19">NA()</definedName>
    <definedName name="__pc2" localSheetId="10">NA()</definedName>
    <definedName name="__pc2">NA()</definedName>
    <definedName name="__PC20">NA()</definedName>
    <definedName name="__PC21">NA()</definedName>
    <definedName name="__PC22">NA()</definedName>
    <definedName name="__PC23">NA()</definedName>
    <definedName name="__PC24">NA()</definedName>
    <definedName name="__PC3">NA()</definedName>
    <definedName name="__PC4">NA()</definedName>
    <definedName name="__PC5">NA()</definedName>
    <definedName name="__PC6">NA()</definedName>
    <definedName name="__pc600">NA()</definedName>
    <definedName name="__PC7">NA()</definedName>
    <definedName name="__PC8">NA()</definedName>
    <definedName name="__PC9">NA()</definedName>
    <definedName name="__pc900">NA()</definedName>
    <definedName name="__PPA14">NA()</definedName>
    <definedName name="__PPB154">NA()</definedName>
    <definedName name="__PPB155">NA()</definedName>
    <definedName name="__PPB16">NA()</definedName>
    <definedName name="__PPB17">NA()</definedName>
    <definedName name="__PPB18">NA()</definedName>
    <definedName name="__PPB19">NA()</definedName>
    <definedName name="__PPB2">NA()</definedName>
    <definedName name="__PPB20">NA()</definedName>
    <definedName name="__PPB21">NA()</definedName>
    <definedName name="__PPB22">NA()</definedName>
    <definedName name="__PPB23">NA()</definedName>
    <definedName name="__PPB24">NA()</definedName>
    <definedName name="__PPB25">NA()</definedName>
    <definedName name="__PPB26">NA()</definedName>
    <definedName name="__PPB27">NA()</definedName>
    <definedName name="__PPB28">NA()</definedName>
    <definedName name="__PPB29">NA()</definedName>
    <definedName name="__PPB3">NA()</definedName>
    <definedName name="__PPB30">NA()</definedName>
    <definedName name="__PPB31">NA()</definedName>
    <definedName name="__PPB32">NA()</definedName>
    <definedName name="__PPB33">NA()</definedName>
    <definedName name="__PPB34">NA()</definedName>
    <definedName name="__PPB35">NA()</definedName>
    <definedName name="__PPB36">NA()</definedName>
    <definedName name="__PPB37">NA()</definedName>
    <definedName name="__PPB38">NA()</definedName>
    <definedName name="__PPB39">NA()</definedName>
    <definedName name="__PPB4">NA()</definedName>
    <definedName name="__PPB40">NA()</definedName>
    <definedName name="__PPB41">NA()</definedName>
    <definedName name="__PPB42">NA()</definedName>
    <definedName name="__PPB43">NA()</definedName>
    <definedName name="__PPB44">NA()</definedName>
    <definedName name="__PPB45">NA()</definedName>
    <definedName name="__PPB46">NA()</definedName>
    <definedName name="__PPB47">NA()</definedName>
    <definedName name="__PPB48">NA()</definedName>
    <definedName name="__PPB49">NA()</definedName>
    <definedName name="__PPB5">NA()</definedName>
    <definedName name="__PPB50">NA()</definedName>
    <definedName name="__PPB51">NA()</definedName>
    <definedName name="__PPB52">NA()</definedName>
    <definedName name="__PPB53">NA()</definedName>
    <definedName name="__PPB54">NA()</definedName>
    <definedName name="__PPB55">NA()</definedName>
    <definedName name="__PPB56">NA()</definedName>
    <definedName name="__PPB57">NA()</definedName>
    <definedName name="__PPB58">NA()</definedName>
    <definedName name="__PPB59">NA()</definedName>
    <definedName name="__PPB6">NA()</definedName>
    <definedName name="__PPB60">NA()</definedName>
    <definedName name="__PPB61">NA()</definedName>
    <definedName name="__PPB62">NA()</definedName>
    <definedName name="__PPB63">NA()</definedName>
    <definedName name="__PPB64">NA()</definedName>
    <definedName name="__PPB65">NA()</definedName>
    <definedName name="__PPB66">NA()</definedName>
    <definedName name="__PPB67">NA()</definedName>
    <definedName name="__PPB68">NA()</definedName>
    <definedName name="__PPB69">NA()</definedName>
    <definedName name="__PPB7">NA()</definedName>
    <definedName name="__PPB70">NA()</definedName>
    <definedName name="__PPB71">NA()</definedName>
    <definedName name="__PPB72">NA()</definedName>
    <definedName name="__PPB73">NA()</definedName>
    <definedName name="__PPB74">NA()</definedName>
    <definedName name="__PPB75">NA()</definedName>
    <definedName name="__PPB76">NA()</definedName>
    <definedName name="__PPB77">NA()</definedName>
    <definedName name="__PPB78">NA()</definedName>
    <definedName name="__PPB79">NA()</definedName>
    <definedName name="__PPB8">NA()</definedName>
    <definedName name="__PPB80">NA()</definedName>
    <definedName name="__PPB81">NA()</definedName>
    <definedName name="__PPB82">NA()</definedName>
    <definedName name="__PPB83">NA()</definedName>
    <definedName name="__PPB84">NA()</definedName>
    <definedName name="__PPB85">NA()</definedName>
    <definedName name="__PPB86">NA()</definedName>
    <definedName name="__PPB87">NA()</definedName>
    <definedName name="__PPB88">NA()</definedName>
    <definedName name="__PPB89">NA()</definedName>
    <definedName name="__PPB9">NA()</definedName>
    <definedName name="__PPB90">NA()</definedName>
    <definedName name="__PPB91">NA()</definedName>
    <definedName name="__PPB92">NA()</definedName>
    <definedName name="__PPB93">NA()</definedName>
    <definedName name="__PPB94">NA()</definedName>
    <definedName name="__PPB95">NA()</definedName>
    <definedName name="__PPB96">NA()</definedName>
    <definedName name="__PPB97">NA()</definedName>
    <definedName name="__PPB98">NA()</definedName>
    <definedName name="__PPB99">NA()</definedName>
    <definedName name="__PPC1">NA()</definedName>
    <definedName name="__PPC10">NA()</definedName>
    <definedName name="__PPC100">NA()</definedName>
    <definedName name="__PPC101">NA()</definedName>
    <definedName name="__PPC102">NA()</definedName>
    <definedName name="__PPC103">NA()</definedName>
    <definedName name="__PPC104">NA()</definedName>
    <definedName name="__PPC105">NA()</definedName>
    <definedName name="__PPC106">NA()</definedName>
    <definedName name="__PPC107">NA()</definedName>
    <definedName name="__PPC108">NA()</definedName>
    <definedName name="__PPC109">NA()</definedName>
    <definedName name="__PPC11">NA()</definedName>
    <definedName name="__PPC110">NA()</definedName>
    <definedName name="__PPC111">NA()</definedName>
    <definedName name="__PPC112">NA()</definedName>
    <definedName name="__PPC113">NA()</definedName>
    <definedName name="__PPC114">NA()</definedName>
    <definedName name="__PPC115">NA()</definedName>
    <definedName name="__PPC116">NA()</definedName>
    <definedName name="__PPC117">NA()</definedName>
    <definedName name="__PPC118">NA()</definedName>
    <definedName name="__PPC119">NA()</definedName>
    <definedName name="__PPC12">NA()</definedName>
    <definedName name="__PPC120">NA()</definedName>
    <definedName name="__PPC121">NA()</definedName>
    <definedName name="__PPC122">NA()</definedName>
    <definedName name="__PPC123">NA()</definedName>
    <definedName name="__PPC124">NA()</definedName>
    <definedName name="__PPC125">NA()</definedName>
    <definedName name="__PPC126">NA()</definedName>
    <definedName name="__PPC127">NA()</definedName>
    <definedName name="__PPC128">NA()</definedName>
    <definedName name="__PPC129">NA()</definedName>
    <definedName name="__PPC13">NA()</definedName>
    <definedName name="__PPC130">NA()</definedName>
    <definedName name="__PPC131">NA()</definedName>
    <definedName name="__PPC132">NA()</definedName>
    <definedName name="__PPC133">NA()</definedName>
    <definedName name="__PPC134">NA()</definedName>
    <definedName name="__PPC135">NA()</definedName>
    <definedName name="__PPC136">NA()</definedName>
    <definedName name="__PPC137">NA()</definedName>
    <definedName name="__PPC138">NA()</definedName>
    <definedName name="__PPC139">NA()</definedName>
    <definedName name="__PPC14">NA()</definedName>
    <definedName name="__PPC140">NA()</definedName>
    <definedName name="__PPC141">NA()</definedName>
    <definedName name="__PPC142">NA()</definedName>
    <definedName name="__PPC143">NA()</definedName>
    <definedName name="__PPC144">NA()</definedName>
    <definedName name="__PPC145">NA()</definedName>
    <definedName name="__PPC146">NA()</definedName>
    <definedName name="__PPC147">NA()</definedName>
    <definedName name="__PPC148">NA()</definedName>
    <definedName name="__PPC149">NA()</definedName>
    <definedName name="__PPC15">NA()</definedName>
    <definedName name="__PPC150">NA()</definedName>
    <definedName name="__PPC151">NA()</definedName>
    <definedName name="__PPC152">NA()</definedName>
    <definedName name="__PPC153">NA()</definedName>
    <definedName name="__PPC154">NA()</definedName>
    <definedName name="__PPC155">NA()</definedName>
    <definedName name="__PPC16">NA()</definedName>
    <definedName name="__PPC17">NA()</definedName>
    <definedName name="__PPC18">NA()</definedName>
    <definedName name="__PPC19">NA()</definedName>
    <definedName name="__PPC2">NA()</definedName>
    <definedName name="__PPC20">NA()</definedName>
    <definedName name="__PPC21">NA()</definedName>
    <definedName name="__PPC22">NA()</definedName>
    <definedName name="__PPC23">NA()</definedName>
    <definedName name="__PPC24">NA()</definedName>
    <definedName name="__PPC25">NA()</definedName>
    <definedName name="__PPC26">NA()</definedName>
    <definedName name="__PPC27">NA()</definedName>
    <definedName name="__PPC28">NA()</definedName>
    <definedName name="__PPC29">NA()</definedName>
    <definedName name="__PPC3">NA()</definedName>
    <definedName name="__PPC30">NA()</definedName>
    <definedName name="__PPC31">NA()</definedName>
    <definedName name="__PPC32">NA()</definedName>
    <definedName name="__PPC33">NA()</definedName>
    <definedName name="__PPC34">NA()</definedName>
    <definedName name="__PPC35">NA()</definedName>
    <definedName name="__PPC36">NA()</definedName>
    <definedName name="__PPC37">NA()</definedName>
    <definedName name="__PPC38">NA()</definedName>
    <definedName name="__PPC39">NA()</definedName>
    <definedName name="__PPC4">NA()</definedName>
    <definedName name="__PPC40">NA()</definedName>
    <definedName name="__PPC41">NA()</definedName>
    <definedName name="__PPC42">NA()</definedName>
    <definedName name="__PPC43">NA()</definedName>
    <definedName name="__PPC44">NA()</definedName>
    <definedName name="__PPC45">NA()</definedName>
    <definedName name="__PPC46">NA()</definedName>
    <definedName name="__PPC47">NA()</definedName>
    <definedName name="__PPC48">NA()</definedName>
    <definedName name="__PPC49">NA()</definedName>
    <definedName name="__PPC5">NA()</definedName>
    <definedName name="__PPC50">NA()</definedName>
    <definedName name="__PPC51">NA()</definedName>
    <definedName name="__PPC52">NA()</definedName>
    <definedName name="__PPC53">NA()</definedName>
    <definedName name="__PPC54">NA()</definedName>
    <definedName name="__PPC55">NA()</definedName>
    <definedName name="__PPC56">NA()</definedName>
    <definedName name="__PPC57">NA()</definedName>
    <definedName name="__PPC58">NA()</definedName>
    <definedName name="__PPC59">NA()</definedName>
    <definedName name="__PPC6">NA()</definedName>
    <definedName name="__PPC60">NA()</definedName>
    <definedName name="__PPC61">NA()</definedName>
    <definedName name="__PPC62">NA()</definedName>
    <definedName name="__PPC63">NA()</definedName>
    <definedName name="__PPC64">NA()</definedName>
    <definedName name="__PPC65">NA()</definedName>
    <definedName name="__PPC66">NA()</definedName>
    <definedName name="__PPC67">NA()</definedName>
    <definedName name="__PPC68">NA()</definedName>
    <definedName name="__PPC69">NA()</definedName>
    <definedName name="__PPC7">NA()</definedName>
    <definedName name="__PPC70">NA()</definedName>
    <definedName name="__PPC71">NA()</definedName>
    <definedName name="__PPC72">NA()</definedName>
    <definedName name="__PPC73">NA()</definedName>
    <definedName name="__PPC74">NA()</definedName>
    <definedName name="__PPC75">NA()</definedName>
    <definedName name="__PPC76">NA()</definedName>
    <definedName name="__PPC77">NA()</definedName>
    <definedName name="__PPC78">NA()</definedName>
    <definedName name="__PPC79">NA()</definedName>
    <definedName name="__PPC8">NA()</definedName>
    <definedName name="__PPC80">NA()</definedName>
    <definedName name="__PPC81">NA()</definedName>
    <definedName name="__PPC82">NA()</definedName>
    <definedName name="__PPC83">NA()</definedName>
    <definedName name="__PPC84">NA()</definedName>
    <definedName name="__PPC85">NA()</definedName>
    <definedName name="__PPC86">NA()</definedName>
    <definedName name="__PPC87">NA()</definedName>
    <definedName name="__PPC88">NA()</definedName>
    <definedName name="__PPC89">NA()</definedName>
    <definedName name="__PPC9">NA()</definedName>
    <definedName name="__PPC90">NA()</definedName>
    <definedName name="__PPC91">NA()</definedName>
    <definedName name="__PPC92">NA()</definedName>
    <definedName name="__PPC93">NA()</definedName>
    <definedName name="__PPC94">NA()</definedName>
    <definedName name="__PPD114">NA()</definedName>
    <definedName name="__psc10006">NA()</definedName>
    <definedName name="__psc10008">NA()</definedName>
    <definedName name="__psc3506">NA()</definedName>
    <definedName name="__psc3508">NA()</definedName>
    <definedName name="__psc4006">NA()</definedName>
    <definedName name="__psc4008">NA()</definedName>
    <definedName name="__psc4506">NA()</definedName>
    <definedName name="__psc4508">NA()</definedName>
    <definedName name="__psc5006">NA()</definedName>
    <definedName name="__psc5008">NA()</definedName>
    <definedName name="__psc6006">NA()</definedName>
    <definedName name="__psc6008">NA()</definedName>
    <definedName name="__psc7006">NA()</definedName>
    <definedName name="__psc7008">NA()</definedName>
    <definedName name="__psc8006">NA()</definedName>
    <definedName name="__psc8008">NA()</definedName>
    <definedName name="__psc9006">NA()</definedName>
    <definedName name="__psc9008">NA()</definedName>
    <definedName name="__pv1">NA()</definedName>
    <definedName name="__pv2" localSheetId="10">NA()</definedName>
    <definedName name="__pv2">NA()</definedName>
    <definedName name="__QS25">"[56]mrates!$g$16"</definedName>
    <definedName name="__QS40">"[56]mrates!$g$17"</definedName>
    <definedName name="__RS300">NA()</definedName>
    <definedName name="__RT5565" localSheetId="10">NA()</definedName>
    <definedName name="__RT5565">NA()</definedName>
    <definedName name="__S12" localSheetId="10">NA()</definedName>
    <definedName name="__S12">NA()</definedName>
    <definedName name="__SD10">NA()</definedName>
    <definedName name="__SD100">NA()</definedName>
    <definedName name="__SD101">NA()</definedName>
    <definedName name="__SD102">NA()</definedName>
    <definedName name="__SD103">NA()</definedName>
    <definedName name="__SD104">NA()</definedName>
    <definedName name="__SD105">NA()</definedName>
    <definedName name="__SD106">NA()</definedName>
    <definedName name="__SD107">NA()</definedName>
    <definedName name="__SD108">NA()</definedName>
    <definedName name="__SD109">NA()</definedName>
    <definedName name="__SD11">NA()</definedName>
    <definedName name="__SD110">NA()</definedName>
    <definedName name="__SD111">NA()</definedName>
    <definedName name="__SD112">NA()</definedName>
    <definedName name="__SD113">NA()</definedName>
    <definedName name="__SD114">NA()</definedName>
    <definedName name="__SD115">NA()</definedName>
    <definedName name="__SD116">NA()</definedName>
    <definedName name="__SD117">NA()</definedName>
    <definedName name="__SD118">NA()</definedName>
    <definedName name="__SD119">NA()</definedName>
    <definedName name="__SD12">NA()</definedName>
    <definedName name="__SD121">NA()</definedName>
    <definedName name="__SD122">NA()</definedName>
    <definedName name="__SD123">NA()</definedName>
    <definedName name="__SD124">NA()</definedName>
    <definedName name="__SD125">NA()</definedName>
    <definedName name="__SD126">NA()</definedName>
    <definedName name="__SD127">NA()</definedName>
    <definedName name="__SD128">NA()</definedName>
    <definedName name="__SD129">NA()</definedName>
    <definedName name="__SD13">NA()</definedName>
    <definedName name="__SD130">NA()</definedName>
    <definedName name="__SD131">NA()</definedName>
    <definedName name="__SD132">NA()</definedName>
    <definedName name="__SD133">NA()</definedName>
    <definedName name="__SD134">NA()</definedName>
    <definedName name="__SD135">NA()</definedName>
    <definedName name="__SD136">NA()</definedName>
    <definedName name="__SD137">NA()</definedName>
    <definedName name="__SD138">NA()</definedName>
    <definedName name="__SD139">NA()</definedName>
    <definedName name="__SD14">NA()</definedName>
    <definedName name="__SD140">NA()</definedName>
    <definedName name="__SD141">NA()</definedName>
    <definedName name="__SD142">NA()</definedName>
    <definedName name="__SD143">NA()</definedName>
    <definedName name="__SD144">NA()</definedName>
    <definedName name="__SD145">NA()</definedName>
    <definedName name="__SD146">NA()</definedName>
    <definedName name="__SD147">NA()</definedName>
    <definedName name="__SD148">NA()</definedName>
    <definedName name="__SD149">NA()</definedName>
    <definedName name="__SD15">NA()</definedName>
    <definedName name="__SD150">NA()</definedName>
    <definedName name="__SD16">NA()</definedName>
    <definedName name="__SD17">NA()</definedName>
    <definedName name="__SD18">NA()</definedName>
    <definedName name="__SD19">NA()</definedName>
    <definedName name="__SD2">NA()</definedName>
    <definedName name="__SD20">NA()</definedName>
    <definedName name="__SD21">NA()</definedName>
    <definedName name="__SD22">NA()</definedName>
    <definedName name="__SD23">NA()</definedName>
    <definedName name="__SD24">NA()</definedName>
    <definedName name="__SD25">NA()</definedName>
    <definedName name="__SD250">NA()</definedName>
    <definedName name="__SD26">NA()</definedName>
    <definedName name="__SD27">NA()</definedName>
    <definedName name="__SD28">NA()</definedName>
    <definedName name="__SD29">NA()</definedName>
    <definedName name="__SD3">NA()</definedName>
    <definedName name="__SD30">NA()</definedName>
    <definedName name="__SD31">NA()</definedName>
    <definedName name="__SD32">NA()</definedName>
    <definedName name="__SD33">NA()</definedName>
    <definedName name="__SD34">NA()</definedName>
    <definedName name="__SD35">NA()</definedName>
    <definedName name="__SD36">NA()</definedName>
    <definedName name="__SD37">NA()</definedName>
    <definedName name="__SD38">NA()</definedName>
    <definedName name="__SD39">NA()</definedName>
    <definedName name="__SD4">NA()</definedName>
    <definedName name="__SD40">NA()</definedName>
    <definedName name="__SD41">NA()</definedName>
    <definedName name="__SD42">NA()</definedName>
    <definedName name="__SD43">NA()</definedName>
    <definedName name="__SD44">NA()</definedName>
    <definedName name="__SD45">NA()</definedName>
    <definedName name="__SD46">NA()</definedName>
    <definedName name="__SD47">NA()</definedName>
    <definedName name="__SD48">NA()</definedName>
    <definedName name="__SD49">NA()</definedName>
    <definedName name="__SD5">NA()</definedName>
    <definedName name="__SD50">NA()</definedName>
    <definedName name="__SD500">NA()</definedName>
    <definedName name="__SD51">NA()</definedName>
    <definedName name="__SD52">NA()</definedName>
    <definedName name="__SD53">NA()</definedName>
    <definedName name="__SD54">NA()</definedName>
    <definedName name="__SD55">NA()</definedName>
    <definedName name="__SD56">NA()</definedName>
    <definedName name="__SD57">NA()</definedName>
    <definedName name="__SD58">NA()</definedName>
    <definedName name="__SD59">NA()</definedName>
    <definedName name="__SD6">NA()</definedName>
    <definedName name="__SD60">NA()</definedName>
    <definedName name="__SD61">NA()</definedName>
    <definedName name="__SD62">NA()</definedName>
    <definedName name="__SD63">NA()</definedName>
    <definedName name="__SD64">NA()</definedName>
    <definedName name="__SD65">NA()</definedName>
    <definedName name="__SD66">NA()</definedName>
    <definedName name="__SD67">NA()</definedName>
    <definedName name="__SD68">NA()</definedName>
    <definedName name="__SD69">NA()</definedName>
    <definedName name="__SD7">NA()</definedName>
    <definedName name="__SD70">NA()</definedName>
    <definedName name="__SD71">NA()</definedName>
    <definedName name="__SD72">NA()</definedName>
    <definedName name="__SD73">NA()</definedName>
    <definedName name="__SD74">NA()</definedName>
    <definedName name="__SD75">NA()</definedName>
    <definedName name="__SD76">NA()</definedName>
    <definedName name="__SD77">NA()</definedName>
    <definedName name="__SD78">NA()</definedName>
    <definedName name="__SD79">NA()</definedName>
    <definedName name="__SD8">NA()</definedName>
    <definedName name="__SD80">NA()</definedName>
    <definedName name="__SD81">NA()</definedName>
    <definedName name="__SD82">NA()</definedName>
    <definedName name="__SD83">NA()</definedName>
    <definedName name="__SD84">NA()</definedName>
    <definedName name="__SD85">NA()</definedName>
    <definedName name="__SD86">NA()</definedName>
    <definedName name="__SD87">NA()</definedName>
    <definedName name="__SD88">NA()</definedName>
    <definedName name="__SD89">NA()</definedName>
    <definedName name="__SD9">NA()</definedName>
    <definedName name="__SD90">NA()</definedName>
    <definedName name="__SD91">NA()</definedName>
    <definedName name="__SD92">NA()</definedName>
    <definedName name="__SD93">NA()</definedName>
    <definedName name="__SD94">NA()</definedName>
    <definedName name="__SD95">NA()</definedName>
    <definedName name="__SD96">NA()</definedName>
    <definedName name="__SD97">NA()</definedName>
    <definedName name="__SD98">NA()</definedName>
    <definedName name="__SD99">NA()</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O016">NA()</definedName>
    <definedName name="__SP001">NA()</definedName>
    <definedName name="__SP002">NA()</definedName>
    <definedName name="__SP003">NA()</definedName>
    <definedName name="__SP004">NA()</definedName>
    <definedName name="__SP005">NA()</definedName>
    <definedName name="__SP006">NA()</definedName>
    <definedName name="__SP007">NA()</definedName>
    <definedName name="__SP008">NA()</definedName>
    <definedName name="__SP009">NA()</definedName>
    <definedName name="__SP010">NA()</definedName>
    <definedName name="__SP011">NA()</definedName>
    <definedName name="__SP012">NA()</definedName>
    <definedName name="__SP013">NA()</definedName>
    <definedName name="__SP014">NA()</definedName>
    <definedName name="__SP015">NA()</definedName>
    <definedName name="__SP016">NA()</definedName>
    <definedName name="__SP017">NA()</definedName>
    <definedName name="__SP018">NA()</definedName>
    <definedName name="__SP019">NA()</definedName>
    <definedName name="__SP020">NA()</definedName>
    <definedName name="__SP021">NA()</definedName>
    <definedName name="__SP022">NA()</definedName>
    <definedName name="__SP023">NA()</definedName>
    <definedName name="__SP024">NA()</definedName>
    <definedName name="__SP025">NA()</definedName>
    <definedName name="__SP026">NA()</definedName>
    <definedName name="__SP027">NA()</definedName>
    <definedName name="__SP028">NA()</definedName>
    <definedName name="__SP029">NA()</definedName>
    <definedName name="__SP030">NA()</definedName>
    <definedName name="__SP031">NA()</definedName>
    <definedName name="__SP032">NA()</definedName>
    <definedName name="__SP033">NA()</definedName>
    <definedName name="__SP034">NA()</definedName>
    <definedName name="__SP035">NA()</definedName>
    <definedName name="__SP036">NA()</definedName>
    <definedName name="__SP037">NA()</definedName>
    <definedName name="__SP038">NA()</definedName>
    <definedName name="__SP039">NA()</definedName>
    <definedName name="__SP040">NA()</definedName>
    <definedName name="__SP041">NA()</definedName>
    <definedName name="__SP042">NA()</definedName>
    <definedName name="__SP043">NA()</definedName>
    <definedName name="__SP044">NA()</definedName>
    <definedName name="__SP045">NA()</definedName>
    <definedName name="__SP046">NA()</definedName>
    <definedName name="__SP047">NA()</definedName>
    <definedName name="__SP048">NA()</definedName>
    <definedName name="__SP049">NA()</definedName>
    <definedName name="__SP050">NA()</definedName>
    <definedName name="__SP051">NA()</definedName>
    <definedName name="__SP052">NA()</definedName>
    <definedName name="__SP053">NA()</definedName>
    <definedName name="__SP054">NA()</definedName>
    <definedName name="__SP055">NA()</definedName>
    <definedName name="__SP056">NA()</definedName>
    <definedName name="__SP057">NA()</definedName>
    <definedName name="__SP058">NA()</definedName>
    <definedName name="__SP059">NA()</definedName>
    <definedName name="__SP060">NA()</definedName>
    <definedName name="__SP061">NA()</definedName>
    <definedName name="__SP062">NA()</definedName>
    <definedName name="__SP063">NA()</definedName>
    <definedName name="__SP064">NA()</definedName>
    <definedName name="__SP065">NA()</definedName>
    <definedName name="__SP066">NA()</definedName>
    <definedName name="__SP067">NA()</definedName>
    <definedName name="__SP068">NA()</definedName>
    <definedName name="__SP069">NA()</definedName>
    <definedName name="__SP070">NA()</definedName>
    <definedName name="__sp071">NA()</definedName>
    <definedName name="__SP072">NA()</definedName>
    <definedName name="__SP073">NA()</definedName>
    <definedName name="__SP074">NA()</definedName>
    <definedName name="__SP075">NA()</definedName>
    <definedName name="__SP076">NA()</definedName>
    <definedName name="__SP077">NA()</definedName>
    <definedName name="__sp078">NA()</definedName>
    <definedName name="__SPO79">NA()</definedName>
    <definedName name="__SS10">"[56]mrates!$j$7"</definedName>
    <definedName name="__SS150">"[56]mrates!$g$13"</definedName>
    <definedName name="__SS225">"[56]mrates!$g$14"</definedName>
    <definedName name="__SS25">"[56]mrates!$j$10"</definedName>
    <definedName name="__SS300">"[56]mrates!$g$15"</definedName>
    <definedName name="__SS6">"[56]mrates!$j$6"</definedName>
    <definedName name="__sw1" localSheetId="10">NA()</definedName>
    <definedName name="__sw1">NA()</definedName>
    <definedName name="__TB2">NA()</definedName>
    <definedName name="__us1" localSheetId="10">NA()</definedName>
    <definedName name="__us1">NA()</definedName>
    <definedName name="__var1" localSheetId="10">NA()</definedName>
    <definedName name="__var1">NA()</definedName>
    <definedName name="__var4" localSheetId="10">NA()</definedName>
    <definedName name="__var4">NA()</definedName>
    <definedName name="__vat1">NA()</definedName>
    <definedName name="__vat2">NA()</definedName>
    <definedName name="__xh11010">NA()</definedName>
    <definedName name="__xh1104">NA()</definedName>
    <definedName name="__xh1106">NA()</definedName>
    <definedName name="__xh1108">NA()</definedName>
    <definedName name="__xh12510">NA()</definedName>
    <definedName name="__xh1254">NA()</definedName>
    <definedName name="__xh1256">NA()</definedName>
    <definedName name="__xh1258">NA()</definedName>
    <definedName name="__xh14010">NA()</definedName>
    <definedName name="__xh1404">NA()</definedName>
    <definedName name="__xh1406">NA()</definedName>
    <definedName name="__xh1408">NA()</definedName>
    <definedName name="__xh16010">NA()</definedName>
    <definedName name="__xh1604">NA()</definedName>
    <definedName name="__xh1606">NA()</definedName>
    <definedName name="__xh1608">NA()</definedName>
    <definedName name="__xh18010">NA()</definedName>
    <definedName name="__xh1804">NA()</definedName>
    <definedName name="__xh1806">NA()</definedName>
    <definedName name="__xh1808">NA()</definedName>
    <definedName name="__xh20010">NA()</definedName>
    <definedName name="__xh2004">NA()</definedName>
    <definedName name="__xh2006">NA()</definedName>
    <definedName name="__xh2008">NA()</definedName>
    <definedName name="__xh22510">NA()</definedName>
    <definedName name="__xh2254">NA()</definedName>
    <definedName name="__xh2258">NA()</definedName>
    <definedName name="__xh25010">NA()</definedName>
    <definedName name="__xh2504">NA()</definedName>
    <definedName name="__xh2508">NA()</definedName>
    <definedName name="__xh28010">NA()</definedName>
    <definedName name="__xh2804">NA()</definedName>
    <definedName name="__xh2808">NA()</definedName>
    <definedName name="__xh31510">NA()</definedName>
    <definedName name="__xh3154">NA()</definedName>
    <definedName name="__xh3158">NA()</definedName>
    <definedName name="__xh3554">NA()</definedName>
    <definedName name="__xh3556">NA()</definedName>
    <definedName name="__xh6310">NA()</definedName>
    <definedName name="__xh636">NA()</definedName>
    <definedName name="__xh638">NA()</definedName>
    <definedName name="__xh7510">NA()</definedName>
    <definedName name="__xh754">NA()</definedName>
    <definedName name="__xh756">NA()</definedName>
    <definedName name="__xh758">NA()</definedName>
    <definedName name="__xh9010">NA()</definedName>
    <definedName name="__xh904">NA()</definedName>
    <definedName name="__xh906">NA()</definedName>
    <definedName name="__xh908">NA()</definedName>
    <definedName name="__xk7200">NA()</definedName>
    <definedName name="__xk7350">NA()</definedName>
    <definedName name="__xk7400">NA()</definedName>
    <definedName name="__xk7450">NA()</definedName>
    <definedName name="__xk7500">NA()</definedName>
    <definedName name="__xk7600">NA()</definedName>
    <definedName name="__xk9100">NA()</definedName>
    <definedName name="__xk91000">NA()</definedName>
    <definedName name="__xk9150">NA()</definedName>
    <definedName name="__xk9200">NA()</definedName>
    <definedName name="__xk9250">NA()</definedName>
    <definedName name="__xk9300">NA()</definedName>
    <definedName name="__xk9350">NA()</definedName>
    <definedName name="__xk9400">NA()</definedName>
    <definedName name="__xk9450">NA()</definedName>
    <definedName name="__xk9500">NA()</definedName>
    <definedName name="__xk9600">NA()</definedName>
    <definedName name="__xk9700">NA()</definedName>
    <definedName name="__xk9750">NA()</definedName>
    <definedName name="__xk9800">NA()</definedName>
    <definedName name="__xk9900">NA()</definedName>
    <definedName name="__xlfn_BAHTTEXT">NA()</definedName>
    <definedName name="__xlfn_CEILING_MATH">NA()</definedName>
    <definedName name="__xlfn_ISFORMULA">NA()</definedName>
    <definedName name="__xlnm__FilterDatabase">NA()</definedName>
    <definedName name="__xlnm_Database" localSheetId="10">NA()</definedName>
    <definedName name="__xlnm_Database">NA()</definedName>
    <definedName name="__xlnm_Print_Area" localSheetId="10">Checklist!$A$1:$S$40</definedName>
    <definedName name="__xlnm_Print_Area" localSheetId="6">Joinery!$A$1:$M$1268</definedName>
    <definedName name="__xlnm_Print_Area" localSheetId="4">LEAD!$A$1:$N$49</definedName>
    <definedName name="__xlnm_Print_Area" localSheetId="7">'WS Data'!$A$1:$I$509</definedName>
    <definedName name="__xlnm_Print_Area">NA()</definedName>
    <definedName name="__xlnm_Print_Titles" localSheetId="8">'Civil SoR'!$2:$2</definedName>
    <definedName name="__xlnm_Print_Titles" localSheetId="4">LEAD!$3:$5</definedName>
    <definedName name="__xlnm_Print_Titles" localSheetId="7">'WS Data'!$3:$3</definedName>
    <definedName name="__xlnm_Print_Titles" localSheetId="9">'WS SoR'!$3:$3</definedName>
    <definedName name="__xlnm_Print_Titles">NA()</definedName>
    <definedName name="__xlnm_Print_Titles_1">NA()</definedName>
    <definedName name="__xp12510">NA()</definedName>
    <definedName name="__xp16010">NA()</definedName>
    <definedName name="__xp18010">NA()</definedName>
    <definedName name="__xp20010">NA()</definedName>
    <definedName name="__xp2004">NA()</definedName>
    <definedName name="__xp22510">NA()</definedName>
    <definedName name="__xp2254">NA()</definedName>
    <definedName name="__xp2256">NA()</definedName>
    <definedName name="__xp25010">NA()</definedName>
    <definedName name="__xp2504">NA()</definedName>
    <definedName name="__xp2506">NA()</definedName>
    <definedName name="__xp28010">NA()</definedName>
    <definedName name="__xp2804">NA()</definedName>
    <definedName name="__xp2806">NA()</definedName>
    <definedName name="__xp31510">NA()</definedName>
    <definedName name="__xp3154">NA()</definedName>
    <definedName name="__xp3156">NA()</definedName>
    <definedName name="__xp634">NA()</definedName>
    <definedName name="_0" localSheetId="10">NA()</definedName>
    <definedName name="_0">NA()</definedName>
    <definedName name="_0_10" localSheetId="10">NA()</definedName>
    <definedName name="_0_10">NA()</definedName>
    <definedName name="_055">NA()</definedName>
    <definedName name="_0knrothpfinal" localSheetId="10">NA()</definedName>
    <definedName name="_0knrothpfinal">NA()</definedName>
    <definedName name="_1_1">NA()</definedName>
    <definedName name="_10_mm">NA()</definedName>
    <definedName name="_1000_mm_diameter">NA()</definedName>
    <definedName name="_12_mm">NA()</definedName>
    <definedName name="_1220_mm_diameter">NA()</definedName>
    <definedName name="_13">NA()</definedName>
    <definedName name="_2_and_3" localSheetId="10">NA()</definedName>
    <definedName name="_2_and_3">NA()</definedName>
    <definedName name="_20_mm">NA()</definedName>
    <definedName name="_25_mm">NA()</definedName>
    <definedName name="_250_mm_diameter">NA()</definedName>
    <definedName name="_2m_100" localSheetId="10">NA()</definedName>
    <definedName name="_2m_100">NA()</definedName>
    <definedName name="_2m_150" localSheetId="10">NA()</definedName>
    <definedName name="_2m_150">NA()</definedName>
    <definedName name="_2m_200" localSheetId="10">NA()</definedName>
    <definedName name="_2m_200">NA()</definedName>
    <definedName name="_2m_25" localSheetId="10">NA()</definedName>
    <definedName name="_2m_25">NA()</definedName>
    <definedName name="_2m_250" localSheetId="10">NA()</definedName>
    <definedName name="_2m_250">NA()</definedName>
    <definedName name="_2m_300" localSheetId="10">NA()</definedName>
    <definedName name="_2m_300">NA()</definedName>
    <definedName name="_2m_32" localSheetId="10">NA()</definedName>
    <definedName name="_2m_32">NA()</definedName>
    <definedName name="_2m_40" localSheetId="10">NA()</definedName>
    <definedName name="_2m_40">NA()</definedName>
    <definedName name="_2m_50" localSheetId="10">NA()</definedName>
    <definedName name="_2m_50">NA()</definedName>
    <definedName name="_2m_65" localSheetId="10">NA()</definedName>
    <definedName name="_2m_65">NA()</definedName>
    <definedName name="_2m_80" localSheetId="10">NA()</definedName>
    <definedName name="_2m_80">NA()</definedName>
    <definedName name="_3" localSheetId="10">NA()</definedName>
    <definedName name="_3" localSheetId="1">NA()</definedName>
    <definedName name="_3">NA()</definedName>
    <definedName name="_300_mm_diameter">NA()</definedName>
    <definedName name="_33" localSheetId="10">NA()</definedName>
    <definedName name="_3m_100" localSheetId="10">NA()</definedName>
    <definedName name="_3m_100">NA()</definedName>
    <definedName name="_3m_150" localSheetId="10">NA()</definedName>
    <definedName name="_3m_150">NA()</definedName>
    <definedName name="_3m_200" localSheetId="10">NA()</definedName>
    <definedName name="_3m_200">NA()</definedName>
    <definedName name="_3m_25" localSheetId="10">NA()</definedName>
    <definedName name="_3m_25">NA()</definedName>
    <definedName name="_3m_250" localSheetId="10">NA()</definedName>
    <definedName name="_3m_250">NA()</definedName>
    <definedName name="_3m_300" localSheetId="10">NA()</definedName>
    <definedName name="_3m_300">NA()</definedName>
    <definedName name="_3m_32" localSheetId="10">NA()</definedName>
    <definedName name="_3m_32">NA()</definedName>
    <definedName name="_3m_40" localSheetId="10">NA()</definedName>
    <definedName name="_3m_40">NA()</definedName>
    <definedName name="_3m_50" localSheetId="10">NA()</definedName>
    <definedName name="_3m_50">NA()</definedName>
    <definedName name="_3m_65" localSheetId="10">NA()</definedName>
    <definedName name="_3m_65">NA()</definedName>
    <definedName name="_3m_80" localSheetId="10">NA()</definedName>
    <definedName name="_3m_80">NA()</definedName>
    <definedName name="_4" localSheetId="10">NA()</definedName>
    <definedName name="_40_mm">NA()</definedName>
    <definedName name="_40_mm_size_OG">NA()</definedName>
    <definedName name="_40_mm_SS_5_HBG">"[71]material!#ref!"</definedName>
    <definedName name="_40_mm_thick_ness">NA()</definedName>
    <definedName name="_40MM_HBG">NA()</definedName>
    <definedName name="_45_mm">NA()</definedName>
    <definedName name="_450_mm_diameter">NA()</definedName>
    <definedName name="_50_mm">NA()</definedName>
    <definedName name="_6_mm">NA()</definedName>
    <definedName name="_6_mm_SS_5_HBG_m_c">"[71]material!#ref!"</definedName>
    <definedName name="_600_mm_diameter">NA()</definedName>
    <definedName name="_65MM_HBG">NA()</definedName>
    <definedName name="_65MM_HBT">NA()</definedName>
    <definedName name="_65MM_OG">NA()</definedName>
    <definedName name="_750_mm_diameter">NA()</definedName>
    <definedName name="_800_mm_diameter">NA()</definedName>
    <definedName name="_a" localSheetId="10">NA()</definedName>
    <definedName name="_a">NA()</definedName>
    <definedName name="_a_10" localSheetId="10">NA()</definedName>
    <definedName name="_a_10">NA()</definedName>
    <definedName name="_aaa10" localSheetId="10">NA()</definedName>
    <definedName name="_aaa10">NA()</definedName>
    <definedName name="_aaa5" localSheetId="10">NA()</definedName>
    <definedName name="_aaa5">NA()</definedName>
    <definedName name="_AAA51" localSheetId="10">NA()</definedName>
    <definedName name="_AAA51">NA()</definedName>
    <definedName name="_aaa55" localSheetId="10">NA()</definedName>
    <definedName name="_aaa55">NA()</definedName>
    <definedName name="_AAA6" localSheetId="10">NA()</definedName>
    <definedName name="_AAA6">NA()</definedName>
    <definedName name="_AAA7" localSheetId="10">NA()</definedName>
    <definedName name="_AAA7">NA()</definedName>
    <definedName name="_AAD5" localSheetId="10">NA()</definedName>
    <definedName name="_AAD5">NA()</definedName>
    <definedName name="_aad55" localSheetId="10">NA()</definedName>
    <definedName name="_aad55">NA()</definedName>
    <definedName name="_Apr02">"[72]newabstract!#ref!"</definedName>
    <definedName name="_Apr03">"[72]newabstract!#ref!"</definedName>
    <definedName name="_Apr04">"[72]newabstract!#ref!"</definedName>
    <definedName name="_Apr05">"[72]newabstract!#ref!"</definedName>
    <definedName name="_Apr06">"[72]newabstract!#ref!"</definedName>
    <definedName name="_Apr07">"[72]newabstract!#ref!"</definedName>
    <definedName name="_Apr08">"[72]newabstract!#ref!"</definedName>
    <definedName name="_Apr09">"[72]newabstract!#ref!"</definedName>
    <definedName name="_Apr10">"[72]newabstract!#ref!"</definedName>
    <definedName name="_Apr11">"[72]newabstract!#ref!"</definedName>
    <definedName name="_Apr13">"[72]newabstract!#ref!"</definedName>
    <definedName name="_Apr14">"[72]newabstract!#ref!"</definedName>
    <definedName name="_Apr15">"[72]newabstract!#ref!"</definedName>
    <definedName name="_Apr16">"[72]newabstract!#ref!"</definedName>
    <definedName name="_Apr17">"[72]newabstract!#ref!"</definedName>
    <definedName name="_Apr20">"[72]newabstract!#ref!"</definedName>
    <definedName name="_Apr21">"[72]newabstract!#ref!"</definedName>
    <definedName name="_Apr22">"[72]newabstract!#ref!"</definedName>
    <definedName name="_Apr23">"[72]newabstract!#ref!"</definedName>
    <definedName name="_Apr24">"[72]newabstract!#ref!"</definedName>
    <definedName name="_Apr27">"[72]newabstract!#ref!"</definedName>
    <definedName name="_Apr28">"[72]newabstract!#ref!"</definedName>
    <definedName name="_Apr29">"[72]newabstract!#ref!"</definedName>
    <definedName name="_Apr30">"[72]newabstract!#ref!"</definedName>
    <definedName name="_atw2" localSheetId="10">NA()</definedName>
    <definedName name="_atw2">NA()</definedName>
    <definedName name="_AUX1" localSheetId="10">NA()</definedName>
    <definedName name="_AUX1">NA()</definedName>
    <definedName name="_aux2" localSheetId="10">NA()</definedName>
    <definedName name="_aux2">NA()</definedName>
    <definedName name="_AUX3" localSheetId="10">NA()</definedName>
    <definedName name="_AUX3">NA()</definedName>
    <definedName name="_b">NA()</definedName>
    <definedName name="_bol1" localSheetId="10">NA()</definedName>
    <definedName name="_bol1">NA()</definedName>
    <definedName name="_brush" localSheetId="10">NA()</definedName>
    <definedName name="_brush">NA()</definedName>
    <definedName name="_BSG100">NA()</definedName>
    <definedName name="_BSG150">NA()</definedName>
    <definedName name="_BSG5">NA()</definedName>
    <definedName name="_BSG75">NA()</definedName>
    <definedName name="_BTC1">NA()</definedName>
    <definedName name="_BTC10">NA()</definedName>
    <definedName name="_BTC11">NA()</definedName>
    <definedName name="_BTC12">NA()</definedName>
    <definedName name="_BTC13">NA()</definedName>
    <definedName name="_BTC14">NA()</definedName>
    <definedName name="_BTC15">NA()</definedName>
    <definedName name="_BTC16">NA()</definedName>
    <definedName name="_BTC17">NA()</definedName>
    <definedName name="_BTC18">NA()</definedName>
    <definedName name="_BTC19">NA()</definedName>
    <definedName name="_BTC2">NA()</definedName>
    <definedName name="_BTC20">NA()</definedName>
    <definedName name="_BTC21">NA()</definedName>
    <definedName name="_BTC22">NA()</definedName>
    <definedName name="_BTC23">NA()</definedName>
    <definedName name="_BTC24">NA()</definedName>
    <definedName name="_BTC3">NA()</definedName>
    <definedName name="_BTC4">NA()</definedName>
    <definedName name="_BTC5">NA()</definedName>
    <definedName name="_BTC6">NA()</definedName>
    <definedName name="_BTC7">NA()</definedName>
    <definedName name="_BTC8">NA()</definedName>
    <definedName name="_BTC9">NA()</definedName>
    <definedName name="_BTR1">NA()</definedName>
    <definedName name="_BTR10">NA()</definedName>
    <definedName name="_BTR11">NA()</definedName>
    <definedName name="_BTR12">NA()</definedName>
    <definedName name="_BTR13">NA()</definedName>
    <definedName name="_BTR14">NA()</definedName>
    <definedName name="_BTR15">NA()</definedName>
    <definedName name="_BTR16">NA()</definedName>
    <definedName name="_BTR17">NA()</definedName>
    <definedName name="_BTR18">NA()</definedName>
    <definedName name="_BTR19">NA()</definedName>
    <definedName name="_BTR2">NA()</definedName>
    <definedName name="_BTR20">NA()</definedName>
    <definedName name="_BTR21">NA()</definedName>
    <definedName name="_BTR22">NA()</definedName>
    <definedName name="_BTR23">NA()</definedName>
    <definedName name="_BTR24">NA()</definedName>
    <definedName name="_BTR3">NA()</definedName>
    <definedName name="_BTR4">NA()</definedName>
    <definedName name="_BTR5">NA()</definedName>
    <definedName name="_BTR6">NA()</definedName>
    <definedName name="_BTR7">NA()</definedName>
    <definedName name="_BTR8">NA()</definedName>
    <definedName name="_BTR9">NA()</definedName>
    <definedName name="_BTS1">NA()</definedName>
    <definedName name="_BTS10">NA()</definedName>
    <definedName name="_BTS11">NA()</definedName>
    <definedName name="_BTS12">NA()</definedName>
    <definedName name="_BTS13">NA()</definedName>
    <definedName name="_BTS14">NA()</definedName>
    <definedName name="_BTS15">NA()</definedName>
    <definedName name="_BTS16">NA()</definedName>
    <definedName name="_BTS17">NA()</definedName>
    <definedName name="_BTS18">NA()</definedName>
    <definedName name="_BTS19">NA()</definedName>
    <definedName name="_BTS2">NA()</definedName>
    <definedName name="_BTS20">NA()</definedName>
    <definedName name="_BTS21">NA()</definedName>
    <definedName name="_BTS22">NA()</definedName>
    <definedName name="_BTS23">NA()</definedName>
    <definedName name="_BTS24">NA()</definedName>
    <definedName name="_BTS3">NA()</definedName>
    <definedName name="_BTS4">NA()</definedName>
    <definedName name="_BTS5">NA()</definedName>
    <definedName name="_BTS6">NA()</definedName>
    <definedName name="_BTS7">NA()</definedName>
    <definedName name="_BTS8">NA()</definedName>
    <definedName name="_BTS9">NA()</definedName>
    <definedName name="_C" localSheetId="10">NA()</definedName>
    <definedName name="_C">NA()</definedName>
    <definedName name="_C_10" localSheetId="10">NA()</definedName>
    <definedName name="_C_10">NA()</definedName>
    <definedName name="_can430">40.73</definedName>
    <definedName name="_can435">43.3</definedName>
    <definedName name="_cbr1">NA()</definedName>
    <definedName name="_cbr2">NA()</definedName>
    <definedName name="_cbr3">NA()</definedName>
    <definedName name="_cbr4">NA()</definedName>
    <definedName name="_CD2">NA()</definedName>
    <definedName name="_CEM">NA()</definedName>
    <definedName name="_ceramic" localSheetId="10">NA()</definedName>
    <definedName name="_ceramic">NA()</definedName>
    <definedName name="_COL10" localSheetId="10">NA()</definedName>
    <definedName name="_COL10">NA()</definedName>
    <definedName name="_COL101" localSheetId="10">NA()</definedName>
    <definedName name="_COL101">NA()</definedName>
    <definedName name="_COL11" localSheetId="10">NA()</definedName>
    <definedName name="_COL11">NA()</definedName>
    <definedName name="_COL111" localSheetId="10">NA()</definedName>
    <definedName name="_COL111">NA()</definedName>
    <definedName name="_cp" localSheetId="10">NA()</definedName>
    <definedName name="_cp">NA()</definedName>
    <definedName name="_Ctr10" localSheetId="10">NA()</definedName>
    <definedName name="_Ctr10">NA()</definedName>
    <definedName name="_CY53__" localSheetId="10">NA()</definedName>
    <definedName name="_CY53__">NA()</definedName>
    <definedName name="_CY53___10" localSheetId="10">NA()</definedName>
    <definedName name="_CY53___10">NA()</definedName>
    <definedName name="_dadoing" localSheetId="10">NA()</definedName>
    <definedName name="_dadoing">NA()</definedName>
    <definedName name="_df3">NA()</definedName>
    <definedName name="_E29" localSheetId="10">NA()</definedName>
    <definedName name="_E29">NA()</definedName>
    <definedName name="_E38" localSheetId="10">NA()</definedName>
    <definedName name="_E38">NA()</definedName>
    <definedName name="_emulsion" localSheetId="10">NA()</definedName>
    <definedName name="_emulsion">NA()</definedName>
    <definedName name="_er1" localSheetId="10">NA()</definedName>
    <definedName name="_er1">NA()</definedName>
    <definedName name="_EST3" localSheetId="10">NA()</definedName>
    <definedName name="_ewe1" localSheetId="10">NA()</definedName>
    <definedName name="_ewe1">NA()</definedName>
    <definedName name="_exc1" localSheetId="10">NA()</definedName>
    <definedName name="_exc1">NA()</definedName>
    <definedName name="_exc11" localSheetId="10">NA()</definedName>
    <definedName name="_exc11">NA()</definedName>
    <definedName name="_exc2" localSheetId="10">NA()</definedName>
    <definedName name="_exc2">NA()</definedName>
    <definedName name="_EXC3" localSheetId="10">NA()</definedName>
    <definedName name="_EXC3">NA()</definedName>
    <definedName name="_EXC4" localSheetId="10">NA()</definedName>
    <definedName name="_EXC4">NA()</definedName>
    <definedName name="_f1">NA()</definedName>
    <definedName name="_fil" localSheetId="10">NA()</definedName>
    <definedName name="_Fill" localSheetId="10">NA()</definedName>
    <definedName name="_Fill" localSheetId="1">NA()</definedName>
    <definedName name="_Fill">NA()</definedName>
    <definedName name="_xlnm._FilterDatabase" localSheetId="24" hidden="1">'CC1st&amp; Final'!$A$3:$K$5</definedName>
    <definedName name="_xlnm._FilterDatabase" localSheetId="20" hidden="1">RE!$A$3:$O$5</definedName>
    <definedName name="_xlnm._FilterDatabase" localSheetId="25" hidden="1">SP!$A$6:$H$8</definedName>
    <definedName name="_flx200" localSheetId="10">NA()</definedName>
    <definedName name="_flx200">NA()</definedName>
    <definedName name="_flx250" localSheetId="10">NA()</definedName>
    <definedName name="_flx250">NA()</definedName>
    <definedName name="_flx300" localSheetId="10">NA()</definedName>
    <definedName name="_flx300">NA()</definedName>
    <definedName name="_foo1" localSheetId="10">NA()</definedName>
    <definedName name="_foo1">NA()</definedName>
    <definedName name="_foo2" localSheetId="10">NA()</definedName>
    <definedName name="_foo2">NA()</definedName>
    <definedName name="_foo3" localSheetId="10">NA()</definedName>
    <definedName name="_foo3">NA()</definedName>
    <definedName name="_FOO4" localSheetId="10">NA()</definedName>
    <definedName name="_FOO4">NA()</definedName>
    <definedName name="_G">NA()</definedName>
    <definedName name="_G120907">"[42]data!#ref!"</definedName>
    <definedName name="_GBS11">NA()</definedName>
    <definedName name="_GBS110">NA()</definedName>
    <definedName name="_GBS111">NA()</definedName>
    <definedName name="_GBS112">NA()</definedName>
    <definedName name="_GBS113">NA()</definedName>
    <definedName name="_GBS114">NA()</definedName>
    <definedName name="_GBS115">NA()</definedName>
    <definedName name="_GBS116">NA()</definedName>
    <definedName name="_GBS117">NA()</definedName>
    <definedName name="_GBS118">NA()</definedName>
    <definedName name="_GBS119">NA()</definedName>
    <definedName name="_GBS12">NA()</definedName>
    <definedName name="_GBS120">NA()</definedName>
    <definedName name="_GBS121">NA()</definedName>
    <definedName name="_GBS122">NA()</definedName>
    <definedName name="_GBS123">NA()</definedName>
    <definedName name="_GBS124">NA()</definedName>
    <definedName name="_GBS13">NA()</definedName>
    <definedName name="_GBS14">NA()</definedName>
    <definedName name="_GBS15">NA()</definedName>
    <definedName name="_GBS16">NA()</definedName>
    <definedName name="_GBS17">NA()</definedName>
    <definedName name="_GBS18">NA()</definedName>
    <definedName name="_GBS19">NA()</definedName>
    <definedName name="_GBS21">NA()</definedName>
    <definedName name="_GBS210">NA()</definedName>
    <definedName name="_GBS211">NA()</definedName>
    <definedName name="_GBS212">NA()</definedName>
    <definedName name="_GBS213">NA()</definedName>
    <definedName name="_GBS214">NA()</definedName>
    <definedName name="_GBS215">NA()</definedName>
    <definedName name="_GBS216">NA()</definedName>
    <definedName name="_GBS217">NA()</definedName>
    <definedName name="_GBS218">NA()</definedName>
    <definedName name="_GBS219">NA()</definedName>
    <definedName name="_GBS22">NA()</definedName>
    <definedName name="_GBS220">NA()</definedName>
    <definedName name="_GBS221">NA()</definedName>
    <definedName name="_GBS222">NA()</definedName>
    <definedName name="_GBS223">NA()</definedName>
    <definedName name="_GBS224">NA()</definedName>
    <definedName name="_GBS23">NA()</definedName>
    <definedName name="_GBS24">NA()</definedName>
    <definedName name="_GBS25">NA()</definedName>
    <definedName name="_GBS26">NA()</definedName>
    <definedName name="_GBS27">NA()</definedName>
    <definedName name="_GBS28">NA()</definedName>
    <definedName name="_GBS29">NA()</definedName>
    <definedName name="_gk">NA()</definedName>
    <definedName name="_GOTO_I10_" localSheetId="10">NA()</definedName>
    <definedName name="_GOTO_I10_">NA()</definedName>
    <definedName name="_GOTO_I10__10" localSheetId="10">NA()</definedName>
    <definedName name="_GOTO_I10__10">NA()</definedName>
    <definedName name="_GRA">NA()</definedName>
    <definedName name="_grp10003">NA()</definedName>
    <definedName name="_grp3503">NA()</definedName>
    <definedName name="_grp4003">NA()</definedName>
    <definedName name="_grp4503">NA()</definedName>
    <definedName name="_grp5003">NA()</definedName>
    <definedName name="_grp6003">NA()</definedName>
    <definedName name="_grp7003">NA()</definedName>
    <definedName name="_grp8003">NA()</definedName>
    <definedName name="_grp9003">NA()</definedName>
    <definedName name="_grstn" localSheetId="10">NA()</definedName>
    <definedName name="_grstn">NA()</definedName>
    <definedName name="_grstn1">NA()</definedName>
    <definedName name="_gus1" localSheetId="10">NA()</definedName>
    <definedName name="_gus1">NA()</definedName>
    <definedName name="_hab1" localSheetId="10">NA()</definedName>
    <definedName name="_hab1">NA()</definedName>
    <definedName name="_hpm1" localSheetId="10">NA()</definedName>
    <definedName name="_hpm1">NA()</definedName>
    <definedName name="_I">NA()</definedName>
    <definedName name="_I06">NA()</definedName>
    <definedName name="_I10">NA()</definedName>
    <definedName name="_I12">NA()</definedName>
    <definedName name="_I150">NA()</definedName>
    <definedName name="_I20">NA()</definedName>
    <definedName name="_I25">NA()</definedName>
    <definedName name="_I40">NA()</definedName>
    <definedName name="_I50">NA()</definedName>
    <definedName name="_I60">NA()</definedName>
    <definedName name="_I65">NA()</definedName>
    <definedName name="_I75">NA()</definedName>
    <definedName name="_IRC12">"[56]mrates!$m$9"</definedName>
    <definedName name="_IRC19">"[56]mrates!$m$10"</definedName>
    <definedName name="_IRC25">"[56]mrates!$m$11"</definedName>
    <definedName name="_IRC40">"[56]mrates!$m$12"</definedName>
    <definedName name="_IRC5">"[56]mrates!$m$7"</definedName>
    <definedName name="_IRC50">"[56]mrates!$m$13"</definedName>
    <definedName name="_IRC60">"[56]mrates!$m$14"</definedName>
    <definedName name="_IRC9">"[56]mrates!$m$8"</definedName>
    <definedName name="_J">NA()</definedName>
    <definedName name="_ja">"[83]labour!#ref!"</definedName>
    <definedName name="_JCR23" localSheetId="10">NA()</definedName>
    <definedName name="_JCR23">NA()</definedName>
    <definedName name="_k1">NA()</definedName>
    <definedName name="_KC139" localSheetId="10">NA()</definedName>
    <definedName name="_KC139">NA()</definedName>
    <definedName name="_KC580" localSheetId="10">NA()</definedName>
    <definedName name="_KC580">NA()</definedName>
    <definedName name="_Key1" localSheetId="10">NA()</definedName>
    <definedName name="_Key1">NA()</definedName>
    <definedName name="_knr2" localSheetId="10">NA()</definedName>
    <definedName name="_knr2">NA()</definedName>
    <definedName name="_knr3">NA()</definedName>
    <definedName name="_L_BX">NA()</definedName>
    <definedName name="_L_CX">NA()</definedName>
    <definedName name="_l12" localSheetId="10">NA()</definedName>
    <definedName name="_l12">NA()</definedName>
    <definedName name="_l3">NA()</definedName>
    <definedName name="_l5" localSheetId="10">NA()</definedName>
    <definedName name="_l5">NA()</definedName>
    <definedName name="_LC1">"[84]labour!#ref!"</definedName>
    <definedName name="_LC2">"[84]labour!#ref!"</definedName>
    <definedName name="_lcn1" localSheetId="10">NA()</definedName>
    <definedName name="_lcn1">NA()</definedName>
    <definedName name="_lj600">NA()</definedName>
    <definedName name="_lj900">NA()</definedName>
    <definedName name="_LL3">NA()</definedName>
    <definedName name="_lm1" localSheetId="10">NA()</definedName>
    <definedName name="_lm1">NA()</definedName>
    <definedName name="_LSO24">"[14]lead!#ref!"</definedName>
    <definedName name="_m" localSheetId="10">NA()</definedName>
    <definedName name="_m">NA()</definedName>
    <definedName name="_m_10" localSheetId="10">NA()</definedName>
    <definedName name="_m_10">NA()</definedName>
    <definedName name="_M55" localSheetId="10">NA()</definedName>
    <definedName name="_M55">NA()</definedName>
    <definedName name="_ma" localSheetId="10">NA()</definedName>
    <definedName name="_ma">NA()</definedName>
    <definedName name="_ma1" localSheetId="10">NA()</definedName>
    <definedName name="_ma1">NA()</definedName>
    <definedName name="_ma2" localSheetId="10">NA()</definedName>
    <definedName name="_ma2">NA()</definedName>
    <definedName name="_Mar06">"[72]newabstract!#ref!"</definedName>
    <definedName name="_Mar09">"[72]newabstract!#ref!"</definedName>
    <definedName name="_Mar10">"[72]newabstract!#ref!"</definedName>
    <definedName name="_Mar11">"[72]newabstract!#ref!"</definedName>
    <definedName name="_Mar12">"[72]newabstract!#ref!"</definedName>
    <definedName name="_Mar13">"[72]newabstract!#ref!"</definedName>
    <definedName name="_Mar16">"[72]newabstract!#ref!"</definedName>
    <definedName name="_Mar17">"[72]newabstract!#ref!"</definedName>
    <definedName name="_Mar18">"[72]newabstract!#ref!"</definedName>
    <definedName name="_Mar19">"[72]newabstract!#ref!"</definedName>
    <definedName name="_Mar20">"[72]newabstract!#ref!"</definedName>
    <definedName name="_Mar23">"[72]newabstract!#ref!"</definedName>
    <definedName name="_Mar24">"[72]newabstract!#ref!"</definedName>
    <definedName name="_Mar25">"[72]newabstract!#ref!"</definedName>
    <definedName name="_Mar26">"[72]newabstract!#ref!"</definedName>
    <definedName name="_Mar27">"[72]newabstract!#ref!"</definedName>
    <definedName name="_Mar28">"[72]newabstract!#ref!"</definedName>
    <definedName name="_Mar30">"[72]newabstract!#ref!"</definedName>
    <definedName name="_Mar31">"[72]newabstract!#ref!"</definedName>
    <definedName name="_me12">NA()</definedName>
    <definedName name="_me15">NA()</definedName>
    <definedName name="_melamine" localSheetId="10">NA()</definedName>
    <definedName name="_melamine">NA()</definedName>
    <definedName name="_Met21" localSheetId="10">NA()</definedName>
    <definedName name="_Met21">NA()</definedName>
    <definedName name="_Met22" localSheetId="10">NA()</definedName>
    <definedName name="_Met22">NA()</definedName>
    <definedName name="_Met45" localSheetId="10">NA()</definedName>
    <definedName name="_Met45">NA()</definedName>
    <definedName name="_MEt55" localSheetId="10">NA()</definedName>
    <definedName name="_MEt55">NA()</definedName>
    <definedName name="_Met63" localSheetId="10">NA()</definedName>
    <definedName name="_Met63">NA()</definedName>
    <definedName name="_ML21">NA()</definedName>
    <definedName name="_ML210">NA()</definedName>
    <definedName name="_ML211">NA()</definedName>
    <definedName name="_ML212">NA()</definedName>
    <definedName name="_ML213">NA()</definedName>
    <definedName name="_ML214">NA()</definedName>
    <definedName name="_ML215">NA()</definedName>
    <definedName name="_ML216">NA()</definedName>
    <definedName name="_ML217">NA()</definedName>
    <definedName name="_ML218">NA()</definedName>
    <definedName name="_ML219">NA()</definedName>
    <definedName name="_ML22">NA()</definedName>
    <definedName name="_ML220">NA()</definedName>
    <definedName name="_ML221">NA()</definedName>
    <definedName name="_ML222">NA()</definedName>
    <definedName name="_ML223">NA()</definedName>
    <definedName name="_ML224">NA()</definedName>
    <definedName name="_ML23">NA()</definedName>
    <definedName name="_ML24">NA()</definedName>
    <definedName name="_ML25">NA()</definedName>
    <definedName name="_ML26">NA()</definedName>
    <definedName name="_ML27">NA()</definedName>
    <definedName name="_ML28">NA()</definedName>
    <definedName name="_ML29">NA()</definedName>
    <definedName name="_ML31">NA()</definedName>
    <definedName name="_ML310">NA()</definedName>
    <definedName name="_ML311">NA()</definedName>
    <definedName name="_ML312">NA()</definedName>
    <definedName name="_ML313">NA()</definedName>
    <definedName name="_ML314">NA()</definedName>
    <definedName name="_ML315">NA()</definedName>
    <definedName name="_ML316">NA()</definedName>
    <definedName name="_ML317">NA()</definedName>
    <definedName name="_ML318">NA()</definedName>
    <definedName name="_ML319">NA()</definedName>
    <definedName name="_ML32">NA()</definedName>
    <definedName name="_ML320">NA()</definedName>
    <definedName name="_ML321">NA()</definedName>
    <definedName name="_ML322">NA()</definedName>
    <definedName name="_ML323">NA()</definedName>
    <definedName name="_ML324">NA()</definedName>
    <definedName name="_ML33">NA()</definedName>
    <definedName name="_ML34">NA()</definedName>
    <definedName name="_ML35">NA()</definedName>
    <definedName name="_ML36">NA()</definedName>
    <definedName name="_ML37">NA()</definedName>
    <definedName name="_ML38">NA()</definedName>
    <definedName name="_ML39">NA()</definedName>
    <definedName name="_ML7">NA()</definedName>
    <definedName name="_ML8">NA()</definedName>
    <definedName name="_ML9">NA()</definedName>
    <definedName name="_mm" localSheetId="10">NA()</definedName>
    <definedName name="_mm">NA()</definedName>
    <definedName name="_mm1000" localSheetId="10">NA()</definedName>
    <definedName name="_mm1000">NA()</definedName>
    <definedName name="_mm1001" localSheetId="10">NA()</definedName>
    <definedName name="_mm1001">NA()</definedName>
    <definedName name="_mm20">NA()</definedName>
    <definedName name="_mm40">NA()</definedName>
    <definedName name="_mm600" localSheetId="10">NA()</definedName>
    <definedName name="_mm600">NA()</definedName>
    <definedName name="_mm800" localSheetId="10">NA()</definedName>
    <definedName name="_mm800">NA()</definedName>
    <definedName name="_MT1">NA()</definedName>
    <definedName name="_MT10">NA()</definedName>
    <definedName name="_MT100">NA()</definedName>
    <definedName name="_MT101">NA()</definedName>
    <definedName name="_MT102">NA()</definedName>
    <definedName name="_MT103">NA()</definedName>
    <definedName name="_MT104">NA()</definedName>
    <definedName name="_MT105">NA()</definedName>
    <definedName name="_MT106">NA()</definedName>
    <definedName name="_MT107">NA()</definedName>
    <definedName name="_MT108">NA()</definedName>
    <definedName name="_MT109">NA()</definedName>
    <definedName name="_MT11">NA()</definedName>
    <definedName name="_MT110">NA()</definedName>
    <definedName name="_MT111">NA()</definedName>
    <definedName name="_MT112">NA()</definedName>
    <definedName name="_MT113">NA()</definedName>
    <definedName name="_MT114">NA()</definedName>
    <definedName name="_MT115">NA()</definedName>
    <definedName name="_MT116">NA()</definedName>
    <definedName name="_MT117">NA()</definedName>
    <definedName name="_MT118">NA()</definedName>
    <definedName name="_MT119">NA()</definedName>
    <definedName name="_MT12">NA()</definedName>
    <definedName name="_MT120">NA()</definedName>
    <definedName name="_MT121">NA()</definedName>
    <definedName name="_MT122">NA()</definedName>
    <definedName name="_MT123">NA()</definedName>
    <definedName name="_MT124">NA()</definedName>
    <definedName name="_MT125">NA()</definedName>
    <definedName name="_MT126">NA()</definedName>
    <definedName name="_MT127">NA()</definedName>
    <definedName name="_MT128">NA()</definedName>
    <definedName name="_MT129">NA()</definedName>
    <definedName name="_MT13">NA()</definedName>
    <definedName name="_MT130">NA()</definedName>
    <definedName name="_MT131">NA()</definedName>
    <definedName name="_MT132">NA()</definedName>
    <definedName name="_MT133">NA()</definedName>
    <definedName name="_MT134">NA()</definedName>
    <definedName name="_MT135">NA()</definedName>
    <definedName name="_MT136">NA()</definedName>
    <definedName name="_MT137">NA()</definedName>
    <definedName name="_MT138">NA()</definedName>
    <definedName name="_MT139">NA()</definedName>
    <definedName name="_MT14">NA()</definedName>
    <definedName name="_MT140">NA()</definedName>
    <definedName name="_MT141">NA()</definedName>
    <definedName name="_MT142">NA()</definedName>
    <definedName name="_MT143">NA()</definedName>
    <definedName name="_MT144">NA()</definedName>
    <definedName name="_MT145">NA()</definedName>
    <definedName name="_MT146">NA()</definedName>
    <definedName name="_MT147">NA()</definedName>
    <definedName name="_MT148">NA()</definedName>
    <definedName name="_MT149">NA()</definedName>
    <definedName name="_MT15">NA()</definedName>
    <definedName name="_MT150">NA()</definedName>
    <definedName name="_MT16">NA()</definedName>
    <definedName name="_MT17">NA()</definedName>
    <definedName name="_MT18">NA()</definedName>
    <definedName name="_MT19">NA()</definedName>
    <definedName name="_MT2">NA()</definedName>
    <definedName name="_MT20">NA()</definedName>
    <definedName name="_MT21">NA()</definedName>
    <definedName name="_MT22">NA()</definedName>
    <definedName name="_MT23">NA()</definedName>
    <definedName name="_MT24">NA()</definedName>
    <definedName name="_MT25">NA()</definedName>
    <definedName name="_MT26">NA()</definedName>
    <definedName name="_MT27">NA()</definedName>
    <definedName name="_MT28">NA()</definedName>
    <definedName name="_MT29">NA()</definedName>
    <definedName name="_MT3">NA()</definedName>
    <definedName name="_MT30">NA()</definedName>
    <definedName name="_MT31">NA()</definedName>
    <definedName name="_MT32">NA()</definedName>
    <definedName name="_MT33">NA()</definedName>
    <definedName name="_MT34">NA()</definedName>
    <definedName name="_MT35">NA()</definedName>
    <definedName name="_MT36">NA()</definedName>
    <definedName name="_MT37">NA()</definedName>
    <definedName name="_MT38">NA()</definedName>
    <definedName name="_MT39">NA()</definedName>
    <definedName name="_MT4">NA()</definedName>
    <definedName name="_MT40">NA()</definedName>
    <definedName name="_MT41">NA()</definedName>
    <definedName name="_MT42">NA()</definedName>
    <definedName name="_MT43">NA()</definedName>
    <definedName name="_MT44">NA()</definedName>
    <definedName name="_MT45">NA()</definedName>
    <definedName name="_MT46">NA()</definedName>
    <definedName name="_MT47">NA()</definedName>
    <definedName name="_MT48">NA()</definedName>
    <definedName name="_MT49">NA()</definedName>
    <definedName name="_MT5">NA()</definedName>
    <definedName name="_MT50">NA()</definedName>
    <definedName name="_MT500">NA()</definedName>
    <definedName name="_MT51">NA()</definedName>
    <definedName name="_MT52">NA()</definedName>
    <definedName name="_MT53">NA()</definedName>
    <definedName name="_MT54">NA()</definedName>
    <definedName name="_MT55">NA()</definedName>
    <definedName name="_MT56">NA()</definedName>
    <definedName name="_MT57">NA()</definedName>
    <definedName name="_MT58">NA()</definedName>
    <definedName name="_MT59">NA()</definedName>
    <definedName name="_MT6">NA()</definedName>
    <definedName name="_MT60">NA()</definedName>
    <definedName name="_MT61">NA()</definedName>
    <definedName name="_MT62">NA()</definedName>
    <definedName name="_MT63">NA()</definedName>
    <definedName name="_MT64">NA()</definedName>
    <definedName name="_MT65">NA()</definedName>
    <definedName name="_MT66">NA()</definedName>
    <definedName name="_MT67">NA()</definedName>
    <definedName name="_MT68">NA()</definedName>
    <definedName name="_MT69">NA()</definedName>
    <definedName name="_MT7">NA()</definedName>
    <definedName name="_MT70">NA()</definedName>
    <definedName name="_MT71">NA()</definedName>
    <definedName name="_MT72">NA()</definedName>
    <definedName name="_MT73">NA()</definedName>
    <definedName name="_MT74">NA()</definedName>
    <definedName name="_MT75">NA()</definedName>
    <definedName name="_MT76">NA()</definedName>
    <definedName name="_MT77">NA()</definedName>
    <definedName name="_MT78">NA()</definedName>
    <definedName name="_MT79">NA()</definedName>
    <definedName name="_MT8">NA()</definedName>
    <definedName name="_MT80">NA()</definedName>
    <definedName name="_MT81">NA()</definedName>
    <definedName name="_MT82">NA()</definedName>
    <definedName name="_MT83">NA()</definedName>
    <definedName name="_MT84">NA()</definedName>
    <definedName name="_MT85">NA()</definedName>
    <definedName name="_MT86">NA()</definedName>
    <definedName name="_MT87">NA()</definedName>
    <definedName name="_MT88">NA()</definedName>
    <definedName name="_MT89">NA()</definedName>
    <definedName name="_MT9">NA()</definedName>
    <definedName name="_MT90">NA()</definedName>
    <definedName name="_MT91">NA()</definedName>
    <definedName name="_MT92">NA()</definedName>
    <definedName name="_MT93">NA()</definedName>
    <definedName name="_MT94">NA()</definedName>
    <definedName name="_MT95">NA()</definedName>
    <definedName name="_MT96">NA()</definedName>
    <definedName name="_MT97">NA()</definedName>
    <definedName name="_MT98">NA()</definedName>
    <definedName name="_MT99">NA()</definedName>
    <definedName name="_n" localSheetId="10">NA()</definedName>
    <definedName name="_N">NA()</definedName>
    <definedName name="_n_10" localSheetId="10">NA()</definedName>
    <definedName name="_n_10">NA()</definedName>
    <definedName name="_ne10">NA()</definedName>
    <definedName name="_New1">"[93]data!#ref!"</definedName>
    <definedName name="_o" localSheetId="10">NA()</definedName>
    <definedName name="_o">NA()</definedName>
    <definedName name="_O10">NA()</definedName>
    <definedName name="_O100">NA()</definedName>
    <definedName name="_O12">NA()</definedName>
    <definedName name="_O150">NA()</definedName>
    <definedName name="_O20">NA()</definedName>
    <definedName name="_O300">NA()</definedName>
    <definedName name="_O45">NA()</definedName>
    <definedName name="_O450">NA()</definedName>
    <definedName name="_O55">NA()</definedName>
    <definedName name="_O65">NA()</definedName>
    <definedName name="_O75">NA()</definedName>
    <definedName name="_OCM01">"[98]office!$a$19"</definedName>
    <definedName name="_od1">NA()</definedName>
    <definedName name="_OQUA">NA()</definedName>
    <definedName name="_Order1">255</definedName>
    <definedName name="_p" localSheetId="10">NA()</definedName>
    <definedName name="_p">NA()</definedName>
    <definedName name="_p_10" localSheetId="10">NA()</definedName>
    <definedName name="_p_10">NA()</definedName>
    <definedName name="_p5">NA()</definedName>
    <definedName name="_PC1">NA()</definedName>
    <definedName name="_PC10">NA()</definedName>
    <definedName name="_PC11">NA()</definedName>
    <definedName name="_PC12">NA()</definedName>
    <definedName name="_PC13">NA()</definedName>
    <definedName name="_PC14">NA()</definedName>
    <definedName name="_PC15">NA()</definedName>
    <definedName name="_PC16">NA()</definedName>
    <definedName name="_PC17">NA()</definedName>
    <definedName name="_PC18">NA()</definedName>
    <definedName name="_PC19">NA()</definedName>
    <definedName name="_pc2" localSheetId="10">NA()</definedName>
    <definedName name="_pc2">NA()</definedName>
    <definedName name="_PC20">NA()</definedName>
    <definedName name="_PC21">NA()</definedName>
    <definedName name="_PC22">NA()</definedName>
    <definedName name="_PC23">NA()</definedName>
    <definedName name="_PC24">NA()</definedName>
    <definedName name="_PC3">NA()</definedName>
    <definedName name="_PC4">NA()</definedName>
    <definedName name="_PC5">NA()</definedName>
    <definedName name="_PC6">NA()</definedName>
    <definedName name="_pc600">NA()</definedName>
    <definedName name="_PC7">NA()</definedName>
    <definedName name="_PC8">NA()</definedName>
    <definedName name="_PC9">NA()</definedName>
    <definedName name="_pc900">NA()</definedName>
    <definedName name="_pcc1" localSheetId="10">NA()</definedName>
    <definedName name="_pcc1">NA()</definedName>
    <definedName name="_pcc2" localSheetId="10">NA()</definedName>
    <definedName name="_pcc2">NA()</definedName>
    <definedName name="_pcc3" localSheetId="10">NA()</definedName>
    <definedName name="_pcc3">NA()</definedName>
    <definedName name="_PCC4" localSheetId="10">NA()</definedName>
    <definedName name="_PCC4">NA()</definedName>
    <definedName name="_pipe_con_1100" localSheetId="10">NA()</definedName>
    <definedName name="_pipe_con_1100">"[99]mlead!#ref!"</definedName>
    <definedName name="_pipe_con_500" localSheetId="10">NA()</definedName>
    <definedName name="_pipe_con_500">"[99]mlead!#ref!"</definedName>
    <definedName name="_pipe_con_700" localSheetId="10">NA()</definedName>
    <definedName name="_pipe_con_700">"[99]mlead!#ref!"</definedName>
    <definedName name="_pipe_ic_1100" localSheetId="10">NA()</definedName>
    <definedName name="_pipe_ic_1100">"[99]mlead!#ref!"</definedName>
    <definedName name="_pipe_ic_500" localSheetId="10">NA()</definedName>
    <definedName name="_pipe_ic_500">"[99]mlead!#ref!"</definedName>
    <definedName name="_pipe_ic_700" localSheetId="10">NA()</definedName>
    <definedName name="_pipe_ic_700">"[99]mlead!#ref!"</definedName>
    <definedName name="_PL">NA()</definedName>
    <definedName name="_plb1" localSheetId="10">NA()</definedName>
    <definedName name="_plb1">NA()</definedName>
    <definedName name="_plb2" localSheetId="10">NA()</definedName>
    <definedName name="_plb2">NA()</definedName>
    <definedName name="_plb3" localSheetId="10">NA()</definedName>
    <definedName name="_plb3">NA()</definedName>
    <definedName name="_plb4" localSheetId="10">NA()</definedName>
    <definedName name="_plb4">NA()</definedName>
    <definedName name="_PPA14">NA()</definedName>
    <definedName name="_PPB154">NA()</definedName>
    <definedName name="_PPB155">NA()</definedName>
    <definedName name="_PPB16">NA()</definedName>
    <definedName name="_PPB17">NA()</definedName>
    <definedName name="_PPB18">NA()</definedName>
    <definedName name="_PPB19">NA()</definedName>
    <definedName name="_PPB2">NA()</definedName>
    <definedName name="_PPB20">NA()</definedName>
    <definedName name="_PPB21">NA()</definedName>
    <definedName name="_PPB22">NA()</definedName>
    <definedName name="_PPB23">NA()</definedName>
    <definedName name="_PPB24">NA()</definedName>
    <definedName name="_PPB25">NA()</definedName>
    <definedName name="_PPB26">NA()</definedName>
    <definedName name="_PPB27">NA()</definedName>
    <definedName name="_PPB28">NA()</definedName>
    <definedName name="_PPB29">NA()</definedName>
    <definedName name="_PPB3">NA()</definedName>
    <definedName name="_PPB30">NA()</definedName>
    <definedName name="_PPB31">NA()</definedName>
    <definedName name="_PPB32">NA()</definedName>
    <definedName name="_PPB33">NA()</definedName>
    <definedName name="_PPB34">NA()</definedName>
    <definedName name="_PPB35">NA()</definedName>
    <definedName name="_PPB36">NA()</definedName>
    <definedName name="_PPB37">NA()</definedName>
    <definedName name="_PPB38">NA()</definedName>
    <definedName name="_PPB39">NA()</definedName>
    <definedName name="_PPB4">NA()</definedName>
    <definedName name="_PPB40">NA()</definedName>
    <definedName name="_PPB41">NA()</definedName>
    <definedName name="_PPB42">NA()</definedName>
    <definedName name="_PPB43">NA()</definedName>
    <definedName name="_PPB44">NA()</definedName>
    <definedName name="_PPB45">NA()</definedName>
    <definedName name="_PPB46">NA()</definedName>
    <definedName name="_PPB47">NA()</definedName>
    <definedName name="_PPB48">NA()</definedName>
    <definedName name="_PPB49">NA()</definedName>
    <definedName name="_PPB5">NA()</definedName>
    <definedName name="_PPB50">NA()</definedName>
    <definedName name="_PPB51">NA()</definedName>
    <definedName name="_PPB52">NA()</definedName>
    <definedName name="_PPB53">NA()</definedName>
    <definedName name="_PPB54">NA()</definedName>
    <definedName name="_PPB55">NA()</definedName>
    <definedName name="_PPB56">NA()</definedName>
    <definedName name="_PPB57">NA()</definedName>
    <definedName name="_PPB58">NA()</definedName>
    <definedName name="_PPB59">NA()</definedName>
    <definedName name="_PPB6">NA()</definedName>
    <definedName name="_PPB60">NA()</definedName>
    <definedName name="_PPB61">NA()</definedName>
    <definedName name="_PPB62">NA()</definedName>
    <definedName name="_PPB63">NA()</definedName>
    <definedName name="_PPB64">NA()</definedName>
    <definedName name="_PPB65">NA()</definedName>
    <definedName name="_PPB66">NA()</definedName>
    <definedName name="_PPB67">NA()</definedName>
    <definedName name="_PPB68">NA()</definedName>
    <definedName name="_PPB69">NA()</definedName>
    <definedName name="_PPB7">NA()</definedName>
    <definedName name="_PPB70">NA()</definedName>
    <definedName name="_PPB71">NA()</definedName>
    <definedName name="_PPB72">NA()</definedName>
    <definedName name="_PPB73">NA()</definedName>
    <definedName name="_PPB74">NA()</definedName>
    <definedName name="_PPB75">NA()</definedName>
    <definedName name="_PPB76">NA()</definedName>
    <definedName name="_PPB77">NA()</definedName>
    <definedName name="_PPB78">NA()</definedName>
    <definedName name="_PPB79">NA()</definedName>
    <definedName name="_PPB8">NA()</definedName>
    <definedName name="_PPB80">NA()</definedName>
    <definedName name="_PPB81">NA()</definedName>
    <definedName name="_PPB82">NA()</definedName>
    <definedName name="_PPB83">NA()</definedName>
    <definedName name="_PPB84">NA()</definedName>
    <definedName name="_PPB85">NA()</definedName>
    <definedName name="_PPB86">NA()</definedName>
    <definedName name="_PPB87">NA()</definedName>
    <definedName name="_PPB88">NA()</definedName>
    <definedName name="_PPB89">NA()</definedName>
    <definedName name="_PPB9">NA()</definedName>
    <definedName name="_PPB90">NA()</definedName>
    <definedName name="_PPB91">NA()</definedName>
    <definedName name="_PPB92">NA()</definedName>
    <definedName name="_PPB93">NA()</definedName>
    <definedName name="_PPB94">NA()</definedName>
    <definedName name="_PPB95">NA()</definedName>
    <definedName name="_PPB96">NA()</definedName>
    <definedName name="_PPB97">NA()</definedName>
    <definedName name="_PPB98">NA()</definedName>
    <definedName name="_PPB99">NA()</definedName>
    <definedName name="_PPC1">NA()</definedName>
    <definedName name="_PPC10">NA()</definedName>
    <definedName name="_PPC100">NA()</definedName>
    <definedName name="_PPC101">NA()</definedName>
    <definedName name="_PPC102">NA()</definedName>
    <definedName name="_PPC103">NA()</definedName>
    <definedName name="_PPC104">NA()</definedName>
    <definedName name="_PPC105">NA()</definedName>
    <definedName name="_PPC106">NA()</definedName>
    <definedName name="_PPC107">NA()</definedName>
    <definedName name="_PPC108">NA()</definedName>
    <definedName name="_PPC109">NA()</definedName>
    <definedName name="_PPC11">NA()</definedName>
    <definedName name="_PPC110">NA()</definedName>
    <definedName name="_PPC111">NA()</definedName>
    <definedName name="_PPC112">NA()</definedName>
    <definedName name="_PPC113">NA()</definedName>
    <definedName name="_PPC114">NA()</definedName>
    <definedName name="_PPC115">NA()</definedName>
    <definedName name="_PPC116">NA()</definedName>
    <definedName name="_PPC117">NA()</definedName>
    <definedName name="_PPC118">NA()</definedName>
    <definedName name="_PPC119">NA()</definedName>
    <definedName name="_PPC12">NA()</definedName>
    <definedName name="_PPC120">NA()</definedName>
    <definedName name="_PPC121">NA()</definedName>
    <definedName name="_PPC122">NA()</definedName>
    <definedName name="_PPC123">NA()</definedName>
    <definedName name="_PPC124">NA()</definedName>
    <definedName name="_PPC125">NA()</definedName>
    <definedName name="_PPC126">NA()</definedName>
    <definedName name="_PPC127">NA()</definedName>
    <definedName name="_PPC128">NA()</definedName>
    <definedName name="_PPC129">NA()</definedName>
    <definedName name="_PPC13">NA()</definedName>
    <definedName name="_PPC130">NA()</definedName>
    <definedName name="_PPC131">NA()</definedName>
    <definedName name="_PPC132">NA()</definedName>
    <definedName name="_PPC133">NA()</definedName>
    <definedName name="_PPC134">NA()</definedName>
    <definedName name="_PPC135">NA()</definedName>
    <definedName name="_PPC136">NA()</definedName>
    <definedName name="_PPC137">NA()</definedName>
    <definedName name="_PPC138">NA()</definedName>
    <definedName name="_PPC139">NA()</definedName>
    <definedName name="_PPC14">NA()</definedName>
    <definedName name="_PPC140">NA()</definedName>
    <definedName name="_PPC141">NA()</definedName>
    <definedName name="_PPC142">NA()</definedName>
    <definedName name="_PPC143">NA()</definedName>
    <definedName name="_PPC144">NA()</definedName>
    <definedName name="_PPC145">NA()</definedName>
    <definedName name="_PPC146">NA()</definedName>
    <definedName name="_PPC147">NA()</definedName>
    <definedName name="_PPC148">NA()</definedName>
    <definedName name="_PPC149">NA()</definedName>
    <definedName name="_PPC15">NA()</definedName>
    <definedName name="_PPC150">NA()</definedName>
    <definedName name="_PPC151">NA()</definedName>
    <definedName name="_PPC152">NA()</definedName>
    <definedName name="_PPC153">NA()</definedName>
    <definedName name="_PPC154">NA()</definedName>
    <definedName name="_PPC155">NA()</definedName>
    <definedName name="_PPC16">NA()</definedName>
    <definedName name="_PPC17">NA()</definedName>
    <definedName name="_PPC18">NA()</definedName>
    <definedName name="_PPC19">NA()</definedName>
    <definedName name="_PPC2">NA()</definedName>
    <definedName name="_PPC20">NA()</definedName>
    <definedName name="_PPC21">NA()</definedName>
    <definedName name="_PPC22">NA()</definedName>
    <definedName name="_PPC23">NA()</definedName>
    <definedName name="_PPC24">NA()</definedName>
    <definedName name="_PPC25">NA()</definedName>
    <definedName name="_PPC26">NA()</definedName>
    <definedName name="_PPC27">NA()</definedName>
    <definedName name="_PPC28">NA()</definedName>
    <definedName name="_PPC29">NA()</definedName>
    <definedName name="_PPC3">NA()</definedName>
    <definedName name="_PPC30">NA()</definedName>
    <definedName name="_PPC31">NA()</definedName>
    <definedName name="_PPC32">NA()</definedName>
    <definedName name="_PPC33">NA()</definedName>
    <definedName name="_PPC34">NA()</definedName>
    <definedName name="_PPC35">NA()</definedName>
    <definedName name="_PPC36">NA()</definedName>
    <definedName name="_PPC37">NA()</definedName>
    <definedName name="_PPC38">NA()</definedName>
    <definedName name="_PPC39">NA()</definedName>
    <definedName name="_PPC4">NA()</definedName>
    <definedName name="_PPC40">NA()</definedName>
    <definedName name="_PPC41">NA()</definedName>
    <definedName name="_PPC42">NA()</definedName>
    <definedName name="_PPC43">NA()</definedName>
    <definedName name="_PPC44">NA()</definedName>
    <definedName name="_PPC45">NA()</definedName>
    <definedName name="_PPC46">NA()</definedName>
    <definedName name="_PPC47">NA()</definedName>
    <definedName name="_PPC48">NA()</definedName>
    <definedName name="_PPC49">NA()</definedName>
    <definedName name="_PPC5">NA()</definedName>
    <definedName name="_PPC50">NA()</definedName>
    <definedName name="_PPC51">NA()</definedName>
    <definedName name="_PPC52">NA()</definedName>
    <definedName name="_PPC53">NA()</definedName>
    <definedName name="_PPC54">NA()</definedName>
    <definedName name="_PPC55">NA()</definedName>
    <definedName name="_PPC56">NA()</definedName>
    <definedName name="_PPC57">NA()</definedName>
    <definedName name="_PPC58">NA()</definedName>
    <definedName name="_PPC59">NA()</definedName>
    <definedName name="_PPC6">NA()</definedName>
    <definedName name="_PPC60">NA()</definedName>
    <definedName name="_PPC61">NA()</definedName>
    <definedName name="_PPC62">NA()</definedName>
    <definedName name="_PPC63">NA()</definedName>
    <definedName name="_PPC64">NA()</definedName>
    <definedName name="_PPC65">NA()</definedName>
    <definedName name="_PPC66">NA()</definedName>
    <definedName name="_PPC67">NA()</definedName>
    <definedName name="_PPC68">NA()</definedName>
    <definedName name="_PPC69">NA()</definedName>
    <definedName name="_PPC7">NA()</definedName>
    <definedName name="_PPC70">NA()</definedName>
    <definedName name="_PPC71">NA()</definedName>
    <definedName name="_PPC72">NA()</definedName>
    <definedName name="_PPC73">NA()</definedName>
    <definedName name="_PPC74">NA()</definedName>
    <definedName name="_PPC75">NA()</definedName>
    <definedName name="_PPC76">NA()</definedName>
    <definedName name="_PPC77">NA()</definedName>
    <definedName name="_PPC78">NA()</definedName>
    <definedName name="_PPC79">NA()</definedName>
    <definedName name="_PPC8">NA()</definedName>
    <definedName name="_PPC80">NA()</definedName>
    <definedName name="_PPC81">NA()</definedName>
    <definedName name="_PPC82">NA()</definedName>
    <definedName name="_PPC83">NA()</definedName>
    <definedName name="_PPC84">NA()</definedName>
    <definedName name="_PPC85">NA()</definedName>
    <definedName name="_PPC86">NA()</definedName>
    <definedName name="_PPC87">NA()</definedName>
    <definedName name="_PPC88">NA()</definedName>
    <definedName name="_PPC89">NA()</definedName>
    <definedName name="_PPC9">NA()</definedName>
    <definedName name="_PPC90">NA()</definedName>
    <definedName name="_PPC91">NA()</definedName>
    <definedName name="_PPC92">NA()</definedName>
    <definedName name="_PPC93">NA()</definedName>
    <definedName name="_PPC94">NA()</definedName>
    <definedName name="_PPC95">NA()</definedName>
    <definedName name="_PPD114">NA()</definedName>
    <definedName name="_PPD89">NA()</definedName>
    <definedName name="_PPRN3__AF242" localSheetId="10">NA()</definedName>
    <definedName name="_PPRN3__AF242">NA()</definedName>
    <definedName name="_PPRN3__AF242_10" localSheetId="10">NA()</definedName>
    <definedName name="_PPRN3__AF242_10">NA()</definedName>
    <definedName name="_PR1">NA()</definedName>
    <definedName name="_PR2">NA()</definedName>
    <definedName name="_PR3">NA()</definedName>
    <definedName name="_PR4">NA()</definedName>
    <definedName name="_PR5">NA()</definedName>
    <definedName name="_PR6">NA()</definedName>
    <definedName name="_PR7">NA()</definedName>
    <definedName name="_psc10006">NA()</definedName>
    <definedName name="_psc10008">NA()</definedName>
    <definedName name="_psc3506">NA()</definedName>
    <definedName name="_psc3508">NA()</definedName>
    <definedName name="_psc4006">NA()</definedName>
    <definedName name="_psc4008">NA()</definedName>
    <definedName name="_psc4506">NA()</definedName>
    <definedName name="_psc4508">NA()</definedName>
    <definedName name="_psc5006">NA()</definedName>
    <definedName name="_psc5008">NA()</definedName>
    <definedName name="_psc6006">NA()</definedName>
    <definedName name="_psc6008">NA()</definedName>
    <definedName name="_psc7006">NA()</definedName>
    <definedName name="_psc7008">NA()</definedName>
    <definedName name="_psc8006">NA()</definedName>
    <definedName name="_psc8008">NA()</definedName>
    <definedName name="_psc9006">NA()</definedName>
    <definedName name="_psc9008">NA()</definedName>
    <definedName name="_pv1">NA()</definedName>
    <definedName name="_pv2" localSheetId="10">NA()</definedName>
    <definedName name="_pv2">NA()</definedName>
    <definedName name="_Q">NA()</definedName>
    <definedName name="_QS25">"[56]mrates!$g$16"</definedName>
    <definedName name="_QS40">"[56]mrates!$g$17"</definedName>
    <definedName name="_QUA">NA()</definedName>
    <definedName name="_QUA_RABBISH">NA()</definedName>
    <definedName name="_r" localSheetId="10">NA()</definedName>
    <definedName name="_r">NA()</definedName>
    <definedName name="_r_10" localSheetId="10">NA()</definedName>
    <definedName name="_r_10">NA()</definedName>
    <definedName name="_rabbit" localSheetId="10">NA()</definedName>
    <definedName name="_rabbit">NA()</definedName>
    <definedName name="_RNN1" localSheetId="10">NA()</definedName>
    <definedName name="_RNN1">"[101]column!#ref!"</definedName>
    <definedName name="_RS300">NA()</definedName>
    <definedName name="_RT5565" localSheetId="10">NA()</definedName>
    <definedName name="_RT5565">NA()</definedName>
    <definedName name="_RVAE306___DOWN" localSheetId="10">NA()</definedName>
    <definedName name="_RVAE306___DOWN">NA()</definedName>
    <definedName name="_RVAE306___DOWN_10" localSheetId="10">NA()</definedName>
    <definedName name="_RVAE306___DOWN_10">NA()</definedName>
    <definedName name="_RVAE358___DOWN" localSheetId="10">NA()</definedName>
    <definedName name="_RVAE358___DOWN">NA()</definedName>
    <definedName name="_RVAE358___DOWN_10" localSheetId="10">NA()</definedName>
    <definedName name="_RVAE358___DOWN_10">NA()</definedName>
    <definedName name="_RVAE395___DOWN" localSheetId="10">NA()</definedName>
    <definedName name="_RVAE395___DOWN">NA()</definedName>
    <definedName name="_RVAE395___DOWN_10" localSheetId="10">NA()</definedName>
    <definedName name="_RVAE395___DOWN_10">NA()</definedName>
    <definedName name="_RVY53__AE53__" localSheetId="10">NA()</definedName>
    <definedName name="_RVY53__AE53__">NA()</definedName>
    <definedName name="_RVY53__AE53___10" localSheetId="10">NA()</definedName>
    <definedName name="_RVY53__AE53___10">NA()</definedName>
    <definedName name="_s" localSheetId="10">NA()</definedName>
    <definedName name="_S">NA()</definedName>
    <definedName name="_s_10" localSheetId="10">NA()</definedName>
    <definedName name="_s_10">NA()</definedName>
    <definedName name="_S06">NA()</definedName>
    <definedName name="_s1">NA()</definedName>
    <definedName name="_S10">NA()</definedName>
    <definedName name="_S100">NA()</definedName>
    <definedName name="_S12" localSheetId="10">NA()</definedName>
    <definedName name="_S12">NA()</definedName>
    <definedName name="_S20">NA()</definedName>
    <definedName name="_S25">NA()</definedName>
    <definedName name="_S40">NA()</definedName>
    <definedName name="_S50">NA()</definedName>
    <definedName name="_S60">NA()</definedName>
    <definedName name="_S65">NA()</definedName>
    <definedName name="_S75">NA()</definedName>
    <definedName name="_SANF">NA()</definedName>
    <definedName name="_SANM">NA()</definedName>
    <definedName name="_SD10">NA()</definedName>
    <definedName name="_SD100">NA()</definedName>
    <definedName name="_SD101">NA()</definedName>
    <definedName name="_SD102">NA()</definedName>
    <definedName name="_SD103">NA()</definedName>
    <definedName name="_SD104">NA()</definedName>
    <definedName name="_SD105">NA()</definedName>
    <definedName name="_SD106">NA()</definedName>
    <definedName name="_SD107">NA()</definedName>
    <definedName name="_SD108">NA()</definedName>
    <definedName name="_SD109">NA()</definedName>
    <definedName name="_SD11">NA()</definedName>
    <definedName name="_SD110">NA()</definedName>
    <definedName name="_SD111">NA()</definedName>
    <definedName name="_SD112">NA()</definedName>
    <definedName name="_SD113">NA()</definedName>
    <definedName name="_SD114">NA()</definedName>
    <definedName name="_SD115">NA()</definedName>
    <definedName name="_SD116">NA()</definedName>
    <definedName name="_SD117">NA()</definedName>
    <definedName name="_SD118">NA()</definedName>
    <definedName name="_SD119">NA()</definedName>
    <definedName name="_SD12">NA()</definedName>
    <definedName name="_SD120">NA()</definedName>
    <definedName name="_SD121">NA()</definedName>
    <definedName name="_SD122">NA()</definedName>
    <definedName name="_SD123">NA()</definedName>
    <definedName name="_SD124">NA()</definedName>
    <definedName name="_SD125">NA()</definedName>
    <definedName name="_SD126">NA()</definedName>
    <definedName name="_SD127">NA()</definedName>
    <definedName name="_SD128">NA()</definedName>
    <definedName name="_SD129">NA()</definedName>
    <definedName name="_SD13">NA()</definedName>
    <definedName name="_SD130">NA()</definedName>
    <definedName name="_SD131">NA()</definedName>
    <definedName name="_SD132">NA()</definedName>
    <definedName name="_SD133">NA()</definedName>
    <definedName name="_SD134">NA()</definedName>
    <definedName name="_SD135">NA()</definedName>
    <definedName name="_SD136">NA()</definedName>
    <definedName name="_SD137">NA()</definedName>
    <definedName name="_SD138">NA()</definedName>
    <definedName name="_SD139">NA()</definedName>
    <definedName name="_SD14">NA()</definedName>
    <definedName name="_SD140">NA()</definedName>
    <definedName name="_SD141">NA()</definedName>
    <definedName name="_SD142">NA()</definedName>
    <definedName name="_SD143">NA()</definedName>
    <definedName name="_SD144">NA()</definedName>
    <definedName name="_SD145">NA()</definedName>
    <definedName name="_SD146">NA()</definedName>
    <definedName name="_SD147">NA()</definedName>
    <definedName name="_SD148">NA()</definedName>
    <definedName name="_SD149">NA()</definedName>
    <definedName name="_SD15">NA()</definedName>
    <definedName name="_SD150">NA()</definedName>
    <definedName name="_SD16">NA()</definedName>
    <definedName name="_SD17">NA()</definedName>
    <definedName name="_SD18">NA()</definedName>
    <definedName name="_SD19">NA()</definedName>
    <definedName name="_SD2">NA()</definedName>
    <definedName name="_SD20">NA()</definedName>
    <definedName name="_SD21">NA()</definedName>
    <definedName name="_SD22">NA()</definedName>
    <definedName name="_SD23">NA()</definedName>
    <definedName name="_SD24">NA()</definedName>
    <definedName name="_SD25">NA()</definedName>
    <definedName name="_SD250">NA()</definedName>
    <definedName name="_SD26">NA()</definedName>
    <definedName name="_SD27">NA()</definedName>
    <definedName name="_SD28">NA()</definedName>
    <definedName name="_SD29">NA()</definedName>
    <definedName name="_SD3">NA()</definedName>
    <definedName name="_SD30">NA()</definedName>
    <definedName name="_SD31">NA()</definedName>
    <definedName name="_SD32">NA()</definedName>
    <definedName name="_SD33">NA()</definedName>
    <definedName name="_SD34">NA()</definedName>
    <definedName name="_SD35">NA()</definedName>
    <definedName name="_SD36">NA()</definedName>
    <definedName name="_SD37">NA()</definedName>
    <definedName name="_SD38">NA()</definedName>
    <definedName name="_SD39">NA()</definedName>
    <definedName name="_SD4">NA()</definedName>
    <definedName name="_SD40">NA()</definedName>
    <definedName name="_SD41">NA()</definedName>
    <definedName name="_SD42">NA()</definedName>
    <definedName name="_SD43">NA()</definedName>
    <definedName name="_SD44">NA()</definedName>
    <definedName name="_SD45">NA()</definedName>
    <definedName name="_SD46">NA()</definedName>
    <definedName name="_SD47">NA()</definedName>
    <definedName name="_SD48">NA()</definedName>
    <definedName name="_SD49">NA()</definedName>
    <definedName name="_SD5">NA()</definedName>
    <definedName name="_SD50">NA()</definedName>
    <definedName name="_SD500">NA()</definedName>
    <definedName name="_SD51">NA()</definedName>
    <definedName name="_SD52">NA()</definedName>
    <definedName name="_SD53">NA()</definedName>
    <definedName name="_SD54">NA()</definedName>
    <definedName name="_SD55">NA()</definedName>
    <definedName name="_SD56">NA()</definedName>
    <definedName name="_SD57">NA()</definedName>
    <definedName name="_SD58">NA()</definedName>
    <definedName name="_SD59">NA()</definedName>
    <definedName name="_SD6">NA()</definedName>
    <definedName name="_SD60">NA()</definedName>
    <definedName name="_SD61">NA()</definedName>
    <definedName name="_SD62">NA()</definedName>
    <definedName name="_SD63">NA()</definedName>
    <definedName name="_SD64">NA()</definedName>
    <definedName name="_SD65">NA()</definedName>
    <definedName name="_SD66">NA()</definedName>
    <definedName name="_SD67">NA()</definedName>
    <definedName name="_SD68">NA()</definedName>
    <definedName name="_SD69">NA()</definedName>
    <definedName name="_SD7">NA()</definedName>
    <definedName name="_SD70">NA()</definedName>
    <definedName name="_SD71">NA()</definedName>
    <definedName name="_SD72">NA()</definedName>
    <definedName name="_SD73">NA()</definedName>
    <definedName name="_SD74">NA()</definedName>
    <definedName name="_SD75">NA()</definedName>
    <definedName name="_SD76">NA()</definedName>
    <definedName name="_SD77">NA()</definedName>
    <definedName name="_SD78">NA()</definedName>
    <definedName name="_SD79">NA()</definedName>
    <definedName name="_SD8">NA()</definedName>
    <definedName name="_SD80">NA()</definedName>
    <definedName name="_SD81">NA()</definedName>
    <definedName name="_SD82">NA()</definedName>
    <definedName name="_SD83">NA()</definedName>
    <definedName name="_SD84">NA()</definedName>
    <definedName name="_SD85">NA()</definedName>
    <definedName name="_SD86">NA()</definedName>
    <definedName name="_SD87">NA()</definedName>
    <definedName name="_SD88">NA()</definedName>
    <definedName name="_SD89">NA()</definedName>
    <definedName name="_SD9">NA()</definedName>
    <definedName name="_SD90">NA()</definedName>
    <definedName name="_SD91">NA()</definedName>
    <definedName name="_SD92">NA()</definedName>
    <definedName name="_SD93">NA()</definedName>
    <definedName name="_SD94">NA()</definedName>
    <definedName name="_SD95">NA()</definedName>
    <definedName name="_SD96">NA()</definedName>
    <definedName name="_SD97">NA()</definedName>
    <definedName name="_SD98">NA()</definedName>
    <definedName name="_SD99">NA()</definedName>
    <definedName name="_sec1" localSheetId="10">NA()</definedName>
    <definedName name="_sec1">NA()</definedName>
    <definedName name="_Sec2" localSheetId="10">NA()</definedName>
    <definedName name="_Sec2">NA()</definedName>
    <definedName name="_sec3" localSheetId="10">NA()</definedName>
    <definedName name="_sec3">NA()</definedName>
    <definedName name="_Sec4" localSheetId="10">NA()</definedName>
    <definedName name="_Sec4">NA()</definedName>
    <definedName name="_sec5" localSheetId="10">NA()</definedName>
    <definedName name="_sec5">NA()</definedName>
    <definedName name="_sec6" localSheetId="10">NA()</definedName>
    <definedName name="_sec6">NA()</definedName>
    <definedName name="_sec7" localSheetId="10">NA()</definedName>
    <definedName name="_sec7">NA()</definedName>
    <definedName name="_sec71" localSheetId="10">NA()</definedName>
    <definedName name="_sec71">NA()</definedName>
    <definedName name="_SEC77" localSheetId="10">NA()</definedName>
    <definedName name="_SEC77">NA()</definedName>
    <definedName name="_sec8" localSheetId="10">NA()</definedName>
    <definedName name="_sec8">NA()</definedName>
    <definedName name="_sec81" localSheetId="10">NA()</definedName>
    <definedName name="_sec81">NA()</definedName>
    <definedName name="_SEC88" localSheetId="10">NA()</definedName>
    <definedName name="_SEC88">NA()</definedName>
    <definedName name="_SEC9" localSheetId="10">NA()</definedName>
    <definedName name="_SEC9">NA()</definedName>
    <definedName name="_SEG1">"[98]lab!$h$1:$i$65535"</definedName>
    <definedName name="_SH1" localSheetId="10">NA()</definedName>
    <definedName name="_SH1">NA()</definedName>
    <definedName name="_SH2" localSheetId="10">NA()</definedName>
    <definedName name="_SH2">NA()</definedName>
    <definedName name="_SH3" localSheetId="10">NA()</definedName>
    <definedName name="_SH3">NA()</definedName>
    <definedName name="_SH4" localSheetId="10">NA()</definedName>
    <definedName name="_SH4">NA()</definedName>
    <definedName name="_SH5" localSheetId="10">NA()</definedName>
    <definedName name="_SH5">NA()</definedName>
    <definedName name="_shahbad" localSheetId="10">NA()</definedName>
    <definedName name="_shahbad">NA()</definedName>
    <definedName name="_skirting_grn" localSheetId="10">NA()</definedName>
    <definedName name="_skirting_grn">NA()</definedName>
    <definedName name="_skirting_vit" localSheetId="10">NA()</definedName>
    <definedName name="_skirting_vit">NA()</definedName>
    <definedName name="_SO016">NA()</definedName>
    <definedName name="_Sort" localSheetId="10">NA()</definedName>
    <definedName name="_Sort">NA()</definedName>
    <definedName name="_SP001">NA()</definedName>
    <definedName name="_SP002">NA()</definedName>
    <definedName name="_SP003">NA()</definedName>
    <definedName name="_SP004">NA()</definedName>
    <definedName name="_SP005">NA()</definedName>
    <definedName name="_SP006">NA()</definedName>
    <definedName name="_SP007">NA()</definedName>
    <definedName name="_SP008">NA()</definedName>
    <definedName name="_SP009">NA()</definedName>
    <definedName name="_SP010">NA()</definedName>
    <definedName name="_SP011">NA()</definedName>
    <definedName name="_SP012">NA()</definedName>
    <definedName name="_SP013">NA()</definedName>
    <definedName name="_SP014">NA()</definedName>
    <definedName name="_SP015">NA()</definedName>
    <definedName name="_SP016">NA()</definedName>
    <definedName name="_SP017">NA()</definedName>
    <definedName name="_SP018">NA()</definedName>
    <definedName name="_SP019">NA()</definedName>
    <definedName name="_SP020">NA()</definedName>
    <definedName name="_SP021">NA()</definedName>
    <definedName name="_SP022">NA()</definedName>
    <definedName name="_SP023">NA()</definedName>
    <definedName name="_SP024">NA()</definedName>
    <definedName name="_SP025">NA()</definedName>
    <definedName name="_SP026">NA()</definedName>
    <definedName name="_SP027">NA()</definedName>
    <definedName name="_SP028">NA()</definedName>
    <definedName name="_SP029">NA()</definedName>
    <definedName name="_SP030">NA()</definedName>
    <definedName name="_SP031">NA()</definedName>
    <definedName name="_SP032">NA()</definedName>
    <definedName name="_SP033">NA()</definedName>
    <definedName name="_SP034">NA()</definedName>
    <definedName name="_SP035">NA()</definedName>
    <definedName name="_SP036">NA()</definedName>
    <definedName name="_SP037">NA()</definedName>
    <definedName name="_SP038">NA()</definedName>
    <definedName name="_SP039">NA()</definedName>
    <definedName name="_SP040">NA()</definedName>
    <definedName name="_SP041">NA()</definedName>
    <definedName name="_SP042">NA()</definedName>
    <definedName name="_SP043">NA()</definedName>
    <definedName name="_SP044">NA()</definedName>
    <definedName name="_SP045">NA()</definedName>
    <definedName name="_SP046">NA()</definedName>
    <definedName name="_SP047">NA()</definedName>
    <definedName name="_SP048">NA()</definedName>
    <definedName name="_SP049">NA()</definedName>
    <definedName name="_SP050">NA()</definedName>
    <definedName name="_SP051">NA()</definedName>
    <definedName name="_SP052">NA()</definedName>
    <definedName name="_SP053">NA()</definedName>
    <definedName name="_SP054">NA()</definedName>
    <definedName name="_SP055">NA()</definedName>
    <definedName name="_SP056">NA()</definedName>
    <definedName name="_SP057">NA()</definedName>
    <definedName name="_SP058">NA()</definedName>
    <definedName name="_SP059">NA()</definedName>
    <definedName name="_SP060">NA()</definedName>
    <definedName name="_SP061">NA()</definedName>
    <definedName name="_SP062">NA()</definedName>
    <definedName name="_SP063">NA()</definedName>
    <definedName name="_SP064">NA()</definedName>
    <definedName name="_SP065">NA()</definedName>
    <definedName name="_SP066">NA()</definedName>
    <definedName name="_SP067">NA()</definedName>
    <definedName name="_SP068">NA()</definedName>
    <definedName name="_SP069">NA()</definedName>
    <definedName name="_SP070">NA()</definedName>
    <definedName name="_sp071">NA()</definedName>
    <definedName name="_SP072">NA()</definedName>
    <definedName name="_SP073">NA()</definedName>
    <definedName name="_SP074">NA()</definedName>
    <definedName name="_SP075">NA()</definedName>
    <definedName name="_SP076">NA()</definedName>
    <definedName name="_SP077">NA()</definedName>
    <definedName name="_sp078">NA()</definedName>
    <definedName name="_SPO79">NA()</definedName>
    <definedName name="_SS10">"[56]mrates!$j$7"</definedName>
    <definedName name="_SS150">"[56]mrates!$g$13"</definedName>
    <definedName name="_SS225">"[56]mrates!$g$14"</definedName>
    <definedName name="_SS25">"[56]mrates!$j$10"</definedName>
    <definedName name="_SS300">"[56]mrates!$g$15"</definedName>
    <definedName name="_SS6">"[56]mrates!$j$6"</definedName>
    <definedName name="_SSS3" localSheetId="10">NA()</definedName>
    <definedName name="_SSS3">NA()</definedName>
    <definedName name="_ST">NA()</definedName>
    <definedName name="_sum010" localSheetId="10">NA()</definedName>
    <definedName name="_sum010">NA()</definedName>
    <definedName name="_sum020" localSheetId="10">NA()</definedName>
    <definedName name="_sum020">NA()</definedName>
    <definedName name="_sum120" localSheetId="10">NA()</definedName>
    <definedName name="_sum120">NA()</definedName>
    <definedName name="_sum140" localSheetId="10">NA()</definedName>
    <definedName name="_sum140">NA()</definedName>
    <definedName name="_SUM200" localSheetId="10">NA()</definedName>
    <definedName name="_SUM200">NA()</definedName>
    <definedName name="_SUM400" localSheetId="10">NA()</definedName>
    <definedName name="_SUM400">NA()</definedName>
    <definedName name="_SUM410" localSheetId="10">NA()</definedName>
    <definedName name="_SUM410">NA()</definedName>
    <definedName name="_SUM420" localSheetId="10">NA()</definedName>
    <definedName name="_SUM420">NA()</definedName>
    <definedName name="_SUM440" localSheetId="10">NA()</definedName>
    <definedName name="_SUM440">NA()</definedName>
    <definedName name="_SUM460" localSheetId="10">NA()</definedName>
    <definedName name="_SUM460">NA()</definedName>
    <definedName name="_SUM480" localSheetId="10">NA()</definedName>
    <definedName name="_SUM480">NA()</definedName>
    <definedName name="_SUM500" localSheetId="10">NA()</definedName>
    <definedName name="_SUM500">NA()</definedName>
    <definedName name="_SUM510" localSheetId="10">NA()</definedName>
    <definedName name="_SUM510">NA()</definedName>
    <definedName name="_SUM530" localSheetId="10">NA()</definedName>
    <definedName name="_SUM530">NA()</definedName>
    <definedName name="_SUM540" localSheetId="10">NA()</definedName>
    <definedName name="_SUM540">NA()</definedName>
    <definedName name="_SUM560" localSheetId="10">NA()</definedName>
    <definedName name="_SUM560">NA()</definedName>
    <definedName name="_SUM570" localSheetId="10">NA()</definedName>
    <definedName name="_SUM570">NA()</definedName>
    <definedName name="_SUM580" localSheetId="10">NA()</definedName>
    <definedName name="_SUM580">NA()</definedName>
    <definedName name="_SUM590" localSheetId="10">NA()</definedName>
    <definedName name="_SUM590">NA()</definedName>
    <definedName name="_SUM700" localSheetId="10">NA()</definedName>
    <definedName name="_SUM700">NA()</definedName>
    <definedName name="_SUM701" localSheetId="10">NA()</definedName>
    <definedName name="_SUM701">NA()</definedName>
    <definedName name="_SUM702" localSheetId="10">NA()</definedName>
    <definedName name="_SUM702">NA()</definedName>
    <definedName name="_SUM703" localSheetId="10">NA()</definedName>
    <definedName name="_SUM703">NA()</definedName>
    <definedName name="_SUM704" localSheetId="10">NA()</definedName>
    <definedName name="_SUM704">NA()</definedName>
    <definedName name="_sum770" localSheetId="10">NA()</definedName>
    <definedName name="_sum770">NA()</definedName>
    <definedName name="_SUM800" localSheetId="10">NA()</definedName>
    <definedName name="_SUM800">NA()</definedName>
    <definedName name="_sum900" localSheetId="10">NA()</definedName>
    <definedName name="_sum900">NA()</definedName>
    <definedName name="_SUM901" localSheetId="10">NA()</definedName>
    <definedName name="_SUM901">NA()</definedName>
    <definedName name="_SUM902" localSheetId="10">NA()</definedName>
    <definedName name="_SUM902">NA()</definedName>
    <definedName name="_SUM903" localSheetId="10">NA()</definedName>
    <definedName name="_SUM903">NA()</definedName>
    <definedName name="_SUM904" localSheetId="10">NA()</definedName>
    <definedName name="_SUM904">NA()</definedName>
    <definedName name="_sw1" localSheetId="10">NA()</definedName>
    <definedName name="_sw1">NA()</definedName>
    <definedName name="_t1">NA()</definedName>
    <definedName name="_t2">NA()</definedName>
    <definedName name="_tab1">NA()</definedName>
    <definedName name="_th_week_water_transp_habs" localSheetId="10">NA()</definedName>
    <definedName name="_th_week_water_transp_habs">NA()</definedName>
    <definedName name="_tk1" localSheetId="10">NA()</definedName>
    <definedName name="_tk1">NA()</definedName>
    <definedName name="_tw2" localSheetId="10">NA()</definedName>
    <definedName name="_tw2">NA()</definedName>
    <definedName name="_upa4">"[104]upa!$i$1:$m$65536"</definedName>
    <definedName name="_us1" localSheetId="10">NA()</definedName>
    <definedName name="_us1">NA()</definedName>
    <definedName name="_var1" localSheetId="10">NA()</definedName>
    <definedName name="_var1">NA()</definedName>
    <definedName name="_var4" localSheetId="10">NA()</definedName>
    <definedName name="_var4">NA()</definedName>
    <definedName name="_vat" localSheetId="10">NA()</definedName>
    <definedName name="_vat">NA()</definedName>
    <definedName name="_vat1">NA()</definedName>
    <definedName name="_vat2">NA()</definedName>
    <definedName name="_vzrzam">NA()</definedName>
    <definedName name="_WGZY_" localSheetId="10">NA()</definedName>
    <definedName name="_WGZY_">NA()</definedName>
    <definedName name="_WGZY__10" localSheetId="10">NA()</definedName>
    <definedName name="_WGZY__10">NA()</definedName>
    <definedName name="_woodprimer" localSheetId="10">NA()</definedName>
    <definedName name="_woodprimer">NA()</definedName>
    <definedName name="_wp" localSheetId="10">NA()</definedName>
    <definedName name="_wp">NA()</definedName>
    <definedName name="_x" localSheetId="10">NA()</definedName>
    <definedName name="_x">NA()</definedName>
    <definedName name="_x_10" localSheetId="10">NA()</definedName>
    <definedName name="_x_10">NA()</definedName>
    <definedName name="_xcc1153">NA()</definedName>
    <definedName name="_xcc124">NA()</definedName>
    <definedName name="_xcc136">NA()</definedName>
    <definedName name="_xcc148">NA()</definedName>
    <definedName name="_xcc1510">NA()</definedName>
    <definedName name="_xcm16">NA()</definedName>
    <definedName name="_xh11010">NA()</definedName>
    <definedName name="_xh1104">NA()</definedName>
    <definedName name="_xh1106">NA()</definedName>
    <definedName name="_xh1108">NA()</definedName>
    <definedName name="_xh12510">NA()</definedName>
    <definedName name="_xh1254">NA()</definedName>
    <definedName name="_xh1256">NA()</definedName>
    <definedName name="_xh1258">NA()</definedName>
    <definedName name="_xh14010">NA()</definedName>
    <definedName name="_xh1404">NA()</definedName>
    <definedName name="_xh1406">NA()</definedName>
    <definedName name="_xh1408">NA()</definedName>
    <definedName name="_xh16010">NA()</definedName>
    <definedName name="_xh1604">NA()</definedName>
    <definedName name="_xh1606">NA()</definedName>
    <definedName name="_xh1608">NA()</definedName>
    <definedName name="_xh18010">NA()</definedName>
    <definedName name="_xh1804">NA()</definedName>
    <definedName name="_xh1806">NA()</definedName>
    <definedName name="_xh1808">NA()</definedName>
    <definedName name="_xh20010">NA()</definedName>
    <definedName name="_xh2004">NA()</definedName>
    <definedName name="_xh2006">NA()</definedName>
    <definedName name="_xh2008">NA()</definedName>
    <definedName name="_xh22510">NA()</definedName>
    <definedName name="_xh2254">NA()</definedName>
    <definedName name="_xh2258">NA()</definedName>
    <definedName name="_xh25010">NA()</definedName>
    <definedName name="_xh2504">NA()</definedName>
    <definedName name="_xh2508">NA()</definedName>
    <definedName name="_xh28010">NA()</definedName>
    <definedName name="_xh2804">NA()</definedName>
    <definedName name="_xh2808">NA()</definedName>
    <definedName name="_xh31510">NA()</definedName>
    <definedName name="_xh3154">NA()</definedName>
    <definedName name="_xh3158">NA()</definedName>
    <definedName name="_xh3554">NA()</definedName>
    <definedName name="_xh3556">NA()</definedName>
    <definedName name="_xh6310">NA()</definedName>
    <definedName name="_xh636">NA()</definedName>
    <definedName name="_xh638">NA()</definedName>
    <definedName name="_xh7510">NA()</definedName>
    <definedName name="_xh754">NA()</definedName>
    <definedName name="_xh756">NA()</definedName>
    <definedName name="_xh758">NA()</definedName>
    <definedName name="_xh9010">NA()</definedName>
    <definedName name="_xh904">NA()</definedName>
    <definedName name="_xh906">NA()</definedName>
    <definedName name="_xh908">NA()</definedName>
    <definedName name="_xk7200">NA()</definedName>
    <definedName name="_xk7350">NA()</definedName>
    <definedName name="_xk7400">NA()</definedName>
    <definedName name="_xk7450">NA()</definedName>
    <definedName name="_xk7500">NA()</definedName>
    <definedName name="_xk7600">NA()</definedName>
    <definedName name="_xk9100">NA()</definedName>
    <definedName name="_xk91000">NA()</definedName>
    <definedName name="_xk9150">NA()</definedName>
    <definedName name="_xk9200">NA()</definedName>
    <definedName name="_xk9250">NA()</definedName>
    <definedName name="_xk9300">NA()</definedName>
    <definedName name="_xk9350">NA()</definedName>
    <definedName name="_xk9400">NA()</definedName>
    <definedName name="_xk9450">NA()</definedName>
    <definedName name="_xk9500">NA()</definedName>
    <definedName name="_xk9600">NA()</definedName>
    <definedName name="_xk9700">NA()</definedName>
    <definedName name="_xk9750">NA()</definedName>
    <definedName name="_xk9800">NA()</definedName>
    <definedName name="_xk9900">NA()</definedName>
    <definedName name="_xp12510">NA()</definedName>
    <definedName name="_xp16010">NA()</definedName>
    <definedName name="_xp18010">NA()</definedName>
    <definedName name="_xp20010">NA()</definedName>
    <definedName name="_xp2004">NA()</definedName>
    <definedName name="_xp22510">NA()</definedName>
    <definedName name="_xp2254">NA()</definedName>
    <definedName name="_xp2256">NA()</definedName>
    <definedName name="_xp25010">NA()</definedName>
    <definedName name="_xp2504">NA()</definedName>
    <definedName name="_xp2506">NA()</definedName>
    <definedName name="_xp28010">NA()</definedName>
    <definedName name="_xp2804">NA()</definedName>
    <definedName name="_xp2806">NA()</definedName>
    <definedName name="_xp31510">NA()</definedName>
    <definedName name="_xp3154">NA()</definedName>
    <definedName name="_xp3156">NA()</definedName>
    <definedName name="_xp634">NA()</definedName>
    <definedName name="_Y1">NA()</definedName>
    <definedName name="_Y2">NA()</definedName>
    <definedName name="_Y3">NA()</definedName>
    <definedName name="a" localSheetId="10">NA()</definedName>
    <definedName name="a">NA()</definedName>
    <definedName name="a_10" localSheetId="10">NA()</definedName>
    <definedName name="a_10">"[106]boq!#ref!"</definedName>
    <definedName name="a_11" localSheetId="10">NA()</definedName>
    <definedName name="a_11">"[108]boq!#ref!"</definedName>
    <definedName name="a_2" localSheetId="10">NA()</definedName>
    <definedName name="a_2">"[110]boq!#ref!"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 localSheetId="10">NA()</definedName>
    <definedName name="a_9">"[112]boq!#ref!"</definedName>
    <definedName name="a_f" localSheetId="10">NA()</definedName>
    <definedName name="a_f">NA()</definedName>
    <definedName name="A1M170" localSheetId="10">NA()</definedName>
    <definedName name="A1M170">NA()</definedName>
    <definedName name="aa" localSheetId="1">NA()</definedName>
    <definedName name="aa">NA()</definedName>
    <definedName name="AAA" localSheetId="10">NA()</definedName>
    <definedName name="AAA">"[113]data.f8.btr!#ref!"</definedName>
    <definedName name="aaaa" localSheetId="10">NA()</definedName>
    <definedName name="aaaa">NA()</definedName>
    <definedName name="aaaa_8" localSheetId="10">NA()</definedName>
    <definedName name="aaaa_8">NA()</definedName>
    <definedName name="aaaa5" localSheetId="10">NA()</definedName>
    <definedName name="aaaa5">NA()</definedName>
    <definedName name="aaaaa" localSheetId="10">NA()</definedName>
    <definedName name="aaaaa">"[93]data!#ref!"</definedName>
    <definedName name="aaaaa_8" localSheetId="10">NA()</definedName>
    <definedName name="aaaaa_8">NA()</definedName>
    <definedName name="AAAAAA">"[93]data!#ref!"</definedName>
    <definedName name="aaaaaaaaa" localSheetId="10">NA()</definedName>
    <definedName name="aaaaaaaaa">NA()</definedName>
    <definedName name="aadf" localSheetId="10">NA()</definedName>
    <definedName name="aadf">NA()</definedName>
    <definedName name="aastrb">NA()</definedName>
    <definedName name="aat">NA()</definedName>
    <definedName name="aawa" localSheetId="10">NA()</definedName>
    <definedName name="aawa">NA()</definedName>
    <definedName name="AB" localSheetId="10">NA()</definedName>
    <definedName name="ab">NA()</definedName>
    <definedName name="Abbbbb">NA()</definedName>
    <definedName name="ABC" localSheetId="10">NA()</definedName>
    <definedName name="ABC">NA()</definedName>
    <definedName name="abcdes" localSheetId="10">NA()</definedName>
    <definedName name="abcdes">NA()</definedName>
    <definedName name="abf" localSheetId="10">NA()</definedName>
    <definedName name="abf">NA()</definedName>
    <definedName name="ABM">NA()</definedName>
    <definedName name="abs">NA()</definedName>
    <definedName name="ABSTRACT" localSheetId="10">NA()</definedName>
    <definedName name="ABSTRACT">NA()</definedName>
    <definedName name="ABSTRUCT" localSheetId="10">NA()</definedName>
    <definedName name="ABSTRUCT">NA()</definedName>
    <definedName name="AC" localSheetId="10">NA()</definedName>
    <definedName name="AC">NA()</definedName>
    <definedName name="ac_sheet" localSheetId="10">NA()</definedName>
    <definedName name="ac_sheet">NA()</definedName>
    <definedName name="academic" localSheetId="1">NA()</definedName>
    <definedName name="academic">NA()</definedName>
    <definedName name="ACCIDI">NA()</definedName>
    <definedName name="acl">NA()</definedName>
    <definedName name="acs">NA()</definedName>
    <definedName name="acsheet" localSheetId="10">NA()</definedName>
    <definedName name="acsheet">NA()</definedName>
    <definedName name="acsheet1">NA()</definedName>
    <definedName name="ACTEA" localSheetId="10">NA()</definedName>
    <definedName name="ACTEA">NA()</definedName>
    <definedName name="actual">NA()</definedName>
    <definedName name="ad" localSheetId="10">NA()</definedName>
    <definedName name="ad">NA()</definedName>
    <definedName name="ADB">NA()</definedName>
    <definedName name="ADD">NA()</definedName>
    <definedName name="additional" localSheetId="10">NA()</definedName>
    <definedName name="additional">NA()</definedName>
    <definedName name="Address">NA()</definedName>
    <definedName name="adfa" localSheetId="10">NA()</definedName>
    <definedName name="adfa">NA()</definedName>
    <definedName name="adfas" localSheetId="10">NA()</definedName>
    <definedName name="adfas">"[118]lead!#ref!"</definedName>
    <definedName name="adfd">NA()</definedName>
    <definedName name="ADFDSFSD1111" localSheetId="10">NA()</definedName>
    <definedName name="ADFDSFSD1111">NA()</definedName>
    <definedName name="Admin__Building" localSheetId="10">NA()</definedName>
    <definedName name="Admin__Building">NA()</definedName>
    <definedName name="admn_off" localSheetId="10">NA()</definedName>
    <definedName name="admn_off">NA()</definedName>
    <definedName name="admn_site" localSheetId="10">NA()</definedName>
    <definedName name="admn_site">NA()</definedName>
    <definedName name="ado" localSheetId="10">NA()</definedName>
    <definedName name="adsa">NA()</definedName>
    <definedName name="adsf">NA()</definedName>
    <definedName name="ae_">NA()</definedName>
    <definedName name="aea" localSheetId="10">NA()</definedName>
    <definedName name="aea">NA()</definedName>
    <definedName name="AEE">NA()</definedName>
    <definedName name="AEW">NA()</definedName>
    <definedName name="AEW_FOR" localSheetId="10">NA()</definedName>
    <definedName name="AEW_FOR">NA()</definedName>
    <definedName name="AEW_SIDE" localSheetId="10">NA()</definedName>
    <definedName name="AEW_SIDE">NA()</definedName>
    <definedName name="af">NA()</definedName>
    <definedName name="afb" localSheetId="10">NA()</definedName>
    <definedName name="afb">"[122]process!#ref!"</definedName>
    <definedName name="Ag" localSheetId="10">NA()</definedName>
    <definedName name="Aggregate">NA()</definedName>
    <definedName name="agl">NA()</definedName>
    <definedName name="AGRA_SHOULDERS" localSheetId="10">NA()</definedName>
    <definedName name="AGRA_SHOULDERS">NA()</definedName>
    <definedName name="AGSB">NA()</definedName>
    <definedName name="ahdfla" localSheetId="10">NA()</definedName>
    <definedName name="ahdfla">NA()</definedName>
    <definedName name="ai">NA()</definedName>
    <definedName name="aii">NA()</definedName>
    <definedName name="Air_Compressor">NA()</definedName>
    <definedName name="airvalve">NA()</definedName>
    <definedName name="AIRVALVES">NA()</definedName>
    <definedName name="AlampurABCDCivil">NA()</definedName>
    <definedName name="ald" localSheetId="10">NA()</definedName>
    <definedName name="ald">NA()</definedName>
    <definedName name="alw" localSheetId="10">NA()</definedName>
    <definedName name="alw">NA()</definedName>
    <definedName name="ammury" localSheetId="10">NA()</definedName>
    <definedName name="AMOUNT">NA()</definedName>
    <definedName name="analysis" localSheetId="10">NA()</definedName>
    <definedName name="analysis">NA()</definedName>
    <definedName name="Aname" localSheetId="10">NA()</definedName>
    <definedName name="Aname">NA()</definedName>
    <definedName name="Anganwad">NA()</definedName>
    <definedName name="ann" localSheetId="10">NA()</definedName>
    <definedName name="ann">NA()</definedName>
    <definedName name="anne" localSheetId="10">NA()</definedName>
    <definedName name="anne">NA()</definedName>
    <definedName name="annealing" localSheetId="10">NA()</definedName>
    <definedName name="annealing">NA()</definedName>
    <definedName name="annealing1" localSheetId="10">NA()</definedName>
    <definedName name="annealing1">NA()</definedName>
    <definedName name="anscount">1</definedName>
    <definedName name="antitermite" localSheetId="10">NA()</definedName>
    <definedName name="antitermite">NA()</definedName>
    <definedName name="anu">NA()</definedName>
    <definedName name="ap">NA()</definedName>
    <definedName name="apet" localSheetId="10">NA()</definedName>
    <definedName name="apet">NA()</definedName>
    <definedName name="APHB">NA()</definedName>
    <definedName name="APLIF">NA()</definedName>
    <definedName name="AR" localSheetId="10">NA()</definedName>
    <definedName name="AR">"[127]lead!#ref!"</definedName>
    <definedName name="Arb">NA()</definedName>
    <definedName name="Arches___1_5m">NA()</definedName>
    <definedName name="Arches__1_5m">NA()</definedName>
    <definedName name="AREAS_CA_CANOPY__WAREHOUSE" localSheetId="10">NA()</definedName>
    <definedName name="AREAS_CA_CANOPY__WAREHOUSE">NA()</definedName>
    <definedName name="AREAS_CA_CANOPY__WAREHOUSE_8" localSheetId="10">NA()</definedName>
    <definedName name="AREAS_CA_CANOPY__WAREHOUSE_8">NA()</definedName>
    <definedName name="AREAS_CB_Canteen_Building" localSheetId="10">NA()</definedName>
    <definedName name="AREAS_CB_Canteen_Building">NA()</definedName>
    <definedName name="AREAS_CB_Canteen_Building_8" localSheetId="10">NA()</definedName>
    <definedName name="AREAS_CB_Canteen_Building_8">NA()</definedName>
    <definedName name="AREAS_CIPT_Tanker_CIP_Shed" localSheetId="10">NA()</definedName>
    <definedName name="AREAS_CIPT_Tanker_CIP_Shed">NA()</definedName>
    <definedName name="AREAS_CIPT_Tanker_CIP_Shed_8" localSheetId="10">NA()</definedName>
    <definedName name="AREAS_CIPT_Tanker_CIP_Shed_8">NA()</definedName>
    <definedName name="AREAS_CLRR_Contract_Labour_Rest_Room" localSheetId="10">NA()</definedName>
    <definedName name="AREAS_CLRR_Contract_Labour_Rest_Room">NA()</definedName>
    <definedName name="AREAS_CLRR_Contract_Labour_Rest_Room_8" localSheetId="10">NA()</definedName>
    <definedName name="AREAS_CLRR_Contract_Labour_Rest_Room_8">NA()</definedName>
    <definedName name="AREAS_CS_Chemical_Store" localSheetId="10">NA()</definedName>
    <definedName name="AREAS_CS_Chemical_Store">NA()</definedName>
    <definedName name="AREAS_CS_Chemical_Store_8" localSheetId="10">NA()</definedName>
    <definedName name="AREAS_CS_Chemical_Store_8">NA()</definedName>
    <definedName name="AREAS_ETPC_ETP_Civil_Works" localSheetId="10">NA()</definedName>
    <definedName name="AREAS_ETPC_ETP_Civil_Works">NA()</definedName>
    <definedName name="AREAS_ETPC_ETP_Civil_Works_8" localSheetId="10">NA()</definedName>
    <definedName name="AREAS_ETPC_ETP_Civil_Works_8">NA()</definedName>
    <definedName name="AREAS_EX_EXTERNAL_WORKS" localSheetId="10">NA()</definedName>
    <definedName name="AREAS_EX_EXTERNAL_WORKS">NA()</definedName>
    <definedName name="AREAS_EX_EXTERNAL_WORKS_8" localSheetId="10">NA()</definedName>
    <definedName name="AREAS_EX_EXTERNAL_WORKS_8">NA()</definedName>
    <definedName name="AREAS_FC_Farmer_s_Conference" localSheetId="10">NA()</definedName>
    <definedName name="AREAS_FC_Farmer_s_Conference">NA()</definedName>
    <definedName name="AREAS_FC_Farmer_s_Conference_8" localSheetId="10">NA()</definedName>
    <definedName name="AREAS_FC_Farmer_s_Conference_8">NA()</definedName>
    <definedName name="AREAS_FU_Fumigation" localSheetId="10">NA()</definedName>
    <definedName name="AREAS_FU_Fumigation">NA()</definedName>
    <definedName name="AREAS_FU_Fumigation_8" localSheetId="10">NA()</definedName>
    <definedName name="AREAS_FU_Fumigation_8">NA()</definedName>
    <definedName name="AREAS_GA_General_Area___Overall" localSheetId="10">NA()</definedName>
    <definedName name="AREAS_GA_General_Area___Overall">NA()</definedName>
    <definedName name="AREAS_GA_General_Area___Overall_8" localSheetId="10">NA()</definedName>
    <definedName name="AREAS_GA_General_Area___Overall_8">NA()</definedName>
    <definedName name="AREAS_GP_Guard_Posts" localSheetId="10">NA()</definedName>
    <definedName name="AREAS_GP_Guard_Posts">NA()</definedName>
    <definedName name="AREAS_GP_Guard_Posts_8" localSheetId="10">NA()</definedName>
    <definedName name="AREAS_GP_Guard_Posts_8">NA()</definedName>
    <definedName name="AREAS_LS_LubeOil_Stores" localSheetId="10">NA()</definedName>
    <definedName name="AREAS_LS_LubeOil_Stores">NA()</definedName>
    <definedName name="AREAS_LS_LubeOil_Stores_8" localSheetId="10">NA()</definedName>
    <definedName name="AREAS_LS_LubeOil_Stores_8">NA()</definedName>
    <definedName name="AREAS_MR_TB_Milk_Reception_Tanker_s_Bay" localSheetId="10">NA()</definedName>
    <definedName name="AREAS_MR_TB_Milk_Reception_Tanker_s_Bay">NA()</definedName>
    <definedName name="AREAS_MR_TB_Milk_Reception_Tanker_s_Bay_8" localSheetId="10">NA()</definedName>
    <definedName name="AREAS_MR_TB_Milk_Reception_Tanker_s_Bay_8">NA()</definedName>
    <definedName name="AREAS_MTF_Milk_Tank_Foundations" localSheetId="10">NA()</definedName>
    <definedName name="AREAS_MTF_Milk_Tank_Foundations">NA()</definedName>
    <definedName name="AREAS_MTF_Milk_Tank_Foundations_8" localSheetId="10">NA()</definedName>
    <definedName name="AREAS_MTF_Milk_Tank_Foundations_8">NA()</definedName>
    <definedName name="AREAS_PB_PROCESS_BUILDING" localSheetId="10">NA()</definedName>
    <definedName name="AREAS_PB_PROCESS_BUILDING">NA()</definedName>
    <definedName name="AREAS_PB_PROCESS_BUILDING_8" localSheetId="10">NA()</definedName>
    <definedName name="AREAS_PB_PROCESS_BUILDING_8">NA()</definedName>
    <definedName name="AREAS_PR_Pipe_Racks" localSheetId="10">NA()</definedName>
    <definedName name="AREAS_PR_Pipe_Racks">NA()</definedName>
    <definedName name="AREAS_PR_Pipe_Racks_8" localSheetId="10">NA()</definedName>
    <definedName name="AREAS_PR_Pipe_Racks_8">NA()</definedName>
    <definedName name="AREAS_SR_2_Security_Room___2" localSheetId="10">NA()</definedName>
    <definedName name="AREAS_SR_2_Security_Room___2">NA()</definedName>
    <definedName name="AREAS_SR_2_Security_Room___2_8" localSheetId="10">NA()</definedName>
    <definedName name="AREAS_SR_2_Security_Room___2_8">NA()</definedName>
    <definedName name="AREAS_SR_3_Store_Room" localSheetId="10">NA()</definedName>
    <definedName name="AREAS_SR_3_Store_Room">NA()</definedName>
    <definedName name="AREAS_SR_3_Store_Room_8" localSheetId="10">NA()</definedName>
    <definedName name="AREAS_SR_3_Store_Room_8">NA()</definedName>
    <definedName name="AREAS_ST_Stacks_near_Utility_Buildings" localSheetId="10">NA()</definedName>
    <definedName name="AREAS_ST_Stacks_near_Utility_Buildings">NA()</definedName>
    <definedName name="AREAS_ST_Stacks_near_Utility_Buildings_8" localSheetId="10">NA()</definedName>
    <definedName name="AREAS_ST_Stacks_near_Utility_Buildings_8">NA()</definedName>
    <definedName name="AREAS_SY_Scrap_Yard" localSheetId="10">NA()</definedName>
    <definedName name="AREAS_SY_Scrap_Yard">NA()</definedName>
    <definedName name="AREAS_SY_Scrap_Yard_8" localSheetId="10">NA()</definedName>
    <definedName name="AREAS_SY_Scrap_Yard_8">NA()</definedName>
    <definedName name="AREAS_TWW_Truck_Wheel_Wash" localSheetId="10">NA()</definedName>
    <definedName name="AREAS_TWW_Truck_Wheel_Wash">NA()</definedName>
    <definedName name="AREAS_TWW_Truck_Wheel_Wash_8" localSheetId="10">NA()</definedName>
    <definedName name="AREAS_TWW_Truck_Wheel_Wash_8">NA()</definedName>
    <definedName name="AREAS_TY_Transformer_Yard" localSheetId="10">NA()</definedName>
    <definedName name="AREAS_TY_Transformer_Yard">NA()</definedName>
    <definedName name="AREAS_TY_Transformer_Yard_8" localSheetId="10">NA()</definedName>
    <definedName name="AREAS_TY_Transformer_Yard_8">NA()</definedName>
    <definedName name="AREAS_UB_UTILITY_BLOCK" localSheetId="10">NA()</definedName>
    <definedName name="AREAS_UB_UTILITY_BLOCK">NA()</definedName>
    <definedName name="AREAS_UB_UTILITY_BLOCK_8" localSheetId="10">NA()</definedName>
    <definedName name="AREAS_UB_UTILITY_BLOCK_8">NA()</definedName>
    <definedName name="AREAS_WH_Ware_House_Area" localSheetId="10">NA()</definedName>
    <definedName name="AREAS_WH_Ware_House_Area">NA()</definedName>
    <definedName name="AREAS_WH_Ware_House_Area_8" localSheetId="10">NA()</definedName>
    <definedName name="AREAS_WH_Ware_House_Area_8">NA()</definedName>
    <definedName name="as" localSheetId="10">NA()</definedName>
    <definedName name="as">"[128]v!#ref!"</definedName>
    <definedName name="AS_6">"'smb://M-h1/FORMATS/Documents%20and%20Settings/Administrator/Local%20Settings/Temporary%20Internet%20Files/Content.IE5/YRUJ6X63/Excel/K%20&amp;%20L/Part%20-%20A%20workings%20(revised%20on%2018-01-06).xls'#$'Boq (Main Building)'.CX1"</definedName>
    <definedName name="ASadws">"[71]material!#ref!"</definedName>
    <definedName name="asas" localSheetId="10">NA()</definedName>
    <definedName name="asAS">"[71]material!#ref!"</definedName>
    <definedName name="asas_6">"'smb://Tender2/d/Vinod/Excel/Tender/Garuda%20Resorts.xls'#$Boq.CX1"</definedName>
    <definedName name="asc" localSheetId="10">NA()</definedName>
    <definedName name="asc">NA()</definedName>
    <definedName name="ASCSD" localSheetId="10">NA()</definedName>
    <definedName name="ASCSD">NA()</definedName>
    <definedName name="asd" localSheetId="10">NA()</definedName>
    <definedName name="asd">"[130]data!#ref!"</definedName>
    <definedName name="ASDBC" localSheetId="10">NA()</definedName>
    <definedName name="ASDBC">NA()</definedName>
    <definedName name="ASDF">{"'ridftotal'!$A$4:$S$27"}</definedName>
    <definedName name="asdfs">NA()</definedName>
    <definedName name="asds">NA()</definedName>
    <definedName name="asdsdfsf">NA()</definedName>
    <definedName name="asf" localSheetId="10">NA()</definedName>
    <definedName name="asf">NA()</definedName>
    <definedName name="ASFDA">{"'ridftotal'!$A$4:$S$27"}</definedName>
    <definedName name="ash">NA()</definedName>
    <definedName name="asmin">NA()</definedName>
    <definedName name="ASS" localSheetId="10">NA()</definedName>
    <definedName name="ASS">NA()</definedName>
    <definedName name="ass_6">"'smb://M-h1/FORMATS/Documents%20and%20Settings/Administrator/Local%20Settings/Temporary%20Internet%20Files/Content.IE5/YRUJ6X63/Excel/K%20&amp;%20L/Part%20-%20A%20workings%20(revised%20on%2018-01-06).xls'#$'Boq (Main Building)'.CX1"</definedName>
    <definedName name="Assam_TW_flanks">"[71]material!#ref!"</definedName>
    <definedName name="Assam_TW_frames">"[71]material!#ref!"</definedName>
    <definedName name="ASSS" localSheetId="10">NA()</definedName>
    <definedName name="ASSS">NA()</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tas">NA()</definedName>
    <definedName name="astb">NA()</definedName>
    <definedName name="astdm">NA()</definedName>
    <definedName name="Asth">NA()</definedName>
    <definedName name="asti">NA()</definedName>
    <definedName name="astm">NA()</definedName>
    <definedName name="astmid">NA()</definedName>
    <definedName name="astmin">NA()</definedName>
    <definedName name="asto">NA()</definedName>
    <definedName name="astr">NA()</definedName>
    <definedName name="astsup">NA()</definedName>
    <definedName name="asttp">NA()</definedName>
    <definedName name="asttrb">NA()</definedName>
    <definedName name="aswdertyh">"[65]usage!#ref!"</definedName>
    <definedName name="aswsws" localSheetId="10">NA()</definedName>
    <definedName name="aswsws">NA()</definedName>
    <definedName name="at">NA()</definedName>
    <definedName name="ATACK" localSheetId="10">NA()</definedName>
    <definedName name="ATACK">NA()</definedName>
    <definedName name="atm" localSheetId="10">NA()</definedName>
    <definedName name="atm">NA()</definedName>
    <definedName name="att" localSheetId="10">NA()</definedName>
    <definedName name="att">NA()</definedName>
    <definedName name="Auftragswert" localSheetId="10">NA()</definedName>
    <definedName name="Auftragswert">NA()</definedName>
    <definedName name="AUX" localSheetId="10">NA()</definedName>
    <definedName name="AUX">NA()</definedName>
    <definedName name="AVCC">NA()</definedName>
    <definedName name="AVRCC">NA()</definedName>
    <definedName name="AWBM">NA()</definedName>
    <definedName name="AWBM2" localSheetId="10">NA()</definedName>
    <definedName name="AWBM2">NA()</definedName>
    <definedName name="AWBM3" localSheetId="10">NA()</definedName>
    <definedName name="AWBM3">NA()</definedName>
    <definedName name="Axs" localSheetId="10">NA()</definedName>
    <definedName name="Axs">NA()</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 localSheetId="10">NA()</definedName>
    <definedName name="Axs_9">NA()</definedName>
    <definedName name="B_2" localSheetId="10">NA()</definedName>
    <definedName name="B_2">NA()</definedName>
    <definedName name="B_4">"'smb://Planning2/d/ECC%20bbsr/tech/FinalZCR.xls'#$''.$A$20:$AMJ$20"</definedName>
    <definedName name="B_5">"'smb://Planning2/d/ECC%20bbsr/tech/FinalZCR.xls'#$''.$A$20:$AMJ$20"</definedName>
    <definedName name="B_6">"'smb://Planning2/d/ECC%20bbsr/tech/FinalZCR.xls'#$''.$A$20:$AMJ$20"</definedName>
    <definedName name="b_9" localSheetId="10">NA()</definedName>
    <definedName name="b_9">"[139]boq!#ref!"</definedName>
    <definedName name="baggage">"'[141]10'!$a$1:$u$65536"</definedName>
    <definedName name="bala">NA()</definedName>
    <definedName name="banilad">NA()</definedName>
    <definedName name="bar_bender" localSheetId="10">NA()</definedName>
    <definedName name="bar_bender">NA()</definedName>
    <definedName name="basic" localSheetId="10">NA()</definedName>
    <definedName name="basic">NA()</definedName>
    <definedName name="bb">NA()</definedName>
    <definedName name="bbbbb">NA()</definedName>
    <definedName name="bbn">NA()</definedName>
    <definedName name="BE">NA()</definedName>
    <definedName name="beam" localSheetId="10">NA()</definedName>
    <definedName name="beam">NA()</definedName>
    <definedName name="Beam_Length">NA()</definedName>
    <definedName name="BEAMS" localSheetId="10">NA()</definedName>
    <definedName name="BEAMS">NA()</definedName>
    <definedName name="Beg_Bal" localSheetId="10">NA()</definedName>
    <definedName name="Beg_Bal">NA()</definedName>
    <definedName name="Benching__chiselling__wedging_and_boring_in_rock_in_foundation_grade_levelling_">NA()</definedName>
    <definedName name="Bethamcherla_stone_25_4mm">NA()</definedName>
    <definedName name="Bethamcherla_stone_25_4mm_colour">NA()</definedName>
    <definedName name="bfh" localSheetId="10">NA()</definedName>
    <definedName name="bfh">NA()</definedName>
    <definedName name="BFR" localSheetId="10">NA()</definedName>
    <definedName name="BFR">NA()</definedName>
    <definedName name="BFVA">NA()</definedName>
    <definedName name="bgljkb" localSheetId="10">NA()</definedName>
    <definedName name="bgljkb">"[130]boq!#ref!"</definedName>
    <definedName name="bgljkb_6">"'smb://Tender2/d/Vinod/Excel/Tender/Garuda%20Resorts.xls'#$Boq.CX1"</definedName>
    <definedName name="bh" localSheetId="10">NA()</definedName>
    <definedName name="bh">NA()</definedName>
    <definedName name="BINDING">NA()</definedName>
    <definedName name="bindingwire" localSheetId="10">NA()</definedName>
    <definedName name="bindingwire">NA()</definedName>
    <definedName name="bjhgasf" localSheetId="10">NA()</definedName>
    <definedName name="bjlc" localSheetId="10">NA()</definedName>
    <definedName name="bjlc">NA()</definedName>
    <definedName name="bkk" localSheetId="10">NA()</definedName>
    <definedName name="bkk">NA()</definedName>
    <definedName name="bl" localSheetId="10">NA()</definedName>
    <definedName name="bl">NA()</definedName>
    <definedName name="BLA">NA()</definedName>
    <definedName name="BLAST3">"[56]mrates!$j$17"</definedName>
    <definedName name="Blasting">NA()</definedName>
    <definedName name="blv_100" localSheetId="10">NA()</definedName>
    <definedName name="blv_100">NA()</definedName>
    <definedName name="blv_150" localSheetId="10">NA()</definedName>
    <definedName name="blv_150">NA()</definedName>
    <definedName name="blv_200" localSheetId="10">NA()</definedName>
    <definedName name="blv_200">NA()</definedName>
    <definedName name="blv_25" localSheetId="10">NA()</definedName>
    <definedName name="blv_25">NA()</definedName>
    <definedName name="blv_250" localSheetId="10">NA()</definedName>
    <definedName name="blv_250">NA()</definedName>
    <definedName name="blv_300" localSheetId="10">NA()</definedName>
    <definedName name="blv_300">NA()</definedName>
    <definedName name="blv_32" localSheetId="10">NA()</definedName>
    <definedName name="blv_32">NA()</definedName>
    <definedName name="blv_40" localSheetId="10">NA()</definedName>
    <definedName name="blv_40">NA()</definedName>
    <definedName name="blv_400" localSheetId="10">NA()</definedName>
    <definedName name="blv_400">NA()</definedName>
    <definedName name="blv_50" localSheetId="10">NA()</definedName>
    <definedName name="blv_50">NA()</definedName>
    <definedName name="blv_500" localSheetId="10">NA()</definedName>
    <definedName name="blv_500">NA()</definedName>
    <definedName name="blv_65" localSheetId="10">NA()</definedName>
    <definedName name="blv_65">NA()</definedName>
    <definedName name="blv_80" localSheetId="10">NA()</definedName>
    <definedName name="blv_80">NA()</definedName>
    <definedName name="BM" localSheetId="10">NA()</definedName>
    <definedName name="BM">NA()</definedName>
    <definedName name="bmas">NA()</definedName>
    <definedName name="bmcf">NA()</definedName>
    <definedName name="bmcfo">NA()</definedName>
    <definedName name="bmm">NA()</definedName>
    <definedName name="bmo">NA()</definedName>
    <definedName name="BMP" localSheetId="10">NA()</definedName>
    <definedName name="BMP">NA()</definedName>
    <definedName name="bmpcf">NA()</definedName>
    <definedName name="bmpcfo">NA()</definedName>
    <definedName name="bo" localSheetId="10">NA()</definedName>
    <definedName name="bo">NA()</definedName>
    <definedName name="Bobby" localSheetId="10">NA()</definedName>
    <definedName name="Bobby">NA()</definedName>
    <definedName name="bol" localSheetId="10">NA()</definedName>
    <definedName name="bol">NA()</definedName>
    <definedName name="boml" localSheetId="10">NA()</definedName>
    <definedName name="boml">NA()</definedName>
    <definedName name="boml1" localSheetId="10">NA()</definedName>
    <definedName name="boml1">NA()</definedName>
    <definedName name="BOND600">"[56]mrates!$g$12"</definedName>
    <definedName name="boo" localSheetId="10">NA()</definedName>
    <definedName name="boo">NA()</definedName>
    <definedName name="BOQ" localSheetId="10">NA()</definedName>
    <definedName name="boq">NA()</definedName>
    <definedName name="boq_8" localSheetId="10">NA()</definedName>
    <definedName name="boq_8">NA()</definedName>
    <definedName name="boreWell">NA()</definedName>
    <definedName name="borewells">NA()</definedName>
    <definedName name="botl" localSheetId="10">NA()</definedName>
    <definedName name="botl">NA()</definedName>
    <definedName name="botl1" localSheetId="10">NA()</definedName>
    <definedName name="botl1">NA()</definedName>
    <definedName name="botn" localSheetId="10">NA()</definedName>
    <definedName name="botn">NA()</definedName>
    <definedName name="BOTTOMDOMEONETOSIX" localSheetId="10">NA()</definedName>
    <definedName name="BOTTOMDOMEONETOSIX">NA()</definedName>
    <definedName name="BOTTOMDOMESIXTOTHIRTEEN" localSheetId="10">NA()</definedName>
    <definedName name="BOTTOMDOMESIXTOTHIRTEEN">NA()</definedName>
    <definedName name="BOTTOMRINGGIRDERONETOSIX" localSheetId="10">NA()</definedName>
    <definedName name="BOTTOMRINGGIRDERONETOSIX">NA()</definedName>
    <definedName name="BOTTOMRINGGIRDERSEVENTOTHIRTEEN" localSheetId="10">NA()</definedName>
    <definedName name="BOTTOMRINGGIRDERSEVENTOTHIRTEEN">NA()</definedName>
    <definedName name="bp">NA()</definedName>
    <definedName name="bpr">NA()</definedName>
    <definedName name="br_230" localSheetId="10">NA()</definedName>
    <definedName name="br_230">NA()</definedName>
    <definedName name="Breaks" localSheetId="10">NA()</definedName>
    <definedName name="Breaks">NA()</definedName>
    <definedName name="brick" localSheetId="10">NA()</definedName>
    <definedName name="brick">NA()</definedName>
    <definedName name="brick_four" localSheetId="10">NA()</definedName>
    <definedName name="brick_four">NA()</definedName>
    <definedName name="brick_II" localSheetId="10">NA()</definedName>
    <definedName name="brick_II">NA()</definedName>
    <definedName name="brick_nine" localSheetId="10">NA()</definedName>
    <definedName name="brick_nine">NA()</definedName>
    <definedName name="brickjelly_basic" localSheetId="10">NA()</definedName>
    <definedName name="brickjelly_basic">NA()</definedName>
    <definedName name="Bricks" localSheetId="10">NA()</definedName>
    <definedName name="bricks">"[71]rmr!#ref!"</definedName>
    <definedName name="Bricks_23_11_7cm_2nd_class">NA()</definedName>
    <definedName name="Bricks_Tiles">"[71]general!#ref!"</definedName>
    <definedName name="Bridge">NA()</definedName>
    <definedName name="brk">NA()</definedName>
    <definedName name="bs" localSheetId="10">NA()</definedName>
    <definedName name="bs">NA()</definedName>
    <definedName name="BSB5_Reinigung_in_BiopurC" localSheetId="10">NA()</definedName>
    <definedName name="BSB5_Reinigung_in_BiopurC">"[148]balan1!#ref!"</definedName>
    <definedName name="BSB5_Reinigung_in_BiopurN" localSheetId="10">NA()</definedName>
    <definedName name="BSB5_Reinigung_in_BiopurN">"[148]balan1!#ref!"</definedName>
    <definedName name="BSB5vorklmg">NA()</definedName>
    <definedName name="bsec1" localSheetId="10">NA()</definedName>
    <definedName name="bsec1">NA()</definedName>
    <definedName name="bsec2" localSheetId="10">NA()</definedName>
    <definedName name="bsec2">NA()</definedName>
    <definedName name="bsec3" localSheetId="10">NA()</definedName>
    <definedName name="bsec3">NA()</definedName>
    <definedName name="bsec4" localSheetId="10">NA()</definedName>
    <definedName name="bsec4">NA()</definedName>
    <definedName name="bsec5" localSheetId="10">NA()</definedName>
    <definedName name="bsec5">NA()</definedName>
    <definedName name="bsec6" localSheetId="10">NA()</definedName>
    <definedName name="bsec6">NA()</definedName>
    <definedName name="BSG">NA()</definedName>
    <definedName name="bsth">NA()</definedName>
    <definedName name="bsthi">NA()</definedName>
    <definedName name="bt">NA()</definedName>
    <definedName name="BT_60_70">NA()</definedName>
    <definedName name="BT_80_100">NA()</definedName>
    <definedName name="bt_boil">NA()</definedName>
    <definedName name="BT_E">NA()</definedName>
    <definedName name="bt_lead">NA()</definedName>
    <definedName name="BT_MIX_SEAL">NA()</definedName>
    <definedName name="bt_rate">NA()</definedName>
    <definedName name="BT_SEAL_COAT">NA()</definedName>
    <definedName name="BT_SEAL_ON_BTSD">NA()</definedName>
    <definedName name="BT_SINGLE_30_45">NA()</definedName>
    <definedName name="BT_WEARING_COAT">NA()</definedName>
    <definedName name="BTC">NA()</definedName>
    <definedName name="BTEMULTIONSS1">NA()</definedName>
    <definedName name="BTSD_23">NA()</definedName>
    <definedName name="BTSD_DRY">NA()</definedName>
    <definedName name="BTSD_SEAL">NA()</definedName>
    <definedName name="bua" localSheetId="10">NA()</definedName>
    <definedName name="bua">NA()</definedName>
    <definedName name="buildings" localSheetId="10">NA()</definedName>
    <definedName name="buildings">NA()</definedName>
    <definedName name="BuiltIn_Print_Area" localSheetId="10">NA()</definedName>
    <definedName name="BuiltIn_Print_Area">NA()</definedName>
    <definedName name="BuiltIn_Print_Area___0" localSheetId="10">NA()</definedName>
    <definedName name="BuiltIn_Print_Area___0">NA()</definedName>
    <definedName name="BuiltIn_Print_Titles" localSheetId="10">NA()</definedName>
    <definedName name="BuiltIn_Print_Titles">NA()</definedName>
    <definedName name="bul" localSheetId="10">NA()</definedName>
    <definedName name="bul">NA()</definedName>
    <definedName name="bw">NA()</definedName>
    <definedName name="BWF1B" localSheetId="10">NA()</definedName>
    <definedName name="BWF1B">NA()</definedName>
    <definedName name="bwfb" localSheetId="10">NA()</definedName>
    <definedName name="bwfb">"[122]process!#ref!"</definedName>
    <definedName name="BWIRE">"[56]mrates!$p$52"</definedName>
    <definedName name="bwl" localSheetId="10">NA()</definedName>
    <definedName name="bwl">"[122]process!#ref!"</definedName>
    <definedName name="bwld" localSheetId="10">NA()</definedName>
    <definedName name="bwld">NA()</definedName>
    <definedName name="bwssb" localSheetId="10">NA()</definedName>
    <definedName name="bwssb">NA()</definedName>
    <definedName name="bww" localSheetId="10">NA()</definedName>
    <definedName name="bww">"[122]process!#ref!"</definedName>
    <definedName name="bx">NA()</definedName>
    <definedName name="C_">NA()</definedName>
    <definedName name="C_L_WALL" localSheetId="10">NA()</definedName>
    <definedName name="C_L_WALL">NA()</definedName>
    <definedName name="C_S_WALL" localSheetId="10">NA()</definedName>
    <definedName name="C_S_WALL">NA()</definedName>
    <definedName name="CA" localSheetId="10">NA()</definedName>
    <definedName name="CA">NA()</definedName>
    <definedName name="caff" localSheetId="10">NA()</definedName>
    <definedName name="can" localSheetId="10">NA()</definedName>
    <definedName name="can">NA()</definedName>
    <definedName name="cant" localSheetId="10">NA()</definedName>
    <definedName name="cant">NA()</definedName>
    <definedName name="CANTILEVERONETOSIX" localSheetId="10">NA()</definedName>
    <definedName name="CANTILEVERONETOSIX">NA()</definedName>
    <definedName name="CANTILEVERSEVENTOTHIRTEEN" localSheetId="10">NA()</definedName>
    <definedName name="CANTILEVERSEVENTOTHIRTEEN">NA()</definedName>
    <definedName name="capital" localSheetId="10">NA()</definedName>
    <definedName name="capital">NA()</definedName>
    <definedName name="care1" localSheetId="10">NA()</definedName>
    <definedName name="cash_bank" localSheetId="10">NA()</definedName>
    <definedName name="cash_bank">NA()</definedName>
    <definedName name="CASH_OUT" localSheetId="10">NA()</definedName>
    <definedName name="CASH_OUT">NA()</definedName>
    <definedName name="cb">NA()</definedName>
    <definedName name="cbeams">NA()</definedName>
    <definedName name="cbgl1" localSheetId="10">NA()</definedName>
    <definedName name="cbgl1">NA()</definedName>
    <definedName name="cbgl2" localSheetId="10">NA()</definedName>
    <definedName name="cbgl2">NA()</definedName>
    <definedName name="cbgl3" localSheetId="10">NA()</definedName>
    <definedName name="cbgl3">NA()</definedName>
    <definedName name="cbgl4" localSheetId="10">NA()</definedName>
    <definedName name="cbgl4">NA()</definedName>
    <definedName name="cbr">NA()</definedName>
    <definedName name="CC_1_6_10__using_40MM_OTG_Meteal_including_cost_and_conveyance_of_all_materials_and_labour_charge__etc___Complete" localSheetId="10">NA()</definedName>
    <definedName name="CC_1_6_10__using_40MM_OTG_Meteal_including_cost_and_conveyance_of_all_materials_and_labour_charge__etc___Complete">NA()</definedName>
    <definedName name="CC1_2_4" localSheetId="10">NA()</definedName>
    <definedName name="CC1_2_4">NA()</definedName>
    <definedName name="cc1_5_10" localSheetId="10">NA()</definedName>
    <definedName name="cc1_5_10">NA()</definedName>
    <definedName name="CC11A">"'[141]11'!$a$1:$w$65536"</definedName>
    <definedName name="CC11B">"'[141]11'!$a$1:$u$65536"</definedName>
    <definedName name="CC12A">NA()</definedName>
    <definedName name="CC12B">NA()</definedName>
    <definedName name="CC2A">NA()</definedName>
    <definedName name="CC2B">NA()</definedName>
    <definedName name="CC2C">NA()</definedName>
    <definedName name="CC2D">NA()</definedName>
    <definedName name="CC2E">NA()</definedName>
    <definedName name="CC2F">NA()</definedName>
    <definedName name="CC2G">NA()</definedName>
    <definedName name="CC2H">NA()</definedName>
    <definedName name="CC3A">NA()</definedName>
    <definedName name="CC3B">NA()</definedName>
    <definedName name="CC4a">NA()</definedName>
    <definedName name="CC5a" localSheetId="10">NA()</definedName>
    <definedName name="CC5a">NA()</definedName>
    <definedName name="CC5a1" localSheetId="10">NA()</definedName>
    <definedName name="CC5a1">NA()</definedName>
    <definedName name="CC6A">"'[141]6a'!$a$1:$v$65536"</definedName>
    <definedName name="CC6B">"'[141]6b'!$a$1:$v$65536"</definedName>
    <definedName name="CC7A">NA()</definedName>
    <definedName name="CC7B">NA()</definedName>
    <definedName name="CC8A">NA()</definedName>
    <definedName name="CC8B">NA()</definedName>
    <definedName name="CC9A">NA()</definedName>
    <definedName name="CC9B">NA()</definedName>
    <definedName name="CC9C">NA()</definedName>
    <definedName name="CC9D">NA()</definedName>
    <definedName name="CC9E">NA()</definedName>
    <definedName name="CC9F">NA()</definedName>
    <definedName name="CC9G">NA()</definedName>
    <definedName name="CC9H">NA()</definedName>
    <definedName name="CC9I">NA()</definedName>
    <definedName name="CC9J">NA()</definedName>
    <definedName name="CC9K">NA()</definedName>
    <definedName name="cca" localSheetId="10">NA()</definedName>
    <definedName name="cca">NA()</definedName>
    <definedName name="CCAAMP">NA()</definedName>
    <definedName name="cccc">NA()</definedName>
    <definedName name="cci">NA()</definedName>
    <definedName name="ccir" localSheetId="10">NA()</definedName>
    <definedName name="ccir">NA()</definedName>
    <definedName name="ccolagl" localSheetId="10">NA()</definedName>
    <definedName name="ccolagl">NA()</definedName>
    <definedName name="ccp">NA()</definedName>
    <definedName name="ccwc1">NA()</definedName>
    <definedName name="ccwc2">NA()</definedName>
    <definedName name="cd" localSheetId="10">NA()</definedName>
    <definedName name="cd">NA()</definedName>
    <definedName name="cd10mm" localSheetId="10">NA()</definedName>
    <definedName name="cd10mm">NA()</definedName>
    <definedName name="cd12mm" localSheetId="10">NA()</definedName>
    <definedName name="cd12mm">NA()</definedName>
    <definedName name="cd20mm" localSheetId="10">NA()</definedName>
    <definedName name="cd20mm">NA()</definedName>
    <definedName name="cd25mm" localSheetId="10">NA()</definedName>
    <definedName name="cd25mm">NA()</definedName>
    <definedName name="cd2m">NA()</definedName>
    <definedName name="cd40mm" localSheetId="10">NA()</definedName>
    <definedName name="cd40mm">NA()</definedName>
    <definedName name="cd40mm08" localSheetId="10">NA()</definedName>
    <definedName name="cd40mm08">NA()</definedName>
    <definedName name="cd6mm" localSheetId="10">NA()</definedName>
    <definedName name="cd6mm">NA()</definedName>
    <definedName name="cddata" localSheetId="10">NA()</definedName>
    <definedName name="cddata">NA()</definedName>
    <definedName name="CDECV" localSheetId="10">NA()</definedName>
    <definedName name="CDECV">NA()</definedName>
    <definedName name="CDNO" localSheetId="10">NA()</definedName>
    <definedName name="CDNO">NA()</definedName>
    <definedName name="cdno_600" localSheetId="10">NA()</definedName>
    <definedName name="cdno_600">NA()</definedName>
    <definedName name="CED">NA()</definedName>
    <definedName name="cem_w" localSheetId="10">NA()</definedName>
    <definedName name="cem_w">NA()</definedName>
    <definedName name="cement">NA()</definedName>
    <definedName name="Cement_excluding_cost_of_empty_cement_bags">NA()</definedName>
    <definedName name="cementpaint" localSheetId="10">NA()</definedName>
    <definedName name="cementpaint">NA()</definedName>
    <definedName name="cenchrcol" localSheetId="10">NA()</definedName>
    <definedName name="cenchrcol">NA()</definedName>
    <definedName name="cenchrfoot" localSheetId="10">NA()</definedName>
    <definedName name="cenchrfoot">NA()</definedName>
    <definedName name="cenchrpb" localSheetId="10">NA()</definedName>
    <definedName name="cenchrpb">NA()</definedName>
    <definedName name="cenchrped" localSheetId="10">NA()</definedName>
    <definedName name="cenchrped">NA()</definedName>
    <definedName name="Centering_charges_for_bed_blocks_and_culvert_slabs_and_other_structures_of_less_than_3_mts__span_">NA()</definedName>
    <definedName name="Centering_charges_for_culvert_slabs_and_other_structures_of__3_mts__span_and_above">NA()</definedName>
    <definedName name="ceramic" localSheetId="10">NA()</definedName>
    <definedName name="ceramic">NA()</definedName>
    <definedName name="Cess">NA()</definedName>
    <definedName name="CEW">NA()</definedName>
    <definedName name="cfb" localSheetId="10">NA()</definedName>
    <definedName name="cfb">NA()</definedName>
    <definedName name="cfbeams" localSheetId="10">NA()</definedName>
    <definedName name="cfbeams">NA()</definedName>
    <definedName name="cfsalb" localSheetId="10">NA()</definedName>
    <definedName name="cfsalb">NA()</definedName>
    <definedName name="cfslab" localSheetId="10">NA()</definedName>
    <definedName name="cfslab">NA()</definedName>
    <definedName name="cg" localSheetId="10">NA()</definedName>
    <definedName name="cg">NA()</definedName>
    <definedName name="chdyrrr" localSheetId="10">NA()</definedName>
    <definedName name="chdyrrr">"[118]lead!#ref!"</definedName>
    <definedName name="check" localSheetId="10">NA()</definedName>
    <definedName name="check">NA()</definedName>
    <definedName name="checked" localSheetId="10">NA()</definedName>
    <definedName name="checked">NA()</definedName>
    <definedName name="chemicalcalculationperungudi" localSheetId="10">NA()</definedName>
    <definedName name="chemicalcalculationperungudi">NA()</definedName>
    <definedName name="chemsludgecal" localSheetId="10">NA()</definedName>
    <definedName name="chemsludgecal">NA()</definedName>
    <definedName name="chenchu">NA()</definedName>
    <definedName name="chips_10">NA()</definedName>
    <definedName name="chips_12">NA()</definedName>
    <definedName name="chips_5">NA()</definedName>
    <definedName name="CI">NA()</definedName>
    <definedName name="CIcheckValve">NA()</definedName>
    <definedName name="cidjoint" localSheetId="10">NA()</definedName>
    <definedName name="cidjoint">NA()</definedName>
    <definedName name="CIdummy">NA()</definedName>
    <definedName name="CIfootValve">NA()</definedName>
    <definedName name="cii">NA()</definedName>
    <definedName name="ciii">NA()</definedName>
    <definedName name="cikkk" localSheetId="10">NA()</definedName>
    <definedName name="cikkk">NA()</definedName>
    <definedName name="cila100">NA()</definedName>
    <definedName name="cila1000">NA()</definedName>
    <definedName name="cila125">NA()</definedName>
    <definedName name="cila150">NA()</definedName>
    <definedName name="cila200">NA()</definedName>
    <definedName name="cila250">NA()</definedName>
    <definedName name="cila300">NA()</definedName>
    <definedName name="cila350">NA()</definedName>
    <definedName name="cila400">NA()</definedName>
    <definedName name="cila450">NA()</definedName>
    <definedName name="cila500">NA()</definedName>
    <definedName name="cila600">NA()</definedName>
    <definedName name="cila700">NA()</definedName>
    <definedName name="cila750">NA()</definedName>
    <definedName name="cila80">NA()</definedName>
    <definedName name="cila800">NA()</definedName>
    <definedName name="cila900">NA()</definedName>
    <definedName name="Cinder">"[71]material!#ref!"</definedName>
    <definedName name="City">NA()</definedName>
    <definedName name="CIV" localSheetId="10">NA()</definedName>
    <definedName name="cjv" localSheetId="10">NA()</definedName>
    <definedName name="cjv">NA()</definedName>
    <definedName name="ckeck1" localSheetId="10">NA()</definedName>
    <definedName name="ckeck1">NA()</definedName>
    <definedName name="CLASSS" localSheetId="10">NA()</definedName>
    <definedName name="CLASSS">NA()</definedName>
    <definedName name="Clayey_Soil_in_wet_and_slushy_condition_________SS_20_B">NA()</definedName>
    <definedName name="CLEAR_PAGE_BREA">NA()</definedName>
    <definedName name="Clearing_alchi__tilla">NA()</definedName>
    <definedName name="Clearing_heavy_Jungle">NA()</definedName>
    <definedName name="Clearing_Juliflora__Prosafis__jungle_including_up_rooting_and_removing_of_Juliflora_stumps_">NA()</definedName>
    <definedName name="Clearing_light_Jungle">NA()</definedName>
    <definedName name="Clearing_Scrub_Jungle">NA()</definedName>
    <definedName name="clintels" localSheetId="10">NA()</definedName>
    <definedName name="clintels">NA()</definedName>
    <definedName name="clp">NA()</definedName>
    <definedName name="cm">NA()</definedName>
    <definedName name="CM_1_10">"[71]data!#ref!"</definedName>
    <definedName name="CM_1_2">"[71]data!#ref!"</definedName>
    <definedName name="CM_1_3">"[71]data!#ref!"</definedName>
    <definedName name="CM_1_4">"[71]data!#ref!"</definedName>
    <definedName name="CM_1_5">"[71]data!#ref!"</definedName>
    <definedName name="CM_1_6">"[71]data!#ref!"</definedName>
    <definedName name="CM_1_8">"[71]data!#ref!"</definedName>
    <definedName name="cmes">NA()</definedName>
    <definedName name="CO">NA()</definedName>
    <definedName name="coimbatore" localSheetId="10">NA()</definedName>
    <definedName name="coimbatore">NA()</definedName>
    <definedName name="Colbgl" localSheetId="10">NA()</definedName>
    <definedName name="Colbgl">NA()</definedName>
    <definedName name="colbgl2" localSheetId="10">NA()</definedName>
    <definedName name="colbgl2">NA()</definedName>
    <definedName name="Columns" localSheetId="10">NA()</definedName>
    <definedName name="Columns">NA()</definedName>
    <definedName name="Comp_Stat">"[168]data!#ref!"</definedName>
    <definedName name="comp0001" localSheetId="10">NA()</definedName>
    <definedName name="comp0001">"[170]work_sheet!#ref!"</definedName>
    <definedName name="Company">NA()</definedName>
    <definedName name="Compressor_Charges___10_5_cum_per_minit_capacity">NA()</definedName>
    <definedName name="Compressor_Charges___6_cum_per_minit_capacity">NA()</definedName>
    <definedName name="con_mixer" localSheetId="10">NA()</definedName>
    <definedName name="con_mixer">NA()</definedName>
    <definedName name="con_pro" localSheetId="10">NA()</definedName>
    <definedName name="con_pro">NA()</definedName>
    <definedName name="concludied5550" localSheetId="10">NA()</definedName>
    <definedName name="concludied5550">NA()</definedName>
    <definedName name="Concrete_Mixture">NA()</definedName>
    <definedName name="Concrete_Pump">NA()</definedName>
    <definedName name="conns_" localSheetId="10">NA()</definedName>
    <definedName name="conns_">NA()</definedName>
    <definedName name="constrn" localSheetId="10">NA()</definedName>
    <definedName name="constrn">NA()</definedName>
    <definedName name="CONVEYANCE">NA()</definedName>
    <definedName name="copy" localSheetId="10">NA()</definedName>
    <definedName name="copy">NA()</definedName>
    <definedName name="cost" localSheetId="10">NA()</definedName>
    <definedName name="cost">NA()</definedName>
    <definedName name="Cost10" localSheetId="10">NA()</definedName>
    <definedName name="Cost10">NA()</definedName>
    <definedName name="Cost5">"'[141]5'!$a$1:$v$65536"</definedName>
    <definedName name="costcentre13">"'[141]13'!$a$1:$u$65536"</definedName>
    <definedName name="COTTAGE" localSheetId="10">NA()</definedName>
    <definedName name="COTTAGE">NA()</definedName>
    <definedName name="Country">NA()</definedName>
    <definedName name="cover2">NA()</definedName>
    <definedName name="cpcl" localSheetId="10">NA()</definedName>
    <definedName name="cpcl">NA()</definedName>
    <definedName name="cpcl26_4" localSheetId="10">NA()</definedName>
    <definedName name="cpcl26_4">NA()</definedName>
    <definedName name="cpcl26_4mldnew" localSheetId="10">NA()</definedName>
    <definedName name="cpcl26_4mldnew">NA()</definedName>
    <definedName name="cr_mpl_divn_corenet_cn_mpl">NA()</definedName>
    <definedName name="Crane__Rate_of_sinking_0_8_mts__per_day">NA()</definedName>
    <definedName name="crccslab">NA()</definedName>
    <definedName name="crccslab150">NA()</definedName>
    <definedName name="CRS" localSheetId="10">NA()</definedName>
    <definedName name="crsg">NA()</definedName>
    <definedName name="Crushing">NA()</definedName>
    <definedName name="crust" localSheetId="10">NA()</definedName>
    <definedName name="crust">"[113]data.f8.btr!#ref!"</definedName>
    <definedName name="CSAND">"[56]mrates!$g$8"</definedName>
    <definedName name="cshewcen" localSheetId="10">NA()</definedName>
    <definedName name="cshewcen">NA()</definedName>
    <definedName name="cshewcenchrfoot" localSheetId="10">NA()</definedName>
    <definedName name="cshewcenchrfoot">NA()</definedName>
    <definedName name="cshewcenchrpb" localSheetId="10">NA()</definedName>
    <definedName name="cshewcenchrpb">NA()</definedName>
    <definedName name="cshewcenchrped" localSheetId="10">NA()</definedName>
    <definedName name="cshewcenchrped">NA()</definedName>
    <definedName name="csshade" localSheetId="10">NA()</definedName>
    <definedName name="csshade">NA()</definedName>
    <definedName name="cst" localSheetId="10">NA()</definedName>
    <definedName name="cst">NA()</definedName>
    <definedName name="ct_basic" localSheetId="10">NA()</definedName>
    <definedName name="ct_basic">NA()</definedName>
    <definedName name="ctrhabstat">NA()</definedName>
    <definedName name="cu">NA()</definedName>
    <definedName name="Cuddapah_Shahabad_slabs_40mm">"[71]material!#ref!"</definedName>
    <definedName name="Cuddapah_Shahabad_slabs_50_mm">"[71]material!#ref!"</definedName>
    <definedName name="curr_liab_prov" localSheetId="10">NA()</definedName>
    <definedName name="curr_liab_prov">NA()</definedName>
    <definedName name="CustomDuty" localSheetId="10">NA()</definedName>
    <definedName name="CustomDuty">NA()</definedName>
    <definedName name="cut_holes_bw" localSheetId="10">NA()</definedName>
    <definedName name="cut_holes_bw">NA()</definedName>
    <definedName name="cut_holes_rcc" localSheetId="10">NA()</definedName>
    <definedName name="cut_holes_rcc">NA()</definedName>
    <definedName name="Cutting_and_removing_other_kindof_trees_including_stacking_of_girth_30_to_100_cm">NA()</definedName>
    <definedName name="Cutting_and_removing_Palmyrah_trees_including_stacking_of_girth_30_to_100_cm_">NA()</definedName>
    <definedName name="cv_100" localSheetId="10">NA()</definedName>
    <definedName name="cv_100">NA()</definedName>
    <definedName name="cv_150" localSheetId="10">NA()</definedName>
    <definedName name="cv_150">NA()</definedName>
    <definedName name="cv_200" localSheetId="10">NA()</definedName>
    <definedName name="cv_200">NA()</definedName>
    <definedName name="cv_25" localSheetId="10">NA()</definedName>
    <definedName name="cv_25">NA()</definedName>
    <definedName name="cv_250" localSheetId="10">NA()</definedName>
    <definedName name="cv_250">NA()</definedName>
    <definedName name="cv_300" localSheetId="10">NA()</definedName>
    <definedName name="cv_300">NA()</definedName>
    <definedName name="cv_32" localSheetId="10">NA()</definedName>
    <definedName name="cv_32">NA()</definedName>
    <definedName name="cv_40" localSheetId="10">NA()</definedName>
    <definedName name="cv_40">NA()</definedName>
    <definedName name="cv_400" localSheetId="10">NA()</definedName>
    <definedName name="cv_400">NA()</definedName>
    <definedName name="cv_50" localSheetId="10">NA()</definedName>
    <definedName name="cv_50">NA()</definedName>
    <definedName name="cv_500" localSheetId="10">NA()</definedName>
    <definedName name="cv_500">NA()</definedName>
    <definedName name="cv_65" localSheetId="10">NA()</definedName>
    <definedName name="cv_65">NA()</definedName>
    <definedName name="cv_80" localSheetId="10">NA()</definedName>
    <definedName name="cv_80">NA()</definedName>
    <definedName name="cvbt">NA()</definedName>
    <definedName name="cx" localSheetId="10">NA()</definedName>
    <definedName name="cx">NA()</definedName>
    <definedName name="d" localSheetId="10">NA()</definedName>
    <definedName name="d">"[127]lead!#ref!"</definedName>
    <definedName name="D__" localSheetId="10">NA()</definedName>
    <definedName name="D_t" localSheetId="10">NA()</definedName>
    <definedName name="D_t">NA()</definedName>
    <definedName name="D_t_" localSheetId="10">NA()</definedName>
    <definedName name="d_ts" localSheetId="10">NA()</definedName>
    <definedName name="d_ts">"[93]data!#ref!"</definedName>
    <definedName name="D_tt" localSheetId="10">NA()</definedName>
    <definedName name="D206xE206" localSheetId="10">NA()</definedName>
    <definedName name="D206xE206">NA()</definedName>
    <definedName name="D206xE206_1">"'smb://Venkat/1%20KC222%20-%20TEXAS/My%20Documents/zero.xls'#$'p&amp;m'.$H$264:$H$264"</definedName>
    <definedName name="D206xE206_10" localSheetId="10">NA()</definedName>
    <definedName name="D206xE206_10">NA()</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a" localSheetId="10">NA()</definedName>
    <definedName name="Da">NA()</definedName>
    <definedName name="dadoing" localSheetId="10">NA()</definedName>
    <definedName name="dadoing">NA()</definedName>
    <definedName name="Damerchela">"[184]v!#ref!"</definedName>
    <definedName name="data" localSheetId="10">NA()</definedName>
    <definedName name="data">"[130]data!#ref!"</definedName>
    <definedName name="data_" localSheetId="10">NA()</definedName>
    <definedName name="data_">"[185]data!#ref!"</definedName>
    <definedName name="data_1">"'smb://192.168.4.17/workings%20(e)/Files/BZ001%20-%20RO/Seminar/SEMINAR.xls'#$'labour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1" localSheetId="10">NA()</definedName>
    <definedName name="data1">NA()</definedName>
    <definedName name="DATA10">NA()</definedName>
    <definedName name="DATA100">NA()</definedName>
    <definedName name="DATA1011">NA()</definedName>
    <definedName name="DATA1012">NA()</definedName>
    <definedName name="DATA1013">NA()</definedName>
    <definedName name="DATA1014">NA()</definedName>
    <definedName name="DATA1015">NA()</definedName>
    <definedName name="DATA102">NA()</definedName>
    <definedName name="DATA103">NA()</definedName>
    <definedName name="DATA104">NA()</definedName>
    <definedName name="DATA105">NA()</definedName>
    <definedName name="DATA106">NA()</definedName>
    <definedName name="DATA107A">NA()</definedName>
    <definedName name="DATA107B">NA()</definedName>
    <definedName name="DATA107C">NA()</definedName>
    <definedName name="DATA107D">NA()</definedName>
    <definedName name="DATA107E">NA()</definedName>
    <definedName name="DATA107F">NA()</definedName>
    <definedName name="DATA107G">NA()</definedName>
    <definedName name="DATA108A">NA()</definedName>
    <definedName name="DATA108B">NA()</definedName>
    <definedName name="DATA108C">NA()</definedName>
    <definedName name="DATA108D">NA()</definedName>
    <definedName name="DATA108E">NA()</definedName>
    <definedName name="DATA108F">NA()</definedName>
    <definedName name="DATA108G">NA()</definedName>
    <definedName name="DATA108H">NA()</definedName>
    <definedName name="DATA108I">NA()</definedName>
    <definedName name="DATA108J">NA()</definedName>
    <definedName name="DATA108K">NA()</definedName>
    <definedName name="DATA108L">NA()</definedName>
    <definedName name="DATA108M">NA()</definedName>
    <definedName name="DATA108N">NA()</definedName>
    <definedName name="DATA108O">NA()</definedName>
    <definedName name="DATA108P">NA()</definedName>
    <definedName name="DATA109A">NA()</definedName>
    <definedName name="DATA109B">NA()</definedName>
    <definedName name="DATA109C">NA()</definedName>
    <definedName name="DATA109D">NA()</definedName>
    <definedName name="DATA109E">NA()</definedName>
    <definedName name="DATA109F">NA()</definedName>
    <definedName name="DATA109G">NA()</definedName>
    <definedName name="DATA109H">NA()</definedName>
    <definedName name="DATA109I">NA()</definedName>
    <definedName name="DATA109J">NA()</definedName>
    <definedName name="DATA109K">NA()</definedName>
    <definedName name="DATA109L">NA()</definedName>
    <definedName name="DATA109M">NA()</definedName>
    <definedName name="DATA109N">NA()</definedName>
    <definedName name="DATA109O">NA()</definedName>
    <definedName name="DATA109P">NA()</definedName>
    <definedName name="DATA11">NA()</definedName>
    <definedName name="DATA110A">NA()</definedName>
    <definedName name="DATA110B">NA()</definedName>
    <definedName name="DATA110C">NA()</definedName>
    <definedName name="DATA110D">NA()</definedName>
    <definedName name="DATA110E">NA()</definedName>
    <definedName name="DATA110F">NA()</definedName>
    <definedName name="DATA110G">NA()</definedName>
    <definedName name="DATA110H">NA()</definedName>
    <definedName name="DATA110I">NA()</definedName>
    <definedName name="DATA110J">NA()</definedName>
    <definedName name="DATA110K">NA()</definedName>
    <definedName name="DATA110L">NA()</definedName>
    <definedName name="DATA110M">NA()</definedName>
    <definedName name="DATA110N">NA()</definedName>
    <definedName name="DATA110O">NA()</definedName>
    <definedName name="DATA110P">NA()</definedName>
    <definedName name="DATA111A">NA()</definedName>
    <definedName name="DATA111B">NA()</definedName>
    <definedName name="DATA111C">NA()</definedName>
    <definedName name="DATA111D">NA()</definedName>
    <definedName name="DATA111E">NA()</definedName>
    <definedName name="DATA111F">NA()</definedName>
    <definedName name="DATA111G">NA()</definedName>
    <definedName name="DATA111H">NA()</definedName>
    <definedName name="DATA111I">NA()</definedName>
    <definedName name="DATA111J">NA()</definedName>
    <definedName name="DATA111K">NA()</definedName>
    <definedName name="DATA111L">NA()</definedName>
    <definedName name="DATA111M">NA()</definedName>
    <definedName name="DATA111N">NA()</definedName>
    <definedName name="DATA111O">NA()</definedName>
    <definedName name="DATA111P">NA()</definedName>
    <definedName name="DATA112A">NA()</definedName>
    <definedName name="DATA112B">NA()</definedName>
    <definedName name="DATA112C">NA()</definedName>
    <definedName name="DATA112D">NA()</definedName>
    <definedName name="DATA112E">NA()</definedName>
    <definedName name="DATA112F">NA()</definedName>
    <definedName name="DATA112G">NA()</definedName>
    <definedName name="DATA112H">NA()</definedName>
    <definedName name="DATA112I">NA()</definedName>
    <definedName name="DATA112J">NA()</definedName>
    <definedName name="DATA112K">NA()</definedName>
    <definedName name="DATA112L">NA()</definedName>
    <definedName name="DATA112M">NA()</definedName>
    <definedName name="DATA112N">NA()</definedName>
    <definedName name="DATA112O">NA()</definedName>
    <definedName name="DATA112P">NA()</definedName>
    <definedName name="DATA113A">NA()</definedName>
    <definedName name="DATA113B">NA()</definedName>
    <definedName name="DATA113C">NA()</definedName>
    <definedName name="DATA113D">NA()</definedName>
    <definedName name="DATA113E">NA()</definedName>
    <definedName name="DATA113F">NA()</definedName>
    <definedName name="DATA113G">NA()</definedName>
    <definedName name="DATA113H">NA()</definedName>
    <definedName name="DATA113I">NA()</definedName>
    <definedName name="DATA113J">NA()</definedName>
    <definedName name="DATA113K">NA()</definedName>
    <definedName name="DATA114">NA()</definedName>
    <definedName name="DATA114A">NA()</definedName>
    <definedName name="DATA115">NA()</definedName>
    <definedName name="DATA116">NA()</definedName>
    <definedName name="DATA117">NA()</definedName>
    <definedName name="DATA118">NA()</definedName>
    <definedName name="DATA119">NA()</definedName>
    <definedName name="DATA12">NA()</definedName>
    <definedName name="DATA120">NA()</definedName>
    <definedName name="DATA121">NA()</definedName>
    <definedName name="DATA122">NA()</definedName>
    <definedName name="DATA123">NA()</definedName>
    <definedName name="DATA124">NA()</definedName>
    <definedName name="DATA125">NA()</definedName>
    <definedName name="DATA126">NA()</definedName>
    <definedName name="DATA127A">NA()</definedName>
    <definedName name="DATA127B">NA()</definedName>
    <definedName name="DATA127C">NA()</definedName>
    <definedName name="DATA127D">NA()</definedName>
    <definedName name="DATA127E">NA()</definedName>
    <definedName name="DATA127F">NA()</definedName>
    <definedName name="DATA127G">NA()</definedName>
    <definedName name="DATA127H">NA()</definedName>
    <definedName name="DATA127I">NA()</definedName>
    <definedName name="DATA127J">NA()</definedName>
    <definedName name="DATA128A">NA()</definedName>
    <definedName name="DATA128B">NA()</definedName>
    <definedName name="DATA128C">NA()</definedName>
    <definedName name="DATA128D">NA()</definedName>
    <definedName name="DATA128E">NA()</definedName>
    <definedName name="DATA128F">NA()</definedName>
    <definedName name="DATA128G">NA()</definedName>
    <definedName name="DATA129A">NA()</definedName>
    <definedName name="DATA129B">NA()</definedName>
    <definedName name="DATA129C">NA()</definedName>
    <definedName name="DATA129D">NA()</definedName>
    <definedName name="DATA13">NA()</definedName>
    <definedName name="DATA130A">NA()</definedName>
    <definedName name="DATA130B">NA()</definedName>
    <definedName name="DATA131">NA()</definedName>
    <definedName name="DATA132">NA()</definedName>
    <definedName name="DATA133">NA()</definedName>
    <definedName name="DATA134110">NA()</definedName>
    <definedName name="DATA134125">NA()</definedName>
    <definedName name="DATA134140">NA()</definedName>
    <definedName name="DATA134160">NA()</definedName>
    <definedName name="DATA134180">NA()</definedName>
    <definedName name="DATA134200">NA()</definedName>
    <definedName name="DATA134225">NA()</definedName>
    <definedName name="DATA134250">NA()</definedName>
    <definedName name="DATA134280">NA()</definedName>
    <definedName name="DATA134315">NA()</definedName>
    <definedName name="DATA134355">NA()</definedName>
    <definedName name="DATA134400">NA()</definedName>
    <definedName name="DATA13450">NA()</definedName>
    <definedName name="DATA13463">NA()</definedName>
    <definedName name="DATA13475">NA()</definedName>
    <definedName name="DATA13490">NA()</definedName>
    <definedName name="DATA135110">NA()</definedName>
    <definedName name="DATA135125">NA()</definedName>
    <definedName name="DATA135140">NA()</definedName>
    <definedName name="DATA135160">NA()</definedName>
    <definedName name="DATA135180">NA()</definedName>
    <definedName name="DATA135200">NA()</definedName>
    <definedName name="DATA135225">NA()</definedName>
    <definedName name="DATA135250">NA()</definedName>
    <definedName name="DATA135280">NA()</definedName>
    <definedName name="DATA135315">NA()</definedName>
    <definedName name="DATA135355">NA()</definedName>
    <definedName name="DATA135400">NA()</definedName>
    <definedName name="DATA13550">NA()</definedName>
    <definedName name="DATA13563">NA()</definedName>
    <definedName name="DATA13575">NA()</definedName>
    <definedName name="DATA13590">NA()</definedName>
    <definedName name="DATA136A">NA()</definedName>
    <definedName name="DATA136B">NA()</definedName>
    <definedName name="DATA136C">NA()</definedName>
    <definedName name="DATA136D">NA()</definedName>
    <definedName name="DATA136E">NA()</definedName>
    <definedName name="DATA136F">NA()</definedName>
    <definedName name="DATA136G">NA()</definedName>
    <definedName name="DATA136H">NA()</definedName>
    <definedName name="DATA136I">NA()</definedName>
    <definedName name="DATA136J">NA()</definedName>
    <definedName name="DATA136K">NA()</definedName>
    <definedName name="DATA136L">NA()</definedName>
    <definedName name="DATA136M">NA()</definedName>
    <definedName name="DATA136N">NA()</definedName>
    <definedName name="DATA136O">NA()</definedName>
    <definedName name="DATA136P">NA()</definedName>
    <definedName name="DATA137I">NA()</definedName>
    <definedName name="DATA137II">NA()</definedName>
    <definedName name="DATA137III">NA()</definedName>
    <definedName name="DATA137IV">NA()</definedName>
    <definedName name="DATA137V">NA()</definedName>
    <definedName name="DATA138I">NA()</definedName>
    <definedName name="DATA138II">NA()</definedName>
    <definedName name="DATA138III">NA()</definedName>
    <definedName name="DATA138IV">NA()</definedName>
    <definedName name="DATA138V">NA()</definedName>
    <definedName name="DATA138VI">NA()</definedName>
    <definedName name="DATA139IX">NA()</definedName>
    <definedName name="DATA139V">NA()</definedName>
    <definedName name="DATA139VI">NA()</definedName>
    <definedName name="DATA139VII">NA()</definedName>
    <definedName name="DATA139VIII">NA()</definedName>
    <definedName name="DATA14">NA()</definedName>
    <definedName name="DATA140I">NA()</definedName>
    <definedName name="DATA140II">NA()</definedName>
    <definedName name="DATA140III">NA()</definedName>
    <definedName name="DATA140IV">NA()</definedName>
    <definedName name="DATA140V">NA()</definedName>
    <definedName name="DATA141I">NA()</definedName>
    <definedName name="DATA141II">NA()</definedName>
    <definedName name="DATA141III">NA()</definedName>
    <definedName name="DATA141IV">NA()</definedName>
    <definedName name="DATA141V">NA()</definedName>
    <definedName name="DATA142I">NA()</definedName>
    <definedName name="DATA142II">NA()</definedName>
    <definedName name="DATA142III">NA()</definedName>
    <definedName name="DATA142IV">NA()</definedName>
    <definedName name="DATA142V">NA()</definedName>
    <definedName name="DATA143">NA()</definedName>
    <definedName name="DATA144">NA()</definedName>
    <definedName name="DATA145">NA()</definedName>
    <definedName name="DATA146">NA()</definedName>
    <definedName name="DATA147">NA()</definedName>
    <definedName name="DATA148">NA()</definedName>
    <definedName name="DATA149">NA()</definedName>
    <definedName name="DATA15">NA()</definedName>
    <definedName name="DATA150">NA()</definedName>
    <definedName name="DATA151A">NA()</definedName>
    <definedName name="DATA151B">NA()</definedName>
    <definedName name="DATA151C">NA()</definedName>
    <definedName name="DATA151D">NA()</definedName>
    <definedName name="DATA152">NA()</definedName>
    <definedName name="DATA153">NA()</definedName>
    <definedName name="DATA154">NA()</definedName>
    <definedName name="DATA155">NA()</definedName>
    <definedName name="DATA156">NA()</definedName>
    <definedName name="DATA157">NA()</definedName>
    <definedName name="DATA158">NA()</definedName>
    <definedName name="DATA159A">NA()</definedName>
    <definedName name="DATA159B">NA()</definedName>
    <definedName name="DATA159C">NA()</definedName>
    <definedName name="DATA159D">NA()</definedName>
    <definedName name="DATA16">NA()</definedName>
    <definedName name="DATA160">NA()</definedName>
    <definedName name="DATA161">NA()</definedName>
    <definedName name="DATA162">NA()</definedName>
    <definedName name="DATA163">NA()</definedName>
    <definedName name="DATA17">NA()</definedName>
    <definedName name="DATA18">NA()</definedName>
    <definedName name="DATA19">NA()</definedName>
    <definedName name="data2">NA()</definedName>
    <definedName name="DATA20">NA()</definedName>
    <definedName name="DATA21">NA()</definedName>
    <definedName name="DATA22">NA()</definedName>
    <definedName name="DATA23">NA()</definedName>
    <definedName name="DATA24">NA()</definedName>
    <definedName name="DATA25">NA()</definedName>
    <definedName name="data25555555">NA()</definedName>
    <definedName name="DATA26">NA()</definedName>
    <definedName name="DATA27">NA()</definedName>
    <definedName name="DATA28">NA()</definedName>
    <definedName name="DATA29">NA()</definedName>
    <definedName name="data3">NA()</definedName>
    <definedName name="DATA30">NA()</definedName>
    <definedName name="DATA31">NA()</definedName>
    <definedName name="DATA32">NA()</definedName>
    <definedName name="DATA33">NA()</definedName>
    <definedName name="DATA34">NA()</definedName>
    <definedName name="DATA35">NA()</definedName>
    <definedName name="DATA36">NA()</definedName>
    <definedName name="DATA37">NA()</definedName>
    <definedName name="DATA38">NA()</definedName>
    <definedName name="DATA39">NA()</definedName>
    <definedName name="DATA4">NA()</definedName>
    <definedName name="DATA40">NA()</definedName>
    <definedName name="DATA41">NA()</definedName>
    <definedName name="DATA42">NA()</definedName>
    <definedName name="DATA43">NA()</definedName>
    <definedName name="DATA44">NA()</definedName>
    <definedName name="DATA45">NA()</definedName>
    <definedName name="DATA46">NA()</definedName>
    <definedName name="DATA47">NA()</definedName>
    <definedName name="DATA48">NA()</definedName>
    <definedName name="DATA49">NA()</definedName>
    <definedName name="DATA5">NA()</definedName>
    <definedName name="DATA50">NA()</definedName>
    <definedName name="DATA51">NA()</definedName>
    <definedName name="DATA52">NA()</definedName>
    <definedName name="DATA53">NA()</definedName>
    <definedName name="DATA54">NA()</definedName>
    <definedName name="DATA55">NA()</definedName>
    <definedName name="DATA56">NA()</definedName>
    <definedName name="DATA57">NA()</definedName>
    <definedName name="DATA58">NA()</definedName>
    <definedName name="DATA59">NA()</definedName>
    <definedName name="DATA6" localSheetId="10">NA()</definedName>
    <definedName name="DATA6">NA()</definedName>
    <definedName name="DATA60">NA()</definedName>
    <definedName name="DATA61">NA()</definedName>
    <definedName name="DATA62">NA()</definedName>
    <definedName name="DATA63">NA()</definedName>
    <definedName name="DATA64">NA()</definedName>
    <definedName name="DATA65">NA()</definedName>
    <definedName name="DATA66">NA()</definedName>
    <definedName name="DATA67">NA()</definedName>
    <definedName name="DATA68">NA()</definedName>
    <definedName name="DATA69">NA()</definedName>
    <definedName name="DATA7">NA()</definedName>
    <definedName name="DATA70">NA()</definedName>
    <definedName name="DATA71">NA()</definedName>
    <definedName name="DATA72">NA()</definedName>
    <definedName name="DATA73">NA()</definedName>
    <definedName name="DATA74">NA()</definedName>
    <definedName name="DATA75">NA()</definedName>
    <definedName name="DATA76">NA()</definedName>
    <definedName name="DATA77A">NA()</definedName>
    <definedName name="DATA77B">NA()</definedName>
    <definedName name="DATA78">NA()</definedName>
    <definedName name="DATA79A">NA()</definedName>
    <definedName name="DATA79B">NA()</definedName>
    <definedName name="DATA79C">NA()</definedName>
    <definedName name="DATA8">NA()</definedName>
    <definedName name="DATA80A">NA()</definedName>
    <definedName name="DATA80B">NA()</definedName>
    <definedName name="DATA80C">NA()</definedName>
    <definedName name="DATA81">NA()</definedName>
    <definedName name="DATA82">NA()</definedName>
    <definedName name="DATA83">NA()</definedName>
    <definedName name="DATA84">NA()</definedName>
    <definedName name="DATA85">NA()</definedName>
    <definedName name="DATA86">NA()</definedName>
    <definedName name="DATA87">NA()</definedName>
    <definedName name="DATA88">NA()</definedName>
    <definedName name="DATA89">NA()</definedName>
    <definedName name="DATA9">NA()</definedName>
    <definedName name="DATA90">NA()</definedName>
    <definedName name="DATA91">NA()</definedName>
    <definedName name="DATA92">NA()</definedName>
    <definedName name="DATA93">NA()</definedName>
    <definedName name="DATA94">NA()</definedName>
    <definedName name="DATA95">NA()</definedName>
    <definedName name="DATA96">NA()</definedName>
    <definedName name="DATA97">NA()</definedName>
    <definedName name="DATA98">NA()</definedName>
    <definedName name="DATA99">NA()</definedName>
    <definedName name="Database_MI">NA()</definedName>
    <definedName name="database1">NA()</definedName>
    <definedName name="datanew">NA()</definedName>
    <definedName name="date" localSheetId="10">NA()</definedName>
    <definedName name="date">"[192]data!#ref!"</definedName>
    <definedName name="Daywork" localSheetId="10">NA()</definedName>
    <definedName name="Daywork">NA()</definedName>
    <definedName name="dbas">NA()</definedName>
    <definedName name="dbbs">NA()</definedName>
    <definedName name="dbbsb">NA()</definedName>
    <definedName name="dbc">NA()</definedName>
    <definedName name="dbd">NA()</definedName>
    <definedName name="dbh">NA()</definedName>
    <definedName name="dbi">NA()</definedName>
    <definedName name="DBM">NA()</definedName>
    <definedName name="dbo">NA()</definedName>
    <definedName name="dbrb">NA()</definedName>
    <definedName name="dbs">NA()</definedName>
    <definedName name="dbsi">NA()</definedName>
    <definedName name="dbst">NA()</definedName>
    <definedName name="dbt">NA()</definedName>
    <definedName name="dc" localSheetId="10">NA()</definedName>
    <definedName name="dc">NA()</definedName>
    <definedName name="dcd">NA()</definedName>
    <definedName name="DD" localSheetId="10">NA()</definedName>
    <definedName name="DD">NA()</definedName>
    <definedName name="ddd" localSheetId="10">NA()</definedName>
    <definedName name="ddd" localSheetId="1">NA()</definedName>
    <definedName name="ddd">NA()</definedName>
    <definedName name="dddd">NA()</definedName>
    <definedName name="ddddd">"[71]material!#ref!"</definedName>
    <definedName name="dddddddd">"[71]material!#ref!"</definedName>
    <definedName name="ddddddddddddd">"[71]material!#ref!"</definedName>
    <definedName name="DDSS">NA()</definedName>
    <definedName name="deaf">NA()</definedName>
    <definedName name="dee" localSheetId="10">NA()</definedName>
    <definedName name="dee">NA()</definedName>
    <definedName name="dee_">NA()</definedName>
    <definedName name="deff">NA()</definedName>
    <definedName name="dem">NA()</definedName>
    <definedName name="Depn" localSheetId="10">NA()</definedName>
    <definedName name="Depn">NA()</definedName>
    <definedName name="depr" localSheetId="10">NA()</definedName>
    <definedName name="depr">NA()</definedName>
    <definedName name="derse" localSheetId="10">NA()</definedName>
    <definedName name="derse">"[199]lead!#ref!"</definedName>
    <definedName name="DES" localSheetId="10">NA()</definedName>
    <definedName name="DES">NA()</definedName>
    <definedName name="DES_10" localSheetId="10">NA()</definedName>
    <definedName name="DES_10">NA()</definedName>
    <definedName name="DESC1">NA()</definedName>
    <definedName name="DESC10">NA()</definedName>
    <definedName name="DESC100">NA()</definedName>
    <definedName name="DESC101">NA()</definedName>
    <definedName name="DESC1011">NA()</definedName>
    <definedName name="DESC1012">NA()</definedName>
    <definedName name="DESC1013">NA()</definedName>
    <definedName name="DESC1014">NA()</definedName>
    <definedName name="DESC1015">NA()</definedName>
    <definedName name="DESC102">NA()</definedName>
    <definedName name="DESC103">NA()</definedName>
    <definedName name="DESC104">NA()</definedName>
    <definedName name="DESC105">NA()</definedName>
    <definedName name="DESC106">NA()</definedName>
    <definedName name="DESC107">NA()</definedName>
    <definedName name="DESC107A">NA()</definedName>
    <definedName name="DESC107B">NA()</definedName>
    <definedName name="DESC107C">NA()</definedName>
    <definedName name="DESC107D">NA()</definedName>
    <definedName name="DESC107E">NA()</definedName>
    <definedName name="DESC107F">NA()</definedName>
    <definedName name="DESC107G">NA()</definedName>
    <definedName name="DESC108">NA()</definedName>
    <definedName name="DESC108A">NA()</definedName>
    <definedName name="DESC108B">NA()</definedName>
    <definedName name="DESC108C">NA()</definedName>
    <definedName name="DESC108D">NA()</definedName>
    <definedName name="DESC108E">NA()</definedName>
    <definedName name="DESC108F">NA()</definedName>
    <definedName name="DESC108G">NA()</definedName>
    <definedName name="DESC108H">NA()</definedName>
    <definedName name="DESC108I">NA()</definedName>
    <definedName name="DESC108J">NA()</definedName>
    <definedName name="DESC108K">NA()</definedName>
    <definedName name="DESC108L">NA()</definedName>
    <definedName name="DESC108M">NA()</definedName>
    <definedName name="DESC108N">NA()</definedName>
    <definedName name="DESC108O">NA()</definedName>
    <definedName name="DESC108P">NA()</definedName>
    <definedName name="DESC109">NA()</definedName>
    <definedName name="DESC109A">NA()</definedName>
    <definedName name="DESC109B">NA()</definedName>
    <definedName name="DESC109C">NA()</definedName>
    <definedName name="DESC109D">NA()</definedName>
    <definedName name="DESC109E">NA()</definedName>
    <definedName name="DESC109F">NA()</definedName>
    <definedName name="DESC109G">NA()</definedName>
    <definedName name="DESC109H">NA()</definedName>
    <definedName name="DESC109I">NA()</definedName>
    <definedName name="DESC109J">NA()</definedName>
    <definedName name="DESC109K">NA()</definedName>
    <definedName name="DESC109L">NA()</definedName>
    <definedName name="DESC109M">NA()</definedName>
    <definedName name="DESC109N">NA()</definedName>
    <definedName name="DESC109O">NA()</definedName>
    <definedName name="DESC109P">NA()</definedName>
    <definedName name="DESC11">NA()</definedName>
    <definedName name="DESC110">NA()</definedName>
    <definedName name="DESC110A">NA()</definedName>
    <definedName name="DESC110B">NA()</definedName>
    <definedName name="DESC110C">NA()</definedName>
    <definedName name="DESC110D">NA()</definedName>
    <definedName name="DESC110E">NA()</definedName>
    <definedName name="DESC110F">NA()</definedName>
    <definedName name="DESC110G">NA()</definedName>
    <definedName name="DESC110H">NA()</definedName>
    <definedName name="DESC110I">NA()</definedName>
    <definedName name="DESC110J">NA()</definedName>
    <definedName name="DESC110K">NA()</definedName>
    <definedName name="DESC110L">NA()</definedName>
    <definedName name="DESC110M">NA()</definedName>
    <definedName name="DESC110N">NA()</definedName>
    <definedName name="DESC110O">NA()</definedName>
    <definedName name="DESC110P">NA()</definedName>
    <definedName name="DESC111">NA()</definedName>
    <definedName name="DESC111A">NA()</definedName>
    <definedName name="DESC111B">NA()</definedName>
    <definedName name="DESC111C">NA()</definedName>
    <definedName name="DESC111D">NA()</definedName>
    <definedName name="DESC111E">NA()</definedName>
    <definedName name="DESC111F">NA()</definedName>
    <definedName name="DESC111G">NA()</definedName>
    <definedName name="DESC111H">NA()</definedName>
    <definedName name="DESC111I">NA()</definedName>
    <definedName name="DESC111J">NA()</definedName>
    <definedName name="DESC111K">NA()</definedName>
    <definedName name="DESC111L">NA()</definedName>
    <definedName name="DESC111M">NA()</definedName>
    <definedName name="DESC111N">NA()</definedName>
    <definedName name="DESC111O">NA()</definedName>
    <definedName name="DESC111P">NA()</definedName>
    <definedName name="DESC112">NA()</definedName>
    <definedName name="DESC112A">NA()</definedName>
    <definedName name="DESC112B">NA()</definedName>
    <definedName name="DESC112C">NA()</definedName>
    <definedName name="DESC112D">NA()</definedName>
    <definedName name="DESC112E">NA()</definedName>
    <definedName name="DESC112F">NA()</definedName>
    <definedName name="DESC112G">NA()</definedName>
    <definedName name="DESC112H">NA()</definedName>
    <definedName name="DESC112I">NA()</definedName>
    <definedName name="DESC112J">NA()</definedName>
    <definedName name="DESC112K">NA()</definedName>
    <definedName name="DESC112L">NA()</definedName>
    <definedName name="DESC112M">NA()</definedName>
    <definedName name="DESC112N">NA()</definedName>
    <definedName name="DESC112O">NA()</definedName>
    <definedName name="DESC112P">NA()</definedName>
    <definedName name="DESC113">NA()</definedName>
    <definedName name="DESC113A">NA()</definedName>
    <definedName name="DESC113B">NA()</definedName>
    <definedName name="DESC113C">NA()</definedName>
    <definedName name="DESC113D">NA()</definedName>
    <definedName name="DESC113E">NA()</definedName>
    <definedName name="DESC113F">NA()</definedName>
    <definedName name="DESC113G">NA()</definedName>
    <definedName name="DESC113H">NA()</definedName>
    <definedName name="DESC113I">NA()</definedName>
    <definedName name="DESC113J">NA()</definedName>
    <definedName name="DESC113K">NA()</definedName>
    <definedName name="DESC114">NA()</definedName>
    <definedName name="DESC115">NA()</definedName>
    <definedName name="DESC116">NA()</definedName>
    <definedName name="DESC117">NA()</definedName>
    <definedName name="DESC118">NA()</definedName>
    <definedName name="DESC119">NA()</definedName>
    <definedName name="DESC12">NA()</definedName>
    <definedName name="DESC120">NA()</definedName>
    <definedName name="DESC121">NA()</definedName>
    <definedName name="DESC122">NA()</definedName>
    <definedName name="DESC123">NA()</definedName>
    <definedName name="DESC124">NA()</definedName>
    <definedName name="DESC125">NA()</definedName>
    <definedName name="DESC126">NA()</definedName>
    <definedName name="DESC127">NA()</definedName>
    <definedName name="DESC127A">NA()</definedName>
    <definedName name="DESC127B">NA()</definedName>
    <definedName name="DESC127C">NA()</definedName>
    <definedName name="DESC127D">NA()</definedName>
    <definedName name="DESC127E">NA()</definedName>
    <definedName name="DESC127F">NA()</definedName>
    <definedName name="DESC127G">NA()</definedName>
    <definedName name="DESC127H">NA()</definedName>
    <definedName name="DESC127I">NA()</definedName>
    <definedName name="DESC127J">NA()</definedName>
    <definedName name="DESC128">NA()</definedName>
    <definedName name="DESC128A">NA()</definedName>
    <definedName name="DESC128B">NA()</definedName>
    <definedName name="DESC128C">NA()</definedName>
    <definedName name="DESC128D">NA()</definedName>
    <definedName name="DESC128E">NA()</definedName>
    <definedName name="DESC128F">NA()</definedName>
    <definedName name="DESC128G">NA()</definedName>
    <definedName name="DESC129">NA()</definedName>
    <definedName name="DESC129A">NA()</definedName>
    <definedName name="DESC129B">NA()</definedName>
    <definedName name="DESC129C">NA()</definedName>
    <definedName name="DESC129D">NA()</definedName>
    <definedName name="DESC13">NA()</definedName>
    <definedName name="DESC130">NA()</definedName>
    <definedName name="DESC130A">NA()</definedName>
    <definedName name="DESC130B">NA()</definedName>
    <definedName name="DESC131">NA()</definedName>
    <definedName name="DESC132">NA()</definedName>
    <definedName name="DESC133">NA()</definedName>
    <definedName name="DESC14">NA()</definedName>
    <definedName name="DESC143">NA()</definedName>
    <definedName name="DESC144">NA()</definedName>
    <definedName name="DESC145">NA()</definedName>
    <definedName name="DESC146">NA()</definedName>
    <definedName name="DESC147">NA()</definedName>
    <definedName name="DESC148">NA()</definedName>
    <definedName name="DESC149">NA()</definedName>
    <definedName name="DESC15">NA()</definedName>
    <definedName name="DESC150">NA()</definedName>
    <definedName name="DESC151">NA()</definedName>
    <definedName name="DESC151A">NA()</definedName>
    <definedName name="DESC151B">NA()</definedName>
    <definedName name="DESC151C">NA()</definedName>
    <definedName name="DESC151D">NA()</definedName>
    <definedName name="DESC152">NA()</definedName>
    <definedName name="DESC153">NA()</definedName>
    <definedName name="DESC154">NA()</definedName>
    <definedName name="DESC155">NA()</definedName>
    <definedName name="DESC156">NA()</definedName>
    <definedName name="DESC157">NA()</definedName>
    <definedName name="DESC158">NA()</definedName>
    <definedName name="DESC16">NA()</definedName>
    <definedName name="DESC17">NA()</definedName>
    <definedName name="DESC18">NA()</definedName>
    <definedName name="DESC19">NA()</definedName>
    <definedName name="DESC2">NA()</definedName>
    <definedName name="DESC20">NA()</definedName>
    <definedName name="DESC21">NA()</definedName>
    <definedName name="DESC22">NA()</definedName>
    <definedName name="DESC23">NA()</definedName>
    <definedName name="DESC24">NA()</definedName>
    <definedName name="DESC25">NA()</definedName>
    <definedName name="DESC26">NA()</definedName>
    <definedName name="DESC27">NA()</definedName>
    <definedName name="DESC28">NA()</definedName>
    <definedName name="DESC29">NA()</definedName>
    <definedName name="DESC3">NA()</definedName>
    <definedName name="DESC30">NA()</definedName>
    <definedName name="DESC31">NA()</definedName>
    <definedName name="DESC32">NA()</definedName>
    <definedName name="DESC33">NA()</definedName>
    <definedName name="DESC34">NA()</definedName>
    <definedName name="DESC35">NA()</definedName>
    <definedName name="DESC36">NA()</definedName>
    <definedName name="DESC37">NA()</definedName>
    <definedName name="DESC38">NA()</definedName>
    <definedName name="DESC39">NA()</definedName>
    <definedName name="DESC4">NA()</definedName>
    <definedName name="DESC40">NA()</definedName>
    <definedName name="DESC41">NA()</definedName>
    <definedName name="DESC42">NA()</definedName>
    <definedName name="DESC43">NA()</definedName>
    <definedName name="DESC44">NA()</definedName>
    <definedName name="DESC45">NA()</definedName>
    <definedName name="DESC46">NA()</definedName>
    <definedName name="DESC47">NA()</definedName>
    <definedName name="DESC48">NA()</definedName>
    <definedName name="DESC49">NA()</definedName>
    <definedName name="DESC5">NA()</definedName>
    <definedName name="DESC50">NA()</definedName>
    <definedName name="DESC51">NA()</definedName>
    <definedName name="DESC52">NA()</definedName>
    <definedName name="DESC53">NA()</definedName>
    <definedName name="DESC54">NA()</definedName>
    <definedName name="DESC55">NA()</definedName>
    <definedName name="DESC56">NA()</definedName>
    <definedName name="DESC57">NA()</definedName>
    <definedName name="DESC58">NA()</definedName>
    <definedName name="DESC59">NA()</definedName>
    <definedName name="DESC6">NA()</definedName>
    <definedName name="DESC60">NA()</definedName>
    <definedName name="DESC61">NA()</definedName>
    <definedName name="DESC62">NA()</definedName>
    <definedName name="DESC63">NA()</definedName>
    <definedName name="DESC64">NA()</definedName>
    <definedName name="DESC65">NA()</definedName>
    <definedName name="DESC66">NA()</definedName>
    <definedName name="DESC67">NA()</definedName>
    <definedName name="DESC68">NA()</definedName>
    <definedName name="DESC69">NA()</definedName>
    <definedName name="DESC7">NA()</definedName>
    <definedName name="DESC70">NA()</definedName>
    <definedName name="DESC71">NA()</definedName>
    <definedName name="DESC72">NA()</definedName>
    <definedName name="DESC73">NA()</definedName>
    <definedName name="DESC74">NA()</definedName>
    <definedName name="DESC75">NA()</definedName>
    <definedName name="DESC76">NA()</definedName>
    <definedName name="DESC77">NA()</definedName>
    <definedName name="DESC78">NA()</definedName>
    <definedName name="DESC79">NA()</definedName>
    <definedName name="DESC79A">NA()</definedName>
    <definedName name="DESC79B">NA()</definedName>
    <definedName name="DESC79C">NA()</definedName>
    <definedName name="DESC8">NA()</definedName>
    <definedName name="DESC80">NA()</definedName>
    <definedName name="DESC80A">NA()</definedName>
    <definedName name="DESC80B">NA()</definedName>
    <definedName name="DESC80C">NA()</definedName>
    <definedName name="DESC81">NA()</definedName>
    <definedName name="DESC82">NA()</definedName>
    <definedName name="DESC83">NA()</definedName>
    <definedName name="DESC84">NA()</definedName>
    <definedName name="DESC85">NA()</definedName>
    <definedName name="DESC86">NA()</definedName>
    <definedName name="DESC87">NA()</definedName>
    <definedName name="DESC88">NA()</definedName>
    <definedName name="DESC89">NA()</definedName>
    <definedName name="DESC9">NA()</definedName>
    <definedName name="DESC90">NA()</definedName>
    <definedName name="DESC91">NA()</definedName>
    <definedName name="DESC92">NA()</definedName>
    <definedName name="DESC93">NA()</definedName>
    <definedName name="DESC94">NA()</definedName>
    <definedName name="DESC95">NA()</definedName>
    <definedName name="DESC96">NA()</definedName>
    <definedName name="DESC97">NA()</definedName>
    <definedName name="DESC98">NA()</definedName>
    <definedName name="DESC99">NA()</definedName>
    <definedName name="designed" localSheetId="10">NA()</definedName>
    <definedName name="designed">NA()</definedName>
    <definedName name="DetEst">NA()</definedName>
    <definedName name="df" localSheetId="10">NA()</definedName>
    <definedName name="df">"[93]data!#ref!"</definedName>
    <definedName name="dfas" localSheetId="10">NA()</definedName>
    <definedName name="dfas">NA()</definedName>
    <definedName name="dfdd">NA()</definedName>
    <definedName name="dfdddd">NA()</definedName>
    <definedName name="dfdf">NA()</definedName>
    <definedName name="dfdfd">NA()</definedName>
    <definedName name="dfds">NA()</definedName>
    <definedName name="dfef">"[206]lead!#ref!"</definedName>
    <definedName name="dffg">NA()</definedName>
    <definedName name="dffggff" localSheetId="10">NA()</definedName>
    <definedName name="dffggff">NA()</definedName>
    <definedName name="dfgdg" localSheetId="10">NA()</definedName>
    <definedName name="dfgdg">NA()</definedName>
    <definedName name="dfgh">NA()</definedName>
    <definedName name="dfghtjitujyi5ryhfrth" localSheetId="10">NA()</definedName>
    <definedName name="dfghtjitujyi5ryhfrth">NA()</definedName>
    <definedName name="dfgyhf" localSheetId="10">NA()</definedName>
    <definedName name="dfgyhf">NA()</definedName>
    <definedName name="dfhdf">NA()</definedName>
    <definedName name="DFSDGFG" localSheetId="10">NA()</definedName>
    <definedName name="DFSDGFG">NA()</definedName>
    <definedName name="dfsf" localSheetId="10">NA()</definedName>
    <definedName name="dfsf">NA()</definedName>
    <definedName name="dg" localSheetId="10">NA()</definedName>
    <definedName name="dg">NA()</definedName>
    <definedName name="DGFD">NA()</definedName>
    <definedName name="dghh" localSheetId="10">NA()</definedName>
    <definedName name="dghh">NA()</definedName>
    <definedName name="dgl">NA()</definedName>
    <definedName name="dhshdjkdhj">"[71]material!#ref!"</definedName>
    <definedName name="Di" localSheetId="10">NA()</definedName>
    <definedName name="DI">NA()</definedName>
    <definedName name="DIA_SSF">NA()</definedName>
    <definedName name="DIAA" localSheetId="10">NA()</definedName>
    <definedName name="DIAA">NA()</definedName>
    <definedName name="diff_20ab">NA()</definedName>
    <definedName name="dipu">NA()</definedName>
    <definedName name="dis">0.5</definedName>
    <definedName name="Discount">NA()</definedName>
    <definedName name="display_area_2">NA()</definedName>
    <definedName name="dist" localSheetId="10">NA()</definedName>
    <definedName name="dist">NA()</definedName>
    <definedName name="Dist_Abstract" localSheetId="10">NA()</definedName>
    <definedName name="Dist_Abstract">NA()</definedName>
    <definedName name="djb" localSheetId="10">NA()</definedName>
    <definedName name="djb">NA()</definedName>
    <definedName name="DJD" localSheetId="10">NA()</definedName>
    <definedName name="DJD">NA()</definedName>
    <definedName name="DJE">NA()</definedName>
    <definedName name="DM" localSheetId="10">NA()</definedName>
    <definedName name="DM">NA()</definedName>
    <definedName name="Dname" localSheetId="10">NA()</definedName>
    <definedName name="Dname">NA()</definedName>
    <definedName name="dndfh" localSheetId="10">NA()</definedName>
    <definedName name="dndfh">NA()</definedName>
    <definedName name="do_ar" localSheetId="10">NA()</definedName>
    <definedName name="doar" localSheetId="10">NA()</definedName>
    <definedName name="docu" localSheetId="10">NA()</definedName>
    <definedName name="docu">NA()</definedName>
    <definedName name="door_one_m" localSheetId="10">NA()</definedName>
    <definedName name="door_one_m">NA()</definedName>
    <definedName name="door_toilet" localSheetId="10">NA()</definedName>
    <definedName name="door_toilet">NA()</definedName>
    <definedName name="doordata3">NA()</definedName>
    <definedName name="DOW_CORNING_789_SILICONE_SEALANT" localSheetId="10">NA()</definedName>
    <definedName name="DOW_CORNING_789_SILICONE_SEALANT">NA()</definedName>
    <definedName name="DOW_CORNING_789_SILICONE_SEALANT_8" localSheetId="10">NA()</definedName>
    <definedName name="DOW_CORNING_789_SILICONE_SEALANT_8">NA()</definedName>
    <definedName name="DPCV">NA()</definedName>
    <definedName name="DPP">NA()</definedName>
    <definedName name="dq" localSheetId="10">NA()</definedName>
    <definedName name="dq">NA()</definedName>
    <definedName name="drain">NA()</definedName>
    <definedName name="DRAWINGS" localSheetId="10">NA()</definedName>
    <definedName name="DRAWINGS">NA()</definedName>
    <definedName name="DRAWINGS_I" localSheetId="10">NA()</definedName>
    <definedName name="DRAWINGS_I">NA()</definedName>
    <definedName name="dreq">NA()</definedName>
    <definedName name="drgfuj">NA()</definedName>
    <definedName name="Drilling_holes_in_hard_rock__sheet_rock_with_pnuematic_compressor_including_grouting_the_holes_with_neat_cement_slurry__excluding_cost_of_steel_and_its_fabrication_charges" localSheetId="10">NA()</definedName>
    <definedName name="Drilling_holes_in_hard_rock__sheet_rock_with_pnuematic_compressor_including_grouting_the_holes_with_neat_cement_slurry__excluding_cost_of_steel_and_its_fabrication_charges">NA()</definedName>
    <definedName name="DRINKING" localSheetId="10">NA()</definedName>
    <definedName name="DRINKING">"[113]data.f8.btr!#ref!"</definedName>
    <definedName name="drr_hire">NA()</definedName>
    <definedName name="DRY_ROLLING">NA()</definedName>
    <definedName name="Dry_rough_stone_revetment_for__aprons_and_stacking_within_40_metres">NA()</definedName>
    <definedName name="dryrolling">NA()</definedName>
    <definedName name="ds" localSheetId="10">NA()</definedName>
    <definedName name="ds">NA()</definedName>
    <definedName name="DSA">NA()</definedName>
    <definedName name="dsd">NA()</definedName>
    <definedName name="dse">"[213]v!#ref!"</definedName>
    <definedName name="dsfd">NA()</definedName>
    <definedName name="dss">NA()</definedName>
    <definedName name="dt" localSheetId="10">NA()</definedName>
    <definedName name="dt">NA()</definedName>
    <definedName name="Dt_" localSheetId="10">NA()</definedName>
    <definedName name="dt_">"[214]data!#ref!"</definedName>
    <definedName name="dtn">"[215]data!#ref!"</definedName>
    <definedName name="dtrb">NA()</definedName>
    <definedName name="DTS_APTS" localSheetId="10">NA()</definedName>
    <definedName name="DTS_APTS">NA()</definedName>
    <definedName name="DTS_BT6" localSheetId="10">NA()</definedName>
    <definedName name="DTS_BT6">NA()</definedName>
    <definedName name="DTS_BT8" localSheetId="10">NA()</definedName>
    <definedName name="DTS_BT8">NA()</definedName>
    <definedName name="DTS_BTE" localSheetId="10">NA()</definedName>
    <definedName name="DTS_BTE">NA()</definedName>
    <definedName name="DTS_C1" localSheetId="10">NA()</definedName>
    <definedName name="DTS_C1">NA()</definedName>
    <definedName name="DTS_CC" localSheetId="10">NA()</definedName>
    <definedName name="DTS_CC">NA()</definedName>
    <definedName name="DTS_CEM" localSheetId="10">NA()</definedName>
    <definedName name="DTS_CEM">NA()</definedName>
    <definedName name="DTS_ECV" localSheetId="10">NA()</definedName>
    <definedName name="DTS_ECV">NA()</definedName>
    <definedName name="DTS_EMD" localSheetId="10">NA()</definedName>
    <definedName name="DTS_EMD">NA()</definedName>
    <definedName name="DTS_EW" localSheetId="10">NA()</definedName>
    <definedName name="DTS_EW">NA()</definedName>
    <definedName name="DTS_GSB" localSheetId="10">NA()</definedName>
    <definedName name="DTS_GSB">NA()</definedName>
    <definedName name="DTS_HYSD" localSheetId="10">NA()</definedName>
    <definedName name="DTS_HYSD">NA()</definedName>
    <definedName name="DTS_LIQ" localSheetId="10">NA()</definedName>
    <definedName name="DTS_LIQ">NA()</definedName>
    <definedName name="DTS_MSS" localSheetId="10">NA()</definedName>
    <definedName name="DTS_MSS">NA()</definedName>
    <definedName name="DTS_PER" localSheetId="10">NA()</definedName>
    <definedName name="DTS_PER">NA()</definedName>
    <definedName name="DTS_REG" localSheetId="10">NA()</definedName>
    <definedName name="DTS_REG">NA()</definedName>
    <definedName name="DTS_SIM" localSheetId="10">NA()</definedName>
    <definedName name="DTS_SIM">NA()</definedName>
    <definedName name="DTS_VRCC" localSheetId="10">NA()</definedName>
    <definedName name="DTS_VRCC">NA()</definedName>
    <definedName name="DTS_WBM" localSheetId="10">NA()</definedName>
    <definedName name="DTS_WBM">NA()</definedName>
    <definedName name="dtt" localSheetId="10">NA()</definedName>
    <definedName name="dtt">NA()</definedName>
    <definedName name="Dtt_" localSheetId="10">NA()</definedName>
    <definedName name="dtt_t" localSheetId="10">NA()</definedName>
    <definedName name="dttt" localSheetId="10">NA()</definedName>
    <definedName name="dw">NA()</definedName>
    <definedName name="DWL">NA()</definedName>
    <definedName name="dwpefb" localSheetId="10">NA()</definedName>
    <definedName name="dwpefb">"[122]process!#ref!"</definedName>
    <definedName name="dwpeld" localSheetId="10">NA()</definedName>
    <definedName name="dwpeld">"[122]process!#ref!"</definedName>
    <definedName name="dwpelw" localSheetId="10">NA()</definedName>
    <definedName name="dwpelw">"[122]process!#ref!"</definedName>
    <definedName name="dx">NA()</definedName>
    <definedName name="E_0_50">NA()</definedName>
    <definedName name="E_01">NA()</definedName>
    <definedName name="E_02">NA()</definedName>
    <definedName name="E_03">NA()</definedName>
    <definedName name="E_04">NA()</definedName>
    <definedName name="E_05">NA()</definedName>
    <definedName name="E_06">NA()</definedName>
    <definedName name="E_07">NA()</definedName>
    <definedName name="E_08">NA()</definedName>
    <definedName name="E_09">NA()</definedName>
    <definedName name="E_10">NA()</definedName>
    <definedName name="E_100">NA()</definedName>
    <definedName name="E_101">NA()</definedName>
    <definedName name="E_102">NA()</definedName>
    <definedName name="E_103">NA()</definedName>
    <definedName name="E_104">NA()</definedName>
    <definedName name="E_105">NA()</definedName>
    <definedName name="E_106">NA()</definedName>
    <definedName name="E_107">NA()</definedName>
    <definedName name="E_108">NA()</definedName>
    <definedName name="E_109">NA()</definedName>
    <definedName name="E_11">NA()</definedName>
    <definedName name="E_110">NA()</definedName>
    <definedName name="E_111">NA()</definedName>
    <definedName name="E_112">NA()</definedName>
    <definedName name="E_113">NA()</definedName>
    <definedName name="E_114">NA()</definedName>
    <definedName name="E_115">NA()</definedName>
    <definedName name="E_116">NA()</definedName>
    <definedName name="E_117">NA()</definedName>
    <definedName name="E_118">NA()</definedName>
    <definedName name="E_119">NA()</definedName>
    <definedName name="E_12">NA()</definedName>
    <definedName name="E_120">NA()</definedName>
    <definedName name="E_121">NA()</definedName>
    <definedName name="E_122">NA()</definedName>
    <definedName name="E_123">NA()</definedName>
    <definedName name="E_124">NA()</definedName>
    <definedName name="E_125">NA()</definedName>
    <definedName name="E_126">NA()</definedName>
    <definedName name="E_127">NA()</definedName>
    <definedName name="E_128">NA()</definedName>
    <definedName name="E_129">NA()</definedName>
    <definedName name="E_13">NA()</definedName>
    <definedName name="E_130">NA()</definedName>
    <definedName name="E_131">NA()</definedName>
    <definedName name="E_132">NA()</definedName>
    <definedName name="E_133">NA()</definedName>
    <definedName name="E_134">NA()</definedName>
    <definedName name="E_135">NA()</definedName>
    <definedName name="E_136">NA()</definedName>
    <definedName name="E_137">NA()</definedName>
    <definedName name="E_138">NA()</definedName>
    <definedName name="E_139">NA()</definedName>
    <definedName name="E_14">NA()</definedName>
    <definedName name="E_140">NA()</definedName>
    <definedName name="E_141">NA()</definedName>
    <definedName name="E_142">NA()</definedName>
    <definedName name="E_143">NA()</definedName>
    <definedName name="E_144">NA()</definedName>
    <definedName name="E_145">NA()</definedName>
    <definedName name="E_146">NA()</definedName>
    <definedName name="E_147">NA()</definedName>
    <definedName name="E_148">NA()</definedName>
    <definedName name="E_149">NA()</definedName>
    <definedName name="E_15">NA()</definedName>
    <definedName name="E_150">NA()</definedName>
    <definedName name="E_16">NA()</definedName>
    <definedName name="E_17">NA()</definedName>
    <definedName name="E_18">NA()</definedName>
    <definedName name="E_19">NA()</definedName>
    <definedName name="E_20">NA()</definedName>
    <definedName name="E_21">NA()</definedName>
    <definedName name="E_22">NA()</definedName>
    <definedName name="E_23">NA()</definedName>
    <definedName name="E_24">NA()</definedName>
    <definedName name="E_25">NA()</definedName>
    <definedName name="E_26">NA()</definedName>
    <definedName name="E_27">NA()</definedName>
    <definedName name="E_28">NA()</definedName>
    <definedName name="E_29">NA()</definedName>
    <definedName name="E_30">NA()</definedName>
    <definedName name="E_31">NA()</definedName>
    <definedName name="E_32">NA()</definedName>
    <definedName name="E_33">NA()</definedName>
    <definedName name="E_34">NA()</definedName>
    <definedName name="E_35">NA()</definedName>
    <definedName name="E_36">NA()</definedName>
    <definedName name="E_37">NA()</definedName>
    <definedName name="E_38">NA()</definedName>
    <definedName name="E_39">NA()</definedName>
    <definedName name="E_40">NA()</definedName>
    <definedName name="E_41">NA()</definedName>
    <definedName name="E_42">NA()</definedName>
    <definedName name="E_43">NA()</definedName>
    <definedName name="E_44">NA()</definedName>
    <definedName name="E_45">NA()</definedName>
    <definedName name="E_46">NA()</definedName>
    <definedName name="E_47">NA()</definedName>
    <definedName name="E_48">NA()</definedName>
    <definedName name="E_49">NA()</definedName>
    <definedName name="E_50">NA()</definedName>
    <definedName name="E_51">NA()</definedName>
    <definedName name="E_52">NA()</definedName>
    <definedName name="E_53">NA()</definedName>
    <definedName name="E_54">NA()</definedName>
    <definedName name="E_55">NA()</definedName>
    <definedName name="E_56">NA()</definedName>
    <definedName name="E_57">NA()</definedName>
    <definedName name="E_58">NA()</definedName>
    <definedName name="E_59">NA()</definedName>
    <definedName name="E_60">NA()</definedName>
    <definedName name="E_61">NA()</definedName>
    <definedName name="E_62">NA()</definedName>
    <definedName name="E_63">NA()</definedName>
    <definedName name="E_64">NA()</definedName>
    <definedName name="E_65">NA()</definedName>
    <definedName name="E_66">NA()</definedName>
    <definedName name="E_67">NA()</definedName>
    <definedName name="E_68">NA()</definedName>
    <definedName name="E_69">NA()</definedName>
    <definedName name="E_70">NA()</definedName>
    <definedName name="E_71">NA()</definedName>
    <definedName name="E_72">NA()</definedName>
    <definedName name="E_73">NA()</definedName>
    <definedName name="E_74">NA()</definedName>
    <definedName name="E_75">NA()</definedName>
    <definedName name="E_76">NA()</definedName>
    <definedName name="E_77">NA()</definedName>
    <definedName name="E_78">NA()</definedName>
    <definedName name="E_79">NA()</definedName>
    <definedName name="E_80">NA()</definedName>
    <definedName name="E_81">NA()</definedName>
    <definedName name="E_82">NA()</definedName>
    <definedName name="E_83">NA()</definedName>
    <definedName name="E_84">NA()</definedName>
    <definedName name="E_85">NA()</definedName>
    <definedName name="E_86">NA()</definedName>
    <definedName name="E_87">NA()</definedName>
    <definedName name="E_88">NA()</definedName>
    <definedName name="E_89">NA()</definedName>
    <definedName name="E_90">NA()</definedName>
    <definedName name="E_91">NA()</definedName>
    <definedName name="E_92">NA()</definedName>
    <definedName name="E_93">NA()</definedName>
    <definedName name="E_94">NA()</definedName>
    <definedName name="E_95">NA()</definedName>
    <definedName name="E_96">NA()</definedName>
    <definedName name="E_97">NA()</definedName>
    <definedName name="E_98">NA()</definedName>
    <definedName name="E_99">NA()</definedName>
    <definedName name="E_W_CARTED_FMC">NA()</definedName>
    <definedName name="E_W_SIDE">NA()</definedName>
    <definedName name="E_W_SIDE_FMC_NO">NA()</definedName>
    <definedName name="E_W_SIDE_FMC_PR">NA()</definedName>
    <definedName name="E_W_SIDE_OMC">NA()</definedName>
    <definedName name="Earth_and_gravel">NA()</definedName>
    <definedName name="earth_lead">NA()</definedName>
    <definedName name="earth_omc">NA()</definedName>
    <definedName name="earth_rate">NA()</definedName>
    <definedName name="earthld" localSheetId="10">NA()</definedName>
    <definedName name="earthld">"[222]leads!#ref!"</definedName>
    <definedName name="EB">NA()</definedName>
    <definedName name="ECV">NA()</definedName>
    <definedName name="ed">NA()</definedName>
    <definedName name="edswi">NA()</definedName>
    <definedName name="Edulapalli" localSheetId="10">NA()</definedName>
    <definedName name="Edulapalli">NA()</definedName>
    <definedName name="ee_">NA()</definedName>
    <definedName name="eee" localSheetId="10">NA()</definedName>
    <definedName name="eee">NA()</definedName>
    <definedName name="eeee" localSheetId="10">NA()</definedName>
    <definedName name="eeee">"[224]boq!#ref!"</definedName>
    <definedName name="eeeee">"[71]works!#ref!"</definedName>
    <definedName name="eeeeeeeeeee">"[71]material!#ref!"</definedName>
    <definedName name="eeeeeeeeeeeeeee">"[71]works!#ref!"</definedName>
    <definedName name="eeerfre">"[71]general!#ref!"</definedName>
    <definedName name="eewr">NA()</definedName>
    <definedName name="eewrer">"[71]rmr!#ref!"</definedName>
    <definedName name="ele">"scheduled_payment"+"extra_payment"</definedName>
    <definedName name="Ele_est" localSheetId="10">NA()</definedName>
    <definedName name="Ele_est">NA()</definedName>
    <definedName name="elec">NA()</definedName>
    <definedName name="ELED">NA()</definedName>
    <definedName name="Email">NA()</definedName>
    <definedName name="EMD" localSheetId="10">NA()</definedName>
    <definedName name="EMD">"[56]boq!#ref!"</definedName>
    <definedName name="EMD_8" localSheetId="10">NA()</definedName>
    <definedName name="EMD_8">"[225]boq!#ref!"</definedName>
    <definedName name="EMMS">"[226]mrates!#ref!"</definedName>
    <definedName name="ENAMEL" localSheetId="10">NA()</definedName>
    <definedName name="enamel_door_paint" localSheetId="10">NA()</definedName>
    <definedName name="enamel_door_paint">NA()</definedName>
    <definedName name="enamel_grill_paint" localSheetId="10">NA()</definedName>
    <definedName name="enamel_grill_paint">NA()</definedName>
    <definedName name="End_Bal" localSheetId="10">NA()</definedName>
    <definedName name="End_Bal">NA()</definedName>
    <definedName name="enter" localSheetId="10">NA()</definedName>
    <definedName name="enter">NA()</definedName>
    <definedName name="er" localSheetId="10">NA()</definedName>
    <definedName name="er">NA()</definedName>
    <definedName name="ers" localSheetId="10">NA()</definedName>
    <definedName name="ers">NA()</definedName>
    <definedName name="ertgdrghfghdsr" localSheetId="10">NA()</definedName>
    <definedName name="ertgdrghfghdsr">NA()</definedName>
    <definedName name="ESSR1">NA()</definedName>
    <definedName name="ESSR10">NA()</definedName>
    <definedName name="ESSR11">NA()</definedName>
    <definedName name="ESSR12">NA()</definedName>
    <definedName name="ESSR13">NA()</definedName>
    <definedName name="ESSR2">NA()</definedName>
    <definedName name="ESSR3">NA()</definedName>
    <definedName name="ESSR4">NA()</definedName>
    <definedName name="ESSR5">NA()</definedName>
    <definedName name="ESSR6">NA()</definedName>
    <definedName name="ESSR7">NA()</definedName>
    <definedName name="ESSR8">NA()</definedName>
    <definedName name="ESSR9">NA()</definedName>
    <definedName name="EST" localSheetId="10">NA()</definedName>
    <definedName name="ESTIMATE1">NA()</definedName>
    <definedName name="estParvathapr">"[130]data!#ref!"</definedName>
    <definedName name="Estskklan">NA()</definedName>
    <definedName name="ESTT">"[229]sheet9!#ref!"</definedName>
    <definedName name="EW" localSheetId="10">NA()</definedName>
    <definedName name="EW">NA()</definedName>
    <definedName name="EW_by_Machine">NA()</definedName>
    <definedName name="EW_SP" localSheetId="10">NA()</definedName>
    <definedName name="EW_SP">NA()</definedName>
    <definedName name="EWCONVEYANCE">NA()</definedName>
    <definedName name="ewe" localSheetId="10">NA()</definedName>
    <definedName name="ewe">NA()</definedName>
    <definedName name="EWRERE" localSheetId="10">NA()</definedName>
    <definedName name="EWRERE">NA()</definedName>
    <definedName name="excavation" localSheetId="10">NA()</definedName>
    <definedName name="excavation">NA()</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 localSheetId="10">NA()</definedName>
    <definedName name="Excavation_for_foundations__substructures__trenches__sumps__tunnels__pits_etc__in_all_types_of_ordinary_and_hard_soils_including_hard_murum__including_necessary_shoring__strutting__stacking_selected_material_for_backfilling_or_disposing_excess_excavated_m">"[235]gbw!#ref!"</definedName>
    <definedName name="Excel_BuiltIn__FilterDatabase_1" localSheetId="10">NA()</definedName>
    <definedName name="Excel_BuiltIn__FilterDatabase_1">NA()</definedName>
    <definedName name="Excel_BuiltIn__FilterDatabase_10" localSheetId="10">NA()</definedName>
    <definedName name="Excel_BuiltIn__FilterDatabase_10">NA()</definedName>
    <definedName name="Excel_BuiltIn__FilterDatabase_2" localSheetId="10">NA()</definedName>
    <definedName name="Excel_BuiltIn__FilterDatabase_2">NA()</definedName>
    <definedName name="Excel_BuiltIn__FilterDatabase_2_1" localSheetId="10">NA()</definedName>
    <definedName name="Excel_BuiltIn__FilterDatabase_2_1">NA()</definedName>
    <definedName name="Excel_BuiltIn__FilterDatabase_3" localSheetId="10">NA()</definedName>
    <definedName name="Excel_BuiltIn__FilterDatabase_3">"[238]oh!#ref!"</definedName>
    <definedName name="Excel_BuiltIn__FilterDatabase_4" localSheetId="10">NA()</definedName>
    <definedName name="Excel_BuiltIn__FilterDatabase_4">NA()</definedName>
    <definedName name="Excel_BuiltIn__FilterDatabase_5">NA()</definedName>
    <definedName name="Excel_BuiltIn__FilterDatabase_6" localSheetId="10">NA()</definedName>
    <definedName name="Excel_BuiltIn__FilterDatabase_6">NA()</definedName>
    <definedName name="Excel_BuiltIn__FilterDatabase_6_1" localSheetId="10">NA()</definedName>
    <definedName name="Excel_BuiltIn__FilterDatabase_6_1">NA()</definedName>
    <definedName name="Excel_BuiltIn__FilterDatabase_6_1_1" localSheetId="10">NA()</definedName>
    <definedName name="Excel_BuiltIn__FilterDatabase_6_1_1">NA()</definedName>
    <definedName name="Excel_BuiltIn__FilterDatabase_6_1_3" localSheetId="10">NA()</definedName>
    <definedName name="Excel_BuiltIn__FilterDatabase_6_1_3">"[239]notes!#ref!"</definedName>
    <definedName name="Excel_BuiltIn_Database" localSheetId="10">NA()</definedName>
    <definedName name="Excel_BuiltIn_Database">NA()</definedName>
    <definedName name="Excel_BuiltIn_Database_1">"'smb://192.168.4.19/texas/BOQ_TEXAS.xls'#$''.$A$3:$S$74"</definedName>
    <definedName name="Excel_BuiltIn_Database_10" localSheetId="10">NA()</definedName>
    <definedName name="Excel_BuiltIn_Database_10">NA()</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 localSheetId="10">NA()</definedName>
    <definedName name="Excel_BuiltIn_Extract">NA()</definedName>
    <definedName name="Excel_BuiltIn_Print_Area" localSheetId="5">'C-data'!$A$1:$I$5053</definedName>
    <definedName name="Excel_BuiltIn_Print_Area" localSheetId="6">Joinery!$A$1:$M$1268</definedName>
    <definedName name="Excel_BuiltIn_Print_Area" localSheetId="4">LEAD!$A$1:$N$49</definedName>
    <definedName name="Excel_BuiltIn_Print_Area" localSheetId="7">'WS Data'!$A$1:$I$509</definedName>
    <definedName name="Excel_BuiltIn_Print_Area_1" localSheetId="10">NA()</definedName>
    <definedName name="Excel_BuiltIn_Print_Area_1">NA()</definedName>
    <definedName name="Excel_BuiltIn_Print_Area_1_1" localSheetId="10">NA()</definedName>
    <definedName name="Excel_BuiltIn_Print_Area_1_1">NA()</definedName>
    <definedName name="Excel_BuiltIn_Print_Area_11_1" localSheetId="10">NA()</definedName>
    <definedName name="Excel_BuiltIn_Print_Area_11_1">NA()</definedName>
    <definedName name="Excel_BuiltIn_Print_Area_2">NA()</definedName>
    <definedName name="Excel_BuiltIn_Print_Area_2_1_1_1">"[243]qty!#ref!"</definedName>
    <definedName name="Excel_BuiltIn_Print_Area_22">NA()</definedName>
    <definedName name="Excel_BuiltIn_Print_Area_23">NA()</definedName>
    <definedName name="Excel_BuiltIn_Print_Area_28">NA()</definedName>
    <definedName name="Excel_BuiltIn_Print_Area_29">NA()</definedName>
    <definedName name="Excel_BuiltIn_Print_Area_3">NA()</definedName>
    <definedName name="Excel_BuiltIn_Print_Area_31">NA()</definedName>
    <definedName name="Excel_BuiltIn_Print_Area_4_1" localSheetId="10">NA()</definedName>
    <definedName name="Excel_BuiltIn_Print_Area_4_1">NA()</definedName>
    <definedName name="Excel_BuiltIn_Print_Area_8" localSheetId="10">NA()</definedName>
    <definedName name="Excel_BuiltIn_Print_Area_8">NA()</definedName>
    <definedName name="Excel_BuiltIn_Print_Titles" localSheetId="5">'C-data'!$24:$24</definedName>
    <definedName name="Excel_BuiltIn_Print_Titles" localSheetId="8">'Civil SoR'!$2:$2</definedName>
    <definedName name="Excel_BuiltIn_Print_Titles" localSheetId="4">LEAD!$3:$5</definedName>
    <definedName name="Excel_BuiltIn_Print_Titles" localSheetId="7">'WS Data'!$3:$3</definedName>
    <definedName name="Excel_BuiltIn_Print_Titles" localSheetId="9">'WS SoR'!$3:$3</definedName>
    <definedName name="Excel_BuiltIn_Print_Titles">NA()</definedName>
    <definedName name="Excel_BuiltIn_Print_Titles_1">NA()</definedName>
    <definedName name="Excel_BuiltIn_Print_Titles_1_1" localSheetId="10">NA()</definedName>
    <definedName name="Excel_BuiltIn_Print_Titles_1_1">NA()</definedName>
    <definedName name="Excel_BuiltIn_Print_Titles_11" localSheetId="10">NA()</definedName>
    <definedName name="Excel_BuiltIn_Print_Titles_11">NA()</definedName>
    <definedName name="Excel_BuiltIn_Print_Titles_11_1" localSheetId="10">NA()</definedName>
    <definedName name="Excel_BuiltIn_Print_Titles_11_1">NA()</definedName>
    <definedName name="Excel_BuiltIn_Print_Titles_14">NA()</definedName>
    <definedName name="Excel_BuiltIn_Print_Titles_2" localSheetId="10">NA()</definedName>
    <definedName name="Excel_BuiltIn_Print_Titles_2">NA()</definedName>
    <definedName name="Excel_BuiltIn_Print_Titles_22">NA()</definedName>
    <definedName name="Excel_BuiltIn_Print_Titles_23">NA()</definedName>
    <definedName name="Excel_BuiltIn_Print_Titles_29">NA()</definedName>
    <definedName name="Excel_BuiltIn_Print_Titles_3" localSheetId="10">NA()</definedName>
    <definedName name="Excel_BuiltIn_Print_Titles_3">NA()</definedName>
    <definedName name="Excel_BuiltIn_Print_Titles_3_1" localSheetId="10">NA()</definedName>
    <definedName name="Excel_BuiltIn_Print_Titles_3_1">NA()</definedName>
    <definedName name="Excel_BuiltIn_Print_Titles_4">NA()</definedName>
    <definedName name="Excel_BuiltIn_Print_Titles_5" localSheetId="10">NA()</definedName>
    <definedName name="Excel_BuiltIn_Print_Titles_5">NA()</definedName>
    <definedName name="Excel_BuiltIn_Print_Titles_6" localSheetId="10">NA()</definedName>
    <definedName name="Excel_BuiltIn_Print_Titles_6">NA()</definedName>
    <definedName name="Excel_BuiltIn_Print_Titles_8">NA()</definedName>
    <definedName name="Excel_BuiltIn_Recorder" localSheetId="10">NA()</definedName>
    <definedName name="Excel_BuiltIn_Recorder">NA()</definedName>
    <definedName name="excf" localSheetId="10">NA()</definedName>
    <definedName name="excf">NA()</definedName>
    <definedName name="ExciseDuty" localSheetId="10">NA()</definedName>
    <definedName name="ExciseDuty">NA()</definedName>
    <definedName name="EXIT" localSheetId="10">NA()</definedName>
    <definedName name="EXIT">NA()</definedName>
    <definedName name="Extra_Pay" localSheetId="10">NA()</definedName>
    <definedName name="Extra_Pay">NA()</definedName>
    <definedName name="f" localSheetId="10">NA()</definedName>
    <definedName name="f">NA()</definedName>
    <definedName name="F_s">NA()</definedName>
    <definedName name="F_s_1">NA()</definedName>
    <definedName name="F2095_3">NA()</definedName>
    <definedName name="faaaaaaaaa" localSheetId="10">NA()</definedName>
    <definedName name="faaaaaaaaa">NA()</definedName>
    <definedName name="fabchr" localSheetId="10">NA()</definedName>
    <definedName name="fabchr">NA()</definedName>
    <definedName name="fabrication">NA()</definedName>
    <definedName name="Fax">NA()</definedName>
    <definedName name="fb">NA()</definedName>
    <definedName name="fbeam" localSheetId="10">NA()</definedName>
    <definedName name="fbeam">NA()</definedName>
    <definedName name="FBEAM1" localSheetId="10">NA()</definedName>
    <definedName name="FBEAM1">NA()</definedName>
    <definedName name="fbl">NA()</definedName>
    <definedName name="FCode">NA()</definedName>
    <definedName name="fd" localSheetId="10">NA()</definedName>
    <definedName name="fd">NA()</definedName>
    <definedName name="fdfd" localSheetId="10">"scheduled_payment"+"extra_payment"</definedName>
    <definedName name="fdfd">"scheduled_payment"+"extra_payment"</definedName>
    <definedName name="FDGF">NA()</definedName>
    <definedName name="fdghgg">NA()</definedName>
    <definedName name="FDR">NA()</definedName>
    <definedName name="fdrop" localSheetId="10">NA()</definedName>
    <definedName name="fdrop">NA()</definedName>
    <definedName name="fdrop1" localSheetId="10">NA()</definedName>
    <definedName name="fdrop1">NA()</definedName>
    <definedName name="FDROP11" localSheetId="10">NA()</definedName>
    <definedName name="FDROP11">NA()</definedName>
    <definedName name="FDROP2" localSheetId="10">NA()</definedName>
    <definedName name="FDROP2">NA()</definedName>
    <definedName name="fdsg" localSheetId="10">NA()</definedName>
    <definedName name="fdsg">NA()</definedName>
    <definedName name="fe" localSheetId="10">NA()</definedName>
    <definedName name="fe">NA()</definedName>
    <definedName name="Fe_m" localSheetId="10">NA()</definedName>
    <definedName name="Fem" localSheetId="10">NA()</definedName>
    <definedName name="female" localSheetId="10">NA()</definedName>
    <definedName name="ferwgergtg">"[71]data!#ref!"</definedName>
    <definedName name="fewfgregr">"[71]data!#ref!"</definedName>
    <definedName name="FF" localSheetId="10">NA()</definedName>
    <definedName name="FF">"[246]data.f8.btr!#ref!"</definedName>
    <definedName name="ffd" localSheetId="10">"scheduled_payment"+"extra_payment"</definedName>
    <definedName name="ffd">"scheduled_payment"+"extra_payment"</definedName>
    <definedName name="ffdasggfdhj">NA()</definedName>
    <definedName name="fff">NA()</definedName>
    <definedName name="ffff" localSheetId="10">NA()</definedName>
    <definedName name="ffff">NA()</definedName>
    <definedName name="fffff">NA()</definedName>
    <definedName name="fffffff">"[71]works!#ref!"</definedName>
    <definedName name="ffffffff">NA()</definedName>
    <definedName name="fffffffffff">"[71]material!#ref!"</definedName>
    <definedName name="ffffffffffff">"[71]material!#ref!"</definedName>
    <definedName name="ffffffffffffffffffffff">NA()</definedName>
    <definedName name="FFGB5" localSheetId="10">NA()</definedName>
    <definedName name="FFGB5">NA()</definedName>
    <definedName name="fgafgsfgfytssstr" localSheetId="10">NA()</definedName>
    <definedName name="fgafgsfgfytssstr">NA()</definedName>
    <definedName name="FGD">{"'ridftotal'!$A$4:$S$27"}</definedName>
    <definedName name="fgdfgsdg">NA()</definedName>
    <definedName name="fgf" localSheetId="10">NA()</definedName>
    <definedName name="fgf">NA()</definedName>
    <definedName name="fgfg">"[71]material!#ref!"</definedName>
    <definedName name="fgfgfgfgg">"[71]data!#ref!"</definedName>
    <definedName name="fgfgh">NA()</definedName>
    <definedName name="fgfnfgfh">NA()</definedName>
    <definedName name="fgh">NA()</definedName>
    <definedName name="fghdjfhgjf" localSheetId="10">NA()</definedName>
    <definedName name="fghdjfhgjf">NA()</definedName>
    <definedName name="fghfjh">NA()</definedName>
    <definedName name="fghh" localSheetId="10">NA()</definedName>
    <definedName name="fghh">NA()</definedName>
    <definedName name="fhg">NA()</definedName>
    <definedName name="fid" localSheetId="10">NA()</definedName>
    <definedName name="fid">NA()</definedName>
    <definedName name="fifb" localSheetId="10">NA()</definedName>
    <definedName name="fifb">NA()</definedName>
    <definedName name="fil" localSheetId="10">NA()</definedName>
    <definedName name="fil">NA()</definedName>
    <definedName name="filling_earth" localSheetId="10">NA()</definedName>
    <definedName name="filling_earth">NA()</definedName>
    <definedName name="filling_gravel" localSheetId="10">NA()</definedName>
    <definedName name="filling_gravel">NA()</definedName>
    <definedName name="fillingsand" localSheetId="10">NA()</definedName>
    <definedName name="fillingsand">NA()</definedName>
    <definedName name="film">NA()</definedName>
    <definedName name="final">NA()</definedName>
    <definedName name="fineaggregate" localSheetId="10">NA()</definedName>
    <definedName name="fineaggregate">NA()</definedName>
    <definedName name="finished" localSheetId="10">NA()</definedName>
    <definedName name="finished">NA()</definedName>
    <definedName name="First">NA()</definedName>
    <definedName name="Fissured_and_fractured_rock_and_boulders_upto_3_cum_in_size_requiring_blasting_including_stacking">NA()</definedName>
    <definedName name="five" localSheetId="10">NA()</definedName>
    <definedName name="five">NA()</definedName>
    <definedName name="fiw" localSheetId="10">NA()</definedName>
    <definedName name="fiw">NA()</definedName>
    <definedName name="fixed_asset" localSheetId="10">NA()</definedName>
    <definedName name="fixed_asset">NA()</definedName>
    <definedName name="fj_100" localSheetId="10">NA()</definedName>
    <definedName name="fj_100">NA()</definedName>
    <definedName name="fj_150" localSheetId="10">NA()</definedName>
    <definedName name="fj_150">NA()</definedName>
    <definedName name="fj_200" localSheetId="10">NA()</definedName>
    <definedName name="fj_200">NA()</definedName>
    <definedName name="fj_25" localSheetId="10">NA()</definedName>
    <definedName name="fj_25">NA()</definedName>
    <definedName name="fj_250" localSheetId="10">NA()</definedName>
    <definedName name="fj_250">NA()</definedName>
    <definedName name="fj_300" localSheetId="10">NA()</definedName>
    <definedName name="fj_300">NA()</definedName>
    <definedName name="fj_32" localSheetId="10">NA()</definedName>
    <definedName name="fj_32">NA()</definedName>
    <definedName name="fj_40" localSheetId="10">NA()</definedName>
    <definedName name="fj_40">NA()</definedName>
    <definedName name="fj_400" localSheetId="10">NA()</definedName>
    <definedName name="fj_400">NA()</definedName>
    <definedName name="fj_50" localSheetId="10">NA()</definedName>
    <definedName name="fj_50">NA()</definedName>
    <definedName name="fj_500" localSheetId="10">NA()</definedName>
    <definedName name="fj_500">NA()</definedName>
    <definedName name="fj_65" localSheetId="10">NA()</definedName>
    <definedName name="fj_65">NA()</definedName>
    <definedName name="fj_80" localSheetId="10">NA()</definedName>
    <definedName name="fj_80">NA()</definedName>
    <definedName name="fl" localSheetId="10">NA()</definedName>
    <definedName name="fl">NA()</definedName>
    <definedName name="flag1" localSheetId="10">NA()</definedName>
    <definedName name="flag1">NA()</definedName>
    <definedName name="fld" localSheetId="10">NA()</definedName>
    <definedName name="fld">NA()</definedName>
    <definedName name="flg" localSheetId="10">NA()</definedName>
    <definedName name="flg">NA()</definedName>
    <definedName name="floor_ceramic" localSheetId="10">NA()</definedName>
    <definedName name="floor_ceramic">NA()</definedName>
    <definedName name="floor_chequered" localSheetId="10">NA()</definedName>
    <definedName name="floor_chequered">NA()</definedName>
    <definedName name="floor_kadapa" localSheetId="10">NA()</definedName>
    <definedName name="floor_kadapa">NA()</definedName>
    <definedName name="floor_shahbad" localSheetId="10">NA()</definedName>
    <definedName name="floor_shahbad">NA()</definedName>
    <definedName name="flushpointing" localSheetId="10">NA()</definedName>
    <definedName name="flushpointing">NA()</definedName>
    <definedName name="fm" localSheetId="10">NA()</definedName>
    <definedName name="fm">NA()</definedName>
    <definedName name="fma">NA()</definedName>
    <definedName name="fmld" localSheetId="10">NA()</definedName>
    <definedName name="fmld">"[122]process!#ref!"</definedName>
    <definedName name="Footings" localSheetId="10">NA()</definedName>
    <definedName name="Footings">NA()</definedName>
    <definedName name="Footings__bed_blocks">"[71]works!#ref!"</definedName>
    <definedName name="For_CC_pavements__wearing_coats__approach__slabs__guide_stone__J__M__stone_etc_">NA()</definedName>
    <definedName name="For_cement_concrete_for_foundation_below_low_water_level">NA()</definedName>
    <definedName name="For_earth_work_excavation_for_foundations_below_low_water_level">NA()</definedName>
    <definedName name="For_mass_concrete_piers__abutments_and_steining_well_curbes__well_caps_etc_">NA()</definedName>
    <definedName name="For_RCC_beams">NA()</definedName>
    <definedName name="For_RCC_deck_slabs">NA()</definedName>
    <definedName name="For_RCC_hand_rails">NA()</definedName>
    <definedName name="For_RCC_piers__abutments__wing_wall___steining__well_curbs__well_caps_etc_">NA()</definedName>
    <definedName name="For_SS_Revetment_work_225__mm">NA()</definedName>
    <definedName name="For_SS_Revetment_work_300__mm">NA()</definedName>
    <definedName name="For_SS_Revetment_work450__mm">NA()</definedName>
    <definedName name="fp">NA()</definedName>
    <definedName name="fpaint">NA()</definedName>
    <definedName name="FREE" localSheetId="10">NA()</definedName>
    <definedName name="FREE">NA()</definedName>
    <definedName name="frncis" localSheetId="10">NA()</definedName>
    <definedName name="frncis">NA()</definedName>
    <definedName name="frncis_2" localSheetId="10">NA()</definedName>
    <definedName name="frncis_2">NA()</definedName>
    <definedName name="frncis_4">"'smb://Planning2/d/ECC%20bbsr/tech/FinalZCR.xls'#$''.$A$20:$AMJ$20"</definedName>
    <definedName name="frncis_5">"'smb://Planning2/d/ECC%20bbsr/tech/FinalZCR.xls'#$''.$A$20:$AMJ$20"</definedName>
    <definedName name="frncis_6">"'smb://Planning2/d/ECC%20bbsr/tech/FinalZCR.xls'#$''.$A$20:$AMJ$20"</definedName>
    <definedName name="front" localSheetId="10">NA()</definedName>
    <definedName name="front">NA()</definedName>
    <definedName name="Front_End_Roller">NA()</definedName>
    <definedName name="front1" localSheetId="10">NA()</definedName>
    <definedName name="front1">NA()</definedName>
    <definedName name="FRONT11" localSheetId="10">NA()</definedName>
    <definedName name="FRONT11">NA()</definedName>
    <definedName name="frucis" localSheetId="10">NA()</definedName>
    <definedName name="frucis">NA()</definedName>
    <definedName name="FSAND">"[56]mrates!$g$9"</definedName>
    <definedName name="fsc" localSheetId="10">NA()</definedName>
    <definedName name="fsc">NA()</definedName>
    <definedName name="fsg" localSheetId="10">NA()</definedName>
    <definedName name="fsg">NA()</definedName>
    <definedName name="fslab" localSheetId="10">NA()</definedName>
    <definedName name="fslab">NA()</definedName>
    <definedName name="FSLAB1" localSheetId="10">NA()</definedName>
    <definedName name="FSLAB1">NA()</definedName>
    <definedName name="Full_Print" localSheetId="10">NA()</definedName>
    <definedName name="Full_Print">NA()</definedName>
    <definedName name="furn" localSheetId="10">NA()</definedName>
    <definedName name="furn">NA()</definedName>
    <definedName name="furniture" localSheetId="10">NA()</definedName>
    <definedName name="furniture">NA()</definedName>
    <definedName name="fw" localSheetId="10">NA()</definedName>
    <definedName name="FW">NA()</definedName>
    <definedName name="fwfb" localSheetId="10">NA()</definedName>
    <definedName name="fwfb">"[122]process!#ref!"</definedName>
    <definedName name="fwl" localSheetId="10">NA()</definedName>
    <definedName name="fwl">NA()</definedName>
    <definedName name="fwld" localSheetId="10">NA()</definedName>
    <definedName name="fwld">NA()</definedName>
    <definedName name="fwrfb" localSheetId="10">NA()</definedName>
    <definedName name="fwrfb">"[122]process!#ref!"</definedName>
    <definedName name="fwrl" localSheetId="10">NA()</definedName>
    <definedName name="fwrl">"[122]process!#ref!"</definedName>
    <definedName name="fwrld" localSheetId="10">NA()</definedName>
    <definedName name="fwrld">"[122]process!#ref!"</definedName>
    <definedName name="fwrw" localSheetId="10">NA()</definedName>
    <definedName name="fwrw">"[122]process!#ref!"</definedName>
    <definedName name="fwsfb" localSheetId="10">NA()</definedName>
    <definedName name="fwsfb">"[122]process!#ref!"</definedName>
    <definedName name="fwsl" localSheetId="10">NA()</definedName>
    <definedName name="fwsl">"[122]process!#ref!"</definedName>
    <definedName name="fwsld" localSheetId="10">NA()</definedName>
    <definedName name="fwsld">"[122]process!#ref!"</definedName>
    <definedName name="fwsw" localSheetId="10">NA()</definedName>
    <definedName name="fwsw">"[122]process!#ref!"</definedName>
    <definedName name="fww" localSheetId="10">NA()</definedName>
    <definedName name="fww">NA()</definedName>
    <definedName name="fy">"[130]data!#ref!"</definedName>
    <definedName name="g" localSheetId="10">NA()</definedName>
    <definedName name="g">NA()</definedName>
    <definedName name="G_A">NA()</definedName>
    <definedName name="g_lead">NA()</definedName>
    <definedName name="GA">NA()</definedName>
    <definedName name="gaa" localSheetId="10">NA()</definedName>
    <definedName name="gab" localSheetId="10">NA()</definedName>
    <definedName name="gab">NA()</definedName>
    <definedName name="ganeral" localSheetId="10">NA()</definedName>
    <definedName name="ganeral">"[93]data!#ref!"</definedName>
    <definedName name="gdgdhdhdfhdhdhdh">NA()</definedName>
    <definedName name="gen_name">NA()</definedName>
    <definedName name="general" localSheetId="10">NA()</definedName>
    <definedName name="general">"[128]lead!#ref!"</definedName>
    <definedName name="Generating_get_125_KVA">NA()</definedName>
    <definedName name="Geschäftsbereich" localSheetId="10">NA()</definedName>
    <definedName name="Geschäftsbereich">NA()</definedName>
    <definedName name="gf" localSheetId="10">NA()</definedName>
    <definedName name="gfbeams" localSheetId="10">NA()</definedName>
    <definedName name="gfbeams">NA()</definedName>
    <definedName name="gfd">NA()</definedName>
    <definedName name="gfegg">"[71]data!#ref!"</definedName>
    <definedName name="gfg" localSheetId="10">NA()</definedName>
    <definedName name="gfg">NA()</definedName>
    <definedName name="gg" localSheetId="10">NA()</definedName>
    <definedName name="gggg">NA()</definedName>
    <definedName name="gggggggg">"[71]works!#ref!"</definedName>
    <definedName name="ggggggggggg">"[71]works!#ref!"</definedName>
    <definedName name="ggggggggggggg">"[71]works!#ref!"</definedName>
    <definedName name="ggggggggggggggg">"[71]material!#ref!"</definedName>
    <definedName name="ggjh">NA()</definedName>
    <definedName name="GH">NA()</definedName>
    <definedName name="ghdfghdf" localSheetId="10">NA()</definedName>
    <definedName name="ghdfghdf">NA()</definedName>
    <definedName name="GHGH">"'[112]tbal9697 -group wise  sdpl'!$a$34"</definedName>
    <definedName name="ghjgjh">NA()</definedName>
    <definedName name="GHJK">{"'ridftotal'!$A$4:$S$27"}</definedName>
    <definedName name="GHJKJK">{"'ridftotal'!$A$4:$S$27"}</definedName>
    <definedName name="GI">NA()</definedName>
    <definedName name="gi_100" localSheetId="10">NA()</definedName>
    <definedName name="gi_100">NA()</definedName>
    <definedName name="gi_150" localSheetId="10">NA()</definedName>
    <definedName name="gi_150">NA()</definedName>
    <definedName name="gi_200" localSheetId="10">NA()</definedName>
    <definedName name="gi_200">NA()</definedName>
    <definedName name="gi_25" localSheetId="10">NA()</definedName>
    <definedName name="gi_25">NA()</definedName>
    <definedName name="gi_250" localSheetId="10">NA()</definedName>
    <definedName name="gi_250">NA()</definedName>
    <definedName name="gi_300" localSheetId="10">NA()</definedName>
    <definedName name="gi_300">NA()</definedName>
    <definedName name="gi_32" localSheetId="10">NA()</definedName>
    <definedName name="gi_32">NA()</definedName>
    <definedName name="gi_40" localSheetId="10">NA()</definedName>
    <definedName name="gi_40">NA()</definedName>
    <definedName name="gi_400" localSheetId="10">NA()</definedName>
    <definedName name="gi_400">NA()</definedName>
    <definedName name="gi_50" localSheetId="10">NA()</definedName>
    <definedName name="gi_50">NA()</definedName>
    <definedName name="gi_500" localSheetId="10">NA()</definedName>
    <definedName name="gi_500">NA()</definedName>
    <definedName name="gi_600" localSheetId="10">NA()</definedName>
    <definedName name="gi_600">NA()</definedName>
    <definedName name="gi_65" localSheetId="10">NA()</definedName>
    <definedName name="gi_65">NA()</definedName>
    <definedName name="gi_80" localSheetId="10">NA()</definedName>
    <definedName name="gi_80">NA()</definedName>
    <definedName name="GI_CL" localSheetId="10">NA()</definedName>
    <definedName name="GI_CL">"[70]wh_data_r!#ref!"</definedName>
    <definedName name="GI_pipe_15_mm">NA()</definedName>
    <definedName name="GI_sheet_1mm_corrugated">"[71]material!#ref!"</definedName>
    <definedName name="GI_sheet_1mm_plain">"[71]material!#ref!"</definedName>
    <definedName name="gib" localSheetId="10">NA()</definedName>
    <definedName name="gib">NA()</definedName>
    <definedName name="GIbend">NA()</definedName>
    <definedName name="GIcoupling">NA()</definedName>
    <definedName name="GIelbow">NA()</definedName>
    <definedName name="GInipple">NA()</definedName>
    <definedName name="GIreducedTee">NA()</definedName>
    <definedName name="GIreducer">NA()</definedName>
    <definedName name="GIS">NA()</definedName>
    <definedName name="GIS_ii">NA()</definedName>
    <definedName name="GIspecial">NA()</definedName>
    <definedName name="GIunion">NA()</definedName>
    <definedName name="gj" localSheetId="10">NA()</definedName>
    <definedName name="gj">NA()</definedName>
    <definedName name="gjhg">NA()</definedName>
    <definedName name="gksn">NA()</definedName>
    <definedName name="GL" localSheetId="10">NA()</definedName>
    <definedName name="GL">NA()</definedName>
    <definedName name="Glazed_coloured_tiles_for_Dadooing" localSheetId="10">NA()</definedName>
    <definedName name="Glazed_coloured_tiles_for_Dadooing">NA()</definedName>
    <definedName name="glb_100" localSheetId="10">NA()</definedName>
    <definedName name="glb_100">NA()</definedName>
    <definedName name="glb_150" localSheetId="10">NA()</definedName>
    <definedName name="glb_150">NA()</definedName>
    <definedName name="glb_200" localSheetId="10">NA()</definedName>
    <definedName name="glb_200">NA()</definedName>
    <definedName name="glb_25" localSheetId="10">NA()</definedName>
    <definedName name="glb_25">NA()</definedName>
    <definedName name="glb_250" localSheetId="10">NA()</definedName>
    <definedName name="glb_250">NA()</definedName>
    <definedName name="glb_300" localSheetId="10">NA()</definedName>
    <definedName name="glb_300">NA()</definedName>
    <definedName name="glb_32" localSheetId="10">NA()</definedName>
    <definedName name="glb_32">NA()</definedName>
    <definedName name="glb_40" localSheetId="10">NA()</definedName>
    <definedName name="glb_40">NA()</definedName>
    <definedName name="glb_50" localSheetId="10">NA()</definedName>
    <definedName name="glb_50">NA()</definedName>
    <definedName name="glb_65" localSheetId="10">NA()</definedName>
    <definedName name="glb_65">NA()</definedName>
    <definedName name="glb_80" localSheetId="10">NA()</definedName>
    <definedName name="glb_80">NA()</definedName>
    <definedName name="GLOADING">NA()</definedName>
    <definedName name="GLs" localSheetId="10">NA()</definedName>
    <definedName name="GM" localSheetId="10">NA()</definedName>
    <definedName name="GM">NA()</definedName>
    <definedName name="GMgateValve">NA()</definedName>
    <definedName name="GMM" localSheetId="10">NA()</definedName>
    <definedName name="GMM">NA()</definedName>
    <definedName name="goo" localSheetId="10">NA()</definedName>
    <definedName name="goo">NA()</definedName>
    <definedName name="gound">NA()</definedName>
    <definedName name="GPC" localSheetId="10">NA()</definedName>
    <definedName name="GPC">NA()</definedName>
    <definedName name="GPF">NA()</definedName>
    <definedName name="GPname" localSheetId="10">NA()</definedName>
    <definedName name="GPname">NA()</definedName>
    <definedName name="Grab_dredging_crane___1_cum___normally_runs_for_4_hours_a_day">"[65]usage!#ref!"</definedName>
    <definedName name="grade1">NA()</definedName>
    <definedName name="grade2">NA()</definedName>
    <definedName name="grade3">NA()</definedName>
    <definedName name="Granite__dolamite_and_trap">NA()</definedName>
    <definedName name="Granite_for_SS_revetment_225_mm">NA()</definedName>
    <definedName name="Granite_for_SS_revetment_300_mm">NA()</definedName>
    <definedName name="Granite_stone_slabs_for_culverts__lintels_and_copings__3_faces_dressed_coarsed_rubble_masonary">NA()</definedName>
    <definedName name="granolithic_floor" localSheetId="10">NA()</definedName>
    <definedName name="granolithic_floor">NA()</definedName>
    <definedName name="gravel" localSheetId="10">NA()</definedName>
    <definedName name="gravel">NA()</definedName>
    <definedName name="GRAVEL_D">"[56]mrates!$k$34"</definedName>
    <definedName name="gravel_dust_sand">NA()</definedName>
    <definedName name="gravel_hc100">NA()</definedName>
    <definedName name="gravel_hc150">NA()</definedName>
    <definedName name="Gravel_including_stacking">NA()</definedName>
    <definedName name="gravel_pick">NA()</definedName>
    <definedName name="gravel_spr100">NA()</definedName>
    <definedName name="gravel_spr150">NA()</definedName>
    <definedName name="gravel_stack">NA()</definedName>
    <definedName name="Group1" localSheetId="10">NA()</definedName>
    <definedName name="Group1">NA()</definedName>
    <definedName name="Group1_8" localSheetId="10">NA()</definedName>
    <definedName name="Group1_8">NA()</definedName>
    <definedName name="Group2" localSheetId="10">NA()</definedName>
    <definedName name="Group2">NA()</definedName>
    <definedName name="Group2_8" localSheetId="10">NA()</definedName>
    <definedName name="Group2_8">NA()</definedName>
    <definedName name="Group3" localSheetId="10">NA()</definedName>
    <definedName name="Group3">NA()</definedName>
    <definedName name="Group4" localSheetId="10">NA()</definedName>
    <definedName name="Group4">NA()</definedName>
    <definedName name="Grstone" localSheetId="10">NA()</definedName>
    <definedName name="Grstone">NA()</definedName>
    <definedName name="gs" localSheetId="10">NA()</definedName>
    <definedName name="gs">NA()</definedName>
    <definedName name="GS_barbed_wire">"[71]material!#ref!"</definedName>
    <definedName name="gsb" localSheetId="10">NA()</definedName>
    <definedName name="gsb">NA()</definedName>
    <definedName name="gtrothpfinal" localSheetId="10">NA()</definedName>
    <definedName name="gtrothpfinal">NA()</definedName>
    <definedName name="guiol">NA()</definedName>
    <definedName name="GULOADING">NA()</definedName>
    <definedName name="Gunduvarigudem">NA()</definedName>
    <definedName name="GUS" localSheetId="10">NA()</definedName>
    <definedName name="GUS">NA()</definedName>
    <definedName name="GUSUSD" localSheetId="10">NA()</definedName>
    <definedName name="GUSUSD">NA()</definedName>
    <definedName name="gv_100" localSheetId="10">NA()</definedName>
    <definedName name="gv_100">NA()</definedName>
    <definedName name="gv_150" localSheetId="10">NA()</definedName>
    <definedName name="gv_150">NA()</definedName>
    <definedName name="gv_200" localSheetId="10">NA()</definedName>
    <definedName name="gv_200">NA()</definedName>
    <definedName name="gv_25" localSheetId="10">NA()</definedName>
    <definedName name="gv_25">NA()</definedName>
    <definedName name="gv_250" localSheetId="10">NA()</definedName>
    <definedName name="gv_250">NA()</definedName>
    <definedName name="gv_300" localSheetId="10">NA()</definedName>
    <definedName name="gv_300">NA()</definedName>
    <definedName name="gv_32" localSheetId="10">NA()</definedName>
    <definedName name="gv_32">NA()</definedName>
    <definedName name="gv_40" localSheetId="10">NA()</definedName>
    <definedName name="gv_40">NA()</definedName>
    <definedName name="gv_400" localSheetId="10">NA()</definedName>
    <definedName name="gv_400">NA()</definedName>
    <definedName name="gv_50" localSheetId="10">NA()</definedName>
    <definedName name="gv_50">NA()</definedName>
    <definedName name="gv_500" localSheetId="10">NA()</definedName>
    <definedName name="gv_500">NA()</definedName>
    <definedName name="gv_65" localSheetId="10">NA()</definedName>
    <definedName name="gv_65">NA()</definedName>
    <definedName name="gv_80" localSheetId="10">NA()</definedName>
    <definedName name="gv_80">NA()</definedName>
    <definedName name="gyfc" localSheetId="10">NA()</definedName>
    <definedName name="gyfc">NA()</definedName>
    <definedName name="H" localSheetId="10">NA()</definedName>
    <definedName name="H">NA()</definedName>
    <definedName name="h_">NA()</definedName>
    <definedName name="hai">NA()</definedName>
    <definedName name="Hard_disintegrated_rock_or_soft_rock_or_conglomerate_rock_and_Hard_lime_kankar_requiring_partial_blasting_">NA()</definedName>
    <definedName name="Hard_disintegrated_rock_or_soft_rock_or_conglomerate_rock_etc___removable_by_pick_axes_and_crow_bars">NA()</definedName>
    <definedName name="Hard_Gravelly_Soils__________SS_20_A">NA()</definedName>
    <definedName name="Hard_rock_and_boulders_more_than_3_cum_in_size_requiring_blasting_including_stacking">NA()</definedName>
    <definedName name="HBG_metal_IRC">NA()</definedName>
    <definedName name="HBG_metal_SS_5">NA()</definedName>
    <definedName name="hbgl">NA()</definedName>
    <definedName name="HC" localSheetId="10">NA()</definedName>
    <definedName name="HC">NA()</definedName>
    <definedName name="hd">NA()</definedName>
    <definedName name="HDFGF">NA()</definedName>
    <definedName name="Header_Row" localSheetId="10">NA()</definedName>
    <definedName name="Header_Row">NA()</definedName>
    <definedName name="hf" localSheetId="10">NA()</definedName>
    <definedName name="hf">NA()</definedName>
    <definedName name="hfuhg">NA()</definedName>
    <definedName name="hgle" localSheetId="10">NA()</definedName>
    <definedName name="hgle">NA()</definedName>
    <definedName name="hgle1" localSheetId="10">NA()</definedName>
    <definedName name="hgle1">NA()</definedName>
    <definedName name="hh">NA()</definedName>
    <definedName name="hhh" localSheetId="10">NA()</definedName>
    <definedName name="hhh">NA()</definedName>
    <definedName name="hhhhhh">NA()</definedName>
    <definedName name="HI">NA()</definedName>
    <definedName name="HiddenRows">NA()</definedName>
    <definedName name="HIFINI">NA()</definedName>
    <definedName name="High_Yeild_Strengh_Deformed_Bars">NA()</definedName>
    <definedName name="Hirebreak" localSheetId="10">NA()</definedName>
    <definedName name="Hirebreak">"[130]boq!#ref!"</definedName>
    <definedName name="his">NA()</definedName>
    <definedName name="HJ">{"'ridftotal'!$A$4:$S$27"}</definedName>
    <definedName name="hjk">NA()</definedName>
    <definedName name="hjklhkj">NA()</definedName>
    <definedName name="HJVHFDKJH">NA()</definedName>
    <definedName name="hkjhk">NA()</definedName>
    <definedName name="hlkj">NA()</definedName>
    <definedName name="hlkjasa">NA()</definedName>
    <definedName name="hmc">NA()</definedName>
    <definedName name="Hname" localSheetId="10">NA()</definedName>
    <definedName name="Hname">NA()</definedName>
    <definedName name="hot_maz">NA()</definedName>
    <definedName name="HPM">"[272]discount!$b$4"</definedName>
    <definedName name="Hs">NA()</definedName>
    <definedName name="hso">NA()</definedName>
    <definedName name="hsp">NA()</definedName>
    <definedName name="Ht">NA()</definedName>
    <definedName name="HTML_CodePage">1252</definedName>
    <definedName name="HTML_Control">{"'ridftotal'!$A$4:$S$27"}</definedName>
    <definedName name="HTML_Description">""</definedName>
    <definedName name="HTML_Email">""</definedName>
    <definedName name="HTML_Header">"ridftotal"</definedName>
    <definedName name="HTML_LastUpdate">"3/31/00"</definedName>
    <definedName name="HTML_LineAfter">FALSE</definedName>
    <definedName name="HTML_LineBefore">FALSE</definedName>
    <definedName name="HTML_Name">"PVKUTUMBA RAO"</definedName>
    <definedName name="HTML_OBDlg2">TRUE</definedName>
    <definedName name="HTML_OBDlg4">TRUE</definedName>
    <definedName name="HTML_OS">0</definedName>
    <definedName name="HTML_PathFile">"C:\MNMGEN\ridf5\MyHTML.htm"</definedName>
    <definedName name="HTML_Title">"absjanfeb2k"</definedName>
    <definedName name="hvacrates" localSheetId="10">NA()</definedName>
    <definedName name="hvacrates">NA()</definedName>
    <definedName name="HYD_EXCAVATOR" localSheetId="10">NA()</definedName>
    <definedName name="HYD_EXCAVATOR">NA()</definedName>
    <definedName name="HYSD">NA()</definedName>
    <definedName name="hyuu" localSheetId="10">NA()</definedName>
    <definedName name="hyuu">NA()</definedName>
    <definedName name="i" localSheetId="10">NA()</definedName>
    <definedName name="i">NA()</definedName>
    <definedName name="I_2" localSheetId="10">NA()</definedName>
    <definedName name="I_2">"[99]rmr!#ref!"</definedName>
    <definedName name="id" localSheetId="10">NA()</definedName>
    <definedName name="id">NA()</definedName>
    <definedName name="id10_0">NA()</definedName>
    <definedName name="id2_5" localSheetId="10">NA()</definedName>
    <definedName name="id2_5">NA()</definedName>
    <definedName name="id4_0">NA()</definedName>
    <definedName name="id6_0">NA()</definedName>
    <definedName name="id8_0">NA()</definedName>
    <definedName name="IIELS" localSheetId="10">NA()</definedName>
    <definedName name="IIELS">NA()</definedName>
    <definedName name="IK">{"'ridftotal'!$A$4:$S$27"}</definedName>
    <definedName name="imp">"[282]sheet5!#ref!"</definedName>
    <definedName name="impervious_coat" localSheetId="10">NA()</definedName>
    <definedName name="impervious_coat">NA()</definedName>
    <definedName name="in_100" localSheetId="10">NA()</definedName>
    <definedName name="in_100">NA()</definedName>
    <definedName name="in_150" localSheetId="10">NA()</definedName>
    <definedName name="in_150">NA()</definedName>
    <definedName name="in_200" localSheetId="10">NA()</definedName>
    <definedName name="in_200">NA()</definedName>
    <definedName name="in_25" localSheetId="10">NA()</definedName>
    <definedName name="in_25">NA()</definedName>
    <definedName name="in_250" localSheetId="10">NA()</definedName>
    <definedName name="in_250">NA()</definedName>
    <definedName name="in_300" localSheetId="10">NA()</definedName>
    <definedName name="in_300">NA()</definedName>
    <definedName name="in_32" localSheetId="10">NA()</definedName>
    <definedName name="in_32">NA()</definedName>
    <definedName name="in_40" localSheetId="10">NA()</definedName>
    <definedName name="in_40">NA()</definedName>
    <definedName name="in_400" localSheetId="10">NA()</definedName>
    <definedName name="in_400">NA()</definedName>
    <definedName name="in_50" localSheetId="10">NA()</definedName>
    <definedName name="in_50">NA()</definedName>
    <definedName name="in_500" localSheetId="10">NA()</definedName>
    <definedName name="in_500">NA()</definedName>
    <definedName name="in_600" localSheetId="10">NA()</definedName>
    <definedName name="in_600">NA()</definedName>
    <definedName name="in_65" localSheetId="10">NA()</definedName>
    <definedName name="in_65">NA()</definedName>
    <definedName name="in_80" localSheetId="10">NA()</definedName>
    <definedName name="in_80">NA()</definedName>
    <definedName name="income" localSheetId="10">NA()</definedName>
    <definedName name="income">NA()</definedName>
    <definedName name="ind" localSheetId="10">NA()</definedName>
    <definedName name="ind">NA()</definedName>
    <definedName name="Index">{"'ridftotal'!$A$4:$S$27"}</definedName>
    <definedName name="indu" localSheetId="10">NA()</definedName>
    <definedName name="indu">"[282]indices!#ref!"</definedName>
    <definedName name="inspbg" localSheetId="10">NA()</definedName>
    <definedName name="inspbg">NA()</definedName>
    <definedName name="inspbgcharges" localSheetId="10">NA()</definedName>
    <definedName name="inspbgcharges">NA()</definedName>
    <definedName name="Installed_Spare" localSheetId="10">NA()</definedName>
    <definedName name="Installed_Spare">"[284]iocount!#ref!"</definedName>
    <definedName name="Int" localSheetId="10">NA()</definedName>
    <definedName name="Int">NA()</definedName>
    <definedName name="Interest_Rate" localSheetId="10">NA()</definedName>
    <definedName name="Interest_Rate">NA()</definedName>
    <definedName name="interlocking" localSheetId="10">NA()</definedName>
    <definedName name="interlocking">NA()</definedName>
    <definedName name="INV_SCH" localSheetId="10">NA()</definedName>
    <definedName name="INV_SCH">NA()</definedName>
    <definedName name="investment" localSheetId="10">NA()</definedName>
    <definedName name="investment">NA()</definedName>
    <definedName name="inwords" localSheetId="10">NA()</definedName>
    <definedName name="inwords">"[286]wordsdata!#ref!"</definedName>
    <definedName name="IOA_12_gauge">"[71]material!#ref!"</definedName>
    <definedName name="IOA_14_gauge">"[71]material!#ref!"</definedName>
    <definedName name="iocl" localSheetId="10">NA()</definedName>
    <definedName name="iocl">NA()</definedName>
    <definedName name="IRC2_36">"[56]mrates!$m$6"</definedName>
    <definedName name="ISEC77" localSheetId="10">NA()</definedName>
    <definedName name="ISEC77">NA()</definedName>
    <definedName name="ISMC_WEIGHTS">NA()</definedName>
    <definedName name="isolatedworks">NA()</definedName>
    <definedName name="IT" localSheetId="10">NA()</definedName>
    <definedName name="IT">NA()</definedName>
    <definedName name="IT_10" localSheetId="10">NA()</definedName>
    <definedName name="IT_10">NA()</definedName>
    <definedName name="items">"'[98]material&amp;equipment'!$a:$iv"</definedName>
    <definedName name="ITI">NA()</definedName>
    <definedName name="iv" localSheetId="10">NA()</definedName>
    <definedName name="iv">NA()</definedName>
    <definedName name="J_I">NA()</definedName>
    <definedName name="JAD">NA()</definedName>
    <definedName name="jaji">NA()</definedName>
    <definedName name="JBcode_14dig" localSheetId="10">NA()</definedName>
    <definedName name="JBcode_14dig">NA()</definedName>
    <definedName name="JCB_Excavator">NA()</definedName>
    <definedName name="jd" localSheetId="10">NA()</definedName>
    <definedName name="jd">NA()</definedName>
    <definedName name="jdfknmnbdnb" localSheetId="10">NA()</definedName>
    <definedName name="jdfknmnbdnb">"[119]lead!#ref!"</definedName>
    <definedName name="Jeddy_Stone_above_450_mm_to_600_mm">NA()</definedName>
    <definedName name="Jessu" localSheetId="10">NA()</definedName>
    <definedName name="Jessu">NA()</definedName>
    <definedName name="jhkjahdkjhasdjhfkjasdhfkj" localSheetId="10">NA()</definedName>
    <definedName name="jhkjahdkjhasdjhfkjasdhfkj">"[118]lead!#ref!"</definedName>
    <definedName name="jjfgkf">NA()</definedName>
    <definedName name="JJJ" localSheetId="10">NA()</definedName>
    <definedName name="JJJ">NA()</definedName>
    <definedName name="jjjjjj">"[71]material!#ref!"</definedName>
    <definedName name="jk">{"'ridftotal'!$A$4:$S$27"}</definedName>
    <definedName name="JKDL123" localSheetId="10">NA()</definedName>
    <definedName name="JKDL123">NA()</definedName>
    <definedName name="jkjkknmjkljm">NA()</definedName>
    <definedName name="jksfiohifnklkldf">"scheduled_payment"+"extra_payment"</definedName>
    <definedName name="jlk">NA()</definedName>
    <definedName name="jnjlk">NA()</definedName>
    <definedName name="JobID" localSheetId="10">NA()</definedName>
    <definedName name="JobID">NA()</definedName>
    <definedName name="Jobtypes">"[291]form7!$r$3:$s$7"</definedName>
    <definedName name="Juliflora" localSheetId="10">NA()</definedName>
    <definedName name="Juliflora">NA()</definedName>
    <definedName name="JUNGLE">NA()</definedName>
    <definedName name="k1_table" localSheetId="10">NA()</definedName>
    <definedName name="k1_table">NA()</definedName>
    <definedName name="k1x" localSheetId="10">NA()</definedName>
    <definedName name="k1x">"[294]design!#ref!"</definedName>
    <definedName name="k1y" localSheetId="10">NA()</definedName>
    <definedName name="k1y">"[294]design!#ref!"</definedName>
    <definedName name="k2x" localSheetId="10">NA()</definedName>
    <definedName name="k2x">"[294]design!#ref!"</definedName>
    <definedName name="k2y" localSheetId="10">NA()</definedName>
    <definedName name="k2y">"[294]design!#ref!"</definedName>
    <definedName name="ka">NA()</definedName>
    <definedName name="KADA">{"'ridftotal'!$A$4:$S$27"}</definedName>
    <definedName name="kADAPA">{"'ridftotal'!$A$4:$S$27"}</definedName>
    <definedName name="Kalyandurg">NA()</definedName>
    <definedName name="kankar__hard_broken_kankar__40_to_75_mm___ring">NA()</definedName>
    <definedName name="Kapurala">NA()</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fvjlkjlkdl" localSheetId="10">NA()</definedName>
    <definedName name="kfvjlkjlkdl">NA()</definedName>
    <definedName name="kiran">NA()</definedName>
    <definedName name="Kishore" localSheetId="10">NA()</definedName>
    <definedName name="Kishore">NA()</definedName>
    <definedName name="KJGLG" localSheetId="10">NA()</definedName>
    <definedName name="KJGLG">NA()</definedName>
    <definedName name="KJKHL">NA()</definedName>
    <definedName name="kk" localSheetId="10">NA()</definedName>
    <definedName name="kkkkkkkkkk">"[71]material!#ref!"</definedName>
    <definedName name="KKLEL" localSheetId="10">NA()</definedName>
    <definedName name="KKLEL">NA()</definedName>
    <definedName name="kljjl">NA()</definedName>
    <definedName name="km">NA()</definedName>
    <definedName name="km10th" localSheetId="10">NA()</definedName>
    <definedName name="km10th">NA()</definedName>
    <definedName name="km11th" localSheetId="10">NA()</definedName>
    <definedName name="km11th">NA()</definedName>
    <definedName name="km12th" localSheetId="10">NA()</definedName>
    <definedName name="km12th">NA()</definedName>
    <definedName name="km13th" localSheetId="10">NA()</definedName>
    <definedName name="km13th">NA()</definedName>
    <definedName name="km14th" localSheetId="10">NA()</definedName>
    <definedName name="km14th">NA()</definedName>
    <definedName name="km16th" localSheetId="10">NA()</definedName>
    <definedName name="km16th">NA()</definedName>
    <definedName name="km17th" localSheetId="10">NA()</definedName>
    <definedName name="km17th">NA()</definedName>
    <definedName name="km18th" localSheetId="10">NA()</definedName>
    <definedName name="km18th">NA()</definedName>
    <definedName name="km19th" localSheetId="10">NA()</definedName>
    <definedName name="km19th">NA()</definedName>
    <definedName name="km20th" localSheetId="10">NA()</definedName>
    <definedName name="km20th">NA()</definedName>
    <definedName name="km2nd" localSheetId="10">NA()</definedName>
    <definedName name="km2nd">NA()</definedName>
    <definedName name="km3rd" localSheetId="10">NA()</definedName>
    <definedName name="km3rd">NA()</definedName>
    <definedName name="km4th" localSheetId="10">NA()</definedName>
    <definedName name="km4th">NA()</definedName>
    <definedName name="km5th" localSheetId="10">NA()</definedName>
    <definedName name="km5th">NA()</definedName>
    <definedName name="km6th" localSheetId="10">NA()</definedName>
    <definedName name="km6th">NA()</definedName>
    <definedName name="km7th" localSheetId="10">NA()</definedName>
    <definedName name="km7th">NA()</definedName>
    <definedName name="km8th" localSheetId="10">NA()</definedName>
    <definedName name="km8th">NA()</definedName>
    <definedName name="km9th" localSheetId="10">NA()</definedName>
    <definedName name="km9th">NA()</definedName>
    <definedName name="kn">NA()</definedName>
    <definedName name="Knr" localSheetId="10">NA()</definedName>
    <definedName name="Knr">NA()</definedName>
    <definedName name="ko">NA()</definedName>
    <definedName name="Kolim" localSheetId="10">NA()</definedName>
    <definedName name="Kolim">NA()</definedName>
    <definedName name="Konsortialanteil" localSheetId="10">NA()</definedName>
    <definedName name="Konsortialanteil">NA()</definedName>
    <definedName name="krishna">NA()</definedName>
    <definedName name="ksksk" localSheetId="10">NA()</definedName>
    <definedName name="ksksk">NA()</definedName>
    <definedName name="KVC">NA()</definedName>
    <definedName name="L_BISTI">NA()</definedName>
    <definedName name="L_BSMIT">NA()</definedName>
    <definedName name="L_CPENTER">NA()</definedName>
    <definedName name="L_ELECRICIAN">NA()</definedName>
    <definedName name="L_MASON1">NA()</definedName>
    <definedName name="L_MASON2">NA()</definedName>
    <definedName name="L_MAZDOOES">NA()</definedName>
    <definedName name="L_MAZDOORSK">NA()</definedName>
    <definedName name="L_MAZDOORUS">NA()</definedName>
    <definedName name="L_SURVEYER">NA()</definedName>
    <definedName name="la">"[307]data_bit_i!#ref!"</definedName>
    <definedName name="LABBBB" localSheetId="10">NA()</definedName>
    <definedName name="LABBBB">NA()</definedName>
    <definedName name="labor" localSheetId="10">NA()</definedName>
    <definedName name="labor">NA()</definedName>
    <definedName name="labour">NA()</definedName>
    <definedName name="Labour_charges_for_laying_filter_with_sand_">NA()</definedName>
    <definedName name="Labour_charges_for_laying_filters_with_coarse_aggregate_">NA()</definedName>
    <definedName name="Labour_for_mixing_cement_mortar">NA()</definedName>
    <definedName name="lac">NA()</definedName>
    <definedName name="laff" localSheetId="10">NA()</definedName>
    <definedName name="lakshmi" localSheetId="10">NA()</definedName>
    <definedName name="lali" localSheetId="10">NA()</definedName>
    <definedName name="lali">NA()</definedName>
    <definedName name="Land_adv" localSheetId="10">NA()</definedName>
    <definedName name="Land_adv">NA()</definedName>
    <definedName name="Last_Row">NA()</definedName>
    <definedName name="Laterite_40_to_75_mm___ring">NA()</definedName>
    <definedName name="Laterite_for_masonry">NA()</definedName>
    <definedName name="Laterite_for_revetment__225_mm">NA()</definedName>
    <definedName name="Laterite_for_revetment__300_mm">NA()</definedName>
    <definedName name="LBM">NA()</definedName>
    <definedName name="lbrick">NA()</definedName>
    <definedName name="LC">NA()</definedName>
    <definedName name="LCE">NA()</definedName>
    <definedName name="LCN" localSheetId="10">NA()</definedName>
    <definedName name="LCN">NA()</definedName>
    <definedName name="LCS" localSheetId="10">NA()</definedName>
    <definedName name="LCS">NA()</definedName>
    <definedName name="le">NA()</definedName>
    <definedName name="lead" localSheetId="10">NA()</definedName>
    <definedName name="lead">NA()</definedName>
    <definedName name="LEAD_1">NA()</definedName>
    <definedName name="LEAD_2">NA()</definedName>
    <definedName name="LEAD_3">NA()</definedName>
    <definedName name="lead_list">NA()</definedName>
    <definedName name="lead_MIDDLE">NA()</definedName>
    <definedName name="lead_prin" localSheetId="10">NA()</definedName>
    <definedName name="lead_prin">NA()</definedName>
    <definedName name="LEAD_Y1">NA()</definedName>
    <definedName name="LEAD_Y2">NA()</definedName>
    <definedName name="lead3" localSheetId="10">NA()</definedName>
    <definedName name="lead3">NA()</definedName>
    <definedName name="leada">NA()</definedName>
    <definedName name="leadprin" localSheetId="10">NA()</definedName>
    <definedName name="leadprin">NA()</definedName>
    <definedName name="leads" localSheetId="10">NA()</definedName>
    <definedName name="Leads">NA()</definedName>
    <definedName name="LED" localSheetId="10">NA()</definedName>
    <definedName name="leela">NA()</definedName>
    <definedName name="lef" localSheetId="10">NA()</definedName>
    <definedName name="lef">NA()</definedName>
    <definedName name="legend" localSheetId="10">NA()</definedName>
    <definedName name="legend">NA()</definedName>
    <definedName name="lel" localSheetId="10">NA()</definedName>
    <definedName name="lel">NA()</definedName>
    <definedName name="LEN">NA()</definedName>
    <definedName name="lfb" localSheetId="10">NA()</definedName>
    <definedName name="lfb">"[122]process!#ref!"</definedName>
    <definedName name="lgravel">NA()</definedName>
    <definedName name="LI_LI">"[65]general!#ref!"</definedName>
    <definedName name="library" localSheetId="10">NA()</definedName>
    <definedName name="library">NA()</definedName>
    <definedName name="LIII">"[317]estimate!#ref!"</definedName>
    <definedName name="lilili">"[65]general!#ref!"</definedName>
    <definedName name="LIT" localSheetId="10">NA()</definedName>
    <definedName name="LIT">NA()</definedName>
    <definedName name="ljhj">NA()</definedName>
    <definedName name="lkajdhrlkuae" localSheetId="10">NA()</definedName>
    <definedName name="lkajdhrlkuae">NA()</definedName>
    <definedName name="lkhfesryhelu" localSheetId="10">NA()</definedName>
    <definedName name="lkhfesryhelu">NA()</definedName>
    <definedName name="lkjgushr" localSheetId="10">NA()</definedName>
    <definedName name="lkjgushr">NA()</definedName>
    <definedName name="lksslska">"[71]material!#ref!"</definedName>
    <definedName name="lld" localSheetId="10">NA()</definedName>
    <definedName name="lld">"[122]process!#ref!"</definedName>
    <definedName name="LLL" localSheetId="10">NA()</definedName>
    <definedName name="LLL">NA()</definedName>
    <definedName name="llllllllllll">"[71]material!#ref!"</definedName>
    <definedName name="llllllllllllllll">NA()</definedName>
    <definedName name="lllllllllllllllll">"[71]material!#ref!"</definedName>
    <definedName name="llw" localSheetId="10">NA()</definedName>
    <definedName name="llw">"[122]process!#ref!"</definedName>
    <definedName name="lmc">NA()</definedName>
    <definedName name="Loader_of_1_Cu_M_">NA()</definedName>
    <definedName name="loading">NA()</definedName>
    <definedName name="Loamy_and_Clayey_soils_like_black_cotton_soils__red_earth_and_ordinary_gravel_SS_20_A_">NA()</definedName>
    <definedName name="Loan_Amount" localSheetId="10">NA()</definedName>
    <definedName name="Loan_Amount">NA()</definedName>
    <definedName name="Loan_Start" localSheetId="10">NA()</definedName>
    <definedName name="Loan_Start">NA()</definedName>
    <definedName name="Loan_Years" localSheetId="10">NA()</definedName>
    <definedName name="Loan_Years">NA()</definedName>
    <definedName name="loans_adv" localSheetId="10">NA()</definedName>
    <definedName name="loans_adv">NA()</definedName>
    <definedName name="lobour">"[84]rates!#ref!"</definedName>
    <definedName name="lok" localSheetId="10">NA()</definedName>
    <definedName name="lok">NA()</definedName>
    <definedName name="LONG">NA()</definedName>
    <definedName name="LOOP">NA()</definedName>
    <definedName name="lrstone">NA()</definedName>
    <definedName name="LS_ROAD" localSheetId="10">NA()</definedName>
    <definedName name="LS_ROAD">NA()</definedName>
    <definedName name="lsand">NA()</definedName>
    <definedName name="lsec" localSheetId="10">NA()</definedName>
    <definedName name="lsec">NA()</definedName>
    <definedName name="Lsec1" localSheetId="10">NA()</definedName>
    <definedName name="Lsec1">NA()</definedName>
    <definedName name="Lsec2" localSheetId="10">NA()</definedName>
    <definedName name="Lsec2">NA()</definedName>
    <definedName name="Lsec3" localSheetId="10">NA()</definedName>
    <definedName name="Lsec3">NA()</definedName>
    <definedName name="Lsec4" localSheetId="10">NA()</definedName>
    <definedName name="Lsec4">NA()</definedName>
    <definedName name="Lsec5" localSheetId="10">NA()</definedName>
    <definedName name="Lsec5">NA()</definedName>
    <definedName name="Lsec6" localSheetId="10">NA()</definedName>
    <definedName name="Lsec6">NA()</definedName>
    <definedName name="lsec7" localSheetId="10">NA()</definedName>
    <definedName name="lsec7">NA()</definedName>
    <definedName name="LSNO12">"[321]lead!#ref!"</definedName>
    <definedName name="LSNO15">"[321]lead!#ref!"</definedName>
    <definedName name="LSNO17">"[321]lead!#ref!"</definedName>
    <definedName name="LSNO18">"[14]lead!#ref!"</definedName>
    <definedName name="LSNO20" localSheetId="10">NA()</definedName>
    <definedName name="LSNO20">"[14]lead!#ref!"</definedName>
    <definedName name="LSNO21">"[321]lead!#ref!"</definedName>
    <definedName name="LSNO23">"[14]lead!#ref!"</definedName>
    <definedName name="LSNO27">"[321]lead!#ref!"</definedName>
    <definedName name="LSNO28">"[321]lead!#ref!"</definedName>
    <definedName name="LSNO29">"[321]lead!#ref!"</definedName>
    <definedName name="LSNO30">"[321]lead!#ref!"</definedName>
    <definedName name="LSNO31">"[321]lead!#ref!"</definedName>
    <definedName name="LSNO32">"[321]lead!#ref!"</definedName>
    <definedName name="LSNO33">"[321]lead!#ref!"</definedName>
    <definedName name="LSNO35">"[321]lead!#ref!"</definedName>
    <definedName name="LSNO36">"[321]lead!#ref!"</definedName>
    <definedName name="LSNO7">"[321]lead!#ref!"</definedName>
    <definedName name="LSNO9">"[321]lead!#ref!"</definedName>
    <definedName name="lss">NA()</definedName>
    <definedName name="lstone">NA()</definedName>
    <definedName name="lw">NA()</definedName>
    <definedName name="lxg">NA()</definedName>
    <definedName name="m" localSheetId="10">NA()</definedName>
    <definedName name="m">NA()</definedName>
    <definedName name="M_0_50">NA()</definedName>
    <definedName name="M_01">NA()</definedName>
    <definedName name="M_02">NA()</definedName>
    <definedName name="M_03">NA()</definedName>
    <definedName name="M_04">NA()</definedName>
    <definedName name="M_05">NA()</definedName>
    <definedName name="M_06">NA()</definedName>
    <definedName name="M_07">NA()</definedName>
    <definedName name="M_08">NA()</definedName>
    <definedName name="M_09">NA()</definedName>
    <definedName name="M_10">NA()</definedName>
    <definedName name="M_100">NA()</definedName>
    <definedName name="M_101">NA()</definedName>
    <definedName name="M_102">NA()</definedName>
    <definedName name="M_103">NA()</definedName>
    <definedName name="M_104">NA()</definedName>
    <definedName name="M_105">NA()</definedName>
    <definedName name="M_106">NA()</definedName>
    <definedName name="M_107">NA()</definedName>
    <definedName name="M_108">NA()</definedName>
    <definedName name="M_109">NA()</definedName>
    <definedName name="M_11">NA()</definedName>
    <definedName name="M_110">NA()</definedName>
    <definedName name="M_111">NA()</definedName>
    <definedName name="M_112">NA()</definedName>
    <definedName name="M_113">NA()</definedName>
    <definedName name="M_114">NA()</definedName>
    <definedName name="M_115">NA()</definedName>
    <definedName name="M_116">NA()</definedName>
    <definedName name="M_117">NA()</definedName>
    <definedName name="M_118">NA()</definedName>
    <definedName name="M_119">NA()</definedName>
    <definedName name="M_12">NA()</definedName>
    <definedName name="M_120">NA()</definedName>
    <definedName name="M_121">NA()</definedName>
    <definedName name="M_122">NA()</definedName>
    <definedName name="M_123">NA()</definedName>
    <definedName name="M_124">NA()</definedName>
    <definedName name="M_125">NA()</definedName>
    <definedName name="M_126">NA()</definedName>
    <definedName name="M_127">NA()</definedName>
    <definedName name="M_128">NA()</definedName>
    <definedName name="M_129">NA()</definedName>
    <definedName name="M_13">NA()</definedName>
    <definedName name="M_130">NA()</definedName>
    <definedName name="M_131">NA()</definedName>
    <definedName name="M_132">NA()</definedName>
    <definedName name="M_133">NA()</definedName>
    <definedName name="M_134">NA()</definedName>
    <definedName name="M_135">NA()</definedName>
    <definedName name="M_136">NA()</definedName>
    <definedName name="M_137">NA()</definedName>
    <definedName name="M_138">NA()</definedName>
    <definedName name="M_139">NA()</definedName>
    <definedName name="M_14">NA()</definedName>
    <definedName name="M_140">NA()</definedName>
    <definedName name="M_141">NA()</definedName>
    <definedName name="M_142">NA()</definedName>
    <definedName name="M_143">NA()</definedName>
    <definedName name="M_144">NA()</definedName>
    <definedName name="M_145">NA()</definedName>
    <definedName name="M_146">NA()</definedName>
    <definedName name="M_147">NA()</definedName>
    <definedName name="M_148">NA()</definedName>
    <definedName name="M_149">NA()</definedName>
    <definedName name="M_15">NA()</definedName>
    <definedName name="M_150">NA()</definedName>
    <definedName name="M_16">NA()</definedName>
    <definedName name="M_17">NA()</definedName>
    <definedName name="M_18">NA()</definedName>
    <definedName name="M_19">NA()</definedName>
    <definedName name="M_20">NA()</definedName>
    <definedName name="M_21">NA()</definedName>
    <definedName name="M_22">NA()</definedName>
    <definedName name="M_23">NA()</definedName>
    <definedName name="M_24">NA()</definedName>
    <definedName name="M_25">NA()</definedName>
    <definedName name="M_26">NA()</definedName>
    <definedName name="M_27">NA()</definedName>
    <definedName name="M_28">NA()</definedName>
    <definedName name="M_29">NA()</definedName>
    <definedName name="M_30">NA()</definedName>
    <definedName name="M_31">NA()</definedName>
    <definedName name="M_32">NA()</definedName>
    <definedName name="M_33">NA()</definedName>
    <definedName name="M_34">NA()</definedName>
    <definedName name="M_35">NA()</definedName>
    <definedName name="M_36">NA()</definedName>
    <definedName name="M_37">NA()</definedName>
    <definedName name="M_38">NA()</definedName>
    <definedName name="M_39">NA()</definedName>
    <definedName name="M_40">NA()</definedName>
    <definedName name="M_41">NA()</definedName>
    <definedName name="M_42">NA()</definedName>
    <definedName name="M_43">NA()</definedName>
    <definedName name="M_44">NA()</definedName>
    <definedName name="M_45">NA()</definedName>
    <definedName name="M_46">NA()</definedName>
    <definedName name="M_47">NA()</definedName>
    <definedName name="M_48">NA()</definedName>
    <definedName name="M_49">NA()</definedName>
    <definedName name="M_50">NA()</definedName>
    <definedName name="M_51">NA()</definedName>
    <definedName name="M_52">NA()</definedName>
    <definedName name="M_53">NA()</definedName>
    <definedName name="M_54">NA()</definedName>
    <definedName name="M_55">NA()</definedName>
    <definedName name="M_56">NA()</definedName>
    <definedName name="M_57">NA()</definedName>
    <definedName name="M_58">NA()</definedName>
    <definedName name="M_59">NA()</definedName>
    <definedName name="M_60">NA()</definedName>
    <definedName name="M_61">NA()</definedName>
    <definedName name="M_62">NA()</definedName>
    <definedName name="M_63">NA()</definedName>
    <definedName name="M_64">NA()</definedName>
    <definedName name="M_65">NA()</definedName>
    <definedName name="M_66">NA()</definedName>
    <definedName name="M_67">NA()</definedName>
    <definedName name="M_68">NA()</definedName>
    <definedName name="M_69">NA()</definedName>
    <definedName name="M_70">NA()</definedName>
    <definedName name="M_71">NA()</definedName>
    <definedName name="M_72">NA()</definedName>
    <definedName name="M_73">NA()</definedName>
    <definedName name="M_74">NA()</definedName>
    <definedName name="M_75">NA()</definedName>
    <definedName name="M_76">NA()</definedName>
    <definedName name="M_77">NA()</definedName>
    <definedName name="M_78">NA()</definedName>
    <definedName name="M_79">NA()</definedName>
    <definedName name="M_80">NA()</definedName>
    <definedName name="M_81">NA()</definedName>
    <definedName name="M_82">NA()</definedName>
    <definedName name="M_83">NA()</definedName>
    <definedName name="M_84">NA()</definedName>
    <definedName name="M_85">NA()</definedName>
    <definedName name="M_86">NA()</definedName>
    <definedName name="M_87">NA()</definedName>
    <definedName name="M_88">NA()</definedName>
    <definedName name="M_89">NA()</definedName>
    <definedName name="M_90">NA()</definedName>
    <definedName name="M_91">NA()</definedName>
    <definedName name="M_92">NA()</definedName>
    <definedName name="M_93">NA()</definedName>
    <definedName name="M_94">NA()</definedName>
    <definedName name="M_95">NA()</definedName>
    <definedName name="M_96">NA()</definedName>
    <definedName name="M_97">NA()</definedName>
    <definedName name="M_98">NA()</definedName>
    <definedName name="M_99">NA()</definedName>
    <definedName name="M_AIRCOMP170">NA()</definedName>
    <definedName name="M_AIRCOMP210">NA()</definedName>
    <definedName name="M_BROOMER">NA()</definedName>
    <definedName name="M_CC_CUTTER">NA()</definedName>
    <definedName name="M_CCMIXER">NA()</definedName>
    <definedName name="M_CHIPSPREDER">NA()</definedName>
    <definedName name="M_CRANE8T">NA()</definedName>
    <definedName name="M_DOZERD50">NA()</definedName>
    <definedName name="M_ELEGEN">NA()</definedName>
    <definedName name="M_EXCAVATOR9">NA()</definedName>
    <definedName name="M_FRONTLOADER">NA()</definedName>
    <definedName name="M_HMP40">NA()</definedName>
    <definedName name="M_ICRUSHER">NA()</definedName>
    <definedName name="m_lead">NA()</definedName>
    <definedName name="M_MOTORGRADER200">NA()</definedName>
    <definedName name="M_MOTORGRADER50">NA()</definedName>
    <definedName name="M_PAVER100">NA()</definedName>
    <definedName name="M_PAVER75">NA()</definedName>
    <definedName name="M_PD_BT">NA()</definedName>
    <definedName name="M_PD_BTEM">NA()</definedName>
    <definedName name="M_ROLLER">NA()</definedName>
    <definedName name="M_TANKER6K">NA()</definedName>
    <definedName name="M_TIPPER">NA()</definedName>
    <definedName name="M_TRACTORRIPPER">NA()</definedName>
    <definedName name="M_TRACTORROTAVATOR">NA()</definedName>
    <definedName name="M_VIBRATOR_N">NA()</definedName>
    <definedName name="M_VIBRATOR_P">NA()</definedName>
    <definedName name="M_VIBRATOR_S">NA()</definedName>
    <definedName name="M_W_Mazdoor">NA()</definedName>
    <definedName name="M103xN103" localSheetId="10">NA()</definedName>
    <definedName name="M103xN103">NA()</definedName>
    <definedName name="M1x" localSheetId="10">NA()</definedName>
    <definedName name="M1x">"[294]design!#ref!"</definedName>
    <definedName name="M1y" localSheetId="10">NA()</definedName>
    <definedName name="M1y">"[294]design!#ref!"</definedName>
    <definedName name="m2_2009">NA()</definedName>
    <definedName name="M2x" localSheetId="10">NA()</definedName>
    <definedName name="M2x">"[294]design!#ref!"</definedName>
    <definedName name="M2y" localSheetId="10">NA()</definedName>
    <definedName name="M2y">"[294]design!#ref!"</definedName>
    <definedName name="m3_2009">NA()</definedName>
    <definedName name="m8_2008">NA()</definedName>
    <definedName name="m9_2008">NA()</definedName>
    <definedName name="ma" localSheetId="10">NA()</definedName>
    <definedName name="maa">"[307]data_bit_i!#ref!"</definedName>
    <definedName name="mab">"[307]data_bit_i!#ref!"</definedName>
    <definedName name="machine_mixing_of_concrete_">NA()</definedName>
    <definedName name="Macro4" localSheetId="10">NA()</definedName>
    <definedName name="Macro4">NA()</definedName>
    <definedName name="Macro5" localSheetId="10">NA()</definedName>
    <definedName name="Macro5">NA()</definedName>
    <definedName name="MAD" localSheetId="10">NA()</definedName>
    <definedName name="MAD">NA()</definedName>
    <definedName name="Maddy">NA()</definedName>
    <definedName name="madhu" localSheetId="10">NA()</definedName>
    <definedName name="madhu">NA()</definedName>
    <definedName name="Main">NA()</definedName>
    <definedName name="maintenance" localSheetId="10">NA()</definedName>
    <definedName name="maintenance">NA()</definedName>
    <definedName name="makh">NA()</definedName>
    <definedName name="Male" localSheetId="10">NA()</definedName>
    <definedName name="Male">"[93]data!#ref!"</definedName>
    <definedName name="male_sp">NA()</definedName>
    <definedName name="Man_Mazdoor">NA()</definedName>
    <definedName name="mangalore" localSheetId="10">NA()</definedName>
    <definedName name="mangalore">NA()</definedName>
    <definedName name="manm">NA()</definedName>
    <definedName name="manmazdoor" localSheetId="10">NA()</definedName>
    <definedName name="manmazdoor">NA()</definedName>
    <definedName name="mano" localSheetId="10">NA()</definedName>
    <definedName name="mano">NA()</definedName>
    <definedName name="mas" localSheetId="10">NA()</definedName>
    <definedName name="mas">NA()</definedName>
    <definedName name="Mason_1st_class">NA()</definedName>
    <definedName name="Mason_2nd_class">NA()</definedName>
    <definedName name="mason1" localSheetId="10">NA()</definedName>
    <definedName name="mason2" localSheetId="10">NA()</definedName>
    <definedName name="mass">NA()</definedName>
    <definedName name="master" localSheetId="10">NA()</definedName>
    <definedName name="master">NA()</definedName>
    <definedName name="Mastic_Cooker">NA()</definedName>
    <definedName name="MASTICK">NA()</definedName>
    <definedName name="mat" localSheetId="10">NA()</definedName>
    <definedName name="mat">NA()</definedName>
    <definedName name="material" localSheetId="10">NA()</definedName>
    <definedName name="material">NA()</definedName>
    <definedName name="maz" localSheetId="10">NA()</definedName>
    <definedName name="maz">NA()</definedName>
    <definedName name="mazski" localSheetId="10">NA()</definedName>
    <definedName name="mazski">NA()</definedName>
    <definedName name="mbb">"[307]data_bit_i!#ref!"</definedName>
    <definedName name="mbm">NA()</definedName>
    <definedName name="mbmi">NA()</definedName>
    <definedName name="mbpt" localSheetId="10">NA()</definedName>
    <definedName name="mbpt">NA()</definedName>
    <definedName name="MC" localSheetId="10">NA()</definedName>
    <definedName name="MC">NA()</definedName>
    <definedName name="MCH" localSheetId="10">NA()</definedName>
    <definedName name="MCH">NA()</definedName>
    <definedName name="mcode">NA()</definedName>
    <definedName name="mcpl">NA()</definedName>
    <definedName name="mcvm" localSheetId="10">NA()</definedName>
    <definedName name="mcvm">NA()</definedName>
    <definedName name="me">NA()</definedName>
    <definedName name="Medical" localSheetId="10">NA()</definedName>
    <definedName name="Medical">"[93]data!#ref!"</definedName>
    <definedName name="Melamine" localSheetId="10">NA()</definedName>
    <definedName name="Melamine">NA()</definedName>
    <definedName name="Met14Crush" localSheetId="10">NA()</definedName>
    <definedName name="Met14Crush">NA()</definedName>
    <definedName name="Met22crush" localSheetId="10">NA()</definedName>
    <definedName name="Met22crush">NA()</definedName>
    <definedName name="Met22HBG" localSheetId="10">NA()</definedName>
    <definedName name="Met22HBG">NA()</definedName>
    <definedName name="Met22MC" localSheetId="10">NA()</definedName>
    <definedName name="Met22MC">NA()</definedName>
    <definedName name="Met236_5" localSheetId="10">NA()</definedName>
    <definedName name="Met236_5">NA()</definedName>
    <definedName name="Met236below" localSheetId="10">NA()</definedName>
    <definedName name="Met236below">NA()</definedName>
    <definedName name="Met27crush" localSheetId="10">NA()</definedName>
    <definedName name="Met27crush">NA()</definedName>
    <definedName name="Met5_7" localSheetId="10">NA()</definedName>
    <definedName name="Met5_7">NA()</definedName>
    <definedName name="Met9_511_2" localSheetId="10">NA()</definedName>
    <definedName name="Met9_511_2">NA()</definedName>
    <definedName name="metal" localSheetId="10">NA()</definedName>
    <definedName name="metal">NA()</definedName>
    <definedName name="Metal__stone">NA()</definedName>
    <definedName name="metal_40">NA()</definedName>
    <definedName name="metal_65">NA()</definedName>
    <definedName name="metal_75">NA()</definedName>
    <definedName name="metal_blast">NA()</definedName>
    <definedName name="METAL_D">"[56]mrates!$k$30"</definedName>
    <definedName name="metal_hc75">NA()</definedName>
    <definedName name="metal_pick">NA()</definedName>
    <definedName name="metal_spr75">NA()</definedName>
    <definedName name="metal_stack">NA()</definedName>
    <definedName name="metal1" localSheetId="10">NA()</definedName>
    <definedName name="metal1">NA()</definedName>
    <definedName name="metal10" localSheetId="10">NA()</definedName>
    <definedName name="metal10">NA()</definedName>
    <definedName name="metal11" localSheetId="10">NA()</definedName>
    <definedName name="metal11">NA()</definedName>
    <definedName name="metal12" localSheetId="10">NA()</definedName>
    <definedName name="metal12">NA()</definedName>
    <definedName name="metal12ss">NA()</definedName>
    <definedName name="metal20" localSheetId="10">NA()</definedName>
    <definedName name="metal20">NA()</definedName>
    <definedName name="metal20ss">NA()</definedName>
    <definedName name="metal3" localSheetId="10">NA()</definedName>
    <definedName name="metal3">NA()</definedName>
    <definedName name="metal40" localSheetId="10">NA()</definedName>
    <definedName name="metal40">NA()</definedName>
    <definedName name="metal40ss">NA()</definedName>
    <definedName name="metal45">NA()</definedName>
    <definedName name="metal6" localSheetId="10">NA()</definedName>
    <definedName name="metal6">NA()</definedName>
    <definedName name="metal65">NA()</definedName>
    <definedName name="metal75">NA()</definedName>
    <definedName name="mhc">NA()</definedName>
    <definedName name="MHElect_">NA()</definedName>
    <definedName name="MHW_SUPPLY">NA()</definedName>
    <definedName name="MI_06">NA()</definedName>
    <definedName name="MI_10">NA()</definedName>
    <definedName name="MI_12">NA()</definedName>
    <definedName name="MI_20">NA()</definedName>
    <definedName name="MI_236">NA()</definedName>
    <definedName name="MI_25">NA()</definedName>
    <definedName name="MI_40">NA()</definedName>
    <definedName name="MILD">NA()</definedName>
    <definedName name="Mild_Steel__Structural_Steel__I_e___Angles__Channels_and_I_sections_">NA()</definedName>
    <definedName name="Mild_steel_flats">NA()</definedName>
    <definedName name="Mild_steel_rods_6mm_dia_">NA()</definedName>
    <definedName name="mini_hmp">NA()</definedName>
    <definedName name="minpc">NA()</definedName>
    <definedName name="MIX_SEAL_WBM">NA()</definedName>
    <definedName name="Mixing_of_cement_mortar_by_machine">NA()</definedName>
    <definedName name="Mixture_of_gravel_and_soft_disintegrated_rock_like_shales_ordinary_gravel__stoney_earth_and_earth_mixed_with_fair_sized_boulders________________SS_20_A">NA()</definedName>
    <definedName name="MK">{"'ridftotal'!$A$4:$S$27"}</definedName>
    <definedName name="ml" localSheetId="10">NA()</definedName>
    <definedName name="ml">NA()</definedName>
    <definedName name="MLOAD">"[56]mrates!$x$10"</definedName>
    <definedName name="MLOADING">NA()</definedName>
    <definedName name="mmc">NA()</definedName>
    <definedName name="mmcc">NA()</definedName>
    <definedName name="mmixing">NA()</definedName>
    <definedName name="MMMMM">NA()</definedName>
    <definedName name="MMP" localSheetId="10">NA()</definedName>
    <definedName name="MMP">NA()</definedName>
    <definedName name="mn">NA()</definedName>
    <definedName name="Mname" localSheetId="10">NA()</definedName>
    <definedName name="Mname">NA()</definedName>
    <definedName name="MNJ">NA()</definedName>
    <definedName name="mnr">NA()</definedName>
    <definedName name="moj" localSheetId="10">NA()</definedName>
    <definedName name="moj">NA()</definedName>
    <definedName name="mortar_by_machine">NA()</definedName>
    <definedName name="Mortar_Grader_BEML">NA()</definedName>
    <definedName name="mpbm">NA()</definedName>
    <definedName name="mpbmi">NA()</definedName>
    <definedName name="MPLOT_PGR_CHP">NA()</definedName>
    <definedName name="mq">NA()</definedName>
    <definedName name="mr">NA()</definedName>
    <definedName name="MR_13MM">NA()</definedName>
    <definedName name="MR_55MM">NA()</definedName>
    <definedName name="MR_63MM">NA()</definedName>
    <definedName name="MR_GRADE2">NA()</definedName>
    <definedName name="MR_GRADE3">NA()</definedName>
    <definedName name="MR_GRAVEL">NA()</definedName>
    <definedName name="MR_SAND">NA()</definedName>
    <definedName name="MR_SANDF">NA()</definedName>
    <definedName name="MR_STONEDUST">NA()</definedName>
    <definedName name="mrt">NA()</definedName>
    <definedName name="mrti">NA()</definedName>
    <definedName name="MS">"[56]mrates!$p$51"</definedName>
    <definedName name="ms_channels" localSheetId="10">NA()</definedName>
    <definedName name="ms_channels">NA()</definedName>
    <definedName name="ms_flat_25mm" localSheetId="10">NA()</definedName>
    <definedName name="ms_flat_25mm">NA()</definedName>
    <definedName name="ms_pipes" localSheetId="10">NA()</definedName>
    <definedName name="ms_pipes">NA()</definedName>
    <definedName name="ms_plates" localSheetId="10">NA()</definedName>
    <definedName name="ms_plates">NA()</definedName>
    <definedName name="MS_square_bar_10mm" localSheetId="10">NA()</definedName>
    <definedName name="MS_square_bar_10mm">NA()</definedName>
    <definedName name="ms_truss" localSheetId="10">NA()</definedName>
    <definedName name="ms_truss">NA()</definedName>
    <definedName name="MS_tubes">NA()</definedName>
    <definedName name="MSAND">"[56]mrates!$g$7"</definedName>
    <definedName name="msgrill" localSheetId="10">NA()</definedName>
    <definedName name="msgrill">NA()</definedName>
    <definedName name="MSTACK">"[56]mrates!$x$12"</definedName>
    <definedName name="mt">NA()</definedName>
    <definedName name="mtor">NA()</definedName>
    <definedName name="MULOADING">NA()</definedName>
    <definedName name="mun" localSheetId="10">NA()</definedName>
    <definedName name="mun">NA()</definedName>
    <definedName name="MUNLOAD">"[56]mrates!$x$11"</definedName>
    <definedName name="mura">NA()</definedName>
    <definedName name="murali">NA()</definedName>
    <definedName name="murty" localSheetId="10">NA()</definedName>
    <definedName name="murty">NA()</definedName>
    <definedName name="MUTHU" localSheetId="10">NA()</definedName>
    <definedName name="MUTHU">NA()</definedName>
    <definedName name="mw" localSheetId="10">NA()</definedName>
    <definedName name="mw">NA()</definedName>
    <definedName name="mz">NA()</definedName>
    <definedName name="n" localSheetId="10">NA()</definedName>
    <definedName name="n">NA()</definedName>
    <definedName name="N_S_P">NA()</definedName>
    <definedName name="NAIDUPALEM">NA()</definedName>
    <definedName name="Name">NA()</definedName>
    <definedName name="naresh" localSheetId="10">NA()</definedName>
    <definedName name="naresh">NA()</definedName>
    <definedName name="NAVA" localSheetId="10">NA()</definedName>
    <definedName name="NAVA">NA()</definedName>
    <definedName name="nb">NA()</definedName>
    <definedName name="nbc">NA()</definedName>
    <definedName name="nbm">NA()</definedName>
    <definedName name="Needle_Vibrator">NA()</definedName>
    <definedName name="New">"[93]data!#ref!"</definedName>
    <definedName name="newdata" localSheetId="10">NA()</definedName>
    <definedName name="newdata">NA()</definedName>
    <definedName name="nh" localSheetId="10">NA()</definedName>
    <definedName name="nh">NA()</definedName>
    <definedName name="NH4vorklmg">NA()</definedName>
    <definedName name="nl">NA()</definedName>
    <definedName name="NM">{"'ridftotal'!$A$4:$S$27"}</definedName>
    <definedName name="nn">NA()</definedName>
    <definedName name="NNN" localSheetId="10">NA()</definedName>
    <definedName name="NNN">NA()</definedName>
    <definedName name="NNNN" localSheetId="10">NA()</definedName>
    <definedName name="NNNN">NA()</definedName>
    <definedName name="NNNNN" localSheetId="10">NA()</definedName>
    <definedName name="NNNNN">NA()</definedName>
    <definedName name="no" localSheetId="10">NA()</definedName>
    <definedName name="No_">NA()</definedName>
    <definedName name="No_1">NA()</definedName>
    <definedName name="NO_1000" localSheetId="10">NA()</definedName>
    <definedName name="NO_1000">NA()</definedName>
    <definedName name="NO_800" localSheetId="10">NA()</definedName>
    <definedName name="NO_800">NA()</definedName>
    <definedName name="NOK" localSheetId="10">NA()</definedName>
    <definedName name="NOK">NA()</definedName>
    <definedName name="Non" localSheetId="10">NA()</definedName>
    <definedName name="nonreturnvalve">NA()</definedName>
    <definedName name="NONRETURNVALVES">NA()</definedName>
    <definedName name="Nons" localSheetId="10">NA()</definedName>
    <definedName name="nOS">NA()</definedName>
    <definedName name="notok" localSheetId="10">NA()</definedName>
    <definedName name="notok">NA()</definedName>
    <definedName name="NSPCCC">NA()</definedName>
    <definedName name="NSSR1">NA()</definedName>
    <definedName name="NSSR10">NA()</definedName>
    <definedName name="NSSR100">NA()</definedName>
    <definedName name="NSSR101">NA()</definedName>
    <definedName name="NSSR102">NA()</definedName>
    <definedName name="NSSR103">NA()</definedName>
    <definedName name="NSSR104">NA()</definedName>
    <definedName name="NSSR105">NA()</definedName>
    <definedName name="NSSR106">NA()</definedName>
    <definedName name="NSSR107">NA()</definedName>
    <definedName name="NSSR108">NA()</definedName>
    <definedName name="NSSR109">NA()</definedName>
    <definedName name="NSSR11">NA()</definedName>
    <definedName name="NSSR110">NA()</definedName>
    <definedName name="NSSR111">NA()</definedName>
    <definedName name="NSSR112">NA()</definedName>
    <definedName name="NSSR113">NA()</definedName>
    <definedName name="NSSR114">NA()</definedName>
    <definedName name="NSSR115">NA()</definedName>
    <definedName name="NSSR116">NA()</definedName>
    <definedName name="NSSR117">NA()</definedName>
    <definedName name="NSSR118">NA()</definedName>
    <definedName name="NSSR119">NA()</definedName>
    <definedName name="NSSR12">NA()</definedName>
    <definedName name="NSSR120">NA()</definedName>
    <definedName name="NSSR121">NA()</definedName>
    <definedName name="NSSR122">NA()</definedName>
    <definedName name="NSSR123">NA()</definedName>
    <definedName name="NSSR124">NA()</definedName>
    <definedName name="NSSR125">NA()</definedName>
    <definedName name="NSSR126">NA()</definedName>
    <definedName name="NSSR127">NA()</definedName>
    <definedName name="NSSR128">NA()</definedName>
    <definedName name="NSSR129">NA()</definedName>
    <definedName name="NSSR13">NA()</definedName>
    <definedName name="NSSR130">NA()</definedName>
    <definedName name="NSSR131">NA()</definedName>
    <definedName name="NSSR132">NA()</definedName>
    <definedName name="NSSR133">NA()</definedName>
    <definedName name="NSSR134">NA()</definedName>
    <definedName name="NSSR135">NA()</definedName>
    <definedName name="NSSR136">NA()</definedName>
    <definedName name="NSSR137">NA()</definedName>
    <definedName name="NSSR138">NA()</definedName>
    <definedName name="NSSR139">NA()</definedName>
    <definedName name="NSSR14">NA()</definedName>
    <definedName name="NSSR140">NA()</definedName>
    <definedName name="NSSR141">NA()</definedName>
    <definedName name="NSSR142">NA()</definedName>
    <definedName name="NSSR143">NA()</definedName>
    <definedName name="NSSR144">NA()</definedName>
    <definedName name="NSSR145">NA()</definedName>
    <definedName name="NSSR146">NA()</definedName>
    <definedName name="NSSR147">NA()</definedName>
    <definedName name="NSSR148">NA()</definedName>
    <definedName name="NSSR149">NA()</definedName>
    <definedName name="NSSR15">NA()</definedName>
    <definedName name="NSSR150">NA()</definedName>
    <definedName name="NSSR151">NA()</definedName>
    <definedName name="NSSR152">NA()</definedName>
    <definedName name="NSSR153">NA()</definedName>
    <definedName name="NSSR154">NA()</definedName>
    <definedName name="NSSR155">NA()</definedName>
    <definedName name="NSSR156">NA()</definedName>
    <definedName name="NSSR157">NA()</definedName>
    <definedName name="NSSR158">NA()</definedName>
    <definedName name="NSSR159">NA()</definedName>
    <definedName name="NSSR16">NA()</definedName>
    <definedName name="NSSR160">NA()</definedName>
    <definedName name="NSSR161">NA()</definedName>
    <definedName name="NSSR162">NA()</definedName>
    <definedName name="NSSR163">NA()</definedName>
    <definedName name="NSSR164">NA()</definedName>
    <definedName name="NSSR165">NA()</definedName>
    <definedName name="NSSR166">NA()</definedName>
    <definedName name="NSSR167">NA()</definedName>
    <definedName name="NSSR168">NA()</definedName>
    <definedName name="NSSR169">NA()</definedName>
    <definedName name="NSSR17">NA()</definedName>
    <definedName name="NSSR170">NA()</definedName>
    <definedName name="NSSR171">NA()</definedName>
    <definedName name="NSSR172">NA()</definedName>
    <definedName name="NSSR173">NA()</definedName>
    <definedName name="NSSR174">NA()</definedName>
    <definedName name="NSSR18">NA()</definedName>
    <definedName name="NSSR19">NA()</definedName>
    <definedName name="NSSR2">NA()</definedName>
    <definedName name="NSSR20">NA()</definedName>
    <definedName name="NSSR21">NA()</definedName>
    <definedName name="NSSR22">NA()</definedName>
    <definedName name="NSSR23">NA()</definedName>
    <definedName name="NSSR24">NA()</definedName>
    <definedName name="NSSR25">NA()</definedName>
    <definedName name="NSSR26">NA()</definedName>
    <definedName name="NSSR27">NA()</definedName>
    <definedName name="NSSR28">NA()</definedName>
    <definedName name="NSSR29">NA()</definedName>
    <definedName name="NSSR3">NA()</definedName>
    <definedName name="NSSR30">NA()</definedName>
    <definedName name="NSSR31">NA()</definedName>
    <definedName name="NSSR32">NA()</definedName>
    <definedName name="NSSR33">NA()</definedName>
    <definedName name="NSSR34">NA()</definedName>
    <definedName name="NSSR35">NA()</definedName>
    <definedName name="NSSR36">NA()</definedName>
    <definedName name="NSSR37">NA()</definedName>
    <definedName name="NSSR38">NA()</definedName>
    <definedName name="NSSR39">NA()</definedName>
    <definedName name="NSSR4">NA()</definedName>
    <definedName name="NSSR40">NA()</definedName>
    <definedName name="NSSR41">NA()</definedName>
    <definedName name="NSSR42">NA()</definedName>
    <definedName name="NSSR43">NA()</definedName>
    <definedName name="NSSR44">NA()</definedName>
    <definedName name="NSSR45">NA()</definedName>
    <definedName name="NSSR46">NA()</definedName>
    <definedName name="NSSR47">NA()</definedName>
    <definedName name="NSSR48">NA()</definedName>
    <definedName name="NSSR49">NA()</definedName>
    <definedName name="NSSR5">NA()</definedName>
    <definedName name="NSSR50">NA()</definedName>
    <definedName name="NSSR51">NA()</definedName>
    <definedName name="NSSR52">NA()</definedName>
    <definedName name="NSSR53">NA()</definedName>
    <definedName name="NSSR54">NA()</definedName>
    <definedName name="NSSR55">NA()</definedName>
    <definedName name="NSSR56">NA()</definedName>
    <definedName name="NSSR57">NA()</definedName>
    <definedName name="NSSR58">NA()</definedName>
    <definedName name="NSSR59">NA()</definedName>
    <definedName name="NSSR6">NA()</definedName>
    <definedName name="NSSR60">NA()</definedName>
    <definedName name="NSSR61">NA()</definedName>
    <definedName name="NSSR62">NA()</definedName>
    <definedName name="NSSR63">NA()</definedName>
    <definedName name="NSSR64">NA()</definedName>
    <definedName name="NSSR65">NA()</definedName>
    <definedName name="NSSR66">NA()</definedName>
    <definedName name="NSSR67">NA()</definedName>
    <definedName name="NSSR68">NA()</definedName>
    <definedName name="NSSR69">NA()</definedName>
    <definedName name="NSSR7">NA()</definedName>
    <definedName name="NSSR70">NA()</definedName>
    <definedName name="NSSR71">NA()</definedName>
    <definedName name="NSSR72">NA()</definedName>
    <definedName name="NSSR73">NA()</definedName>
    <definedName name="NSSR74">NA()</definedName>
    <definedName name="NSSR75">NA()</definedName>
    <definedName name="NSSR76">NA()</definedName>
    <definedName name="NSSR77">NA()</definedName>
    <definedName name="NSSR78">NA()</definedName>
    <definedName name="NSSR79">NA()</definedName>
    <definedName name="NSSR8">NA()</definedName>
    <definedName name="NSSR80">NA()</definedName>
    <definedName name="NSSR81">NA()</definedName>
    <definedName name="NSSR82">NA()</definedName>
    <definedName name="NSSR83">NA()</definedName>
    <definedName name="NSSR84">NA()</definedName>
    <definedName name="NSSR85">NA()</definedName>
    <definedName name="NSSR86">NA()</definedName>
    <definedName name="NSSR87">NA()</definedName>
    <definedName name="NSSR88">NA()</definedName>
    <definedName name="NSSR89">NA()</definedName>
    <definedName name="NSSR9">NA()</definedName>
    <definedName name="NSSR90">NA()</definedName>
    <definedName name="NSSR91">NA()</definedName>
    <definedName name="NSSR92">NA()</definedName>
    <definedName name="NSSR93">NA()</definedName>
    <definedName name="NSSR94">NA()</definedName>
    <definedName name="NSSR95">NA()</definedName>
    <definedName name="NSSR96">NA()</definedName>
    <definedName name="NSSR97">NA()</definedName>
    <definedName name="NSSR98">NA()</definedName>
    <definedName name="NSSR99">NA()</definedName>
    <definedName name="NUM_MMM" localSheetId="10">NA()</definedName>
    <definedName name="NUM_MMM">NA()</definedName>
    <definedName name="Num_Pmt_Per_Year" localSheetId="10">NA()</definedName>
    <definedName name="Num_Pmt_Per_Year">NA()</definedName>
    <definedName name="Number_of_Payments">NA()</definedName>
    <definedName name="nun" localSheetId="10">NA()</definedName>
    <definedName name="Nurses" localSheetId="10">NA()</definedName>
    <definedName name="Nurses">"[113]data.f8.btr!#ref!"</definedName>
    <definedName name="nurses1" localSheetId="10">NA()</definedName>
    <definedName name="nurses1">"[113]data.f8.btr!#ref!"</definedName>
    <definedName name="NVCP">NA()</definedName>
    <definedName name="nw" localSheetId="10">NA()</definedName>
    <definedName name="nw">NA()</definedName>
    <definedName name="obd_paint" localSheetId="10">NA()</definedName>
    <definedName name="obd_paint">NA()</definedName>
    <definedName name="obpl" localSheetId="10">NA()</definedName>
    <definedName name="obpl">NA()</definedName>
    <definedName name="OCM">"[98]office!$b$20"</definedName>
    <definedName name="oct" localSheetId="10">NA()</definedName>
    <definedName name="oct">NA()</definedName>
    <definedName name="oe">NA()</definedName>
    <definedName name="OG_metal">NA()</definedName>
    <definedName name="oh" localSheetId="10">NA()</definedName>
    <definedName name="OHBRBRACEONETOSIX" localSheetId="10">NA()</definedName>
    <definedName name="OHBRBRACEONETOSIX">NA()</definedName>
    <definedName name="OHBRBRACESEVENTOTHIRTEEN" localSheetId="10">NA()</definedName>
    <definedName name="OHBRBRACESEVENTOTHIRTEEN">NA()</definedName>
    <definedName name="OHBRCOLUMNONETOSIX" localSheetId="10">NA()</definedName>
    <definedName name="OHBRCOLUMNONETOSIX">NA()</definedName>
    <definedName name="OHBRCOLUMNSEVENTOTHIRTEEN" localSheetId="10">NA()</definedName>
    <definedName name="OHBRCOLUMNSEVENTOTHIRTEEN">NA()</definedName>
    <definedName name="ohs" localSheetId="10">NA()</definedName>
    <definedName name="ohs">NA()</definedName>
    <definedName name="OHSR" localSheetId="10">NA()</definedName>
    <definedName name="OHSR">NA()</definedName>
    <definedName name="OHSR2" localSheetId="10">NA()</definedName>
    <definedName name="OHSR2">NA()</definedName>
    <definedName name="ohsrcap" localSheetId="10">NA()</definedName>
    <definedName name="ohsrcap">NA()</definedName>
    <definedName name="oi">NA()</definedName>
    <definedName name="oii">NA()</definedName>
    <definedName name="ojsdgn" localSheetId="10">NA()</definedName>
    <definedName name="ojsdgn">NA()</definedName>
    <definedName name="ok" localSheetId="10">NA()</definedName>
    <definedName name="ok">NA()</definedName>
    <definedName name="olddata" localSheetId="10">NA()</definedName>
    <definedName name="one" localSheetId="10">NA()</definedName>
    <definedName name="one">NA()</definedName>
    <definedName name="ONETOSEVEN" localSheetId="10">NA()</definedName>
    <definedName name="ONETOSEVEN">NA()</definedName>
    <definedName name="oo" localSheetId="10">NA()</definedName>
    <definedName name="oo">NA()</definedName>
    <definedName name="ooo">NA()</definedName>
    <definedName name="OOOEOOOE" localSheetId="10">NA()</definedName>
    <definedName name="OOOEOOOE">NA()</definedName>
    <definedName name="oooo">NA()</definedName>
    <definedName name="optrq" localSheetId="10">NA()</definedName>
    <definedName name="optrq">NA()</definedName>
    <definedName name="OrderTable">NA()</definedName>
    <definedName name="others">NA()</definedName>
    <definedName name="OW" localSheetId="10">NA()</definedName>
    <definedName name="OW">NA()</definedName>
    <definedName name="owefwf">NA()</definedName>
    <definedName name="P" localSheetId="10">NA()</definedName>
    <definedName name="p">NA()</definedName>
    <definedName name="p_11" localSheetId="10">NA()</definedName>
    <definedName name="p_11">NA()</definedName>
    <definedName name="P_6">"'smb://Tender3/d/Vinod/Excel/Tender/Boundary%20Wall%20for%20American%20International%20School%20%20-%20Taramani.xls'#$Boq.CX1"</definedName>
    <definedName name="p_8" localSheetId="10">NA()</definedName>
    <definedName name="p_8">NA()</definedName>
    <definedName name="P_reinigung_in_BiopurN" localSheetId="10">NA()</definedName>
    <definedName name="P_reinigung_in_BiopurN">"[148]balan1!#ref!"</definedName>
    <definedName name="P_reinigung_in_Filter" localSheetId="10">NA()</definedName>
    <definedName name="P_reinigung_in_Filter">"[148]balan1!#ref!"</definedName>
    <definedName name="p_sch1" localSheetId="10">NA()</definedName>
    <definedName name="p_sch1">NA()</definedName>
    <definedName name="Pa">NA()</definedName>
    <definedName name="paddy">NA()</definedName>
    <definedName name="painting" localSheetId="10">NA()</definedName>
    <definedName name="painting">NA()</definedName>
    <definedName name="Painting_to_Single_Coat_Plastic_Emulsion_paint_of_superior_quality_of_approved_brand__in_all_to_give_an_even_shade_after_thoroughly_brushing_the_surface_to_remove_all_loose_powdered_materials__including_cost_and_conveyance_of_all_materials__including_cost">"[372]sch!#ref!"</definedName>
    <definedName name="Part">"[373]data!#ref!"</definedName>
    <definedName name="Pasu">NA()</definedName>
    <definedName name="pata" localSheetId="10">NA()</definedName>
    <definedName name="Paver_finisher_Hydraulic_with_sensor">NA()</definedName>
    <definedName name="Paver_finisher_mechanical_sold">NA()</definedName>
    <definedName name="Pay_Date" localSheetId="10">NA()</definedName>
    <definedName name="Pay_Date">NA()</definedName>
    <definedName name="Pay_Num" localSheetId="10">NA()</definedName>
    <definedName name="Pay_Num">NA()</definedName>
    <definedName name="PAYJJJJJD" localSheetId="10">NA()</definedName>
    <definedName name="PAYJJJJJD">NA()</definedName>
    <definedName name="Payment_Date">NA()</definedName>
    <definedName name="pbg" localSheetId="10">NA()</definedName>
    <definedName name="pbg">NA()</definedName>
    <definedName name="pbm">NA()</definedName>
    <definedName name="pbpt" localSheetId="10">NA()</definedName>
    <definedName name="pbpt">NA()</definedName>
    <definedName name="Pbx" localSheetId="10">NA()</definedName>
    <definedName name="Pbx">"[294]design!#ref!"</definedName>
    <definedName name="Pby" localSheetId="10">NA()</definedName>
    <definedName name="Pby">"[294]design!#ref!"</definedName>
    <definedName name="pc" localSheetId="10">NA()</definedName>
    <definedName name="pc">NA()</definedName>
    <definedName name="pcc" localSheetId="10">NA()</definedName>
    <definedName name="pcc">NA()</definedName>
    <definedName name="pcc_bedblock" localSheetId="10">NA()</definedName>
    <definedName name="pcc_bedblock">NA()</definedName>
    <definedName name="pccut" localSheetId="10">NA()</definedName>
    <definedName name="pccut">NA()</definedName>
    <definedName name="pcrao">NA()</definedName>
    <definedName name="PDS" localSheetId="10">NA()</definedName>
    <definedName name="PDS">NA()</definedName>
    <definedName name="Pedastals__columns">"[71]works!#ref!"</definedName>
    <definedName name="Perf_Garantee" localSheetId="10">NA()</definedName>
    <definedName name="Perf_Garantee">NA()</definedName>
    <definedName name="peru" localSheetId="10">NA()</definedName>
    <definedName name="peru">NA()</definedName>
    <definedName name="perugudi" localSheetId="10">NA()</definedName>
    <definedName name="perugudi">NA()</definedName>
    <definedName name="perungudi" localSheetId="10">NA()</definedName>
    <definedName name="perungudi">NA()</definedName>
    <definedName name="pftw" localSheetId="10">NA()</definedName>
    <definedName name="pftw">"[122]process!#ref!"</definedName>
    <definedName name="pg" localSheetId="10">NA()</definedName>
    <definedName name="pg">NA()</definedName>
    <definedName name="PGS">NA()</definedName>
    <definedName name="phase">NA()</definedName>
    <definedName name="phi">NA()</definedName>
    <definedName name="Phone">NA()</definedName>
    <definedName name="pi">3.1415</definedName>
    <definedName name="Picking___spreading_metal_for_WBM_for_75_mm">NA()</definedName>
    <definedName name="Picking_metal___sectiong">NA()</definedName>
    <definedName name="pIIII">NA()</definedName>
    <definedName name="PIPE" localSheetId="10">NA()</definedName>
    <definedName name="PIPE">NA()</definedName>
    <definedName name="PK" localSheetId="10">NA()</definedName>
    <definedName name="PK">NA()</definedName>
    <definedName name="pkgno">NA()</definedName>
    <definedName name="PKK" localSheetId="10">NA()</definedName>
    <definedName name="PKK">NA()</definedName>
    <definedName name="plaster_ornamental" localSheetId="10">NA()</definedName>
    <definedName name="plaster_ornamental">NA()</definedName>
    <definedName name="plaster_twelve" localSheetId="10">NA()</definedName>
    <definedName name="plaster_twelve">NA()</definedName>
    <definedName name="plaster_twenty" localSheetId="10">NA()</definedName>
    <definedName name="plaster_twenty">NA()</definedName>
    <definedName name="plastering12" localSheetId="10">NA()</definedName>
    <definedName name="plastering12">NA()</definedName>
    <definedName name="plasticemulsion_paint" localSheetId="10">NA()</definedName>
    <definedName name="plasticemulsion_paint">NA()</definedName>
    <definedName name="plbeams" localSheetId="10">NA()</definedName>
    <definedName name="plbeams">NA()</definedName>
    <definedName name="Plinth_beams__lintels">"[71]works!#ref!"</definedName>
    <definedName name="PM" localSheetId="10">NA()</definedName>
    <definedName name="PM">NA()</definedName>
    <definedName name="Pneumatic_tyre_Roller">NA()</definedName>
    <definedName name="Polished_black_Cuddapah_slabs_25_4mm">NA()</definedName>
    <definedName name="Polished_Shahabad_slabs_of_Tandur_25_4mm_blue">NA()</definedName>
    <definedName name="Polished_Shahabad_slabs_of_Tandur_25_4mm_white">NA()</definedName>
    <definedName name="pop" localSheetId="10">NA()</definedName>
    <definedName name="pop">NA()</definedName>
    <definedName name="portico__bottom__steps">NA()</definedName>
    <definedName name="portion" localSheetId="10">NA()</definedName>
    <definedName name="portion">"[128]lead!#ref!"</definedName>
    <definedName name="poutr" localSheetId="10">NA()</definedName>
    <definedName name="poutr">NA()</definedName>
    <definedName name="powo" localSheetId="10">NA()</definedName>
    <definedName name="powo">NA()</definedName>
    <definedName name="ppp">NA()</definedName>
    <definedName name="PPPPP" localSheetId="10">NA()</definedName>
    <definedName name="PPPPP">NA()</definedName>
    <definedName name="pppppppppp">"[71]material!#ref!"</definedName>
    <definedName name="pppppppppppp">"[71]works!#ref!"</definedName>
    <definedName name="pppppppppppppp">"[71]works!#ref!"</definedName>
    <definedName name="pqodjhf" localSheetId="10">NA()</definedName>
    <definedName name="pqodjhf">NA()</definedName>
    <definedName name="PR_Habcode_16_Dig" localSheetId="10">NA()</definedName>
    <definedName name="PR_Habcode_16_Dig">NA()</definedName>
    <definedName name="Prasad" localSheetId="10">NA()</definedName>
    <definedName name="Prasad">NA()</definedName>
    <definedName name="prb">NA()</definedName>
    <definedName name="PRC" localSheetId="10">NA()</definedName>
    <definedName name="PRC">NA()</definedName>
    <definedName name="pre" localSheetId="10">NA()</definedName>
    <definedName name="pre_data" localSheetId="10">NA()</definedName>
    <definedName name="prelim">"'[141]1'!$a$1:$u$65536"</definedName>
    <definedName name="Prelm_Exp" localSheetId="10">NA()</definedName>
    <definedName name="Prelm_Exp">NA()</definedName>
    <definedName name="Princ" localSheetId="10">NA()</definedName>
    <definedName name="Princ">NA()</definedName>
    <definedName name="prince" localSheetId="10">NA()</definedName>
    <definedName name="prince">NA()</definedName>
    <definedName name="prince1" localSheetId="10">NA()</definedName>
    <definedName name="prince1">NA()</definedName>
    <definedName name="_xlnm.Print_Area" localSheetId="24">'CC1st&amp; Final'!$A$1:$K$144</definedName>
    <definedName name="_xlnm.Print_Area" localSheetId="5">'C-data'!$A$1:$I$5053</definedName>
    <definedName name="_xlnm.Print_Area" localSheetId="15">'Civil Estimate'!$A$1:$G$90</definedName>
    <definedName name="_xlnm.Print_Area" localSheetId="22">'Civil-D'!$A$1:$H$233</definedName>
    <definedName name="_xlnm.Print_Area" localSheetId="1">'Civil-SOR'!$A$1:$T$397</definedName>
    <definedName name="_xlnm.Print_Area" localSheetId="17">'Ele-Data'!$A$1:$J$2061</definedName>
    <definedName name="_xlnm.Print_Area" localSheetId="18">GA!$A$1:$C$18</definedName>
    <definedName name="_xlnm.Print_Area" localSheetId="21">'GA1'!$A$1:$G$24</definedName>
    <definedName name="_xlnm.Print_Area" localSheetId="3">Input!$A$1:$E$53</definedName>
    <definedName name="_xlnm.Print_Area" localSheetId="6">Joinery!$A$1:$I$1324</definedName>
    <definedName name="_xlnm.Print_Area" localSheetId="4">LEAD!$A$1:$N$49</definedName>
    <definedName name="_xlnm.Print_Area" localSheetId="20">RE!$A$1:$O$147</definedName>
    <definedName name="_xlnm.Print_Area" localSheetId="25">SP!$A$1:$H$145</definedName>
    <definedName name="_xlnm.Print_Area" localSheetId="7">'WS Data'!$A$1:$I$509</definedName>
    <definedName name="Print_Area_MI" localSheetId="10">NA()</definedName>
    <definedName name="Print_Area_MI">NA()</definedName>
    <definedName name="Print_Area_MI_10" localSheetId="10">NA()</definedName>
    <definedName name="Print_Area_MI_10">NA()</definedName>
    <definedName name="Print_Area_MI_12" localSheetId="10">NA()</definedName>
    <definedName name="Print_Area_MI_12">NA()</definedName>
    <definedName name="Print_Area_MI_3" localSheetId="10">NA()</definedName>
    <definedName name="Print_Area_MI_3">NA()</definedName>
    <definedName name="Print_Area_MI_6" localSheetId="10">NA()</definedName>
    <definedName name="Print_Area_MI_6">NA()</definedName>
    <definedName name="Print_Area_MI_7" localSheetId="10">NA()</definedName>
    <definedName name="Print_Area_MI_7">NA()</definedName>
    <definedName name="Print_Area_MI_9" localSheetId="10">NA()</definedName>
    <definedName name="Print_Area_MI_9">NA()</definedName>
    <definedName name="Print_Area_Reset">NA()</definedName>
    <definedName name="_xlnm.Print_Titles" localSheetId="5">'C-data'!$24:$24</definedName>
    <definedName name="_xlnm.Print_Titles" localSheetId="15">'Civil Estimate'!$3:$3</definedName>
    <definedName name="_xlnm.Print_Titles" localSheetId="8">'Civil SoR'!$2:$2</definedName>
    <definedName name="_xlnm.Print_Titles" localSheetId="22">'Civil-D'!$3:$3</definedName>
    <definedName name="_xlnm.Print_Titles" localSheetId="4">LEAD!$3:$5</definedName>
    <definedName name="_xlnm.Print_Titles" localSheetId="7">'WS Data'!$3:$3</definedName>
    <definedName name="_xlnm.Print_Titles" localSheetId="9">'WS SoR'!$3:$3</definedName>
    <definedName name="Prl">NA()</definedName>
    <definedName name="proBS">NA()</definedName>
    <definedName name="ProdForm">NA()</definedName>
    <definedName name="Product">NA()</definedName>
    <definedName name="PROFIT">"[98]office!$b$22"</definedName>
    <definedName name="PROFIT1">"[98]office!$b$21"</definedName>
    <definedName name="PROFORMA_IV__2_" localSheetId="10">NA()</definedName>
    <definedName name="PROFORMA_IV__2_">NA()</definedName>
    <definedName name="project" localSheetId="10">NA()</definedName>
    <definedName name="project">NA()</definedName>
    <definedName name="projection" localSheetId="10">NA()</definedName>
    <definedName name="projection">"[130]boq!#ref!"</definedName>
    <definedName name="Provision_for_unforseen_items___2__and_rounding_off" localSheetId="10">NA()</definedName>
    <definedName name="ps">NA()</definedName>
    <definedName name="pss">NA()</definedName>
    <definedName name="psw">NA()</definedName>
    <definedName name="PT">NA()</definedName>
    <definedName name="pui">NA()</definedName>
    <definedName name="pump" localSheetId="10">NA()</definedName>
    <definedName name="pump">NA()</definedName>
    <definedName name="Pump___23_KW">NA()</definedName>
    <definedName name="pumpset">NA()</definedName>
    <definedName name="PUR">NA()</definedName>
    <definedName name="purses" localSheetId="10">NA()</definedName>
    <definedName name="puta" localSheetId="10">NA()</definedName>
    <definedName name="Puz" localSheetId="10">NA()</definedName>
    <definedName name="Puz">"[294]design!#ref!"</definedName>
    <definedName name="pvc_100" localSheetId="10">NA()</definedName>
    <definedName name="pvc_100">NA()</definedName>
    <definedName name="pvc_15" localSheetId="10">NA()</definedName>
    <definedName name="pvc_15">NA()</definedName>
    <definedName name="pvc_150" localSheetId="10">NA()</definedName>
    <definedName name="pvc_150">NA()</definedName>
    <definedName name="pvc_20" localSheetId="10">NA()</definedName>
    <definedName name="pvc_20">NA()</definedName>
    <definedName name="pvc_200" localSheetId="10">NA()</definedName>
    <definedName name="pvc_200">NA()</definedName>
    <definedName name="pvc_25" localSheetId="10">NA()</definedName>
    <definedName name="pvc_25">NA()</definedName>
    <definedName name="pvc_250" localSheetId="10">NA()</definedName>
    <definedName name="pvc_250">NA()</definedName>
    <definedName name="pvc_300" localSheetId="10">NA()</definedName>
    <definedName name="pvc_300">NA()</definedName>
    <definedName name="pvc_32" localSheetId="10">NA()</definedName>
    <definedName name="pvc_32">NA()</definedName>
    <definedName name="pvc_40" localSheetId="10">NA()</definedName>
    <definedName name="pvc_40">NA()</definedName>
    <definedName name="pvc_400" localSheetId="10">NA()</definedName>
    <definedName name="pvc_400">NA()</definedName>
    <definedName name="pvc_50" localSheetId="10">NA()</definedName>
    <definedName name="pvc_50">NA()</definedName>
    <definedName name="pvc_600" localSheetId="10">NA()</definedName>
    <definedName name="pvc_600">NA()</definedName>
    <definedName name="pvc_65" localSheetId="10">NA()</definedName>
    <definedName name="pvc_65">NA()</definedName>
    <definedName name="pvc_80" localSheetId="10">NA()</definedName>
    <definedName name="pvc_80">NA()</definedName>
    <definedName name="pvc_bends" localSheetId="10">NA()</definedName>
    <definedName name="pvc_bends">NA()</definedName>
    <definedName name="pvc_clamps" localSheetId="10">NA()</definedName>
    <definedName name="pvc_clamps">NA()</definedName>
    <definedName name="pvc_collar" localSheetId="10">NA()</definedName>
    <definedName name="pvc_collar">NA()</definedName>
    <definedName name="pvc_pipes_110" localSheetId="10">NA()</definedName>
    <definedName name="pvc_pipes_110">NA()</definedName>
    <definedName name="pvc_specials" localSheetId="10">NA()</definedName>
    <definedName name="pvc_specials">NA()</definedName>
    <definedName name="pvcALL">NA()</definedName>
    <definedName name="pvcBend">NA()</definedName>
    <definedName name="pvcCoupling">NA()</definedName>
    <definedName name="pvcDummy">NA()</definedName>
    <definedName name="pvcElbow">NA()</definedName>
    <definedName name="pvcFTA">NA()</definedName>
    <definedName name="PVCid10_0">NA()</definedName>
    <definedName name="PVCid4_0">NA()</definedName>
    <definedName name="PVCid6_0">NA()</definedName>
    <definedName name="PVCid8_0">NA()</definedName>
    <definedName name="pvcMTA">NA()</definedName>
    <definedName name="PVCreducedTee">NA()</definedName>
    <definedName name="pvcSpecials">NA()</definedName>
    <definedName name="pvcTee">NA()</definedName>
    <definedName name="PWF">NA()</definedName>
    <definedName name="q" localSheetId="10">NA()</definedName>
    <definedName name="q">NA()</definedName>
    <definedName name="Q_">NA()</definedName>
    <definedName name="Q_136_BCCP">NA()</definedName>
    <definedName name="Q_136_BODY">NA()</definedName>
    <definedName name="Q_136_FLY_BCCP">NA()</definedName>
    <definedName name="Q_136_FOUND">NA()</definedName>
    <definedName name="Q_148_BCCP">NA()</definedName>
    <definedName name="q_8" localSheetId="10">NA()</definedName>
    <definedName name="q_8">NA()</definedName>
    <definedName name="Q_BACKFILL">NA()</definedName>
    <definedName name="Q_BC">NA()</definedName>
    <definedName name="Q_BED_HP">NA()</definedName>
    <definedName name="Q_BM_100">NA()</definedName>
    <definedName name="Q_BM_50">NA()</definedName>
    <definedName name="Q_BT_PATCH">NA()</definedName>
    <definedName name="Q_BT_PATCH_40">NA()</definedName>
    <definedName name="Q_CD_EW" localSheetId="10">NA()</definedName>
    <definedName name="Q_CD_EW">NA()</definedName>
    <definedName name="Q_CD_M10_BODY" localSheetId="10">NA()</definedName>
    <definedName name="Q_CD_M10_BODY">NA()</definedName>
    <definedName name="Q_CD_M10_FOUN" localSheetId="10">NA()</definedName>
    <definedName name="Q_CD_M10_FOUN">NA()</definedName>
    <definedName name="Q_EW_C">NA()</definedName>
    <definedName name="Q_EW_F" localSheetId="10">NA()</definedName>
    <definedName name="Q_EW_F">"[382]r_det!#ref!"</definedName>
    <definedName name="Q_EW_FOUND">NA()</definedName>
    <definedName name="Q_EW_S">"[382]r_det!#ref!"</definedName>
    <definedName name="Q_EW_T">NA()</definedName>
    <definedName name="Q_EW_USS">NA()</definedName>
    <definedName name="Q_FILL_INB_BODY">NA()</definedName>
    <definedName name="Q_FILTER_ABUT">NA()</definedName>
    <definedName name="Q_FILTER_BPITCH">NA()</definedName>
    <definedName name="Q_G2_22B_aS_PR">NA()</definedName>
    <definedName name="Q_G2_22B_AS_VR">NA()</definedName>
    <definedName name="Q_G2_45B_AS_PR">NA()</definedName>
    <definedName name="Q_G2_45B_AS_VR">NA()</definedName>
    <definedName name="Q_G3_22B_BS_PR">NA()</definedName>
    <definedName name="Q_G3_22B_BS_VR">NA()</definedName>
    <definedName name="Q_G3_45B_BS_PR">NA()</definedName>
    <definedName name="Q_G3_45B_BS_VR">NA()</definedName>
    <definedName name="Q_GRAVEL_SHOLDERS" localSheetId="10">NA()</definedName>
    <definedName name="Q_GRAVEL_SHOLDERS">"[382]r_det!#ref!"</definedName>
    <definedName name="Q_GROUT_REV">NA()</definedName>
    <definedName name="Q_GS">NA()</definedName>
    <definedName name="Q_GSB">"[382]r_det!#ref!"</definedName>
    <definedName name="Q_HP">NA()</definedName>
    <definedName name="Q_HP_1000">NA()</definedName>
    <definedName name="Q_HP_600">NA()</definedName>
    <definedName name="Q_HP_800">NA()</definedName>
    <definedName name="Q_HYSD_FOUND">NA()</definedName>
    <definedName name="Q_HYSD_SUB">NA()</definedName>
    <definedName name="Q_HYSD_SUPER">NA()</definedName>
    <definedName name="Q_M15_DIVIDERS">NA()</definedName>
    <definedName name="Q_M15_FOUND">NA()</definedName>
    <definedName name="Q_M15_LEVEL">NA()</definedName>
    <definedName name="Q_M15_SUB">NA()</definedName>
    <definedName name="Q_M20R_BEDBLOCKS">NA()</definedName>
    <definedName name="Q_M20R_COVER_SLAB">NA()</definedName>
    <definedName name="Q_M20R_DECK">NA()</definedName>
    <definedName name="Q_M20R_RAIL">NA()</definedName>
    <definedName name="Q_M25R_APP">NA()</definedName>
    <definedName name="Q_M30R_WC">NA()</definedName>
    <definedName name="Q_M35_CCP">NA()</definedName>
    <definedName name="Q_M35_FLY_CCP">NA()</definedName>
    <definedName name="Q_MILD">NA()</definedName>
    <definedName name="Q_PAINT">NA()</definedName>
    <definedName name="q_pick" localSheetId="10">NA()</definedName>
    <definedName name="q_pick">"[382]r_det!#ref!"</definedName>
    <definedName name="Q_PLAST">NA()</definedName>
    <definedName name="Q_REV300">NA()</definedName>
    <definedName name="Q_SANDFILL">NA()</definedName>
    <definedName name="Q_SCAR_BT">NA()</definedName>
    <definedName name="Q_SCAR_GRA">NA()</definedName>
    <definedName name="Q_SCSD" localSheetId="10">NA()</definedName>
    <definedName name="Q_SCSD">"[382]r_det!#ref!"</definedName>
    <definedName name="Q_SCSD_6070">NA()</definedName>
    <definedName name="Q_SCSD_80100">NA()</definedName>
    <definedName name="Q_SDBC">"[382]r_det!#ref!"</definedName>
    <definedName name="Q_TACK">"[382]r_det!#ref!"</definedName>
    <definedName name="Q_WBM2" localSheetId="10">NA()</definedName>
    <definedName name="Q_WBM2">"[382]r_det!#ref!"</definedName>
    <definedName name="Q_WBM3" localSheetId="10">NA()</definedName>
    <definedName name="Q_WBM3">"[382]r_det!#ref!"</definedName>
    <definedName name="Q_WMM">NA()</definedName>
    <definedName name="qq" localSheetId="10">NA()</definedName>
    <definedName name="qqq" localSheetId="10">NA()</definedName>
    <definedName name="qqq">NA()</definedName>
    <definedName name="qqqq" localSheetId="10">NA()</definedName>
    <definedName name="qqqq">NA()</definedName>
    <definedName name="QQQQQQ">"[383]lead!#ref!"</definedName>
    <definedName name="qqqqqqq">NA()</definedName>
    <definedName name="qqqqqqqqq">"[93]data!#ref!"</definedName>
    <definedName name="qqqqqqqqqqqqq" localSheetId="10">NA()</definedName>
    <definedName name="qqqqqqqqqqqqq">NA()</definedName>
    <definedName name="qqww" localSheetId="10">NA()</definedName>
    <definedName name="qqww">NA()</definedName>
    <definedName name="QRückläufe">NA()</definedName>
    <definedName name="QSchlamwasser_Dauer">NA()</definedName>
    <definedName name="Qu" localSheetId="10">NA()</definedName>
    <definedName name="Qu">NA()</definedName>
    <definedName name="quarry">"[71]material!#ref!"</definedName>
    <definedName name="Quarry_rubbish">"[71]material!#ref!"</definedName>
    <definedName name="Quaspall" localSheetId="10">NA()</definedName>
    <definedName name="Quaspall">NA()</definedName>
    <definedName name="que">NA()</definedName>
    <definedName name="quer10" localSheetId="10">NA()</definedName>
    <definedName name="quer10">NA()</definedName>
    <definedName name="QUERY2" localSheetId="10">NA()</definedName>
    <definedName name="QUERY2">"[385]data!#ref!"</definedName>
    <definedName name="qwe" localSheetId="10">NA()</definedName>
    <definedName name="qwe">NA()</definedName>
    <definedName name="qwew">NA()</definedName>
    <definedName name="qwwetrty" localSheetId="10">NA()</definedName>
    <definedName name="qwwetrty">NA()</definedName>
    <definedName name="qwww">NA()</definedName>
    <definedName name="R_12_M">NA()</definedName>
    <definedName name="R_136_BCCP">NA()</definedName>
    <definedName name="R_136_BODY">NA()</definedName>
    <definedName name="R_136_FLY_BCCP">NA()</definedName>
    <definedName name="R_148_BCCP">NA()</definedName>
    <definedName name="R_25_M">NA()</definedName>
    <definedName name="R_6_M">NA()</definedName>
    <definedName name="r_ac_pipe_100_cl">NA()</definedName>
    <definedName name="r_ac_pipe_125_cl">NA()</definedName>
    <definedName name="r_ac_pipe_150_cl">NA()</definedName>
    <definedName name="r_ac_pipe_200_cl">NA()</definedName>
    <definedName name="r_ac_pipe_80_cl">NA()</definedName>
    <definedName name="R_BED_HP">NA()</definedName>
    <definedName name="r_block_20">NA()</definedName>
    <definedName name="r_block_50">NA()</definedName>
    <definedName name="R_BM" localSheetId="10">NA()</definedName>
    <definedName name="R_BM">NA()</definedName>
    <definedName name="R_BM_50">NA()</definedName>
    <definedName name="R_BT_PATCH">NA()</definedName>
    <definedName name="R_BT_PATCH_40">NA()</definedName>
    <definedName name="R_Diversion_Road" localSheetId="10">NA()</definedName>
    <definedName name="R_Diversion_Road">NA()</definedName>
    <definedName name="R_EW_C">NA()</definedName>
    <definedName name="R_EW_Car" localSheetId="10">NA()</definedName>
    <definedName name="R_EW_Car">NA()</definedName>
    <definedName name="r_ew_emb">NA()</definedName>
    <definedName name="R_EW_FOUND">NA()</definedName>
    <definedName name="R_EW_Man" localSheetId="10">NA()</definedName>
    <definedName name="R_EW_Man">NA()</definedName>
    <definedName name="R_EW_OMC_Car" localSheetId="10">NA()</definedName>
    <definedName name="R_EW_OMC_Car">NA()</definedName>
    <definedName name="R_EW_OMC_Side" localSheetId="10">NA()</definedName>
    <definedName name="R_EW_OMC_Side">NA()</definedName>
    <definedName name="r_ew_rf_cons">NA()</definedName>
    <definedName name="R_EW_S">NA()</definedName>
    <definedName name="R_EW_T">NA()</definedName>
    <definedName name="R_EW_USS">NA()</definedName>
    <definedName name="R_FILL_INB_BODY">NA()</definedName>
    <definedName name="R_FILTER_ABUT">NA()</definedName>
    <definedName name="R_FILTER_BPITCH">NA()</definedName>
    <definedName name="r_floor_pl">NA()</definedName>
    <definedName name="R_G2_22B_AS_PR">NA()</definedName>
    <definedName name="R_G2_22B_AS_VR">NA()</definedName>
    <definedName name="R_G2_45B_AS_PR">NA()</definedName>
    <definedName name="R_G2_45B_AS_VR">NA()</definedName>
    <definedName name="R_G3_22B_BS_PR">NA()</definedName>
    <definedName name="R_G3_22B_BS_VR">NA()</definedName>
    <definedName name="R_G3_45B_BS_PR">NA()</definedName>
    <definedName name="R_G3_45B_BS_VR">NA()</definedName>
    <definedName name="R_Gravel">NA()</definedName>
    <definedName name="R_Gravel_Quardrent" localSheetId="10">NA()</definedName>
    <definedName name="R_Gravel_Quardrent">NA()</definedName>
    <definedName name="R_GROUT_REV">NA()</definedName>
    <definedName name="R_GS">NA()</definedName>
    <definedName name="R_HP_600" localSheetId="10">NA()</definedName>
    <definedName name="R_HP_600">NA()</definedName>
    <definedName name="R_HPL_600" localSheetId="10">NA()</definedName>
    <definedName name="R_HPL_600">NA()</definedName>
    <definedName name="R_HYSD_Super" localSheetId="10">NA()</definedName>
    <definedName name="R_HYSD_Super">NA()</definedName>
    <definedName name="R_M10_base" localSheetId="10">NA()</definedName>
    <definedName name="R_M10_base">NA()</definedName>
    <definedName name="R_M10_bCC" localSheetId="10">NA()</definedName>
    <definedName name="R_M10_bCC">NA()</definedName>
    <definedName name="R_M10_drains" localSheetId="10">NA()</definedName>
    <definedName name="R_M10_drains">NA()</definedName>
    <definedName name="R_M15_dividers" localSheetId="10">NA()</definedName>
    <definedName name="R_M15_dividers">NA()</definedName>
    <definedName name="R_M15_footing" localSheetId="10">NA()</definedName>
    <definedName name="R_M15_footing">NA()</definedName>
    <definedName name="R_M15_FOUND">NA()</definedName>
    <definedName name="R_M15_LEVEL">NA()</definedName>
    <definedName name="R_M15_SUB" localSheetId="10">NA()</definedName>
    <definedName name="R_M15_SUB">NA()</definedName>
    <definedName name="R_M20_BedBack" localSheetId="10">NA()</definedName>
    <definedName name="R_M20_BedBack">NA()</definedName>
    <definedName name="R_M20_COVER" localSheetId="10">NA()</definedName>
    <definedName name="R_M20_COVER">NA()</definedName>
    <definedName name="R_M20_DECKSLAB" localSheetId="10">NA()</definedName>
    <definedName name="R_M20_DECKSLAB">NA()</definedName>
    <definedName name="R_M20R_BEDBLOCKS">NA()</definedName>
    <definedName name="R_M20R_COVER_SLAB">NA()</definedName>
    <definedName name="R_M20R_DECK">NA()</definedName>
    <definedName name="R_M20R_RAIL">NA()</definedName>
    <definedName name="R_M25_ApproachSlab" localSheetId="10">NA()</definedName>
    <definedName name="R_M25_ApproachSlab">NA()</definedName>
    <definedName name="R_M25R_APP">NA()</definedName>
    <definedName name="R_M30_WC" localSheetId="10">NA()</definedName>
    <definedName name="R_M30_WC">NA()</definedName>
    <definedName name="R_M30R_WC">NA()</definedName>
    <definedName name="R_M35_C2">NA()</definedName>
    <definedName name="R_M35_CC" localSheetId="10">NA()</definedName>
    <definedName name="R_M35_CC">NA()</definedName>
    <definedName name="R_M35_CCP">NA()</definedName>
    <definedName name="R_M35_FLY_CCP">NA()</definedName>
    <definedName name="R_M35_FlyAsh" localSheetId="10">NA()</definedName>
    <definedName name="R_M35_FlyAsh">NA()</definedName>
    <definedName name="r_media_m_20">NA()</definedName>
    <definedName name="r_media_m_6">NA()</definedName>
    <definedName name="r_media_sd_c">NA()</definedName>
    <definedName name="r_media_sd_f">NA()</definedName>
    <definedName name="R_Mild" localSheetId="10">NA()</definedName>
    <definedName name="R_Mild">NA()</definedName>
    <definedName name="R_Napa">NA()</definedName>
    <definedName name="r_ohsr_40_12_7">NA()</definedName>
    <definedName name="r_ohsr_40_9_55">NA()</definedName>
    <definedName name="r_ohsr_60_12_9">NA()</definedName>
    <definedName name="r_ohsr_60_9_75">NA()</definedName>
    <definedName name="R_PAINT">NA()</definedName>
    <definedName name="R_Painting" localSheetId="10">NA()</definedName>
    <definedName name="R_Painting">NA()</definedName>
    <definedName name="r_pcc_124_12">NA()</definedName>
    <definedName name="r_pl_rf">NA()</definedName>
    <definedName name="R_PLAST">NA()</definedName>
    <definedName name="R_PLAST_CUM">NA()</definedName>
    <definedName name="R_PLAST_SQM">NA()</definedName>
    <definedName name="R_Plastering" localSheetId="10">NA()</definedName>
    <definedName name="R_Plastering">NA()</definedName>
    <definedName name="R_Rev_A300" localSheetId="10">NA()</definedName>
    <definedName name="R_Rev_A300">NA()</definedName>
    <definedName name="R_Rev_Q300" localSheetId="10">NA()</definedName>
    <definedName name="R_Rev_Q300">NA()</definedName>
    <definedName name="R_REV300">NA()</definedName>
    <definedName name="R_Rs_Mason">NA()</definedName>
    <definedName name="R_Rs_Riv_300">NA()</definedName>
    <definedName name="R_SANDFILL">NA()</definedName>
    <definedName name="R_SandFILLING" localSheetId="10">NA()</definedName>
    <definedName name="R_SandFILLING">NA()</definedName>
    <definedName name="R_Scar_BT" localSheetId="10">NA()</definedName>
    <definedName name="R_Scar_BT">NA()</definedName>
    <definedName name="R_SCAR_GRA">NA()</definedName>
    <definedName name="R_Scar_GSB" localSheetId="10">NA()</definedName>
    <definedName name="R_Scar_GSB">NA()</definedName>
    <definedName name="R_SCSD" localSheetId="10">NA()</definedName>
    <definedName name="R_SCSD_80100" localSheetId="10">NA()</definedName>
    <definedName name="R_SCSD_80100">NA()</definedName>
    <definedName name="r_sd_media">NA()</definedName>
    <definedName name="R_Teak">NA()</definedName>
    <definedName name="r_vrcc_cur_wall_20">NA()</definedName>
    <definedName name="R_WBM2" localSheetId="10">NA()</definedName>
    <definedName name="R_WBM2">NA()</definedName>
    <definedName name="R_WBM2_HVR" localSheetId="10">NA()</definedName>
    <definedName name="R_WBM2_HVR">NA()</definedName>
    <definedName name="R_WBM2_MCS" localSheetId="10">NA()</definedName>
    <definedName name="R_WBM2_MCS">NA()</definedName>
    <definedName name="R_WBM3" localSheetId="10">NA()</definedName>
    <definedName name="R_WBM3">NA()</definedName>
    <definedName name="R_WBM3_HVR" localSheetId="10">NA()</definedName>
    <definedName name="R_WBM3_HVR">NA()</definedName>
    <definedName name="R_WBM3_MCS" localSheetId="10">NA()</definedName>
    <definedName name="R_WBM3_MCS">NA()</definedName>
    <definedName name="R_Weepholes" localSheetId="10">NA()</definedName>
    <definedName name="R_Weepholes">NA()</definedName>
    <definedName name="R_WMM" localSheetId="10">NA()</definedName>
    <definedName name="R_WMM">NA()</definedName>
    <definedName name="ra" localSheetId="10">NA()</definedName>
    <definedName name="raams" localSheetId="10">NA()</definedName>
    <definedName name="raams">NA()</definedName>
    <definedName name="Rabbit" localSheetId="10">NA()</definedName>
    <definedName name="Rabbit">NA()</definedName>
    <definedName name="raghava">NA()</definedName>
    <definedName name="raised_pointing" localSheetId="10">NA()</definedName>
    <definedName name="raised_pointing">NA()</definedName>
    <definedName name="raj" localSheetId="10">NA()</definedName>
    <definedName name="raj">NA()</definedName>
    <definedName name="ram" localSheetId="10">NA()</definedName>
    <definedName name="raMA" localSheetId="10">NA()</definedName>
    <definedName name="raMA">"[391]data!#ref!"</definedName>
    <definedName name="raod" localSheetId="10">NA()</definedName>
    <definedName name="raod">"[118]lead!#ref!"</definedName>
    <definedName name="ras">NA()</definedName>
    <definedName name="RatAna" localSheetId="10">NA()</definedName>
    <definedName name="RatAna">NA()</definedName>
    <definedName name="rate" localSheetId="10">NA()</definedName>
    <definedName name="rates" localSheetId="10">NA()</definedName>
    <definedName name="rates">NA()</definedName>
    <definedName name="rates1" localSheetId="10">NA()</definedName>
    <definedName name="rates1">NA()</definedName>
    <definedName name="rates11" localSheetId="10">NA()</definedName>
    <definedName name="rates11">NA()</definedName>
    <definedName name="rates4" localSheetId="10">NA()</definedName>
    <definedName name="rates4">NA()</definedName>
    <definedName name="Ravu" localSheetId="10">NA()</definedName>
    <definedName name="Ravu">NA()</definedName>
    <definedName name="rbsw">NA()</definedName>
    <definedName name="rbw">NA()</definedName>
    <definedName name="RCArea">NA()</definedName>
    <definedName name="RCC_CL" localSheetId="10">NA()</definedName>
    <definedName name="RCC_CL">"[70]wh_data_r!#ref!"</definedName>
    <definedName name="RCM__facia__railing">"[71]works!#ref!"</definedName>
    <definedName name="rcm_facia" localSheetId="10">NA()</definedName>
    <definedName name="rcm_facia">NA()</definedName>
    <definedName name="rcml">NA()</definedName>
    <definedName name="rcwbgl" localSheetId="10">NA()</definedName>
    <definedName name="rcwbgl">NA()</definedName>
    <definedName name="rcwbgl2" localSheetId="10">NA()</definedName>
    <definedName name="rcwbgl2">NA()</definedName>
    <definedName name="rd">NA()</definedName>
    <definedName name="rdm">NA()</definedName>
    <definedName name="re" localSheetId="10">NA()</definedName>
    <definedName name="re">NA()</definedName>
    <definedName name="read" localSheetId="10">NA()</definedName>
    <definedName name="Rear" localSheetId="10">NA()</definedName>
    <definedName name="Rear">"[394]column!#ref!"</definedName>
    <definedName name="rear1" localSheetId="10">NA()</definedName>
    <definedName name="rear1">"[394]column!#ref!"</definedName>
    <definedName name="REARS" localSheetId="10">NA()</definedName>
    <definedName name="REARS">"[394]column!#ref!"</definedName>
    <definedName name="rect_4_415" localSheetId="10">NA()</definedName>
    <definedName name="rect_4_415">NA()</definedName>
    <definedName name="Rectangular_L_beam">"[71]works!#ref!"</definedName>
    <definedName name="RECV" localSheetId="10">NA()</definedName>
    <definedName name="RECV">NA()</definedName>
    <definedName name="red" localSheetId="10">NA()</definedName>
    <definedName name="red">NA()</definedName>
    <definedName name="ree" localSheetId="10">NA()</definedName>
    <definedName name="ree">NA()</definedName>
    <definedName name="refilling" localSheetId="10">NA()</definedName>
    <definedName name="refilling">NA()</definedName>
    <definedName name="refrt">"[71]material!#ref!"</definedName>
    <definedName name="reil1" localSheetId="10">NA()</definedName>
    <definedName name="reil1">NA()</definedName>
    <definedName name="rel" localSheetId="10">NA()</definedName>
    <definedName name="rel">NA()</definedName>
    <definedName name="Removal_of_imponea__cornea">NA()</definedName>
    <definedName name="Removal_of_Jammu">NA()</definedName>
    <definedName name="Removal_of_natchu__goobi__thooti_etc___for_every_extra_lead_or_lift_over_the_initial_lead_or_lift_">NA()</definedName>
    <definedName name="Removal_of_water_hyacinth_upto_30_cm_thick_">NA()</definedName>
    <definedName name="Removing_of_natchu__goobi__thooti_etc___from_drains__channels_including_clearance_if_not_more_than_1_metre_depth_of_water_with_an_initial_lead_of_10_metresand_lift_of_2_metres_">NA()</definedName>
    <definedName name="repo">NA()</definedName>
    <definedName name="Rev" localSheetId="10">NA()</definedName>
    <definedName name="Rev">NA()</definedName>
    <definedName name="revet">NA()</definedName>
    <definedName name="REVETMENT" localSheetId="10">NA()</definedName>
    <definedName name="REVETMENT">NA()</definedName>
    <definedName name="Revision" localSheetId="10">NA()</definedName>
    <definedName name="Revision">NA()</definedName>
    <definedName name="revision1" localSheetId="10">NA()</definedName>
    <definedName name="revision1">NA()</definedName>
    <definedName name="Revt_300" localSheetId="10">NA()</definedName>
    <definedName name="Revt_300">NA()</definedName>
    <definedName name="rfgergreg">"[71]data!#ref!"</definedName>
    <definedName name="rfgsdg" localSheetId="10">NA()</definedName>
    <definedName name="rfgsdg">NA()</definedName>
    <definedName name="rfrefrfrf">"[71]data!#ref!"</definedName>
    <definedName name="rfregreg">"[71]data!#ref!"</definedName>
    <definedName name="rggdg">NA()</definedName>
    <definedName name="RH" localSheetId="10">NA()</definedName>
    <definedName name="RH">NA()</definedName>
    <definedName name="RHS" localSheetId="10">NA()</definedName>
    <definedName name="RHS">NA()</definedName>
    <definedName name="ri">NA()</definedName>
    <definedName name="Ridf4_Prop__2_">NA()</definedName>
    <definedName name="rig" localSheetId="10">NA()</definedName>
    <definedName name="rig">NA()</definedName>
    <definedName name="rii">NA()</definedName>
    <definedName name="riii">NA()</definedName>
    <definedName name="RIIO" localSheetId="10">NA()</definedName>
    <definedName name="RIIO">NA()</definedName>
    <definedName name="riser_shahbad" localSheetId="10">NA()</definedName>
    <definedName name="riser_shahbad">NA()</definedName>
    <definedName name="rja">"[397]data!#ref!"</definedName>
    <definedName name="rk">NA()</definedName>
    <definedName name="RNN" localSheetId="10">NA()</definedName>
    <definedName name="RNN">"[101]column!#ref!"</definedName>
    <definedName name="road" localSheetId="10">NA()</definedName>
    <definedName name="road">"[118]lead!#ref!"</definedName>
    <definedName name="Road_Roller">NA()</definedName>
    <definedName name="roads" localSheetId="10">NA()</definedName>
    <definedName name="roar1" localSheetId="10">NA()</definedName>
    <definedName name="roar1">"[118]lead!#ref!"</definedName>
    <definedName name="robot" localSheetId="10">NA()</definedName>
    <definedName name="robot">NA()</definedName>
    <definedName name="rods" localSheetId="10">NA()</definedName>
    <definedName name="ROJU" localSheetId="10">NA()</definedName>
    <definedName name="ROJU">NA()</definedName>
    <definedName name="Roof_slab___150mm">"[71]works!#ref!"</definedName>
    <definedName name="Roof_slab_150_300mm">"[71]works!#ref!"</definedName>
    <definedName name="room">NA()</definedName>
    <definedName name="Roplant" localSheetId="10">NA()</definedName>
    <definedName name="Roplant">NA()</definedName>
    <definedName name="rosid" localSheetId="10">NA()</definedName>
    <definedName name="rosid">NA()</definedName>
    <definedName name="ROUGH">"[56]mrates!$g$11"</definedName>
    <definedName name="rr" localSheetId="10">NA()</definedName>
    <definedName name="rr">NA()</definedName>
    <definedName name="rr_blast">NA()</definedName>
    <definedName name="rr_stone" localSheetId="10">NA()</definedName>
    <definedName name="rr_stone">NA()</definedName>
    <definedName name="RR_stone_300">NA()</definedName>
    <definedName name="RR_stone_G">NA()</definedName>
    <definedName name="RR_stone_HBG">NA()</definedName>
    <definedName name="RR_stone_O">NA()</definedName>
    <definedName name="RR_stone_OG">NA()</definedName>
    <definedName name="RR_stone_R300">NA()</definedName>
    <definedName name="RR_stone_reG">NA()</definedName>
    <definedName name="rrr" localSheetId="10">NA()</definedName>
    <definedName name="RRRR" localSheetId="10">NA()</definedName>
    <definedName name="RRRR">NA()</definedName>
    <definedName name="rrrrrrrrr">"[71]material!#ref!"</definedName>
    <definedName name="rs" localSheetId="10">NA()</definedName>
    <definedName name="rs">NA()</definedName>
    <definedName name="rt" localSheetId="10">NA()</definedName>
    <definedName name="rt">"[118]lead!#ref!"</definedName>
    <definedName name="rtcf">NA()</definedName>
    <definedName name="rtcfo">NA()</definedName>
    <definedName name="rtethbcvv">"[71]works!#ref!"</definedName>
    <definedName name="rtretretrett">"[401]data.f8.btr!#ref!"</definedName>
    <definedName name="rtytyt" localSheetId="10">NA()</definedName>
    <definedName name="rtytyt">NA()</definedName>
    <definedName name="rwgregtr">"[71]material!#ref!"</definedName>
    <definedName name="rwm" localSheetId="10">NA()</definedName>
    <definedName name="rwm">NA()</definedName>
    <definedName name="s" localSheetId="10">NA()</definedName>
    <definedName name="s">NA()</definedName>
    <definedName name="s_" localSheetId="10">NA()</definedName>
    <definedName name="S_8" localSheetId="10">NA()</definedName>
    <definedName name="S_8">NA()</definedName>
    <definedName name="S_F" localSheetId="10">NA()</definedName>
    <definedName name="S_F">NA()</definedName>
    <definedName name="S_L_WALL" localSheetId="10">NA()</definedName>
    <definedName name="S_L_WALL">NA()</definedName>
    <definedName name="S_No_">NA()</definedName>
    <definedName name="S_S_WALL" localSheetId="10">NA()</definedName>
    <definedName name="S_S_WALL">NA()</definedName>
    <definedName name="S0" localSheetId="10">NA()</definedName>
    <definedName name="S0">NA()</definedName>
    <definedName name="S0_10" localSheetId="10">NA()</definedName>
    <definedName name="S0_10">NA()</definedName>
    <definedName name="S12_6">"'smb://Venkat/VENKAT''S%20(D)/FILES/2%20KC258%20PASADINA/My%20Documents/zero.xls'#$'p&amp;m'.$H$264:$H$264"</definedName>
    <definedName name="sa" localSheetId="10">NA()</definedName>
    <definedName name="sa">"[307]data_bit_i!#ref!"</definedName>
    <definedName name="saa">"[307]data_bit_i!#ref!"</definedName>
    <definedName name="Saas">"[71]works!#ref!"</definedName>
    <definedName name="sad" localSheetId="10">NA()</definedName>
    <definedName name="sad">"[113]data.f8.btr!#ref!"</definedName>
    <definedName name="sadfas" localSheetId="10">NA()</definedName>
    <definedName name="sadfas">NA()</definedName>
    <definedName name="Sahabad_stones">"[71]material!#ref!"</definedName>
    <definedName name="sai" localSheetId="10">NA()</definedName>
    <definedName name="sai">NA()</definedName>
    <definedName name="Sal_wood_planks">"[71]material!#ref!"</definedName>
    <definedName name="Sal_wood_scantlins">"[71]material!#ref!"</definedName>
    <definedName name="SALARY" localSheetId="10">NA()</definedName>
    <definedName name="SALARY">NA()</definedName>
    <definedName name="SALARY_10" localSheetId="10">NA()</definedName>
    <definedName name="SALARY_10">NA()</definedName>
    <definedName name="sales2">NA()</definedName>
    <definedName name="sambar" localSheetId="10">NA()</definedName>
    <definedName name="SAND_D">"[56]mrates!$k$32"</definedName>
    <definedName name="Sand_for_filling_and_blindage">NA()</definedName>
    <definedName name="Sand_for_mortar__ceiling_coat_including_washing_screening_etc_">NA()</definedName>
    <definedName name="Sand_Gravel">NA()</definedName>
    <definedName name="Sand_or_loose_soils_wet_sand_not_under_water__silt_in_canals_channels_and_drains_SS_20_A_">NA()</definedName>
    <definedName name="Sand_screened" localSheetId="10">NA()</definedName>
    <definedName name="Sand_screened">NA()</definedName>
    <definedName name="sandfilling" localSheetId="10">NA()</definedName>
    <definedName name="sandfilling">NA()</definedName>
    <definedName name="sandmortar" localSheetId="10">NA()</definedName>
    <definedName name="sandmortar">NA()</definedName>
    <definedName name="sandscreen" localSheetId="10">NA()</definedName>
    <definedName name="sandscreen">NA()</definedName>
    <definedName name="SANITARY" localSheetId="10">NA()</definedName>
    <definedName name="SANITARY">NA()</definedName>
    <definedName name="sanjay" localSheetId="10">NA()</definedName>
    <definedName name="sanjay">NA()</definedName>
    <definedName name="sanjaythute" localSheetId="10">NA()</definedName>
    <definedName name="sanjaythute">NA()</definedName>
    <definedName name="saS">"[71]material!#ref!"</definedName>
    <definedName name="SASA" localSheetId="10">NA()</definedName>
    <definedName name="SASA">NA()</definedName>
    <definedName name="sassssssssssssss">"[71]material!#ref!"</definedName>
    <definedName name="satz1" localSheetId="10">NA()</definedName>
    <definedName name="satz1">NA()</definedName>
    <definedName name="satz2" localSheetId="10">NA()</definedName>
    <definedName name="satz2">NA()</definedName>
    <definedName name="sb">NA()</definedName>
    <definedName name="sbc">NA()</definedName>
    <definedName name="sbl">NA()</definedName>
    <definedName name="sbw" localSheetId="10">NA()</definedName>
    <definedName name="sbw">NA()</definedName>
    <definedName name="SC2MV">NA()</definedName>
    <definedName name="Scaff" localSheetId="10">NA()</definedName>
    <definedName name="Scaff">"[410]boq!#ref!"</definedName>
    <definedName name="scafhire" localSheetId="10">NA()</definedName>
    <definedName name="scafhire">NA()</definedName>
    <definedName name="scafhirechr" localSheetId="10">NA()</definedName>
    <definedName name="scafhirechr">NA()</definedName>
    <definedName name="scafhirechr1_24" localSheetId="10">NA()</definedName>
    <definedName name="scafhirechr1_24">NA()</definedName>
    <definedName name="scafhirechr115" localSheetId="10">NA()</definedName>
    <definedName name="scafhirechr115">NA()</definedName>
    <definedName name="scale" localSheetId="10">NA()</definedName>
    <definedName name="scale">NA()</definedName>
    <definedName name="scfb" localSheetId="10">NA()</definedName>
    <definedName name="scfb">NA()</definedName>
    <definedName name="Sched_Pay" localSheetId="10">NA()</definedName>
    <definedName name="Sched_Pay">NA()</definedName>
    <definedName name="Scheduled_Extra_Payments" localSheetId="10">NA()</definedName>
    <definedName name="Scheduled_Extra_Payments">NA()</definedName>
    <definedName name="Scheduled_Interest_Rate" localSheetId="10">NA()</definedName>
    <definedName name="Scheduled_Interest_Rate">NA()</definedName>
    <definedName name="Scheduled_Monthly_Payment" localSheetId="10">NA()</definedName>
    <definedName name="Scheduled_Monthly_Payment">NA()</definedName>
    <definedName name="schools" localSheetId="10">NA()</definedName>
    <definedName name="schools">NA()</definedName>
    <definedName name="scl" localSheetId="10">NA()</definedName>
    <definedName name="scl">NA()</definedName>
    <definedName name="scld" localSheetId="10">NA()</definedName>
    <definedName name="scld">NA()</definedName>
    <definedName name="Scroll" localSheetId="10">NA()</definedName>
    <definedName name="Scroll">NA()</definedName>
    <definedName name="scw" localSheetId="10">NA()</definedName>
    <definedName name="scw">NA()</definedName>
    <definedName name="sdas">"[71]material!#ref!"</definedName>
    <definedName name="Sdate" localSheetId="10">NA()</definedName>
    <definedName name="Sdate">NA()</definedName>
    <definedName name="sdf" localSheetId="10">NA()</definedName>
    <definedName name="sdf">NA()</definedName>
    <definedName name="sdfe" localSheetId="10">NA()</definedName>
    <definedName name="sdfe">NA()</definedName>
    <definedName name="sdfgdsgdfg">NA()</definedName>
    <definedName name="sdfyaehaehae" localSheetId="10">NA()</definedName>
    <definedName name="sdfyaehaehae">NA()</definedName>
    <definedName name="sdgfd" localSheetId="10">NA()</definedName>
    <definedName name="sdgfd">NA()</definedName>
    <definedName name="sdpl" localSheetId="10">NA()</definedName>
    <definedName name="sdpl">NA()</definedName>
    <definedName name="SDPLBS" localSheetId="10">NA()</definedName>
    <definedName name="SDPLBS">NA()</definedName>
    <definedName name="SDPLFA" localSheetId="10">NA()</definedName>
    <definedName name="SDPLFA">NA()</definedName>
    <definedName name="SDPLPL" localSheetId="10">NA()</definedName>
    <definedName name="SDPLPL">NA()</definedName>
    <definedName name="sdsD">NA()</definedName>
    <definedName name="sdsf" localSheetId="10">NA()</definedName>
    <definedName name="sdsf">"[130]boq!#ref!"</definedName>
    <definedName name="sdsf_6">"'smb://Tender2/d/Vinod/Excel/Tender/Garuda%20Resorts.xls'#$Boq.CX1"</definedName>
    <definedName name="se" localSheetId="10">NA()</definedName>
    <definedName name="sea" localSheetId="10">NA()</definedName>
    <definedName name="sea">NA()</definedName>
    <definedName name="searth">NA()</definedName>
    <definedName name="sec" localSheetId="10">NA()</definedName>
    <definedName name="sec">NA()</definedName>
    <definedName name="sec_deposit" localSheetId="10">NA()</definedName>
    <definedName name="sec_deposit">NA()</definedName>
    <definedName name="SEComp" localSheetId="10">NA()</definedName>
    <definedName name="SEComp">"[244]data.f8.btr!#ref!"</definedName>
    <definedName name="Second_class_Bricks">NA()</definedName>
    <definedName name="SECTION" localSheetId="10">NA()</definedName>
    <definedName name="SECTION">NA()</definedName>
    <definedName name="sectorwise">NA()</definedName>
    <definedName name="secured" localSheetId="10">NA()</definedName>
    <definedName name="secured">NA()</definedName>
    <definedName name="see" localSheetId="10">NA()</definedName>
    <definedName name="see">NA()</definedName>
    <definedName name="sefrdrtg" localSheetId="10">NA()</definedName>
    <definedName name="sefrdrtg">NA()</definedName>
    <definedName name="SegCharge" localSheetId="10">NA()</definedName>
    <definedName name="SegCharge">NA()</definedName>
    <definedName name="seig_earth">NA()</definedName>
    <definedName name="seig_gravel">NA()</definedName>
    <definedName name="seig_metal">NA()</definedName>
    <definedName name="seig_sand">NA()</definedName>
    <definedName name="sein" localSheetId="10">NA()</definedName>
    <definedName name="sein">NA()</definedName>
    <definedName name="sein1" localSheetId="10">NA()</definedName>
    <definedName name="sein1">NA()</definedName>
    <definedName name="sein4" localSheetId="10">NA()</definedName>
    <definedName name="sein4">NA()</definedName>
    <definedName name="SEK" localSheetId="10">NA()</definedName>
    <definedName name="SEK">NA()</definedName>
    <definedName name="sekar">"[93]data!#ref!"</definedName>
    <definedName name="SEM">NA()</definedName>
    <definedName name="SerialOrder">NA()</definedName>
    <definedName name="SeriesOrder">NA()</definedName>
    <definedName name="SES">NA()</definedName>
    <definedName name="sese">"[399]data!#ref!"</definedName>
    <definedName name="Setflag" localSheetId="10">NA()</definedName>
    <definedName name="Setflag">NA()</definedName>
    <definedName name="SEVENTOTHIRTEEN" localSheetId="10">NA()</definedName>
    <definedName name="SEVENTOTHIRTEEN">NA()</definedName>
    <definedName name="sg" localSheetId="10">NA()</definedName>
    <definedName name="SGEARTH">NA()</definedName>
    <definedName name="SGGRAVEL">"[56]mrates!$h$34"</definedName>
    <definedName name="sgh" localSheetId="10">NA()</definedName>
    <definedName name="sgh">NA()</definedName>
    <definedName name="SGMETAL">"[56]mrates!$h$30"</definedName>
    <definedName name="SGSAND">"[56]mrates!$h$32"</definedName>
    <definedName name="sgsdgsdg" localSheetId="10">NA()</definedName>
    <definedName name="sgsdgsdg">NA()</definedName>
    <definedName name="SGSTONE">NA()</definedName>
    <definedName name="sh0_5" localSheetId="10">NA()</definedName>
    <definedName name="sh0_5">NA()</definedName>
    <definedName name="sh0_6" localSheetId="10">NA()</definedName>
    <definedName name="sh0_6">NA()</definedName>
    <definedName name="sh0_8" localSheetId="10">NA()</definedName>
    <definedName name="sh0_8">NA()</definedName>
    <definedName name="sh1_0" localSheetId="10">NA()</definedName>
    <definedName name="sh1_0">NA()</definedName>
    <definedName name="sh1_2" localSheetId="10">NA()</definedName>
    <definedName name="sh1_2">NA()</definedName>
    <definedName name="Shahabad_slabs_of_Tandur_25_4mm_blue">NA()</definedName>
    <definedName name="Shahabad_slabs_of_Tandur_25_4mm_white">NA()</definedName>
    <definedName name="Shahabad_slabs_of_Tandur_50_8_mm_blue">NA()</definedName>
    <definedName name="Shahabad_slabs_of_Tandur_50_8mm_white">NA()</definedName>
    <definedName name="shape" localSheetId="10">NA()</definedName>
    <definedName name="shape">NA()</definedName>
    <definedName name="SHARED_FORMULA_1_11_1_11_26" localSheetId="10">NA()</definedName>
    <definedName name="SHARED_FORMULA_1_11_1_11_26">NA()</definedName>
    <definedName name="SHARED_FORMULA_1_11_1_11_30" localSheetId="10">NA()</definedName>
    <definedName name="SHARED_FORMULA_1_11_1_11_30">NA()</definedName>
    <definedName name="SHARED_FORMULA_1_153_1_153_26">NA()</definedName>
    <definedName name="SHARED_FORMULA_1_156_1_156_26" localSheetId="10">NA()</definedName>
    <definedName name="SHARED_FORMULA_1_156_1_156_26">NA()</definedName>
    <definedName name="SHARED_FORMULA_1_161_1_161_26">NA()</definedName>
    <definedName name="SHARED_FORMULA_1_164_1_164_26" localSheetId="10">NA()</definedName>
    <definedName name="SHARED_FORMULA_1_164_1_164_26">NA()</definedName>
    <definedName name="SHARED_FORMULA_1_204_1_204_37">NA()</definedName>
    <definedName name="SHARED_FORMULA_1_21_1_21_22" localSheetId="10">NA()</definedName>
    <definedName name="SHARED_FORMULA_1_21_1_21_22">NA()</definedName>
    <definedName name="SHARED_FORMULA_1_21_1_21_33" localSheetId="10">NA()</definedName>
    <definedName name="SHARED_FORMULA_1_21_1_21_33">NA()</definedName>
    <definedName name="SHARED_FORMULA_1_24_1_24_37" localSheetId="10">NA()</definedName>
    <definedName name="SHARED_FORMULA_1_24_1_24_37">NA()</definedName>
    <definedName name="SHARED_FORMULA_1_28_1_28_33" localSheetId="10">NA()</definedName>
    <definedName name="SHARED_FORMULA_1_28_1_28_33">NA()</definedName>
    <definedName name="SHARED_FORMULA_1_31_1_31_22" localSheetId="10">NA()</definedName>
    <definedName name="SHARED_FORMULA_1_31_1_31_22">NA()</definedName>
    <definedName name="SHARED_FORMULA_1_31_1_31_37" localSheetId="10">NA()</definedName>
    <definedName name="SHARED_FORMULA_1_31_1_31_37">NA()</definedName>
    <definedName name="SHARED_FORMULA_1_335_1_335_37">NA()</definedName>
    <definedName name="SHARED_FORMULA_1_34_1_34_22">NA()</definedName>
    <definedName name="SHARED_FORMULA_1_34_1_34_26" localSheetId="10">NA()</definedName>
    <definedName name="SHARED_FORMULA_1_34_1_34_26">NA()</definedName>
    <definedName name="SHARED_FORMULA_1_344_1_344_37">NA()</definedName>
    <definedName name="SHARED_FORMULA_1_37_1_37_26">NA()</definedName>
    <definedName name="SHARED_FORMULA_1_38_1_38_30" localSheetId="10">NA()</definedName>
    <definedName name="SHARED_FORMULA_1_38_1_38_30">NA()</definedName>
    <definedName name="SHARED_FORMULA_1_4_1_4_26" localSheetId="10">NA()</definedName>
    <definedName name="SHARED_FORMULA_1_4_1_4_26">NA()</definedName>
    <definedName name="SHARED_FORMULA_1_409_1_409_30">NA()</definedName>
    <definedName name="SHARED_FORMULA_1_41_1_41_30">NA()</definedName>
    <definedName name="SHARED_FORMULA_1_46_1_46_22" localSheetId="10">NA()</definedName>
    <definedName name="SHARED_FORMULA_1_46_1_46_22">NA()</definedName>
    <definedName name="SHARED_FORMULA_1_49_1_49_22">NA()</definedName>
    <definedName name="SHARED_FORMULA_1_5_1_5_22" localSheetId="10">NA()</definedName>
    <definedName name="SHARED_FORMULA_1_5_1_5_22">NA()</definedName>
    <definedName name="SHARED_FORMULA_1_57_1_57_30" localSheetId="10">NA()</definedName>
    <definedName name="SHARED_FORMULA_1_57_1_57_30">NA()</definedName>
    <definedName name="SHARED_FORMULA_1_60_1_60_30">NA()</definedName>
    <definedName name="SHARED_FORMULA_1_63_1_63_26" localSheetId="10">NA()</definedName>
    <definedName name="SHARED_FORMULA_1_63_1_63_26">NA()</definedName>
    <definedName name="SHARED_FORMULA_1_66_1_66_26">NA()</definedName>
    <definedName name="SHARED_FORMULA_1_7_1_7_33" localSheetId="10">NA()</definedName>
    <definedName name="SHARED_FORMULA_1_7_1_7_33">NA()</definedName>
    <definedName name="SHARED_FORMULA_1_801_1_801_22">NA()</definedName>
    <definedName name="SHARED_FORMULA_1_860_1_860_22">NA()</definedName>
    <definedName name="SHARED_FORMULA_1_9_1_9_37" localSheetId="10">NA()</definedName>
    <definedName name="SHARED_FORMULA_1_9_1_9_37">NA()</definedName>
    <definedName name="SHARED_FORMULA_10_114_10_114_26" localSheetId="10">NA()</definedName>
    <definedName name="SHARED_FORMULA_10_114_10_114_26">NA()</definedName>
    <definedName name="SHARED_FORMULA_10_117_10_117_26">NA()</definedName>
    <definedName name="SHARED_FORMULA_10_3_10_3_25">NA()</definedName>
    <definedName name="SHARED_FORMULA_10_388_10_388_22">0.425</definedName>
    <definedName name="SHARED_FORMULA_10_401_10_401_22">0.425</definedName>
    <definedName name="SHARED_FORMULA_10_405_10_405_22">0.425</definedName>
    <definedName name="SHARED_FORMULA_10_420_10_420_22">0.425</definedName>
    <definedName name="SHARED_FORMULA_10_425_10_425_22">0.425</definedName>
    <definedName name="SHARED_FORMULA_10_449_10_449_22">0.425</definedName>
    <definedName name="SHARED_FORMULA_10_465_10_465_22">0.425</definedName>
    <definedName name="SHARED_FORMULA_10_476_10_476_22">0.425</definedName>
    <definedName name="SHARED_FORMULA_10_479_10_479_22">0.425</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 localSheetId="10">NA()</definedName>
    <definedName name="SHARED_FORMULA_11_101_11_101_21">NA()</definedName>
    <definedName name="SHARED_FORMULA_11_110_11_110_29">NA()</definedName>
    <definedName name="SHARED_FORMULA_11_112_11_112_25">NA()</definedName>
    <definedName name="SHARED_FORMULA_11_113_11_113_29" localSheetId="10">NA()</definedName>
    <definedName name="SHARED_FORMULA_11_113_11_113_29">NA()</definedName>
    <definedName name="SHARED_FORMULA_11_116_11_116_21">NA()</definedName>
    <definedName name="SHARED_FORMULA_11_125_11_125_21" localSheetId="10">NA()</definedName>
    <definedName name="SHARED_FORMULA_11_125_11_125_21">NA()</definedName>
    <definedName name="SHARED_FORMULA_11_132_11_132_21" localSheetId="10">NA()</definedName>
    <definedName name="SHARED_FORMULA_11_132_11_132_21">NA()</definedName>
    <definedName name="SHARED_FORMULA_11_136_11_136_29">NA()</definedName>
    <definedName name="SHARED_FORMULA_11_144_11_144_25">NA()</definedName>
    <definedName name="SHARED_FORMULA_11_157_11_157_21">NA()</definedName>
    <definedName name="SHARED_FORMULA_11_167_11_167_21" localSheetId="10">NA()</definedName>
    <definedName name="SHARED_FORMULA_11_167_11_167_21">NA()</definedName>
    <definedName name="SHARED_FORMULA_11_182_11_182_25">NA()</definedName>
    <definedName name="SHARED_FORMULA_11_185_11_185_21" localSheetId="10">NA()</definedName>
    <definedName name="SHARED_FORMULA_11_185_11_185_21">NA()</definedName>
    <definedName name="SHARED_FORMULA_11_189_11_189_21">NA()</definedName>
    <definedName name="SHARED_FORMULA_11_28_11_28_21" localSheetId="10">NA()</definedName>
    <definedName name="SHARED_FORMULA_11_28_11_28_21">NA()</definedName>
    <definedName name="SHARED_FORMULA_11_3_11_3_21" localSheetId="10">NA()</definedName>
    <definedName name="SHARED_FORMULA_11_3_11_3_21">NA()</definedName>
    <definedName name="SHARED_FORMULA_11_3_11_3_25">NA()</definedName>
    <definedName name="SHARED_FORMULA_11_3_11_3_29" localSheetId="10">NA()</definedName>
    <definedName name="SHARED_FORMULA_11_3_11_3_29">NA()</definedName>
    <definedName name="SHARED_FORMULA_11_35_11_35_21">NA()</definedName>
    <definedName name="SHARED_FORMULA_11_35_11_35_25">NA()</definedName>
    <definedName name="SHARED_FORMULA_11_44_11_44_29" localSheetId="10">NA()</definedName>
    <definedName name="SHARED_FORMULA_11_44_11_44_29">NA()</definedName>
    <definedName name="SHARED_FORMULA_11_46_11_46_29">NA()</definedName>
    <definedName name="SHARED_FORMULA_11_60_11_60_21" localSheetId="10">NA()</definedName>
    <definedName name="SHARED_FORMULA_11_60_11_60_21">NA()</definedName>
    <definedName name="SHARED_FORMULA_11_67_11_67_21">NA()</definedName>
    <definedName name="SHARED_FORMULA_11_78_11_78_29">NA()</definedName>
    <definedName name="SHARED_FORMULA_11_80_11_80_25">NA()</definedName>
    <definedName name="SHARED_FORMULA_11_81_11_81_29" localSheetId="10">NA()</definedName>
    <definedName name="SHARED_FORMULA_11_81_11_81_29">NA()</definedName>
    <definedName name="SHARED_FORMULA_11_84_11_84_21">NA()</definedName>
    <definedName name="SHARED_FORMULA_11_88_11_88_21" localSheetId="10">NA()</definedName>
    <definedName name="SHARED_FORMULA_11_88_11_88_21">NA()</definedName>
    <definedName name="SHARED_FORMULA_12_123_12_123_11">NA()</definedName>
    <definedName name="SHARED_FORMULA_14_10_14_10_18" localSheetId="10">NA()</definedName>
    <definedName name="SHARED_FORMULA_14_10_14_10_18">NA()</definedName>
    <definedName name="SHARED_FORMULA_14_50_14_50_18" localSheetId="10">NA()</definedName>
    <definedName name="SHARED_FORMULA_14_50_14_50_18">NA()</definedName>
    <definedName name="SHARED_FORMULA_14_52_14_52_18">NA()</definedName>
    <definedName name="SHARED_FORMULA_15_13_15_13_17" localSheetId="10">NA()</definedName>
    <definedName name="SHARED_FORMULA_15_13_15_13_17">NA()</definedName>
    <definedName name="SHARED_FORMULA_18_13_18_13_17" localSheetId="10">NA()</definedName>
    <definedName name="SHARED_FORMULA_18_13_18_13_17">NA()</definedName>
    <definedName name="SHARED_FORMULA_19_13_19_13_17" localSheetId="10">NA()</definedName>
    <definedName name="SHARED_FORMULA_19_13_19_13_17">NA()</definedName>
    <definedName name="SHARED_FORMULA_2_2043_2_2043_22">5</definedName>
    <definedName name="SHARED_FORMULA_2_2058_2_2058_22">24</definedName>
    <definedName name="SHARED_FORMULA_2_2064_2_2064_22">2</definedName>
    <definedName name="SHARED_FORMULA_2_6_2_6_30" localSheetId="10">NA()</definedName>
    <definedName name="SHARED_FORMULA_2_6_2_6_30">NA()</definedName>
    <definedName name="SHARED_FORMULA_21_13_21_13_17" localSheetId="10">NA()</definedName>
    <definedName name="SHARED_FORMULA_21_13_21_13_17">NA()</definedName>
    <definedName name="SHARED_FORMULA_21_273_21_273_17">NA()</definedName>
    <definedName name="SHARED_FORMULA_21_289_21_289_17" localSheetId="10">NA()</definedName>
    <definedName name="SHARED_FORMULA_21_289_21_289_17">NA()</definedName>
    <definedName name="SHARED_FORMULA_21_291_21_291_17" localSheetId="10">NA()</definedName>
    <definedName name="SHARED_FORMULA_21_291_21_291_17">NA()</definedName>
    <definedName name="SHARED_FORMULA_22_101_22_101_17">NA()</definedName>
    <definedName name="SHARED_FORMULA_22_103_22_103_17" localSheetId="10">NA()</definedName>
    <definedName name="SHARED_FORMULA_22_103_22_103_17">NA()</definedName>
    <definedName name="SHARED_FORMULA_22_105_22_105_17">NA()</definedName>
    <definedName name="SHARED_FORMULA_22_108_22_108_17" localSheetId="10">NA()</definedName>
    <definedName name="SHARED_FORMULA_22_108_22_108_17">NA()</definedName>
    <definedName name="SHARED_FORMULA_22_110_22_110_17">NA()</definedName>
    <definedName name="SHARED_FORMULA_22_114_22_114_17" localSheetId="10">NA()</definedName>
    <definedName name="SHARED_FORMULA_22_114_22_114_17">NA()</definedName>
    <definedName name="SHARED_FORMULA_22_118_22_118_17" localSheetId="10">NA()</definedName>
    <definedName name="SHARED_FORMULA_22_118_22_118_17">NA()</definedName>
    <definedName name="SHARED_FORMULA_22_122_22_122_17" localSheetId="10">NA()</definedName>
    <definedName name="SHARED_FORMULA_22_122_22_122_17">NA()</definedName>
    <definedName name="SHARED_FORMULA_22_123_22_123_17">NA()</definedName>
    <definedName name="SHARED_FORMULA_22_128_22_128_17" localSheetId="10">NA()</definedName>
    <definedName name="SHARED_FORMULA_22_128_22_128_17">NA()</definedName>
    <definedName name="SHARED_FORMULA_22_13_22_13_17" localSheetId="10">NA()</definedName>
    <definedName name="SHARED_FORMULA_22_13_22_13_17">NA()</definedName>
    <definedName name="SHARED_FORMULA_22_133_22_133_17" localSheetId="10">NA()</definedName>
    <definedName name="SHARED_FORMULA_22_133_22_133_17">NA()</definedName>
    <definedName name="SHARED_FORMULA_22_138_22_138_17">NA()</definedName>
    <definedName name="SHARED_FORMULA_22_139_22_139_17" localSheetId="10">NA()</definedName>
    <definedName name="SHARED_FORMULA_22_139_22_139_17">NA()</definedName>
    <definedName name="SHARED_FORMULA_22_144_22_144_17">NA()</definedName>
    <definedName name="SHARED_FORMULA_22_145_22_145_17" localSheetId="10">NA()</definedName>
    <definedName name="SHARED_FORMULA_22_145_22_145_17">NA()</definedName>
    <definedName name="SHARED_FORMULA_22_146_22_146_17">NA()</definedName>
    <definedName name="SHARED_FORMULA_22_148_22_148_17">NA()</definedName>
    <definedName name="SHARED_FORMULA_22_150_22_150_17" localSheetId="10">NA()</definedName>
    <definedName name="SHARED_FORMULA_22_150_22_150_17">NA()</definedName>
    <definedName name="SHARED_FORMULA_22_153_22_153_17">NA()</definedName>
    <definedName name="SHARED_FORMULA_22_157_22_157_17" localSheetId="10">NA()</definedName>
    <definedName name="SHARED_FORMULA_22_157_22_157_17">NA()</definedName>
    <definedName name="SHARED_FORMULA_22_158_22_158_17">NA()</definedName>
    <definedName name="SHARED_FORMULA_22_159_22_159_17" localSheetId="10">NA()</definedName>
    <definedName name="SHARED_FORMULA_22_159_22_159_17">NA()</definedName>
    <definedName name="SHARED_FORMULA_22_161_22_161_17" localSheetId="10">NA()</definedName>
    <definedName name="SHARED_FORMULA_22_161_22_161_17">NA()</definedName>
    <definedName name="SHARED_FORMULA_22_162_22_162_17">NA()</definedName>
    <definedName name="SHARED_FORMULA_22_166_22_166_17" localSheetId="10">NA()</definedName>
    <definedName name="SHARED_FORMULA_22_166_22_166_17">NA()</definedName>
    <definedName name="SHARED_FORMULA_22_171_22_171_17" localSheetId="10">NA()</definedName>
    <definedName name="SHARED_FORMULA_22_171_22_171_17">NA()</definedName>
    <definedName name="SHARED_FORMULA_22_173_22_173_17">NA()</definedName>
    <definedName name="SHARED_FORMULA_22_175_22_175_17" localSheetId="10">NA()</definedName>
    <definedName name="SHARED_FORMULA_22_175_22_175_17">NA()</definedName>
    <definedName name="SHARED_FORMULA_22_177_22_177_17">NA()</definedName>
    <definedName name="SHARED_FORMULA_22_179_22_179_17" localSheetId="10">NA()</definedName>
    <definedName name="SHARED_FORMULA_22_179_22_179_17">NA()</definedName>
    <definedName name="SHARED_FORMULA_22_183_22_183_17">NA()</definedName>
    <definedName name="SHARED_FORMULA_22_184_22_184_17" localSheetId="10">NA()</definedName>
    <definedName name="SHARED_FORMULA_22_184_22_184_17">NA()</definedName>
    <definedName name="SHARED_FORMULA_22_186_22_186_17" localSheetId="10">NA()</definedName>
    <definedName name="SHARED_FORMULA_22_186_22_186_17">NA()</definedName>
    <definedName name="SHARED_FORMULA_22_187_22_187_17">NA()</definedName>
    <definedName name="SHARED_FORMULA_22_190_22_190_17" localSheetId="10">NA()</definedName>
    <definedName name="SHARED_FORMULA_22_190_22_190_17">NA()</definedName>
    <definedName name="SHARED_FORMULA_22_191_22_191_17">NA()</definedName>
    <definedName name="SHARED_FORMULA_22_196_22_196_17" localSheetId="10">NA()</definedName>
    <definedName name="SHARED_FORMULA_22_196_22_196_17">NA()</definedName>
    <definedName name="SHARED_FORMULA_22_199_22_199_17">NA()</definedName>
    <definedName name="SHARED_FORMULA_22_20_22_20_17" localSheetId="10">NA()</definedName>
    <definedName name="SHARED_FORMULA_22_20_22_20_17">NA()</definedName>
    <definedName name="SHARED_FORMULA_22_201_22_201_17" localSheetId="10">NA()</definedName>
    <definedName name="SHARED_FORMULA_22_201_22_201_17">NA()</definedName>
    <definedName name="SHARED_FORMULA_22_203_22_203_17">NA()</definedName>
    <definedName name="SHARED_FORMULA_22_205_22_205_17">NA()</definedName>
    <definedName name="SHARED_FORMULA_22_206_22_206_17" localSheetId="10">NA()</definedName>
    <definedName name="SHARED_FORMULA_22_206_22_206_17">NA()</definedName>
    <definedName name="SHARED_FORMULA_22_207_22_207_17">NA()</definedName>
    <definedName name="SHARED_FORMULA_22_209_22_209_17">NA()</definedName>
    <definedName name="SHARED_FORMULA_22_21_22_21_17">NA()</definedName>
    <definedName name="SHARED_FORMULA_22_211_22_211_17" localSheetId="10">NA()</definedName>
    <definedName name="SHARED_FORMULA_22_211_22_211_17">NA()</definedName>
    <definedName name="SHARED_FORMULA_22_212_22_212_17">NA()</definedName>
    <definedName name="SHARED_FORMULA_22_214_22_214_17" localSheetId="10">NA()</definedName>
    <definedName name="SHARED_FORMULA_22_214_22_214_17">NA()</definedName>
    <definedName name="SHARED_FORMULA_22_215_22_215_17">NA()</definedName>
    <definedName name="SHARED_FORMULA_22_216_22_216_17" localSheetId="10">NA()</definedName>
    <definedName name="SHARED_FORMULA_22_216_22_216_17">NA()</definedName>
    <definedName name="SHARED_FORMULA_22_218_22_218_17" localSheetId="10">NA()</definedName>
    <definedName name="SHARED_FORMULA_22_218_22_218_17">NA()</definedName>
    <definedName name="SHARED_FORMULA_22_220_22_220_17" localSheetId="10">NA()</definedName>
    <definedName name="SHARED_FORMULA_22_220_22_220_17">NA()</definedName>
    <definedName name="SHARED_FORMULA_22_222_22_222_17" localSheetId="10">NA()</definedName>
    <definedName name="SHARED_FORMULA_22_222_22_222_17">NA()</definedName>
    <definedName name="SHARED_FORMULA_22_224_22_224_17" localSheetId="10">NA()</definedName>
    <definedName name="SHARED_FORMULA_22_224_22_224_17">NA()</definedName>
    <definedName name="SHARED_FORMULA_22_226_22_226_17" localSheetId="10">NA()</definedName>
    <definedName name="SHARED_FORMULA_22_226_22_226_17">NA()</definedName>
    <definedName name="SHARED_FORMULA_22_229_22_229_17" localSheetId="10">NA()</definedName>
    <definedName name="SHARED_FORMULA_22_229_22_229_17">NA()</definedName>
    <definedName name="SHARED_FORMULA_22_232_22_232_17" localSheetId="10">NA()</definedName>
    <definedName name="SHARED_FORMULA_22_232_22_232_17">NA()</definedName>
    <definedName name="SHARED_FORMULA_22_235_22_235_17" localSheetId="10">NA()</definedName>
    <definedName name="SHARED_FORMULA_22_235_22_235_17">NA()</definedName>
    <definedName name="SHARED_FORMULA_22_236_22_236_17">NA()</definedName>
    <definedName name="SHARED_FORMULA_22_237_22_237_17" localSheetId="10">NA()</definedName>
    <definedName name="SHARED_FORMULA_22_237_22_237_17">NA()</definedName>
    <definedName name="SHARED_FORMULA_22_238_22_238_17">NA()</definedName>
    <definedName name="SHARED_FORMULA_22_239_22_239_17" localSheetId="10">NA()</definedName>
    <definedName name="SHARED_FORMULA_22_239_22_239_17">NA()</definedName>
    <definedName name="SHARED_FORMULA_22_240_22_240_17">NA()</definedName>
    <definedName name="SHARED_FORMULA_22_241_22_241_17" localSheetId="10">NA()</definedName>
    <definedName name="SHARED_FORMULA_22_241_22_241_17">NA()</definedName>
    <definedName name="SHARED_FORMULA_22_243_22_243_17" localSheetId="10">NA()</definedName>
    <definedName name="SHARED_FORMULA_22_243_22_243_17">NA()</definedName>
    <definedName name="SHARED_FORMULA_22_245_22_245_17">NA()</definedName>
    <definedName name="SHARED_FORMULA_22_246_22_246_17" localSheetId="10">NA()</definedName>
    <definedName name="SHARED_FORMULA_22_246_22_246_17">NA()</definedName>
    <definedName name="SHARED_FORMULA_22_248_22_248_17">NA()</definedName>
    <definedName name="SHARED_FORMULA_22_249_22_249_17" localSheetId="10">NA()</definedName>
    <definedName name="SHARED_FORMULA_22_249_22_249_17">NA()</definedName>
    <definedName name="SHARED_FORMULA_22_25_22_25_17" localSheetId="10">NA()</definedName>
    <definedName name="SHARED_FORMULA_22_25_22_25_17">NA()</definedName>
    <definedName name="SHARED_FORMULA_22_250_22_250_17">NA()</definedName>
    <definedName name="SHARED_FORMULA_22_252_22_252_17">NA()</definedName>
    <definedName name="SHARED_FORMULA_22_253_22_253_17" localSheetId="10">NA()</definedName>
    <definedName name="SHARED_FORMULA_22_253_22_253_17">NA()</definedName>
    <definedName name="SHARED_FORMULA_22_254_22_254_17">NA()</definedName>
    <definedName name="SHARED_FORMULA_22_255_22_255_17" localSheetId="10">NA()</definedName>
    <definedName name="SHARED_FORMULA_22_255_22_255_17">NA()</definedName>
    <definedName name="SHARED_FORMULA_22_257_22_257_17" localSheetId="10">NA()</definedName>
    <definedName name="SHARED_FORMULA_22_257_22_257_17">NA()</definedName>
    <definedName name="SHARED_FORMULA_22_26_22_26_17">NA()</definedName>
    <definedName name="SHARED_FORMULA_22_260_22_260_17">NA()</definedName>
    <definedName name="SHARED_FORMULA_22_262_22_262_17" localSheetId="10">NA()</definedName>
    <definedName name="SHARED_FORMULA_22_262_22_262_17">NA()</definedName>
    <definedName name="SHARED_FORMULA_22_263_22_263_17">NA()</definedName>
    <definedName name="SHARED_FORMULA_22_265_22_265_17">NA()</definedName>
    <definedName name="SHARED_FORMULA_22_267_22_267_17" localSheetId="10">NA()</definedName>
    <definedName name="SHARED_FORMULA_22_267_22_267_17">NA()</definedName>
    <definedName name="SHARED_FORMULA_22_269_22_269_17">NA()</definedName>
    <definedName name="SHARED_FORMULA_22_270_22_270_17" localSheetId="10">NA()</definedName>
    <definedName name="SHARED_FORMULA_22_270_22_270_17">NA()</definedName>
    <definedName name="SHARED_FORMULA_22_271_22_271_17">NA()</definedName>
    <definedName name="SHARED_FORMULA_22_273_22_273_17" localSheetId="10">NA()</definedName>
    <definedName name="SHARED_FORMULA_22_273_22_273_17">NA()</definedName>
    <definedName name="SHARED_FORMULA_22_275_22_275_17">NA()</definedName>
    <definedName name="SHARED_FORMULA_22_276_22_276_17" localSheetId="10">NA()</definedName>
    <definedName name="SHARED_FORMULA_22_276_22_276_17">NA()</definedName>
    <definedName name="SHARED_FORMULA_22_278_22_278_17" localSheetId="10">NA()</definedName>
    <definedName name="SHARED_FORMULA_22_278_22_278_17">NA()</definedName>
    <definedName name="SHARED_FORMULA_22_280_22_280_17" localSheetId="10">NA()</definedName>
    <definedName name="SHARED_FORMULA_22_280_22_280_17">NA()</definedName>
    <definedName name="SHARED_FORMULA_22_282_22_282_17" localSheetId="10">NA()</definedName>
    <definedName name="SHARED_FORMULA_22_282_22_282_17">NA()</definedName>
    <definedName name="SHARED_FORMULA_22_284_22_284_17" localSheetId="10">NA()</definedName>
    <definedName name="SHARED_FORMULA_22_284_22_284_17">NA()</definedName>
    <definedName name="SHARED_FORMULA_22_286_22_286_17" localSheetId="10">NA()</definedName>
    <definedName name="SHARED_FORMULA_22_286_22_286_17">NA()</definedName>
    <definedName name="SHARED_FORMULA_22_31_22_31_17" localSheetId="10">NA()</definedName>
    <definedName name="SHARED_FORMULA_22_31_22_31_17">NA()</definedName>
    <definedName name="SHARED_FORMULA_22_33_22_33_17" localSheetId="10">NA()</definedName>
    <definedName name="SHARED_FORMULA_22_33_22_33_17">NA()</definedName>
    <definedName name="SHARED_FORMULA_22_35_22_35_17">NA()</definedName>
    <definedName name="SHARED_FORMULA_22_36_22_36_17" localSheetId="10">NA()</definedName>
    <definedName name="SHARED_FORMULA_22_36_22_36_17">NA()</definedName>
    <definedName name="SHARED_FORMULA_22_37_22_37_17">NA()</definedName>
    <definedName name="SHARED_FORMULA_22_40_22_40_17">NA()</definedName>
    <definedName name="SHARED_FORMULA_22_41_22_41_17" localSheetId="10">NA()</definedName>
    <definedName name="SHARED_FORMULA_22_41_22_41_17">NA()</definedName>
    <definedName name="SHARED_FORMULA_22_44_22_44_17" localSheetId="10">NA()</definedName>
    <definedName name="SHARED_FORMULA_22_44_22_44_17">NA()</definedName>
    <definedName name="SHARED_FORMULA_22_45_22_45_17">NA()</definedName>
    <definedName name="SHARED_FORMULA_22_48_22_48_17">NA()</definedName>
    <definedName name="SHARED_FORMULA_22_49_22_49_17" localSheetId="10">NA()</definedName>
    <definedName name="SHARED_FORMULA_22_49_22_49_17">NA()</definedName>
    <definedName name="SHARED_FORMULA_22_52_22_52_17">NA()</definedName>
    <definedName name="SHARED_FORMULA_22_55_22_55_17" localSheetId="10">NA()</definedName>
    <definedName name="SHARED_FORMULA_22_55_22_55_17">NA()</definedName>
    <definedName name="SHARED_FORMULA_22_57_22_57_17" localSheetId="10">NA()</definedName>
    <definedName name="SHARED_FORMULA_22_57_22_57_17">NA()</definedName>
    <definedName name="SHARED_FORMULA_22_59_22_59_17">NA()</definedName>
    <definedName name="SHARED_FORMULA_22_61_22_61_17" localSheetId="10">NA()</definedName>
    <definedName name="SHARED_FORMULA_22_61_22_61_17">NA()</definedName>
    <definedName name="SHARED_FORMULA_22_62_22_62_17">NA()</definedName>
    <definedName name="SHARED_FORMULA_22_67_22_67_17" localSheetId="10">NA()</definedName>
    <definedName name="SHARED_FORMULA_22_67_22_67_17">NA()</definedName>
    <definedName name="SHARED_FORMULA_22_72_22_72_17">NA()</definedName>
    <definedName name="SHARED_FORMULA_22_73_22_73_17" localSheetId="10">NA()</definedName>
    <definedName name="SHARED_FORMULA_22_73_22_73_17">NA()</definedName>
    <definedName name="SHARED_FORMULA_22_78_22_78_17">NA()</definedName>
    <definedName name="SHARED_FORMULA_22_80_22_80_17" localSheetId="10">NA()</definedName>
    <definedName name="SHARED_FORMULA_22_80_22_80_17">NA()</definedName>
    <definedName name="SHARED_FORMULA_22_83_22_83_17">NA()</definedName>
    <definedName name="SHARED_FORMULA_22_85_22_85_17" localSheetId="10">NA()</definedName>
    <definedName name="SHARED_FORMULA_22_85_22_85_17">NA()</definedName>
    <definedName name="SHARED_FORMULA_22_87_22_87_17" localSheetId="10">NA()</definedName>
    <definedName name="SHARED_FORMULA_22_87_22_87_17">NA()</definedName>
    <definedName name="SHARED_FORMULA_22_90_22_90_17">NA()</definedName>
    <definedName name="SHARED_FORMULA_22_92_22_92_17" localSheetId="10">NA()</definedName>
    <definedName name="SHARED_FORMULA_22_92_22_92_17">NA()</definedName>
    <definedName name="SHARED_FORMULA_22_96_22_96_17">NA()</definedName>
    <definedName name="SHARED_FORMULA_22_98_22_98_17" localSheetId="10">NA()</definedName>
    <definedName name="SHARED_FORMULA_22_98_22_98_17">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38_23_38_17">NA()</definedName>
    <definedName name="SHARED_FORMULA_23_65_23_65_17">NA()</definedName>
    <definedName name="SHARED_FORMULA_23_76_23_76_17">NA()</definedName>
    <definedName name="SHARED_FORMULA_24_194_24_194_17" localSheetId="10">NA()</definedName>
    <definedName name="SHARED_FORMULA_24_194_24_194_17">NA()</definedName>
    <definedName name="SHARED_FORMULA_24_212_24_212_17" localSheetId="10">NA()</definedName>
    <definedName name="SHARED_FORMULA_24_212_24_212_17">NA()</definedName>
    <definedName name="SHARED_FORMULA_24_227_24_227_17" localSheetId="10">NA()</definedName>
    <definedName name="SHARED_FORMULA_24_227_24_227_17">NA()</definedName>
    <definedName name="SHARED_FORMULA_24_23_24_23_17" localSheetId="10">NA()</definedName>
    <definedName name="SHARED_FORMULA_24_23_24_23_17">NA()</definedName>
    <definedName name="SHARED_FORMULA_24_230_24_230_17" localSheetId="10">NA()</definedName>
    <definedName name="SHARED_FORMULA_24_230_24_230_17">NA()</definedName>
    <definedName name="SHARED_FORMULA_24_233_24_233_17" localSheetId="10">NA()</definedName>
    <definedName name="SHARED_FORMULA_24_233_24_233_17">NA()</definedName>
    <definedName name="SHARED_FORMULA_24_247_24_247_17" localSheetId="10">NA()</definedName>
    <definedName name="SHARED_FORMULA_24_247_24_247_17">NA()</definedName>
    <definedName name="SHARED_FORMULA_24_251_24_251_17" localSheetId="10">NA()</definedName>
    <definedName name="SHARED_FORMULA_24_251_24_251_17">NA()</definedName>
    <definedName name="SHARED_FORMULA_24_271_24_271_17" localSheetId="10">NA()</definedName>
    <definedName name="SHARED_FORMULA_24_271_24_271_17">NA()</definedName>
    <definedName name="SHARED_FORMULA_24_274_24_274_17" localSheetId="10">NA()</definedName>
    <definedName name="SHARED_FORMULA_24_274_24_274_17">NA()</definedName>
    <definedName name="SHARED_FORMULA_24_34_24_34_17" localSheetId="10">NA()</definedName>
    <definedName name="SHARED_FORMULA_24_34_24_34_17">NA()</definedName>
    <definedName name="SHARED_FORMULA_24_65_24_65_17" localSheetId="10">NA()</definedName>
    <definedName name="SHARED_FORMULA_24_65_24_65_17">NA()</definedName>
    <definedName name="SHARED_FORMULA_24_78_24_78_17" localSheetId="10">NA()</definedName>
    <definedName name="SHARED_FORMULA_24_78_24_78_17">NA()</definedName>
    <definedName name="SHARED_FORMULA_3_1045_3_1045_0">NA()</definedName>
    <definedName name="SHARED_FORMULA_3_1067_3_1067_0">NA()</definedName>
    <definedName name="SHARED_FORMULA_3_1088_3_1088_0">NA()</definedName>
    <definedName name="SHARED_FORMULA_3_11_3_11_26" localSheetId="10">NA()</definedName>
    <definedName name="SHARED_FORMULA_3_11_3_11_26">NA()</definedName>
    <definedName name="SHARED_FORMULA_3_11_3_11_30" localSheetId="10">NA()</definedName>
    <definedName name="SHARED_FORMULA_3_11_3_11_30">NA()</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 localSheetId="10">NA()</definedName>
    <definedName name="SHARED_FORMULA_3_122_3_122_7">NA()</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 localSheetId="10">NA()</definedName>
    <definedName name="SHARED_FORMULA_3_16_3_16_33">NA()</definedName>
    <definedName name="SHARED_FORMULA_3_161_3_161_11">0.23</definedName>
    <definedName name="SHARED_FORMULA_3_161_3_161_26">NA()</definedName>
    <definedName name="SHARED_FORMULA_3_164_3_164_26" localSheetId="10">NA()</definedName>
    <definedName name="SHARED_FORMULA_3_164_3_164_26">NA()</definedName>
    <definedName name="SHARED_FORMULA_3_17_3_17_22" localSheetId="10">NA()</definedName>
    <definedName name="SHARED_FORMULA_3_17_3_17_22">NA()</definedName>
    <definedName name="SHARED_FORMULA_3_172_3_172_30">NA()</definedName>
    <definedName name="SHARED_FORMULA_3_174_3_174_11">1+1+0.23</definedName>
    <definedName name="SHARED_FORMULA_3_177_3_177_30" localSheetId="10">NA()</definedName>
    <definedName name="SHARED_FORMULA_3_177_3_177_30">NA()</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 localSheetId="10">NA()</definedName>
    <definedName name="SHARED_FORMULA_3_209_3_209_22">NA()</definedName>
    <definedName name="SHARED_FORMULA_3_21_3_21_33" localSheetId="10">NA()</definedName>
    <definedName name="SHARED_FORMULA_3_21_3_21_33">NA()</definedName>
    <definedName name="SHARED_FORMULA_3_213_3_213_22">NA()</definedName>
    <definedName name="SHARED_FORMULA_3_216_3_216_22" localSheetId="10">NA()</definedName>
    <definedName name="SHARED_FORMULA_3_216_3_216_22">NA()</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 localSheetId="10">NA()</definedName>
    <definedName name="SHARED_FORMULA_3_223_3_223_26">NA()</definedName>
    <definedName name="SHARED_FORMULA_3_224_3_224_9">1</definedName>
    <definedName name="SHARED_FORMULA_3_232_3_232_9">1</definedName>
    <definedName name="SHARED_FORMULA_3_236_3_236_26">NA()</definedName>
    <definedName name="SHARED_FORMULA_3_239_3_239_26" localSheetId="10">NA()</definedName>
    <definedName name="SHARED_FORMULA_3_239_3_239_26">NA()</definedName>
    <definedName name="SHARED_FORMULA_3_24_3_24_37" localSheetId="10">NA()</definedName>
    <definedName name="SHARED_FORMULA_3_24_3_24_37">NA()</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 localSheetId="10">NA()</definedName>
    <definedName name="SHARED_FORMULA_3_274_3_274_33">NA()</definedName>
    <definedName name="SHARED_FORMULA_3_275_3_275_9">1</definedName>
    <definedName name="SHARED_FORMULA_3_28_3_28_33" localSheetId="10">NA()</definedName>
    <definedName name="SHARED_FORMULA_3_28_3_28_33">NA()</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9">1</definedName>
    <definedName name="SHARED_FORMULA_3_31_3_31_22" localSheetId="10">NA()</definedName>
    <definedName name="SHARED_FORMULA_3_31_3_31_22">NA()</definedName>
    <definedName name="SHARED_FORMULA_3_31_3_31_30" localSheetId="10">NA()</definedName>
    <definedName name="SHARED_FORMULA_3_31_3_31_30">NA()</definedName>
    <definedName name="SHARED_FORMULA_3_312_3_312_9">1</definedName>
    <definedName name="SHARED_FORMULA_3_319_3_319_0">NA()</definedName>
    <definedName name="SHARED_FORMULA_3_32_3_32_37" localSheetId="10">NA()</definedName>
    <definedName name="SHARED_FORMULA_3_32_3_32_37">NA()</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 localSheetId="10">NA()</definedName>
    <definedName name="SHARED_FORMULA_3_38_3_38_30">NA()</definedName>
    <definedName name="SHARED_FORMULA_3_388_3_388_22">1</definedName>
    <definedName name="SHARED_FORMULA_3_39_3_39_37" localSheetId="10">NA()</definedName>
    <definedName name="SHARED_FORMULA_3_39_3_39_37">NA()</definedName>
    <definedName name="SHARED_FORMULA_3_39_3_39_8">NA()</definedName>
    <definedName name="SHARED_FORMULA_3_401_3_401_22">1</definedName>
    <definedName name="SHARED_FORMULA_3_403_3_403_0">NA()</definedName>
    <definedName name="SHARED_FORMULA_3_405_3_405_22">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 localSheetId="10">NA()</definedName>
    <definedName name="SHARED_FORMULA_3_46_3_46_22">NA()</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22" localSheetId="10">NA()</definedName>
    <definedName name="SHARED_FORMULA_3_5_3_5_22">NA()</definedName>
    <definedName name="SHARED_FORMULA_3_500_3_500_0">NA()</definedName>
    <definedName name="SHARED_FORMULA_3_503_3_503_37" localSheetId="10">NA()</definedName>
    <definedName name="SHARED_FORMULA_3_503_3_503_37">NA()</definedName>
    <definedName name="SHARED_FORMULA_3_508_3_508_22">1</definedName>
    <definedName name="SHARED_FORMULA_3_514_3_514_0">NA()</definedName>
    <definedName name="SHARED_FORMULA_3_515_3_515_7">1</definedName>
    <definedName name="SHARED_FORMULA_3_517_3_517_26" localSheetId="10">NA()</definedName>
    <definedName name="SHARED_FORMULA_3_517_3_517_26">NA()</definedName>
    <definedName name="SHARED_FORMULA_3_521_3_521_26" localSheetId="10">NA()</definedName>
    <definedName name="SHARED_FORMULA_3_521_3_521_26">NA()</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 localSheetId="10">NA()</definedName>
    <definedName name="SHARED_FORMULA_3_57_3_57_30">NA()</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 localSheetId="10">NA()</definedName>
    <definedName name="SHARED_FORMULA_3_63_3_63_26">NA()</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 localSheetId="10">NA()</definedName>
    <definedName name="SHARED_FORMULA_3_7_3_7_33">NA()</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10_3_810_0">NA()</definedName>
    <definedName name="SHARED_FORMULA_3_822_3_822_0">NA()</definedName>
    <definedName name="SHARED_FORMULA_3_88_3_88_18">1</definedName>
    <definedName name="SHARED_FORMULA_3_9_3_9_37" localSheetId="10">NA()</definedName>
    <definedName name="SHARED_FORMULA_3_9_3_9_37">NA()</definedName>
    <definedName name="SHARED_FORMULA_3_903_3_903_0">NA()</definedName>
    <definedName name="SHARED_FORMULA_3_91_3_91_8">NA()</definedName>
    <definedName name="SHARED_FORMULA_3_95_3_95_7" localSheetId="10">NA()</definedName>
    <definedName name="SHARED_FORMULA_3_95_3_95_7">NA()</definedName>
    <definedName name="SHARED_FORMULA_3_953_3_953_0">NA()</definedName>
    <definedName name="SHARED_FORMULA_3_96_3_96_7">NA()</definedName>
    <definedName name="SHARED_FORMULA_3_977_3_977_0">NA()</definedName>
    <definedName name="SHARED_FORMULA_3_999_3_999_0">NA()</definedName>
    <definedName name="SHARED_FORMULA_4_102_4_102_13">6.275+2.795+1.82+4.63+4.13+0.115*2</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 localSheetId="10">NA()</definedName>
    <definedName name="SHARED_FORMULA_4_135_4_135_30">NA()</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1_4_161_26">NA()</definedName>
    <definedName name="SHARED_FORMULA_4_164_4_164_26" localSheetId="10">NA()</definedName>
    <definedName name="SHARED_FORMULA_4_164_4_164_26">NA()</definedName>
    <definedName name="SHARED_FORMULA_4_165_4_165_30">NA()</definedName>
    <definedName name="SHARED_FORMULA_4_166_4_166_11">4.23+2.23+2.23+2</definedName>
    <definedName name="SHARED_FORMULA_4_170_4_170_30" localSheetId="10">NA()</definedName>
    <definedName name="SHARED_FORMULA_4_170_4_170_30">NA()</definedName>
    <definedName name="SHARED_FORMULA_4_174_4_174_22" localSheetId="10">NA()</definedName>
    <definedName name="SHARED_FORMULA_4_174_4_174_22">NA()</definedName>
    <definedName name="SHARED_FORMULA_4_178_4_178_22">NA()</definedName>
    <definedName name="SHARED_FORMULA_4_178_4_178_9">1.65+5.5+5</definedName>
    <definedName name="SHARED_FORMULA_4_18_4_18_37" localSheetId="10">NA()</definedName>
    <definedName name="SHARED_FORMULA_4_18_4_18_37">NA()</definedName>
    <definedName name="SHARED_FORMULA_4_183_4_183_20">3.73+3.23*2</definedName>
    <definedName name="SHARED_FORMULA_4_184_4_184_9">5.73+3.03+5.73</definedName>
    <definedName name="SHARED_FORMULA_4_189_4_189_22" localSheetId="10">NA()</definedName>
    <definedName name="SHARED_FORMULA_4_189_4_189_22">NA()</definedName>
    <definedName name="SHARED_FORMULA_4_191_4_191_18">4.545+3.015+4.15+5.52+4.54+0.23</definedName>
    <definedName name="SHARED_FORMULA_4_193_4_193_22">NA()</definedName>
    <definedName name="SHARED_FORMULA_4_194_4_194_22" localSheetId="10">NA()</definedName>
    <definedName name="SHARED_FORMULA_4_194_4_194_22">NA()</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04_4_204_30" localSheetId="10">NA()</definedName>
    <definedName name="SHARED_FORMULA_4_204_4_204_30">NA()</definedName>
    <definedName name="SHARED_FORMULA_4_204_4_204_37">NA()</definedName>
    <definedName name="SHARED_FORMULA_4_204_4_204_9">3.63+3.015+0.625+1.905+1.905+2.235+4.76+5.73*2+5.58+5.465</definedName>
    <definedName name="SHARED_FORMULA_4_205_4_205_22" localSheetId="10">NA()</definedName>
    <definedName name="SHARED_FORMULA_4_205_4_205_22">NA()</definedName>
    <definedName name="SHARED_FORMULA_4_209_4_209_22">NA()</definedName>
    <definedName name="SHARED_FORMULA_4_209_4_209_30" localSheetId="10">NA()</definedName>
    <definedName name="SHARED_FORMULA_4_209_4_209_30">NA()</definedName>
    <definedName name="SHARED_FORMULA_4_210_4_210_26">NA()</definedName>
    <definedName name="SHARED_FORMULA_4_213_4_213_26" localSheetId="10">NA()</definedName>
    <definedName name="SHARED_FORMULA_4_213_4_213_26">NA()</definedName>
    <definedName name="SHARED_FORMULA_4_216_4_216_26" localSheetId="10">NA()</definedName>
    <definedName name="SHARED_FORMULA_4_216_4_216_26">NA()</definedName>
    <definedName name="SHARED_FORMULA_4_222_4_222_9">1.65+5.5+5</definedName>
    <definedName name="SHARED_FORMULA_4_228_4_228_26">NA()</definedName>
    <definedName name="SHARED_FORMULA_4_231_4_231_26" localSheetId="10">NA()</definedName>
    <definedName name="SHARED_FORMULA_4_231_4_231_26">NA()</definedName>
    <definedName name="SHARED_FORMULA_4_240_4_240_20">2.8-0.15*2</definedName>
    <definedName name="SHARED_FORMULA_4_2440_4_2440_22">+SQRT(3.2^2+1.65^2)+0.225</definedName>
    <definedName name="SHARED_FORMULA_4_246_4_246_26">NA()</definedName>
    <definedName name="SHARED_FORMULA_4_265_4_265_9">1.65+5.5+5</definedName>
    <definedName name="SHARED_FORMULA_4_278_4_278_37">NA()</definedName>
    <definedName name="SHARED_FORMULA_4_291_4_291_17" localSheetId="10">NA()</definedName>
    <definedName name="SHARED_FORMULA_4_291_4_291_17">NA()</definedName>
    <definedName name="SHARED_FORMULA_4_297_4_297_37" localSheetId="10">NA()</definedName>
    <definedName name="SHARED_FORMULA_4_297_4_297_37">NA()</definedName>
    <definedName name="SHARED_FORMULA_4_310_4_310_9">1.65+5.5+5</definedName>
    <definedName name="SHARED_FORMULA_4_34_4_34_26" localSheetId="10">NA()</definedName>
    <definedName name="SHARED_FORMULA_4_34_4_34_26">NA()</definedName>
    <definedName name="SHARED_FORMULA_4_360_4_360_20">0.23</definedName>
    <definedName name="SHARED_FORMULA_4_37_4_37_26">NA()</definedName>
    <definedName name="SHARED_FORMULA_4_392_4_392_22">14.12+1.355</definedName>
    <definedName name="SHARED_FORMULA_4_396_4_396_37" localSheetId="10">NA()</definedName>
    <definedName name="SHARED_FORMULA_4_396_4_396_37">NA()</definedName>
    <definedName name="SHARED_FORMULA_4_398_4_398_22">NA()</definedName>
    <definedName name="SHARED_FORMULA_4_4_4_4_26" localSheetId="10">NA()</definedName>
    <definedName name="SHARED_FORMULA_4_4_4_4_26">NA()</definedName>
    <definedName name="SHARED_FORMULA_4_40_4_40_16">3.45-2.83</definedName>
    <definedName name="SHARED_FORMULA_4_40_4_40_17">3.45-2.83</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9_4_469_22">12.51+3.23*2+1.355*2</definedName>
    <definedName name="SHARED_FORMULA_4_472_4_472_37" localSheetId="10">NA()</definedName>
    <definedName name="SHARED_FORMULA_4_472_4_472_37">NA()</definedName>
    <definedName name="SHARED_FORMULA_4_488_4_488_22">12.31+1.81+1.355</definedName>
    <definedName name="SHARED_FORMULA_4_5_4_5_22" localSheetId="10">NA()</definedName>
    <definedName name="SHARED_FORMULA_4_5_4_5_22">NA()</definedName>
    <definedName name="SHARED_FORMULA_4_5_4_5_37" localSheetId="10">NA()</definedName>
    <definedName name="SHARED_FORMULA_4_5_4_5_37">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70_4_570_22">12.31+1.81+1.355</definedName>
    <definedName name="SHARED_FORMULA_4_575_4_575_22">3.53*4</definedName>
    <definedName name="SHARED_FORMULA_4_6_4_6_30" localSheetId="10">NA()</definedName>
    <definedName name="SHARED_FORMULA_4_6_4_6_30">NA()</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0_4_70_33" localSheetId="10">NA()</definedName>
    <definedName name="SHARED_FORMULA_4_70_4_70_33">NA()</definedName>
    <definedName name="SHARED_FORMULA_4_732_4_732_22" localSheetId="10">NA()</definedName>
    <definedName name="SHARED_FORMULA_4_732_4_732_22">NA()</definedName>
    <definedName name="SHARED_FORMULA_4_77_4_77_18">7.04+3.04+4.69-0.23</definedName>
    <definedName name="SHARED_FORMULA_4_781_4_781_26">NA()</definedName>
    <definedName name="SHARED_FORMULA_4_792_4_792_26">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 localSheetId="10">NA()</definedName>
    <definedName name="SHARED_FORMULA_4_816_4_816_26">NA()</definedName>
    <definedName name="SHARED_FORMULA_4_82_4_82_33">NA()</definedName>
    <definedName name="SHARED_FORMULA_4_827_4_827_26" localSheetId="10">NA()</definedName>
    <definedName name="SHARED_FORMULA_4_827_4_827_26">NA()</definedName>
    <definedName name="SHARED_FORMULA_4_837_4_837_26" localSheetId="10">NA()</definedName>
    <definedName name="SHARED_FORMULA_4_837_4_837_26">NA()</definedName>
    <definedName name="SHARED_FORMULA_4_847_4_847_26" localSheetId="10">NA()</definedName>
    <definedName name="SHARED_FORMULA_4_847_4_847_26">NA()</definedName>
    <definedName name="SHARED_FORMULA_4_86_4_86_33" localSheetId="10">NA()</definedName>
    <definedName name="SHARED_FORMULA_4_86_4_86_33">NA()</definedName>
    <definedName name="SHARED_FORMULA_4_860_4_860_22">NA()</definedName>
    <definedName name="SHARED_FORMULA_4_89_4_89_18">7.04+3.04+4.69-0.23</definedName>
    <definedName name="SHARED_FORMULA_4_90_4_90_33">NA()</definedName>
    <definedName name="SHARED_FORMULA_4_93_4_93_8">NA()</definedName>
    <definedName name="SHARED_FORMULA_4_94_4_94_33" localSheetId="10">NA()</definedName>
    <definedName name="SHARED_FORMULA_4_94_4_94_33">NA()</definedName>
    <definedName name="SHARED_FORMULA_4_98_4_98_13">6.275+2.795+1.82+4.63+0.23</definedName>
    <definedName name="SHARED_FORMULA_5_11_5_11_26" localSheetId="10">NA()</definedName>
    <definedName name="SHARED_FORMULA_5_11_5_11_26">NA()</definedName>
    <definedName name="SHARED_FORMULA_5_1137_5_1137_22">0.23</definedName>
    <definedName name="SHARED_FORMULA_5_116_5_116_26" localSheetId="10">NA()</definedName>
    <definedName name="SHARED_FORMULA_5_116_5_116_26">NA()</definedName>
    <definedName name="SHARED_FORMULA_5_1201_5_1201_22">0.23</definedName>
    <definedName name="SHARED_FORMULA_5_124_5_124_13">1+1+0.23</definedName>
    <definedName name="SHARED_FORMULA_5_130_5_130_22" localSheetId="10">NA()</definedName>
    <definedName name="SHARED_FORMULA_5_130_5_130_22">NA()</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 localSheetId="10">NA()</definedName>
    <definedName name="SHARED_FORMULA_5_142_5_142_3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 localSheetId="10">NA()</definedName>
    <definedName name="SHARED_FORMULA_5_156_5_156_26">NA()</definedName>
    <definedName name="SHARED_FORMULA_5_17_5_17_22">0.15+0.1*2</definedName>
    <definedName name="SHARED_FORMULA_5_179_5_179_30">NA()</definedName>
    <definedName name="SHARED_FORMULA_5_184_5_184_30" localSheetId="10">NA()</definedName>
    <definedName name="SHARED_FORMULA_5_184_5_184_30">NA()</definedName>
    <definedName name="SHARED_FORMULA_5_187_5_187_18">0.23</definedName>
    <definedName name="SHARED_FORMULA_5_196_5_196_18">0.3</definedName>
    <definedName name="SHARED_FORMULA_5_199_5_199_16">+(0.355-0.125)*2</definedName>
    <definedName name="SHARED_FORMULA_5_200_5_200_18">0.23</definedName>
    <definedName name="SHARED_FORMULA_5_233_5_233_22" localSheetId="10">NA()</definedName>
    <definedName name="SHARED_FORMULA_5_233_5_233_22">NA()</definedName>
    <definedName name="SHARED_FORMULA_5_24_5_24_37">0.15+0.1*2</definedName>
    <definedName name="SHARED_FORMULA_5_246_5_246_26">NA()</definedName>
    <definedName name="SHARED_FORMULA_5_259_5_259_26" localSheetId="10">NA()</definedName>
    <definedName name="SHARED_FORMULA_5_259_5_259_26">NA()</definedName>
    <definedName name="SHARED_FORMULA_5_261_5_261_26">NA()</definedName>
    <definedName name="SHARED_FORMULA_5_273_5_273_30">NA()</definedName>
    <definedName name="SHARED_FORMULA_5_275_5_275_26">NA()</definedName>
    <definedName name="SHARED_FORMULA_5_278_5_278_26" localSheetId="10">NA()</definedName>
    <definedName name="SHARED_FORMULA_5_278_5_278_26">NA()</definedName>
    <definedName name="SHARED_FORMULA_5_287_5_287_30" localSheetId="10">NA()</definedName>
    <definedName name="SHARED_FORMULA_5_287_5_287_30">NA()</definedName>
    <definedName name="SHARED_FORMULA_5_289_5_289_26">NA()</definedName>
    <definedName name="SHARED_FORMULA_5_293_5_293_26" localSheetId="10">NA()</definedName>
    <definedName name="SHARED_FORMULA_5_293_5_293_26">NA()</definedName>
    <definedName name="SHARED_FORMULA_5_308_5_308_26" localSheetId="10">NA()</definedName>
    <definedName name="SHARED_FORMULA_5_308_5_308_26">NA()</definedName>
    <definedName name="SHARED_FORMULA_5_32_5_32_37" localSheetId="10">NA()</definedName>
    <definedName name="SHARED_FORMULA_5_32_5_32_37">NA()</definedName>
    <definedName name="SHARED_FORMULA_5_35_5_35_14">0.45+0.1*2</definedName>
    <definedName name="SHARED_FORMULA_5_352_5_352_18">2*(0.425-0.125)</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37" localSheetId="10">NA()</definedName>
    <definedName name="SHARED_FORMULA_5_39_5_39_37">NA()</definedName>
    <definedName name="SHARED_FORMULA_5_397_5_397_30">1.2*2+0.15</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 localSheetId="10">NA()</definedName>
    <definedName name="SHARED_FORMULA_5_432_5_432_22">NA()</definedName>
    <definedName name="SHARED_FORMULA_5_444_5_444_7">0.23</definedName>
    <definedName name="SHARED_FORMULA_5_449_5_449_22">0.23</definedName>
    <definedName name="SHARED_FORMULA_5_45_5_45_11">0.45</definedName>
    <definedName name="SHARED_FORMULA_5_46_5_46_22">0.15+0.1*2</definedName>
    <definedName name="SHARED_FORMULA_5_460_5_460_7">0.23</definedName>
    <definedName name="SHARED_FORMULA_5_465_5_465_22">0.23</definedName>
    <definedName name="SHARED_FORMULA_5_473_5_473_7">0.23</definedName>
    <definedName name="SHARED_FORMULA_5_484_5_484_22">0.23</definedName>
    <definedName name="SHARED_FORMULA_5_49_5_49_22">0.15+0.1*2</definedName>
    <definedName name="SHARED_FORMULA_5_492_5_492_7">0.23</definedName>
    <definedName name="SHARED_FORMULA_5_508_5_508_13">0.6*2+0.3</definedName>
    <definedName name="SHARED_FORMULA_5_508_5_508_22">0.23</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 localSheetId="10">NA()</definedName>
    <definedName name="SHARED_FORMULA_5_551_5_551_26">NA()</definedName>
    <definedName name="SHARED_FORMULA_5_558_5_558_7">0.23</definedName>
    <definedName name="SHARED_FORMULA_5_562_5_562_26" localSheetId="10">NA()</definedName>
    <definedName name="SHARED_FORMULA_5_562_5_562_26">NA()</definedName>
    <definedName name="SHARED_FORMULA_5_566_5_566_13">0.6*2+0.3</definedName>
    <definedName name="SHARED_FORMULA_5_566_5_566_22">0.23</definedName>
    <definedName name="SHARED_FORMULA_5_566_5_566_7">0.23</definedName>
    <definedName name="SHARED_FORMULA_5_57_5_57_30" localSheetId="10">NA()</definedName>
    <definedName name="SHARED_FORMULA_5_57_5_57_30">NA()</definedName>
    <definedName name="SHARED_FORMULA_5_572_5_572_26" localSheetId="10">NA()</definedName>
    <definedName name="SHARED_FORMULA_5_572_5_572_26">NA()</definedName>
    <definedName name="SHARED_FORMULA_5_575_5_575_7">0.23</definedName>
    <definedName name="SHARED_FORMULA_5_582_5_582_22">0.23</definedName>
    <definedName name="SHARED_FORMULA_5_599_5_599_26">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0_5_610_26" localSheetId="10">NA()</definedName>
    <definedName name="SHARED_FORMULA_5_610_5_610_26">NA()</definedName>
    <definedName name="SHARED_FORMULA_5_612_5_612_26">NA()</definedName>
    <definedName name="SHARED_FORMULA_5_637_5_637_26" localSheetId="10">NA()</definedName>
    <definedName name="SHARED_FORMULA_5_637_5_637_26">NA()</definedName>
    <definedName name="SHARED_FORMULA_5_639_5_639_26">NA()</definedName>
    <definedName name="SHARED_FORMULA_5_650_5_650_26" localSheetId="10">NA()</definedName>
    <definedName name="SHARED_FORMULA_5_650_5_650_26">NA()</definedName>
    <definedName name="SHARED_FORMULA_5_666_5_666_26">NA()</definedName>
    <definedName name="SHARED_FORMULA_5_675_5_675_26" localSheetId="10">NA()</definedName>
    <definedName name="SHARED_FORMULA_5_675_5_675_26">NA()</definedName>
    <definedName name="SHARED_FORMULA_5_7_5_7_33" localSheetId="10">NA()</definedName>
    <definedName name="SHARED_FORMULA_5_7_5_7_33">NA()</definedName>
    <definedName name="SHARED_FORMULA_5_700_5_700_26" localSheetId="10">NA()</definedName>
    <definedName name="SHARED_FORMULA_5_700_5_700_26">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 localSheetId="10">NA()</definedName>
    <definedName name="SHARED_FORMULA_5_827_5_827_26">NA()</definedName>
    <definedName name="SHARED_FORMULA_5_833_5_833_17">0.6*2+0.3</definedName>
    <definedName name="SHARED_FORMULA_5_837_5_837_26" localSheetId="10">NA()</definedName>
    <definedName name="SHARED_FORMULA_5_837_5_837_26">NA()</definedName>
    <definedName name="SHARED_FORMULA_5_84_5_84_26">0.23+0.1*2</definedName>
    <definedName name="SHARED_FORMULA_5_847_5_847_26" localSheetId="10">NA()</definedName>
    <definedName name="SHARED_FORMULA_5_847_5_847_26">NA()</definedName>
    <definedName name="SHARED_FORMULA_5_85_5_85_30" localSheetId="10">NA()</definedName>
    <definedName name="SHARED_FORMULA_5_85_5_85_30">NA()</definedName>
    <definedName name="SHARED_FORMULA_5_87_5_87_26">0.23+0.1*2</definedName>
    <definedName name="SHARED_FORMULA_5_9_5_9_37" localSheetId="10">NA()</definedName>
    <definedName name="SHARED_FORMULA_5_9_5_9_37">NA()</definedName>
    <definedName name="SHARED_FORMULA_5_92_5_92_17">0.23</definedName>
    <definedName name="SHARED_FORMULA_5_99_5_99_17">0.23</definedName>
    <definedName name="SHARED_FORMULA_6_1029_6_1029_26">NA()</definedName>
    <definedName name="SHARED_FORMULA_6_1032_6_1032_22">NA()</definedName>
    <definedName name="SHARED_FORMULA_6_1034_6_1034_26" localSheetId="10">NA()</definedName>
    <definedName name="SHARED_FORMULA_6_1034_6_1034_26">NA()</definedName>
    <definedName name="SHARED_FORMULA_6_1038_6_1038_22" localSheetId="10">NA()</definedName>
    <definedName name="SHARED_FORMULA_6_1038_6_1038_22">NA()</definedName>
    <definedName name="SHARED_FORMULA_6_1039_6_1039_26">NA()</definedName>
    <definedName name="SHARED_FORMULA_6_1044_6_1044_26" localSheetId="10">NA()</definedName>
    <definedName name="SHARED_FORMULA_6_1044_6_1044_26">NA()</definedName>
    <definedName name="SHARED_FORMULA_6_1052_6_1052_26" localSheetId="10">NA()</definedName>
    <definedName name="SHARED_FORMULA_6_1052_6_1052_26">NA()</definedName>
    <definedName name="SHARED_FORMULA_6_1056_6_1056_22" localSheetId="10">NA()</definedName>
    <definedName name="SHARED_FORMULA_6_1056_6_1056_22">NA()</definedName>
    <definedName name="SHARED_FORMULA_6_1059_6_1059_9">1+1+0.115</definedName>
    <definedName name="SHARED_FORMULA_6_106_6_106_22" localSheetId="10">NA()</definedName>
    <definedName name="SHARED_FORMULA_6_106_6_106_22">NA()</definedName>
    <definedName name="SHARED_FORMULA_6_1066_6_1066_22">NA()</definedName>
    <definedName name="SHARED_FORMULA_6_1071_6_1071_26" localSheetId="10">NA()</definedName>
    <definedName name="SHARED_FORMULA_6_1071_6_1071_26">NA()</definedName>
    <definedName name="SHARED_FORMULA_6_1075_6_1075_22">NA()</definedName>
    <definedName name="SHARED_FORMULA_6_1081_6_1081_26" localSheetId="10">NA()</definedName>
    <definedName name="SHARED_FORMULA_6_1081_6_1081_26">NA()</definedName>
    <definedName name="SHARED_FORMULA_6_1082_6_1082_26">NA()</definedName>
    <definedName name="SHARED_FORMULA_6_1092_6_1092_26">NA()</definedName>
    <definedName name="SHARED_FORMULA_6_11_6_11_26" localSheetId="10">NA()</definedName>
    <definedName name="SHARED_FORMULA_6_11_6_11_26">NA()</definedName>
    <definedName name="SHARED_FORMULA_6_11_6_11_30" localSheetId="10">NA()</definedName>
    <definedName name="SHARED_FORMULA_6_11_6_11_30">NA()</definedName>
    <definedName name="SHARED_FORMULA_6_110_6_110_22">NA()</definedName>
    <definedName name="SHARED_FORMULA_6_1106_6_1106_26" localSheetId="10">NA()</definedName>
    <definedName name="SHARED_FORMULA_6_1106_6_1106_26">NA()</definedName>
    <definedName name="SHARED_FORMULA_6_1118_6_1118_22" localSheetId="10">NA()</definedName>
    <definedName name="SHARED_FORMULA_6_1118_6_1118_22">NA()</definedName>
    <definedName name="SHARED_FORMULA_6_1135_6_1135_26">NA()</definedName>
    <definedName name="SHARED_FORMULA_6_114_6_114_26" localSheetId="10">NA()</definedName>
    <definedName name="SHARED_FORMULA_6_114_6_114_26">NA()</definedName>
    <definedName name="SHARED_FORMULA_6_1152_6_1152_22" localSheetId="10">NA()</definedName>
    <definedName name="SHARED_FORMULA_6_1152_6_1152_22">NA()</definedName>
    <definedName name="SHARED_FORMULA_6_1161_6_1161_22" localSheetId="10">NA()</definedName>
    <definedName name="SHARED_FORMULA_6_1161_6_1161_22">NA()</definedName>
    <definedName name="SHARED_FORMULA_6_117_6_117_26">NA()</definedName>
    <definedName name="SHARED_FORMULA_6_117_6_117_37">NA()</definedName>
    <definedName name="SHARED_FORMULA_6_1183_6_1183_10">NA()</definedName>
    <definedName name="SHARED_FORMULA_6_123_6_123_37" localSheetId="10">NA()</definedName>
    <definedName name="SHARED_FORMULA_6_123_6_123_37">NA()</definedName>
    <definedName name="SHARED_FORMULA_6_1258_6_1258_10">NA()</definedName>
    <definedName name="SHARED_FORMULA_6_126_6_126_37">NA()</definedName>
    <definedName name="SHARED_FORMULA_6_127_6_127_30">NA()</definedName>
    <definedName name="SHARED_FORMULA_6_1290_6_1290_10">NA()</definedName>
    <definedName name="SHARED_FORMULA_6_13_6_13_7" localSheetId="10">NA()</definedName>
    <definedName name="SHARED_FORMULA_6_13_6_13_7">NA()</definedName>
    <definedName name="SHARED_FORMULA_6_1313_6_1313_22">0.2</definedName>
    <definedName name="SHARED_FORMULA_6_132_6_132_30" localSheetId="10">NA()</definedName>
    <definedName name="SHARED_FORMULA_6_132_6_132_30">NA()</definedName>
    <definedName name="SHARED_FORMULA_6_132_6_132_37" localSheetId="10">NA()</definedName>
    <definedName name="SHARED_FORMULA_6_132_6_132_37">NA()</definedName>
    <definedName name="SHARED_FORMULA_6_1324_6_1324_22">0.2</definedName>
    <definedName name="SHARED_FORMULA_6_133_6_133_18">1</definedName>
    <definedName name="SHARED_FORMULA_6_1333_6_1333_22">0.2</definedName>
    <definedName name="SHARED_FORMULA_6_135_6_135_37">NA()</definedName>
    <definedName name="SHARED_FORMULA_6_1355_6_1355_26">NA()</definedName>
    <definedName name="SHARED_FORMULA_6_1371_6_1371_26" localSheetId="10">NA()</definedName>
    <definedName name="SHARED_FORMULA_6_1371_6_1371_26">NA()</definedName>
    <definedName name="SHARED_FORMULA_6_1382_6_1382_26">NA()</definedName>
    <definedName name="SHARED_FORMULA_6_1398_6_1398_26" localSheetId="10">NA()</definedName>
    <definedName name="SHARED_FORMULA_6_1398_6_1398_26">NA()</definedName>
    <definedName name="SHARED_FORMULA_6_1402_6_1402_26">NA()</definedName>
    <definedName name="SHARED_FORMULA_6_141_6_141_37" localSheetId="10">NA()</definedName>
    <definedName name="SHARED_FORMULA_6_141_6_141_37">NA()</definedName>
    <definedName name="SHARED_FORMULA_6_1418_6_1418_26" localSheetId="10">NA()</definedName>
    <definedName name="SHARED_FORMULA_6_1418_6_1418_26">NA()</definedName>
    <definedName name="SHARED_FORMULA_6_1422_6_1422_26">NA()</definedName>
    <definedName name="SHARED_FORMULA_6_1438_6_1438_10">NA()</definedName>
    <definedName name="SHARED_FORMULA_6_1438_6_1438_26" localSheetId="10">NA()</definedName>
    <definedName name="SHARED_FORMULA_6_1438_6_1438_26">NA()</definedName>
    <definedName name="SHARED_FORMULA_6_144_6_144_37">NA()</definedName>
    <definedName name="SHARED_FORMULA_6_1476_6_1476_26">NA()</definedName>
    <definedName name="SHARED_FORMULA_6_148_6_148_33">NA()</definedName>
    <definedName name="SHARED_FORMULA_6_1485_6_1485_26">NA()</definedName>
    <definedName name="SHARED_FORMULA_6_1492_6_1492_26" localSheetId="10">NA()</definedName>
    <definedName name="SHARED_FORMULA_6_1492_6_1492_26">NA()</definedName>
    <definedName name="SHARED_FORMULA_6_1493_6_1493_26">NA()</definedName>
    <definedName name="SHARED_FORMULA_6_150_6_150_37" localSheetId="10">NA()</definedName>
    <definedName name="SHARED_FORMULA_6_150_6_150_37">NA()</definedName>
    <definedName name="SHARED_FORMULA_6_1501_6_1501_26" localSheetId="10">NA()</definedName>
    <definedName name="SHARED_FORMULA_6_1501_6_1501_26">NA()</definedName>
    <definedName name="SHARED_FORMULA_6_1507_6_1507_26">NA()</definedName>
    <definedName name="SHARED_FORMULA_6_1509_6_1509_26" localSheetId="10">NA()</definedName>
    <definedName name="SHARED_FORMULA_6_1509_6_1509_26">NA()</definedName>
    <definedName name="SHARED_FORMULA_6_151_6_151_7">NA()</definedName>
    <definedName name="SHARED_FORMULA_6_1516_6_1516_26">NA()</definedName>
    <definedName name="SHARED_FORMULA_6_1523_6_1523_26" localSheetId="10">NA()</definedName>
    <definedName name="SHARED_FORMULA_6_1523_6_1523_26">NA()</definedName>
    <definedName name="SHARED_FORMULA_6_1532_6_1532_26" localSheetId="10">NA()</definedName>
    <definedName name="SHARED_FORMULA_6_1532_6_1532_26">NA()</definedName>
    <definedName name="SHARED_FORMULA_6_154_6_154_33" localSheetId="10">NA()</definedName>
    <definedName name="SHARED_FORMULA_6_154_6_154_33">NA()</definedName>
    <definedName name="SHARED_FORMULA_6_1541_6_1541_26">NA()</definedName>
    <definedName name="SHARED_FORMULA_6_1548_6_1548_26" localSheetId="10">NA()</definedName>
    <definedName name="SHARED_FORMULA_6_1548_6_1548_26">NA()</definedName>
    <definedName name="SHARED_FORMULA_6_1557_6_1557_26" localSheetId="10">NA()</definedName>
    <definedName name="SHARED_FORMULA_6_1557_6_1557_26">NA()</definedName>
    <definedName name="SHARED_FORMULA_6_1566_6_1566_26">NA()</definedName>
    <definedName name="SHARED_FORMULA_6_1573_6_1573_26" localSheetId="10">NA()</definedName>
    <definedName name="SHARED_FORMULA_6_1573_6_1573_26">NA()</definedName>
    <definedName name="SHARED_FORMULA_6_1582_6_1582_26" localSheetId="10">NA()</definedName>
    <definedName name="SHARED_FORMULA_6_1582_6_1582_26">NA()</definedName>
    <definedName name="SHARED_FORMULA_6_168_6_168_33">NA()</definedName>
    <definedName name="SHARED_FORMULA_6_174_6_174_33" localSheetId="10">NA()</definedName>
    <definedName name="SHARED_FORMULA_6_174_6_174_33">NA()</definedName>
    <definedName name="SHARED_FORMULA_6_178_6_178_30">NA()</definedName>
    <definedName name="SHARED_FORMULA_6_178_6_178_7">NA()</definedName>
    <definedName name="SHARED_FORMULA_6_18_6_18_22" localSheetId="10">NA()</definedName>
    <definedName name="SHARED_FORMULA_6_18_6_18_22">NA()</definedName>
    <definedName name="SHARED_FORMULA_6_183_6_183_30" localSheetId="10">NA()</definedName>
    <definedName name="SHARED_FORMULA_6_183_6_183_30">NA()</definedName>
    <definedName name="SHARED_FORMULA_6_218_6_218_7">NA()</definedName>
    <definedName name="SHARED_FORMULA_6_220_6_220_26">NA()</definedName>
    <definedName name="SHARED_FORMULA_6_223_6_223_26" localSheetId="10">NA()</definedName>
    <definedName name="SHARED_FORMULA_6_223_6_223_26">NA()</definedName>
    <definedName name="SHARED_FORMULA_6_229_6_229_33">NA()</definedName>
    <definedName name="SHARED_FORMULA_6_235_6_235_33" localSheetId="10">NA()</definedName>
    <definedName name="SHARED_FORMULA_6_235_6_235_33">NA()</definedName>
    <definedName name="SHARED_FORMULA_6_241_6_241_22">NA()</definedName>
    <definedName name="SHARED_FORMULA_6_242_6_242_16">0.3*2+0.115</definedName>
    <definedName name="SHARED_FORMULA_6_245_6_245_22" localSheetId="10">NA()</definedName>
    <definedName name="SHARED_FORMULA_6_245_6_245_22">NA()</definedName>
    <definedName name="SHARED_FORMULA_6_245_6_245_7">NA()</definedName>
    <definedName name="SHARED_FORMULA_6_246_6_246_26">NA()</definedName>
    <definedName name="SHARED_FORMULA_6_253_6_253_26" localSheetId="10">NA()</definedName>
    <definedName name="SHARED_FORMULA_6_253_6_253_26">NA()</definedName>
    <definedName name="SHARED_FORMULA_6_256_6_256_22">NA()</definedName>
    <definedName name="SHARED_FORMULA_6_260_6_260_22" localSheetId="10">NA()</definedName>
    <definedName name="SHARED_FORMULA_6_260_6_260_22">NA()</definedName>
    <definedName name="SHARED_FORMULA_6_261_6_261_26">NA()</definedName>
    <definedName name="SHARED_FORMULA_6_271_6_271_30">NA()</definedName>
    <definedName name="SHARED_FORMULA_6_272_6_272_22">NA()</definedName>
    <definedName name="SHARED_FORMULA_6_272_6_272_26" localSheetId="10">NA()</definedName>
    <definedName name="SHARED_FORMULA_6_272_6_272_26">NA()</definedName>
    <definedName name="SHARED_FORMULA_6_273_6_273_7">NA()</definedName>
    <definedName name="SHARED_FORMULA_6_275_6_275_26">NA()</definedName>
    <definedName name="SHARED_FORMULA_6_276_6_276_22" localSheetId="10">NA()</definedName>
    <definedName name="SHARED_FORMULA_6_276_6_276_22">NA()</definedName>
    <definedName name="SHARED_FORMULA_6_285_6_285_30" localSheetId="10">NA()</definedName>
    <definedName name="SHARED_FORMULA_6_285_6_285_30">NA()</definedName>
    <definedName name="SHARED_FORMULA_6_287_6_287_26" localSheetId="10">NA()</definedName>
    <definedName name="SHARED_FORMULA_6_287_6_287_26">NA()</definedName>
    <definedName name="SHARED_FORMULA_6_289_6_289_26">NA()</definedName>
    <definedName name="SHARED_FORMULA_6_29_6_29_10">NA()</definedName>
    <definedName name="SHARED_FORMULA_6_291_6_291_22">NA()</definedName>
    <definedName name="SHARED_FORMULA_6_294_6_294_37">NA()</definedName>
    <definedName name="SHARED_FORMULA_6_295_6_295_22" localSheetId="10">NA()</definedName>
    <definedName name="SHARED_FORMULA_6_295_6_295_22">NA()</definedName>
    <definedName name="SHARED_FORMULA_6_302_6_302_26" localSheetId="10">NA()</definedName>
    <definedName name="SHARED_FORMULA_6_302_6_302_26">NA()</definedName>
    <definedName name="SHARED_FORMULA_6_306_6_306_22">NA()</definedName>
    <definedName name="SHARED_FORMULA_6_310_6_310_22" localSheetId="10">NA()</definedName>
    <definedName name="SHARED_FORMULA_6_310_6_310_22">NA()</definedName>
    <definedName name="SHARED_FORMULA_6_32_6_32_22" localSheetId="10">NA()</definedName>
    <definedName name="SHARED_FORMULA_6_32_6_32_22">NA()</definedName>
    <definedName name="SHARED_FORMULA_6_321_6_321_37" localSheetId="10">NA()</definedName>
    <definedName name="SHARED_FORMULA_6_321_6_321_37">NA()</definedName>
    <definedName name="SHARED_FORMULA_6_325_6_325_22">NA()</definedName>
    <definedName name="SHARED_FORMULA_6_329_6_329_22" localSheetId="10">NA()</definedName>
    <definedName name="SHARED_FORMULA_6_329_6_329_22">NA()</definedName>
    <definedName name="SHARED_FORMULA_6_329_6_329_26">NA()</definedName>
    <definedName name="SHARED_FORMULA_6_334_6_334_30">NA()</definedName>
    <definedName name="SHARED_FORMULA_6_337_6_337_26">NA()</definedName>
    <definedName name="SHARED_FORMULA_6_343_6_343_22">NA()</definedName>
    <definedName name="SHARED_FORMULA_6_347_6_347_22" localSheetId="10">NA()</definedName>
    <definedName name="SHARED_FORMULA_6_347_6_347_22">NA()</definedName>
    <definedName name="SHARED_FORMULA_6_348_6_348_26">NA()</definedName>
    <definedName name="SHARED_FORMULA_6_348_6_348_30" localSheetId="10">NA()</definedName>
    <definedName name="SHARED_FORMULA_6_348_6_348_30">NA()</definedName>
    <definedName name="SHARED_FORMULA_6_349_6_349_26" localSheetId="10">NA()</definedName>
    <definedName name="SHARED_FORMULA_6_349_6_349_26">NA()</definedName>
    <definedName name="SHARED_FORMULA_6_35_6_35_22">NA()</definedName>
    <definedName name="SHARED_FORMULA_6_356_6_356_26">NA()</definedName>
    <definedName name="SHARED_FORMULA_6_357_6_357_26" localSheetId="10">NA()</definedName>
    <definedName name="SHARED_FORMULA_6_357_6_357_26">NA()</definedName>
    <definedName name="SHARED_FORMULA_6_358_6_358_22">NA()</definedName>
    <definedName name="SHARED_FORMULA_6_360_6_360_20">0.2</definedName>
    <definedName name="SHARED_FORMULA_6_362_6_362_22" localSheetId="10">NA()</definedName>
    <definedName name="SHARED_FORMULA_6_362_6_362_22">NA()</definedName>
    <definedName name="SHARED_FORMULA_6_368_6_368_26" localSheetId="10">NA()</definedName>
    <definedName name="SHARED_FORMULA_6_368_6_368_26">NA()</definedName>
    <definedName name="SHARED_FORMULA_6_376_6_376_26" localSheetId="10">NA()</definedName>
    <definedName name="SHARED_FORMULA_6_376_6_376_26">NA()</definedName>
    <definedName name="SHARED_FORMULA_6_379_6_379_30" localSheetId="10">NA()</definedName>
    <definedName name="SHARED_FORMULA_6_379_6_379_30">NA()</definedName>
    <definedName name="SHARED_FORMULA_6_388_6_388_26" localSheetId="10">NA()</definedName>
    <definedName name="SHARED_FORMULA_6_388_6_388_26">NA()</definedName>
    <definedName name="SHARED_FORMULA_6_39_6_39_30" localSheetId="10">NA()</definedName>
    <definedName name="SHARED_FORMULA_6_39_6_39_30">NA()</definedName>
    <definedName name="SHARED_FORMULA_6_39_6_39_37" localSheetId="10">NA()</definedName>
    <definedName name="SHARED_FORMULA_6_39_6_39_37">NA()</definedName>
    <definedName name="SHARED_FORMULA_6_396_6_396_26" localSheetId="10">NA()</definedName>
    <definedName name="SHARED_FORMULA_6_396_6_396_26">NA()</definedName>
    <definedName name="SHARED_FORMULA_6_399_6_399_22">NA()</definedName>
    <definedName name="SHARED_FORMULA_6_408_6_408_26" localSheetId="10">NA()</definedName>
    <definedName name="SHARED_FORMULA_6_408_6_408_26">NA()</definedName>
    <definedName name="SHARED_FORMULA_6_412_6_412_22">NA()</definedName>
    <definedName name="SHARED_FORMULA_6_413_6_413_22" localSheetId="10">NA()</definedName>
    <definedName name="SHARED_FORMULA_6_413_6_413_22">NA()</definedName>
    <definedName name="SHARED_FORMULA_6_414_6_414_37">NA()</definedName>
    <definedName name="SHARED_FORMULA_6_416_6_416_26" localSheetId="10">NA()</definedName>
    <definedName name="SHARED_FORMULA_6_416_6_416_26">NA()</definedName>
    <definedName name="SHARED_FORMULA_6_42_6_42_30">NA()</definedName>
    <definedName name="SHARED_FORMULA_6_43_6_43_26" localSheetId="10">NA()</definedName>
    <definedName name="SHARED_FORMULA_6_43_6_43_26">NA()</definedName>
    <definedName name="SHARED_FORMULA_6_432_6_432_22" localSheetId="10">NA()</definedName>
    <definedName name="SHARED_FORMULA_6_432_6_432_22">NA()</definedName>
    <definedName name="SHARED_FORMULA_6_435_6_435_37">NA()</definedName>
    <definedName name="SHARED_FORMULA_6_451_6_451_37" localSheetId="10">NA()</definedName>
    <definedName name="SHARED_FORMULA_6_451_6_451_37">NA()</definedName>
    <definedName name="SHARED_FORMULA_6_453_6_453_37">NA()</definedName>
    <definedName name="SHARED_FORMULA_6_455_6_455_30">NA()</definedName>
    <definedName name="SHARED_FORMULA_6_46_6_46_26">NA()</definedName>
    <definedName name="SHARED_FORMULA_6_472_6_472_37" localSheetId="10">NA()</definedName>
    <definedName name="SHARED_FORMULA_6_472_6_472_37">NA()</definedName>
    <definedName name="SHARED_FORMULA_6_473_6_473_22">NA()</definedName>
    <definedName name="SHARED_FORMULA_6_481_6_481_30" localSheetId="10">NA()</definedName>
    <definedName name="SHARED_FORMULA_6_481_6_481_30">NA()</definedName>
    <definedName name="SHARED_FORMULA_6_484_6_484_20">3</definedName>
    <definedName name="SHARED_FORMULA_6_494_6_494_22">NA()</definedName>
    <definedName name="SHARED_FORMULA_6_494_6_494_37" localSheetId="10">NA()</definedName>
    <definedName name="SHARED_FORMULA_6_494_6_494_37">NA()</definedName>
    <definedName name="SHARED_FORMULA_6_5_6_5_22" localSheetId="10">NA()</definedName>
    <definedName name="SHARED_FORMULA_6_5_6_5_22">NA()</definedName>
    <definedName name="SHARED_FORMULA_6_500_6_500_22" localSheetId="10">NA()</definedName>
    <definedName name="SHARED_FORMULA_6_500_6_500_22">NA()</definedName>
    <definedName name="SHARED_FORMULA_6_503_6_503_22">NA()</definedName>
    <definedName name="SHARED_FORMULA_6_511_6_511_20">0.75+0.15</definedName>
    <definedName name="SHARED_FORMULA_6_521_6_521_22" localSheetId="10">NA()</definedName>
    <definedName name="SHARED_FORMULA_6_521_6_521_22">NA()</definedName>
    <definedName name="SHARED_FORMULA_6_522_6_522_22">NA()</definedName>
    <definedName name="SHARED_FORMULA_6_530_6_530_22" localSheetId="10">NA()</definedName>
    <definedName name="SHARED_FORMULA_6_530_6_530_22">NA()</definedName>
    <definedName name="SHARED_FORMULA_6_549_6_549_22" localSheetId="10">NA()</definedName>
    <definedName name="SHARED_FORMULA_6_549_6_549_22">NA()</definedName>
    <definedName name="SHARED_FORMULA_6_569_6_569_22">NA()</definedName>
    <definedName name="SHARED_FORMULA_6_571_6_571_26">NA()</definedName>
    <definedName name="SHARED_FORMULA_6_577_6_577_22" localSheetId="10">NA()</definedName>
    <definedName name="SHARED_FORMULA_6_577_6_577_22">NA()</definedName>
    <definedName name="SHARED_FORMULA_6_578_6_578_22">NA()</definedName>
    <definedName name="SHARED_FORMULA_6_58_6_58_22" localSheetId="10">NA()</definedName>
    <definedName name="SHARED_FORMULA_6_58_6_58_22">NA()</definedName>
    <definedName name="SHARED_FORMULA_6_58_6_58_30" localSheetId="10">NA()</definedName>
    <definedName name="SHARED_FORMULA_6_58_6_58_30">NA()</definedName>
    <definedName name="SHARED_FORMULA_6_586_6_586_20">0.125</definedName>
    <definedName name="SHARED_FORMULA_6_596_6_596_22">NA()</definedName>
    <definedName name="SHARED_FORMULA_6_597_6_597_22" localSheetId="10">NA()</definedName>
    <definedName name="SHARED_FORMULA_6_597_6_597_22">NA()</definedName>
    <definedName name="SHARED_FORMULA_6_60_6_60_18">0.1</definedName>
    <definedName name="SHARED_FORMULA_6_606_6_606_22" localSheetId="10">NA()</definedName>
    <definedName name="SHARED_FORMULA_6_606_6_606_22">NA()</definedName>
    <definedName name="SHARED_FORMULA_6_609_6_609_26" localSheetId="10">NA()</definedName>
    <definedName name="SHARED_FORMULA_6_609_6_609_26">NA()</definedName>
    <definedName name="SHARED_FORMULA_6_61_6_61_22">NA()</definedName>
    <definedName name="SHARED_FORMULA_6_61_6_61_30">NA()</definedName>
    <definedName name="SHARED_FORMULA_6_611_6_611_26">NA()</definedName>
    <definedName name="SHARED_FORMULA_6_624_6_624_22" localSheetId="10">NA()</definedName>
    <definedName name="SHARED_FORMULA_6_624_6_624_22">NA()</definedName>
    <definedName name="SHARED_FORMULA_6_638_6_638_26">NA()</definedName>
    <definedName name="SHARED_FORMULA_6_64_6_64_26" localSheetId="10">NA()</definedName>
    <definedName name="SHARED_FORMULA_6_64_6_64_26">NA()</definedName>
    <definedName name="SHARED_FORMULA_6_648_6_648_22" localSheetId="10">NA()</definedName>
    <definedName name="SHARED_FORMULA_6_648_6_648_22">NA()</definedName>
    <definedName name="SHARED_FORMULA_6_649_6_649_26" localSheetId="10">NA()</definedName>
    <definedName name="SHARED_FORMULA_6_649_6_649_26">NA()</definedName>
    <definedName name="SHARED_FORMULA_6_655_6_655_10">NA()</definedName>
    <definedName name="SHARED_FORMULA_6_66_6_66_7">NA()</definedName>
    <definedName name="SHARED_FORMULA_6_665_6_665_26">NA()</definedName>
    <definedName name="SHARED_FORMULA_6_67_6_67_26">NA()</definedName>
    <definedName name="SHARED_FORMULA_6_674_6_674_26" localSheetId="10">NA()</definedName>
    <definedName name="SHARED_FORMULA_6_674_6_674_26">NA()</definedName>
    <definedName name="SHARED_FORMULA_6_68_6_68_30" localSheetId="10">NA()</definedName>
    <definedName name="SHARED_FORMULA_6_68_6_68_30">NA()</definedName>
    <definedName name="SHARED_FORMULA_6_680_6_680_10">NA()</definedName>
    <definedName name="SHARED_FORMULA_6_697_6_697_26">NA()</definedName>
    <definedName name="SHARED_FORMULA_6_699_6_699_26" localSheetId="10">NA()</definedName>
    <definedName name="SHARED_FORMULA_6_699_6_699_26">NA()</definedName>
    <definedName name="SHARED_FORMULA_6_7_6_7_33">0.45+0.1</definedName>
    <definedName name="SHARED_FORMULA_6_71_6_71_30">NA()</definedName>
    <definedName name="SHARED_FORMULA_6_722_6_722_26">NA()</definedName>
    <definedName name="SHARED_FORMULA_6_732_6_732_26" localSheetId="10">NA()</definedName>
    <definedName name="SHARED_FORMULA_6_732_6_732_26">NA()</definedName>
    <definedName name="SHARED_FORMULA_6_741_6_741_26">NA()</definedName>
    <definedName name="SHARED_FORMULA_6_752_6_752_22">NA()</definedName>
    <definedName name="SHARED_FORMULA_6_757_6_757_26" localSheetId="10">NA()</definedName>
    <definedName name="SHARED_FORMULA_6_757_6_757_26">NA()</definedName>
    <definedName name="SHARED_FORMULA_6_760_6_760_26">NA()</definedName>
    <definedName name="SHARED_FORMULA_6_765_6_765_22">NA()</definedName>
    <definedName name="SHARED_FORMULA_6_776_6_776_26" localSheetId="10">NA()</definedName>
    <definedName name="SHARED_FORMULA_6_776_6_776_26">NA()</definedName>
    <definedName name="SHARED_FORMULA_6_781_6_781_26">NA()</definedName>
    <definedName name="SHARED_FORMULA_6_792_6_792_26">NA()</definedName>
    <definedName name="SHARED_FORMULA_6_795_6_795_26" localSheetId="10">NA()</definedName>
    <definedName name="SHARED_FORMULA_6_795_6_795_26">NA()</definedName>
    <definedName name="SHARED_FORMULA_6_801_6_801_22">NA()</definedName>
    <definedName name="SHARED_FORMULA_6_803_6_803_26">NA()</definedName>
    <definedName name="SHARED_FORMULA_6_805_6_805_22" localSheetId="10">NA()</definedName>
    <definedName name="SHARED_FORMULA_6_805_6_805_22">NA()</definedName>
    <definedName name="SHARED_FORMULA_6_813_6_813_22">NA()</definedName>
    <definedName name="SHARED_FORMULA_6_814_6_814_26">NA()</definedName>
    <definedName name="SHARED_FORMULA_6_816_6_816_26" localSheetId="10">NA()</definedName>
    <definedName name="SHARED_FORMULA_6_816_6_816_26">NA()</definedName>
    <definedName name="SHARED_FORMULA_6_824_6_824_22">NA()</definedName>
    <definedName name="SHARED_FORMULA_6_827_6_827_26" localSheetId="10">NA()</definedName>
    <definedName name="SHARED_FORMULA_6_827_6_827_26">NA()</definedName>
    <definedName name="SHARED_FORMULA_6_83_6_83_30" localSheetId="10">NA()</definedName>
    <definedName name="SHARED_FORMULA_6_83_6_83_30">NA()</definedName>
    <definedName name="SHARED_FORMULA_6_837_6_837_26" localSheetId="10">NA()</definedName>
    <definedName name="SHARED_FORMULA_6_837_6_837_26">NA()</definedName>
    <definedName name="SHARED_FORMULA_6_847_6_847_26" localSheetId="10">NA()</definedName>
    <definedName name="SHARED_FORMULA_6_847_6_847_26">NA()</definedName>
    <definedName name="SHARED_FORMULA_6_85_6_85_26" localSheetId="10">NA()</definedName>
    <definedName name="SHARED_FORMULA_6_85_6_85_26">NA()</definedName>
    <definedName name="SHARED_FORMULA_6_853_6_853_22" localSheetId="10">NA()</definedName>
    <definedName name="SHARED_FORMULA_6_853_6_853_22">NA()</definedName>
    <definedName name="SHARED_FORMULA_6_86_6_86_30">NA()</definedName>
    <definedName name="SHARED_FORMULA_6_860_6_860_22">NA()</definedName>
    <definedName name="SHARED_FORMULA_6_870_6_870_22">NA()</definedName>
    <definedName name="SHARED_FORMULA_6_88_6_88_26">NA()</definedName>
    <definedName name="SHARED_FORMULA_6_900_6_900_22">NA()</definedName>
    <definedName name="SHARED_FORMULA_6_900_6_900_26">NA()</definedName>
    <definedName name="SHARED_FORMULA_6_910_6_910_26">NA()</definedName>
    <definedName name="SHARED_FORMULA_6_911_6_911_22" localSheetId="10">NA()</definedName>
    <definedName name="SHARED_FORMULA_6_911_6_911_22">NA()</definedName>
    <definedName name="SHARED_FORMULA_6_93_6_93_30" localSheetId="10">NA()</definedName>
    <definedName name="SHARED_FORMULA_6_93_6_93_30">NA()</definedName>
    <definedName name="SHARED_FORMULA_6_93_6_93_7">NA()</definedName>
    <definedName name="SHARED_FORMULA_6_931_6_931_22" localSheetId="10">NA()</definedName>
    <definedName name="SHARED_FORMULA_6_931_6_931_22">NA()</definedName>
    <definedName name="SHARED_FORMULA_6_934_6_934_26">NA()</definedName>
    <definedName name="SHARED_FORMULA_6_947_6_947_22" localSheetId="10">NA()</definedName>
    <definedName name="SHARED_FORMULA_6_947_6_947_22">NA()</definedName>
    <definedName name="SHARED_FORMULA_6_952_6_952_22">NA()</definedName>
    <definedName name="SHARED_FORMULA_6_958_6_958_26" localSheetId="10">NA()</definedName>
    <definedName name="SHARED_FORMULA_6_958_6_958_26">NA()</definedName>
    <definedName name="SHARED_FORMULA_6_96_6_96_30">NA()</definedName>
    <definedName name="SHARED_FORMULA_6_970_6_970_22">NA()</definedName>
    <definedName name="SHARED_FORMULA_6_976_6_976_26">NA()</definedName>
    <definedName name="SHARED_FORMULA_6_977_6_977_22" localSheetId="10">NA()</definedName>
    <definedName name="SHARED_FORMULA_6_977_6_977_22">NA()</definedName>
    <definedName name="SHARED_FORMULA_6_986_6_986_26">NA()</definedName>
    <definedName name="SHARED_FORMULA_7_100_7_100_33" localSheetId="10">NA()</definedName>
    <definedName name="SHARED_FORMULA_7_100_7_100_33">NA()</definedName>
    <definedName name="SHARED_FORMULA_7_1008_7_1008_22">NA()</definedName>
    <definedName name="SHARED_FORMULA_7_1016_7_1016_26">NA()</definedName>
    <definedName name="SHARED_FORMULA_7_1018_7_1018_22" localSheetId="10">NA()</definedName>
    <definedName name="SHARED_FORMULA_7_1018_7_1018_22">NA()</definedName>
    <definedName name="SHARED_FORMULA_7_1027_7_1027_22" localSheetId="10">NA()</definedName>
    <definedName name="SHARED_FORMULA_7_1027_7_1027_22">NA()</definedName>
    <definedName name="SHARED_FORMULA_7_1029_7_1029_26">NA()</definedName>
    <definedName name="SHARED_FORMULA_7_1031_7_1031_22">NA()</definedName>
    <definedName name="SHARED_FORMULA_7_1034_7_1034_26" localSheetId="10">NA()</definedName>
    <definedName name="SHARED_FORMULA_7_1034_7_1034_26">NA()</definedName>
    <definedName name="SHARED_FORMULA_7_1037_7_1037_22" localSheetId="10">NA()</definedName>
    <definedName name="SHARED_FORMULA_7_1037_7_1037_22">NA()</definedName>
    <definedName name="SHARED_FORMULA_7_105_7_105_22" localSheetId="10">NA()</definedName>
    <definedName name="SHARED_FORMULA_7_105_7_105_22">NA()</definedName>
    <definedName name="SHARED_FORMULA_7_1055_7_1055_22" localSheetId="10">NA()</definedName>
    <definedName name="SHARED_FORMULA_7_1055_7_1055_22">NA()</definedName>
    <definedName name="SHARED_FORMULA_7_1060_7_1060_26" localSheetId="10">NA()</definedName>
    <definedName name="SHARED_FORMULA_7_1060_7_1060_26">NA()</definedName>
    <definedName name="SHARED_FORMULA_7_1066_7_1066_22">NA()</definedName>
    <definedName name="SHARED_FORMULA_7_1069_7_1069_26">NA()</definedName>
    <definedName name="SHARED_FORMULA_7_1071_7_1071_26" localSheetId="10">NA()</definedName>
    <definedName name="SHARED_FORMULA_7_1071_7_1071_26">NA()</definedName>
    <definedName name="SHARED_FORMULA_7_1074_7_1074_22" localSheetId="10">NA()</definedName>
    <definedName name="SHARED_FORMULA_7_1074_7_1074_22">NA()</definedName>
    <definedName name="SHARED_FORMULA_7_1082_7_1082_26">NA()</definedName>
    <definedName name="SHARED_FORMULA_7_1094_7_1094_22" localSheetId="10">NA()</definedName>
    <definedName name="SHARED_FORMULA_7_1094_7_1094_22">NA()</definedName>
    <definedName name="SHARED_FORMULA_7_11_7_11_26" localSheetId="10">NA()</definedName>
    <definedName name="SHARED_FORMULA_7_11_7_11_26">NA()</definedName>
    <definedName name="SHARED_FORMULA_7_11_7_11_30" localSheetId="10">NA()</definedName>
    <definedName name="SHARED_FORMULA_7_11_7_11_30">NA()</definedName>
    <definedName name="SHARED_FORMULA_7_110_7_110_22">NA()</definedName>
    <definedName name="SHARED_FORMULA_7_1106_7_1106_26" localSheetId="10">NA()</definedName>
    <definedName name="SHARED_FORMULA_7_1106_7_1106_26">NA()</definedName>
    <definedName name="SHARED_FORMULA_7_1117_7_1117_22" localSheetId="10">NA()</definedName>
    <definedName name="SHARED_FORMULA_7_1117_7_1117_22">NA()</definedName>
    <definedName name="SHARED_FORMULA_7_1122_7_1122_26">NA()</definedName>
    <definedName name="SHARED_FORMULA_7_1135_7_1135_26">NA()</definedName>
    <definedName name="SHARED_FORMULA_7_1137_7_1137_26" localSheetId="10">NA()</definedName>
    <definedName name="SHARED_FORMULA_7_1137_7_1137_26">NA()</definedName>
    <definedName name="SHARED_FORMULA_7_115_7_115_26" localSheetId="10">NA()</definedName>
    <definedName name="SHARED_FORMULA_7_115_7_115_26">NA()</definedName>
    <definedName name="SHARED_FORMULA_7_1152_7_1152_22" localSheetId="10">NA()</definedName>
    <definedName name="SHARED_FORMULA_7_1152_7_1152_22">NA()</definedName>
    <definedName name="SHARED_FORMULA_7_1160_7_1160_22" localSheetId="10">NA()</definedName>
    <definedName name="SHARED_FORMULA_7_1160_7_1160_22">NA()</definedName>
    <definedName name="SHARED_FORMULA_7_1161_7_1161_6">NA()</definedName>
    <definedName name="SHARED_FORMULA_7_1163_7_1163_26" localSheetId="10">NA()</definedName>
    <definedName name="SHARED_FORMULA_7_1163_7_1163_26">NA()</definedName>
    <definedName name="SHARED_FORMULA_7_1166_7_1166_26">NA()</definedName>
    <definedName name="SHARED_FORMULA_7_117_7_117_26">NA()</definedName>
    <definedName name="SHARED_FORMULA_7_117_7_117_33">NA()</definedName>
    <definedName name="SHARED_FORMULA_7_117_7_117_37">NA()</definedName>
    <definedName name="SHARED_FORMULA_7_1189_7_1189_26" localSheetId="10">NA()</definedName>
    <definedName name="SHARED_FORMULA_7_1189_7_1189_26">NA()</definedName>
    <definedName name="SHARED_FORMULA_7_1192_7_1192_26">NA()</definedName>
    <definedName name="SHARED_FORMULA_7_12_7_12_8">NA()</definedName>
    <definedName name="SHARED_FORMULA_7_121_7_121_33" localSheetId="10">NA()</definedName>
    <definedName name="SHARED_FORMULA_7_121_7_121_33">NA()</definedName>
    <definedName name="SHARED_FORMULA_7_121_7_121_8">NA()</definedName>
    <definedName name="SHARED_FORMULA_7_1218_7_1218_26">NA()</definedName>
    <definedName name="SHARED_FORMULA_7_123_7_123_37" localSheetId="10">NA()</definedName>
    <definedName name="SHARED_FORMULA_7_123_7_123_37">NA()</definedName>
    <definedName name="SHARED_FORMULA_7_126_7_126_30">NA()</definedName>
    <definedName name="SHARED_FORMULA_7_126_7_126_37">NA()</definedName>
    <definedName name="SHARED_FORMULA_7_130_7_130_22" localSheetId="10">NA()</definedName>
    <definedName name="SHARED_FORMULA_7_130_7_130_22">NA()</definedName>
    <definedName name="SHARED_FORMULA_7_1308_7_1308_5">NA()</definedName>
    <definedName name="SHARED_FORMULA_7_131_7_131_30" localSheetId="10">NA()</definedName>
    <definedName name="SHARED_FORMULA_7_131_7_131_30">NA()</definedName>
    <definedName name="SHARED_FORMULA_7_1310_7_1310_26">NA()</definedName>
    <definedName name="SHARED_FORMULA_7_132_7_132_37" localSheetId="10">NA()</definedName>
    <definedName name="SHARED_FORMULA_7_132_7_132_37">NA()</definedName>
    <definedName name="SHARED_FORMULA_7_1325_7_1325_26">NA()</definedName>
    <definedName name="SHARED_FORMULA_7_1326_7_1326_26" localSheetId="10">NA()</definedName>
    <definedName name="SHARED_FORMULA_7_1326_7_1326_26">NA()</definedName>
    <definedName name="SHARED_FORMULA_7_1334_7_1334_26">NA()</definedName>
    <definedName name="SHARED_FORMULA_7_134_7_134_22">NA()</definedName>
    <definedName name="SHARED_FORMULA_7_1341_7_1341_26" localSheetId="10">NA()</definedName>
    <definedName name="SHARED_FORMULA_7_1341_7_1341_26">NA()</definedName>
    <definedName name="SHARED_FORMULA_7_1343_7_1343_26">NA()</definedName>
    <definedName name="SHARED_FORMULA_7_135_7_135_37">NA()</definedName>
    <definedName name="SHARED_FORMULA_7_1350_7_1350_26" localSheetId="10">NA()</definedName>
    <definedName name="SHARED_FORMULA_7_1350_7_1350_26">NA()</definedName>
    <definedName name="SHARED_FORMULA_7_1354_7_1354_26">NA()</definedName>
    <definedName name="SHARED_FORMULA_7_1359_7_1359_26" localSheetId="10">NA()</definedName>
    <definedName name="SHARED_FORMULA_7_1359_7_1359_26">NA()</definedName>
    <definedName name="SHARED_FORMULA_7_136_7_136_30">NA()</definedName>
    <definedName name="SHARED_FORMULA_7_1370_7_1370_26" localSheetId="10">NA()</definedName>
    <definedName name="SHARED_FORMULA_7_1370_7_1370_26">NA()</definedName>
    <definedName name="SHARED_FORMULA_7_1382_7_1382_26">NA()</definedName>
    <definedName name="SHARED_FORMULA_7_1398_7_1398_26" localSheetId="10">NA()</definedName>
    <definedName name="SHARED_FORMULA_7_1398_7_1398_26">NA()</definedName>
    <definedName name="SHARED_FORMULA_7_1402_7_1402_26">NA()</definedName>
    <definedName name="SHARED_FORMULA_7_141_7_141_30" localSheetId="10">NA()</definedName>
    <definedName name="SHARED_FORMULA_7_141_7_141_30">NA()</definedName>
    <definedName name="SHARED_FORMULA_7_141_7_141_37" localSheetId="10">NA()</definedName>
    <definedName name="SHARED_FORMULA_7_141_7_141_37">NA()</definedName>
    <definedName name="SHARED_FORMULA_7_1418_7_1418_26" localSheetId="10">NA()</definedName>
    <definedName name="SHARED_FORMULA_7_1418_7_1418_26">NA()</definedName>
    <definedName name="SHARED_FORMULA_7_1422_7_1422_26">NA()</definedName>
    <definedName name="SHARED_FORMULA_7_1438_7_1438_26" localSheetId="10">NA()</definedName>
    <definedName name="SHARED_FORMULA_7_1438_7_1438_26">NA()</definedName>
    <definedName name="SHARED_FORMULA_7_144_7_144_37">NA()</definedName>
    <definedName name="SHARED_FORMULA_7_1443_7_1443_26">NA()</definedName>
    <definedName name="SHARED_FORMULA_7_145_7_145_30">NA()</definedName>
    <definedName name="SHARED_FORMULA_7_1459_7_1459_26" localSheetId="10">NA()</definedName>
    <definedName name="SHARED_FORMULA_7_1459_7_1459_26">NA()</definedName>
    <definedName name="SHARED_FORMULA_7_147_7_147_8">NA()</definedName>
    <definedName name="SHARED_FORMULA_7_1475_7_1475_26">NA()</definedName>
    <definedName name="SHARED_FORMULA_7_148_7_148_33">NA()</definedName>
    <definedName name="SHARED_FORMULA_7_1491_7_1491_26" localSheetId="10">NA()</definedName>
    <definedName name="SHARED_FORMULA_7_1491_7_1491_26">NA()</definedName>
    <definedName name="SHARED_FORMULA_7_150_7_150_30" localSheetId="10">NA()</definedName>
    <definedName name="SHARED_FORMULA_7_150_7_150_30">NA()</definedName>
    <definedName name="SHARED_FORMULA_7_150_7_150_37" localSheetId="10">NA()</definedName>
    <definedName name="SHARED_FORMULA_7_150_7_150_37">NA()</definedName>
    <definedName name="SHARED_FORMULA_7_1506_7_1506_26">NA()</definedName>
    <definedName name="SHARED_FORMULA_7_1522_7_1522_26" localSheetId="10">NA()</definedName>
    <definedName name="SHARED_FORMULA_7_1522_7_1522_26">NA()</definedName>
    <definedName name="SHARED_FORMULA_7_153_7_153_22" localSheetId="10">NA()</definedName>
    <definedName name="SHARED_FORMULA_7_153_7_153_22">NA()</definedName>
    <definedName name="SHARED_FORMULA_7_153_7_153_26">NA()</definedName>
    <definedName name="SHARED_FORMULA_7_1531_7_1531_26">NA()</definedName>
    <definedName name="SHARED_FORMULA_7_154_7_154_33" localSheetId="10">NA()</definedName>
    <definedName name="SHARED_FORMULA_7_154_7_154_33">NA()</definedName>
    <definedName name="SHARED_FORMULA_7_1547_7_1547_26" localSheetId="10">NA()</definedName>
    <definedName name="SHARED_FORMULA_7_1547_7_1547_26">NA()</definedName>
    <definedName name="SHARED_FORMULA_7_1556_7_1556_26">NA()</definedName>
    <definedName name="SHARED_FORMULA_7_156_7_156_26" localSheetId="10">NA()</definedName>
    <definedName name="SHARED_FORMULA_7_156_7_156_26">NA()</definedName>
    <definedName name="SHARED_FORMULA_7_157_7_157_22">NA()</definedName>
    <definedName name="SHARED_FORMULA_7_1572_7_1572_26" localSheetId="10">NA()</definedName>
    <definedName name="SHARED_FORMULA_7_1572_7_1572_26">NA()</definedName>
    <definedName name="SHARED_FORMULA_7_159_7_159_37">NA()</definedName>
    <definedName name="SHARED_FORMULA_7_161_7_161_26">NA()</definedName>
    <definedName name="SHARED_FORMULA_7_161_7_161_30">NA()</definedName>
    <definedName name="SHARED_FORMULA_7_164_7_164_26" localSheetId="10">NA()</definedName>
    <definedName name="SHARED_FORMULA_7_164_7_164_26">NA()</definedName>
    <definedName name="SHARED_FORMULA_7_165_7_165_37" localSheetId="10">NA()</definedName>
    <definedName name="SHARED_FORMULA_7_165_7_165_37">NA()</definedName>
    <definedName name="SHARED_FORMULA_7_166_7_166_30" localSheetId="10">NA()</definedName>
    <definedName name="SHARED_FORMULA_7_166_7_166_30">NA()</definedName>
    <definedName name="SHARED_FORMULA_7_168_7_168_33">NA()</definedName>
    <definedName name="SHARED_FORMULA_7_169_7_169_26">NA()</definedName>
    <definedName name="SHARED_FORMULA_7_17_7_17_22" localSheetId="10">NA()</definedName>
    <definedName name="SHARED_FORMULA_7_17_7_17_22">NA()</definedName>
    <definedName name="SHARED_FORMULA_7_172_7_172_22" localSheetId="10">NA()</definedName>
    <definedName name="SHARED_FORMULA_7_172_7_172_22">NA()</definedName>
    <definedName name="SHARED_FORMULA_7_172_7_172_26" localSheetId="10">NA()</definedName>
    <definedName name="SHARED_FORMULA_7_172_7_172_26">NA()</definedName>
    <definedName name="SHARED_FORMULA_7_172_7_172_37">NA()</definedName>
    <definedName name="SHARED_FORMULA_7_174_7_174_33" localSheetId="10">NA()</definedName>
    <definedName name="SHARED_FORMULA_7_174_7_174_33">NA()</definedName>
    <definedName name="SHARED_FORMULA_7_175_7_175_1">NA()</definedName>
    <definedName name="SHARED_FORMULA_7_176_7_176_22">NA()</definedName>
    <definedName name="SHARED_FORMULA_7_178_7_178_30">NA()</definedName>
    <definedName name="SHARED_FORMULA_7_178_7_178_37" localSheetId="10">NA()</definedName>
    <definedName name="SHARED_FORMULA_7_178_7_178_37">NA()</definedName>
    <definedName name="SHARED_FORMULA_7_181_7_181_26">NA()</definedName>
    <definedName name="SHARED_FORMULA_7_183_7_183_30" localSheetId="10">NA()</definedName>
    <definedName name="SHARED_FORMULA_7_183_7_183_30">NA()</definedName>
    <definedName name="SHARED_FORMULA_7_184_7_184_26" localSheetId="10">NA()</definedName>
    <definedName name="SHARED_FORMULA_7_184_7_184_26">NA()</definedName>
    <definedName name="SHARED_FORMULA_7_185_7_185_37">NA()</definedName>
    <definedName name="SHARED_FORMULA_7_190_7_190_33">NA()</definedName>
    <definedName name="SHARED_FORMULA_7_191_7_191_37" localSheetId="10">NA()</definedName>
    <definedName name="SHARED_FORMULA_7_191_7_191_37">NA()</definedName>
    <definedName name="SHARED_FORMULA_7_193_7_193_30">NA()</definedName>
    <definedName name="SHARED_FORMULA_7_196_7_196_33" localSheetId="10">NA()</definedName>
    <definedName name="SHARED_FORMULA_7_196_7_196_33">NA()</definedName>
    <definedName name="SHARED_FORMULA_7_198_7_198_30" localSheetId="10">NA()</definedName>
    <definedName name="SHARED_FORMULA_7_198_7_198_30">NA()</definedName>
    <definedName name="SHARED_FORMULA_7_198_7_198_33">NA()</definedName>
    <definedName name="SHARED_FORMULA_7_200_7_200_26">NA()</definedName>
    <definedName name="SHARED_FORMULA_7_203_7_203_26" localSheetId="10">NA()</definedName>
    <definedName name="SHARED_FORMULA_7_203_7_203_26">NA()</definedName>
    <definedName name="SHARED_FORMULA_7_204_7_204_33" localSheetId="10">NA()</definedName>
    <definedName name="SHARED_FORMULA_7_204_7_204_33">NA()</definedName>
    <definedName name="SHARED_FORMULA_7_204_7_204_37">NA()</definedName>
    <definedName name="SHARED_FORMULA_7_207_7_207_26">NA()</definedName>
    <definedName name="SHARED_FORMULA_7_21_7_21_33" localSheetId="10">NA()</definedName>
    <definedName name="SHARED_FORMULA_7_21_7_21_33">NA()</definedName>
    <definedName name="SHARED_FORMULA_7_210_7_210_26" localSheetId="10">NA()</definedName>
    <definedName name="SHARED_FORMULA_7_210_7_210_26">NA()</definedName>
    <definedName name="SHARED_FORMULA_7_217_7_217_37" localSheetId="10">NA()</definedName>
    <definedName name="SHARED_FORMULA_7_217_7_217_37">NA()</definedName>
    <definedName name="SHARED_FORMULA_7_220_7_220_26">NA()</definedName>
    <definedName name="SHARED_FORMULA_7_2209_7_2209_9">12*2</definedName>
    <definedName name="SHARED_FORMULA_7_223_7_223_26" localSheetId="10">NA()</definedName>
    <definedName name="SHARED_FORMULA_7_223_7_223_26">NA()</definedName>
    <definedName name="SHARED_FORMULA_7_225_7_225_30" localSheetId="10">NA()</definedName>
    <definedName name="SHARED_FORMULA_7_225_7_225_30">NA()</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 localSheetId="10">NA()</definedName>
    <definedName name="SHARED_FORMULA_7_231_7_231_26">NA()</definedName>
    <definedName name="SHARED_FORMULA_7_232_7_232_22" localSheetId="10">NA()</definedName>
    <definedName name="SHARED_FORMULA_7_232_7_232_22">NA()</definedName>
    <definedName name="SHARED_FORMULA_7_235_7_235_33" localSheetId="10">NA()</definedName>
    <definedName name="SHARED_FORMULA_7_235_7_235_33">NA()</definedName>
    <definedName name="SHARED_FORMULA_7_236_7_236_26">NA()</definedName>
    <definedName name="SHARED_FORMULA_7_239_7_239_26" localSheetId="10">NA()</definedName>
    <definedName name="SHARED_FORMULA_7_239_7_239_26">NA()</definedName>
    <definedName name="SHARED_FORMULA_7_24_7_24_37" localSheetId="10">NA()</definedName>
    <definedName name="SHARED_FORMULA_7_24_7_24_37">NA()</definedName>
    <definedName name="SHARED_FORMULA_7_241_7_241_22">NA()</definedName>
    <definedName name="SHARED_FORMULA_7_245_7_245_22" localSheetId="10">NA()</definedName>
    <definedName name="SHARED_FORMULA_7_245_7_245_22">NA()</definedName>
    <definedName name="SHARED_FORMULA_7_245_7_245_26">NA()</definedName>
    <definedName name="SHARED_FORMULA_7_245_7_245_30" localSheetId="10">NA()</definedName>
    <definedName name="SHARED_FORMULA_7_245_7_245_30">NA()</definedName>
    <definedName name="SHARED_FORMULA_7_252_7_252_26" localSheetId="10">NA()</definedName>
    <definedName name="SHARED_FORMULA_7_252_7_252_26">NA()</definedName>
    <definedName name="SHARED_FORMULA_7_256_7_256_22">NA()</definedName>
    <definedName name="SHARED_FORMULA_7_260_7_260_22" localSheetId="10">NA()</definedName>
    <definedName name="SHARED_FORMULA_7_260_7_260_22">NA()</definedName>
    <definedName name="SHARED_FORMULA_7_261_7_261_26">NA()</definedName>
    <definedName name="SHARED_FORMULA_7_265_7_265_33">NA()</definedName>
    <definedName name="SHARED_FORMULA_7_271_7_271_33" localSheetId="10">NA()</definedName>
    <definedName name="SHARED_FORMULA_7_271_7_271_33">NA()</definedName>
    <definedName name="SHARED_FORMULA_7_271_7_271_37">NA()</definedName>
    <definedName name="SHARED_FORMULA_7_272_7_272_22">NA()</definedName>
    <definedName name="SHARED_FORMULA_7_272_7_272_26" localSheetId="10">NA()</definedName>
    <definedName name="SHARED_FORMULA_7_272_7_272_26">NA()</definedName>
    <definedName name="SHARED_FORMULA_7_273_7_273_33">NA()</definedName>
    <definedName name="SHARED_FORMULA_7_275_7_275_26">NA()</definedName>
    <definedName name="SHARED_FORMULA_7_276_7_276_22" localSheetId="10">NA()</definedName>
    <definedName name="SHARED_FORMULA_7_276_7_276_22">NA()</definedName>
    <definedName name="SHARED_FORMULA_7_278_7_278_37">NA()</definedName>
    <definedName name="SHARED_FORMULA_7_279_7_279_33" localSheetId="10">NA()</definedName>
    <definedName name="SHARED_FORMULA_7_279_7_279_33">NA()</definedName>
    <definedName name="SHARED_FORMULA_7_285_7_285_30" localSheetId="10">NA()</definedName>
    <definedName name="SHARED_FORMULA_7_285_7_285_30">NA()</definedName>
    <definedName name="SHARED_FORMULA_7_287_7_287_26" localSheetId="10">NA()</definedName>
    <definedName name="SHARED_FORMULA_7_287_7_287_26">NA()</definedName>
    <definedName name="SHARED_FORMULA_7_289_7_289_26">NA()</definedName>
    <definedName name="SHARED_FORMULA_7_290_7_290_37" localSheetId="10">NA()</definedName>
    <definedName name="SHARED_FORMULA_7_290_7_290_37">NA()</definedName>
    <definedName name="SHARED_FORMULA_7_291_7_291_22">NA()</definedName>
    <definedName name="SHARED_FORMULA_7_292_7_292_30">NA()</definedName>
    <definedName name="SHARED_FORMULA_7_294_7_294_37">NA()</definedName>
    <definedName name="SHARED_FORMULA_7_295_7_295_22" localSheetId="10">NA()</definedName>
    <definedName name="SHARED_FORMULA_7_295_7_295_22">NA()</definedName>
    <definedName name="SHARED_FORMULA_7_297_7_297_37" localSheetId="10">NA()</definedName>
    <definedName name="SHARED_FORMULA_7_297_7_297_37">NA()</definedName>
    <definedName name="SHARED_FORMULA_7_3_7_3_25">NA()</definedName>
    <definedName name="SHARED_FORMULA_7_302_7_302_26" localSheetId="10">NA()</definedName>
    <definedName name="SHARED_FORMULA_7_302_7_302_26">NA()</definedName>
    <definedName name="SHARED_FORMULA_7_302_7_302_33">NA()</definedName>
    <definedName name="SHARED_FORMULA_7_306_7_306_22">NA()</definedName>
    <definedName name="SHARED_FORMULA_7_306_7_306_30" localSheetId="10">NA()</definedName>
    <definedName name="SHARED_FORMULA_7_306_7_306_30">NA()</definedName>
    <definedName name="SHARED_FORMULA_7_308_7_308_33" localSheetId="10">NA()</definedName>
    <definedName name="SHARED_FORMULA_7_308_7_308_33">NA()</definedName>
    <definedName name="SHARED_FORMULA_7_31_7_31_22" localSheetId="10">NA()</definedName>
    <definedName name="SHARED_FORMULA_7_31_7_31_22">NA()</definedName>
    <definedName name="SHARED_FORMULA_7_310_7_310_22" localSheetId="10">NA()</definedName>
    <definedName name="SHARED_FORMULA_7_310_7_310_22">NA()</definedName>
    <definedName name="SHARED_FORMULA_7_312_7_312_37" localSheetId="10">NA()</definedName>
    <definedName name="SHARED_FORMULA_7_312_7_312_37">NA()</definedName>
    <definedName name="SHARED_FORMULA_7_316_7_316_30">NA()</definedName>
    <definedName name="SHARED_FORMULA_7_32_7_32_37" localSheetId="10">NA()</definedName>
    <definedName name="SHARED_FORMULA_7_32_7_32_37">NA()</definedName>
    <definedName name="SHARED_FORMULA_7_320_7_320_33">NA()</definedName>
    <definedName name="SHARED_FORMULA_7_321_7_321_37" localSheetId="10">NA()</definedName>
    <definedName name="SHARED_FORMULA_7_321_7_321_37">NA()</definedName>
    <definedName name="SHARED_FORMULA_7_322_7_322_30" localSheetId="10">NA()</definedName>
    <definedName name="SHARED_FORMULA_7_322_7_322_30">NA()</definedName>
    <definedName name="SHARED_FORMULA_7_325_7_325_22">NA()</definedName>
    <definedName name="SHARED_FORMULA_7_326_7_326_33" localSheetId="10">NA()</definedName>
    <definedName name="SHARED_FORMULA_7_326_7_326_33">NA()</definedName>
    <definedName name="SHARED_FORMULA_7_329_7_329_22" localSheetId="10">NA()</definedName>
    <definedName name="SHARED_FORMULA_7_329_7_329_22">NA()</definedName>
    <definedName name="SHARED_FORMULA_7_329_7_329_26">NA()</definedName>
    <definedName name="SHARED_FORMULA_7_330_7_330_30" localSheetId="10">NA()</definedName>
    <definedName name="SHARED_FORMULA_7_330_7_330_30">NA()</definedName>
    <definedName name="SHARED_FORMULA_7_333_7_333_30">NA()</definedName>
    <definedName name="SHARED_FORMULA_7_335_7_335_37">NA()</definedName>
    <definedName name="SHARED_FORMULA_7_337_7_337_26">NA()</definedName>
    <definedName name="SHARED_FORMULA_7_34_7_34_22">NA()</definedName>
    <definedName name="SHARED_FORMULA_7_34_7_34_26" localSheetId="10">NA()</definedName>
    <definedName name="SHARED_FORMULA_7_34_7_34_26">NA()</definedName>
    <definedName name="SHARED_FORMULA_7_343_7_343_22">NA()</definedName>
    <definedName name="SHARED_FORMULA_7_344_7_344_37">NA()</definedName>
    <definedName name="SHARED_FORMULA_7_347_7_347_22" localSheetId="10">NA()</definedName>
    <definedName name="SHARED_FORMULA_7_347_7_347_22">NA()</definedName>
    <definedName name="SHARED_FORMULA_7_347_7_347_30" localSheetId="10">NA()</definedName>
    <definedName name="SHARED_FORMULA_7_347_7_347_30">NA()</definedName>
    <definedName name="SHARED_FORMULA_7_348_7_348_26">NA()</definedName>
    <definedName name="SHARED_FORMULA_7_349_7_349_26" localSheetId="10">NA()</definedName>
    <definedName name="SHARED_FORMULA_7_349_7_349_26">NA()</definedName>
    <definedName name="SHARED_FORMULA_7_352_7_352_33">NA()</definedName>
    <definedName name="SHARED_FORMULA_7_356_7_356_26">NA()</definedName>
    <definedName name="SHARED_FORMULA_7_357_7_357_26" localSheetId="10">NA()</definedName>
    <definedName name="SHARED_FORMULA_7_357_7_357_26">NA()</definedName>
    <definedName name="SHARED_FORMULA_7_358_7_358_22">NA()</definedName>
    <definedName name="SHARED_FORMULA_7_358_7_358_33" localSheetId="10">NA()</definedName>
    <definedName name="SHARED_FORMULA_7_358_7_358_33">NA()</definedName>
    <definedName name="SHARED_FORMULA_7_362_7_362_22" localSheetId="10">NA()</definedName>
    <definedName name="SHARED_FORMULA_7_362_7_362_22">NA()</definedName>
    <definedName name="SHARED_FORMULA_7_362_7_362_37" localSheetId="10">NA()</definedName>
    <definedName name="SHARED_FORMULA_7_362_7_362_37">NA()</definedName>
    <definedName name="SHARED_FORMULA_7_366_7_366_30">NA()</definedName>
    <definedName name="SHARED_FORMULA_7_368_7_368_26" localSheetId="10">NA()</definedName>
    <definedName name="SHARED_FORMULA_7_368_7_368_26">NA()</definedName>
    <definedName name="SHARED_FORMULA_7_37_7_37_26">NA()</definedName>
    <definedName name="SHARED_FORMULA_7_370_7_370_30" localSheetId="10">NA()</definedName>
    <definedName name="SHARED_FORMULA_7_370_7_370_30">NA()</definedName>
    <definedName name="SHARED_FORMULA_7_376_7_376_26" localSheetId="10">NA()</definedName>
    <definedName name="SHARED_FORMULA_7_376_7_376_26">NA()</definedName>
    <definedName name="SHARED_FORMULA_7_378_7_378_30">NA()</definedName>
    <definedName name="SHARED_FORMULA_7_379_7_379_30" localSheetId="10">NA()</definedName>
    <definedName name="SHARED_FORMULA_7_379_7_379_30">NA()</definedName>
    <definedName name="SHARED_FORMULA_7_38_7_38_30" localSheetId="10">NA()</definedName>
    <definedName name="SHARED_FORMULA_7_38_7_38_30">NA()</definedName>
    <definedName name="SHARED_FORMULA_7_388_7_388_26" localSheetId="10">NA()</definedName>
    <definedName name="SHARED_FORMULA_7_388_7_388_26">NA()</definedName>
    <definedName name="SHARED_FORMULA_7_39_7_39_37" localSheetId="10">NA()</definedName>
    <definedName name="SHARED_FORMULA_7_39_7_39_37">NA()</definedName>
    <definedName name="SHARED_FORMULA_7_39_7_39_8">NA()</definedName>
    <definedName name="SHARED_FORMULA_7_396_7_396_26" localSheetId="10">NA()</definedName>
    <definedName name="SHARED_FORMULA_7_396_7_396_26">NA()</definedName>
    <definedName name="SHARED_FORMULA_7_397_7_397_30">NA()</definedName>
    <definedName name="SHARED_FORMULA_7_398_7_398_22">NA()</definedName>
    <definedName name="SHARED_FORMULA_7_399_7_399_30" localSheetId="10">NA()</definedName>
    <definedName name="SHARED_FORMULA_7_399_7_399_30">NA()</definedName>
    <definedName name="SHARED_FORMULA_7_4_7_4_26" localSheetId="10">NA()</definedName>
    <definedName name="SHARED_FORMULA_7_4_7_4_26">NA()</definedName>
    <definedName name="SHARED_FORMULA_7_408_7_408_26" localSheetId="10">NA()</definedName>
    <definedName name="SHARED_FORMULA_7_408_7_408_26">NA()</definedName>
    <definedName name="SHARED_FORMULA_7_41_7_41_30">NA()</definedName>
    <definedName name="SHARED_FORMULA_7_411_7_411_22">NA()</definedName>
    <definedName name="SHARED_FORMULA_7_412_7_412_22" localSheetId="10">NA()</definedName>
    <definedName name="SHARED_FORMULA_7_412_7_412_22">NA()</definedName>
    <definedName name="SHARED_FORMULA_7_414_7_414_37">NA()</definedName>
    <definedName name="SHARED_FORMULA_7_416_7_416_26" localSheetId="10">NA()</definedName>
    <definedName name="SHARED_FORMULA_7_416_7_416_26">NA()</definedName>
    <definedName name="SHARED_FORMULA_7_418_7_418_30" localSheetId="10">NA()</definedName>
    <definedName name="SHARED_FORMULA_7_418_7_418_30">NA()</definedName>
    <definedName name="SHARED_FORMULA_7_42_7_42_26" localSheetId="10">NA()</definedName>
    <definedName name="SHARED_FORMULA_7_42_7_42_26">NA()</definedName>
    <definedName name="SHARED_FORMULA_7_431_7_431_22" localSheetId="10">NA()</definedName>
    <definedName name="SHARED_FORMULA_7_431_7_431_22">NA()</definedName>
    <definedName name="SHARED_FORMULA_7_431_7_431_30">NA()</definedName>
    <definedName name="SHARED_FORMULA_7_435_7_435_37">NA()</definedName>
    <definedName name="SHARED_FORMULA_7_45_7_45_26">NA()</definedName>
    <definedName name="SHARED_FORMULA_7_451_7_451_37" localSheetId="10">NA()</definedName>
    <definedName name="SHARED_FORMULA_7_451_7_451_37">NA()</definedName>
    <definedName name="SHARED_FORMULA_7_453_7_453_30">NA()</definedName>
    <definedName name="SHARED_FORMULA_7_453_7_453_37">NA()</definedName>
    <definedName name="SHARED_FORMULA_7_457_7_457_30" localSheetId="10">NA()</definedName>
    <definedName name="SHARED_FORMULA_7_457_7_457_30">NA()</definedName>
    <definedName name="SHARED_FORMULA_7_46_7_46_22" localSheetId="10">NA()</definedName>
    <definedName name="SHARED_FORMULA_7_46_7_46_22">NA()</definedName>
    <definedName name="SHARED_FORMULA_7_472_7_472_37" localSheetId="10">NA()</definedName>
    <definedName name="SHARED_FORMULA_7_472_7_472_37">NA()</definedName>
    <definedName name="SHARED_FORMULA_7_473_7_473_22">NA()</definedName>
    <definedName name="SHARED_FORMULA_7_479_7_479_30" localSheetId="10">NA()</definedName>
    <definedName name="SHARED_FORMULA_7_479_7_479_30">NA()</definedName>
    <definedName name="SHARED_FORMULA_7_49_7_49_22">NA()</definedName>
    <definedName name="SHARED_FORMULA_7_494_7_494_37" localSheetId="10">NA()</definedName>
    <definedName name="SHARED_FORMULA_7_494_7_494_37">NA()</definedName>
    <definedName name="SHARED_FORMULA_7_5_7_5_22" localSheetId="10">NA()</definedName>
    <definedName name="SHARED_FORMULA_7_5_7_5_22">NA()</definedName>
    <definedName name="SHARED_FORMULA_7_500_7_500_22" localSheetId="10">NA()</definedName>
    <definedName name="SHARED_FORMULA_7_500_7_500_22">NA()</definedName>
    <definedName name="SHARED_FORMULA_7_505_7_505_22">NA()</definedName>
    <definedName name="SHARED_FORMULA_7_509_7_509_26">NA()</definedName>
    <definedName name="SHARED_FORMULA_7_520_7_520_37">NA()</definedName>
    <definedName name="SHARED_FORMULA_7_532_7_532_22" localSheetId="10">NA()</definedName>
    <definedName name="SHARED_FORMULA_7_532_7_532_22">NA()</definedName>
    <definedName name="SHARED_FORMULA_7_538_7_538_22">NA()</definedName>
    <definedName name="SHARED_FORMULA_7_539_7_539_37" localSheetId="10">NA()</definedName>
    <definedName name="SHARED_FORMULA_7_539_7_539_37">NA()</definedName>
    <definedName name="SHARED_FORMULA_7_541_7_541_26" localSheetId="10">NA()</definedName>
    <definedName name="SHARED_FORMULA_7_541_7_541_26">NA()</definedName>
    <definedName name="SHARED_FORMULA_7_544_7_544_37">NA()</definedName>
    <definedName name="SHARED_FORMULA_7_549_7_549_22">NA()</definedName>
    <definedName name="SHARED_FORMULA_7_565_7_565_22" localSheetId="10">NA()</definedName>
    <definedName name="SHARED_FORMULA_7_565_7_565_22">NA()</definedName>
    <definedName name="SHARED_FORMULA_7_565_7_565_37" localSheetId="10">NA()</definedName>
    <definedName name="SHARED_FORMULA_7_565_7_565_37">NA()</definedName>
    <definedName name="SHARED_FORMULA_7_57_7_57_22" localSheetId="10">NA()</definedName>
    <definedName name="SHARED_FORMULA_7_57_7_57_22">NA()</definedName>
    <definedName name="SHARED_FORMULA_7_57_7_57_30" localSheetId="10">NA()</definedName>
    <definedName name="SHARED_FORMULA_7_57_7_57_30">NA()</definedName>
    <definedName name="SHARED_FORMULA_7_571_7_571_26">NA()</definedName>
    <definedName name="SHARED_FORMULA_7_577_7_577_22" localSheetId="10">NA()</definedName>
    <definedName name="SHARED_FORMULA_7_577_7_577_22">NA()</definedName>
    <definedName name="SHARED_FORMULA_7_581_7_581_22">NA()</definedName>
    <definedName name="SHARED_FORMULA_7_589_7_589_37" localSheetId="10">NA()</definedName>
    <definedName name="SHARED_FORMULA_7_589_7_589_37">NA()</definedName>
    <definedName name="SHARED_FORMULA_7_599_7_599_26">NA()</definedName>
    <definedName name="SHARED_FORMULA_7_60_7_60_22">NA()</definedName>
    <definedName name="SHARED_FORMULA_7_60_7_60_30">NA()</definedName>
    <definedName name="SHARED_FORMULA_7_609_7_609_22" localSheetId="10">NA()</definedName>
    <definedName name="SHARED_FORMULA_7_609_7_609_22">NA()</definedName>
    <definedName name="SHARED_FORMULA_7_609_7_609_26" localSheetId="10">NA()</definedName>
    <definedName name="SHARED_FORMULA_7_609_7_609_26">NA()</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 localSheetId="10">NA()</definedName>
    <definedName name="SHARED_FORMULA_7_63_7_63_26">NA()</definedName>
    <definedName name="SHARED_FORMULA_7_637_7_637_26" localSheetId="10">NA()</definedName>
    <definedName name="SHARED_FORMULA_7_637_7_637_26">NA()</definedName>
    <definedName name="SHARED_FORMULA_7_638_7_638_22" localSheetId="10">NA()</definedName>
    <definedName name="SHARED_FORMULA_7_638_7_638_22">NA()</definedName>
    <definedName name="SHARED_FORMULA_7_638_7_638_26">NA()</definedName>
    <definedName name="SHARED_FORMULA_7_640_7_640_22">NA()</definedName>
    <definedName name="SHARED_FORMULA_7_648_7_648_22" localSheetId="10">NA()</definedName>
    <definedName name="SHARED_FORMULA_7_648_7_648_22">NA()</definedName>
    <definedName name="SHARED_FORMULA_7_649_7_649_26" localSheetId="10">NA()</definedName>
    <definedName name="SHARED_FORMULA_7_649_7_649_26">NA()</definedName>
    <definedName name="SHARED_FORMULA_7_65_7_65_8">NA()</definedName>
    <definedName name="SHARED_FORMULA_7_655_7_655_26">NA()</definedName>
    <definedName name="SHARED_FORMULA_7_66_7_66_26">NA()</definedName>
    <definedName name="SHARED_FORMULA_7_660_7_660_22" localSheetId="10">NA()</definedName>
    <definedName name="SHARED_FORMULA_7_660_7_660_22">NA()</definedName>
    <definedName name="SHARED_FORMULA_7_664_7_664_22">NA()</definedName>
    <definedName name="SHARED_FORMULA_7_665_7_665_26">NA()</definedName>
    <definedName name="SHARED_FORMULA_7_666_7_666_26" localSheetId="10">NA()</definedName>
    <definedName name="SHARED_FORMULA_7_666_7_666_26">NA()</definedName>
    <definedName name="SHARED_FORMULA_7_67_7_67_30" localSheetId="10">NA()</definedName>
    <definedName name="SHARED_FORMULA_7_67_7_67_30">NA()</definedName>
    <definedName name="SHARED_FORMULA_7_674_7_674_26" localSheetId="10">NA()</definedName>
    <definedName name="SHARED_FORMULA_7_674_7_674_26">NA()</definedName>
    <definedName name="SHARED_FORMULA_7_677_7_677_22">NA()</definedName>
    <definedName name="SHARED_FORMULA_7_680_7_680_22" localSheetId="10">NA()</definedName>
    <definedName name="SHARED_FORMULA_7_680_7_680_22">NA()</definedName>
    <definedName name="SHARED_FORMULA_7_682_7_682_26">NA()</definedName>
    <definedName name="SHARED_FORMULA_7_691_7_691_26" localSheetId="10">NA()</definedName>
    <definedName name="SHARED_FORMULA_7_691_7_691_26">NA()</definedName>
    <definedName name="SHARED_FORMULA_7_697_7_697_26">NA()</definedName>
    <definedName name="SHARED_FORMULA_7_699_7_699_26" localSheetId="10">NA()</definedName>
    <definedName name="SHARED_FORMULA_7_699_7_699_26">NA()</definedName>
    <definedName name="SHARED_FORMULA_7_7_7_7_33" localSheetId="10">NA()</definedName>
    <definedName name="SHARED_FORMULA_7_7_7_7_33">NA()</definedName>
    <definedName name="SHARED_FORMULA_7_70_7_70_30">NA()</definedName>
    <definedName name="SHARED_FORMULA_7_707_7_707_22" localSheetId="10">NA()</definedName>
    <definedName name="SHARED_FORMULA_7_707_7_707_22">NA()</definedName>
    <definedName name="SHARED_FORMULA_7_716_7_716_26" localSheetId="10">NA()</definedName>
    <definedName name="SHARED_FORMULA_7_716_7_716_26">NA()</definedName>
    <definedName name="SHARED_FORMULA_7_72_7_72_22" localSheetId="10">NA()</definedName>
    <definedName name="SHARED_FORMULA_7_72_7_72_22">NA()</definedName>
    <definedName name="SHARED_FORMULA_7_720_7_720_22" localSheetId="10">NA()</definedName>
    <definedName name="SHARED_FORMULA_7_720_7_720_22">NA()</definedName>
    <definedName name="SHARED_FORMULA_7_722_7_722_26">NA()</definedName>
    <definedName name="SHARED_FORMULA_7_732_7_732_26" localSheetId="10">NA()</definedName>
    <definedName name="SHARED_FORMULA_7_732_7_732_26">NA()</definedName>
    <definedName name="SHARED_FORMULA_7_741_7_741_26">NA()</definedName>
    <definedName name="SHARED_FORMULA_7_75_7_75_22">NA()</definedName>
    <definedName name="SHARED_FORMULA_7_752_7_752_22">NA()</definedName>
    <definedName name="SHARED_FORMULA_7_757_7_757_26" localSheetId="10">NA()</definedName>
    <definedName name="SHARED_FORMULA_7_757_7_757_26">NA()</definedName>
    <definedName name="SHARED_FORMULA_7_760_7_760_26">NA()</definedName>
    <definedName name="SHARED_FORMULA_7_769_7_769_22">NA()</definedName>
    <definedName name="SHARED_FORMULA_7_776_7_776_26" localSheetId="10">NA()</definedName>
    <definedName name="SHARED_FORMULA_7_776_7_776_26">NA()</definedName>
    <definedName name="SHARED_FORMULA_7_780_7_780_26">NA()</definedName>
    <definedName name="SHARED_FORMULA_7_792_7_792_26">NA()</definedName>
    <definedName name="SHARED_FORMULA_7_795_7_795_26" localSheetId="10">NA()</definedName>
    <definedName name="SHARED_FORMULA_7_795_7_795_26">NA()</definedName>
    <definedName name="SHARED_FORMULA_7_801_7_801_22">NA()</definedName>
    <definedName name="SHARED_FORMULA_7_803_7_803_26">NA()</definedName>
    <definedName name="SHARED_FORMULA_7_805_7_805_22" localSheetId="10">NA()</definedName>
    <definedName name="SHARED_FORMULA_7_805_7_805_22">NA()</definedName>
    <definedName name="SHARED_FORMULA_7_813_7_813_22">NA()</definedName>
    <definedName name="SHARED_FORMULA_7_814_7_814_26">NA()</definedName>
    <definedName name="SHARED_FORMULA_7_815_7_815_26" localSheetId="10">NA()</definedName>
    <definedName name="SHARED_FORMULA_7_815_7_815_26">NA()</definedName>
    <definedName name="SHARED_FORMULA_7_826_7_826_26">NA()</definedName>
    <definedName name="SHARED_FORMULA_7_827_7_827_26" localSheetId="10">NA()</definedName>
    <definedName name="SHARED_FORMULA_7_827_7_827_26">NA()</definedName>
    <definedName name="SHARED_FORMULA_7_828_7_828_22">NA()</definedName>
    <definedName name="SHARED_FORMULA_7_837_7_837_26" localSheetId="10">NA()</definedName>
    <definedName name="SHARED_FORMULA_7_837_7_837_26">NA()</definedName>
    <definedName name="SHARED_FORMULA_7_84_7_84_26" localSheetId="10">NA()</definedName>
    <definedName name="SHARED_FORMULA_7_84_7_84_26">NA()</definedName>
    <definedName name="SHARED_FORMULA_7_84_7_84_30" localSheetId="10">NA()</definedName>
    <definedName name="SHARED_FORMULA_7_84_7_84_30">NA()</definedName>
    <definedName name="SHARED_FORMULA_7_84_7_84_37">NA()</definedName>
    <definedName name="SHARED_FORMULA_7_843_7_843_22" localSheetId="10">NA()</definedName>
    <definedName name="SHARED_FORMULA_7_843_7_843_22">NA()</definedName>
    <definedName name="SHARED_FORMULA_7_847_7_847_26" localSheetId="10">NA()</definedName>
    <definedName name="SHARED_FORMULA_7_847_7_847_26">NA()</definedName>
    <definedName name="SHARED_FORMULA_7_850_7_850_26">NA()</definedName>
    <definedName name="SHARED_FORMULA_7_853_7_853_22" localSheetId="10">NA()</definedName>
    <definedName name="SHARED_FORMULA_7_853_7_853_22">NA()</definedName>
    <definedName name="SHARED_FORMULA_7_859_7_859_22">NA()</definedName>
    <definedName name="SHARED_FORMULA_7_86_7_86_30">NA()</definedName>
    <definedName name="SHARED_FORMULA_7_866_7_866_26">NA()</definedName>
    <definedName name="SHARED_FORMULA_7_869_7_869_26" localSheetId="10">NA()</definedName>
    <definedName name="SHARED_FORMULA_7_869_7_869_26">NA()</definedName>
    <definedName name="SHARED_FORMULA_7_87_7_87_26">NA()</definedName>
    <definedName name="SHARED_FORMULA_7_87_7_87_37" localSheetId="10">NA()</definedName>
    <definedName name="SHARED_FORMULA_7_87_7_87_37">NA()</definedName>
    <definedName name="SHARED_FORMULA_7_870_7_870_22">NA()</definedName>
    <definedName name="SHARED_FORMULA_7_882_7_882_26">NA()</definedName>
    <definedName name="SHARED_FORMULA_7_893_7_893_26" localSheetId="10">NA()</definedName>
    <definedName name="SHARED_FORMULA_7_893_7_893_26">NA()</definedName>
    <definedName name="SHARED_FORMULA_7_895_7_895_22" localSheetId="10">NA()</definedName>
    <definedName name="SHARED_FORMULA_7_895_7_895_22">NA()</definedName>
    <definedName name="SHARED_FORMULA_7_9_7_9_37" localSheetId="10">NA()</definedName>
    <definedName name="SHARED_FORMULA_7_9_7_9_37">NA()</definedName>
    <definedName name="SHARED_FORMULA_7_900_7_900_22">NA()</definedName>
    <definedName name="SHARED_FORMULA_7_900_7_900_26">NA()</definedName>
    <definedName name="SHARED_FORMULA_7_906_7_906_22" localSheetId="10">NA()</definedName>
    <definedName name="SHARED_FORMULA_7_906_7_906_22">NA()</definedName>
    <definedName name="SHARED_FORMULA_7_909_7_909_26" localSheetId="10">NA()</definedName>
    <definedName name="SHARED_FORMULA_7_909_7_909_26">NA()</definedName>
    <definedName name="SHARED_FORMULA_7_91_7_91_37">NA()</definedName>
    <definedName name="SHARED_FORMULA_7_925_7_925_26" localSheetId="10">NA()</definedName>
    <definedName name="SHARED_FORMULA_7_925_7_925_26">NA()</definedName>
    <definedName name="SHARED_FORMULA_7_926_7_926_22" localSheetId="10">NA()</definedName>
    <definedName name="SHARED_FORMULA_7_926_7_926_22">NA()</definedName>
    <definedName name="SHARED_FORMULA_7_932_7_932_22">NA()</definedName>
    <definedName name="SHARED_FORMULA_7_932_7_932_26">NA()</definedName>
    <definedName name="SHARED_FORMULA_7_94_7_94_37" localSheetId="10">NA()</definedName>
    <definedName name="SHARED_FORMULA_7_94_7_94_37">NA()</definedName>
    <definedName name="SHARED_FORMULA_7_941_7_941_22">NA()</definedName>
    <definedName name="SHARED_FORMULA_7_945_7_945_26" localSheetId="10">NA()</definedName>
    <definedName name="SHARED_FORMULA_7_945_7_945_26">NA()</definedName>
    <definedName name="SHARED_FORMULA_7_947_7_947_22" localSheetId="10">NA()</definedName>
    <definedName name="SHARED_FORMULA_7_947_7_947_22">NA()</definedName>
    <definedName name="SHARED_FORMULA_7_951_7_951_22">NA()</definedName>
    <definedName name="SHARED_FORMULA_7_96_7_96_33">NA()</definedName>
    <definedName name="SHARED_FORMULA_7_962_7_962_26">NA()</definedName>
    <definedName name="SHARED_FORMULA_7_969_7_969_22">NA()</definedName>
    <definedName name="SHARED_FORMULA_7_976_7_976_26">NA()</definedName>
    <definedName name="SHARED_FORMULA_7_977_7_977_22" localSheetId="10">NA()</definedName>
    <definedName name="SHARED_FORMULA_7_977_7_977_22">NA()</definedName>
    <definedName name="SHARED_FORMULA_7_982_7_982_26" localSheetId="10">NA()</definedName>
    <definedName name="SHARED_FORMULA_7_982_7_982_26">NA()</definedName>
    <definedName name="SHARED_FORMULA_7_988_7_988_22">NA()</definedName>
    <definedName name="SHARED_FORMULA_7_992_7_992_26" localSheetId="10">NA()</definedName>
    <definedName name="SHARED_FORMULA_7_992_7_992_26">NA()</definedName>
    <definedName name="SHARED_FORMULA_8_1161_8_1161_6">NA()</definedName>
    <definedName name="SHARED_FORMULA_8_1242_8_1242_6">NA()</definedName>
    <definedName name="SHARED_FORMULA_8_1255_8_1255_6">NA()</definedName>
    <definedName name="SHARED_FORMULA_8_1272_8_1272_6">NA()</definedName>
    <definedName name="SHARED_FORMULA_8_1308_8_1308_5">NA()</definedName>
    <definedName name="SHARED_FORMULA_8_1418_8_1418_6">NA()</definedName>
    <definedName name="SHARED_FORMULA_8_1426_8_1426_6">NA()</definedName>
    <definedName name="SHARED_FORMULA_8_1434_8_1434_6">NA()</definedName>
    <definedName name="SHARED_FORMULA_8_1709_8_1709_6">NA()</definedName>
    <definedName name="SHARED_FORMULA_8_1754_8_1754_6">NA()</definedName>
    <definedName name="SHARED_FORMULA_8_1777_8_1777_6">NA()</definedName>
    <definedName name="SHARED_FORMULA_8_1801_8_1801_6">NA()</definedName>
    <definedName name="SHARED_FORMULA_8_3_8_3_25">NA()</definedName>
    <definedName name="SHARED_FORMULA_8_46_8_46_5">NA()</definedName>
    <definedName name="SHARED_FORMULA_8_51_8_51_5">NA()</definedName>
    <definedName name="SHARED_FORMULA_8_54_8_54_5">NA()</definedName>
    <definedName name="SHARED_FORMULA_9_617_9_617_9">NA()</definedName>
    <definedName name="SHASHI">NA()</definedName>
    <definedName name="sheet" localSheetId="10">NA()</definedName>
    <definedName name="sheet1" localSheetId="10">NA()</definedName>
    <definedName name="sheet1">NA()</definedName>
    <definedName name="Sheet2" localSheetId="10">NA()</definedName>
    <definedName name="Sheet2">"[93]data!#ref!"</definedName>
    <definedName name="shi" localSheetId="10">NA()</definedName>
    <definedName name="shi">NA()</definedName>
    <definedName name="shiva" localSheetId="10">NA()</definedName>
    <definedName name="shiva">NA()</definedName>
    <definedName name="SHOULDERS">NA()</definedName>
    <definedName name="shru" localSheetId="10">NA()</definedName>
    <definedName name="shru">"[412]footings!#ref!"</definedName>
    <definedName name="Shyam">NA()</definedName>
    <definedName name="si">NA()</definedName>
    <definedName name="SIDEWALL">NA()</definedName>
    <definedName name="SIDEWALLSONETOSIX" localSheetId="10">NA()</definedName>
    <definedName name="SIDEWALLSONETOSIX">NA()</definedName>
    <definedName name="SIDEWALLSSEVENTOTHIRTEEN" localSheetId="10">NA()</definedName>
    <definedName name="SIDEWALLSSEVENTOTHIRTEEN">NA()</definedName>
    <definedName name="signage">"'[141]14'!$a$1:$u$65536"</definedName>
    <definedName name="single">NA()</definedName>
    <definedName name="sir">NA()</definedName>
    <definedName name="Siri">"scheduled_payment"+"extra_payment"</definedName>
    <definedName name="SITE" localSheetId="10">NA()</definedName>
    <definedName name="SITE">NA()</definedName>
    <definedName name="SIXTOTHIRTEEN" localSheetId="10">NA()</definedName>
    <definedName name="SIXTOTHIRTEEN">NA()</definedName>
    <definedName name="size" localSheetId="10">NA()</definedName>
    <definedName name="size">NA()</definedName>
    <definedName name="SKDIRD">{"'ridftotal'!$A$4:$S$27"}</definedName>
    <definedName name="skirting_shahbad" localSheetId="10">NA()</definedName>
    <definedName name="skirting_shahbad">NA()</definedName>
    <definedName name="sla" localSheetId="10">NA()</definedName>
    <definedName name="sla">NA()</definedName>
    <definedName name="Slab" localSheetId="10">NA()</definedName>
    <definedName name="slab_8" localSheetId="10">NA()</definedName>
    <definedName name="slab_8">NA()</definedName>
    <definedName name="SLAB1" localSheetId="10">NA()</definedName>
    <definedName name="SLAB1">NA()</definedName>
    <definedName name="SLOAD">"[56]mrates!$ad$10"</definedName>
    <definedName name="sluicevalve">NA()</definedName>
    <definedName name="SLUICEVALVES">NA()</definedName>
    <definedName name="Slushy_soil_and_silt_clearance_upto_0_60_metres_depth_SS_20_B">NA()</definedName>
    <definedName name="sma">NA()</definedName>
    <definedName name="smetal">NA()</definedName>
    <definedName name="Soft_disentigrated_rock___removable_by_pick_axes_and_crow_bars">NA()</definedName>
    <definedName name="Soling" localSheetId="10">NA()</definedName>
    <definedName name="Soling">NA()</definedName>
    <definedName name="Soling_stone_of_150_mm_size_of_granite__trap_and_Dolamite_varieties_">NA()</definedName>
    <definedName name="SortOrder">NA()</definedName>
    <definedName name="sp">NA()</definedName>
    <definedName name="SP_136_BCCP">NA()</definedName>
    <definedName name="SP_136_BODY">NA()</definedName>
    <definedName name="SP_136_FLY_BCCP">NA()</definedName>
    <definedName name="SP_148_BCCP">NA()</definedName>
    <definedName name="SP_BACKFILL">NA()</definedName>
    <definedName name="SP_BED_HP">NA()</definedName>
    <definedName name="SP_BM" localSheetId="10">NA()</definedName>
    <definedName name="SP_BM">NA()</definedName>
    <definedName name="SP_BM_50">NA()</definedName>
    <definedName name="SP_BT_PATCH_40">NA()</definedName>
    <definedName name="SP_Diversion_Road" localSheetId="10">NA()</definedName>
    <definedName name="SP_Diversion_Road">NA()</definedName>
    <definedName name="SP_EW_C">NA()</definedName>
    <definedName name="SP_EW_Car" localSheetId="10">NA()</definedName>
    <definedName name="SP_EW_Car">NA()</definedName>
    <definedName name="SP_EW_FOUND">NA()</definedName>
    <definedName name="SP_EW_Man" localSheetId="10">NA()</definedName>
    <definedName name="SP_EW_Man">NA()</definedName>
    <definedName name="SP_EW_OMC_Car" localSheetId="10">NA()</definedName>
    <definedName name="SP_EW_OMC_Car">NA()</definedName>
    <definedName name="SP_EW_OMC_Side" localSheetId="10">NA()</definedName>
    <definedName name="SP_EW_OMC_Side">NA()</definedName>
    <definedName name="SP_EW_S">NA()</definedName>
    <definedName name="SP_EW_SIDE">NA()</definedName>
    <definedName name="SP_EW_T">NA()</definedName>
    <definedName name="SP_EW_USS">NA()</definedName>
    <definedName name="SP_FILL_INB_BODY">NA()</definedName>
    <definedName name="SP_FILTER_ABUT">NA()</definedName>
    <definedName name="SP_FILTER_BPITCH">NA()</definedName>
    <definedName name="SP_G2_22B_AS_PR">NA()</definedName>
    <definedName name="SP_G2_22B_AS_VR">NA()</definedName>
    <definedName name="SP_G2_45B_AS_PR">NA()</definedName>
    <definedName name="SP_G2_45B_AS_VR">NA()</definedName>
    <definedName name="SP_G3_22B_BS_PR">NA()</definedName>
    <definedName name="SP_G3_22B_BS_VR">NA()</definedName>
    <definedName name="SP_G3_45B_BS_PR">NA()</definedName>
    <definedName name="SP_G3_45B_BS_VR">NA()</definedName>
    <definedName name="SP_Gravel_Quardrent" localSheetId="10">NA()</definedName>
    <definedName name="SP_Gravel_Quardrent">NA()</definedName>
    <definedName name="SP_GROUT_REV">NA()</definedName>
    <definedName name="SP_GS">NA()</definedName>
    <definedName name="SP_HP_600" localSheetId="10">NA()</definedName>
    <definedName name="SP_HP_600">NA()</definedName>
    <definedName name="SP_HPL_600" localSheetId="10">NA()</definedName>
    <definedName name="SP_HPL_600">NA()</definedName>
    <definedName name="SP_HYSD_FOUND">NA()</definedName>
    <definedName name="SP_HYSD_SUB">NA()</definedName>
    <definedName name="SP_HYSD_Super" localSheetId="10">NA()</definedName>
    <definedName name="SP_HYSD_Super">NA()</definedName>
    <definedName name="SP_M10_base" localSheetId="10">NA()</definedName>
    <definedName name="SP_M10_base">NA()</definedName>
    <definedName name="sp_M10_bCC" localSheetId="10">NA()</definedName>
    <definedName name="sp_M10_bCC">NA()</definedName>
    <definedName name="SP_M10_drainS" localSheetId="10">NA()</definedName>
    <definedName name="SP_M10_drainS">NA()</definedName>
    <definedName name="SP_M15_deviders" localSheetId="10">NA()</definedName>
    <definedName name="SP_M15_deviders">NA()</definedName>
    <definedName name="SP_M15_DIVIDERS">NA()</definedName>
    <definedName name="SP_M15_footing" localSheetId="10">NA()</definedName>
    <definedName name="SP_M15_footing">NA()</definedName>
    <definedName name="SP_M15_FOUND">NA()</definedName>
    <definedName name="SP_M15_LEVEL">NA()</definedName>
    <definedName name="SP_M15_SUB" localSheetId="10">NA()</definedName>
    <definedName name="SP_M15_SUB">NA()</definedName>
    <definedName name="SP_M20_BedBack" localSheetId="10">NA()</definedName>
    <definedName name="SP_M20_BedBack">NA()</definedName>
    <definedName name="SP_M20_COVER" localSheetId="10">NA()</definedName>
    <definedName name="SP_M20_COVER">NA()</definedName>
    <definedName name="SP_M20_Slab" localSheetId="10">NA()</definedName>
    <definedName name="SP_M20_Slab">NA()</definedName>
    <definedName name="SP_M20R_BEDBLOCKS">NA()</definedName>
    <definedName name="SP_M20R_COVER_SLAB">NA()</definedName>
    <definedName name="SP_M20R_DECK">NA()</definedName>
    <definedName name="SP_M20R_RAIL">NA()</definedName>
    <definedName name="SP_M25_ApproachSlab" localSheetId="10">NA()</definedName>
    <definedName name="SP_M25_ApproachSlab">NA()</definedName>
    <definedName name="SP_M25R_APP">NA()</definedName>
    <definedName name="SP_M30_WC" localSheetId="10">NA()</definedName>
    <definedName name="SP_M30_WC">NA()</definedName>
    <definedName name="SP_M30R_WC">NA()</definedName>
    <definedName name="SP_M35_CC" localSheetId="10">NA()</definedName>
    <definedName name="SP_M35_CC">NA()</definedName>
    <definedName name="SP_M35_CCP">NA()</definedName>
    <definedName name="SP_M35_fLY_CCP">NA()</definedName>
    <definedName name="SP_M35_FlyAsh" localSheetId="10">NA()</definedName>
    <definedName name="SP_M35_FlyAsh">NA()</definedName>
    <definedName name="SP_Mild" localSheetId="10">NA()</definedName>
    <definedName name="SP_Mild">NA()</definedName>
    <definedName name="SP_PAINT">NA()</definedName>
    <definedName name="SP_Painting" localSheetId="10">NA()</definedName>
    <definedName name="SP_Painting">NA()</definedName>
    <definedName name="SP_PLAST">NA()</definedName>
    <definedName name="SP_Plastering" localSheetId="10">NA()</definedName>
    <definedName name="SP_Plastering">NA()</definedName>
    <definedName name="SP_Rev_A300" localSheetId="10">NA()</definedName>
    <definedName name="SP_Rev_A300">NA()</definedName>
    <definedName name="SP_Rev_Q300" localSheetId="10">NA()</definedName>
    <definedName name="SP_Rev_Q300">NA()</definedName>
    <definedName name="SP_REV300">NA()</definedName>
    <definedName name="SP_SANDFILL">NA()</definedName>
    <definedName name="SP_Sandfilling" localSheetId="10">NA()</definedName>
    <definedName name="SP_Sandfilling">NA()</definedName>
    <definedName name="SP_Scar_BT" localSheetId="10">NA()</definedName>
    <definedName name="SP_Scar_BT">NA()</definedName>
    <definedName name="SP_SCAR_GRA">NA()</definedName>
    <definedName name="SP_Scar_GSB" localSheetId="10">NA()</definedName>
    <definedName name="SP_Scar_GSB">NA()</definedName>
    <definedName name="SP_SCSD_6070">NA()</definedName>
    <definedName name="SP_SCSD_80100" localSheetId="10">NA()</definedName>
    <definedName name="SP_SCSD_80100">NA()</definedName>
    <definedName name="SP_SDBC">NA()</definedName>
    <definedName name="SP_WBM2" localSheetId="10">NA()</definedName>
    <definedName name="SP_WBM2">NA()</definedName>
    <definedName name="SP_WBM2_HVR" localSheetId="10">NA()</definedName>
    <definedName name="SP_WBM2_HVR">NA()</definedName>
    <definedName name="SP_WBM2_MCS" localSheetId="10">NA()</definedName>
    <definedName name="SP_WBM2_MCS">NA()</definedName>
    <definedName name="SP_WBM2_MVR" localSheetId="10">NA()</definedName>
    <definedName name="SP_WBM2_MVR">NA()</definedName>
    <definedName name="SP_WBM3" localSheetId="10">NA()</definedName>
    <definedName name="SP_WBM3">NA()</definedName>
    <definedName name="SP_WBM3_HVR" localSheetId="10">NA()</definedName>
    <definedName name="SP_WBM3_HVR">NA()</definedName>
    <definedName name="SP_WBM3_MCS" localSheetId="10">NA()</definedName>
    <definedName name="SP_WBM3_MCS">NA()</definedName>
    <definedName name="SP_Weepholes" localSheetId="10">NA()</definedName>
    <definedName name="SP_Weepholes">NA()</definedName>
    <definedName name="SP_WMM" localSheetId="10">NA()</definedName>
    <definedName name="SP_WMM">NA()</definedName>
    <definedName name="sp002a">NA()</definedName>
    <definedName name="sp004a">NA()</definedName>
    <definedName name="SP005A">NA()</definedName>
    <definedName name="SP022a">NA()</definedName>
    <definedName name="sp023a">NA()</definedName>
    <definedName name="sp025a">NA()</definedName>
    <definedName name="SP034a">NA()</definedName>
    <definedName name="spaint">NA()</definedName>
    <definedName name="Spare" localSheetId="10">NA()</definedName>
    <definedName name="Spare">"[284]iocount!#ref!"</definedName>
    <definedName name="spas">NA()</definedName>
    <definedName name="spds">NA()</definedName>
    <definedName name="SpecialPrice">NA()</definedName>
    <definedName name="Spreading__watering_gravel_for_150mm_compacted">NA()</definedName>
    <definedName name="SPREADING_40MM">NA()</definedName>
    <definedName name="SPREADING_65MM" localSheetId="10">NA()</definedName>
    <definedName name="SPREADING_65MM">NA()</definedName>
    <definedName name="sprev">NA()</definedName>
    <definedName name="spryer">NA()</definedName>
    <definedName name="Spülfreqenz_Filter" localSheetId="10">NA()</definedName>
    <definedName name="Spülfreqenz_Filter">"[148]balan1!#ref!"</definedName>
    <definedName name="ss" localSheetId="10">NA()</definedName>
    <definedName name="ss">NA()</definedName>
    <definedName name="ss_pipes" localSheetId="10">NA()</definedName>
    <definedName name="ss_pipes">NA()</definedName>
    <definedName name="ss_railing" localSheetId="10">NA()</definedName>
    <definedName name="ss_railing">NA()</definedName>
    <definedName name="SS_Reinigung_in_BiopurC" localSheetId="10">NA()</definedName>
    <definedName name="SS_Reinigung_in_BiopurC">"[148]balan1!#ref!"</definedName>
    <definedName name="SS_reinigung_in_BiopurN" localSheetId="10">NA()</definedName>
    <definedName name="SS_reinigung_in_BiopurN">"[148]balan1!#ref!"</definedName>
    <definedName name="SS_Reinigung_in_Filter" localSheetId="10">NA()</definedName>
    <definedName name="SS_Reinigung_in_Filter">"[148]balan1!#ref!"</definedName>
    <definedName name="ssand">NA()</definedName>
    <definedName name="Ssec1" localSheetId="10">NA()</definedName>
    <definedName name="Ssec1">NA()</definedName>
    <definedName name="Ssec2" localSheetId="10">NA()</definedName>
    <definedName name="Ssec2">NA()</definedName>
    <definedName name="Ssec3" localSheetId="10">NA()</definedName>
    <definedName name="Ssec3">NA()</definedName>
    <definedName name="Ssec4" localSheetId="10">NA()</definedName>
    <definedName name="Ssec4">NA()</definedName>
    <definedName name="Ssec5" localSheetId="10">NA()</definedName>
    <definedName name="Ssec5">NA()</definedName>
    <definedName name="Ssec6" localSheetId="10">NA()</definedName>
    <definedName name="Ssec6">NA()</definedName>
    <definedName name="SSF">NA()</definedName>
    <definedName name="sss" localSheetId="10">NA()</definedName>
    <definedName name="sss">NA()</definedName>
    <definedName name="sssaaa">NA()</definedName>
    <definedName name="ssss" localSheetId="10">NA()</definedName>
    <definedName name="ssss">NA()</definedName>
    <definedName name="SSSSS">"[113]data.f8.btr!#ref!"</definedName>
    <definedName name="ssssssa">"[71]material!#ref!"</definedName>
    <definedName name="ssssssssssssssss">"[71]material!#ref!"</definedName>
    <definedName name="sst">NA()</definedName>
    <definedName name="SSTACK">"[56]mrates!$ad$12"</definedName>
    <definedName name="sstype3drop" localSheetId="10">NA()</definedName>
    <definedName name="sstype3drop">NA()</definedName>
    <definedName name="SSTYPE3DROP1" localSheetId="10">NA()</definedName>
    <definedName name="SSTYPE3DROP1">NA()</definedName>
    <definedName name="sstype3slab" localSheetId="10">NA()</definedName>
    <definedName name="sstype3slab">NA()</definedName>
    <definedName name="SSTYPESLAB1" localSheetId="10">NA()</definedName>
    <definedName name="SSTYPESLAB1">NA()</definedName>
    <definedName name="st" localSheetId="10">NA()</definedName>
    <definedName name="st_100" localSheetId="10">NA()</definedName>
    <definedName name="st_100">NA()</definedName>
    <definedName name="st_150" localSheetId="10">NA()</definedName>
    <definedName name="st_150">NA()</definedName>
    <definedName name="st_200" localSheetId="10">NA()</definedName>
    <definedName name="st_200">NA()</definedName>
    <definedName name="st_25" localSheetId="10">NA()</definedName>
    <definedName name="st_25">NA()</definedName>
    <definedName name="st_250" localSheetId="10">NA()</definedName>
    <definedName name="st_250">NA()</definedName>
    <definedName name="st_300" localSheetId="10">NA()</definedName>
    <definedName name="st_300">NA()</definedName>
    <definedName name="st_32" localSheetId="10">NA()</definedName>
    <definedName name="st_32">NA()</definedName>
    <definedName name="st_40" localSheetId="10">NA()</definedName>
    <definedName name="st_40">NA()</definedName>
    <definedName name="st_400" localSheetId="10">NA()</definedName>
    <definedName name="st_400">NA()</definedName>
    <definedName name="st_50" localSheetId="10">NA()</definedName>
    <definedName name="st_50">NA()</definedName>
    <definedName name="st_500" localSheetId="10">NA()</definedName>
    <definedName name="st_500">NA()</definedName>
    <definedName name="st_65" localSheetId="10">NA()</definedName>
    <definedName name="st_65">NA()</definedName>
    <definedName name="st_80" localSheetId="10">NA()</definedName>
    <definedName name="st_80">NA()</definedName>
    <definedName name="stack" localSheetId="10">NA()</definedName>
    <definedName name="stack">NA()</definedName>
    <definedName name="stack1" localSheetId="10">NA()</definedName>
    <definedName name="stack1">NA()</definedName>
    <definedName name="stack4" localSheetId="10">NA()</definedName>
    <definedName name="stack4">NA()</definedName>
    <definedName name="stack5" localSheetId="10">NA()</definedName>
    <definedName name="stack5">NA()</definedName>
    <definedName name="stacking">NA()</definedName>
    <definedName name="stacking_gravel">NA()</definedName>
    <definedName name="stacking_metal">NA()</definedName>
    <definedName name="staf" localSheetId="10">NA()</definedName>
    <definedName name="staf">"[128]v!#ref!"</definedName>
    <definedName name="staff" localSheetId="10">NA()</definedName>
    <definedName name="staff">"[128]v!#ref!"</definedName>
    <definedName name="staff_1" localSheetId="10">NA()</definedName>
    <definedName name="Staff1">"[130]v!#ref!"</definedName>
    <definedName name="Stagging" localSheetId="10">NA()</definedName>
    <definedName name="Stagging">"[428]boq!#ref!"</definedName>
    <definedName name="Staircase" localSheetId="10">NA()</definedName>
    <definedName name="Staircase">NA()</definedName>
    <definedName name="Staircase_8" localSheetId="10">NA()</definedName>
    <definedName name="Staircase_8">NA()</definedName>
    <definedName name="Staircase2" localSheetId="10">NA()</definedName>
    <definedName name="Staircase2">NA()</definedName>
    <definedName name="STANDARD_SPECIFICATION_FOR_HOSPITAL_STRUCTURES" localSheetId="10">NA()</definedName>
    <definedName name="STANDARD_SPECIFICATION_FOR_HOSPITAL_STRUCTURES">NA()</definedName>
    <definedName name="standrad" localSheetId="10">NA()</definedName>
    <definedName name="standrad">NA()</definedName>
    <definedName name="State">NA()</definedName>
    <definedName name="STE">NA()</definedName>
    <definedName name="Steel" localSheetId="10">NA()</definedName>
    <definedName name="steel">NA()</definedName>
    <definedName name="steel_hysd" localSheetId="10">NA()</definedName>
    <definedName name="steel_hysd">NA()</definedName>
    <definedName name="steel_mildbar" localSheetId="10">NA()</definedName>
    <definedName name="steel_mildbar">NA()</definedName>
    <definedName name="steelcenA" localSheetId="10">NA()</definedName>
    <definedName name="steelcenA">NA()</definedName>
    <definedName name="steelcenB" localSheetId="10">NA()</definedName>
    <definedName name="steelcenB">NA()</definedName>
    <definedName name="steelcenpb" localSheetId="10">NA()</definedName>
    <definedName name="steelcenpb">NA()</definedName>
    <definedName name="sth">NA()</definedName>
    <definedName name="stock">NA()</definedName>
    <definedName name="stof" localSheetId="10">NA()</definedName>
    <definedName name="stone_dust">NA()</definedName>
    <definedName name="Stone_matrix">NA()</definedName>
    <definedName name="STONEDUST">NA()</definedName>
    <definedName name="stoneld" localSheetId="10">NA()</definedName>
    <definedName name="stoneld">"[222]leads!#ref!"</definedName>
    <definedName name="stp" localSheetId="10">NA()</definedName>
    <definedName name="stp">NA()</definedName>
    <definedName name="str_steel" localSheetId="10">NA()</definedName>
    <definedName name="str_steel">NA()</definedName>
    <definedName name="str_steel_plates" localSheetId="10">NA()</definedName>
    <definedName name="str_steel_plates">NA()</definedName>
    <definedName name="Streitwert" localSheetId="10">NA()</definedName>
    <definedName name="Streitwert">NA()</definedName>
    <definedName name="StrID" localSheetId="10">NA()</definedName>
    <definedName name="StrID">NA()</definedName>
    <definedName name="structure" localSheetId="10">NA()</definedName>
    <definedName name="structure">NA()</definedName>
    <definedName name="stth">NA()</definedName>
    <definedName name="studext" localSheetId="10">NA()</definedName>
    <definedName name="studext">NA()</definedName>
    <definedName name="STUDEXT1" localSheetId="10">NA()</definedName>
    <definedName name="STUDEXT1">NA()</definedName>
    <definedName name="stuff" localSheetId="10">NA()</definedName>
    <definedName name="stype2drop" localSheetId="10">NA()</definedName>
    <definedName name="stype2drop">NA()</definedName>
    <definedName name="STYPE2DROP1" localSheetId="10">NA()</definedName>
    <definedName name="STYPE2DROP1">NA()</definedName>
    <definedName name="stype2slab" localSheetId="10">NA()</definedName>
    <definedName name="stype2slab">NA()</definedName>
    <definedName name="STYPE2SLAB1" localSheetId="10">NA()</definedName>
    <definedName name="STYPE2SLAB1">NA()</definedName>
    <definedName name="stype3drop" localSheetId="10">NA()</definedName>
    <definedName name="stype3drop">NA()</definedName>
    <definedName name="STYPE3DROP2" localSheetId="10">NA()</definedName>
    <definedName name="STYPE3DROP2">NA()</definedName>
    <definedName name="stype3slab" localSheetId="10">NA()</definedName>
    <definedName name="stype3slab">NA()</definedName>
    <definedName name="STYPE3SLAB1" localSheetId="10">NA()</definedName>
    <definedName name="STYPE3SLAB1">NA()</definedName>
    <definedName name="SU" localSheetId="10">NA()</definedName>
    <definedName name="SU">NA()</definedName>
    <definedName name="subbu">NA()</definedName>
    <definedName name="Subject" localSheetId="10">NA()</definedName>
    <definedName name="Subject">NA()</definedName>
    <definedName name="sudheer">NA()</definedName>
    <definedName name="suhas" localSheetId="10">NA()</definedName>
    <definedName name="suhas">NA()</definedName>
    <definedName name="sujin" localSheetId="10">NA()</definedName>
    <definedName name="sujin">NA()</definedName>
    <definedName name="Sum" localSheetId="10">NA()</definedName>
    <definedName name="Sum">NA()</definedName>
    <definedName name="SUMFINAL" localSheetId="10">NA()</definedName>
    <definedName name="SUMFINAL">NA()</definedName>
    <definedName name="summar" localSheetId="10">NA()</definedName>
    <definedName name="summar">"[93]data!#ref!"</definedName>
    <definedName name="summary" localSheetId="10">NA()</definedName>
    <definedName name="summary">"[93]data!#ref!"</definedName>
    <definedName name="summary_1" localSheetId="10">NA()</definedName>
    <definedName name="SUMP" localSheetId="10">NA()</definedName>
    <definedName name="SUMP">NA()</definedName>
    <definedName name="sumrisk" localSheetId="10">NA()</definedName>
    <definedName name="sumrisk">NA()</definedName>
    <definedName name="SUNLOAD">"[56]mrates!$ad$11"</definedName>
    <definedName name="Sunshade_0_6_m_wide">NA()</definedName>
    <definedName name="Sunshade_0_8_m_wide">NA()</definedName>
    <definedName name="Sunshade_1_0_m_wide">NA()</definedName>
    <definedName name="supervisor">NA()</definedName>
    <definedName name="Supply_and_Fixing_of_Frame_made_With_25_x_25_x_3mm_L_angle__AND__middle_patty_1_No__1_80mt__and_using_4mm_round_bars_75mm_C_C_in_vertical_and_using__3mm_round_bars_100mm_C_C_including_c_c_of_all_materials_and_labour_charges_etc__complete__Of_size_1_80_X_1">NA()</definedName>
    <definedName name="suresh" localSheetId="10">NA()</definedName>
    <definedName name="suresh">NA()</definedName>
    <definedName name="suri" localSheetId="10">NA()</definedName>
    <definedName name="suri">NA()</definedName>
    <definedName name="SURYA" localSheetId="10">NA()</definedName>
    <definedName name="SURYA">NA()</definedName>
    <definedName name="suryacem_paint" localSheetId="10">NA()</definedName>
    <definedName name="suryacem_paint">NA()</definedName>
    <definedName name="SV">NA()</definedName>
    <definedName name="SVA">NA()</definedName>
    <definedName name="sw" localSheetId="10">NA()</definedName>
    <definedName name="sw">NA()</definedName>
    <definedName name="SWARE" localSheetId="10">NA()</definedName>
    <definedName name="SWARE">NA()</definedName>
    <definedName name="sware2" localSheetId="10">NA()</definedName>
    <definedName name="sware2">NA()</definedName>
    <definedName name="swc">NA()</definedName>
    <definedName name="swci">NA()</definedName>
    <definedName name="SWFR" localSheetId="10">NA()</definedName>
    <definedName name="SWFR">NA()</definedName>
    <definedName name="SWG">NA()</definedName>
    <definedName name="Sy" localSheetId="10">NA()</definedName>
    <definedName name="Sy">NA()</definedName>
    <definedName name="t" localSheetId="10">NA()</definedName>
    <definedName name="t">NA()</definedName>
    <definedName name="T_beams">"[71]works!#ref!"</definedName>
    <definedName name="T0" localSheetId="10">NA()</definedName>
    <definedName name="T0">NA()</definedName>
    <definedName name="T0_10" localSheetId="10">NA()</definedName>
    <definedName name="T0_10">NA()</definedName>
    <definedName name="T0_6">"'smb://Kumaresan/sathya/Documents%20and%20Settings/RQM/Desktop/Cost%20code.xls'#$''.$AH$34:$BF$58"</definedName>
    <definedName name="Table" localSheetId="10">NA()</definedName>
    <definedName name="Table">NA()</definedName>
    <definedName name="Table1">NA()</definedName>
    <definedName name="TABLE2" localSheetId="10">NA()</definedName>
    <definedName name="Table2">NA()</definedName>
    <definedName name="Table3" localSheetId="10">NA()</definedName>
    <definedName name="Table3">NA()</definedName>
    <definedName name="Table4" localSheetId="10">NA()</definedName>
    <definedName name="Table4">NA()</definedName>
    <definedName name="TableRange" localSheetId="10">NA()</definedName>
    <definedName name="TableRange">NA()</definedName>
    <definedName name="TAEW" localSheetId="10">NA()</definedName>
    <definedName name="TAEW">NA()</definedName>
    <definedName name="taj" localSheetId="10">NA()</definedName>
    <definedName name="taj">"[129]v!#ref!"</definedName>
    <definedName name="tanda">"[113]data.f8.btr!#ref!"</definedName>
    <definedName name="Tandam_Road_Roller">NA()</definedName>
    <definedName name="TapSpecials">NA()</definedName>
    <definedName name="tas">NA()</definedName>
    <definedName name="TAWBM" localSheetId="10">NA()</definedName>
    <definedName name="TAWBM">NA()</definedName>
    <definedName name="TaxTV">10%</definedName>
    <definedName name="TaxXL">5%</definedName>
    <definedName name="tbiiv0" localSheetId="10">NA()</definedName>
    <definedName name="tbiiv0">NA()</definedName>
    <definedName name="tbiv0" localSheetId="10">NA()</definedName>
    <definedName name="tbiv0">NA()</definedName>
    <definedName name="tbl_ProdInfo">NA()</definedName>
    <definedName name="td">NA()</definedName>
    <definedName name="TECV" localSheetId="10">NA()</definedName>
    <definedName name="TECV">NA()</definedName>
    <definedName name="TEI" localSheetId="10">NA()</definedName>
    <definedName name="TEI">NA()</definedName>
    <definedName name="TEI_8" localSheetId="10">NA()</definedName>
    <definedName name="TEI_8">NA()</definedName>
    <definedName name="tekmal" localSheetId="10">NA()</definedName>
    <definedName name="tekmal">NA()</definedName>
    <definedName name="temp1" localSheetId="10">NA()</definedName>
    <definedName name="temp1">NA()</definedName>
    <definedName name="ten" localSheetId="10">NA()</definedName>
    <definedName name="ten">NA()</definedName>
    <definedName name="terrace" localSheetId="10">NA()</definedName>
    <definedName name="terrace">NA()</definedName>
    <definedName name="th" localSheetId="10">NA()</definedName>
    <definedName name="th">NA()</definedName>
    <definedName name="Timber">"[71]material!#ref!"</definedName>
    <definedName name="TIME">NA()</definedName>
    <definedName name="Tipper__Dumper_1_hour">NA()</definedName>
    <definedName name="Tipper_10_T">NA()</definedName>
    <definedName name="tit" localSheetId="10">NA()</definedName>
    <definedName name="tit">NA()</definedName>
    <definedName name="Title1" localSheetId="10">NA()</definedName>
    <definedName name="Title1">NA()</definedName>
    <definedName name="Title2" localSheetId="10">NA()</definedName>
    <definedName name="Title2">NA()</definedName>
    <definedName name="tm">NA()</definedName>
    <definedName name="Toilet" localSheetId="10">NA()</definedName>
    <definedName name="toilet">NA()</definedName>
    <definedName name="tol" localSheetId="10">NA()</definedName>
    <definedName name="tol">NA()</definedName>
    <definedName name="top" localSheetId="10">NA()</definedName>
    <definedName name="top">"[130]boq!#ref!"</definedName>
    <definedName name="top_8" localSheetId="10">NA()</definedName>
    <definedName name="top_8">NA()</definedName>
    <definedName name="TOPDOMEONETOSIX" localSheetId="10">NA()</definedName>
    <definedName name="TOPDOMEONETOSIX">NA()</definedName>
    <definedName name="TOPDOMESEVENTOTHIRTEEN" localSheetId="10">NA()</definedName>
    <definedName name="TOPDOMESEVENTOTHIRTEEN">NA()</definedName>
    <definedName name="topl" localSheetId="10">NA()</definedName>
    <definedName name="topl">NA()</definedName>
    <definedName name="topn" localSheetId="10">NA()</definedName>
    <definedName name="topn">NA()</definedName>
    <definedName name="TOPRINGGIRDERONETOSIX" localSheetId="10">NA()</definedName>
    <definedName name="TOPRINGGIRDERONETOSIX">NA()</definedName>
    <definedName name="TOPRINGGIRDERSEVENTOTHIRTEEN" localSheetId="10">NA()</definedName>
    <definedName name="TOPRINGGIRDERSEVENTOTHIRTEEN">NA()</definedName>
    <definedName name="tot" localSheetId="10">NA()</definedName>
    <definedName name="tot">NA()</definedName>
    <definedName name="Total">NA()</definedName>
    <definedName name="Total_Interest" localSheetId="10">NA()</definedName>
    <definedName name="Total_Interest">NA()</definedName>
    <definedName name="Total_Pay" localSheetId="10">NA()</definedName>
    <definedName name="Total_Pay">NA()</definedName>
    <definedName name="Total_Payment" localSheetId="10">"scheduled_payment"+"extra_payment"</definedName>
    <definedName name="Total_Payment">"scheduled_payment"+"extra_payment"</definedName>
    <definedName name="totalpop">NA()</definedName>
    <definedName name="TPR" localSheetId="10">NA()</definedName>
    <definedName name="TPR">NA()</definedName>
    <definedName name="TQBM">NA()</definedName>
    <definedName name="TQEW">"[384]r_det!#ref!"</definedName>
    <definedName name="TQGSB">NA()</definedName>
    <definedName name="TQVCC">NA()</definedName>
    <definedName name="TQVRCC">NA()</definedName>
    <definedName name="TQWBM">"[382]r_det!#ref!"</definedName>
    <definedName name="tr">NA()</definedName>
    <definedName name="tr4st" localSheetId="10">NA()</definedName>
    <definedName name="Tractor">NA()</definedName>
    <definedName name="tractor_frm">NA()</definedName>
    <definedName name="TRAFFIC">NA()</definedName>
    <definedName name="TransInsu" localSheetId="10">NA()</definedName>
    <definedName name="TransInsu">NA()</definedName>
    <definedName name="treads_shahbad" localSheetId="10">NA()</definedName>
    <definedName name="treads_shahbad">NA()</definedName>
    <definedName name="TREE">NA()</definedName>
    <definedName name="trgregerg">"[71]material!#ref!"</definedName>
    <definedName name="trrwqq" localSheetId="10">NA()</definedName>
    <definedName name="trrwqq">NA()</definedName>
    <definedName name="trust" localSheetId="10">NA()</definedName>
    <definedName name="ts" localSheetId="10">NA()</definedName>
    <definedName name="Ts">NA()</definedName>
    <definedName name="tsfb" localSheetId="10">NA()</definedName>
    <definedName name="tsfb">"[122]process!#ref!"</definedName>
    <definedName name="tsl" localSheetId="10">NA()</definedName>
    <definedName name="tsl">"[122]process!#ref!"</definedName>
    <definedName name="tsswd" localSheetId="10">NA()</definedName>
    <definedName name="tsswd">"[122]process!#ref!"</definedName>
    <definedName name="tsw" localSheetId="10">NA()</definedName>
    <definedName name="tsw">"[122]process!#ref!"</definedName>
    <definedName name="tt">NA()</definedName>
    <definedName name="ttt" localSheetId="10">NA()</definedName>
    <definedName name="ttt">NA()</definedName>
    <definedName name="ttttt" localSheetId="10">NA()</definedName>
    <definedName name="ttttt">NA()</definedName>
    <definedName name="tttttttttt">"[71]works!#ref!"</definedName>
    <definedName name="TW_lipping_to_flush_door" localSheetId="10">NA()</definedName>
    <definedName name="TW_lipping_to_flush_door">NA()</definedName>
    <definedName name="TW_planks_1st_class">"[71]material!#ref!"</definedName>
    <definedName name="TW_planks_2nd_class">"[71]material!#ref!"</definedName>
    <definedName name="TW_scantling_sabove_2m_1st_class">"[71]material!#ref!"</definedName>
    <definedName name="TW_scantlings_above_2m_2nd_class">"[71]material!#ref!"</definedName>
    <definedName name="TW_scantlings_below_2m_1st_class">"[71]material!#ref!"</definedName>
    <definedName name="TW_scantlings_below_2m_2nd_class">"[71]material!#ref!"</definedName>
    <definedName name="twbm" localSheetId="10">NA()</definedName>
    <definedName name="twbm">NA()</definedName>
    <definedName name="twtttt">NA()</definedName>
    <definedName name="ty" localSheetId="10">NA()</definedName>
    <definedName name="ty">NA()</definedName>
    <definedName name="Type1" localSheetId="10">NA()</definedName>
    <definedName name="Type1">NA()</definedName>
    <definedName name="Type1_8" localSheetId="10">NA()</definedName>
    <definedName name="Type1_8">NA()</definedName>
    <definedName name="type11" localSheetId="10">NA()</definedName>
    <definedName name="type11">NA()</definedName>
    <definedName name="type1drop" localSheetId="10">NA()</definedName>
    <definedName name="type1drop">NA()</definedName>
    <definedName name="type1slab" localSheetId="10">NA()</definedName>
    <definedName name="type1slab">NA()</definedName>
    <definedName name="Type2" localSheetId="10">NA()</definedName>
    <definedName name="Type2">NA()</definedName>
    <definedName name="Type2_8" localSheetId="10">NA()</definedName>
    <definedName name="Type2_8">NA()</definedName>
    <definedName name="type2drop" localSheetId="10">NA()</definedName>
    <definedName name="type2drop">NA()</definedName>
    <definedName name="type2slab" localSheetId="10">NA()</definedName>
    <definedName name="type2slab">NA()</definedName>
    <definedName name="Type3" localSheetId="10">NA()</definedName>
    <definedName name="Type3">NA()</definedName>
    <definedName name="type3drop" localSheetId="10">NA()</definedName>
    <definedName name="type3drop">NA()</definedName>
    <definedName name="type3slab" localSheetId="10">NA()</definedName>
    <definedName name="type3slab">NA()</definedName>
    <definedName name="type4" localSheetId="10">NA()</definedName>
    <definedName name="type4">NA()</definedName>
    <definedName name="type44" localSheetId="10">NA()</definedName>
    <definedName name="type44">NA()</definedName>
    <definedName name="type4drop" localSheetId="10">NA()</definedName>
    <definedName name="type4drop">NA()</definedName>
    <definedName name="type4slab" localSheetId="10">NA()</definedName>
    <definedName name="type4slab">NA()</definedName>
    <definedName name="u" localSheetId="10">NA()</definedName>
    <definedName name="UCN" localSheetId="10">NA()</definedName>
    <definedName name="UCN">NA()</definedName>
    <definedName name="uetyyuwefgyusdhj" localSheetId="10">NA()</definedName>
    <definedName name="uetyyuwefgyusdhj">NA()</definedName>
    <definedName name="uil">NA()</definedName>
    <definedName name="UNICOD" localSheetId="10">NA()</definedName>
    <definedName name="UNICOD">NA()</definedName>
    <definedName name="UNICOD_10" localSheetId="10">NA()</definedName>
    <definedName name="UNICOD_10">NA()</definedName>
    <definedName name="unloading">NA()</definedName>
    <definedName name="unsecured" localSheetId="10">NA()</definedName>
    <definedName name="unsecured">NA()</definedName>
    <definedName name="UP" localSheetId="10">NA()</definedName>
    <definedName name="UP">NA()</definedName>
    <definedName name="Uprooting_and_clearing_prickly_pear_jungle">NA()</definedName>
    <definedName name="Uprooting_and_removing_Palmyrah_stumps_including_stacking_of_girth_30_to_100_cm_">NA()</definedName>
    <definedName name="Uprooting_and_removing_stumps_of__date_trees_including_stacking_of_girth_30_to_100_cm_">NA()</definedName>
    <definedName name="Uprooting_and_removing_stumps_of_other_kind_of_trees_including_stacking_of_girth_30_to_100_cm_">NA()</definedName>
    <definedName name="US" localSheetId="10">NA()</definedName>
    <definedName name="US">NA()</definedName>
    <definedName name="USD" localSheetId="10">NA()</definedName>
    <definedName name="usd">"[438]summary!#ref!"</definedName>
    <definedName name="utgg_jk_b_">"scheduled_payment"+"extra_payment"</definedName>
    <definedName name="utgyuj">NA()</definedName>
    <definedName name="v" localSheetId="10">NA()</definedName>
    <definedName name="v">NA()</definedName>
    <definedName name="vaibrating">NA()</definedName>
    <definedName name="Values_Entered">NA()</definedName>
    <definedName name="VALVES">NA()</definedName>
    <definedName name="vandy" localSheetId="10">NA()</definedName>
    <definedName name="vandy">"[442]footings!#ref!"</definedName>
    <definedName name="var" localSheetId="10">NA()</definedName>
    <definedName name="var">NA()</definedName>
    <definedName name="vara" localSheetId="10">NA()</definedName>
    <definedName name="vara">NA()</definedName>
    <definedName name="vark">NA()</definedName>
    <definedName name="vat" localSheetId="10">NA()</definedName>
    <definedName name="vat">NA()</definedName>
    <definedName name="vat_name">NA()</definedName>
    <definedName name="vat_rate">NA()</definedName>
    <definedName name="VATCESS">NA()</definedName>
    <definedName name="vatname">NA()</definedName>
    <definedName name="vb" localSheetId="10">NA()</definedName>
    <definedName name="VB">{"'ridftotal'!$A$4:$S$27"}</definedName>
    <definedName name="vc">NA()</definedName>
    <definedName name="vcc">NA()</definedName>
    <definedName name="vcdfe">NA()</definedName>
    <definedName name="ver" localSheetId="10">NA()</definedName>
    <definedName name="ver">NA()</definedName>
    <definedName name="VGFSS" localSheetId="10">NA()</definedName>
    <definedName name="VGFSS">NA()</definedName>
    <definedName name="vh">NA()</definedName>
    <definedName name="Vibchr" localSheetId="10">NA()</definedName>
    <definedName name="Vibchr">NA()</definedName>
    <definedName name="vibrating_concrete">NA()</definedName>
    <definedName name="Vibrating_Roller">NA()</definedName>
    <definedName name="Vibratory_Roller">NA()</definedName>
    <definedName name="vitrified" localSheetId="10">NA()</definedName>
    <definedName name="vitrified">NA()</definedName>
    <definedName name="Vname" localSheetId="10">NA()</definedName>
    <definedName name="Vname">NA()</definedName>
    <definedName name="vrcc">NA()</definedName>
    <definedName name="vrcc_col" localSheetId="10">NA()</definedName>
    <definedName name="vrcc_col">NA()</definedName>
    <definedName name="vrcc_footing" localSheetId="10">NA()</definedName>
    <definedName name="vrcc_footing">NA()</definedName>
    <definedName name="vrcc_lintel" localSheetId="10">NA()</definedName>
    <definedName name="vrcc_lintel">NA()</definedName>
    <definedName name="vrcc_pb" localSheetId="10">NA()</definedName>
    <definedName name="vrcc_pb">NA()</definedName>
    <definedName name="vrcc_platform" localSheetId="10">NA()</definedName>
    <definedName name="vrcc_platform">NA()</definedName>
    <definedName name="vrcc_roof_IIv" localSheetId="10">NA()</definedName>
    <definedName name="vrcc_roof_IIv">NA()</definedName>
    <definedName name="vrcc_roofbeam" localSheetId="10">NA()</definedName>
    <definedName name="vrcc_roofbeam">NA()</definedName>
    <definedName name="vrcc_sunshade" localSheetId="10">NA()</definedName>
    <definedName name="vrcc_sunshade">NA()</definedName>
    <definedName name="vsi">NA()</definedName>
    <definedName name="vso">NA()</definedName>
    <definedName name="vsp">NA()</definedName>
    <definedName name="vt">NA()</definedName>
    <definedName name="vv" localSheetId="10">NA()</definedName>
    <definedName name="vvvvv">NA()</definedName>
    <definedName name="vvvvvvvvvvv">"[71]material!#ref!"</definedName>
    <definedName name="Vz" localSheetId="10">NA()</definedName>
    <definedName name="Vz">NA()</definedName>
    <definedName name="w" localSheetId="10">NA()</definedName>
    <definedName name="w">NA()</definedName>
    <definedName name="w3e">NA()</definedName>
    <definedName name="Was">NA()</definedName>
    <definedName name="wasi">NA()</definedName>
    <definedName name="water" localSheetId="10">NA()</definedName>
    <definedName name="Water_Tanker">NA()</definedName>
    <definedName name="waterproof_paint" localSheetId="10">NA()</definedName>
    <definedName name="waterproof_paint">NA()</definedName>
    <definedName name="wbag" localSheetId="10">NA()</definedName>
    <definedName name="wbag">NA()</definedName>
    <definedName name="wbs">NA()</definedName>
    <definedName name="wbsi">NA()</definedName>
    <definedName name="wcc">"[447]leads!$j$8"</definedName>
    <definedName name="wd">NA()</definedName>
    <definedName name="wdd">"[449]rateanalysis!$a$1:$ay$65536"</definedName>
    <definedName name="wdtd">NA()</definedName>
    <definedName name="we" localSheetId="10">NA()</definedName>
    <definedName name="we">NA()</definedName>
    <definedName name="wee" localSheetId="10">NA()</definedName>
    <definedName name="wei">NA()</definedName>
    <definedName name="Wet_Mix_Plant">NA()</definedName>
    <definedName name="wgl">{"'ridftotal'!$A$4:$S$27"}</definedName>
    <definedName name="WHC">NA()</definedName>
    <definedName name="Wheeled_Dozer___D_30_BEML">NA()</definedName>
    <definedName name="White_cement">NA()</definedName>
    <definedName name="window" localSheetId="10">NA()</definedName>
    <definedName name="window">NA()</definedName>
    <definedName name="window_sizes" localSheetId="10">NA()</definedName>
    <definedName name="window_sizes">NA()</definedName>
    <definedName name="winter" localSheetId="10">NA()</definedName>
    <definedName name="wip" localSheetId="10">NA()</definedName>
    <definedName name="wip">NA()</definedName>
    <definedName name="wl">NA()</definedName>
    <definedName name="wltd">NA()</definedName>
    <definedName name="wm" localSheetId="10">NA()</definedName>
    <definedName name="wm">NA()</definedName>
    <definedName name="wmm">NA()</definedName>
    <definedName name="wn" localSheetId="10">NA()</definedName>
    <definedName name="wn">NA()</definedName>
    <definedName name="Woman_Mazdoor">NA()</definedName>
    <definedName name="word">NA()</definedName>
    <definedName name="work" localSheetId="10">NA()</definedName>
    <definedName name="work">NA()</definedName>
    <definedName name="wp" localSheetId="10">NA()</definedName>
    <definedName name="wp">NA()</definedName>
    <definedName name="wr" localSheetId="10">NA()</definedName>
    <definedName name="wr">NA()</definedName>
    <definedName name="wrb">NA()</definedName>
    <definedName name="wrbi">NA()</definedName>
    <definedName name="wrn_detailed_">NA()</definedName>
    <definedName name="wrn_pl_">NA()</definedName>
    <definedName name="wrn_pl_td_">NA()</definedName>
    <definedName name="wsss">NA()</definedName>
    <definedName name="wsw">NA()</definedName>
    <definedName name="wtd">NA()</definedName>
    <definedName name="WWEEW" localSheetId="10">NA()</definedName>
    <definedName name="WWEEW">NA()</definedName>
    <definedName name="wwi">NA()</definedName>
    <definedName name="wwknr" localSheetId="10">NA()</definedName>
    <definedName name="wwknr">NA()</definedName>
    <definedName name="www" localSheetId="10">NA()</definedName>
    <definedName name="www">NA()</definedName>
    <definedName name="wwwwwwwwwwwwwwwww">"[71]material!#ref!"</definedName>
    <definedName name="wwwwwwwwwwwwwwwwwwww">"[71]material!#ref!"</definedName>
    <definedName name="wz">NA()</definedName>
    <definedName name="x" localSheetId="10">NA()</definedName>
    <definedName name="x" localSheetId="1">NA()</definedName>
    <definedName name="x">NA()</definedName>
    <definedName name="xbb">NA()</definedName>
    <definedName name="xbm">NA()</definedName>
    <definedName name="xcc11534020">NA()</definedName>
    <definedName name="xcc136c">NA()</definedName>
    <definedName name="xcf">NA()</definedName>
    <definedName name="xcgi">NA()</definedName>
    <definedName name="xcrs">NA()</definedName>
    <definedName name="xe">NA()</definedName>
    <definedName name="xew">NA()</definedName>
    <definedName name="xew20b">NA()</definedName>
    <definedName name="xfb">NA()</definedName>
    <definedName name="xfp">NA()</definedName>
    <definedName name="xfpolish">NA()</definedName>
    <definedName name="xfprr">NA()</definedName>
    <definedName name="xfpss">NA()</definedName>
    <definedName name="xfscc">NA()</definedName>
    <definedName name="xfss">NA()</definedName>
    <definedName name="xfsscc">NA()</definedName>
    <definedName name="xhb11010">NA()</definedName>
    <definedName name="xhb1104">NA()</definedName>
    <definedName name="xhb1106">NA()</definedName>
    <definedName name="xhb1108">NA()</definedName>
    <definedName name="xhb12510">NA()</definedName>
    <definedName name="xhb1254">NA()</definedName>
    <definedName name="xhb1256">NA()</definedName>
    <definedName name="xhb1258">NA()</definedName>
    <definedName name="xhb14010">NA()</definedName>
    <definedName name="xhb1404">NA()</definedName>
    <definedName name="xhb1406">NA()</definedName>
    <definedName name="xhb1408">NA()</definedName>
    <definedName name="xhb16010">NA()</definedName>
    <definedName name="xhb1604">NA()</definedName>
    <definedName name="xhb1606">NA()</definedName>
    <definedName name="xhb1608">NA()</definedName>
    <definedName name="xhb18010">NA()</definedName>
    <definedName name="xhb1804">NA()</definedName>
    <definedName name="xhb1806">NA()</definedName>
    <definedName name="xhb1808">NA()</definedName>
    <definedName name="xhb20010">NA()</definedName>
    <definedName name="xhb2004">NA()</definedName>
    <definedName name="xhb2006">NA()</definedName>
    <definedName name="xhb2008">NA()</definedName>
    <definedName name="xhb22510">NA()</definedName>
    <definedName name="xhb2254">NA()</definedName>
    <definedName name="xhb2258">NA()</definedName>
    <definedName name="xhb25010">NA()</definedName>
    <definedName name="xhb2504">NA()</definedName>
    <definedName name="xhb2508">NA()</definedName>
    <definedName name="xhb28010">NA()</definedName>
    <definedName name="xhb2804">NA()</definedName>
    <definedName name="xhb2808">NA()</definedName>
    <definedName name="xhb31510">NA()</definedName>
    <definedName name="xhb3154">NA()</definedName>
    <definedName name="xhb3158">NA()</definedName>
    <definedName name="xhb6310">NA()</definedName>
    <definedName name="xhb636">NA()</definedName>
    <definedName name="xhb638">NA()</definedName>
    <definedName name="xhb7510">NA()</definedName>
    <definedName name="xhb754">NA()</definedName>
    <definedName name="xhb756">NA()</definedName>
    <definedName name="xhb758">NA()</definedName>
    <definedName name="xhb9010">NA()</definedName>
    <definedName name="xhb904">NA()</definedName>
    <definedName name="xhb906">NA()</definedName>
    <definedName name="xhb908">NA()</definedName>
    <definedName name="ximp">NA()</definedName>
    <definedName name="ximp20">NA()</definedName>
    <definedName name="xlin">NA()</definedName>
    <definedName name="XOTOXSIX" localSheetId="10">NA()</definedName>
    <definedName name="XOTOXSIX">NA()</definedName>
    <definedName name="xpb16010">NA()</definedName>
    <definedName name="xpb18010">NA()</definedName>
    <definedName name="xpb20010">NA()</definedName>
    <definedName name="xpb2004">NA()</definedName>
    <definedName name="xpb22510">NA()</definedName>
    <definedName name="xpb2254">NA()</definedName>
    <definedName name="xpb2256">NA()</definedName>
    <definedName name="xpb25010">NA()</definedName>
    <definedName name="xpb2504">NA()</definedName>
    <definedName name="xpb2506">NA()</definedName>
    <definedName name="xpb28010">NA()</definedName>
    <definedName name="xpb2804">NA()</definedName>
    <definedName name="xpb2806">NA()</definedName>
    <definedName name="xpb31510">NA()</definedName>
    <definedName name="xpb3154">NA()</definedName>
    <definedName name="xpb3156">NA()</definedName>
    <definedName name="xpb634">NA()</definedName>
    <definedName name="xpb9010">NA()</definedName>
    <definedName name="xpl121513">NA()</definedName>
    <definedName name="xpl1312">NA()</definedName>
    <definedName name="xpl1320">NA()</definedName>
    <definedName name="xpl1412">NA()</definedName>
    <definedName name="xpl1420">NA()</definedName>
    <definedName name="xpl201513">NA()</definedName>
    <definedName name="xrf">NA()</definedName>
    <definedName name="xrr">NA()</definedName>
    <definedName name="xrs">NA()</definedName>
    <definedName name="xrs112">NA()</definedName>
    <definedName name="xrs120">NA()</definedName>
    <definedName name="xrsd225">NA()</definedName>
    <definedName name="xsc">NA()</definedName>
    <definedName name="xscp">NA()</definedName>
    <definedName name="xsep">NA()</definedName>
    <definedName name="xsfb">NA()</definedName>
    <definedName name="XSIXTOXTHIRTEEN" localSheetId="10">NA()</definedName>
    <definedName name="XSIXTOXTHIRTEEN">NA()</definedName>
    <definedName name="xspread">NA()</definedName>
    <definedName name="xss">NA()</definedName>
    <definedName name="xtb">NA()</definedName>
    <definedName name="xvrcc1153">NA()</definedName>
    <definedName name="xvrcc124">NA()</definedName>
    <definedName name="xww">NA()</definedName>
    <definedName name="xx" localSheetId="10">NA()</definedName>
    <definedName name="xx">NA()</definedName>
    <definedName name="xxx" localSheetId="10">NA()</definedName>
    <definedName name="xxx">NA()</definedName>
    <definedName name="xxx_8" localSheetId="10">NA()</definedName>
    <definedName name="xxx_8">NA()</definedName>
    <definedName name="xxxbxb">NA()</definedName>
    <definedName name="xxxx" localSheetId="10">NA()</definedName>
    <definedName name="xxxx">NA()</definedName>
    <definedName name="XXXXX">"[453]data!#ref!"</definedName>
    <definedName name="xxxxxx">"[454]data!#ref!"</definedName>
    <definedName name="xxxxxxx">"[455]data!#ref!"</definedName>
    <definedName name="y" localSheetId="10">NA()</definedName>
    <definedName name="y">NA()</definedName>
    <definedName name="year">NA()</definedName>
    <definedName name="YEN" localSheetId="10">NA()</definedName>
    <definedName name="YEN">NA()</definedName>
    <definedName name="ypr">"[459]data!#ref!"</definedName>
    <definedName name="ys" localSheetId="10">NA()</definedName>
    <definedName name="ys">NA()</definedName>
    <definedName name="yturtyhfh">NA()</definedName>
    <definedName name="yu" localSheetId="10">NA()</definedName>
    <definedName name="yu">NA()</definedName>
    <definedName name="yy" localSheetId="10">NA()</definedName>
    <definedName name="YYYY" localSheetId="10">NA()</definedName>
    <definedName name="YYYY">NA()</definedName>
    <definedName name="yyyyy" localSheetId="10">NA()</definedName>
    <definedName name="yyyyy">NA()</definedName>
    <definedName name="yyyyyyyyyyyyy">"[71]material!#ref!"</definedName>
    <definedName name="z" localSheetId="10">NA()</definedName>
    <definedName name="z">NA()</definedName>
    <definedName name="zam">NA()</definedName>
    <definedName name="zcr" localSheetId="10">NA()</definedName>
    <definedName name="zcr">NA()</definedName>
    <definedName name="ZEROTOSIX" localSheetId="10">NA()</definedName>
    <definedName name="ZEROTOSIX">NA()</definedName>
    <definedName name="Zins_Garantee" localSheetId="10">NA()</definedName>
    <definedName name="Zins_Garantee">NA()</definedName>
    <definedName name="Zins_Monat" localSheetId="10">NA()</definedName>
    <definedName name="Zins_Monat">NA()</definedName>
    <definedName name="Zinz_ÖKB" localSheetId="10">NA()</definedName>
    <definedName name="Zinz_ÖKB">NA()</definedName>
    <definedName name="Zip">NA()</definedName>
    <definedName name="zxy" localSheetId="10">NA()</definedName>
    <definedName name="zxy">NA()</definedName>
    <definedName name="zz">NA()</definedName>
    <definedName name="전체" localSheetId="10">NA()</definedName>
    <definedName name="전체">NA()</definedName>
    <definedName name="工場内部壁１">NA()</definedName>
    <definedName name="工場内部壁２">NA()</definedName>
    <definedName name="工場内部天井１">NA()</definedName>
    <definedName name="工場内部天井２">NA()</definedName>
    <definedName name="工場内部天井ドル">NA()</definedName>
    <definedName name="工場内部床１">NA()</definedName>
    <definedName name="工場内部床２">NA()</definedName>
    <definedName name="工場内部建具１">NA()</definedName>
    <definedName name="工場内部建具２">NA()</definedName>
    <definedName name="工場内部建具ドル">NA()</definedName>
    <definedName name="工場内部雑１">NA()</definedName>
    <definedName name="工場内部雑2">NA()</definedName>
    <definedName name="工場土工事１">NA()</definedName>
    <definedName name="工場土工事２">NA()</definedName>
    <definedName name="工場外壁１">NA()</definedName>
    <definedName name="工場外壁２">NA()</definedName>
    <definedName name="工場外部建具１">NA()</definedName>
    <definedName name="工場外部建具２">NA()</definedName>
    <definedName name="工場外部建具ドル">NA()</definedName>
    <definedName name="工場外部雑１">NA()</definedName>
    <definedName name="工場外部雑２">NA()</definedName>
    <definedName name="工場屋根１">NA()</definedName>
    <definedName name="工場屋根２">NA()</definedName>
    <definedName name="工場屋根ドル">NA()</definedName>
    <definedName name="工場躯体１">NA()</definedName>
    <definedName name="工場躯体２">NA()</definedName>
    <definedName name="掛率" localSheetId="10">NA()</definedName>
    <definedName name="掛率">NA()</definedName>
    <definedName name="管理内部天井１">NA()</definedName>
    <definedName name="管理内部天井２">NA()</definedName>
    <definedName name="管理内部床１">NA()</definedName>
    <definedName name="管理内部床２">NA()</definedName>
    <definedName name="管理内部建具１">NA()</definedName>
    <definedName name="管理内部建具２">NA()</definedName>
    <definedName name="管理内部建具ドル">NA()</definedName>
    <definedName name="管理内部雑１">NA()</definedName>
    <definedName name="管理内部雑２">NA()</definedName>
    <definedName name="管理土工事１">NA()</definedName>
    <definedName name="管理土工事２">NA()</definedName>
    <definedName name="管理外壁１">NA()</definedName>
    <definedName name="管理外壁２">NA()</definedName>
    <definedName name="管理外部建具１">NA()</definedName>
    <definedName name="管理外部建具２">NA()</definedName>
    <definedName name="管理外部建具ドル">NA()</definedName>
    <definedName name="管理外部雑１">NA()</definedName>
    <definedName name="管理外部雑２">NA()</definedName>
    <definedName name="管理屋根１">NA()</definedName>
    <definedName name="管理屋根２">NA()</definedName>
    <definedName name="管理躯体１">NA()</definedName>
    <definedName name="管理躯体２">NA()</definedName>
  </definedNames>
  <calcPr calcId="12451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321" i="7"/>
  <c r="H1311"/>
  <c r="F1310"/>
  <c r="F1309"/>
  <c r="H1306"/>
  <c r="H1307"/>
  <c r="D1315" s="1"/>
  <c r="I1315" s="1"/>
  <c r="D1304"/>
  <c r="C1322"/>
  <c r="D1319"/>
  <c r="C1319"/>
  <c r="F1318"/>
  <c r="F1317"/>
  <c r="F1316"/>
  <c r="I1316" s="1"/>
  <c r="F1315"/>
  <c r="F1314"/>
  <c r="A1303"/>
  <c r="J16" i="45"/>
  <c r="I139"/>
  <c r="K133"/>
  <c r="I133"/>
  <c r="G133"/>
  <c r="I94"/>
  <c r="K80"/>
  <c r="I80"/>
  <c r="G80"/>
  <c r="I64"/>
  <c r="I48"/>
  <c r="G48"/>
  <c r="K71"/>
  <c r="J63"/>
  <c r="G63"/>
  <c r="K63" s="1"/>
  <c r="J61"/>
  <c r="G61"/>
  <c r="K61" s="1"/>
  <c r="J137"/>
  <c r="J135"/>
  <c r="J131"/>
  <c r="K131" s="1"/>
  <c r="J129"/>
  <c r="K129" s="1"/>
  <c r="J127"/>
  <c r="K127" s="1"/>
  <c r="J125"/>
  <c r="K125" s="1"/>
  <c r="J123"/>
  <c r="K123" s="1"/>
  <c r="J121"/>
  <c r="K121" s="1"/>
  <c r="J119"/>
  <c r="K119" s="1"/>
  <c r="J117"/>
  <c r="K117" s="1"/>
  <c r="J115"/>
  <c r="K115" s="1"/>
  <c r="J113"/>
  <c r="J112"/>
  <c r="K112" s="1"/>
  <c r="J110"/>
  <c r="K110" s="1"/>
  <c r="J108"/>
  <c r="K108" s="1"/>
  <c r="J106"/>
  <c r="K106" s="1"/>
  <c r="J104"/>
  <c r="K104" s="1"/>
  <c r="J102"/>
  <c r="K102" s="1"/>
  <c r="J100"/>
  <c r="K100" s="1"/>
  <c r="J97"/>
  <c r="K97" s="1"/>
  <c r="J92"/>
  <c r="J88"/>
  <c r="J85"/>
  <c r="J83"/>
  <c r="J77"/>
  <c r="K77" s="1"/>
  <c r="J75"/>
  <c r="K75" s="1"/>
  <c r="J73"/>
  <c r="K73" s="1"/>
  <c r="J71"/>
  <c r="J70"/>
  <c r="K70" s="1"/>
  <c r="J68"/>
  <c r="K68" s="1"/>
  <c r="J59"/>
  <c r="J57"/>
  <c r="J55"/>
  <c r="J53"/>
  <c r="J51"/>
  <c r="J46"/>
  <c r="J45"/>
  <c r="K45" s="1"/>
  <c r="J43"/>
  <c r="K43" s="1"/>
  <c r="J41"/>
  <c r="J40"/>
  <c r="K40" s="1"/>
  <c r="J37"/>
  <c r="K37" s="1"/>
  <c r="J35"/>
  <c r="J34"/>
  <c r="K34" s="1"/>
  <c r="J32"/>
  <c r="J31"/>
  <c r="K31" s="1"/>
  <c r="J29"/>
  <c r="K29" s="1"/>
  <c r="J27"/>
  <c r="K27" s="1"/>
  <c r="J25"/>
  <c r="K25" s="1"/>
  <c r="J23"/>
  <c r="K23" s="1"/>
  <c r="J21"/>
  <c r="K21" s="1"/>
  <c r="J18"/>
  <c r="K18" s="1"/>
  <c r="K16"/>
  <c r="K48" s="1"/>
  <c r="J13"/>
  <c r="K13" s="1"/>
  <c r="J11"/>
  <c r="K11" s="1"/>
  <c r="J9"/>
  <c r="K9" s="1"/>
  <c r="J7"/>
  <c r="K7" s="1"/>
  <c r="I31"/>
  <c r="I131"/>
  <c r="I129"/>
  <c r="I127"/>
  <c r="I125"/>
  <c r="I123"/>
  <c r="I121"/>
  <c r="I119"/>
  <c r="I117"/>
  <c r="I115"/>
  <c r="I112"/>
  <c r="I110"/>
  <c r="I108"/>
  <c r="I106"/>
  <c r="I104"/>
  <c r="I102"/>
  <c r="I100"/>
  <c r="I97"/>
  <c r="I77"/>
  <c r="I75"/>
  <c r="I73"/>
  <c r="I70"/>
  <c r="I68"/>
  <c r="I45"/>
  <c r="I43"/>
  <c r="I40"/>
  <c r="I37"/>
  <c r="I34"/>
  <c r="I29"/>
  <c r="I27"/>
  <c r="I25"/>
  <c r="I23"/>
  <c r="I21"/>
  <c r="I18"/>
  <c r="I16"/>
  <c r="I13"/>
  <c r="I11"/>
  <c r="I9"/>
  <c r="I7"/>
  <c r="H99"/>
  <c r="H38"/>
  <c r="H19"/>
  <c r="F1311" i="7" l="1"/>
  <c r="D1314" s="1"/>
  <c r="I1314" s="1"/>
  <c r="I141" i="45"/>
  <c r="I142" s="1"/>
  <c r="H1312" i="7" l="1"/>
  <c r="D1317" s="1"/>
  <c r="I1317" s="1"/>
  <c r="I143" i="45"/>
  <c r="I144" s="1"/>
  <c r="D1318" i="7" l="1"/>
  <c r="I1318" s="1"/>
  <c r="F1319" s="1"/>
  <c r="I1319" s="1"/>
  <c r="I1320" s="1"/>
  <c r="E9" i="47"/>
  <c r="D8"/>
  <c r="C8"/>
  <c r="D13"/>
  <c r="D12"/>
  <c r="C11"/>
  <c r="A1"/>
  <c r="I81" i="41"/>
  <c r="L65"/>
  <c r="N65" s="1"/>
  <c r="L63"/>
  <c r="N63" s="1"/>
  <c r="E20" i="42"/>
  <c r="A142" i="46"/>
  <c r="A140"/>
  <c r="G136"/>
  <c r="A136"/>
  <c r="G134"/>
  <c r="A134"/>
  <c r="G132"/>
  <c r="A132"/>
  <c r="G130"/>
  <c r="A130"/>
  <c r="G128"/>
  <c r="A128"/>
  <c r="G126"/>
  <c r="A126"/>
  <c r="G124"/>
  <c r="A124"/>
  <c r="G122"/>
  <c r="A122"/>
  <c r="G120"/>
  <c r="A120"/>
  <c r="G118"/>
  <c r="A118"/>
  <c r="G116"/>
  <c r="G115"/>
  <c r="A115"/>
  <c r="G113"/>
  <c r="A113"/>
  <c r="G111"/>
  <c r="A111"/>
  <c r="G109"/>
  <c r="A109"/>
  <c r="G107"/>
  <c r="A107"/>
  <c r="G105"/>
  <c r="A105"/>
  <c r="G103"/>
  <c r="A103"/>
  <c r="G101"/>
  <c r="A101"/>
  <c r="D100"/>
  <c r="G100" s="1"/>
  <c r="G98"/>
  <c r="A98"/>
  <c r="A93"/>
  <c r="A91"/>
  <c r="A88"/>
  <c r="A86"/>
  <c r="A84"/>
  <c r="D79"/>
  <c r="G79" s="1"/>
  <c r="G78"/>
  <c r="A78"/>
  <c r="G76"/>
  <c r="A76"/>
  <c r="G74"/>
  <c r="A74"/>
  <c r="G72"/>
  <c r="A72"/>
  <c r="G70"/>
  <c r="G69"/>
  <c r="A69"/>
  <c r="G67"/>
  <c r="A67"/>
  <c r="A56"/>
  <c r="A54"/>
  <c r="D49"/>
  <c r="G49" s="1"/>
  <c r="G48"/>
  <c r="A48"/>
  <c r="G46"/>
  <c r="A46"/>
  <c r="D44"/>
  <c r="G44" s="1"/>
  <c r="G43"/>
  <c r="A43"/>
  <c r="D41"/>
  <c r="G41" s="1"/>
  <c r="G40"/>
  <c r="A40"/>
  <c r="D38"/>
  <c r="G38" s="1"/>
  <c r="G37"/>
  <c r="A37"/>
  <c r="D35"/>
  <c r="G35" s="1"/>
  <c r="G34"/>
  <c r="A34"/>
  <c r="G32"/>
  <c r="A32"/>
  <c r="G30"/>
  <c r="A30"/>
  <c r="G28"/>
  <c r="A28"/>
  <c r="G26"/>
  <c r="A26"/>
  <c r="G24"/>
  <c r="A24"/>
  <c r="D22"/>
  <c r="G22" s="1"/>
  <c r="G21"/>
  <c r="A21"/>
  <c r="G19"/>
  <c r="A19"/>
  <c r="D17"/>
  <c r="G17" s="1"/>
  <c r="G16"/>
  <c r="A16"/>
  <c r="G14"/>
  <c r="A14"/>
  <c r="G12"/>
  <c r="A12"/>
  <c r="G10"/>
  <c r="A10"/>
  <c r="B2"/>
  <c r="F1322" i="7" l="1"/>
  <c r="I1322" s="1"/>
  <c r="I1323" s="1"/>
  <c r="I1324" s="1"/>
  <c r="C13" i="47"/>
  <c r="C12"/>
  <c r="C10"/>
  <c r="M65" i="41"/>
  <c r="M63"/>
  <c r="G51" i="46"/>
  <c r="G138"/>
  <c r="G81"/>
  <c r="D20" i="47" l="1"/>
  <c r="C14"/>
  <c r="C15" s="1"/>
  <c r="D10"/>
  <c r="G147" i="46"/>
  <c r="G148"/>
  <c r="C16" i="47" l="1"/>
  <c r="D14"/>
  <c r="D15" s="1"/>
  <c r="G149" i="46"/>
  <c r="D16" i="47" l="1"/>
  <c r="C18"/>
  <c r="C19" s="1"/>
  <c r="C21" s="1"/>
  <c r="H223" i="43"/>
  <c r="I46" i="41"/>
  <c r="H228" i="43"/>
  <c r="A137" i="45"/>
  <c r="A135"/>
  <c r="G131"/>
  <c r="G129"/>
  <c r="G127"/>
  <c r="G125"/>
  <c r="G123"/>
  <c r="G121"/>
  <c r="G119"/>
  <c r="G117"/>
  <c r="G115"/>
  <c r="G113"/>
  <c r="K113" s="1"/>
  <c r="G112"/>
  <c r="G110"/>
  <c r="G108"/>
  <c r="G106"/>
  <c r="G104"/>
  <c r="G102"/>
  <c r="A102"/>
  <c r="G100"/>
  <c r="A100"/>
  <c r="D99"/>
  <c r="G97"/>
  <c r="A97"/>
  <c r="A92"/>
  <c r="A90"/>
  <c r="A87"/>
  <c r="A85"/>
  <c r="A83"/>
  <c r="G78"/>
  <c r="K78" s="1"/>
  <c r="G77"/>
  <c r="A77"/>
  <c r="G75"/>
  <c r="A75"/>
  <c r="G73"/>
  <c r="A73"/>
  <c r="G71"/>
  <c r="G70"/>
  <c r="A70"/>
  <c r="G68"/>
  <c r="A68"/>
  <c r="A53"/>
  <c r="A51"/>
  <c r="G46"/>
  <c r="K46" s="1"/>
  <c r="G45"/>
  <c r="A45"/>
  <c r="G43"/>
  <c r="A43"/>
  <c r="G41"/>
  <c r="K41" s="1"/>
  <c r="G40"/>
  <c r="A40"/>
  <c r="D38"/>
  <c r="G37"/>
  <c r="A37"/>
  <c r="G35"/>
  <c r="K35" s="1"/>
  <c r="G34"/>
  <c r="A34"/>
  <c r="G32"/>
  <c r="K32" s="1"/>
  <c r="G31"/>
  <c r="A31"/>
  <c r="G29"/>
  <c r="A29"/>
  <c r="G27"/>
  <c r="A27"/>
  <c r="G25"/>
  <c r="A25"/>
  <c r="G23"/>
  <c r="A23"/>
  <c r="G21"/>
  <c r="A21"/>
  <c r="D19"/>
  <c r="G18"/>
  <c r="A18"/>
  <c r="G16"/>
  <c r="A16"/>
  <c r="G14"/>
  <c r="K14" s="1"/>
  <c r="G13"/>
  <c r="A13"/>
  <c r="G11"/>
  <c r="A11"/>
  <c r="G9"/>
  <c r="A9"/>
  <c r="G7"/>
  <c r="A7"/>
  <c r="B2"/>
  <c r="H227" i="43"/>
  <c r="H226"/>
  <c r="H222"/>
  <c r="H221"/>
  <c r="H220"/>
  <c r="H219"/>
  <c r="H218"/>
  <c r="H217"/>
  <c r="H216"/>
  <c r="H215"/>
  <c r="G1286" i="7"/>
  <c r="F1277"/>
  <c r="I1297"/>
  <c r="D1296"/>
  <c r="H202" i="43"/>
  <c r="G19" i="45" l="1"/>
  <c r="K19" s="1"/>
  <c r="J19"/>
  <c r="G38"/>
  <c r="K38" s="1"/>
  <c r="J38"/>
  <c r="G99"/>
  <c r="K99" s="1"/>
  <c r="J99"/>
  <c r="D18" i="47"/>
  <c r="D19" s="1"/>
  <c r="D21" s="1"/>
  <c r="C25" s="1"/>
  <c r="C24"/>
  <c r="H229" i="43"/>
  <c r="H224"/>
  <c r="A144" i="41"/>
  <c r="A142"/>
  <c r="A138"/>
  <c r="A136"/>
  <c r="A134"/>
  <c r="A132"/>
  <c r="A130"/>
  <c r="A128"/>
  <c r="A126"/>
  <c r="A124"/>
  <c r="A122"/>
  <c r="A120"/>
  <c r="A117"/>
  <c r="A115"/>
  <c r="A113"/>
  <c r="A111"/>
  <c r="A109"/>
  <c r="A107"/>
  <c r="A105"/>
  <c r="A103"/>
  <c r="A100"/>
  <c r="A95"/>
  <c r="A93"/>
  <c r="A90"/>
  <c r="A88"/>
  <c r="A86"/>
  <c r="A80"/>
  <c r="A78"/>
  <c r="A76"/>
  <c r="A74"/>
  <c r="A71"/>
  <c r="A69"/>
  <c r="A53"/>
  <c r="A51"/>
  <c r="A45"/>
  <c r="A43"/>
  <c r="A40"/>
  <c r="A37"/>
  <c r="A34"/>
  <c r="A31"/>
  <c r="A29"/>
  <c r="A27"/>
  <c r="A25"/>
  <c r="A23"/>
  <c r="A21"/>
  <c r="A18"/>
  <c r="A16"/>
  <c r="A13"/>
  <c r="A11"/>
  <c r="A9"/>
  <c r="A7"/>
  <c r="I2056" i="37"/>
  <c r="J2056" s="1"/>
  <c r="I2055"/>
  <c r="J2055" s="1"/>
  <c r="J2053"/>
  <c r="A2051"/>
  <c r="G1285" i="7"/>
  <c r="G1284"/>
  <c r="G1283"/>
  <c r="G1287" s="1"/>
  <c r="G1288" s="1"/>
  <c r="F1276"/>
  <c r="F1275"/>
  <c r="F1274"/>
  <c r="H1271"/>
  <c r="D1295" s="1"/>
  <c r="D1299"/>
  <c r="C1299"/>
  <c r="A1269"/>
  <c r="H179" i="43"/>
  <c r="H178"/>
  <c r="H177"/>
  <c r="H176"/>
  <c r="H175"/>
  <c r="H115"/>
  <c r="H114"/>
  <c r="H113"/>
  <c r="H112"/>
  <c r="H111"/>
  <c r="H110"/>
  <c r="H109"/>
  <c r="D22" i="47" l="1"/>
  <c r="C26"/>
  <c r="F1279" i="7"/>
  <c r="F1280" s="1"/>
  <c r="F1281" s="1"/>
  <c r="H1281" s="1"/>
  <c r="D1292" s="1"/>
  <c r="G1289"/>
  <c r="D1293" s="1"/>
  <c r="J2057" i="37"/>
  <c r="J2058" s="1"/>
  <c r="J2059" s="1"/>
  <c r="J2060" s="1"/>
  <c r="J2061" s="1"/>
  <c r="I1294" i="7"/>
  <c r="I1293"/>
  <c r="H205" i="43"/>
  <c r="H204"/>
  <c r="H101"/>
  <c r="K144" i="41" l="1"/>
  <c r="L144" s="1"/>
  <c r="M144" s="1"/>
  <c r="F142" i="46"/>
  <c r="G142" s="1"/>
  <c r="I1292" i="7"/>
  <c r="H203" i="43"/>
  <c r="G137" i="45" l="1"/>
  <c r="K137" s="1"/>
  <c r="N144" i="41"/>
  <c r="C10" i="42"/>
  <c r="I2045" i="37"/>
  <c r="J2045" s="1"/>
  <c r="I2044"/>
  <c r="J2044" s="1"/>
  <c r="J2042"/>
  <c r="J2046" s="1"/>
  <c r="A2040"/>
  <c r="E2037"/>
  <c r="J2033"/>
  <c r="J2034" s="1"/>
  <c r="J2035" s="1"/>
  <c r="I2029"/>
  <c r="J2029" s="1"/>
  <c r="I2028"/>
  <c r="J2028" s="1"/>
  <c r="I2027"/>
  <c r="J2027" s="1"/>
  <c r="L102" i="41"/>
  <c r="N102" l="1"/>
  <c r="M102"/>
  <c r="J2030" i="37"/>
  <c r="J2031" s="1"/>
  <c r="J2036" s="1"/>
  <c r="J2037" s="1"/>
  <c r="J2038" s="1"/>
  <c r="J2039" s="1"/>
  <c r="J2047"/>
  <c r="J2048" s="1"/>
  <c r="J2049" s="1"/>
  <c r="J2050" s="1"/>
  <c r="L46" i="41"/>
  <c r="N46" s="1"/>
  <c r="L81"/>
  <c r="N81" s="1"/>
  <c r="L118"/>
  <c r="M118" s="1"/>
  <c r="L72"/>
  <c r="N72" s="1"/>
  <c r="K142" l="1"/>
  <c r="L142" s="1"/>
  <c r="N142" s="1"/>
  <c r="N146" s="1"/>
  <c r="F140" i="46"/>
  <c r="G140" s="1"/>
  <c r="G144" s="1"/>
  <c r="M72" i="41"/>
  <c r="M81"/>
  <c r="M46"/>
  <c r="N118"/>
  <c r="L35"/>
  <c r="I38"/>
  <c r="L38" s="1"/>
  <c r="L41"/>
  <c r="H212" i="43"/>
  <c r="H211"/>
  <c r="H201"/>
  <c r="H206" s="1"/>
  <c r="H197"/>
  <c r="H196"/>
  <c r="H195"/>
  <c r="H194"/>
  <c r="H193"/>
  <c r="H189"/>
  <c r="H188"/>
  <c r="H187"/>
  <c r="H186"/>
  <c r="H185"/>
  <c r="H174"/>
  <c r="H173"/>
  <c r="H172"/>
  <c r="H171"/>
  <c r="H170"/>
  <c r="H169"/>
  <c r="H168"/>
  <c r="H167"/>
  <c r="H166"/>
  <c r="H165"/>
  <c r="H164"/>
  <c r="H161"/>
  <c r="H160"/>
  <c r="H159"/>
  <c r="H158"/>
  <c r="H157"/>
  <c r="H156"/>
  <c r="H155"/>
  <c r="H154"/>
  <c r="H153"/>
  <c r="H152"/>
  <c r="G135" i="45" l="1"/>
  <c r="M142" i="41"/>
  <c r="M146" s="1"/>
  <c r="L146"/>
  <c r="D10" i="42" s="1"/>
  <c r="F10"/>
  <c r="K205" i="43"/>
  <c r="H213"/>
  <c r="H198"/>
  <c r="H162"/>
  <c r="H190"/>
  <c r="H182"/>
  <c r="M35" i="41"/>
  <c r="N35"/>
  <c r="N38"/>
  <c r="M38"/>
  <c r="N41"/>
  <c r="M41"/>
  <c r="L32"/>
  <c r="L19"/>
  <c r="L14"/>
  <c r="H148" i="43"/>
  <c r="H147"/>
  <c r="H146"/>
  <c r="H145"/>
  <c r="H144"/>
  <c r="H143"/>
  <c r="H142"/>
  <c r="H141"/>
  <c r="H140"/>
  <c r="H139"/>
  <c r="H138"/>
  <c r="H137"/>
  <c r="H136"/>
  <c r="H135"/>
  <c r="H134"/>
  <c r="H133"/>
  <c r="H132"/>
  <c r="H131"/>
  <c r="H130"/>
  <c r="H129"/>
  <c r="H128"/>
  <c r="H127"/>
  <c r="H126"/>
  <c r="H125"/>
  <c r="H124"/>
  <c r="H123"/>
  <c r="H122"/>
  <c r="H121"/>
  <c r="H120"/>
  <c r="H119"/>
  <c r="H118"/>
  <c r="H108"/>
  <c r="H107"/>
  <c r="H106"/>
  <c r="H105"/>
  <c r="H104"/>
  <c r="H100"/>
  <c r="H99"/>
  <c r="H98"/>
  <c r="H95"/>
  <c r="H92"/>
  <c r="H91"/>
  <c r="H90"/>
  <c r="H89"/>
  <c r="H67"/>
  <c r="H66"/>
  <c r="H65"/>
  <c r="H64"/>
  <c r="H86"/>
  <c r="H83"/>
  <c r="H85"/>
  <c r="H84"/>
  <c r="H82"/>
  <c r="H81"/>
  <c r="H80"/>
  <c r="H79"/>
  <c r="H76"/>
  <c r="H75"/>
  <c r="H72"/>
  <c r="H71"/>
  <c r="H70"/>
  <c r="H63"/>
  <c r="H62"/>
  <c r="H61"/>
  <c r="H60"/>
  <c r="H59"/>
  <c r="H56"/>
  <c r="H55"/>
  <c r="H54"/>
  <c r="H53"/>
  <c r="H52"/>
  <c r="H51"/>
  <c r="H50"/>
  <c r="H49"/>
  <c r="H48"/>
  <c r="H47"/>
  <c r="H44"/>
  <c r="H45"/>
  <c r="H46"/>
  <c r="H43"/>
  <c r="H42"/>
  <c r="H41"/>
  <c r="H40"/>
  <c r="H39"/>
  <c r="H38"/>
  <c r="H37"/>
  <c r="H36"/>
  <c r="H35"/>
  <c r="H34"/>
  <c r="H33"/>
  <c r="H32"/>
  <c r="H29"/>
  <c r="H28"/>
  <c r="H25"/>
  <c r="H24"/>
  <c r="H23"/>
  <c r="H19"/>
  <c r="H18"/>
  <c r="H17"/>
  <c r="H16"/>
  <c r="H15"/>
  <c r="H14"/>
  <c r="H13"/>
  <c r="H10"/>
  <c r="H9"/>
  <c r="H8"/>
  <c r="A2"/>
  <c r="H7"/>
  <c r="A5"/>
  <c r="C8" i="42"/>
  <c r="C6"/>
  <c r="A1"/>
  <c r="L138" i="41"/>
  <c r="L136"/>
  <c r="L134"/>
  <c r="L132"/>
  <c r="L130"/>
  <c r="L128"/>
  <c r="L126"/>
  <c r="L124"/>
  <c r="L122"/>
  <c r="L120"/>
  <c r="L117"/>
  <c r="L115"/>
  <c r="L113"/>
  <c r="L111"/>
  <c r="L109"/>
  <c r="L107"/>
  <c r="L105"/>
  <c r="L103"/>
  <c r="L100"/>
  <c r="L80"/>
  <c r="L78"/>
  <c r="L76"/>
  <c r="L74"/>
  <c r="L71"/>
  <c r="L69"/>
  <c r="L45"/>
  <c r="L43"/>
  <c r="L40"/>
  <c r="L37"/>
  <c r="L34"/>
  <c r="L31"/>
  <c r="L29"/>
  <c r="L27"/>
  <c r="L25"/>
  <c r="L23"/>
  <c r="L21"/>
  <c r="L18"/>
  <c r="L16"/>
  <c r="L13"/>
  <c r="L11"/>
  <c r="L9"/>
  <c r="L7"/>
  <c r="H138"/>
  <c r="H136"/>
  <c r="H134"/>
  <c r="H132"/>
  <c r="H130"/>
  <c r="H128"/>
  <c r="H126"/>
  <c r="H124"/>
  <c r="H122"/>
  <c r="H120"/>
  <c r="H117"/>
  <c r="H115"/>
  <c r="H113"/>
  <c r="H111"/>
  <c r="H109"/>
  <c r="H107"/>
  <c r="H105"/>
  <c r="H103"/>
  <c r="H100"/>
  <c r="H80"/>
  <c r="H78"/>
  <c r="H76"/>
  <c r="H74"/>
  <c r="H71"/>
  <c r="H69"/>
  <c r="H45"/>
  <c r="H43"/>
  <c r="H40"/>
  <c r="H37"/>
  <c r="H34"/>
  <c r="H31"/>
  <c r="H29"/>
  <c r="H27"/>
  <c r="H25"/>
  <c r="H23"/>
  <c r="H21"/>
  <c r="H18"/>
  <c r="H16"/>
  <c r="H13"/>
  <c r="H11"/>
  <c r="H9"/>
  <c r="H7"/>
  <c r="B2"/>
  <c r="G139" i="45" l="1"/>
  <c r="K135"/>
  <c r="K139" s="1"/>
  <c r="E10" i="42"/>
  <c r="M80" i="41"/>
  <c r="H116" i="43"/>
  <c r="H102"/>
  <c r="H30"/>
  <c r="H77"/>
  <c r="L48" i="41"/>
  <c r="D5" i="42" s="1"/>
  <c r="H57" i="43"/>
  <c r="H68"/>
  <c r="L83" i="41"/>
  <c r="D7" i="42" s="1"/>
  <c r="H73" i="43"/>
  <c r="H149"/>
  <c r="N69" i="41"/>
  <c r="M109"/>
  <c r="M130"/>
  <c r="M122"/>
  <c r="M113"/>
  <c r="M107"/>
  <c r="M105"/>
  <c r="L140"/>
  <c r="M23"/>
  <c r="M43"/>
  <c r="M100"/>
  <c r="M117"/>
  <c r="M126"/>
  <c r="N134"/>
  <c r="M25"/>
  <c r="M45"/>
  <c r="M103"/>
  <c r="H83"/>
  <c r="C7" i="42" s="1"/>
  <c r="H140" i="41"/>
  <c r="N32"/>
  <c r="M32"/>
  <c r="N27"/>
  <c r="M21"/>
  <c r="N19"/>
  <c r="M19"/>
  <c r="N14"/>
  <c r="M14"/>
  <c r="H93" i="43"/>
  <c r="H87"/>
  <c r="H26"/>
  <c r="H20"/>
  <c r="H11"/>
  <c r="H48" i="41"/>
  <c r="C5" i="42" s="1"/>
  <c r="C14" s="1"/>
  <c r="M115" i="41"/>
  <c r="M124"/>
  <c r="M132"/>
  <c r="M111"/>
  <c r="M120"/>
  <c r="M128"/>
  <c r="N138"/>
  <c r="M136"/>
  <c r="M134"/>
  <c r="M78"/>
  <c r="M76"/>
  <c r="N74"/>
  <c r="M71"/>
  <c r="M69"/>
  <c r="N37"/>
  <c r="M34"/>
  <c r="N31"/>
  <c r="M29"/>
  <c r="M27"/>
  <c r="M18"/>
  <c r="M16"/>
  <c r="N13"/>
  <c r="M11"/>
  <c r="N9"/>
  <c r="M7"/>
  <c r="N23"/>
  <c r="N43"/>
  <c r="N80"/>
  <c r="N103"/>
  <c r="N107"/>
  <c r="N111"/>
  <c r="N115"/>
  <c r="N120"/>
  <c r="N124"/>
  <c r="N128"/>
  <c r="N132"/>
  <c r="M138"/>
  <c r="N11"/>
  <c r="N16"/>
  <c r="N29"/>
  <c r="N34"/>
  <c r="M40"/>
  <c r="N71"/>
  <c r="N76"/>
  <c r="N78"/>
  <c r="N7"/>
  <c r="M9"/>
  <c r="M13"/>
  <c r="N21"/>
  <c r="N25"/>
  <c r="M31"/>
  <c r="M37"/>
  <c r="N45"/>
  <c r="M74"/>
  <c r="N100"/>
  <c r="N105"/>
  <c r="N109"/>
  <c r="N113"/>
  <c r="N117"/>
  <c r="N122"/>
  <c r="N126"/>
  <c r="N130"/>
  <c r="N136"/>
  <c r="N40"/>
  <c r="N18"/>
  <c r="M48" l="1"/>
  <c r="E5" i="42" s="1"/>
  <c r="D9"/>
  <c r="C9"/>
  <c r="C11" s="1"/>
  <c r="C13" s="1"/>
  <c r="C17" s="1"/>
  <c r="H147" i="41"/>
  <c r="H149" s="1"/>
  <c r="D15" i="42"/>
  <c r="N83" i="41"/>
  <c r="F7" i="42" s="1"/>
  <c r="N48" i="41"/>
  <c r="F5" i="42" s="1"/>
  <c r="M83" i="41"/>
  <c r="E7" i="42" s="1"/>
  <c r="C15"/>
  <c r="C16"/>
  <c r="M140" i="41"/>
  <c r="N140"/>
  <c r="E9" i="42" l="1"/>
  <c r="F9"/>
  <c r="F14"/>
  <c r="D16"/>
  <c r="F16" s="1"/>
  <c r="F15"/>
  <c r="C18"/>
  <c r="C19" s="1"/>
  <c r="C21" l="1"/>
  <c r="C22" s="1"/>
  <c r="C24" s="1"/>
  <c r="C27" s="1"/>
  <c r="A1" i="38" l="1"/>
  <c r="L14" i="34"/>
  <c r="A6" i="38"/>
  <c r="A7" s="1"/>
  <c r="A9" s="1"/>
  <c r="G73" i="34"/>
  <c r="E1957" i="37" l="1"/>
  <c r="J1954"/>
  <c r="J1955" s="1"/>
  <c r="J1953"/>
  <c r="J1950"/>
  <c r="J1949"/>
  <c r="J1948"/>
  <c r="J1951" l="1"/>
  <c r="J1956" s="1"/>
  <c r="J1957" l="1"/>
  <c r="J1958" s="1"/>
  <c r="J1959" s="1"/>
  <c r="E19" i="4"/>
  <c r="E20" s="1"/>
  <c r="D19"/>
  <c r="D20" s="1"/>
  <c r="E18"/>
  <c r="D18"/>
  <c r="E17"/>
  <c r="D17"/>
  <c r="E16"/>
  <c r="D16"/>
  <c r="E15"/>
  <c r="D15"/>
  <c r="E8"/>
  <c r="D8"/>
  <c r="E23" l="1"/>
  <c r="F2093" i="6" l="1"/>
  <c r="H20" i="40" l="1"/>
  <c r="D25" s="1"/>
  <c r="I25" s="1"/>
  <c r="F24"/>
  <c r="C34"/>
  <c r="I29"/>
  <c r="I28"/>
  <c r="D27"/>
  <c r="I27" s="1"/>
  <c r="I26"/>
  <c r="G22"/>
  <c r="D30" s="1"/>
  <c r="H21"/>
  <c r="D31" s="1"/>
  <c r="I31" s="1"/>
  <c r="H16"/>
  <c r="H14"/>
  <c r="H10"/>
  <c r="H8"/>
  <c r="H4"/>
  <c r="D32" s="1"/>
  <c r="I32" s="1"/>
  <c r="H17" l="1"/>
  <c r="H11"/>
  <c r="H18" l="1"/>
  <c r="D24" s="1"/>
  <c r="I24" s="1"/>
  <c r="A1" i="34"/>
  <c r="A12"/>
  <c r="A14" s="1"/>
  <c r="A6"/>
  <c r="A8" s="1"/>
  <c r="A16" l="1"/>
  <c r="A18" s="1"/>
  <c r="A20" s="1"/>
  <c r="A22" s="1"/>
  <c r="A24" s="1"/>
  <c r="D190" i="8"/>
  <c r="C190"/>
  <c r="F188"/>
  <c r="D188"/>
  <c r="I187"/>
  <c r="F315" i="6"/>
  <c r="I315" s="1"/>
  <c r="F314"/>
  <c r="I314" s="1"/>
  <c r="A313"/>
  <c r="I188" i="8" l="1"/>
  <c r="I189" s="1"/>
  <c r="F190" s="1"/>
  <c r="I190" s="1"/>
  <c r="I191" s="1"/>
  <c r="I192" s="1"/>
  <c r="A26" i="34"/>
  <c r="I316" i="6"/>
  <c r="I317" s="1"/>
  <c r="I318" s="1"/>
  <c r="F36" i="34" s="1"/>
  <c r="G36" s="1"/>
  <c r="A28" l="1"/>
  <c r="A30" s="1"/>
  <c r="A32" s="1"/>
  <c r="A34" s="1"/>
  <c r="A36" s="1"/>
  <c r="A40" s="1"/>
  <c r="A42" s="1"/>
  <c r="A44" s="1"/>
  <c r="A46" s="1"/>
  <c r="A48" s="1"/>
  <c r="A50" s="1"/>
  <c r="A53" s="1"/>
  <c r="A55" s="1"/>
  <c r="A57" s="1"/>
  <c r="A59" s="1"/>
  <c r="A61" s="1"/>
  <c r="A63" s="1"/>
  <c r="A65" s="1"/>
  <c r="A67" s="1"/>
  <c r="A69" s="1"/>
  <c r="A71" s="1"/>
  <c r="A73" s="1"/>
  <c r="A75" s="1"/>
  <c r="A77" s="1"/>
  <c r="A79" s="1"/>
  <c r="A81" s="1"/>
  <c r="A83" s="1"/>
  <c r="A85" s="1"/>
  <c r="A87" s="1"/>
  <c r="A89" s="1"/>
  <c r="C2031" i="6"/>
  <c r="D2029"/>
  <c r="L2025"/>
  <c r="K2025"/>
  <c r="D2021"/>
  <c r="H2020"/>
  <c r="F2020"/>
  <c r="I2020" s="1"/>
  <c r="H2019"/>
  <c r="F2019"/>
  <c r="I2019" s="1"/>
  <c r="D2017"/>
  <c r="H2016"/>
  <c r="F2016"/>
  <c r="I2016" s="1"/>
  <c r="F2017" s="1"/>
  <c r="H2015"/>
  <c r="H2013"/>
  <c r="H2012"/>
  <c r="H2011"/>
  <c r="H2010"/>
  <c r="A2006"/>
  <c r="I2017" l="1"/>
  <c r="F2021"/>
  <c r="I2021" l="1"/>
  <c r="E2028"/>
  <c r="G20" i="39" l="1"/>
  <c r="G18"/>
  <c r="G16"/>
  <c r="B13"/>
  <c r="G13" s="1"/>
  <c r="G11"/>
  <c r="G8"/>
  <c r="G6"/>
  <c r="A6"/>
  <c r="A8" s="1"/>
  <c r="G4"/>
  <c r="G21" l="1"/>
  <c r="A11"/>
  <c r="A13" s="1"/>
  <c r="A16" s="1"/>
  <c r="A18" s="1"/>
  <c r="A20" s="1"/>
  <c r="J1993" i="37"/>
  <c r="J1992"/>
  <c r="J1995" l="1"/>
  <c r="J1996" s="1"/>
  <c r="J1997" s="1"/>
  <c r="J1998" s="1"/>
  <c r="A10" i="38" l="1"/>
  <c r="A11" s="1"/>
  <c r="A12" s="1"/>
  <c r="I2018" i="37"/>
  <c r="J2018" s="1"/>
  <c r="I2017"/>
  <c r="J2017" s="1"/>
  <c r="J2015"/>
  <c r="J2019" s="1"/>
  <c r="I2006"/>
  <c r="J2006" s="1"/>
  <c r="I2005"/>
  <c r="J2005" s="1"/>
  <c r="J2003"/>
  <c r="J2007" s="1"/>
  <c r="J1982"/>
  <c r="J1981"/>
  <c r="J1983" s="1"/>
  <c r="J1972"/>
  <c r="J1971"/>
  <c r="E1963"/>
  <c r="J1962"/>
  <c r="E1943"/>
  <c r="J1940"/>
  <c r="J1941" s="1"/>
  <c r="J1939"/>
  <c r="I1936"/>
  <c r="J1936" s="1"/>
  <c r="I1935"/>
  <c r="J1935" s="1"/>
  <c r="I1934"/>
  <c r="J1934" s="1"/>
  <c r="E1928"/>
  <c r="J1927"/>
  <c r="E1923"/>
  <c r="J1922"/>
  <c r="E1918"/>
  <c r="J1917"/>
  <c r="E1913"/>
  <c r="J1912"/>
  <c r="E1909"/>
  <c r="J1908"/>
  <c r="E1904"/>
  <c r="J1903"/>
  <c r="E1897"/>
  <c r="J1894"/>
  <c r="J1895" s="1"/>
  <c r="I1891"/>
  <c r="J1891" s="1"/>
  <c r="I1890"/>
  <c r="J1890" s="1"/>
  <c r="E1883"/>
  <c r="J1880"/>
  <c r="J1881" s="1"/>
  <c r="I1877"/>
  <c r="J1877" s="1"/>
  <c r="I1876"/>
  <c r="J1876" s="1"/>
  <c r="E1869"/>
  <c r="J1866"/>
  <c r="J1867" s="1"/>
  <c r="I1863"/>
  <c r="J1863" s="1"/>
  <c r="I1862"/>
  <c r="J1862" s="1"/>
  <c r="E1857"/>
  <c r="J1853"/>
  <c r="J1855" s="1"/>
  <c r="I1849"/>
  <c r="J1849" s="1"/>
  <c r="I1848"/>
  <c r="J1848" s="1"/>
  <c r="E1842"/>
  <c r="J1839"/>
  <c r="J1840" s="1"/>
  <c r="I1836"/>
  <c r="J1836" s="1"/>
  <c r="I1835"/>
  <c r="J1835" s="1"/>
  <c r="E1829"/>
  <c r="J1828"/>
  <c r="E1823"/>
  <c r="J1822"/>
  <c r="E1817"/>
  <c r="J1814"/>
  <c r="J1815" s="1"/>
  <c r="I1811"/>
  <c r="J1811" s="1"/>
  <c r="I1810"/>
  <c r="J1810" s="1"/>
  <c r="I1809"/>
  <c r="J1809" s="1"/>
  <c r="E1803"/>
  <c r="J1799"/>
  <c r="J1800" s="1"/>
  <c r="J1801" s="1"/>
  <c r="I1795"/>
  <c r="J1795" s="1"/>
  <c r="I1794"/>
  <c r="J1794" s="1"/>
  <c r="I1793"/>
  <c r="J1793" s="1"/>
  <c r="E1785"/>
  <c r="J1784"/>
  <c r="E1777"/>
  <c r="J1773"/>
  <c r="J1775" s="1"/>
  <c r="I1770"/>
  <c r="J1770" s="1"/>
  <c r="I1769"/>
  <c r="J1769" s="1"/>
  <c r="E1763"/>
  <c r="J1760"/>
  <c r="J1761" s="1"/>
  <c r="I1757"/>
  <c r="J1757" s="1"/>
  <c r="I1756"/>
  <c r="J1756" s="1"/>
  <c r="E1750"/>
  <c r="J1747"/>
  <c r="J1748" s="1"/>
  <c r="I1744"/>
  <c r="J1744" s="1"/>
  <c r="I1743"/>
  <c r="J1743" s="1"/>
  <c r="E1737"/>
  <c r="J1734"/>
  <c r="J1735" s="1"/>
  <c r="I1731"/>
  <c r="J1731" s="1"/>
  <c r="I1730"/>
  <c r="J1730" s="1"/>
  <c r="I1729"/>
  <c r="J1729" s="1"/>
  <c r="E1722"/>
  <c r="J1719"/>
  <c r="J1720" s="1"/>
  <c r="I1715"/>
  <c r="J1715" s="1"/>
  <c r="I1714"/>
  <c r="J1714" s="1"/>
  <c r="I1713"/>
  <c r="J1713" s="1"/>
  <c r="E1707"/>
  <c r="J1704"/>
  <c r="J1705" s="1"/>
  <c r="I1700"/>
  <c r="J1700" s="1"/>
  <c r="I1699"/>
  <c r="J1699" s="1"/>
  <c r="I1698"/>
  <c r="J1698" s="1"/>
  <c r="E1692"/>
  <c r="J1689"/>
  <c r="J1690" s="1"/>
  <c r="I1685"/>
  <c r="J1685" s="1"/>
  <c r="I1684"/>
  <c r="J1684" s="1"/>
  <c r="I1683"/>
  <c r="J1683" s="1"/>
  <c r="E1677"/>
  <c r="J1674"/>
  <c r="J1675" s="1"/>
  <c r="I1670"/>
  <c r="J1670" s="1"/>
  <c r="I1669"/>
  <c r="J1669" s="1"/>
  <c r="I1668"/>
  <c r="J1668" s="1"/>
  <c r="E1662"/>
  <c r="J1658"/>
  <c r="J1659" s="1"/>
  <c r="J1660" s="1"/>
  <c r="I1654"/>
  <c r="J1654" s="1"/>
  <c r="I1653"/>
  <c r="J1653" s="1"/>
  <c r="I1652"/>
  <c r="J1652" s="1"/>
  <c r="E1646"/>
  <c r="J1642"/>
  <c r="J1643" s="1"/>
  <c r="J1644" s="1"/>
  <c r="I1638"/>
  <c r="J1638" s="1"/>
  <c r="I1637"/>
  <c r="J1637" s="1"/>
  <c r="I1636"/>
  <c r="J1636" s="1"/>
  <c r="E1630"/>
  <c r="J1627"/>
  <c r="J1626"/>
  <c r="J1625"/>
  <c r="J1622"/>
  <c r="J1623" s="1"/>
  <c r="J1612"/>
  <c r="J1608"/>
  <c r="J1609" s="1"/>
  <c r="J1610" s="1"/>
  <c r="I1604"/>
  <c r="J1604" s="1"/>
  <c r="I1603"/>
  <c r="J1603" s="1"/>
  <c r="I1602"/>
  <c r="J1602" s="1"/>
  <c r="J1597"/>
  <c r="J1598" s="1"/>
  <c r="E1593"/>
  <c r="J1592"/>
  <c r="E1588"/>
  <c r="J1587"/>
  <c r="E1583"/>
  <c r="J1582"/>
  <c r="E1578"/>
  <c r="J1577"/>
  <c r="E1573"/>
  <c r="J1572"/>
  <c r="E1568"/>
  <c r="J1567"/>
  <c r="E1563"/>
  <c r="J1562"/>
  <c r="E1558"/>
  <c r="J1556"/>
  <c r="J1555"/>
  <c r="E1550"/>
  <c r="J1549"/>
  <c r="E1545"/>
  <c r="J1544"/>
  <c r="E1540"/>
  <c r="J1539"/>
  <c r="E1535"/>
  <c r="J1533"/>
  <c r="J1534" s="1"/>
  <c r="E1529"/>
  <c r="J1527"/>
  <c r="E1523"/>
  <c r="J1520"/>
  <c r="J1519"/>
  <c r="J1518"/>
  <c r="I1515"/>
  <c r="J1515" s="1"/>
  <c r="I1514"/>
  <c r="J1514" s="1"/>
  <c r="I1513"/>
  <c r="J1513" s="1"/>
  <c r="E1507"/>
  <c r="J1504"/>
  <c r="J1503"/>
  <c r="J1502"/>
  <c r="I1499"/>
  <c r="J1499" s="1"/>
  <c r="I1498"/>
  <c r="J1498" s="1"/>
  <c r="I1497"/>
  <c r="J1497" s="1"/>
  <c r="E1491"/>
  <c r="J1488"/>
  <c r="J1487"/>
  <c r="J1486"/>
  <c r="I1483"/>
  <c r="J1483" s="1"/>
  <c r="I1482"/>
  <c r="J1482" s="1"/>
  <c r="I1481"/>
  <c r="J1481" s="1"/>
  <c r="E1475"/>
  <c r="J1472"/>
  <c r="J1471"/>
  <c r="J1470"/>
  <c r="I1467"/>
  <c r="J1467" s="1"/>
  <c r="I1466"/>
  <c r="J1466" s="1"/>
  <c r="I1465"/>
  <c r="J1465" s="1"/>
  <c r="E1460"/>
  <c r="J1457"/>
  <c r="J1456"/>
  <c r="J1455"/>
  <c r="I1452"/>
  <c r="J1452" s="1"/>
  <c r="I1451"/>
  <c r="J1451" s="1"/>
  <c r="I1450"/>
  <c r="J1450" s="1"/>
  <c r="E1444"/>
  <c r="J1441"/>
  <c r="J1440"/>
  <c r="J1439"/>
  <c r="I1436"/>
  <c r="J1436" s="1"/>
  <c r="I1435"/>
  <c r="J1435" s="1"/>
  <c r="I1434"/>
  <c r="J1434" s="1"/>
  <c r="E1428"/>
  <c r="J1425"/>
  <c r="J1424"/>
  <c r="J1423"/>
  <c r="I1420"/>
  <c r="J1420" s="1"/>
  <c r="I1419"/>
  <c r="J1419" s="1"/>
  <c r="I1418"/>
  <c r="J1418" s="1"/>
  <c r="E1412"/>
  <c r="J1409"/>
  <c r="J1408"/>
  <c r="J1407"/>
  <c r="I1404"/>
  <c r="J1404" s="1"/>
  <c r="I1403"/>
  <c r="J1403" s="1"/>
  <c r="I1402"/>
  <c r="J1402" s="1"/>
  <c r="E1396"/>
  <c r="J1393"/>
  <c r="J1392"/>
  <c r="I1389"/>
  <c r="J1389" s="1"/>
  <c r="I1388"/>
  <c r="J1388" s="1"/>
  <c r="I1387"/>
  <c r="J1387" s="1"/>
  <c r="E1380"/>
  <c r="J1377"/>
  <c r="J1376"/>
  <c r="I1375"/>
  <c r="J1375" s="1"/>
  <c r="I1371"/>
  <c r="J1371" s="1"/>
  <c r="I1370"/>
  <c r="J1370" s="1"/>
  <c r="E1364"/>
  <c r="J1361"/>
  <c r="J1360"/>
  <c r="J1359"/>
  <c r="I1355"/>
  <c r="J1355" s="1"/>
  <c r="I1354"/>
  <c r="J1354" s="1"/>
  <c r="E1348"/>
  <c r="J1344"/>
  <c r="J1343"/>
  <c r="J1342"/>
  <c r="J1341"/>
  <c r="J1340"/>
  <c r="I1336"/>
  <c r="J1336" s="1"/>
  <c r="I1335"/>
  <c r="J1335" s="1"/>
  <c r="I1334"/>
  <c r="J1334" s="1"/>
  <c r="I1333"/>
  <c r="J1333" s="1"/>
  <c r="E1327"/>
  <c r="J1323"/>
  <c r="J1322"/>
  <c r="J1321"/>
  <c r="J1320"/>
  <c r="J1319"/>
  <c r="J1315"/>
  <c r="I1314"/>
  <c r="J1314" s="1"/>
  <c r="I1313"/>
  <c r="J1313" s="1"/>
  <c r="I1312"/>
  <c r="J1312" s="1"/>
  <c r="E1306"/>
  <c r="J1305"/>
  <c r="E1301"/>
  <c r="J1300"/>
  <c r="E1296"/>
  <c r="J1295"/>
  <c r="E1291"/>
  <c r="J1290"/>
  <c r="E1286"/>
  <c r="J1285"/>
  <c r="E1281"/>
  <c r="J1280"/>
  <c r="E1276"/>
  <c r="P1275"/>
  <c r="J1275"/>
  <c r="E1271"/>
  <c r="J1270"/>
  <c r="E1266"/>
  <c r="J1265"/>
  <c r="J1260"/>
  <c r="J1261" s="1"/>
  <c r="J1256"/>
  <c r="J1257" s="1"/>
  <c r="J1249"/>
  <c r="J1248"/>
  <c r="J1247"/>
  <c r="J1245"/>
  <c r="E1240"/>
  <c r="J1239"/>
  <c r="J1237"/>
  <c r="E1233"/>
  <c r="J1232"/>
  <c r="E1227"/>
  <c r="J1226"/>
  <c r="E1222"/>
  <c r="J1221"/>
  <c r="E1217"/>
  <c r="J1216"/>
  <c r="E1210"/>
  <c r="J1209"/>
  <c r="E1205"/>
  <c r="J1204"/>
  <c r="E1200"/>
  <c r="J1199"/>
  <c r="E1195"/>
  <c r="J1194"/>
  <c r="E1188"/>
  <c r="J1187"/>
  <c r="E1180"/>
  <c r="J1173"/>
  <c r="G1168"/>
  <c r="F1168"/>
  <c r="G1167"/>
  <c r="F1167"/>
  <c r="F1166"/>
  <c r="H1166" s="1"/>
  <c r="E1158"/>
  <c r="J1151"/>
  <c r="G1146"/>
  <c r="F1146"/>
  <c r="G1145"/>
  <c r="F1145"/>
  <c r="F1144"/>
  <c r="H1144" s="1"/>
  <c r="E1136"/>
  <c r="J1129"/>
  <c r="G1123"/>
  <c r="F1123"/>
  <c r="G1122"/>
  <c r="F1122"/>
  <c r="F1121"/>
  <c r="H1121" s="1"/>
  <c r="E1113"/>
  <c r="J1106"/>
  <c r="G1100"/>
  <c r="F1100"/>
  <c r="G1099"/>
  <c r="F1099"/>
  <c r="F1098"/>
  <c r="H1098" s="1"/>
  <c r="E1090"/>
  <c r="J1083"/>
  <c r="J1082"/>
  <c r="E1081"/>
  <c r="J1081" s="1"/>
  <c r="J1080"/>
  <c r="J1079"/>
  <c r="J1078"/>
  <c r="J1077"/>
  <c r="J1075"/>
  <c r="J1074"/>
  <c r="J1073"/>
  <c r="I1068"/>
  <c r="I1067"/>
  <c r="I1066"/>
  <c r="H1065"/>
  <c r="G1065"/>
  <c r="H1064"/>
  <c r="G1064"/>
  <c r="H1063"/>
  <c r="G1063"/>
  <c r="H1062"/>
  <c r="G1062"/>
  <c r="E1054"/>
  <c r="J1047"/>
  <c r="J1046"/>
  <c r="E1045"/>
  <c r="J1045" s="1"/>
  <c r="J1044"/>
  <c r="J1043"/>
  <c r="J1042"/>
  <c r="J1041"/>
  <c r="J1039"/>
  <c r="J1038"/>
  <c r="J1037"/>
  <c r="I1032"/>
  <c r="I1031"/>
  <c r="I1030"/>
  <c r="H1029"/>
  <c r="G1029"/>
  <c r="H1028"/>
  <c r="G1028"/>
  <c r="H1027"/>
  <c r="G1027"/>
  <c r="H1026"/>
  <c r="G1026"/>
  <c r="E1018"/>
  <c r="J1011"/>
  <c r="J1010"/>
  <c r="J1009"/>
  <c r="J1008"/>
  <c r="J1007"/>
  <c r="J1006"/>
  <c r="J1005"/>
  <c r="J1003"/>
  <c r="J1002"/>
  <c r="J1001"/>
  <c r="J1000"/>
  <c r="I995"/>
  <c r="I994"/>
  <c r="I993"/>
  <c r="H992"/>
  <c r="G992"/>
  <c r="H991"/>
  <c r="G991"/>
  <c r="H990"/>
  <c r="G990"/>
  <c r="H989"/>
  <c r="G989"/>
  <c r="E981"/>
  <c r="J974"/>
  <c r="J973"/>
  <c r="J972"/>
  <c r="J971"/>
  <c r="J970"/>
  <c r="J969"/>
  <c r="J968"/>
  <c r="J966"/>
  <c r="J965"/>
  <c r="J964"/>
  <c r="J963"/>
  <c r="I958"/>
  <c r="I957"/>
  <c r="I956"/>
  <c r="H955"/>
  <c r="G955"/>
  <c r="H954"/>
  <c r="G954"/>
  <c r="H953"/>
  <c r="G953"/>
  <c r="H952"/>
  <c r="G952"/>
  <c r="E944"/>
  <c r="J941"/>
  <c r="J939"/>
  <c r="J938"/>
  <c r="J937"/>
  <c r="J936"/>
  <c r="I932"/>
  <c r="J932" s="1"/>
  <c r="I931"/>
  <c r="J931" s="1"/>
  <c r="E924"/>
  <c r="J921"/>
  <c r="J920"/>
  <c r="I917"/>
  <c r="J917" s="1"/>
  <c r="I916"/>
  <c r="J916" s="1"/>
  <c r="E908"/>
  <c r="J906"/>
  <c r="J907" s="1"/>
  <c r="E901"/>
  <c r="J898"/>
  <c r="I896"/>
  <c r="J896" s="1"/>
  <c r="I894"/>
  <c r="J894" s="1"/>
  <c r="I893"/>
  <c r="J893" s="1"/>
  <c r="I892"/>
  <c r="J892" s="1"/>
  <c r="E886"/>
  <c r="J883"/>
  <c r="J884" s="1"/>
  <c r="E878"/>
  <c r="J875"/>
  <c r="J876" s="1"/>
  <c r="E871"/>
  <c r="J869"/>
  <c r="J867"/>
  <c r="I864"/>
  <c r="J864" s="1"/>
  <c r="J865" s="1"/>
  <c r="E858"/>
  <c r="J855"/>
  <c r="J856" s="1"/>
  <c r="I852"/>
  <c r="J852" s="1"/>
  <c r="I851"/>
  <c r="J851" s="1"/>
  <c r="E845"/>
  <c r="J842"/>
  <c r="J843" s="1"/>
  <c r="I839"/>
  <c r="J839" s="1"/>
  <c r="J840" s="1"/>
  <c r="E833"/>
  <c r="J832"/>
  <c r="E828"/>
  <c r="J827"/>
  <c r="E822"/>
  <c r="J818"/>
  <c r="J817"/>
  <c r="I814"/>
  <c r="J814" s="1"/>
  <c r="I813"/>
  <c r="J813" s="1"/>
  <c r="E807"/>
  <c r="J803"/>
  <c r="J802"/>
  <c r="I799"/>
  <c r="J799" s="1"/>
  <c r="I798"/>
  <c r="J798" s="1"/>
  <c r="E791"/>
  <c r="J788"/>
  <c r="J787"/>
  <c r="J786"/>
  <c r="I783"/>
  <c r="J783" s="1"/>
  <c r="I782"/>
  <c r="J782" s="1"/>
  <c r="E775"/>
  <c r="J772"/>
  <c r="J769"/>
  <c r="I766"/>
  <c r="J766" s="1"/>
  <c r="I765"/>
  <c r="J765" s="1"/>
  <c r="E759"/>
  <c r="J756"/>
  <c r="J755"/>
  <c r="I749"/>
  <c r="J749" s="1"/>
  <c r="I748"/>
  <c r="J748" s="1"/>
  <c r="I747"/>
  <c r="J747" s="1"/>
  <c r="E740"/>
  <c r="J737"/>
  <c r="J736"/>
  <c r="I735"/>
  <c r="J735" s="1"/>
  <c r="I734"/>
  <c r="I753" s="1"/>
  <c r="J753" s="1"/>
  <c r="I730"/>
  <c r="J730" s="1"/>
  <c r="I729"/>
  <c r="J729" s="1"/>
  <c r="I728"/>
  <c r="J728" s="1"/>
  <c r="E721"/>
  <c r="J718"/>
  <c r="I716"/>
  <c r="I733" s="1"/>
  <c r="I713"/>
  <c r="J713" s="1"/>
  <c r="I712"/>
  <c r="J712" s="1"/>
  <c r="E705"/>
  <c r="J702"/>
  <c r="J700"/>
  <c r="J699"/>
  <c r="J698"/>
  <c r="J697"/>
  <c r="I693"/>
  <c r="J693" s="1"/>
  <c r="I692"/>
  <c r="J692" s="1"/>
  <c r="E685"/>
  <c r="J680"/>
  <c r="I675"/>
  <c r="J675" s="1"/>
  <c r="J676" s="1"/>
  <c r="J677" s="1"/>
  <c r="E669"/>
  <c r="J664"/>
  <c r="J666" s="1"/>
  <c r="J667" s="1"/>
  <c r="I660"/>
  <c r="J660" s="1"/>
  <c r="I659"/>
  <c r="J659" s="1"/>
  <c r="E653"/>
  <c r="J648"/>
  <c r="J650" s="1"/>
  <c r="J651" s="1"/>
  <c r="I644"/>
  <c r="J644" s="1"/>
  <c r="I643"/>
  <c r="J643" s="1"/>
  <c r="E637"/>
  <c r="I632"/>
  <c r="I679" s="1"/>
  <c r="J679" s="1"/>
  <c r="I628"/>
  <c r="J628" s="1"/>
  <c r="I627"/>
  <c r="J627" s="1"/>
  <c r="E621"/>
  <c r="J616"/>
  <c r="J618" s="1"/>
  <c r="J619" s="1"/>
  <c r="I612"/>
  <c r="J612" s="1"/>
  <c r="I611"/>
  <c r="J611" s="1"/>
  <c r="E605"/>
  <c r="J604"/>
  <c r="E599"/>
  <c r="J598"/>
  <c r="E593"/>
  <c r="J592"/>
  <c r="E587"/>
  <c r="J586"/>
  <c r="E581"/>
  <c r="J574"/>
  <c r="G569"/>
  <c r="F569"/>
  <c r="G568"/>
  <c r="F568"/>
  <c r="F567"/>
  <c r="H567" s="1"/>
  <c r="E559"/>
  <c r="J554"/>
  <c r="G549"/>
  <c r="F549"/>
  <c r="G548"/>
  <c r="F548"/>
  <c r="F547"/>
  <c r="H547" s="1"/>
  <c r="E539"/>
  <c r="J534"/>
  <c r="G528"/>
  <c r="F528"/>
  <c r="G527"/>
  <c r="F527"/>
  <c r="F526"/>
  <c r="H526" s="1"/>
  <c r="E518"/>
  <c r="J513"/>
  <c r="G507"/>
  <c r="F507"/>
  <c r="G506"/>
  <c r="F506"/>
  <c r="F505"/>
  <c r="H505" s="1"/>
  <c r="J499"/>
  <c r="E495"/>
  <c r="J492"/>
  <c r="I490"/>
  <c r="J490" s="1"/>
  <c r="J489"/>
  <c r="I486"/>
  <c r="J486" s="1"/>
  <c r="I485"/>
  <c r="J485" s="1"/>
  <c r="I484"/>
  <c r="J484" s="1"/>
  <c r="E477"/>
  <c r="J474"/>
  <c r="J472"/>
  <c r="J471"/>
  <c r="I468"/>
  <c r="J468" s="1"/>
  <c r="I467"/>
  <c r="J467" s="1"/>
  <c r="I466"/>
  <c r="J466" s="1"/>
  <c r="E459"/>
  <c r="J453"/>
  <c r="I452"/>
  <c r="J452" s="1"/>
  <c r="I449"/>
  <c r="J449" s="1"/>
  <c r="I448"/>
  <c r="J448" s="1"/>
  <c r="I447"/>
  <c r="J447" s="1"/>
  <c r="I446"/>
  <c r="J446" s="1"/>
  <c r="E439"/>
  <c r="I436"/>
  <c r="J436" s="1"/>
  <c r="I435"/>
  <c r="J435" s="1"/>
  <c r="I434"/>
  <c r="J434" s="1"/>
  <c r="I433"/>
  <c r="J433" s="1"/>
  <c r="I429"/>
  <c r="I454" s="1"/>
  <c r="J454" s="1"/>
  <c r="J428"/>
  <c r="J427"/>
  <c r="E420"/>
  <c r="I417"/>
  <c r="I430" s="1"/>
  <c r="J416"/>
  <c r="J415"/>
  <c r="J414"/>
  <c r="I411"/>
  <c r="J411" s="1"/>
  <c r="I410"/>
  <c r="J410" s="1"/>
  <c r="I409"/>
  <c r="J409" s="1"/>
  <c r="E402"/>
  <c r="J399"/>
  <c r="J398"/>
  <c r="J397"/>
  <c r="I394"/>
  <c r="J394" s="1"/>
  <c r="I393"/>
  <c r="J393" s="1"/>
  <c r="I392"/>
  <c r="J392" s="1"/>
  <c r="E385"/>
  <c r="J381"/>
  <c r="J382" s="1"/>
  <c r="J383" s="1"/>
  <c r="I377"/>
  <c r="J377" s="1"/>
  <c r="I376"/>
  <c r="J376" s="1"/>
  <c r="I375"/>
  <c r="J375" s="1"/>
  <c r="E369"/>
  <c r="J365"/>
  <c r="J366" s="1"/>
  <c r="J367" s="1"/>
  <c r="I361"/>
  <c r="J361" s="1"/>
  <c r="I360"/>
  <c r="J360" s="1"/>
  <c r="I359"/>
  <c r="J359" s="1"/>
  <c r="E353"/>
  <c r="J349"/>
  <c r="J350" s="1"/>
  <c r="J351" s="1"/>
  <c r="I345"/>
  <c r="J345" s="1"/>
  <c r="I344"/>
  <c r="J344" s="1"/>
  <c r="I343"/>
  <c r="J343" s="1"/>
  <c r="E337"/>
  <c r="J333"/>
  <c r="J334" s="1"/>
  <c r="J335" s="1"/>
  <c r="I329"/>
  <c r="J329" s="1"/>
  <c r="I328"/>
  <c r="J328" s="1"/>
  <c r="I327"/>
  <c r="J327" s="1"/>
  <c r="E321"/>
  <c r="J317"/>
  <c r="J318" s="1"/>
  <c r="J319" s="1"/>
  <c r="I313"/>
  <c r="J313" s="1"/>
  <c r="I312"/>
  <c r="J312" s="1"/>
  <c r="I311"/>
  <c r="J311" s="1"/>
  <c r="E305"/>
  <c r="I301"/>
  <c r="J301" s="1"/>
  <c r="J302" s="1"/>
  <c r="J303" s="1"/>
  <c r="I297"/>
  <c r="J297" s="1"/>
  <c r="I296"/>
  <c r="J296" s="1"/>
  <c r="I295"/>
  <c r="J295" s="1"/>
  <c r="E289"/>
  <c r="J285"/>
  <c r="J286" s="1"/>
  <c r="J287" s="1"/>
  <c r="I281"/>
  <c r="J281" s="1"/>
  <c r="I280"/>
  <c r="J280" s="1"/>
  <c r="I279"/>
  <c r="J279" s="1"/>
  <c r="E272"/>
  <c r="I269"/>
  <c r="J269" s="1"/>
  <c r="I268"/>
  <c r="J268" s="1"/>
  <c r="J265"/>
  <c r="J264"/>
  <c r="E253"/>
  <c r="I250"/>
  <c r="J250" s="1"/>
  <c r="I249"/>
  <c r="J249" s="1"/>
  <c r="J246"/>
  <c r="J245"/>
  <c r="I244"/>
  <c r="I263" s="1"/>
  <c r="J263" s="1"/>
  <c r="I243"/>
  <c r="I262" s="1"/>
  <c r="J262" s="1"/>
  <c r="E235"/>
  <c r="J232"/>
  <c r="J231"/>
  <c r="J230"/>
  <c r="J229"/>
  <c r="I226"/>
  <c r="J226" s="1"/>
  <c r="I225"/>
  <c r="J225" s="1"/>
  <c r="I224"/>
  <c r="J224" s="1"/>
  <c r="J212"/>
  <c r="J211"/>
  <c r="I208"/>
  <c r="J208" s="1"/>
  <c r="I207"/>
  <c r="J207" s="1"/>
  <c r="J195"/>
  <c r="J194"/>
  <c r="I191"/>
  <c r="J191" s="1"/>
  <c r="I190"/>
  <c r="J190" s="1"/>
  <c r="E182"/>
  <c r="I179"/>
  <c r="J179" s="1"/>
  <c r="J177"/>
  <c r="J176"/>
  <c r="I173"/>
  <c r="J173" s="1"/>
  <c r="I172"/>
  <c r="J172" s="1"/>
  <c r="E165"/>
  <c r="J162"/>
  <c r="I161"/>
  <c r="I178" s="1"/>
  <c r="I160"/>
  <c r="J160" s="1"/>
  <c r="I159"/>
  <c r="J159" s="1"/>
  <c r="I156"/>
  <c r="J156" s="1"/>
  <c r="I155"/>
  <c r="J155" s="1"/>
  <c r="E141"/>
  <c r="I137"/>
  <c r="J137" s="1"/>
  <c r="I136"/>
  <c r="J136" s="1"/>
  <c r="I135"/>
  <c r="J135" s="1"/>
  <c r="J134"/>
  <c r="I133"/>
  <c r="J133" s="1"/>
  <c r="J132"/>
  <c r="I131"/>
  <c r="J131" s="1"/>
  <c r="I127"/>
  <c r="J127" s="1"/>
  <c r="I126"/>
  <c r="J126" s="1"/>
  <c r="I125"/>
  <c r="J125" s="1"/>
  <c r="E111"/>
  <c r="J107"/>
  <c r="J106"/>
  <c r="J105"/>
  <c r="J104"/>
  <c r="J103"/>
  <c r="I99"/>
  <c r="J99" s="1"/>
  <c r="I98"/>
  <c r="J98" s="1"/>
  <c r="I97"/>
  <c r="J97" s="1"/>
  <c r="J86"/>
  <c r="D86"/>
  <c r="J85"/>
  <c r="I81"/>
  <c r="J81" s="1"/>
  <c r="I80"/>
  <c r="J80" s="1"/>
  <c r="E74"/>
  <c r="I70"/>
  <c r="J70" s="1"/>
  <c r="I69"/>
  <c r="J69" s="1"/>
  <c r="J68"/>
  <c r="J67"/>
  <c r="J66"/>
  <c r="J65"/>
  <c r="J64"/>
  <c r="I60"/>
  <c r="J60" s="1"/>
  <c r="I59"/>
  <c r="J59" s="1"/>
  <c r="I58"/>
  <c r="J58" s="1"/>
  <c r="I57"/>
  <c r="J57" s="1"/>
  <c r="E51"/>
  <c r="J47"/>
  <c r="J46"/>
  <c r="J45"/>
  <c r="J44"/>
  <c r="J43"/>
  <c r="I39"/>
  <c r="J39" s="1"/>
  <c r="I38"/>
  <c r="J38" s="1"/>
  <c r="I37"/>
  <c r="J37" s="1"/>
  <c r="I36"/>
  <c r="J36" s="1"/>
  <c r="E30"/>
  <c r="J26"/>
  <c r="J25"/>
  <c r="J24"/>
  <c r="I20"/>
  <c r="J20" s="1"/>
  <c r="I19"/>
  <c r="J19" s="1"/>
  <c r="I18"/>
  <c r="J18" s="1"/>
  <c r="A13"/>
  <c r="J82" l="1"/>
  <c r="H506"/>
  <c r="H1122"/>
  <c r="J1200"/>
  <c r="J1233"/>
  <c r="J1296"/>
  <c r="J805"/>
  <c r="J828"/>
  <c r="H528"/>
  <c r="H568"/>
  <c r="J593"/>
  <c r="J605"/>
  <c r="J606" s="1"/>
  <c r="J607" s="1"/>
  <c r="J868"/>
  <c r="J870" s="1"/>
  <c r="J1974"/>
  <c r="J1975" s="1"/>
  <c r="J1976" s="1"/>
  <c r="J1977" s="1"/>
  <c r="J1963"/>
  <c r="J1964" s="1"/>
  <c r="J1965" s="1"/>
  <c r="J475"/>
  <c r="I1064"/>
  <c r="J1378"/>
  <c r="J1489"/>
  <c r="H569"/>
  <c r="H570" s="1"/>
  <c r="H571" s="1"/>
  <c r="J773"/>
  <c r="J820"/>
  <c r="J922"/>
  <c r="I990"/>
  <c r="I992"/>
  <c r="J1266"/>
  <c r="J1578"/>
  <c r="J1579" s="1"/>
  <c r="J1580" s="1"/>
  <c r="J1588"/>
  <c r="J1589" s="1"/>
  <c r="J1590" s="1"/>
  <c r="J27"/>
  <c r="J28" s="1"/>
  <c r="J400"/>
  <c r="I955"/>
  <c r="H1168"/>
  <c r="J1306"/>
  <c r="J1307" s="1"/>
  <c r="J1308" s="1"/>
  <c r="J362"/>
  <c r="J363" s="1"/>
  <c r="J368" s="1"/>
  <c r="I954"/>
  <c r="H1123"/>
  <c r="H1124" s="1"/>
  <c r="J1205"/>
  <c r="J1206" s="1"/>
  <c r="J1207" s="1"/>
  <c r="J1301"/>
  <c r="J192"/>
  <c r="H1146"/>
  <c r="J1913"/>
  <c r="J1914" s="1"/>
  <c r="J1915" s="1"/>
  <c r="I1062"/>
  <c r="J1904"/>
  <c r="J1905" s="1"/>
  <c r="J1906" s="1"/>
  <c r="J682"/>
  <c r="J683" s="1"/>
  <c r="J684" s="1"/>
  <c r="J1362"/>
  <c r="J1276"/>
  <c r="J1923"/>
  <c r="J1924" s="1"/>
  <c r="J1925" s="1"/>
  <c r="I991"/>
  <c r="J1613"/>
  <c r="J1324"/>
  <c r="J1325" s="1"/>
  <c r="J233"/>
  <c r="J1837"/>
  <c r="J1841" s="1"/>
  <c r="J1842" s="1"/>
  <c r="J1843" s="1"/>
  <c r="J1844" s="1"/>
  <c r="J1909"/>
  <c r="J1910" s="1"/>
  <c r="J1911" s="1"/>
  <c r="A14" i="38"/>
  <c r="A16" s="1"/>
  <c r="A17" s="1"/>
  <c r="I953" i="37"/>
  <c r="I1028"/>
  <c r="J1878"/>
  <c r="J1882" s="1"/>
  <c r="J1937"/>
  <c r="I952"/>
  <c r="I1027"/>
  <c r="I989"/>
  <c r="I1063"/>
  <c r="J1458"/>
  <c r="J1540"/>
  <c r="J1541" s="1"/>
  <c r="J1542" s="1"/>
  <c r="J87"/>
  <c r="J89" s="1"/>
  <c r="I1026"/>
  <c r="H1145"/>
  <c r="J1796"/>
  <c r="J1797" s="1"/>
  <c r="J1802" s="1"/>
  <c r="J1803" s="1"/>
  <c r="J1804" s="1"/>
  <c r="J1805" s="1"/>
  <c r="J1785"/>
  <c r="J1786" s="1"/>
  <c r="J1787" s="1"/>
  <c r="J1850"/>
  <c r="J1856" s="1"/>
  <c r="H507"/>
  <c r="H508" s="1"/>
  <c r="H548"/>
  <c r="J714"/>
  <c r="I1065"/>
  <c r="J815"/>
  <c r="J821" s="1"/>
  <c r="J822" s="1"/>
  <c r="J823" s="1"/>
  <c r="J824" s="1"/>
  <c r="J853"/>
  <c r="J857" s="1"/>
  <c r="J858" s="1"/>
  <c r="J859" s="1"/>
  <c r="J860" s="1"/>
  <c r="F77" i="34" s="1"/>
  <c r="G77" s="1"/>
  <c r="J48" i="37"/>
  <c r="J49" s="1"/>
  <c r="J833"/>
  <c r="J834" s="1"/>
  <c r="J835" s="1"/>
  <c r="J1985"/>
  <c r="J1986" s="1"/>
  <c r="J1987" s="1"/>
  <c r="J1988" s="1"/>
  <c r="F81" i="34" s="1"/>
  <c r="G81" s="1"/>
  <c r="J71" i="37"/>
  <c r="J72" s="1"/>
  <c r="J157"/>
  <c r="J701"/>
  <c r="J703" s="1"/>
  <c r="J731"/>
  <c r="J1345"/>
  <c r="J1346" s="1"/>
  <c r="J1372"/>
  <c r="J1373" s="1"/>
  <c r="J1379" s="1"/>
  <c r="J1380" s="1"/>
  <c r="J1381" s="1"/>
  <c r="J1382" s="1"/>
  <c r="J1405"/>
  <c r="J1484"/>
  <c r="J1490" s="1"/>
  <c r="J1716"/>
  <c r="J1717" s="1"/>
  <c r="J1721" s="1"/>
  <c r="J1722" s="1"/>
  <c r="J1723" s="1"/>
  <c r="J1724" s="1"/>
  <c r="H527"/>
  <c r="H529" s="1"/>
  <c r="J599"/>
  <c r="I1029"/>
  <c r="J1426"/>
  <c r="J1505"/>
  <c r="J2020"/>
  <c r="J2021" s="1"/>
  <c r="J2022" s="1"/>
  <c r="J2023" s="1"/>
  <c r="F83" i="34" s="1"/>
  <c r="G83" s="1"/>
  <c r="J227" i="37"/>
  <c r="J234" s="1"/>
  <c r="J716"/>
  <c r="J719" s="1"/>
  <c r="J789"/>
  <c r="J940"/>
  <c r="J942" s="1"/>
  <c r="H1100"/>
  <c r="J1250"/>
  <c r="J1251" s="1"/>
  <c r="J1252" s="1"/>
  <c r="J1253" s="1"/>
  <c r="J1394"/>
  <c r="J1671"/>
  <c r="J1672" s="1"/>
  <c r="J493"/>
  <c r="H549"/>
  <c r="J1210"/>
  <c r="J1211" s="1"/>
  <c r="J1212" s="1"/>
  <c r="J1473"/>
  <c r="J1812"/>
  <c r="J1816" s="1"/>
  <c r="J1817" s="1"/>
  <c r="J1818" s="1"/>
  <c r="J1819" s="1"/>
  <c r="H1099"/>
  <c r="H1167"/>
  <c r="J1557"/>
  <c r="J1558" s="1"/>
  <c r="J1559" s="1"/>
  <c r="J1560" s="1"/>
  <c r="J1628"/>
  <c r="J1629" s="1"/>
  <c r="J1630" s="1"/>
  <c r="J1631" s="1"/>
  <c r="J1632" s="1"/>
  <c r="J1771"/>
  <c r="J1776" s="1"/>
  <c r="J1777" s="1"/>
  <c r="J1778" s="1"/>
  <c r="J1779" s="1"/>
  <c r="J895"/>
  <c r="J1356"/>
  <c r="J1357" s="1"/>
  <c r="J1390"/>
  <c r="J1442"/>
  <c r="J1928"/>
  <c r="J1929" s="1"/>
  <c r="J1930" s="1"/>
  <c r="J108"/>
  <c r="J109" s="1"/>
  <c r="J1271"/>
  <c r="J1272" s="1"/>
  <c r="J1273" s="1"/>
  <c r="J1521"/>
  <c r="J1823"/>
  <c r="J1824" s="1"/>
  <c r="J1825" s="1"/>
  <c r="J1410"/>
  <c r="J1545"/>
  <c r="J587"/>
  <c r="J588" s="1"/>
  <c r="J589" s="1"/>
  <c r="J1240"/>
  <c r="J1241" s="1"/>
  <c r="J1242" s="1"/>
  <c r="J1918"/>
  <c r="J1919" s="1"/>
  <c r="J1920" s="1"/>
  <c r="J1550"/>
  <c r="J1195"/>
  <c r="J1227"/>
  <c r="J1228" s="1"/>
  <c r="J1229" s="1"/>
  <c r="J1291"/>
  <c r="J1292" s="1"/>
  <c r="J1293" s="1"/>
  <c r="J1188"/>
  <c r="J1189" s="1"/>
  <c r="J1190" s="1"/>
  <c r="J1222"/>
  <c r="J1223" s="1"/>
  <c r="J1224" s="1"/>
  <c r="J1286"/>
  <c r="J1287" s="1"/>
  <c r="J1288" s="1"/>
  <c r="J1568"/>
  <c r="J1569" s="1"/>
  <c r="J1570" s="1"/>
  <c r="J1217"/>
  <c r="J1218" s="1"/>
  <c r="J1219" s="1"/>
  <c r="J1281"/>
  <c r="J1282" s="1"/>
  <c r="J1283" s="1"/>
  <c r="J1829"/>
  <c r="J1830" s="1"/>
  <c r="J1831" s="1"/>
  <c r="I752"/>
  <c r="J752" s="1"/>
  <c r="J733"/>
  <c r="J61"/>
  <c r="J62" s="1"/>
  <c r="J330"/>
  <c r="J331" s="1"/>
  <c r="J336" s="1"/>
  <c r="J174"/>
  <c r="J629"/>
  <c r="J630" s="1"/>
  <c r="J784"/>
  <c r="J933"/>
  <c r="J1421"/>
  <c r="J1500"/>
  <c r="J1701"/>
  <c r="J1702" s="1"/>
  <c r="J1706" s="1"/>
  <c r="J1892"/>
  <c r="J1896" s="1"/>
  <c r="J1942"/>
  <c r="J1857"/>
  <c r="J1858" s="1"/>
  <c r="J1859" s="1"/>
  <c r="J369"/>
  <c r="J370" s="1"/>
  <c r="J371" s="1"/>
  <c r="J430"/>
  <c r="I455"/>
  <c r="J209"/>
  <c r="J282"/>
  <c r="J283" s="1"/>
  <c r="J288" s="1"/>
  <c r="J487"/>
  <c r="J1468"/>
  <c r="J1732"/>
  <c r="J1736" s="1"/>
  <c r="J450"/>
  <c r="J661"/>
  <c r="J662" s="1"/>
  <c r="J668" s="1"/>
  <c r="J100"/>
  <c r="J101" s="1"/>
  <c r="J138"/>
  <c r="J139" s="1"/>
  <c r="J767"/>
  <c r="J918"/>
  <c r="J1437"/>
  <c r="J1516"/>
  <c r="J1686"/>
  <c r="J1687" s="1"/>
  <c r="J1691" s="1"/>
  <c r="J1758"/>
  <c r="J1762" s="1"/>
  <c r="J178"/>
  <c r="J180" s="1"/>
  <c r="I196"/>
  <c r="J395"/>
  <c r="J401" s="1"/>
  <c r="J1655"/>
  <c r="J1656" s="1"/>
  <c r="J1661" s="1"/>
  <c r="J21"/>
  <c r="J22" s="1"/>
  <c r="J314"/>
  <c r="J315" s="1"/>
  <c r="J320" s="1"/>
  <c r="J613"/>
  <c r="J614" s="1"/>
  <c r="J620" s="1"/>
  <c r="J844"/>
  <c r="J346"/>
  <c r="J347" s="1"/>
  <c r="J352" s="1"/>
  <c r="J800"/>
  <c r="J806" s="1"/>
  <c r="J1605"/>
  <c r="J1606" s="1"/>
  <c r="J908"/>
  <c r="J909" s="1"/>
  <c r="J910" s="1"/>
  <c r="J128"/>
  <c r="J129" s="1"/>
  <c r="J378"/>
  <c r="J379" s="1"/>
  <c r="J384" s="1"/>
  <c r="J412"/>
  <c r="J645"/>
  <c r="J646" s="1"/>
  <c r="J652" s="1"/>
  <c r="J1639"/>
  <c r="J1640" s="1"/>
  <c r="J1645" s="1"/>
  <c r="J40"/>
  <c r="J41" s="1"/>
  <c r="J298"/>
  <c r="J299" s="1"/>
  <c r="J304" s="1"/>
  <c r="J437"/>
  <c r="J469"/>
  <c r="J694"/>
  <c r="J704" s="1"/>
  <c r="J1316"/>
  <c r="J1317" s="1"/>
  <c r="J1326" s="1"/>
  <c r="J1453"/>
  <c r="J1745"/>
  <c r="J1749" s="1"/>
  <c r="J1864"/>
  <c r="J1868" s="1"/>
  <c r="J2008"/>
  <c r="J2009" s="1"/>
  <c r="J2010" s="1"/>
  <c r="J2011" s="1"/>
  <c r="J1676"/>
  <c r="J750"/>
  <c r="J1337"/>
  <c r="J1338" s="1"/>
  <c r="J1347" s="1"/>
  <c r="J244"/>
  <c r="J417"/>
  <c r="J418" s="1"/>
  <c r="J734"/>
  <c r="J1563"/>
  <c r="J1564" s="1"/>
  <c r="J1565" s="1"/>
  <c r="J1573"/>
  <c r="J1574" s="1"/>
  <c r="J1575" s="1"/>
  <c r="J1583"/>
  <c r="J1584" s="1"/>
  <c r="J1585" s="1"/>
  <c r="J1593"/>
  <c r="J1594" s="1"/>
  <c r="J1595" s="1"/>
  <c r="J429"/>
  <c r="J632"/>
  <c r="J634" s="1"/>
  <c r="J635" s="1"/>
  <c r="I754"/>
  <c r="J754" s="1"/>
  <c r="J1551"/>
  <c r="J1552" s="1"/>
  <c r="J161"/>
  <c r="J163" s="1"/>
  <c r="I197"/>
  <c r="J243"/>
  <c r="J594"/>
  <c r="J595" s="1"/>
  <c r="J829"/>
  <c r="J830" s="1"/>
  <c r="J1201"/>
  <c r="J1202" s="1"/>
  <c r="J1234"/>
  <c r="J1235" s="1"/>
  <c r="J1297"/>
  <c r="J1298" s="1"/>
  <c r="J877"/>
  <c r="J1528"/>
  <c r="J1529" s="1"/>
  <c r="J1546"/>
  <c r="J1547" s="1"/>
  <c r="J600"/>
  <c r="J601" s="1"/>
  <c r="J885"/>
  <c r="J1196"/>
  <c r="J1197" s="1"/>
  <c r="J1535"/>
  <c r="J1536" s="1"/>
  <c r="J1537" s="1"/>
  <c r="A16"/>
  <c r="A34" s="1"/>
  <c r="J1267"/>
  <c r="J1268" s="1"/>
  <c r="J1302"/>
  <c r="J1303" s="1"/>
  <c r="J1277"/>
  <c r="J1278" s="1"/>
  <c r="J871" l="1"/>
  <c r="J872" s="1"/>
  <c r="J873" s="1"/>
  <c r="F79" i="34" s="1"/>
  <c r="G79" s="1"/>
  <c r="J774" i="37"/>
  <c r="I996"/>
  <c r="J1614"/>
  <c r="J1615" s="1"/>
  <c r="J1616" s="1"/>
  <c r="J1617" s="1"/>
  <c r="J1363"/>
  <c r="J164"/>
  <c r="J50"/>
  <c r="J720"/>
  <c r="J721" s="1"/>
  <c r="J722" s="1"/>
  <c r="J723" s="1"/>
  <c r="F71" i="34" s="1"/>
  <c r="G71" s="1"/>
  <c r="H550" i="37"/>
  <c r="J476"/>
  <c r="J477" s="1"/>
  <c r="J478" s="1"/>
  <c r="J479" s="1"/>
  <c r="H1169"/>
  <c r="H1147"/>
  <c r="H1148" s="1"/>
  <c r="H1149" s="1"/>
  <c r="E1150" s="1"/>
  <c r="J1150" s="1"/>
  <c r="J1152" s="1"/>
  <c r="J1154" s="1"/>
  <c r="J1427"/>
  <c r="J1428" s="1"/>
  <c r="J1429" s="1"/>
  <c r="J1430" s="1"/>
  <c r="J494"/>
  <c r="J1506"/>
  <c r="I1033"/>
  <c r="I1034" s="1"/>
  <c r="I1035" s="1"/>
  <c r="E1036" s="1"/>
  <c r="J1036" s="1"/>
  <c r="J1048" s="1"/>
  <c r="I959"/>
  <c r="I960" s="1"/>
  <c r="I961" s="1"/>
  <c r="E962" s="1"/>
  <c r="J962" s="1"/>
  <c r="J975" s="1"/>
  <c r="J1459"/>
  <c r="J1443"/>
  <c r="J923"/>
  <c r="J924" s="1"/>
  <c r="J925" s="1"/>
  <c r="J926" s="1"/>
  <c r="H1101"/>
  <c r="H1102" s="1"/>
  <c r="H1103" s="1"/>
  <c r="E1104" s="1"/>
  <c r="J1104" s="1"/>
  <c r="J1107" s="1"/>
  <c r="J1110" s="1"/>
  <c r="J790"/>
  <c r="J791" s="1"/>
  <c r="J792" s="1"/>
  <c r="J793" s="1"/>
  <c r="J29"/>
  <c r="J30" s="1"/>
  <c r="J31" s="1"/>
  <c r="J32" s="1"/>
  <c r="J943"/>
  <c r="J944" s="1"/>
  <c r="J945" s="1"/>
  <c r="J946" s="1"/>
  <c r="J88"/>
  <c r="J90" s="1"/>
  <c r="J91" s="1"/>
  <c r="J1522"/>
  <c r="J1395"/>
  <c r="J1396" s="1"/>
  <c r="J1397" s="1"/>
  <c r="J1398" s="1"/>
  <c r="H572"/>
  <c r="E573" s="1"/>
  <c r="J573" s="1"/>
  <c r="J575" s="1"/>
  <c r="J576" s="1"/>
  <c r="I1069"/>
  <c r="I1070" s="1"/>
  <c r="I1071" s="1"/>
  <c r="E1072" s="1"/>
  <c r="J1072" s="1"/>
  <c r="J1084" s="1"/>
  <c r="J1088" s="1"/>
  <c r="J73"/>
  <c r="J74" s="1"/>
  <c r="J75" s="1"/>
  <c r="J76" s="1"/>
  <c r="J431"/>
  <c r="J438" s="1"/>
  <c r="J439" s="1"/>
  <c r="J440" s="1"/>
  <c r="J441" s="1"/>
  <c r="J1474"/>
  <c r="J1475" s="1"/>
  <c r="J1476" s="1"/>
  <c r="J1477" s="1"/>
  <c r="J140"/>
  <c r="J141" s="1"/>
  <c r="J142" s="1"/>
  <c r="J143" s="1"/>
  <c r="J1411"/>
  <c r="J738"/>
  <c r="J739" s="1"/>
  <c r="J740" s="1"/>
  <c r="J741" s="1"/>
  <c r="J742" s="1"/>
  <c r="J110"/>
  <c r="J111" s="1"/>
  <c r="J112" s="1"/>
  <c r="J113" s="1"/>
  <c r="F55" i="34" s="1"/>
  <c r="G55" s="1"/>
  <c r="J181" i="37"/>
  <c r="J182" s="1"/>
  <c r="J183" s="1"/>
  <c r="J184" s="1"/>
  <c r="J1155"/>
  <c r="J165"/>
  <c r="J166" s="1"/>
  <c r="J167" s="1"/>
  <c r="F57" i="34" s="1"/>
  <c r="G57" s="1"/>
  <c r="J1444" i="37"/>
  <c r="J1445" s="1"/>
  <c r="J1446" s="1"/>
  <c r="J705"/>
  <c r="J706" s="1"/>
  <c r="J707" s="1"/>
  <c r="F67" i="34" s="1"/>
  <c r="G67" s="1"/>
  <c r="J1460" i="37"/>
  <c r="J1461" s="1"/>
  <c r="J1462" s="1"/>
  <c r="I214"/>
  <c r="J197"/>
  <c r="J1327"/>
  <c r="J1328" s="1"/>
  <c r="J1329" s="1"/>
  <c r="J1737"/>
  <c r="J1738" s="1"/>
  <c r="J1739" s="1"/>
  <c r="I897"/>
  <c r="J897" s="1"/>
  <c r="J899" s="1"/>
  <c r="J900" s="1"/>
  <c r="J455"/>
  <c r="J456" s="1"/>
  <c r="J458" s="1"/>
  <c r="J321"/>
  <c r="J322" s="1"/>
  <c r="J323" s="1"/>
  <c r="F63" i="34" s="1"/>
  <c r="G63" s="1"/>
  <c r="J235" i="37"/>
  <c r="J236" s="1"/>
  <c r="J237" s="1"/>
  <c r="F59" i="34" s="1"/>
  <c r="G59" s="1"/>
  <c r="J385" i="37"/>
  <c r="J386" s="1"/>
  <c r="J387" s="1"/>
  <c r="H509"/>
  <c r="H510" s="1"/>
  <c r="E511" s="1"/>
  <c r="J511" s="1"/>
  <c r="J514" s="1"/>
  <c r="J1707"/>
  <c r="J1708" s="1"/>
  <c r="J1709" s="1"/>
  <c r="L1527"/>
  <c r="J1530"/>
  <c r="J1531" s="1"/>
  <c r="J878"/>
  <c r="J879" s="1"/>
  <c r="J880" s="1"/>
  <c r="J1507"/>
  <c r="J1508" s="1"/>
  <c r="J1509" s="1"/>
  <c r="J621"/>
  <c r="J622" s="1"/>
  <c r="J623" s="1"/>
  <c r="J669"/>
  <c r="J670" s="1"/>
  <c r="J671" s="1"/>
  <c r="J1897"/>
  <c r="J1898" s="1"/>
  <c r="J1899" s="1"/>
  <c r="J337"/>
  <c r="J338" s="1"/>
  <c r="J339" s="1"/>
  <c r="F65" i="34" s="1"/>
  <c r="G65" s="1"/>
  <c r="J653" i="37"/>
  <c r="J654" s="1"/>
  <c r="J655" s="1"/>
  <c r="J845"/>
  <c r="J846" s="1"/>
  <c r="J847" s="1"/>
  <c r="F75" i="34" s="1"/>
  <c r="G75" s="1"/>
  <c r="J1692" i="37"/>
  <c r="J1693" s="1"/>
  <c r="J1694" s="1"/>
  <c r="I997"/>
  <c r="I998" s="1"/>
  <c r="E999" s="1"/>
  <c r="J999" s="1"/>
  <c r="J1012" s="1"/>
  <c r="J1943"/>
  <c r="J1944" s="1"/>
  <c r="J1945" s="1"/>
  <c r="J1348"/>
  <c r="J1349" s="1"/>
  <c r="J1350" s="1"/>
  <c r="J1646"/>
  <c r="J1647" s="1"/>
  <c r="J1648" s="1"/>
  <c r="J1763"/>
  <c r="J1764" s="1"/>
  <c r="J1765" s="1"/>
  <c r="J289"/>
  <c r="J290" s="1"/>
  <c r="J291" s="1"/>
  <c r="F61" i="34" s="1"/>
  <c r="G61" s="1"/>
  <c r="A55" i="37"/>
  <c r="J1364"/>
  <c r="J1365" s="1"/>
  <c r="J1366" s="1"/>
  <c r="J1750"/>
  <c r="J1751" s="1"/>
  <c r="J1752" s="1"/>
  <c r="J51"/>
  <c r="J52" s="1"/>
  <c r="J53" s="1"/>
  <c r="F53" i="34" s="1"/>
  <c r="G53" s="1"/>
  <c r="J1491" i="37"/>
  <c r="J1492" s="1"/>
  <c r="J1493" s="1"/>
  <c r="J1883"/>
  <c r="J1884" s="1"/>
  <c r="J1885" s="1"/>
  <c r="J495"/>
  <c r="J496" s="1"/>
  <c r="J497" s="1"/>
  <c r="J1869"/>
  <c r="J1870" s="1"/>
  <c r="J1871" s="1"/>
  <c r="J305"/>
  <c r="J306" s="1"/>
  <c r="J307" s="1"/>
  <c r="H551"/>
  <c r="H552" s="1"/>
  <c r="E553" s="1"/>
  <c r="J553" s="1"/>
  <c r="J555" s="1"/>
  <c r="J353"/>
  <c r="J354" s="1"/>
  <c r="J355" s="1"/>
  <c r="I213"/>
  <c r="J196"/>
  <c r="J757"/>
  <c r="J758" s="1"/>
  <c r="J636"/>
  <c r="J807"/>
  <c r="J808" s="1"/>
  <c r="J809" s="1"/>
  <c r="J402"/>
  <c r="J403" s="1"/>
  <c r="J404" s="1"/>
  <c r="F85" i="34" s="1"/>
  <c r="G85" s="1"/>
  <c r="H1170" i="37"/>
  <c r="H1171" s="1"/>
  <c r="E1172" s="1"/>
  <c r="J1172" s="1"/>
  <c r="J1174" s="1"/>
  <c r="J685"/>
  <c r="J686" s="1"/>
  <c r="J687" s="1"/>
  <c r="H530"/>
  <c r="H531" s="1"/>
  <c r="E532" s="1"/>
  <c r="J532" s="1"/>
  <c r="J535" s="1"/>
  <c r="H1125"/>
  <c r="H1126" s="1"/>
  <c r="E1127" s="1"/>
  <c r="J1127" s="1"/>
  <c r="J1130" s="1"/>
  <c r="J1662"/>
  <c r="J1663" s="1"/>
  <c r="J1664" s="1"/>
  <c r="J419"/>
  <c r="J1677"/>
  <c r="J1678" s="1"/>
  <c r="J1679" s="1"/>
  <c r="J775"/>
  <c r="J776" s="1"/>
  <c r="J777" s="1"/>
  <c r="J1523"/>
  <c r="J1524" s="1"/>
  <c r="J1525" s="1"/>
  <c r="J886"/>
  <c r="J887" s="1"/>
  <c r="J888" s="1"/>
  <c r="F87" i="34" s="1"/>
  <c r="G87" s="1"/>
  <c r="J1156" i="37" l="1"/>
  <c r="J1153"/>
  <c r="J1111"/>
  <c r="J1108"/>
  <c r="J1109"/>
  <c r="J577"/>
  <c r="J1085"/>
  <c r="J578"/>
  <c r="J1086"/>
  <c r="J579"/>
  <c r="J1087"/>
  <c r="J1412"/>
  <c r="J1413" s="1"/>
  <c r="J1414" s="1"/>
  <c r="J198"/>
  <c r="J199" s="1"/>
  <c r="J200" s="1"/>
  <c r="J201" s="1"/>
  <c r="J202" s="1"/>
  <c r="J536"/>
  <c r="J537"/>
  <c r="J515"/>
  <c r="J516"/>
  <c r="I118"/>
  <c r="J118" s="1"/>
  <c r="J120" s="1"/>
  <c r="D118"/>
  <c r="J976"/>
  <c r="J977"/>
  <c r="J978"/>
  <c r="J979"/>
  <c r="J637"/>
  <c r="J638" s="1"/>
  <c r="J639" s="1"/>
  <c r="J556"/>
  <c r="J557"/>
  <c r="J1013"/>
  <c r="J1014"/>
  <c r="J1015"/>
  <c r="J1016"/>
  <c r="J1131"/>
  <c r="J1132"/>
  <c r="J1133"/>
  <c r="J1134"/>
  <c r="J1175"/>
  <c r="J1176"/>
  <c r="J1177"/>
  <c r="J1178"/>
  <c r="J759"/>
  <c r="J760" s="1"/>
  <c r="J761" s="1"/>
  <c r="F69" i="34" s="1"/>
  <c r="G69" s="1"/>
  <c r="A78" i="37"/>
  <c r="J213"/>
  <c r="I241"/>
  <c r="J901"/>
  <c r="J902" s="1"/>
  <c r="J903" s="1"/>
  <c r="F89" i="34" s="1"/>
  <c r="G89" s="1"/>
  <c r="J459" i="37"/>
  <c r="J460" s="1"/>
  <c r="J461" s="1"/>
  <c r="J420"/>
  <c r="J421" s="1"/>
  <c r="J422" s="1"/>
  <c r="J214"/>
  <c r="I242"/>
  <c r="J1049"/>
  <c r="J1050"/>
  <c r="J1051"/>
  <c r="J1052"/>
  <c r="D148"/>
  <c r="E148"/>
  <c r="J148" s="1"/>
  <c r="J150" s="1"/>
  <c r="J1157" l="1"/>
  <c r="J1158" s="1"/>
  <c r="J1159" s="1"/>
  <c r="J1160" s="1"/>
  <c r="J580"/>
  <c r="J581" s="1"/>
  <c r="J582" s="1"/>
  <c r="J583" s="1"/>
  <c r="G90" i="34"/>
  <c r="C7" i="38" s="1"/>
  <c r="J558" i="37"/>
  <c r="J559" s="1"/>
  <c r="J560" s="1"/>
  <c r="J561" s="1"/>
  <c r="J1089"/>
  <c r="J1090" s="1"/>
  <c r="J1091" s="1"/>
  <c r="J1092" s="1"/>
  <c r="J538"/>
  <c r="J539" s="1"/>
  <c r="J540" s="1"/>
  <c r="J541" s="1"/>
  <c r="J517"/>
  <c r="J1112"/>
  <c r="J1113" s="1"/>
  <c r="J1114" s="1"/>
  <c r="J1115" s="1"/>
  <c r="J215"/>
  <c r="J216" s="1"/>
  <c r="J217" s="1"/>
  <c r="J218" s="1"/>
  <c r="J219" s="1"/>
  <c r="J1017"/>
  <c r="J1018" s="1"/>
  <c r="J1019" s="1"/>
  <c r="J1020" s="1"/>
  <c r="J1135"/>
  <c r="J1136" s="1"/>
  <c r="J1137" s="1"/>
  <c r="J1138" s="1"/>
  <c r="J980"/>
  <c r="J981" s="1"/>
  <c r="J982" s="1"/>
  <c r="J983" s="1"/>
  <c r="J1053"/>
  <c r="J1054" s="1"/>
  <c r="J1055" s="1"/>
  <c r="J1056" s="1"/>
  <c r="J1179"/>
  <c r="J1180" s="1"/>
  <c r="J1181" s="1"/>
  <c r="J1182" s="1"/>
  <c r="J518"/>
  <c r="J519" s="1"/>
  <c r="J520" s="1"/>
  <c r="A95"/>
  <c r="I261"/>
  <c r="J261" s="1"/>
  <c r="J242"/>
  <c r="I260"/>
  <c r="J260" s="1"/>
  <c r="J241"/>
  <c r="A116" l="1"/>
  <c r="A153" s="1"/>
  <c r="A170" s="1"/>
  <c r="A188" s="1"/>
  <c r="J271"/>
  <c r="J272" s="1"/>
  <c r="J273" s="1"/>
  <c r="J274" s="1"/>
  <c r="J252"/>
  <c r="J253" s="1"/>
  <c r="J254" s="1"/>
  <c r="J255" s="1"/>
  <c r="A205" l="1"/>
  <c r="A222" s="1"/>
  <c r="A239" l="1"/>
  <c r="A257" l="1"/>
  <c r="A277" s="1"/>
  <c r="A309" s="1"/>
  <c r="A325" s="1"/>
  <c r="A341" s="1"/>
  <c r="A357" s="1"/>
  <c r="A373" s="1"/>
  <c r="A390" s="1"/>
  <c r="A407" s="1"/>
  <c r="A425" s="1"/>
  <c r="A444" s="1"/>
  <c r="A464" s="1"/>
  <c r="A499" s="1"/>
  <c r="A502" s="1"/>
  <c r="A523" s="1"/>
  <c r="A544" s="1"/>
  <c r="A591" s="1"/>
  <c r="A597" s="1"/>
  <c r="A603" s="1"/>
  <c r="A609" s="1"/>
  <c r="A625" s="1"/>
  <c r="A641" s="1"/>
  <c r="A657" s="1"/>
  <c r="A673" s="1"/>
  <c r="A690" s="1"/>
  <c r="A710" s="1"/>
  <c r="A726" s="1"/>
  <c r="A745" s="1"/>
  <c r="A763" s="1"/>
  <c r="A780" s="1"/>
  <c r="A796" s="1"/>
  <c r="A811" s="1"/>
  <c r="A827" s="1"/>
  <c r="A837" s="1"/>
  <c r="A849" s="1"/>
  <c r="A862" s="1"/>
  <c r="A875" s="1"/>
  <c r="A882" s="1"/>
  <c r="A890" s="1"/>
  <c r="A905" s="1"/>
  <c r="A929" s="1"/>
  <c r="A949" s="1"/>
  <c r="A986" s="1"/>
  <c r="A1023" s="1"/>
  <c r="A1059" s="1"/>
  <c r="A1186" s="1"/>
  <c r="A1192" s="1"/>
  <c r="A1199" s="1"/>
  <c r="A1204" s="1"/>
  <c r="A1209" s="1"/>
  <c r="A1216" s="1"/>
  <c r="A1221" s="1"/>
  <c r="A1226" s="1"/>
  <c r="A1231" s="1"/>
  <c r="A1237" s="1"/>
  <c r="A1239" s="1"/>
  <c r="A1244" s="1"/>
  <c r="A1255" s="1"/>
  <c r="A1259" s="1"/>
  <c r="A1264" s="1"/>
  <c r="A1310" s="1"/>
  <c r="A1331" s="1"/>
  <c r="A1352" s="1"/>
  <c r="A1368" s="1"/>
  <c r="A1384" s="1"/>
  <c r="A1527" s="1"/>
  <c r="A1533" s="1"/>
  <c r="A1539" s="1"/>
  <c r="A1544" s="1"/>
  <c r="A1549" s="1"/>
  <c r="A1554" s="1"/>
  <c r="A1562" s="1"/>
  <c r="A1567" s="1"/>
  <c r="A1572" s="1"/>
  <c r="A1577" s="1"/>
  <c r="A1582" s="1"/>
  <c r="A1587" s="1"/>
  <c r="A1592" s="1"/>
  <c r="A1597" s="1"/>
  <c r="A1600" s="1"/>
  <c r="A1620" s="1"/>
  <c r="A1634" s="1"/>
  <c r="A1650" s="1"/>
  <c r="A1666" s="1"/>
  <c r="A1681" s="1"/>
  <c r="A1696" s="1"/>
  <c r="A1726" s="1"/>
  <c r="A1741" s="1"/>
  <c r="A1754" s="1"/>
  <c r="A1767" s="1"/>
  <c r="A1783" s="1"/>
  <c r="A1791" s="1"/>
  <c r="A1807" s="1"/>
  <c r="A1821" s="1"/>
  <c r="A1827" s="1"/>
  <c r="A1833" s="1"/>
  <c r="A1846" s="1"/>
  <c r="A1860" s="1"/>
  <c r="A1874" s="1"/>
  <c r="A1888" s="1"/>
  <c r="A1903" s="1"/>
  <c r="A1908" s="1"/>
  <c r="A1912" s="1"/>
  <c r="A1917" s="1"/>
  <c r="A1922" s="1"/>
  <c r="A1927" s="1"/>
  <c r="A1932" s="1"/>
  <c r="A1946" s="1"/>
  <c r="A1968" l="1"/>
  <c r="A2001" s="1"/>
  <c r="A2013" s="1"/>
  <c r="A1990" l="1"/>
  <c r="A2025" s="1"/>
  <c r="F2135" i="6"/>
  <c r="F1630"/>
  <c r="F1034"/>
  <c r="F668"/>
  <c r="F757"/>
  <c r="F514" l="1"/>
  <c r="A1" l="1"/>
  <c r="D7"/>
  <c r="I8" s="1"/>
  <c r="E7"/>
  <c r="F7"/>
  <c r="G7"/>
  <c r="H7"/>
  <c r="I7"/>
  <c r="F29"/>
  <c r="I29" s="1"/>
  <c r="F30" s="1"/>
  <c r="D30"/>
  <c r="C32"/>
  <c r="D32"/>
  <c r="F38"/>
  <c r="I38" s="1"/>
  <c r="D39"/>
  <c r="C41"/>
  <c r="D41"/>
  <c r="F47"/>
  <c r="I47" s="1"/>
  <c r="D48"/>
  <c r="C50"/>
  <c r="D50"/>
  <c r="F56"/>
  <c r="I56" s="1"/>
  <c r="F57" s="1"/>
  <c r="D57"/>
  <c r="F59"/>
  <c r="I59" s="1"/>
  <c r="F60"/>
  <c r="I60" s="1"/>
  <c r="D61"/>
  <c r="C63"/>
  <c r="D63"/>
  <c r="F69"/>
  <c r="I69" s="1"/>
  <c r="F70" s="1"/>
  <c r="D70"/>
  <c r="C73"/>
  <c r="D73"/>
  <c r="F78"/>
  <c r="I78" s="1"/>
  <c r="F79" s="1"/>
  <c r="D79"/>
  <c r="C81"/>
  <c r="D81"/>
  <c r="F86"/>
  <c r="I86" s="1"/>
  <c r="F87" s="1"/>
  <c r="D87"/>
  <c r="C90"/>
  <c r="D90"/>
  <c r="F95"/>
  <c r="I95" s="1"/>
  <c r="F96" s="1"/>
  <c r="D96"/>
  <c r="C99"/>
  <c r="D99"/>
  <c r="F104"/>
  <c r="I104" s="1"/>
  <c r="D105"/>
  <c r="C107"/>
  <c r="D107"/>
  <c r="F113"/>
  <c r="I113" s="1"/>
  <c r="F114" s="1"/>
  <c r="D114"/>
  <c r="C117"/>
  <c r="D117"/>
  <c r="F122"/>
  <c r="I122" s="1"/>
  <c r="D123"/>
  <c r="C126"/>
  <c r="D126"/>
  <c r="F131"/>
  <c r="I131" s="1"/>
  <c r="F132" s="1"/>
  <c r="D132"/>
  <c r="C135"/>
  <c r="D135"/>
  <c r="F140"/>
  <c r="I140" s="1"/>
  <c r="D141"/>
  <c r="C144"/>
  <c r="D144"/>
  <c r="A148"/>
  <c r="A172" s="1"/>
  <c r="A186" s="1"/>
  <c r="A195" s="1"/>
  <c r="F152"/>
  <c r="I152" s="1"/>
  <c r="F153"/>
  <c r="I153" s="1"/>
  <c r="F154"/>
  <c r="I154" s="1"/>
  <c r="D155"/>
  <c r="C157"/>
  <c r="D157"/>
  <c r="F163"/>
  <c r="I163" s="1"/>
  <c r="F164"/>
  <c r="I164" s="1"/>
  <c r="F165"/>
  <c r="I165" s="1"/>
  <c r="D166"/>
  <c r="C168"/>
  <c r="D168"/>
  <c r="H175"/>
  <c r="F178"/>
  <c r="I178" s="1"/>
  <c r="F179" s="1"/>
  <c r="D179"/>
  <c r="C181"/>
  <c r="D181"/>
  <c r="D189"/>
  <c r="F189"/>
  <c r="D190"/>
  <c r="C191"/>
  <c r="D191"/>
  <c r="H198"/>
  <c r="F201"/>
  <c r="I201" s="1"/>
  <c r="F202" s="1"/>
  <c r="D202"/>
  <c r="K203"/>
  <c r="F205"/>
  <c r="I205" s="1"/>
  <c r="F206" s="1"/>
  <c r="D206"/>
  <c r="C208"/>
  <c r="D208"/>
  <c r="H216"/>
  <c r="F219"/>
  <c r="I219" s="1"/>
  <c r="D220"/>
  <c r="F223"/>
  <c r="I223" s="1"/>
  <c r="F224" s="1"/>
  <c r="D224"/>
  <c r="C226"/>
  <c r="D226"/>
  <c r="H234"/>
  <c r="F237"/>
  <c r="I237" s="1"/>
  <c r="F238" s="1"/>
  <c r="D238"/>
  <c r="C240"/>
  <c r="D240"/>
  <c r="H248"/>
  <c r="F251"/>
  <c r="I251" s="1"/>
  <c r="F252" s="1"/>
  <c r="D252"/>
  <c r="F255"/>
  <c r="I255" s="1"/>
  <c r="F256" s="1"/>
  <c r="D256"/>
  <c r="C258"/>
  <c r="D258"/>
  <c r="H265"/>
  <c r="F268"/>
  <c r="I268" s="1"/>
  <c r="F269"/>
  <c r="I269" s="1"/>
  <c r="F270"/>
  <c r="I270" s="1"/>
  <c r="D271"/>
  <c r="F274"/>
  <c r="I274" s="1"/>
  <c r="F276"/>
  <c r="I276" s="1"/>
  <c r="F277"/>
  <c r="I277" s="1"/>
  <c r="D278"/>
  <c r="F280"/>
  <c r="I280" s="1"/>
  <c r="F281"/>
  <c r="I281" s="1"/>
  <c r="C283"/>
  <c r="D283"/>
  <c r="H290"/>
  <c r="F293"/>
  <c r="I293" s="1"/>
  <c r="D294"/>
  <c r="F297"/>
  <c r="I297" s="1"/>
  <c r="F299"/>
  <c r="I299" s="1"/>
  <c r="F300"/>
  <c r="I300" s="1"/>
  <c r="D301"/>
  <c r="C303"/>
  <c r="D303"/>
  <c r="F309"/>
  <c r="I309" s="1"/>
  <c r="F320"/>
  <c r="I320" s="1"/>
  <c r="I321" s="1"/>
  <c r="C322"/>
  <c r="D322"/>
  <c r="F330"/>
  <c r="I330" s="1"/>
  <c r="D331"/>
  <c r="H334"/>
  <c r="C336"/>
  <c r="D336"/>
  <c r="F349"/>
  <c r="I349" s="1"/>
  <c r="F350"/>
  <c r="I350" s="1"/>
  <c r="F351"/>
  <c r="I351" s="1"/>
  <c r="D352"/>
  <c r="D353"/>
  <c r="C355"/>
  <c r="D355"/>
  <c r="I366"/>
  <c r="F368"/>
  <c r="I368" s="1"/>
  <c r="F369"/>
  <c r="I369" s="1"/>
  <c r="F370"/>
  <c r="I370" s="1"/>
  <c r="D371"/>
  <c r="D373"/>
  <c r="C376"/>
  <c r="D376"/>
  <c r="H385"/>
  <c r="H386"/>
  <c r="H387"/>
  <c r="H388"/>
  <c r="H390"/>
  <c r="F391"/>
  <c r="I391" s="1"/>
  <c r="F392" s="1"/>
  <c r="H391"/>
  <c r="D392"/>
  <c r="F394"/>
  <c r="I394" s="1"/>
  <c r="H394"/>
  <c r="F395"/>
  <c r="I395" s="1"/>
  <c r="H395"/>
  <c r="D396"/>
  <c r="C398"/>
  <c r="D398"/>
  <c r="H406"/>
  <c r="H407"/>
  <c r="H408"/>
  <c r="H409"/>
  <c r="H411"/>
  <c r="F412"/>
  <c r="I412" s="1"/>
  <c r="F413" s="1"/>
  <c r="H412"/>
  <c r="D413"/>
  <c r="F415"/>
  <c r="I415" s="1"/>
  <c r="H415"/>
  <c r="F416"/>
  <c r="I416" s="1"/>
  <c r="H416"/>
  <c r="D417"/>
  <c r="C419"/>
  <c r="D419"/>
  <c r="H427"/>
  <c r="H428"/>
  <c r="H429"/>
  <c r="F431"/>
  <c r="I431" s="1"/>
  <c r="H431"/>
  <c r="F432"/>
  <c r="I432" s="1"/>
  <c r="H432"/>
  <c r="D433"/>
  <c r="C437"/>
  <c r="D437"/>
  <c r="H445"/>
  <c r="H446"/>
  <c r="H447"/>
  <c r="F449"/>
  <c r="I449" s="1"/>
  <c r="H449"/>
  <c r="F450"/>
  <c r="I450" s="1"/>
  <c r="H450"/>
  <c r="D451"/>
  <c r="C455"/>
  <c r="D455"/>
  <c r="H463"/>
  <c r="H464"/>
  <c r="H466"/>
  <c r="H468"/>
  <c r="F469"/>
  <c r="I469" s="1"/>
  <c r="H469"/>
  <c r="D470"/>
  <c r="F470"/>
  <c r="F472"/>
  <c r="I472" s="1"/>
  <c r="H472"/>
  <c r="F473"/>
  <c r="I473" s="1"/>
  <c r="H473"/>
  <c r="D474"/>
  <c r="C476"/>
  <c r="D476"/>
  <c r="H483"/>
  <c r="H484"/>
  <c r="H486"/>
  <c r="H488"/>
  <c r="F489"/>
  <c r="I489" s="1"/>
  <c r="H489"/>
  <c r="D490"/>
  <c r="F490"/>
  <c r="F492"/>
  <c r="I492" s="1"/>
  <c r="H492"/>
  <c r="F493"/>
  <c r="I493" s="1"/>
  <c r="H493"/>
  <c r="D494"/>
  <c r="C496"/>
  <c r="D496"/>
  <c r="F508"/>
  <c r="I508" s="1"/>
  <c r="F509"/>
  <c r="I509" s="1"/>
  <c r="H509"/>
  <c r="F510"/>
  <c r="I510" s="1"/>
  <c r="H510"/>
  <c r="D511"/>
  <c r="I514"/>
  <c r="F516"/>
  <c r="I516" s="1"/>
  <c r="D517"/>
  <c r="H518"/>
  <c r="F523"/>
  <c r="I523" s="1"/>
  <c r="F524"/>
  <c r="I524" s="1"/>
  <c r="F525" s="1"/>
  <c r="D525"/>
  <c r="C527"/>
  <c r="D527"/>
  <c r="F533"/>
  <c r="I533" s="1"/>
  <c r="F534"/>
  <c r="I534" s="1"/>
  <c r="F535" s="1"/>
  <c r="D535"/>
  <c r="C537"/>
  <c r="D537"/>
  <c r="F543"/>
  <c r="I543" s="1"/>
  <c r="F544"/>
  <c r="I544" s="1"/>
  <c r="F545" s="1"/>
  <c r="D545"/>
  <c r="C547"/>
  <c r="D547"/>
  <c r="D553"/>
  <c r="F553"/>
  <c r="D554"/>
  <c r="F554"/>
  <c r="D555"/>
  <c r="C557"/>
  <c r="D557"/>
  <c r="D563"/>
  <c r="F563"/>
  <c r="D564"/>
  <c r="F564"/>
  <c r="D565"/>
  <c r="C567"/>
  <c r="D567"/>
  <c r="D573"/>
  <c r="F573"/>
  <c r="D574"/>
  <c r="F574"/>
  <c r="D575"/>
  <c r="C577"/>
  <c r="D577"/>
  <c r="D583"/>
  <c r="F583"/>
  <c r="D584"/>
  <c r="F584"/>
  <c r="D585"/>
  <c r="C587"/>
  <c r="D587"/>
  <c r="D592"/>
  <c r="F592"/>
  <c r="D593"/>
  <c r="F593"/>
  <c r="D594"/>
  <c r="C596"/>
  <c r="D596"/>
  <c r="D602"/>
  <c r="F602"/>
  <c r="D603"/>
  <c r="F603"/>
  <c r="D604"/>
  <c r="C606"/>
  <c r="D606"/>
  <c r="D612"/>
  <c r="F612"/>
  <c r="D613"/>
  <c r="F613"/>
  <c r="D614"/>
  <c r="C616"/>
  <c r="D616"/>
  <c r="D622"/>
  <c r="F622"/>
  <c r="D623"/>
  <c r="F623"/>
  <c r="D624"/>
  <c r="C626"/>
  <c r="D626"/>
  <c r="D631"/>
  <c r="F631"/>
  <c r="D632"/>
  <c r="F632"/>
  <c r="D633"/>
  <c r="C635"/>
  <c r="D635"/>
  <c r="D641"/>
  <c r="F641"/>
  <c r="D642"/>
  <c r="F642"/>
  <c r="D643"/>
  <c r="C645"/>
  <c r="D645"/>
  <c r="C650"/>
  <c r="D650"/>
  <c r="F662"/>
  <c r="I662" s="1"/>
  <c r="F663"/>
  <c r="I663" s="1"/>
  <c r="H663"/>
  <c r="F664"/>
  <c r="I664" s="1"/>
  <c r="H664"/>
  <c r="D665"/>
  <c r="I668"/>
  <c r="F670"/>
  <c r="I670" s="1"/>
  <c r="D671"/>
  <c r="H672"/>
  <c r="D680"/>
  <c r="E680"/>
  <c r="F680"/>
  <c r="G680"/>
  <c r="H680"/>
  <c r="I680"/>
  <c r="K680"/>
  <c r="L680"/>
  <c r="D681"/>
  <c r="D682" s="1"/>
  <c r="E681"/>
  <c r="E682" s="1"/>
  <c r="F681"/>
  <c r="F682" s="1"/>
  <c r="G681"/>
  <c r="G682" s="1"/>
  <c r="H681"/>
  <c r="H682" s="1"/>
  <c r="I681"/>
  <c r="I682" s="1"/>
  <c r="K681"/>
  <c r="K682" s="1"/>
  <c r="L681"/>
  <c r="L682" s="1"/>
  <c r="C686"/>
  <c r="D693"/>
  <c r="E693"/>
  <c r="F693"/>
  <c r="G693"/>
  <c r="H693"/>
  <c r="I693"/>
  <c r="D694"/>
  <c r="D695" s="1"/>
  <c r="E694"/>
  <c r="E695" s="1"/>
  <c r="F694"/>
  <c r="F695" s="1"/>
  <c r="G694"/>
  <c r="G695" s="1"/>
  <c r="H694"/>
  <c r="H695" s="1"/>
  <c r="I694"/>
  <c r="I695" s="1"/>
  <c r="E697"/>
  <c r="H697" s="1"/>
  <c r="H698" s="1"/>
  <c r="C700"/>
  <c r="D706"/>
  <c r="E706"/>
  <c r="F706"/>
  <c r="D707"/>
  <c r="D708" s="1"/>
  <c r="E707"/>
  <c r="E708" s="1"/>
  <c r="F707"/>
  <c r="F708" s="1"/>
  <c r="C713"/>
  <c r="D721"/>
  <c r="E721"/>
  <c r="F721"/>
  <c r="G721"/>
  <c r="H721"/>
  <c r="I721"/>
  <c r="D722"/>
  <c r="D723" s="1"/>
  <c r="E722"/>
  <c r="E723" s="1"/>
  <c r="F722"/>
  <c r="F723" s="1"/>
  <c r="G722"/>
  <c r="G723" s="1"/>
  <c r="H722"/>
  <c r="H723" s="1"/>
  <c r="I722"/>
  <c r="I723" s="1"/>
  <c r="C727"/>
  <c r="D733"/>
  <c r="E733"/>
  <c r="F733"/>
  <c r="D734"/>
  <c r="D735" s="1"/>
  <c r="E734"/>
  <c r="E735" s="1"/>
  <c r="F734"/>
  <c r="F735" s="1"/>
  <c r="C739"/>
  <c r="F751"/>
  <c r="I751" s="1"/>
  <c r="F752"/>
  <c r="I752" s="1"/>
  <c r="H752"/>
  <c r="F753"/>
  <c r="I753" s="1"/>
  <c r="H753"/>
  <c r="D754"/>
  <c r="I757"/>
  <c r="F759"/>
  <c r="I759" s="1"/>
  <c r="D760"/>
  <c r="H761"/>
  <c r="D769"/>
  <c r="E769"/>
  <c r="F769"/>
  <c r="G769"/>
  <c r="H769"/>
  <c r="I769"/>
  <c r="D770"/>
  <c r="D771" s="1"/>
  <c r="E770"/>
  <c r="E771" s="1"/>
  <c r="F770"/>
  <c r="F771" s="1"/>
  <c r="G770"/>
  <c r="G771" s="1"/>
  <c r="H770"/>
  <c r="H771" s="1"/>
  <c r="I770"/>
  <c r="I771" s="1"/>
  <c r="C775"/>
  <c r="D782"/>
  <c r="E782" s="1"/>
  <c r="F782" s="1"/>
  <c r="G782" s="1"/>
  <c r="H782" s="1"/>
  <c r="I782" s="1"/>
  <c r="D783"/>
  <c r="D784" s="1"/>
  <c r="E783"/>
  <c r="E784" s="1"/>
  <c r="F783"/>
  <c r="F784" s="1"/>
  <c r="G783"/>
  <c r="G784" s="1"/>
  <c r="H783"/>
  <c r="H784" s="1"/>
  <c r="I783"/>
  <c r="I784" s="1"/>
  <c r="E786"/>
  <c r="I786" s="1"/>
  <c r="I787" s="1"/>
  <c r="C789"/>
  <c r="D797"/>
  <c r="E797"/>
  <c r="F797"/>
  <c r="G797"/>
  <c r="H797"/>
  <c r="I797"/>
  <c r="D798"/>
  <c r="D799" s="1"/>
  <c r="E798"/>
  <c r="E799" s="1"/>
  <c r="F798"/>
  <c r="F799" s="1"/>
  <c r="G798"/>
  <c r="G799" s="1"/>
  <c r="H798"/>
  <c r="H799" s="1"/>
  <c r="I798"/>
  <c r="I799" s="1"/>
  <c r="C803"/>
  <c r="D810"/>
  <c r="E810"/>
  <c r="F810"/>
  <c r="G810"/>
  <c r="H810"/>
  <c r="I810"/>
  <c r="D811"/>
  <c r="D812" s="1"/>
  <c r="E811"/>
  <c r="E812" s="1"/>
  <c r="F811"/>
  <c r="F812" s="1"/>
  <c r="G811"/>
  <c r="G812" s="1"/>
  <c r="H811"/>
  <c r="H812" s="1"/>
  <c r="I811"/>
  <c r="I812" s="1"/>
  <c r="E814"/>
  <c r="I814" s="1"/>
  <c r="I815" s="1"/>
  <c r="C817"/>
  <c r="D825"/>
  <c r="E825"/>
  <c r="M825"/>
  <c r="N825"/>
  <c r="O825" s="1"/>
  <c r="D826"/>
  <c r="D827" s="1"/>
  <c r="E826"/>
  <c r="E827" s="1"/>
  <c r="E829"/>
  <c r="E830" s="1"/>
  <c r="C832"/>
  <c r="D840"/>
  <c r="E840"/>
  <c r="F840"/>
  <c r="G840"/>
  <c r="H840"/>
  <c r="I840"/>
  <c r="M840"/>
  <c r="N840"/>
  <c r="O840" s="1"/>
  <c r="D841"/>
  <c r="D842" s="1"/>
  <c r="E841"/>
  <c r="E842" s="1"/>
  <c r="F841"/>
  <c r="F842" s="1"/>
  <c r="G841"/>
  <c r="G842" s="1"/>
  <c r="H841"/>
  <c r="H842" s="1"/>
  <c r="I841"/>
  <c r="I842" s="1"/>
  <c r="E844"/>
  <c r="E845" s="1"/>
  <c r="C847"/>
  <c r="D858"/>
  <c r="C862"/>
  <c r="D872"/>
  <c r="E872"/>
  <c r="F872"/>
  <c r="G872"/>
  <c r="H872"/>
  <c r="I872"/>
  <c r="C876"/>
  <c r="D884"/>
  <c r="E884"/>
  <c r="F884"/>
  <c r="G884"/>
  <c r="H884"/>
  <c r="I884"/>
  <c r="E886"/>
  <c r="H886" s="1"/>
  <c r="H887" s="1"/>
  <c r="C889"/>
  <c r="D895"/>
  <c r="E895"/>
  <c r="F895"/>
  <c r="C900"/>
  <c r="D910"/>
  <c r="E910"/>
  <c r="F910"/>
  <c r="G910"/>
  <c r="H910"/>
  <c r="I910"/>
  <c r="E911"/>
  <c r="E912" s="1"/>
  <c r="D912"/>
  <c r="C916"/>
  <c r="D922"/>
  <c r="E922"/>
  <c r="F922"/>
  <c r="D923"/>
  <c r="D924" s="1"/>
  <c r="E923"/>
  <c r="E924" s="1"/>
  <c r="F923"/>
  <c r="F924" s="1"/>
  <c r="C928"/>
  <c r="D935"/>
  <c r="E935"/>
  <c r="F935"/>
  <c r="G935"/>
  <c r="H935"/>
  <c r="I935"/>
  <c r="K935"/>
  <c r="L935"/>
  <c r="D936"/>
  <c r="D937" s="1"/>
  <c r="E936"/>
  <c r="E937" s="1"/>
  <c r="F936"/>
  <c r="F937" s="1"/>
  <c r="G936"/>
  <c r="G937" s="1"/>
  <c r="H936"/>
  <c r="H937" s="1"/>
  <c r="I936"/>
  <c r="I937" s="1"/>
  <c r="K936"/>
  <c r="K937" s="1"/>
  <c r="L936"/>
  <c r="L937" s="1"/>
  <c r="E939"/>
  <c r="I939" s="1"/>
  <c r="I940" s="1"/>
  <c r="C942"/>
  <c r="D952"/>
  <c r="D953"/>
  <c r="D954" s="1"/>
  <c r="C958"/>
  <c r="D967"/>
  <c r="D968"/>
  <c r="D969" s="1"/>
  <c r="C973"/>
  <c r="D982"/>
  <c r="D983"/>
  <c r="D984" s="1"/>
  <c r="C988"/>
  <c r="D997"/>
  <c r="E997"/>
  <c r="F997"/>
  <c r="G997"/>
  <c r="H997"/>
  <c r="I997"/>
  <c r="D998"/>
  <c r="D999" s="1"/>
  <c r="E998"/>
  <c r="E999" s="1"/>
  <c r="F998"/>
  <c r="F999" s="1"/>
  <c r="G998"/>
  <c r="G999" s="1"/>
  <c r="H998"/>
  <c r="H999" s="1"/>
  <c r="I998"/>
  <c r="I999" s="1"/>
  <c r="C1003"/>
  <c r="D1009"/>
  <c r="E1009"/>
  <c r="F1009"/>
  <c r="D1010"/>
  <c r="D1011" s="1"/>
  <c r="E1010"/>
  <c r="E1011" s="1"/>
  <c r="F1010"/>
  <c r="F1011" s="1"/>
  <c r="C1015"/>
  <c r="F1028"/>
  <c r="I1028" s="1"/>
  <c r="F1029"/>
  <c r="I1029" s="1"/>
  <c r="H1029"/>
  <c r="F1030"/>
  <c r="I1030" s="1"/>
  <c r="H1030"/>
  <c r="D1031"/>
  <c r="I1034"/>
  <c r="F1036"/>
  <c r="I1036" s="1"/>
  <c r="D1037"/>
  <c r="H1038"/>
  <c r="D1046"/>
  <c r="E1046"/>
  <c r="F1046" s="1"/>
  <c r="G1046" s="1"/>
  <c r="H1046" s="1"/>
  <c r="I1046" s="1"/>
  <c r="D1047"/>
  <c r="D1048" s="1"/>
  <c r="E1047"/>
  <c r="E1048" s="1"/>
  <c r="F1047"/>
  <c r="F1048" s="1"/>
  <c r="G1047"/>
  <c r="G1048" s="1"/>
  <c r="H1047"/>
  <c r="H1048" s="1"/>
  <c r="I1047"/>
  <c r="I1048" s="1"/>
  <c r="D1050"/>
  <c r="C1052"/>
  <c r="D1059"/>
  <c r="E1059"/>
  <c r="F1059" s="1"/>
  <c r="G1059" s="1"/>
  <c r="H1059" s="1"/>
  <c r="I1059" s="1"/>
  <c r="D1060"/>
  <c r="D1061" s="1"/>
  <c r="E1060"/>
  <c r="E1061" s="1"/>
  <c r="F1060"/>
  <c r="F1061" s="1"/>
  <c r="G1060"/>
  <c r="G1061" s="1"/>
  <c r="H1060"/>
  <c r="H1061" s="1"/>
  <c r="I1060"/>
  <c r="I1061" s="1"/>
  <c r="E1063"/>
  <c r="D1064"/>
  <c r="C1066"/>
  <c r="D1074"/>
  <c r="E1074"/>
  <c r="F1074"/>
  <c r="G1074"/>
  <c r="H1074"/>
  <c r="I1074"/>
  <c r="D1075"/>
  <c r="D1076" s="1"/>
  <c r="E1075"/>
  <c r="E1076" s="1"/>
  <c r="F1075"/>
  <c r="F1076" s="1"/>
  <c r="G1075"/>
  <c r="G1076" s="1"/>
  <c r="H1075"/>
  <c r="H1076" s="1"/>
  <c r="I1075"/>
  <c r="I1076" s="1"/>
  <c r="D1078"/>
  <c r="C1080"/>
  <c r="D1087"/>
  <c r="E1087"/>
  <c r="F1087"/>
  <c r="G1087"/>
  <c r="H1087"/>
  <c r="I1087"/>
  <c r="D1088"/>
  <c r="D1089" s="1"/>
  <c r="E1088"/>
  <c r="E1089" s="1"/>
  <c r="F1088"/>
  <c r="F1089" s="1"/>
  <c r="G1088"/>
  <c r="G1089" s="1"/>
  <c r="H1088"/>
  <c r="H1089" s="1"/>
  <c r="I1088"/>
  <c r="I1089" s="1"/>
  <c r="E1091"/>
  <c r="I1091" s="1"/>
  <c r="I1092" s="1"/>
  <c r="D1092"/>
  <c r="C1094"/>
  <c r="D1100"/>
  <c r="E1100"/>
  <c r="F1100"/>
  <c r="D1101"/>
  <c r="D1102" s="1"/>
  <c r="E1101"/>
  <c r="E1102" s="1"/>
  <c r="F1101"/>
  <c r="F1102" s="1"/>
  <c r="C1107"/>
  <c r="D1115"/>
  <c r="E1115"/>
  <c r="D1116"/>
  <c r="D1117" s="1"/>
  <c r="E1116"/>
  <c r="E1117" s="1"/>
  <c r="E1119"/>
  <c r="E1120" s="1"/>
  <c r="D1120"/>
  <c r="C1122"/>
  <c r="D1130"/>
  <c r="D1131"/>
  <c r="D1132" s="1"/>
  <c r="D1134"/>
  <c r="D1135" s="1"/>
  <c r="C1137"/>
  <c r="D1147"/>
  <c r="E1147" s="1"/>
  <c r="F1147" s="1"/>
  <c r="G1147" s="1"/>
  <c r="H1147" s="1"/>
  <c r="I1147" s="1"/>
  <c r="D1148"/>
  <c r="D1149" s="1"/>
  <c r="E1148"/>
  <c r="E1149" s="1"/>
  <c r="F1148"/>
  <c r="F1149" s="1"/>
  <c r="G1148"/>
  <c r="G1149" s="1"/>
  <c r="H1148"/>
  <c r="H1149" s="1"/>
  <c r="I1148"/>
  <c r="I1149" s="1"/>
  <c r="D1151"/>
  <c r="C1153"/>
  <c r="D1160"/>
  <c r="E1160" s="1"/>
  <c r="F1160" s="1"/>
  <c r="G1160" s="1"/>
  <c r="H1160" s="1"/>
  <c r="I1160" s="1"/>
  <c r="D1161"/>
  <c r="D1162" s="1"/>
  <c r="E1161"/>
  <c r="E1162" s="1"/>
  <c r="F1161"/>
  <c r="F1162" s="1"/>
  <c r="G1161"/>
  <c r="G1162" s="1"/>
  <c r="H1161"/>
  <c r="H1162" s="1"/>
  <c r="I1161"/>
  <c r="I1162" s="1"/>
  <c r="E1164"/>
  <c r="E1165" s="1"/>
  <c r="D1165"/>
  <c r="C1167"/>
  <c r="D1174"/>
  <c r="E1174"/>
  <c r="F1174"/>
  <c r="G1174"/>
  <c r="H1174"/>
  <c r="I1174"/>
  <c r="D1175"/>
  <c r="D1176" s="1"/>
  <c r="E1175"/>
  <c r="E1176" s="1"/>
  <c r="F1175"/>
  <c r="F1176" s="1"/>
  <c r="G1175"/>
  <c r="G1176" s="1"/>
  <c r="H1175"/>
  <c r="H1176" s="1"/>
  <c r="I1175"/>
  <c r="I1176" s="1"/>
  <c r="E1178"/>
  <c r="D1179"/>
  <c r="C1181"/>
  <c r="D1187"/>
  <c r="E1187"/>
  <c r="F1187"/>
  <c r="D1188"/>
  <c r="D1189" s="1"/>
  <c r="E1188"/>
  <c r="E1189" s="1"/>
  <c r="F1188"/>
  <c r="F1189" s="1"/>
  <c r="C1194"/>
  <c r="D1205"/>
  <c r="E1205"/>
  <c r="F1205"/>
  <c r="G1205"/>
  <c r="H1205"/>
  <c r="I1205"/>
  <c r="D1206"/>
  <c r="D1207" s="1"/>
  <c r="E1206"/>
  <c r="E1207" s="1"/>
  <c r="F1206"/>
  <c r="F1207" s="1"/>
  <c r="G1206"/>
  <c r="G1207" s="1"/>
  <c r="H1206"/>
  <c r="H1207" s="1"/>
  <c r="I1206"/>
  <c r="I1207" s="1"/>
  <c r="D1209"/>
  <c r="C1211"/>
  <c r="D1219"/>
  <c r="E1219"/>
  <c r="F1219"/>
  <c r="G1219"/>
  <c r="H1219"/>
  <c r="I1219"/>
  <c r="D1220"/>
  <c r="D1221" s="1"/>
  <c r="E1220"/>
  <c r="E1221" s="1"/>
  <c r="F1220"/>
  <c r="F1221" s="1"/>
  <c r="G1220"/>
  <c r="G1221" s="1"/>
  <c r="H1220"/>
  <c r="H1221" s="1"/>
  <c r="I1220"/>
  <c r="I1221" s="1"/>
  <c r="E1223"/>
  <c r="E1224" s="1"/>
  <c r="D1224"/>
  <c r="C1226"/>
  <c r="D1233"/>
  <c r="E1233"/>
  <c r="F1233"/>
  <c r="G1233"/>
  <c r="H1233"/>
  <c r="I1233"/>
  <c r="D1234"/>
  <c r="D1235" s="1"/>
  <c r="E1234"/>
  <c r="E1235" s="1"/>
  <c r="F1234"/>
  <c r="F1235" s="1"/>
  <c r="G1234"/>
  <c r="G1235" s="1"/>
  <c r="H1234"/>
  <c r="H1235" s="1"/>
  <c r="I1234"/>
  <c r="I1235" s="1"/>
  <c r="D1237"/>
  <c r="C1239"/>
  <c r="D1247"/>
  <c r="E1247"/>
  <c r="F1247"/>
  <c r="G1247"/>
  <c r="H1247"/>
  <c r="I1247"/>
  <c r="D1248"/>
  <c r="D1249" s="1"/>
  <c r="E1248"/>
  <c r="E1249" s="1"/>
  <c r="F1248"/>
  <c r="F1249" s="1"/>
  <c r="G1248"/>
  <c r="G1249" s="1"/>
  <c r="H1248"/>
  <c r="H1249" s="1"/>
  <c r="I1248"/>
  <c r="I1249" s="1"/>
  <c r="E1251"/>
  <c r="G1251" s="1"/>
  <c r="G1252" s="1"/>
  <c r="D1252"/>
  <c r="C1254"/>
  <c r="D1261"/>
  <c r="E1261"/>
  <c r="F1261"/>
  <c r="G1261"/>
  <c r="D1262"/>
  <c r="D1263" s="1"/>
  <c r="E1262"/>
  <c r="E1263" s="1"/>
  <c r="F1262"/>
  <c r="F1263" s="1"/>
  <c r="G1262"/>
  <c r="G1263" s="1"/>
  <c r="E1265"/>
  <c r="D1266"/>
  <c r="C1268"/>
  <c r="D1277"/>
  <c r="E1277"/>
  <c r="F1277"/>
  <c r="G1277"/>
  <c r="H1277"/>
  <c r="I1277"/>
  <c r="D1278"/>
  <c r="D1279" s="1"/>
  <c r="E1278"/>
  <c r="E1279" s="1"/>
  <c r="F1278"/>
  <c r="F1279" s="1"/>
  <c r="G1278"/>
  <c r="G1279" s="1"/>
  <c r="H1278"/>
  <c r="H1279" s="1"/>
  <c r="I1278"/>
  <c r="I1279" s="1"/>
  <c r="D1281"/>
  <c r="C1283"/>
  <c r="D1291"/>
  <c r="E1291"/>
  <c r="F1291"/>
  <c r="G1291"/>
  <c r="H1291"/>
  <c r="I1291"/>
  <c r="D1292"/>
  <c r="D1293" s="1"/>
  <c r="E1292"/>
  <c r="E1293" s="1"/>
  <c r="F1292"/>
  <c r="F1293" s="1"/>
  <c r="G1292"/>
  <c r="G1293" s="1"/>
  <c r="H1292"/>
  <c r="H1293" s="1"/>
  <c r="I1292"/>
  <c r="I1293" s="1"/>
  <c r="E1295"/>
  <c r="D1296"/>
  <c r="C1298"/>
  <c r="D1305"/>
  <c r="E1305"/>
  <c r="F1305"/>
  <c r="G1305"/>
  <c r="H1305"/>
  <c r="I1305"/>
  <c r="D1306"/>
  <c r="D1307" s="1"/>
  <c r="E1306"/>
  <c r="E1307" s="1"/>
  <c r="F1306"/>
  <c r="F1307" s="1"/>
  <c r="G1306"/>
  <c r="G1307" s="1"/>
  <c r="H1306"/>
  <c r="H1307" s="1"/>
  <c r="I1306"/>
  <c r="I1307" s="1"/>
  <c r="D1309"/>
  <c r="C1311"/>
  <c r="D1319"/>
  <c r="E1319"/>
  <c r="F1319"/>
  <c r="G1319"/>
  <c r="H1319"/>
  <c r="I1319"/>
  <c r="D1320"/>
  <c r="D1321" s="1"/>
  <c r="E1320"/>
  <c r="E1321" s="1"/>
  <c r="F1320"/>
  <c r="F1321" s="1"/>
  <c r="G1320"/>
  <c r="G1321" s="1"/>
  <c r="H1320"/>
  <c r="H1321" s="1"/>
  <c r="I1320"/>
  <c r="I1321" s="1"/>
  <c r="E1323"/>
  <c r="D1324"/>
  <c r="C1326"/>
  <c r="D1336"/>
  <c r="E1336"/>
  <c r="F1336"/>
  <c r="G1336"/>
  <c r="H1336"/>
  <c r="I1336"/>
  <c r="K1336"/>
  <c r="L1336"/>
  <c r="D1337"/>
  <c r="D1338" s="1"/>
  <c r="E1337"/>
  <c r="E1338" s="1"/>
  <c r="F1337"/>
  <c r="F1338" s="1"/>
  <c r="G1337"/>
  <c r="G1338" s="1"/>
  <c r="H1337"/>
  <c r="H1338" s="1"/>
  <c r="I1337"/>
  <c r="I1338" s="1"/>
  <c r="K1337"/>
  <c r="K1338" s="1"/>
  <c r="L1337"/>
  <c r="L1338" s="1"/>
  <c r="D1340"/>
  <c r="C1342"/>
  <c r="D1349"/>
  <c r="E1349"/>
  <c r="F1349"/>
  <c r="G1349"/>
  <c r="H1349"/>
  <c r="I1349"/>
  <c r="D1350"/>
  <c r="D1351" s="1"/>
  <c r="E1350"/>
  <c r="E1351" s="1"/>
  <c r="F1350"/>
  <c r="F1351" s="1"/>
  <c r="G1350"/>
  <c r="G1351" s="1"/>
  <c r="H1350"/>
  <c r="H1351" s="1"/>
  <c r="I1350"/>
  <c r="I1351" s="1"/>
  <c r="E1353"/>
  <c r="E1354" s="1"/>
  <c r="D1354"/>
  <c r="C1356"/>
  <c r="D1363"/>
  <c r="E1363"/>
  <c r="F1363"/>
  <c r="G1363"/>
  <c r="H1363"/>
  <c r="I1363"/>
  <c r="D1364"/>
  <c r="D1365" s="1"/>
  <c r="E1364"/>
  <c r="E1365" s="1"/>
  <c r="F1364"/>
  <c r="F1365" s="1"/>
  <c r="G1364"/>
  <c r="G1365" s="1"/>
  <c r="H1364"/>
  <c r="H1365" s="1"/>
  <c r="I1364"/>
  <c r="I1365" s="1"/>
  <c r="E1367"/>
  <c r="G1367" s="1"/>
  <c r="G1368" s="1"/>
  <c r="D1368"/>
  <c r="C1370"/>
  <c r="D1380"/>
  <c r="E1380"/>
  <c r="F1380"/>
  <c r="G1380"/>
  <c r="H1380"/>
  <c r="I1380"/>
  <c r="D1381"/>
  <c r="D1382" s="1"/>
  <c r="E1381"/>
  <c r="E1382" s="1"/>
  <c r="F1381"/>
  <c r="F1382" s="1"/>
  <c r="G1381"/>
  <c r="G1382" s="1"/>
  <c r="H1381"/>
  <c r="H1382" s="1"/>
  <c r="I1381"/>
  <c r="I1382" s="1"/>
  <c r="E1384"/>
  <c r="D1385"/>
  <c r="C1387"/>
  <c r="D1395"/>
  <c r="E1395"/>
  <c r="F1395"/>
  <c r="G1395"/>
  <c r="H1395"/>
  <c r="I1395"/>
  <c r="K1395"/>
  <c r="L1395"/>
  <c r="D1396"/>
  <c r="D1397" s="1"/>
  <c r="E1396"/>
  <c r="E1397" s="1"/>
  <c r="F1396"/>
  <c r="F1397" s="1"/>
  <c r="G1396"/>
  <c r="G1397" s="1"/>
  <c r="H1396"/>
  <c r="H1397" s="1"/>
  <c r="I1396"/>
  <c r="K1396"/>
  <c r="K1397" s="1"/>
  <c r="L1396"/>
  <c r="L1397" s="1"/>
  <c r="I1397"/>
  <c r="E1399"/>
  <c r="K1399" s="1"/>
  <c r="K1400" s="1"/>
  <c r="D1400"/>
  <c r="C1402"/>
  <c r="F1414"/>
  <c r="I1414" s="1"/>
  <c r="F1415"/>
  <c r="I1415" s="1"/>
  <c r="H1415"/>
  <c r="F1416"/>
  <c r="I1416" s="1"/>
  <c r="H1416"/>
  <c r="D1417"/>
  <c r="F1420"/>
  <c r="I1420" s="1"/>
  <c r="F1422"/>
  <c r="I1422" s="1"/>
  <c r="D1423"/>
  <c r="H1424"/>
  <c r="D1432"/>
  <c r="E1432"/>
  <c r="F1432"/>
  <c r="G1432"/>
  <c r="H1432"/>
  <c r="I1432"/>
  <c r="K1432"/>
  <c r="L1432"/>
  <c r="D1433"/>
  <c r="D1434" s="1"/>
  <c r="E1433"/>
  <c r="E1434" s="1"/>
  <c r="F1433"/>
  <c r="F1434" s="1"/>
  <c r="G1433"/>
  <c r="G1434" s="1"/>
  <c r="H1433"/>
  <c r="H1434" s="1"/>
  <c r="I1433"/>
  <c r="I1434" s="1"/>
  <c r="K1433"/>
  <c r="K1434" s="1"/>
  <c r="L1433"/>
  <c r="L1434" s="1"/>
  <c r="D1436"/>
  <c r="C1438"/>
  <c r="D1445"/>
  <c r="E1445"/>
  <c r="F1445"/>
  <c r="G1445"/>
  <c r="H1445"/>
  <c r="I1445"/>
  <c r="D1446"/>
  <c r="D1447" s="1"/>
  <c r="E1446"/>
  <c r="E1447" s="1"/>
  <c r="F1446"/>
  <c r="G1446"/>
  <c r="G1447" s="1"/>
  <c r="H1446"/>
  <c r="H1447" s="1"/>
  <c r="I1446"/>
  <c r="I1447" s="1"/>
  <c r="F1447"/>
  <c r="E1449"/>
  <c r="G1449" s="1"/>
  <c r="G1450" s="1"/>
  <c r="D1450"/>
  <c r="C1452"/>
  <c r="D1458"/>
  <c r="E1458"/>
  <c r="F1458"/>
  <c r="D1459"/>
  <c r="D1460" s="1"/>
  <c r="E1459"/>
  <c r="E1460" s="1"/>
  <c r="F1459"/>
  <c r="F1460" s="1"/>
  <c r="C1465"/>
  <c r="D1477"/>
  <c r="E1477"/>
  <c r="F1477"/>
  <c r="G1477"/>
  <c r="H1477"/>
  <c r="I1477"/>
  <c r="K1477"/>
  <c r="L1477"/>
  <c r="D1478"/>
  <c r="D1479" s="1"/>
  <c r="E1478"/>
  <c r="E1479" s="1"/>
  <c r="F1478"/>
  <c r="F1479" s="1"/>
  <c r="G1478"/>
  <c r="G1479" s="1"/>
  <c r="H1478"/>
  <c r="H1479" s="1"/>
  <c r="I1478"/>
  <c r="I1479" s="1"/>
  <c r="K1478"/>
  <c r="K1479" s="1"/>
  <c r="L1478"/>
  <c r="L1479" s="1"/>
  <c r="D1481"/>
  <c r="C1483"/>
  <c r="D1490"/>
  <c r="E1490"/>
  <c r="F1490"/>
  <c r="G1490"/>
  <c r="H1490"/>
  <c r="I1490"/>
  <c r="D1491"/>
  <c r="D1492" s="1"/>
  <c r="E1491"/>
  <c r="E1492" s="1"/>
  <c r="F1491"/>
  <c r="F1492" s="1"/>
  <c r="G1491"/>
  <c r="G1492" s="1"/>
  <c r="H1491"/>
  <c r="H1492" s="1"/>
  <c r="I1491"/>
  <c r="I1492" s="1"/>
  <c r="E1494"/>
  <c r="G1494" s="1"/>
  <c r="G1495" s="1"/>
  <c r="D1495"/>
  <c r="C1497"/>
  <c r="D1503"/>
  <c r="E1503"/>
  <c r="F1503"/>
  <c r="D1504"/>
  <c r="D1505" s="1"/>
  <c r="E1504"/>
  <c r="E1505" s="1"/>
  <c r="F1504"/>
  <c r="F1505" s="1"/>
  <c r="C1510"/>
  <c r="D1520"/>
  <c r="E1520"/>
  <c r="F1520"/>
  <c r="G1520"/>
  <c r="H1520"/>
  <c r="I1520"/>
  <c r="K1520"/>
  <c r="L1520"/>
  <c r="D1521"/>
  <c r="D1522" s="1"/>
  <c r="E1521"/>
  <c r="E1522" s="1"/>
  <c r="F1521"/>
  <c r="F1522" s="1"/>
  <c r="G1521"/>
  <c r="G1522" s="1"/>
  <c r="H1521"/>
  <c r="H1522" s="1"/>
  <c r="I1521"/>
  <c r="I1522" s="1"/>
  <c r="K1521"/>
  <c r="K1522" s="1"/>
  <c r="L1521"/>
  <c r="L1522" s="1"/>
  <c r="D1524"/>
  <c r="C1526"/>
  <c r="D1533"/>
  <c r="E1533"/>
  <c r="F1533"/>
  <c r="G1533"/>
  <c r="H1533"/>
  <c r="I1533"/>
  <c r="D1534"/>
  <c r="D1535" s="1"/>
  <c r="E1534"/>
  <c r="E1535" s="1"/>
  <c r="F1534"/>
  <c r="F1535" s="1"/>
  <c r="G1534"/>
  <c r="G1535" s="1"/>
  <c r="H1534"/>
  <c r="H1535" s="1"/>
  <c r="I1534"/>
  <c r="I1535" s="1"/>
  <c r="E1537"/>
  <c r="F1550" s="1"/>
  <c r="F1551" s="1"/>
  <c r="D1538"/>
  <c r="C1540"/>
  <c r="D1546"/>
  <c r="E1546"/>
  <c r="F1546"/>
  <c r="D1547"/>
  <c r="D1548" s="1"/>
  <c r="E1547"/>
  <c r="E1548" s="1"/>
  <c r="F1547"/>
  <c r="F1548" s="1"/>
  <c r="C1553"/>
  <c r="D1563"/>
  <c r="E1563"/>
  <c r="F1563"/>
  <c r="G1563"/>
  <c r="H1563"/>
  <c r="I1563"/>
  <c r="K1563"/>
  <c r="L1563"/>
  <c r="D1564"/>
  <c r="D1565" s="1"/>
  <c r="E1564"/>
  <c r="E1565" s="1"/>
  <c r="F1564"/>
  <c r="F1565" s="1"/>
  <c r="G1564"/>
  <c r="G1565" s="1"/>
  <c r="H1564"/>
  <c r="H1565" s="1"/>
  <c r="I1564"/>
  <c r="I1565" s="1"/>
  <c r="K1564"/>
  <c r="K1565" s="1"/>
  <c r="L1564"/>
  <c r="L1565" s="1"/>
  <c r="D1567"/>
  <c r="C1569"/>
  <c r="D1576"/>
  <c r="E1576"/>
  <c r="F1576"/>
  <c r="G1576"/>
  <c r="H1576"/>
  <c r="I1576"/>
  <c r="D1577"/>
  <c r="D1578" s="1"/>
  <c r="E1577"/>
  <c r="E1578" s="1"/>
  <c r="F1577"/>
  <c r="F1578" s="1"/>
  <c r="G1577"/>
  <c r="G1578" s="1"/>
  <c r="H1577"/>
  <c r="H1578" s="1"/>
  <c r="I1577"/>
  <c r="I1578" s="1"/>
  <c r="E1580"/>
  <c r="G1580" s="1"/>
  <c r="G1581" s="1"/>
  <c r="D1581"/>
  <c r="C1583"/>
  <c r="D1589"/>
  <c r="E1589"/>
  <c r="F1589"/>
  <c r="D1590"/>
  <c r="D1591" s="1"/>
  <c r="E1590"/>
  <c r="E1591" s="1"/>
  <c r="F1590"/>
  <c r="F1591" s="1"/>
  <c r="C1596"/>
  <c r="D1607"/>
  <c r="E1607"/>
  <c r="F1607"/>
  <c r="G1607"/>
  <c r="H1607"/>
  <c r="I1607"/>
  <c r="D1608"/>
  <c r="D1609" s="1"/>
  <c r="E1608"/>
  <c r="E1609" s="1"/>
  <c r="F1608"/>
  <c r="F1609" s="1"/>
  <c r="G1608"/>
  <c r="G1609" s="1"/>
  <c r="H1608"/>
  <c r="H1609" s="1"/>
  <c r="I1608"/>
  <c r="I1609" s="1"/>
  <c r="D1611"/>
  <c r="C1613"/>
  <c r="F1624"/>
  <c r="I1624" s="1"/>
  <c r="F1625"/>
  <c r="I1625" s="1"/>
  <c r="H1625"/>
  <c r="F1626"/>
  <c r="I1626" s="1"/>
  <c r="H1626"/>
  <c r="D1627"/>
  <c r="I1630"/>
  <c r="F1631" s="1"/>
  <c r="D1631"/>
  <c r="H1632"/>
  <c r="D1635"/>
  <c r="D1639"/>
  <c r="E1639"/>
  <c r="F1639"/>
  <c r="G1639"/>
  <c r="H1639"/>
  <c r="I1639"/>
  <c r="K1639"/>
  <c r="L1639"/>
  <c r="D1640"/>
  <c r="D1641" s="1"/>
  <c r="E1640"/>
  <c r="E1641" s="1"/>
  <c r="F1640"/>
  <c r="F1641" s="1"/>
  <c r="G1640"/>
  <c r="G1641" s="1"/>
  <c r="H1640"/>
  <c r="H1641" s="1"/>
  <c r="I1640"/>
  <c r="I1641" s="1"/>
  <c r="K1640"/>
  <c r="K1641" s="1"/>
  <c r="L1640"/>
  <c r="L1641" s="1"/>
  <c r="D1643"/>
  <c r="C1645"/>
  <c r="H1652"/>
  <c r="H1653"/>
  <c r="H1654"/>
  <c r="H1655"/>
  <c r="H1657"/>
  <c r="F1658"/>
  <c r="I1658" s="1"/>
  <c r="H1658"/>
  <c r="F1660"/>
  <c r="I1660" s="1"/>
  <c r="D1661"/>
  <c r="F1663"/>
  <c r="I1663" s="1"/>
  <c r="H1663"/>
  <c r="F1664"/>
  <c r="I1664" s="1"/>
  <c r="H1664"/>
  <c r="F1665"/>
  <c r="I1665" s="1"/>
  <c r="H1665"/>
  <c r="D1666"/>
  <c r="D1676"/>
  <c r="E1676"/>
  <c r="F1676"/>
  <c r="G1676"/>
  <c r="H1676"/>
  <c r="I1676"/>
  <c r="D1678"/>
  <c r="C1680"/>
  <c r="H1688"/>
  <c r="F1690"/>
  <c r="I1690" s="1"/>
  <c r="H1690"/>
  <c r="F1691"/>
  <c r="I1691" s="1"/>
  <c r="H1691"/>
  <c r="D1692"/>
  <c r="C1695"/>
  <c r="D1695"/>
  <c r="H1712"/>
  <c r="H1713"/>
  <c r="H1714"/>
  <c r="F1716"/>
  <c r="I1716" s="1"/>
  <c r="H1716"/>
  <c r="F1717"/>
  <c r="I1717" s="1"/>
  <c r="H1717"/>
  <c r="F1718"/>
  <c r="I1718" s="1"/>
  <c r="H1718"/>
  <c r="D1719"/>
  <c r="F1722"/>
  <c r="I1722" s="1"/>
  <c r="F1723"/>
  <c r="I1723" s="1"/>
  <c r="F1724" s="1"/>
  <c r="D1724"/>
  <c r="C1726"/>
  <c r="D1726"/>
  <c r="H1734"/>
  <c r="H1735"/>
  <c r="H1736"/>
  <c r="F1738"/>
  <c r="I1738" s="1"/>
  <c r="H1738"/>
  <c r="F1739"/>
  <c r="I1739" s="1"/>
  <c r="H1739"/>
  <c r="F1740"/>
  <c r="I1740" s="1"/>
  <c r="H1740"/>
  <c r="D1741"/>
  <c r="C1747"/>
  <c r="D1747"/>
  <c r="D1754"/>
  <c r="D1755"/>
  <c r="D1756" s="1"/>
  <c r="E1755"/>
  <c r="E1756" s="1"/>
  <c r="F1755"/>
  <c r="F1756" s="1"/>
  <c r="G1755"/>
  <c r="G1756" s="1"/>
  <c r="H1755"/>
  <c r="H1756" s="1"/>
  <c r="I1755"/>
  <c r="I1756" s="1"/>
  <c r="K1755"/>
  <c r="K1756" s="1"/>
  <c r="L1755"/>
  <c r="L1756" s="1"/>
  <c r="D1758"/>
  <c r="C1760"/>
  <c r="H1769"/>
  <c r="H1770"/>
  <c r="F1772"/>
  <c r="I1772" s="1"/>
  <c r="H1772"/>
  <c r="F1773"/>
  <c r="I1773" s="1"/>
  <c r="H1773"/>
  <c r="F1774"/>
  <c r="I1774" s="1"/>
  <c r="H1774"/>
  <c r="D1775"/>
  <c r="D1782"/>
  <c r="D1783"/>
  <c r="D1784" s="1"/>
  <c r="E1783"/>
  <c r="E1784" s="1"/>
  <c r="F1783"/>
  <c r="F1784" s="1"/>
  <c r="G1783"/>
  <c r="G1784" s="1"/>
  <c r="H1783"/>
  <c r="H1784" s="1"/>
  <c r="I1783"/>
  <c r="I1784" s="1"/>
  <c r="K1783"/>
  <c r="K1784" s="1"/>
  <c r="L1783"/>
  <c r="L1784" s="1"/>
  <c r="D1786"/>
  <c r="C1788"/>
  <c r="H1797"/>
  <c r="K1797"/>
  <c r="H1798"/>
  <c r="F1800"/>
  <c r="I1800" s="1"/>
  <c r="F1801"/>
  <c r="I1801" s="1"/>
  <c r="F1802"/>
  <c r="I1802" s="1"/>
  <c r="F1803"/>
  <c r="I1803" s="1"/>
  <c r="D1804"/>
  <c r="C1810"/>
  <c r="D1810"/>
  <c r="D1817"/>
  <c r="D1818"/>
  <c r="D1819" s="1"/>
  <c r="E1818"/>
  <c r="E1819" s="1"/>
  <c r="F1818"/>
  <c r="F1819" s="1"/>
  <c r="G1818"/>
  <c r="G1819" s="1"/>
  <c r="H1818"/>
  <c r="H1819" s="1"/>
  <c r="I1818"/>
  <c r="I1819" s="1"/>
  <c r="D1821"/>
  <c r="C1823"/>
  <c r="D1830"/>
  <c r="D1831" s="1"/>
  <c r="E1830"/>
  <c r="E1831" s="1"/>
  <c r="F1830"/>
  <c r="F1831" s="1"/>
  <c r="C1835"/>
  <c r="H1844"/>
  <c r="H1845"/>
  <c r="F1847"/>
  <c r="I1847" s="1"/>
  <c r="H1847"/>
  <c r="F1848"/>
  <c r="I1848" s="1"/>
  <c r="H1848"/>
  <c r="F1849"/>
  <c r="I1849" s="1"/>
  <c r="H1849"/>
  <c r="D1850"/>
  <c r="D1858"/>
  <c r="D1859"/>
  <c r="D1860" s="1"/>
  <c r="E1859"/>
  <c r="E1860" s="1"/>
  <c r="F1859"/>
  <c r="F1860" s="1"/>
  <c r="G1859"/>
  <c r="G1860" s="1"/>
  <c r="H1859"/>
  <c r="H1860" s="1"/>
  <c r="I1859"/>
  <c r="I1860" s="1"/>
  <c r="D1862"/>
  <c r="C1864"/>
  <c r="D1871"/>
  <c r="D1872" s="1"/>
  <c r="E1871"/>
  <c r="E1872" s="1"/>
  <c r="F1871"/>
  <c r="F1872" s="1"/>
  <c r="C1876"/>
  <c r="I1884"/>
  <c r="H1885"/>
  <c r="H1886"/>
  <c r="F1888"/>
  <c r="I1888" s="1"/>
  <c r="F1889"/>
  <c r="I1889" s="1"/>
  <c r="F1890"/>
  <c r="I1890" s="1"/>
  <c r="F1891"/>
  <c r="I1891" s="1"/>
  <c r="D1892"/>
  <c r="C1898"/>
  <c r="D1898"/>
  <c r="D1905"/>
  <c r="E1905"/>
  <c r="F1905"/>
  <c r="G1905"/>
  <c r="H1905"/>
  <c r="I1905"/>
  <c r="K1905"/>
  <c r="L1905"/>
  <c r="D1906"/>
  <c r="D1907" s="1"/>
  <c r="E1906"/>
  <c r="E1907" s="1"/>
  <c r="F1906"/>
  <c r="F1907" s="1"/>
  <c r="G1906"/>
  <c r="G1907" s="1"/>
  <c r="H1906"/>
  <c r="H1907" s="1"/>
  <c r="I1906"/>
  <c r="I1907" s="1"/>
  <c r="K1906"/>
  <c r="K1907" s="1"/>
  <c r="L1906"/>
  <c r="L1907" s="1"/>
  <c r="D1909"/>
  <c r="C1911"/>
  <c r="I1918"/>
  <c r="H1919"/>
  <c r="H1920"/>
  <c r="F1922"/>
  <c r="I1922" s="1"/>
  <c r="H1922"/>
  <c r="F1923"/>
  <c r="I1923" s="1"/>
  <c r="H1923"/>
  <c r="F1924"/>
  <c r="I1924" s="1"/>
  <c r="H1924"/>
  <c r="D1925"/>
  <c r="D1933"/>
  <c r="D1934"/>
  <c r="D1935" s="1"/>
  <c r="E1934"/>
  <c r="E1935" s="1"/>
  <c r="F1934"/>
  <c r="F1935" s="1"/>
  <c r="G1934"/>
  <c r="G1935" s="1"/>
  <c r="H1934"/>
  <c r="H1935" s="1"/>
  <c r="I1934"/>
  <c r="I1935" s="1"/>
  <c r="K1934"/>
  <c r="K1935" s="1"/>
  <c r="L1934"/>
  <c r="L1935" s="1"/>
  <c r="D1937"/>
  <c r="C1939"/>
  <c r="H1947"/>
  <c r="H1948"/>
  <c r="H1950"/>
  <c r="H1952"/>
  <c r="F1953"/>
  <c r="I1953" s="1"/>
  <c r="H1953"/>
  <c r="D1954"/>
  <c r="F1954"/>
  <c r="F1956"/>
  <c r="I1956" s="1"/>
  <c r="H1956"/>
  <c r="F1957"/>
  <c r="I1957" s="1"/>
  <c r="H1957"/>
  <c r="D1958"/>
  <c r="D1963"/>
  <c r="E1963"/>
  <c r="F1963"/>
  <c r="G1963"/>
  <c r="H1963"/>
  <c r="I1963"/>
  <c r="D1964"/>
  <c r="D1965" s="1"/>
  <c r="D1967"/>
  <c r="C1969"/>
  <c r="D1975"/>
  <c r="E1975"/>
  <c r="F1975"/>
  <c r="C1981"/>
  <c r="H1989"/>
  <c r="H1990"/>
  <c r="H1991"/>
  <c r="H1992"/>
  <c r="H1994"/>
  <c r="F1995"/>
  <c r="I1995" s="1"/>
  <c r="F1996" s="1"/>
  <c r="H1995"/>
  <c r="D1996"/>
  <c r="F1998"/>
  <c r="I1998" s="1"/>
  <c r="H1998"/>
  <c r="F1999"/>
  <c r="I1999" s="1"/>
  <c r="H1999"/>
  <c r="D2000"/>
  <c r="C2002"/>
  <c r="D2002"/>
  <c r="H2039"/>
  <c r="H2040"/>
  <c r="H2041"/>
  <c r="H2042"/>
  <c r="H2044"/>
  <c r="F2045"/>
  <c r="I2045" s="1"/>
  <c r="H2045"/>
  <c r="F2047"/>
  <c r="I2047" s="1"/>
  <c r="D2048"/>
  <c r="F2050"/>
  <c r="I2050" s="1"/>
  <c r="H2050"/>
  <c r="F2051"/>
  <c r="I2051" s="1"/>
  <c r="H2051"/>
  <c r="F2052"/>
  <c r="I2052" s="1"/>
  <c r="H2052"/>
  <c r="D2053"/>
  <c r="D2058"/>
  <c r="E2058"/>
  <c r="F2058"/>
  <c r="G2058"/>
  <c r="H2058"/>
  <c r="I2058"/>
  <c r="K2058"/>
  <c r="L2058"/>
  <c r="D2059"/>
  <c r="D2060" s="1"/>
  <c r="D2062"/>
  <c r="C2064"/>
  <c r="D2070"/>
  <c r="E2070"/>
  <c r="F2070"/>
  <c r="C2076"/>
  <c r="F2087"/>
  <c r="I2087" s="1"/>
  <c r="F2088"/>
  <c r="I2088" s="1"/>
  <c r="H2088"/>
  <c r="F2089"/>
  <c r="I2089" s="1"/>
  <c r="H2089"/>
  <c r="D2090"/>
  <c r="H2092"/>
  <c r="I2093"/>
  <c r="F2094" s="1"/>
  <c r="H2093"/>
  <c r="D2094"/>
  <c r="H2095"/>
  <c r="D2099"/>
  <c r="E2099"/>
  <c r="F2099"/>
  <c r="G2099"/>
  <c r="H2099"/>
  <c r="I2099"/>
  <c r="D2100"/>
  <c r="D2101" s="1"/>
  <c r="D2103"/>
  <c r="C2105"/>
  <c r="D2112"/>
  <c r="E2112"/>
  <c r="F2112"/>
  <c r="C2118"/>
  <c r="F2129"/>
  <c r="I2129" s="1"/>
  <c r="F2130"/>
  <c r="I2130" s="1"/>
  <c r="H2130"/>
  <c r="F2131"/>
  <c r="I2131" s="1"/>
  <c r="H2131"/>
  <c r="D2132"/>
  <c r="H2134"/>
  <c r="I2135"/>
  <c r="F2136" s="1"/>
  <c r="H2135"/>
  <c r="D2136"/>
  <c r="H2137"/>
  <c r="D2146"/>
  <c r="E2146"/>
  <c r="F2146"/>
  <c r="G2146"/>
  <c r="H2146"/>
  <c r="I2146"/>
  <c r="D2147"/>
  <c r="D2148" s="1"/>
  <c r="E2147"/>
  <c r="E2148" s="1"/>
  <c r="F2147"/>
  <c r="F2148" s="1"/>
  <c r="G2147"/>
  <c r="G2148" s="1"/>
  <c r="H2147"/>
  <c r="H2148" s="1"/>
  <c r="I2147"/>
  <c r="I2148" s="1"/>
  <c r="D2150"/>
  <c r="C2152"/>
  <c r="D2158"/>
  <c r="E2158"/>
  <c r="F2158"/>
  <c r="D2159"/>
  <c r="D2160" s="1"/>
  <c r="E2159"/>
  <c r="E2160" s="1"/>
  <c r="F2159"/>
  <c r="F2160" s="1"/>
  <c r="C2164"/>
  <c r="D2174"/>
  <c r="E2174"/>
  <c r="F2174"/>
  <c r="G2174"/>
  <c r="H2174"/>
  <c r="I2174"/>
  <c r="K2174"/>
  <c r="L2174"/>
  <c r="D2175"/>
  <c r="D2176" s="1"/>
  <c r="E2175"/>
  <c r="E2176" s="1"/>
  <c r="F2175"/>
  <c r="F2176" s="1"/>
  <c r="G2175"/>
  <c r="G2176" s="1"/>
  <c r="H2175"/>
  <c r="H2176" s="1"/>
  <c r="I2175"/>
  <c r="I2176" s="1"/>
  <c r="K2175"/>
  <c r="K2176" s="1"/>
  <c r="L2175"/>
  <c r="L2176" s="1"/>
  <c r="D2178"/>
  <c r="C2180"/>
  <c r="D2186"/>
  <c r="E2186"/>
  <c r="F2186"/>
  <c r="D2187"/>
  <c r="D2188" s="1"/>
  <c r="E2187"/>
  <c r="E2188" s="1"/>
  <c r="F2187"/>
  <c r="F2188" s="1"/>
  <c r="C2192"/>
  <c r="F2203"/>
  <c r="I2203" s="1"/>
  <c r="F2204"/>
  <c r="I2204" s="1"/>
  <c r="H2204"/>
  <c r="F2205"/>
  <c r="I2205" s="1"/>
  <c r="H2205"/>
  <c r="D2206"/>
  <c r="H2208"/>
  <c r="F2209"/>
  <c r="I2209" s="1"/>
  <c r="F2210" s="1"/>
  <c r="H2209"/>
  <c r="D2210"/>
  <c r="H2211"/>
  <c r="D2220"/>
  <c r="E2220"/>
  <c r="F2220"/>
  <c r="G2220"/>
  <c r="H2220"/>
  <c r="I2220"/>
  <c r="D2221"/>
  <c r="D2222" s="1"/>
  <c r="E2221"/>
  <c r="E2222" s="1"/>
  <c r="F2221"/>
  <c r="F2222" s="1"/>
  <c r="G2221"/>
  <c r="G2222" s="1"/>
  <c r="H2221"/>
  <c r="H2222" s="1"/>
  <c r="I2221"/>
  <c r="I2222" s="1"/>
  <c r="D2224"/>
  <c r="C2226"/>
  <c r="D2236"/>
  <c r="E2236"/>
  <c r="F2236"/>
  <c r="G2236"/>
  <c r="H2236"/>
  <c r="I2236"/>
  <c r="D2237"/>
  <c r="D2238" s="1"/>
  <c r="E2237"/>
  <c r="E2238" s="1"/>
  <c r="F2237"/>
  <c r="F2238" s="1"/>
  <c r="G2237"/>
  <c r="G2238" s="1"/>
  <c r="H2237"/>
  <c r="H2238" s="1"/>
  <c r="I2237"/>
  <c r="I2238" s="1"/>
  <c r="D2240"/>
  <c r="C2242"/>
  <c r="D2252"/>
  <c r="E2252"/>
  <c r="F2252"/>
  <c r="G2252"/>
  <c r="H2252"/>
  <c r="I2252"/>
  <c r="D2253"/>
  <c r="D2254" s="1"/>
  <c r="E2253"/>
  <c r="E2254" s="1"/>
  <c r="F2253"/>
  <c r="F2254" s="1"/>
  <c r="G2253"/>
  <c r="G2254" s="1"/>
  <c r="H2253"/>
  <c r="H2254" s="1"/>
  <c r="I2253"/>
  <c r="I2254" s="1"/>
  <c r="D2256"/>
  <c r="C2258"/>
  <c r="H2266"/>
  <c r="F2267"/>
  <c r="I2267" s="1"/>
  <c r="H2267"/>
  <c r="F2269"/>
  <c r="I2269" s="1"/>
  <c r="H2269"/>
  <c r="F2270"/>
  <c r="I2270" s="1"/>
  <c r="H2270"/>
  <c r="F2271"/>
  <c r="I2271" s="1"/>
  <c r="H2271"/>
  <c r="D2272"/>
  <c r="D2278"/>
  <c r="C2280"/>
  <c r="C2289"/>
  <c r="H2297"/>
  <c r="F2298"/>
  <c r="I2298" s="1"/>
  <c r="H2298"/>
  <c r="F2300"/>
  <c r="I2300" s="1"/>
  <c r="H2300"/>
  <c r="F2301"/>
  <c r="I2301" s="1"/>
  <c r="H2301"/>
  <c r="F2302"/>
  <c r="I2302" s="1"/>
  <c r="H2302"/>
  <c r="D2303"/>
  <c r="D2309"/>
  <c r="C2311"/>
  <c r="C2320"/>
  <c r="H2329"/>
  <c r="H2330"/>
  <c r="H2332"/>
  <c r="H2333"/>
  <c r="F2335"/>
  <c r="I2335" s="1"/>
  <c r="H2335"/>
  <c r="F2336"/>
  <c r="I2336" s="1"/>
  <c r="H2336"/>
  <c r="F2337"/>
  <c r="I2337" s="1"/>
  <c r="H2337"/>
  <c r="D2338"/>
  <c r="D2345"/>
  <c r="D2346"/>
  <c r="D2347" s="1"/>
  <c r="E2346"/>
  <c r="E2347" s="1"/>
  <c r="F2346"/>
  <c r="F2347" s="1"/>
  <c r="G2346"/>
  <c r="G2347" s="1"/>
  <c r="H2346"/>
  <c r="H2347" s="1"/>
  <c r="I2346"/>
  <c r="I2347" s="1"/>
  <c r="K2346"/>
  <c r="K2347" s="1"/>
  <c r="L2346"/>
  <c r="L2347" s="1"/>
  <c r="D2349"/>
  <c r="C2351"/>
  <c r="D2358"/>
  <c r="D2359" s="1"/>
  <c r="E2358"/>
  <c r="E2359" s="1"/>
  <c r="F2358"/>
  <c r="F2359" s="1"/>
  <c r="C2363"/>
  <c r="H2372"/>
  <c r="H2373"/>
  <c r="H2375"/>
  <c r="H2376"/>
  <c r="F2378"/>
  <c r="I2378" s="1"/>
  <c r="H2378"/>
  <c r="F2379"/>
  <c r="I2379" s="1"/>
  <c r="H2379"/>
  <c r="F2380"/>
  <c r="I2380" s="1"/>
  <c r="H2380"/>
  <c r="D2381"/>
  <c r="D2389"/>
  <c r="D2390"/>
  <c r="D2391" s="1"/>
  <c r="E2390"/>
  <c r="E2391" s="1"/>
  <c r="F2390"/>
  <c r="F2391" s="1"/>
  <c r="G2390"/>
  <c r="G2391" s="1"/>
  <c r="H2390"/>
  <c r="H2391" s="1"/>
  <c r="I2390"/>
  <c r="I2391" s="1"/>
  <c r="D2393"/>
  <c r="C2395"/>
  <c r="D2402"/>
  <c r="D2403" s="1"/>
  <c r="E2402"/>
  <c r="E2403" s="1"/>
  <c r="F2402"/>
  <c r="F2403" s="1"/>
  <c r="C2407"/>
  <c r="H2415"/>
  <c r="H2416"/>
  <c r="F2418"/>
  <c r="I2418" s="1"/>
  <c r="H2418"/>
  <c r="F2419"/>
  <c r="I2419" s="1"/>
  <c r="H2419"/>
  <c r="D2420"/>
  <c r="C2427"/>
  <c r="D2427"/>
  <c r="D2434"/>
  <c r="D2435"/>
  <c r="D2436" s="1"/>
  <c r="E2435"/>
  <c r="E2436" s="1"/>
  <c r="F2435"/>
  <c r="F2436" s="1"/>
  <c r="G2435"/>
  <c r="G2436" s="1"/>
  <c r="H2435"/>
  <c r="H2436" s="1"/>
  <c r="I2435"/>
  <c r="I2436" s="1"/>
  <c r="K2435"/>
  <c r="K2436" s="1"/>
  <c r="L2435"/>
  <c r="L2436" s="1"/>
  <c r="D2438"/>
  <c r="C2440"/>
  <c r="H2449"/>
  <c r="H2450"/>
  <c r="H2452"/>
  <c r="H2453"/>
  <c r="F2455"/>
  <c r="I2455" s="1"/>
  <c r="H2455"/>
  <c r="F2456"/>
  <c r="I2456" s="1"/>
  <c r="H2456"/>
  <c r="F2457"/>
  <c r="I2457" s="1"/>
  <c r="H2457"/>
  <c r="D2458"/>
  <c r="D2466"/>
  <c r="D2467"/>
  <c r="D2468" s="1"/>
  <c r="E2467"/>
  <c r="E2468" s="1"/>
  <c r="F2467"/>
  <c r="F2468" s="1"/>
  <c r="G2467"/>
  <c r="G2468" s="1"/>
  <c r="H2467"/>
  <c r="H2468" s="1"/>
  <c r="I2467"/>
  <c r="I2468" s="1"/>
  <c r="K2467"/>
  <c r="K2468" s="1"/>
  <c r="L2467"/>
  <c r="L2468" s="1"/>
  <c r="D2470"/>
  <c r="C2472"/>
  <c r="H2480"/>
  <c r="H2481"/>
  <c r="F2483"/>
  <c r="I2483" s="1"/>
  <c r="H2483"/>
  <c r="F2484"/>
  <c r="I2484" s="1"/>
  <c r="H2484"/>
  <c r="D2485"/>
  <c r="C2492"/>
  <c r="D2492"/>
  <c r="D2499"/>
  <c r="D2500"/>
  <c r="D2501" s="1"/>
  <c r="E2500"/>
  <c r="E2501" s="1"/>
  <c r="F2500"/>
  <c r="F2501" s="1"/>
  <c r="G2500"/>
  <c r="G2501" s="1"/>
  <c r="H2500"/>
  <c r="H2501" s="1"/>
  <c r="I2500"/>
  <c r="I2501" s="1"/>
  <c r="K2500"/>
  <c r="K2501" s="1"/>
  <c r="L2500"/>
  <c r="L2501" s="1"/>
  <c r="D2503"/>
  <c r="C2505"/>
  <c r="H2513"/>
  <c r="H2514"/>
  <c r="F2515"/>
  <c r="G2515"/>
  <c r="H2515"/>
  <c r="F2517"/>
  <c r="I2517" s="1"/>
  <c r="H2517"/>
  <c r="F2518"/>
  <c r="I2518" s="1"/>
  <c r="H2518"/>
  <c r="F2519"/>
  <c r="I2519" s="1"/>
  <c r="H2519"/>
  <c r="D2520"/>
  <c r="K2522"/>
  <c r="D2527"/>
  <c r="C2529"/>
  <c r="C2539"/>
  <c r="H2547"/>
  <c r="H2548"/>
  <c r="F2549"/>
  <c r="G2549"/>
  <c r="H2549"/>
  <c r="F2551"/>
  <c r="I2551" s="1"/>
  <c r="H2551"/>
  <c r="F2552"/>
  <c r="I2552" s="1"/>
  <c r="H2552"/>
  <c r="D2553"/>
  <c r="D2560"/>
  <c r="C2562"/>
  <c r="C2572"/>
  <c r="F2581"/>
  <c r="I2581" s="1"/>
  <c r="H2581"/>
  <c r="H2582"/>
  <c r="H2583"/>
  <c r="F2588"/>
  <c r="I2588" s="1"/>
  <c r="H2588"/>
  <c r="F2589"/>
  <c r="I2589" s="1"/>
  <c r="H2589"/>
  <c r="F2590"/>
  <c r="I2590" s="1"/>
  <c r="H2590"/>
  <c r="D2591"/>
  <c r="H2593"/>
  <c r="F2594"/>
  <c r="I2594" s="1"/>
  <c r="H2594"/>
  <c r="D2595"/>
  <c r="F2595"/>
  <c r="D2602"/>
  <c r="D2603"/>
  <c r="D2604" s="1"/>
  <c r="E2603"/>
  <c r="E2604" s="1"/>
  <c r="F2603"/>
  <c r="G2603"/>
  <c r="G2604" s="1"/>
  <c r="H2603"/>
  <c r="H2604" s="1"/>
  <c r="I2603"/>
  <c r="I2604" s="1"/>
  <c r="F2604"/>
  <c r="D2606"/>
  <c r="C2608"/>
  <c r="D2615"/>
  <c r="D2616" s="1"/>
  <c r="E2615"/>
  <c r="E2616" s="1"/>
  <c r="F2615"/>
  <c r="F2616" s="1"/>
  <c r="C2620"/>
  <c r="F2634"/>
  <c r="I2634" s="1"/>
  <c r="F2635"/>
  <c r="I2635" s="1"/>
  <c r="F2636"/>
  <c r="I2636" s="1"/>
  <c r="D2637"/>
  <c r="D2644"/>
  <c r="C2646"/>
  <c r="F2661"/>
  <c r="I2661" s="1"/>
  <c r="F2662"/>
  <c r="I2662" s="1"/>
  <c r="F2663"/>
  <c r="I2663" s="1"/>
  <c r="D2664"/>
  <c r="D2671"/>
  <c r="C2673"/>
  <c r="F2682"/>
  <c r="I2682" s="1"/>
  <c r="F2685"/>
  <c r="I2685" s="1"/>
  <c r="F2688"/>
  <c r="I2688" s="1"/>
  <c r="F2689"/>
  <c r="I2689" s="1"/>
  <c r="F2690"/>
  <c r="I2690" s="1"/>
  <c r="D2691"/>
  <c r="D2698"/>
  <c r="C2700"/>
  <c r="C2710"/>
  <c r="F2719"/>
  <c r="I2719" s="1"/>
  <c r="I2722"/>
  <c r="F2725"/>
  <c r="I2725" s="1"/>
  <c r="F2726"/>
  <c r="I2726" s="1"/>
  <c r="F2727"/>
  <c r="I2727" s="1"/>
  <c r="D2728"/>
  <c r="D2735"/>
  <c r="C2737"/>
  <c r="F2745"/>
  <c r="I2745" s="1"/>
  <c r="F2748"/>
  <c r="I2748" s="1"/>
  <c r="F2751"/>
  <c r="I2751" s="1"/>
  <c r="F2752"/>
  <c r="I2752" s="1"/>
  <c r="F2753"/>
  <c r="I2753" s="1"/>
  <c r="D2754"/>
  <c r="D2761"/>
  <c r="C2763"/>
  <c r="F2771"/>
  <c r="I2771" s="1"/>
  <c r="F2774"/>
  <c r="I2774" s="1"/>
  <c r="F2777"/>
  <c r="I2777" s="1"/>
  <c r="F2778"/>
  <c r="I2778" s="1"/>
  <c r="F2779"/>
  <c r="I2779" s="1"/>
  <c r="D2780"/>
  <c r="D2787"/>
  <c r="C2789"/>
  <c r="F2798"/>
  <c r="I2798" s="1"/>
  <c r="F2801"/>
  <c r="I2801" s="1"/>
  <c r="F2804"/>
  <c r="I2804" s="1"/>
  <c r="F2805"/>
  <c r="I2805" s="1"/>
  <c r="F2806"/>
  <c r="I2806" s="1"/>
  <c r="D2807"/>
  <c r="D2814"/>
  <c r="C2816"/>
  <c r="F2825"/>
  <c r="I2825" s="1"/>
  <c r="F2828"/>
  <c r="I2828" s="1"/>
  <c r="F2831"/>
  <c r="I2831" s="1"/>
  <c r="F2832"/>
  <c r="I2832" s="1"/>
  <c r="F2833"/>
  <c r="I2833" s="1"/>
  <c r="D2834"/>
  <c r="D2841"/>
  <c r="C2843"/>
  <c r="C2851"/>
  <c r="C2853"/>
  <c r="I2862"/>
  <c r="F2865"/>
  <c r="I2865" s="1"/>
  <c r="F2868"/>
  <c r="I2868" s="1"/>
  <c r="F2869"/>
  <c r="I2869" s="1"/>
  <c r="F2870"/>
  <c r="I2870" s="1"/>
  <c r="D2871"/>
  <c r="C2879"/>
  <c r="D2879"/>
  <c r="C2881"/>
  <c r="H2898"/>
  <c r="H2899"/>
  <c r="D2900"/>
  <c r="H2900"/>
  <c r="H2901"/>
  <c r="H2903"/>
  <c r="F2904"/>
  <c r="I2904" s="1"/>
  <c r="F2905" s="1"/>
  <c r="H2904"/>
  <c r="D2905"/>
  <c r="H2906"/>
  <c r="F2907"/>
  <c r="I2907" s="1"/>
  <c r="F2908" s="1"/>
  <c r="H2907"/>
  <c r="D2908"/>
  <c r="F2910"/>
  <c r="I2910" s="1"/>
  <c r="H2910"/>
  <c r="F2911"/>
  <c r="I2911" s="1"/>
  <c r="H2911"/>
  <c r="D2912"/>
  <c r="D2917"/>
  <c r="F2917"/>
  <c r="D2918"/>
  <c r="F2918"/>
  <c r="D2919"/>
  <c r="I2920"/>
  <c r="I2921"/>
  <c r="I2922"/>
  <c r="I2923"/>
  <c r="C2925"/>
  <c r="D2925"/>
  <c r="H2931"/>
  <c r="I2931"/>
  <c r="I2932" s="1"/>
  <c r="F2933" s="1"/>
  <c r="C2933"/>
  <c r="D2933"/>
  <c r="H2938"/>
  <c r="I2938"/>
  <c r="I2939" s="1"/>
  <c r="F2940" s="1"/>
  <c r="C2940"/>
  <c r="D2940"/>
  <c r="I2945"/>
  <c r="F2946" s="1"/>
  <c r="C2946"/>
  <c r="D2946"/>
  <c r="I2951"/>
  <c r="F2952" s="1"/>
  <c r="C2952"/>
  <c r="D2952"/>
  <c r="D2957"/>
  <c r="F2969"/>
  <c r="I2969" s="1"/>
  <c r="F2972"/>
  <c r="I2972" s="1"/>
  <c r="F2975"/>
  <c r="I2975" s="1"/>
  <c r="F2976"/>
  <c r="I2976" s="1"/>
  <c r="F2977"/>
  <c r="I2977" s="1"/>
  <c r="D2978"/>
  <c r="D2985"/>
  <c r="C2987"/>
  <c r="F2999"/>
  <c r="I2999" s="1"/>
  <c r="F3002"/>
  <c r="I3002" s="1"/>
  <c r="F3003"/>
  <c r="I3003" s="1"/>
  <c r="F3004"/>
  <c r="I3004" s="1"/>
  <c r="D3005"/>
  <c r="D3012"/>
  <c r="C3014"/>
  <c r="C3024"/>
  <c r="F3036"/>
  <c r="I3036" s="1"/>
  <c r="F3039"/>
  <c r="I3039" s="1"/>
  <c r="F3040"/>
  <c r="I3040" s="1"/>
  <c r="F3041"/>
  <c r="I3041" s="1"/>
  <c r="D3042"/>
  <c r="F3043"/>
  <c r="I3043" s="1"/>
  <c r="F3044"/>
  <c r="I3044" s="1"/>
  <c r="D3045"/>
  <c r="D3052"/>
  <c r="C3054"/>
  <c r="C3064"/>
  <c r="I3074"/>
  <c r="F3076"/>
  <c r="I3076" s="1"/>
  <c r="F3077"/>
  <c r="I3077" s="1"/>
  <c r="F3078"/>
  <c r="I3078" s="1"/>
  <c r="D3079"/>
  <c r="F3080"/>
  <c r="I3080" s="1"/>
  <c r="F3081"/>
  <c r="I3081" s="1"/>
  <c r="D3082"/>
  <c r="D3089"/>
  <c r="C3091"/>
  <c r="H3100"/>
  <c r="H3101"/>
  <c r="H3102"/>
  <c r="F3104"/>
  <c r="I3104" s="1"/>
  <c r="H3104"/>
  <c r="F3105"/>
  <c r="I3105" s="1"/>
  <c r="H3105"/>
  <c r="F3106"/>
  <c r="I3106" s="1"/>
  <c r="H3106"/>
  <c r="D3107"/>
  <c r="D3114"/>
  <c r="C3116"/>
  <c r="C3126"/>
  <c r="F3135"/>
  <c r="I3135" s="1"/>
  <c r="H3135"/>
  <c r="H3136"/>
  <c r="H3137"/>
  <c r="H3138"/>
  <c r="H3139"/>
  <c r="M3140"/>
  <c r="F3141"/>
  <c r="I3141" s="1"/>
  <c r="M3141" s="1"/>
  <c r="H3141"/>
  <c r="F3142"/>
  <c r="I3142" s="1"/>
  <c r="M3142" s="1"/>
  <c r="H3142"/>
  <c r="F3143"/>
  <c r="I3143" s="1"/>
  <c r="M3143" s="1"/>
  <c r="H3143"/>
  <c r="D3144"/>
  <c r="D3151"/>
  <c r="C3153"/>
  <c r="C3163"/>
  <c r="H3172"/>
  <c r="I3172"/>
  <c r="H3173"/>
  <c r="H3174"/>
  <c r="H3175"/>
  <c r="H3176"/>
  <c r="F3178"/>
  <c r="I3178" s="1"/>
  <c r="H3178"/>
  <c r="F3179"/>
  <c r="I3179" s="1"/>
  <c r="H3179"/>
  <c r="F3180"/>
  <c r="I3180" s="1"/>
  <c r="H3180"/>
  <c r="D3181"/>
  <c r="D3188"/>
  <c r="C3190"/>
  <c r="C3200"/>
  <c r="F3215"/>
  <c r="I3215" s="1"/>
  <c r="F3216"/>
  <c r="I3216" s="1"/>
  <c r="F3217"/>
  <c r="I3217" s="1"/>
  <c r="D3218"/>
  <c r="F3219"/>
  <c r="I3219" s="1"/>
  <c r="F3220" s="1"/>
  <c r="D3220"/>
  <c r="D3227"/>
  <c r="C3229"/>
  <c r="F3243"/>
  <c r="I3243" s="1"/>
  <c r="F3244"/>
  <c r="I3244" s="1"/>
  <c r="F3245"/>
  <c r="I3245" s="1"/>
  <c r="D3246"/>
  <c r="D3253"/>
  <c r="C3255"/>
  <c r="F3272"/>
  <c r="I3272" s="1"/>
  <c r="F3273"/>
  <c r="I3273" s="1"/>
  <c r="F3274"/>
  <c r="I3274" s="1"/>
  <c r="D3275"/>
  <c r="F3276"/>
  <c r="I3276" s="1"/>
  <c r="F3277" s="1"/>
  <c r="D3277"/>
  <c r="D3284"/>
  <c r="C3286"/>
  <c r="F3301"/>
  <c r="I3301" s="1"/>
  <c r="F3302"/>
  <c r="I3302" s="1"/>
  <c r="F3303"/>
  <c r="I3303" s="1"/>
  <c r="D3304"/>
  <c r="D3311"/>
  <c r="C3313"/>
  <c r="F3326"/>
  <c r="I3326" s="1"/>
  <c r="F3329"/>
  <c r="I3329" s="1"/>
  <c r="F3330"/>
  <c r="I3330" s="1"/>
  <c r="F3331"/>
  <c r="I3331" s="1"/>
  <c r="D3332"/>
  <c r="F3333"/>
  <c r="I3333" s="1"/>
  <c r="F3334"/>
  <c r="I3334" s="1"/>
  <c r="D3335"/>
  <c r="D3342"/>
  <c r="C3344"/>
  <c r="C3354"/>
  <c r="F3367"/>
  <c r="I3367" s="1"/>
  <c r="F3368"/>
  <c r="I3368" s="1"/>
  <c r="F3369" s="1"/>
  <c r="D3369"/>
  <c r="F3371"/>
  <c r="I3371" s="1"/>
  <c r="F3372"/>
  <c r="I3372" s="1"/>
  <c r="F3373"/>
  <c r="I3373" s="1"/>
  <c r="D3374"/>
  <c r="D3381"/>
  <c r="C3383"/>
  <c r="C3393"/>
  <c r="F3407"/>
  <c r="I3407" s="1"/>
  <c r="F3408"/>
  <c r="I3408" s="1"/>
  <c r="F3409"/>
  <c r="I3409" s="1"/>
  <c r="D3410"/>
  <c r="D3417"/>
  <c r="C3419"/>
  <c r="F3433"/>
  <c r="I3433" s="1"/>
  <c r="F3434"/>
  <c r="I3434" s="1"/>
  <c r="F3435"/>
  <c r="I3435" s="1"/>
  <c r="D3436"/>
  <c r="D3443"/>
  <c r="C3445"/>
  <c r="I3454"/>
  <c r="F3458"/>
  <c r="I3458" s="1"/>
  <c r="F3460"/>
  <c r="I3460" s="1"/>
  <c r="F3461"/>
  <c r="I3461" s="1"/>
  <c r="D3462"/>
  <c r="D3469"/>
  <c r="C3471"/>
  <c r="F3479"/>
  <c r="I3479" s="1"/>
  <c r="F3483"/>
  <c r="I3483" s="1"/>
  <c r="F3485"/>
  <c r="I3485" s="1"/>
  <c r="F3486"/>
  <c r="I3486" s="1"/>
  <c r="F3487"/>
  <c r="I3487" s="1"/>
  <c r="D3488"/>
  <c r="D3495"/>
  <c r="C3497"/>
  <c r="F3505"/>
  <c r="I3505" s="1"/>
  <c r="F3509"/>
  <c r="I3509" s="1"/>
  <c r="F3511"/>
  <c r="I3511" s="1"/>
  <c r="F3512"/>
  <c r="I3512" s="1"/>
  <c r="F3513"/>
  <c r="I3513" s="1"/>
  <c r="D3514"/>
  <c r="D3521"/>
  <c r="C3523"/>
  <c r="C3533"/>
  <c r="F3543"/>
  <c r="I3543" s="1"/>
  <c r="F3547"/>
  <c r="I3547" s="1"/>
  <c r="F3549"/>
  <c r="I3549" s="1"/>
  <c r="F3550"/>
  <c r="I3550" s="1"/>
  <c r="F3551"/>
  <c r="I3551" s="1"/>
  <c r="D3552"/>
  <c r="D3559"/>
  <c r="C3561"/>
  <c r="D3570"/>
  <c r="C3572"/>
  <c r="F3585"/>
  <c r="I3585" s="1"/>
  <c r="F3586"/>
  <c r="I3586" s="1"/>
  <c r="F3587" s="1"/>
  <c r="D3587"/>
  <c r="F3589"/>
  <c r="I3589" s="1"/>
  <c r="F3591"/>
  <c r="D3592"/>
  <c r="D3599"/>
  <c r="C3601"/>
  <c r="C3611"/>
  <c r="F3624"/>
  <c r="I3624" s="1"/>
  <c r="F3626"/>
  <c r="I3626" s="1"/>
  <c r="F3628"/>
  <c r="F3627" s="1"/>
  <c r="I3627" s="1"/>
  <c r="D3629"/>
  <c r="D3636"/>
  <c r="C3638"/>
  <c r="C3648"/>
  <c r="F3657"/>
  <c r="I3657" s="1"/>
  <c r="F3661"/>
  <c r="I3661" s="1"/>
  <c r="F3663"/>
  <c r="I3663" s="1"/>
  <c r="F3664"/>
  <c r="I3664" s="1"/>
  <c r="D3665"/>
  <c r="D3674"/>
  <c r="C3676"/>
  <c r="C3686"/>
  <c r="F3695"/>
  <c r="I3695" s="1"/>
  <c r="F3699"/>
  <c r="I3699" s="1"/>
  <c r="F3701"/>
  <c r="I3701" s="1"/>
  <c r="F3702"/>
  <c r="I3702" s="1"/>
  <c r="D3703"/>
  <c r="D3710"/>
  <c r="C3712"/>
  <c r="C3722"/>
  <c r="H3731"/>
  <c r="H3733"/>
  <c r="H3734"/>
  <c r="H3736"/>
  <c r="F3737"/>
  <c r="I3737" s="1"/>
  <c r="H3737"/>
  <c r="D3738"/>
  <c r="F3738"/>
  <c r="F3740"/>
  <c r="I3740" s="1"/>
  <c r="H3740"/>
  <c r="F3741"/>
  <c r="I3741" s="1"/>
  <c r="H3741"/>
  <c r="D3742"/>
  <c r="D3748"/>
  <c r="C3750"/>
  <c r="C3759"/>
  <c r="F3771"/>
  <c r="I3771" s="1"/>
  <c r="F3772"/>
  <c r="I3772" s="1"/>
  <c r="F3773"/>
  <c r="I3773" s="1"/>
  <c r="H3773"/>
  <c r="D3774"/>
  <c r="H3776"/>
  <c r="F3777"/>
  <c r="I3777" s="1"/>
  <c r="H3777"/>
  <c r="H3778"/>
  <c r="F3779"/>
  <c r="I3779" s="1"/>
  <c r="H3779"/>
  <c r="D3780"/>
  <c r="F3780"/>
  <c r="H3781"/>
  <c r="D3786"/>
  <c r="E3786"/>
  <c r="F3786"/>
  <c r="G3786"/>
  <c r="H3786"/>
  <c r="I3786"/>
  <c r="K3786"/>
  <c r="D3787"/>
  <c r="D3788" s="1"/>
  <c r="E3787"/>
  <c r="E3788" s="1"/>
  <c r="F3787"/>
  <c r="F3788" s="1"/>
  <c r="G3787"/>
  <c r="G3788" s="1"/>
  <c r="H3787"/>
  <c r="H3788" s="1"/>
  <c r="I3787"/>
  <c r="I3788" s="1"/>
  <c r="K3787"/>
  <c r="K3788" s="1"/>
  <c r="C3792"/>
  <c r="D3798"/>
  <c r="E3798"/>
  <c r="D3799"/>
  <c r="D3800" s="1"/>
  <c r="E3799"/>
  <c r="E3800" s="1"/>
  <c r="C3804"/>
  <c r="D3810"/>
  <c r="D3811"/>
  <c r="D3812"/>
  <c r="D3813"/>
  <c r="F3814"/>
  <c r="F3815"/>
  <c r="F3816"/>
  <c r="I3816" s="1"/>
  <c r="F3817"/>
  <c r="I3817" s="1"/>
  <c r="F3818"/>
  <c r="I3818" s="1"/>
  <c r="F3819"/>
  <c r="I3819" s="1"/>
  <c r="C3823"/>
  <c r="D3823"/>
  <c r="D3829"/>
  <c r="D3830"/>
  <c r="D3832" s="1"/>
  <c r="D3831"/>
  <c r="F3833"/>
  <c r="F3834"/>
  <c r="F3835"/>
  <c r="I3835" s="1"/>
  <c r="F3836"/>
  <c r="I3836" s="1"/>
  <c r="F3837"/>
  <c r="I3837" s="1"/>
  <c r="F3838"/>
  <c r="I3838" s="1"/>
  <c r="C3841"/>
  <c r="D3841"/>
  <c r="F3846"/>
  <c r="I3846" s="1"/>
  <c r="D3847"/>
  <c r="F3847"/>
  <c r="C3849"/>
  <c r="D3849"/>
  <c r="F3853"/>
  <c r="G3853"/>
  <c r="H3853"/>
  <c r="F3854"/>
  <c r="I3854" s="1"/>
  <c r="H3854"/>
  <c r="F3855"/>
  <c r="I3855" s="1"/>
  <c r="H3855"/>
  <c r="C3858"/>
  <c r="D3858"/>
  <c r="F3864"/>
  <c r="G3864"/>
  <c r="H3864"/>
  <c r="F3865"/>
  <c r="I3865" s="1"/>
  <c r="H3865"/>
  <c r="F3866"/>
  <c r="I3866" s="1"/>
  <c r="H3866"/>
  <c r="C3869"/>
  <c r="D3869"/>
  <c r="F3874"/>
  <c r="I3874" s="1"/>
  <c r="I3875" s="1"/>
  <c r="E3878" s="1"/>
  <c r="D3879"/>
  <c r="D3880"/>
  <c r="D3881" s="1"/>
  <c r="E3880"/>
  <c r="E3881" s="1"/>
  <c r="F3880"/>
  <c r="F3881" s="1"/>
  <c r="G3880"/>
  <c r="G3881" s="1"/>
  <c r="H3880"/>
  <c r="H3881" s="1"/>
  <c r="I3880"/>
  <c r="I3881" s="1"/>
  <c r="C3883"/>
  <c r="D3890"/>
  <c r="D3891" s="1"/>
  <c r="E3890"/>
  <c r="E3891" s="1"/>
  <c r="F3890"/>
  <c r="F3891" s="1"/>
  <c r="C3893"/>
  <c r="H3898"/>
  <c r="F3901"/>
  <c r="G3901"/>
  <c r="H3901"/>
  <c r="F3903"/>
  <c r="I3903" s="1"/>
  <c r="H3903"/>
  <c r="F3904"/>
  <c r="I3904" s="1"/>
  <c r="H3904"/>
  <c r="F3905"/>
  <c r="I3905" s="1"/>
  <c r="H3905"/>
  <c r="D3906"/>
  <c r="H3906"/>
  <c r="H3907"/>
  <c r="C3909"/>
  <c r="D3909"/>
  <c r="I3915"/>
  <c r="C3916"/>
  <c r="D3916"/>
  <c r="F3923"/>
  <c r="G3923"/>
  <c r="F3924"/>
  <c r="I3924" s="1"/>
  <c r="F3925"/>
  <c r="I3925" s="1"/>
  <c r="F3926"/>
  <c r="I3926" s="1"/>
  <c r="D3927"/>
  <c r="C3930"/>
  <c r="D3930"/>
  <c r="F3938"/>
  <c r="G3938"/>
  <c r="F3939"/>
  <c r="I3939" s="1"/>
  <c r="F3940"/>
  <c r="I3940" s="1"/>
  <c r="F3941"/>
  <c r="I3941" s="1"/>
  <c r="D3942"/>
  <c r="F3944"/>
  <c r="I3944" s="1"/>
  <c r="F3945"/>
  <c r="I3945" s="1"/>
  <c r="F3946" s="1"/>
  <c r="D3946"/>
  <c r="C3948"/>
  <c r="D3948"/>
  <c r="F3956"/>
  <c r="G3956"/>
  <c r="H3956"/>
  <c r="F3957"/>
  <c r="I3957" s="1"/>
  <c r="F3958"/>
  <c r="I3958" s="1"/>
  <c r="F3959"/>
  <c r="I3959" s="1"/>
  <c r="F3960"/>
  <c r="I3960" s="1"/>
  <c r="F3961"/>
  <c r="I3961" s="1"/>
  <c r="D3962"/>
  <c r="C3965"/>
  <c r="D3965"/>
  <c r="F3973"/>
  <c r="I3973" s="1"/>
  <c r="F3974"/>
  <c r="I3974" s="1"/>
  <c r="F3975"/>
  <c r="I3975" s="1"/>
  <c r="D3976"/>
  <c r="C3979"/>
  <c r="D3979"/>
  <c r="F3986"/>
  <c r="I3986" s="1"/>
  <c r="H3986"/>
  <c r="F3987"/>
  <c r="I3987" s="1"/>
  <c r="H3987"/>
  <c r="F3988"/>
  <c r="I3988" s="1"/>
  <c r="H3988"/>
  <c r="F3989"/>
  <c r="I3989" s="1"/>
  <c r="H3989"/>
  <c r="F3990"/>
  <c r="I3990" s="1"/>
  <c r="H3990"/>
  <c r="F3991"/>
  <c r="I3991" s="1"/>
  <c r="H3991"/>
  <c r="F3992"/>
  <c r="I3992" s="1"/>
  <c r="H3992"/>
  <c r="D3993"/>
  <c r="C3996"/>
  <c r="D3996"/>
  <c r="F4003"/>
  <c r="I4003" s="1"/>
  <c r="H4003"/>
  <c r="F4004"/>
  <c r="I4004" s="1"/>
  <c r="H4004"/>
  <c r="F4005"/>
  <c r="I4005" s="1"/>
  <c r="H4005"/>
  <c r="F4006"/>
  <c r="I4006" s="1"/>
  <c r="H4006"/>
  <c r="D4007"/>
  <c r="C4010"/>
  <c r="D4010"/>
  <c r="F4019"/>
  <c r="I4019" s="1"/>
  <c r="H4019"/>
  <c r="F4020"/>
  <c r="I4020" s="1"/>
  <c r="H4020"/>
  <c r="F4021"/>
  <c r="I4021" s="1"/>
  <c r="H4021"/>
  <c r="F4022"/>
  <c r="I4022" s="1"/>
  <c r="H4022"/>
  <c r="F4023"/>
  <c r="I4023" s="1"/>
  <c r="H4023"/>
  <c r="F4024"/>
  <c r="I4024" s="1"/>
  <c r="H4024"/>
  <c r="D4025"/>
  <c r="C4028"/>
  <c r="D4028"/>
  <c r="F4037"/>
  <c r="I4037" s="1"/>
  <c r="H4037"/>
  <c r="F4038"/>
  <c r="I4038" s="1"/>
  <c r="H4038"/>
  <c r="F4039"/>
  <c r="I4039" s="1"/>
  <c r="H4039"/>
  <c r="I4040"/>
  <c r="H4040"/>
  <c r="F4041"/>
  <c r="I4041" s="1"/>
  <c r="H4041"/>
  <c r="F4042"/>
  <c r="I4042" s="1"/>
  <c r="H4042"/>
  <c r="F4043"/>
  <c r="I4043" s="1"/>
  <c r="H4043"/>
  <c r="D4044"/>
  <c r="F4046"/>
  <c r="I4046" s="1"/>
  <c r="F4047"/>
  <c r="I4047" s="1"/>
  <c r="F4048" s="1"/>
  <c r="D4048"/>
  <c r="C4050"/>
  <c r="D4050"/>
  <c r="F4057"/>
  <c r="I4057" s="1"/>
  <c r="F4059"/>
  <c r="I4059" s="1"/>
  <c r="H4059"/>
  <c r="F4060"/>
  <c r="I4060" s="1"/>
  <c r="H4060"/>
  <c r="F4061"/>
  <c r="I4061" s="1"/>
  <c r="H4061"/>
  <c r="F4063"/>
  <c r="I4063" s="1"/>
  <c r="H4063"/>
  <c r="F4064"/>
  <c r="I4064" s="1"/>
  <c r="H4064"/>
  <c r="F4065"/>
  <c r="I4065" s="1"/>
  <c r="H4065"/>
  <c r="D4066"/>
  <c r="C4069"/>
  <c r="D4069"/>
  <c r="F4076"/>
  <c r="I4076" s="1"/>
  <c r="H4076"/>
  <c r="F4077"/>
  <c r="I4077" s="1"/>
  <c r="H4077"/>
  <c r="F4078"/>
  <c r="I4078" s="1"/>
  <c r="H4078"/>
  <c r="D4079"/>
  <c r="C4082"/>
  <c r="D4082"/>
  <c r="F4091"/>
  <c r="I4091" s="1"/>
  <c r="H4091"/>
  <c r="F4093"/>
  <c r="I4093" s="1"/>
  <c r="H4093"/>
  <c r="F4094"/>
  <c r="I4094" s="1"/>
  <c r="H4094"/>
  <c r="D4095"/>
  <c r="C4098"/>
  <c r="D4098"/>
  <c r="F4107"/>
  <c r="I4107" s="1"/>
  <c r="H4107"/>
  <c r="F4109"/>
  <c r="I4109" s="1"/>
  <c r="H4109"/>
  <c r="F4110"/>
  <c r="I4110" s="1"/>
  <c r="H4110"/>
  <c r="D4111"/>
  <c r="C4114"/>
  <c r="D4114"/>
  <c r="F4123"/>
  <c r="I4123" s="1"/>
  <c r="H4123"/>
  <c r="F4124"/>
  <c r="I4124" s="1"/>
  <c r="H4124"/>
  <c r="F4127"/>
  <c r="I4127" s="1"/>
  <c r="H4127"/>
  <c r="F4128"/>
  <c r="I4128" s="1"/>
  <c r="H4128"/>
  <c r="F4130"/>
  <c r="I4130" s="1"/>
  <c r="H4130"/>
  <c r="F4131"/>
  <c r="I4131" s="1"/>
  <c r="H4131"/>
  <c r="D4132"/>
  <c r="C4135"/>
  <c r="D4135"/>
  <c r="F4145"/>
  <c r="I4145" s="1"/>
  <c r="H4145"/>
  <c r="F4147"/>
  <c r="I4147" s="1"/>
  <c r="H4147"/>
  <c r="F4148"/>
  <c r="I4148" s="1"/>
  <c r="H4148"/>
  <c r="D4149"/>
  <c r="C4152"/>
  <c r="D4152"/>
  <c r="F4160"/>
  <c r="I4160" s="1"/>
  <c r="H4160"/>
  <c r="F4161"/>
  <c r="I4161" s="1"/>
  <c r="H4161"/>
  <c r="F4163"/>
  <c r="I4163" s="1"/>
  <c r="H4163"/>
  <c r="F4164"/>
  <c r="I4164" s="1"/>
  <c r="H4164"/>
  <c r="D4165"/>
  <c r="C4168"/>
  <c r="D4168"/>
  <c r="F4177"/>
  <c r="I4177" s="1"/>
  <c r="H4177"/>
  <c r="F4178"/>
  <c r="I4178" s="1"/>
  <c r="H4178"/>
  <c r="F4180"/>
  <c r="I4180" s="1"/>
  <c r="H4180"/>
  <c r="F4181"/>
  <c r="I4181" s="1"/>
  <c r="H4181"/>
  <c r="F4182"/>
  <c r="I4182" s="1"/>
  <c r="H4182"/>
  <c r="D4183"/>
  <c r="C4186"/>
  <c r="D4186"/>
  <c r="F4194"/>
  <c r="I4194" s="1"/>
  <c r="H4194"/>
  <c r="F4195"/>
  <c r="I4195" s="1"/>
  <c r="H4195"/>
  <c r="F4197"/>
  <c r="I4197" s="1"/>
  <c r="H4197"/>
  <c r="F4198"/>
  <c r="I4198" s="1"/>
  <c r="H4198"/>
  <c r="F4199"/>
  <c r="I4199" s="1"/>
  <c r="H4199"/>
  <c r="D4200"/>
  <c r="C4203"/>
  <c r="D4203"/>
  <c r="F4208"/>
  <c r="I4208" s="1"/>
  <c r="F4209" s="1"/>
  <c r="C4209"/>
  <c r="D4209"/>
  <c r="F4214"/>
  <c r="I4214" s="1"/>
  <c r="C4215"/>
  <c r="D4215"/>
  <c r="F4220"/>
  <c r="I4220" s="1"/>
  <c r="C4221"/>
  <c r="D4221"/>
  <c r="F4226"/>
  <c r="I4226" s="1"/>
  <c r="C4227"/>
  <c r="D4227"/>
  <c r="F4232"/>
  <c r="I4232" s="1"/>
  <c r="F4233"/>
  <c r="I4233" s="1"/>
  <c r="C4236"/>
  <c r="D4236"/>
  <c r="F4241"/>
  <c r="I4241" s="1"/>
  <c r="C4242"/>
  <c r="D4242"/>
  <c r="F4247"/>
  <c r="I4247" s="1"/>
  <c r="C4248"/>
  <c r="D4248"/>
  <c r="F4254"/>
  <c r="I4254" s="1"/>
  <c r="C4255"/>
  <c r="D4255"/>
  <c r="F4261"/>
  <c r="I4261" s="1"/>
  <c r="F4262" s="1"/>
  <c r="C4262"/>
  <c r="D4262"/>
  <c r="F4268"/>
  <c r="I4268" s="1"/>
  <c r="C4269"/>
  <c r="D4269"/>
  <c r="F4274"/>
  <c r="I4274" s="1"/>
  <c r="C4275"/>
  <c r="D4275"/>
  <c r="I4278"/>
  <c r="C4279"/>
  <c r="D4279"/>
  <c r="F4286"/>
  <c r="I4286" s="1"/>
  <c r="F4287"/>
  <c r="I4287" s="1"/>
  <c r="F4288"/>
  <c r="I4288" s="1"/>
  <c r="F4289"/>
  <c r="I4289" s="1"/>
  <c r="F4290"/>
  <c r="I4290" s="1"/>
  <c r="F4291"/>
  <c r="I4291" s="1"/>
  <c r="F4293"/>
  <c r="I4293" s="1"/>
  <c r="F4294"/>
  <c r="I4294" s="1"/>
  <c r="F4295"/>
  <c r="I4295" s="1"/>
  <c r="F4296"/>
  <c r="I4296" s="1"/>
  <c r="F4297"/>
  <c r="I4297" s="1"/>
  <c r="F4298"/>
  <c r="I4298" s="1"/>
  <c r="F4299"/>
  <c r="I4299" s="1"/>
  <c r="D4300"/>
  <c r="F4302"/>
  <c r="I4302" s="1"/>
  <c r="F4303"/>
  <c r="I4303" s="1"/>
  <c r="C4307"/>
  <c r="D4307"/>
  <c r="F4315"/>
  <c r="I4315" s="1"/>
  <c r="F4316"/>
  <c r="I4316" s="1"/>
  <c r="F4317"/>
  <c r="I4317" s="1"/>
  <c r="F4318"/>
  <c r="I4318" s="1"/>
  <c r="F4319"/>
  <c r="I4319" s="1"/>
  <c r="F4320"/>
  <c r="I4320" s="1"/>
  <c r="F4321"/>
  <c r="I4321" s="1"/>
  <c r="F4322"/>
  <c r="I4322" s="1"/>
  <c r="F4323"/>
  <c r="I4323" s="1"/>
  <c r="F4324"/>
  <c r="I4324" s="1"/>
  <c r="F4325"/>
  <c r="I4325" s="1"/>
  <c r="F4326"/>
  <c r="I4326" s="1"/>
  <c r="F4328"/>
  <c r="I4328" s="1"/>
  <c r="F4329"/>
  <c r="I4329" s="1"/>
  <c r="F4330"/>
  <c r="I4330" s="1"/>
  <c r="F4331"/>
  <c r="I4331" s="1"/>
  <c r="F4332"/>
  <c r="I4332" s="1"/>
  <c r="F4333"/>
  <c r="I4333" s="1"/>
  <c r="F4334"/>
  <c r="I4334" s="1"/>
  <c r="D4335"/>
  <c r="F4337"/>
  <c r="I4337" s="1"/>
  <c r="F4338"/>
  <c r="I4338" s="1"/>
  <c r="C4342"/>
  <c r="D4342"/>
  <c r="F4351"/>
  <c r="I4351" s="1"/>
  <c r="F4352"/>
  <c r="I4352" s="1"/>
  <c r="F4353"/>
  <c r="I4353" s="1"/>
  <c r="F4354"/>
  <c r="I4354" s="1"/>
  <c r="C4355"/>
  <c r="F4355"/>
  <c r="I4355" s="1"/>
  <c r="C4356"/>
  <c r="F4356"/>
  <c r="I4356" s="1"/>
  <c r="F4357"/>
  <c r="I4357" s="1"/>
  <c r="F4358"/>
  <c r="I4358" s="1"/>
  <c r="F4360"/>
  <c r="I4360" s="1"/>
  <c r="F4361"/>
  <c r="I4361" s="1"/>
  <c r="F4362"/>
  <c r="I4362" s="1"/>
  <c r="F4363"/>
  <c r="I4363" s="1"/>
  <c r="F4364"/>
  <c r="I4364" s="1"/>
  <c r="F4365"/>
  <c r="I4365" s="1"/>
  <c r="F4366"/>
  <c r="I4366" s="1"/>
  <c r="D4367"/>
  <c r="F4369"/>
  <c r="I4369" s="1"/>
  <c r="F4370"/>
  <c r="I4370" s="1"/>
  <c r="C4374"/>
  <c r="D4374"/>
  <c r="I4382"/>
  <c r="F4383"/>
  <c r="I4383" s="1"/>
  <c r="F4384"/>
  <c r="I4384" s="1"/>
  <c r="F4385"/>
  <c r="I4385" s="1"/>
  <c r="F4386"/>
  <c r="I4386" s="1"/>
  <c r="F4387"/>
  <c r="I4387" s="1"/>
  <c r="F4389"/>
  <c r="I4389" s="1"/>
  <c r="F4390"/>
  <c r="I4390" s="1"/>
  <c r="F4391"/>
  <c r="I4391" s="1"/>
  <c r="F4392"/>
  <c r="I4392" s="1"/>
  <c r="F4393"/>
  <c r="I4393" s="1"/>
  <c r="F4394"/>
  <c r="I4394" s="1"/>
  <c r="F4395"/>
  <c r="I4395" s="1"/>
  <c r="D4396"/>
  <c r="F4398"/>
  <c r="I4398" s="1"/>
  <c r="F4399"/>
  <c r="I4399" s="1"/>
  <c r="C4403"/>
  <c r="D4403"/>
  <c r="F4411"/>
  <c r="I4411" s="1"/>
  <c r="F4412"/>
  <c r="I4412" s="1"/>
  <c r="F4413"/>
  <c r="I4413" s="1"/>
  <c r="F4414"/>
  <c r="I4414" s="1"/>
  <c r="F4415"/>
  <c r="I4415" s="1"/>
  <c r="F4417"/>
  <c r="I4417" s="1"/>
  <c r="F4418"/>
  <c r="I4418" s="1"/>
  <c r="F4419"/>
  <c r="F4420" s="1"/>
  <c r="I4420" s="1"/>
  <c r="F4421"/>
  <c r="I4421" s="1"/>
  <c r="D4422"/>
  <c r="F4424"/>
  <c r="I4424" s="1"/>
  <c r="F4425"/>
  <c r="I4425" s="1"/>
  <c r="C4429"/>
  <c r="D4429"/>
  <c r="F4434"/>
  <c r="I4434" s="1"/>
  <c r="H4434"/>
  <c r="D4435"/>
  <c r="D4436" s="1"/>
  <c r="F4435"/>
  <c r="H4435"/>
  <c r="F4436"/>
  <c r="D4437"/>
  <c r="C4439"/>
  <c r="D4439"/>
  <c r="F4446"/>
  <c r="I4446" s="1"/>
  <c r="F4447"/>
  <c r="I4447" s="1"/>
  <c r="F4448"/>
  <c r="I4448" s="1"/>
  <c r="F4449"/>
  <c r="I4449" s="1"/>
  <c r="F4450"/>
  <c r="I4450" s="1"/>
  <c r="F4451"/>
  <c r="I4451" s="1"/>
  <c r="F4452"/>
  <c r="I4452" s="1"/>
  <c r="F4455"/>
  <c r="I4455" s="1"/>
  <c r="F4456"/>
  <c r="I4456" s="1"/>
  <c r="F4458"/>
  <c r="I4458" s="1"/>
  <c r="F4459"/>
  <c r="I4459" s="1"/>
  <c r="F4460"/>
  <c r="I4460" s="1"/>
  <c r="F4462"/>
  <c r="I4462" s="1"/>
  <c r="F4463"/>
  <c r="I4463" s="1"/>
  <c r="F4464"/>
  <c r="I4464" s="1"/>
  <c r="D4465"/>
  <c r="C4468"/>
  <c r="D4468"/>
  <c r="F4475"/>
  <c r="I4475" s="1"/>
  <c r="F4476"/>
  <c r="I4476" s="1"/>
  <c r="F4477"/>
  <c r="I4477" s="1"/>
  <c r="F4478"/>
  <c r="I4478" s="1"/>
  <c r="F4479"/>
  <c r="I4479" s="1"/>
  <c r="F4482"/>
  <c r="I4482" s="1"/>
  <c r="F4483"/>
  <c r="I4483" s="1"/>
  <c r="D4484"/>
  <c r="C4487"/>
  <c r="D4487"/>
  <c r="F4492"/>
  <c r="I4492" s="1"/>
  <c r="I4493" s="1"/>
  <c r="F4494" s="1"/>
  <c r="H4492"/>
  <c r="C4494"/>
  <c r="D4494"/>
  <c r="H4499"/>
  <c r="I4499"/>
  <c r="I4500" s="1"/>
  <c r="F4501" s="1"/>
  <c r="C4501"/>
  <c r="D4501"/>
  <c r="H4505"/>
  <c r="D4511" s="1"/>
  <c r="H4506"/>
  <c r="D4512" s="1"/>
  <c r="H4507"/>
  <c r="D4513" s="1"/>
  <c r="D4514"/>
  <c r="I4514" s="1"/>
  <c r="I4515"/>
  <c r="I4516"/>
  <c r="I4517"/>
  <c r="F4521"/>
  <c r="F4522"/>
  <c r="D4523"/>
  <c r="C4527"/>
  <c r="D4527"/>
  <c r="H4533"/>
  <c r="D4540" s="1"/>
  <c r="H4534"/>
  <c r="D4541" s="1"/>
  <c r="H4535"/>
  <c r="H4537"/>
  <c r="H4538"/>
  <c r="F4544"/>
  <c r="I4544" s="1"/>
  <c r="I4545"/>
  <c r="F4548"/>
  <c r="F4549"/>
  <c r="D4550"/>
  <c r="C4553"/>
  <c r="D4553"/>
  <c r="D4559"/>
  <c r="D4566"/>
  <c r="D4567" s="1"/>
  <c r="F4566"/>
  <c r="F4567"/>
  <c r="D4568"/>
  <c r="F4570"/>
  <c r="I4570" s="1"/>
  <c r="F4581"/>
  <c r="I4581" s="1"/>
  <c r="F4582"/>
  <c r="I4582" s="1"/>
  <c r="F4583"/>
  <c r="D4585"/>
  <c r="I4586"/>
  <c r="D4588"/>
  <c r="F4588"/>
  <c r="D4589"/>
  <c r="D4591"/>
  <c r="F4591"/>
  <c r="D4592"/>
  <c r="F4593"/>
  <c r="I4593" s="1"/>
  <c r="I4600"/>
  <c r="C4604"/>
  <c r="D4604"/>
  <c r="H4610"/>
  <c r="I4610"/>
  <c r="I4611" s="1"/>
  <c r="F4612" s="1"/>
  <c r="C4612"/>
  <c r="D4612"/>
  <c r="H4616"/>
  <c r="I4616"/>
  <c r="I4617" s="1"/>
  <c r="C4618"/>
  <c r="D4618"/>
  <c r="F4624"/>
  <c r="I4624" s="1"/>
  <c r="H4624"/>
  <c r="D4625"/>
  <c r="D4626" s="1"/>
  <c r="F4625"/>
  <c r="F4658" s="1"/>
  <c r="H4625"/>
  <c r="F4626"/>
  <c r="F4659" s="1"/>
  <c r="H4626"/>
  <c r="D4627"/>
  <c r="C4629"/>
  <c r="D4629"/>
  <c r="H4636"/>
  <c r="D4637"/>
  <c r="D4638" s="1"/>
  <c r="F4637"/>
  <c r="H4637"/>
  <c r="F4638"/>
  <c r="H4638"/>
  <c r="D4639"/>
  <c r="C4641"/>
  <c r="D4641"/>
  <c r="H4648"/>
  <c r="I4648"/>
  <c r="D4649"/>
  <c r="F4649"/>
  <c r="H4649"/>
  <c r="F4650"/>
  <c r="H4650"/>
  <c r="D4651"/>
  <c r="C4653"/>
  <c r="D4653"/>
  <c r="H4657"/>
  <c r="D4658"/>
  <c r="D4659" s="1"/>
  <c r="H4658"/>
  <c r="H4659"/>
  <c r="D4660"/>
  <c r="C4662"/>
  <c r="D4662"/>
  <c r="H4669"/>
  <c r="I4672"/>
  <c r="F4673"/>
  <c r="I4673" s="1"/>
  <c r="F4674"/>
  <c r="I4674" s="1"/>
  <c r="D4675"/>
  <c r="F4677"/>
  <c r="I4677" s="1"/>
  <c r="F4678"/>
  <c r="I4678" s="1"/>
  <c r="F4679"/>
  <c r="I4679" s="1"/>
  <c r="F4680"/>
  <c r="I4680" s="1"/>
  <c r="F4683"/>
  <c r="I4683" s="1"/>
  <c r="C4687"/>
  <c r="D4687"/>
  <c r="H4692"/>
  <c r="F4695"/>
  <c r="I4695" s="1"/>
  <c r="F4696"/>
  <c r="I4696" s="1"/>
  <c r="F4697"/>
  <c r="I4697" s="1"/>
  <c r="D4698"/>
  <c r="F4701"/>
  <c r="I4701" s="1"/>
  <c r="F4702"/>
  <c r="I4702" s="1"/>
  <c r="F4703"/>
  <c r="I4703" s="1"/>
  <c r="F4704"/>
  <c r="I4704" s="1"/>
  <c r="C4715"/>
  <c r="D4715"/>
  <c r="H4724"/>
  <c r="D4725"/>
  <c r="H4725"/>
  <c r="H4726"/>
  <c r="H4727"/>
  <c r="H4729"/>
  <c r="F4730"/>
  <c r="I4730" s="1"/>
  <c r="H4730"/>
  <c r="F4732"/>
  <c r="I4732" s="1"/>
  <c r="D4733"/>
  <c r="F4735"/>
  <c r="I4735" s="1"/>
  <c r="H4735"/>
  <c r="F4736"/>
  <c r="I4736" s="1"/>
  <c r="H4736"/>
  <c r="D4737"/>
  <c r="D4741"/>
  <c r="D4742"/>
  <c r="D4743" s="1"/>
  <c r="D4745"/>
  <c r="H4753"/>
  <c r="F4756"/>
  <c r="I4756" s="1"/>
  <c r="F4757"/>
  <c r="I4757" s="1"/>
  <c r="F4758"/>
  <c r="I4758" s="1"/>
  <c r="D4759"/>
  <c r="F4762"/>
  <c r="I4762" s="1"/>
  <c r="F4763"/>
  <c r="I4763" s="1"/>
  <c r="F4764"/>
  <c r="I4764" s="1"/>
  <c r="F4765"/>
  <c r="I4765" s="1"/>
  <c r="D4766"/>
  <c r="F4766"/>
  <c r="F4767"/>
  <c r="I4767" s="1"/>
  <c r="F4770"/>
  <c r="I4770" s="1"/>
  <c r="F4772"/>
  <c r="I4772" s="1"/>
  <c r="D4777"/>
  <c r="D4780"/>
  <c r="H4786"/>
  <c r="F4789"/>
  <c r="I4789" s="1"/>
  <c r="F4790"/>
  <c r="I4790" s="1"/>
  <c r="F4791"/>
  <c r="I4791" s="1"/>
  <c r="D4792"/>
  <c r="F4795"/>
  <c r="I4795" s="1"/>
  <c r="F4796"/>
  <c r="I4796" s="1"/>
  <c r="F4797"/>
  <c r="I4797" s="1"/>
  <c r="F4798"/>
  <c r="I4798" s="1"/>
  <c r="D4799"/>
  <c r="F4799"/>
  <c r="F4800"/>
  <c r="I4800" s="1"/>
  <c r="F4803"/>
  <c r="I4803" s="1"/>
  <c r="F4805"/>
  <c r="I4805" s="1"/>
  <c r="I4807"/>
  <c r="D4810"/>
  <c r="D4813"/>
  <c r="F4823"/>
  <c r="I4823" s="1"/>
  <c r="F4824"/>
  <c r="I4824" s="1"/>
  <c r="F4825"/>
  <c r="I4825" s="1"/>
  <c r="F4826"/>
  <c r="I4826" s="1"/>
  <c r="I4827"/>
  <c r="F4828"/>
  <c r="I4828" s="1"/>
  <c r="F4829"/>
  <c r="I4829" s="1"/>
  <c r="D4830"/>
  <c r="F4833"/>
  <c r="I4833" s="1"/>
  <c r="F4834" s="1"/>
  <c r="D4834"/>
  <c r="F4836"/>
  <c r="I4836" s="1"/>
  <c r="F4837" s="1"/>
  <c r="D4837"/>
  <c r="I4838"/>
  <c r="I4839"/>
  <c r="F4840" s="1"/>
  <c r="D4840"/>
  <c r="F4841"/>
  <c r="I4841" s="1"/>
  <c r="I4842"/>
  <c r="F4843" s="1"/>
  <c r="D4843"/>
  <c r="F4844"/>
  <c r="I4844" s="1"/>
  <c r="I4845"/>
  <c r="F4846" s="1"/>
  <c r="D4846"/>
  <c r="F4847"/>
  <c r="I4847" s="1"/>
  <c r="I4848"/>
  <c r="I4853"/>
  <c r="I4856"/>
  <c r="I4857"/>
  <c r="I4858"/>
  <c r="I4859"/>
  <c r="I4861"/>
  <c r="C4865"/>
  <c r="D4865"/>
  <c r="H4870"/>
  <c r="D4871"/>
  <c r="D4872" s="1"/>
  <c r="I4872" s="1"/>
  <c r="H4871"/>
  <c r="H4872"/>
  <c r="D4873"/>
  <c r="C4875"/>
  <c r="D4875"/>
  <c r="I4883"/>
  <c r="H4886"/>
  <c r="I4886"/>
  <c r="F4887" s="1"/>
  <c r="C4887"/>
  <c r="D4887"/>
  <c r="H4889"/>
  <c r="I4889"/>
  <c r="F4890" s="1"/>
  <c r="D4890"/>
  <c r="H4895"/>
  <c r="I4895"/>
  <c r="F4896" s="1"/>
  <c r="C4896"/>
  <c r="D4896"/>
  <c r="H4902"/>
  <c r="I4902"/>
  <c r="F4903" s="1"/>
  <c r="C4903"/>
  <c r="D4903"/>
  <c r="H4908"/>
  <c r="I4908"/>
  <c r="F4909" s="1"/>
  <c r="C4909"/>
  <c r="D4909"/>
  <c r="H4915"/>
  <c r="I4915"/>
  <c r="C4916"/>
  <c r="D4916"/>
  <c r="H4921"/>
  <c r="I4921"/>
  <c r="F4922" s="1"/>
  <c r="C4922"/>
  <c r="D4922"/>
  <c r="H4927"/>
  <c r="I4927"/>
  <c r="F4933"/>
  <c r="I4933" s="1"/>
  <c r="F4934"/>
  <c r="I4934" s="1"/>
  <c r="F4935"/>
  <c r="I4935" s="1"/>
  <c r="F4936"/>
  <c r="I4936" s="1"/>
  <c r="D4937"/>
  <c r="F4941"/>
  <c r="I4941" s="1"/>
  <c r="H4941"/>
  <c r="F4942"/>
  <c r="I4942" s="1"/>
  <c r="H4942"/>
  <c r="F4943"/>
  <c r="I4943" s="1"/>
  <c r="H4943"/>
  <c r="D4944"/>
  <c r="H4948"/>
  <c r="I4948"/>
  <c r="F4949"/>
  <c r="I4949" s="1"/>
  <c r="H4949"/>
  <c r="F4950"/>
  <c r="I4950" s="1"/>
  <c r="H4950"/>
  <c r="D4951"/>
  <c r="C4955"/>
  <c r="D4955"/>
  <c r="H4961"/>
  <c r="D4962"/>
  <c r="D4963" s="1"/>
  <c r="I4963" s="1"/>
  <c r="H4962"/>
  <c r="H4963"/>
  <c r="D4964"/>
  <c r="C4966"/>
  <c r="D4966"/>
  <c r="D4974"/>
  <c r="D4975"/>
  <c r="D4976"/>
  <c r="D4977"/>
  <c r="F4978"/>
  <c r="F4979"/>
  <c r="D4980"/>
  <c r="F4980"/>
  <c r="F4981"/>
  <c r="I4981" s="1"/>
  <c r="C4984"/>
  <c r="D4984"/>
  <c r="H4990"/>
  <c r="D4999" s="1"/>
  <c r="I4999" s="1"/>
  <c r="I4992"/>
  <c r="I4993"/>
  <c r="F4994"/>
  <c r="I4994" s="1"/>
  <c r="D4995"/>
  <c r="D4997"/>
  <c r="D4998"/>
  <c r="D5002"/>
  <c r="D5003"/>
  <c r="H5010"/>
  <c r="F5013"/>
  <c r="I5013" s="1"/>
  <c r="F5014"/>
  <c r="I5014" s="1"/>
  <c r="D5015"/>
  <c r="F5017"/>
  <c r="I5017" s="1"/>
  <c r="F5018"/>
  <c r="I5018" s="1"/>
  <c r="F5019"/>
  <c r="I5019" s="1"/>
  <c r="F5020"/>
  <c r="I5020" s="1"/>
  <c r="D5024"/>
  <c r="H5031"/>
  <c r="F5034"/>
  <c r="I5034" s="1"/>
  <c r="F5035"/>
  <c r="I5035" s="1"/>
  <c r="D5036"/>
  <c r="I5039"/>
  <c r="F5040"/>
  <c r="I5040" s="1"/>
  <c r="F5041"/>
  <c r="I5041" s="1"/>
  <c r="F5042"/>
  <c r="I5042" s="1"/>
  <c r="F5043"/>
  <c r="I5043" s="1"/>
  <c r="I5046"/>
  <c r="D5048"/>
  <c r="D5" i="19"/>
  <c r="D11" s="1"/>
  <c r="E5"/>
  <c r="E11" s="1"/>
  <c r="F5"/>
  <c r="F11" s="1"/>
  <c r="G5"/>
  <c r="G11" s="1"/>
  <c r="I5"/>
  <c r="I11" s="1"/>
  <c r="J5"/>
  <c r="O5" s="1"/>
  <c r="O11" s="1"/>
  <c r="K5"/>
  <c r="K11" s="1"/>
  <c r="L5"/>
  <c r="L11" s="1"/>
  <c r="M5"/>
  <c r="M11" s="1"/>
  <c r="R5"/>
  <c r="D6"/>
  <c r="H6" s="1"/>
  <c r="E6"/>
  <c r="F6"/>
  <c r="G6"/>
  <c r="I6"/>
  <c r="J6"/>
  <c r="O6" s="1"/>
  <c r="K6"/>
  <c r="L6"/>
  <c r="M6"/>
  <c r="P6"/>
  <c r="P11" s="1"/>
  <c r="Q6"/>
  <c r="Q11" s="1"/>
  <c r="D7"/>
  <c r="H7" s="1"/>
  <c r="E7"/>
  <c r="F7"/>
  <c r="G7"/>
  <c r="I7"/>
  <c r="J7"/>
  <c r="K7"/>
  <c r="L7"/>
  <c r="M7"/>
  <c r="O7"/>
  <c r="Q7"/>
  <c r="R7" s="1"/>
  <c r="D8"/>
  <c r="H8" s="1"/>
  <c r="E8"/>
  <c r="G8"/>
  <c r="I8"/>
  <c r="J8"/>
  <c r="K8"/>
  <c r="L8"/>
  <c r="M8"/>
  <c r="O8"/>
  <c r="Q8"/>
  <c r="R8" s="1"/>
  <c r="D9"/>
  <c r="H9" s="1"/>
  <c r="I9"/>
  <c r="O9"/>
  <c r="P9"/>
  <c r="R9" s="1"/>
  <c r="Q9"/>
  <c r="H10"/>
  <c r="B11"/>
  <c r="V28" s="1"/>
  <c r="C11"/>
  <c r="N11"/>
  <c r="S11"/>
  <c r="S12" s="1"/>
  <c r="C24"/>
  <c r="D24"/>
  <c r="E24"/>
  <c r="F24"/>
  <c r="F48" s="1"/>
  <c r="G24"/>
  <c r="H24"/>
  <c r="I24"/>
  <c r="J24"/>
  <c r="K24"/>
  <c r="L24"/>
  <c r="M24"/>
  <c r="N24"/>
  <c r="O24"/>
  <c r="P24"/>
  <c r="Q24"/>
  <c r="R24"/>
  <c r="S24"/>
  <c r="C27"/>
  <c r="C33" s="1"/>
  <c r="C28"/>
  <c r="C29"/>
  <c r="C30"/>
  <c r="C31"/>
  <c r="C32"/>
  <c r="C38"/>
  <c r="F50"/>
  <c r="G50" s="1"/>
  <c r="H50"/>
  <c r="F51"/>
  <c r="G51" s="1"/>
  <c r="H51"/>
  <c r="F52"/>
  <c r="G52" s="1"/>
  <c r="H52"/>
  <c r="A5" i="17"/>
  <c r="A6" s="1"/>
  <c r="A7" s="1"/>
  <c r="A9" s="1"/>
  <c r="A10" s="1"/>
  <c r="A11" s="1"/>
  <c r="A12" s="1"/>
  <c r="A13" s="1"/>
  <c r="A14" s="1"/>
  <c r="A16" s="1"/>
  <c r="A17" s="1"/>
  <c r="A18" s="1"/>
  <c r="A19" s="1"/>
  <c r="A20" s="1"/>
  <c r="A22" s="1"/>
  <c r="A24" s="1"/>
  <c r="A25" s="1"/>
  <c r="H244"/>
  <c r="I244"/>
  <c r="J244"/>
  <c r="K244"/>
  <c r="L244"/>
  <c r="G310"/>
  <c r="G311"/>
  <c r="G312"/>
  <c r="G314"/>
  <c r="G315"/>
  <c r="G316"/>
  <c r="A334"/>
  <c r="A335" s="1"/>
  <c r="A336" s="1"/>
  <c r="A337" s="1"/>
  <c r="A338" s="1"/>
  <c r="A339" s="1"/>
  <c r="A340" s="1"/>
  <c r="A341" s="1"/>
  <c r="A342" s="1"/>
  <c r="A343" s="1"/>
  <c r="A344" s="1"/>
  <c r="A345" s="1"/>
  <c r="A346" s="1"/>
  <c r="A347" s="1"/>
  <c r="A348" s="1"/>
  <c r="A349" s="1"/>
  <c r="A350" s="1"/>
  <c r="G4" i="2"/>
  <c r="I15" i="5" s="1"/>
  <c r="AN15" s="1"/>
  <c r="A5" i="2"/>
  <c r="A6" s="1"/>
  <c r="A7" s="1"/>
  <c r="A9" s="1"/>
  <c r="A10" s="1"/>
  <c r="A11" s="1"/>
  <c r="A12" s="1"/>
  <c r="A13" s="1"/>
  <c r="A14" s="1"/>
  <c r="A16" s="1"/>
  <c r="A17" s="1"/>
  <c r="A18" s="1"/>
  <c r="A19" s="1"/>
  <c r="A20" s="1"/>
  <c r="A21" s="1"/>
  <c r="F223"/>
  <c r="F224" s="1"/>
  <c r="M223"/>
  <c r="M224" s="1"/>
  <c r="M225" s="1"/>
  <c r="M226" s="1"/>
  <c r="M227" s="1"/>
  <c r="M228" s="1"/>
  <c r="M229" s="1"/>
  <c r="M230" s="1"/>
  <c r="M231" s="1"/>
  <c r="F234"/>
  <c r="M234"/>
  <c r="M235" s="1"/>
  <c r="M236" s="1"/>
  <c r="M237" s="1"/>
  <c r="M238" s="1"/>
  <c r="M239" s="1"/>
  <c r="M240" s="1"/>
  <c r="M241" s="1"/>
  <c r="M242" s="1"/>
  <c r="F246"/>
  <c r="E2345" i="6" s="1"/>
  <c r="M246" i="2"/>
  <c r="M247" s="1"/>
  <c r="M248" s="1"/>
  <c r="M249" s="1"/>
  <c r="M250" s="1"/>
  <c r="M251" s="1"/>
  <c r="M252" s="1"/>
  <c r="M253" s="1"/>
  <c r="H258"/>
  <c r="I258"/>
  <c r="J258"/>
  <c r="K258"/>
  <c r="L258"/>
  <c r="M258"/>
  <c r="N258"/>
  <c r="O258"/>
  <c r="L2026" i="6" s="1"/>
  <c r="L2027" s="1"/>
  <c r="G328" i="2"/>
  <c r="G329"/>
  <c r="G330"/>
  <c r="G332"/>
  <c r="F4835" i="6" s="1"/>
  <c r="I4835" s="1"/>
  <c r="G333" i="2"/>
  <c r="G334"/>
  <c r="G347"/>
  <c r="I24" i="5" s="1"/>
  <c r="K350" i="2"/>
  <c r="L350" s="1"/>
  <c r="K351" s="1"/>
  <c r="A351"/>
  <c r="A352" s="1"/>
  <c r="A353" s="1"/>
  <c r="A355" s="1"/>
  <c r="A356" s="1"/>
  <c r="A357" s="1"/>
  <c r="A358" s="1"/>
  <c r="A359" s="1"/>
  <c r="A360" s="1"/>
  <c r="A361" s="1"/>
  <c r="A362" s="1"/>
  <c r="A363" s="1"/>
  <c r="A364" s="1"/>
  <c r="A365" s="1"/>
  <c r="A366" s="1"/>
  <c r="A367" s="1"/>
  <c r="A368" s="1"/>
  <c r="A369" s="1"/>
  <c r="A370" s="1"/>
  <c r="A371" s="1"/>
  <c r="A372" s="1"/>
  <c r="A373" s="1"/>
  <c r="A374" s="1"/>
  <c r="A375" s="1"/>
  <c r="G352"/>
  <c r="A379"/>
  <c r="A380" s="1"/>
  <c r="A381" s="1"/>
  <c r="A382" s="1"/>
  <c r="A383" s="1"/>
  <c r="A384" s="1"/>
  <c r="A385" s="1"/>
  <c r="A386" s="1"/>
  <c r="A387" s="1"/>
  <c r="A388" s="1"/>
  <c r="A390" s="1"/>
  <c r="A391" s="1"/>
  <c r="A392" s="1"/>
  <c r="A393" s="1"/>
  <c r="A394" s="1"/>
  <c r="A395" s="1"/>
  <c r="A396" s="1"/>
  <c r="A1" i="21"/>
  <c r="H4"/>
  <c r="H5"/>
  <c r="A10"/>
  <c r="C11"/>
  <c r="H11" s="1"/>
  <c r="C12"/>
  <c r="H12" s="1"/>
  <c r="A21"/>
  <c r="A31"/>
  <c r="B6" i="4"/>
  <c r="B7" s="1"/>
  <c r="B8" s="1"/>
  <c r="B9" s="1"/>
  <c r="B10" s="1"/>
  <c r="B11" s="1"/>
  <c r="B12" s="1"/>
  <c r="B13" s="1"/>
  <c r="B14" s="1"/>
  <c r="B15" s="1"/>
  <c r="B16" s="1"/>
  <c r="B17" s="1"/>
  <c r="B18" s="1"/>
  <c r="B19" s="1"/>
  <c r="B20" s="1"/>
  <c r="B21" s="1"/>
  <c r="B22" s="1"/>
  <c r="C14" i="5"/>
  <c r="B40" i="4"/>
  <c r="B41" s="1"/>
  <c r="B42" s="1"/>
  <c r="B43" s="1"/>
  <c r="B44" s="1"/>
  <c r="C47"/>
  <c r="C139" i="8" s="1"/>
  <c r="B48" i="4"/>
  <c r="D53"/>
  <c r="F2013" i="6" s="1"/>
  <c r="I2013" s="1"/>
  <c r="F5" i="7"/>
  <c r="I5" s="1"/>
  <c r="H5"/>
  <c r="F6"/>
  <c r="I6" s="1"/>
  <c r="H6"/>
  <c r="F7"/>
  <c r="I7" s="1"/>
  <c r="H7"/>
  <c r="F11"/>
  <c r="I11" s="1"/>
  <c r="F12"/>
  <c r="I12" s="1"/>
  <c r="F13"/>
  <c r="I13" s="1"/>
  <c r="F14"/>
  <c r="I14" s="1"/>
  <c r="F15"/>
  <c r="I15" s="1"/>
  <c r="F16"/>
  <c r="I16" s="1"/>
  <c r="D17"/>
  <c r="F19"/>
  <c r="I19" s="1"/>
  <c r="F20"/>
  <c r="I20" s="1"/>
  <c r="F26"/>
  <c r="I26" s="1"/>
  <c r="F27"/>
  <c r="I27" s="1"/>
  <c r="F28"/>
  <c r="I28" s="1"/>
  <c r="F29"/>
  <c r="I29" s="1"/>
  <c r="F30"/>
  <c r="I30" s="1"/>
  <c r="F31"/>
  <c r="I31" s="1"/>
  <c r="D32"/>
  <c r="F34"/>
  <c r="I34" s="1"/>
  <c r="F35"/>
  <c r="I35" s="1"/>
  <c r="F41"/>
  <c r="I41" s="1"/>
  <c r="F42"/>
  <c r="I42" s="1"/>
  <c r="F43"/>
  <c r="I43" s="1"/>
  <c r="F44"/>
  <c r="I44" s="1"/>
  <c r="F45"/>
  <c r="I45" s="1"/>
  <c r="F46"/>
  <c r="I46" s="1"/>
  <c r="D47"/>
  <c r="F49"/>
  <c r="I49" s="1"/>
  <c r="F50"/>
  <c r="I50" s="1"/>
  <c r="F56"/>
  <c r="I56" s="1"/>
  <c r="F57"/>
  <c r="I57" s="1"/>
  <c r="F58"/>
  <c r="I58" s="1"/>
  <c r="F59"/>
  <c r="I59" s="1"/>
  <c r="F60"/>
  <c r="I60" s="1"/>
  <c r="F61"/>
  <c r="I61" s="1"/>
  <c r="D62"/>
  <c r="F64"/>
  <c r="I64" s="1"/>
  <c r="F65"/>
  <c r="I65" s="1"/>
  <c r="A70"/>
  <c r="G71"/>
  <c r="D72"/>
  <c r="G72"/>
  <c r="F74"/>
  <c r="F75"/>
  <c r="D76"/>
  <c r="G83"/>
  <c r="G85"/>
  <c r="D103" s="1"/>
  <c r="G87"/>
  <c r="G89"/>
  <c r="G91"/>
  <c r="G93"/>
  <c r="G95"/>
  <c r="G96"/>
  <c r="D106" s="1"/>
  <c r="G97"/>
  <c r="G99"/>
  <c r="G100"/>
  <c r="G101"/>
  <c r="F103"/>
  <c r="F104"/>
  <c r="F105"/>
  <c r="F106"/>
  <c r="F107"/>
  <c r="F108"/>
  <c r="I108" s="1"/>
  <c r="F109"/>
  <c r="I109" s="1"/>
  <c r="F110"/>
  <c r="I110" s="1"/>
  <c r="F111"/>
  <c r="I111" s="1"/>
  <c r="F112"/>
  <c r="I112" s="1"/>
  <c r="F113"/>
  <c r="I113" s="1"/>
  <c r="D115"/>
  <c r="F116"/>
  <c r="D117"/>
  <c r="F118"/>
  <c r="D119"/>
  <c r="C123"/>
  <c r="D123"/>
  <c r="H130"/>
  <c r="G133"/>
  <c r="G135"/>
  <c r="D143" s="1"/>
  <c r="G137"/>
  <c r="D144" s="1"/>
  <c r="G138"/>
  <c r="D145" s="1"/>
  <c r="G139"/>
  <c r="D158" s="1"/>
  <c r="G140"/>
  <c r="D155" s="1"/>
  <c r="F142"/>
  <c r="F143"/>
  <c r="F144"/>
  <c r="F145"/>
  <c r="F146"/>
  <c r="F147"/>
  <c r="I147" s="1"/>
  <c r="F148"/>
  <c r="I148" s="1"/>
  <c r="F149"/>
  <c r="I149" s="1"/>
  <c r="F150"/>
  <c r="I150" s="1"/>
  <c r="F151"/>
  <c r="I151" s="1"/>
  <c r="F152"/>
  <c r="I152" s="1"/>
  <c r="F153"/>
  <c r="I153" s="1"/>
  <c r="F154"/>
  <c r="I154" s="1"/>
  <c r="D157"/>
  <c r="F158"/>
  <c r="D159"/>
  <c r="D160"/>
  <c r="F160"/>
  <c r="D161"/>
  <c r="C164"/>
  <c r="D164"/>
  <c r="A169"/>
  <c r="A251" s="1"/>
  <c r="K171"/>
  <c r="H172"/>
  <c r="K172"/>
  <c r="K173"/>
  <c r="G174"/>
  <c r="G176"/>
  <c r="D184" s="1"/>
  <c r="K176"/>
  <c r="G178"/>
  <c r="D185" s="1"/>
  <c r="G179"/>
  <c r="D186" s="1"/>
  <c r="G180"/>
  <c r="D187" s="1"/>
  <c r="G181"/>
  <c r="D196" s="1"/>
  <c r="F183"/>
  <c r="F184"/>
  <c r="F185"/>
  <c r="F186"/>
  <c r="F187"/>
  <c r="F188"/>
  <c r="I188" s="1"/>
  <c r="F189"/>
  <c r="I189" s="1"/>
  <c r="F190"/>
  <c r="I190" s="1"/>
  <c r="F191"/>
  <c r="I191" s="1"/>
  <c r="F192"/>
  <c r="I192" s="1"/>
  <c r="F193"/>
  <c r="I193" s="1"/>
  <c r="F194"/>
  <c r="I194" s="1"/>
  <c r="F195"/>
  <c r="I195" s="1"/>
  <c r="D198"/>
  <c r="D199"/>
  <c r="F199"/>
  <c r="D200"/>
  <c r="F201"/>
  <c r="D202"/>
  <c r="C205"/>
  <c r="D205"/>
  <c r="G213"/>
  <c r="G216"/>
  <c r="G218"/>
  <c r="G220"/>
  <c r="D227" s="1"/>
  <c r="G221"/>
  <c r="D228" s="1"/>
  <c r="G222"/>
  <c r="D240" s="1"/>
  <c r="G223"/>
  <c r="D237" s="1"/>
  <c r="F225"/>
  <c r="I225" s="1"/>
  <c r="F226"/>
  <c r="I226" s="1"/>
  <c r="F227"/>
  <c r="F228"/>
  <c r="F229"/>
  <c r="F230"/>
  <c r="I230" s="1"/>
  <c r="F231"/>
  <c r="I231" s="1"/>
  <c r="F232"/>
  <c r="I232" s="1"/>
  <c r="F233"/>
  <c r="I233" s="1"/>
  <c r="F234"/>
  <c r="I234" s="1"/>
  <c r="F235"/>
  <c r="I235" s="1"/>
  <c r="F236"/>
  <c r="I236" s="1"/>
  <c r="D239"/>
  <c r="F240"/>
  <c r="D241"/>
  <c r="F242"/>
  <c r="D243"/>
  <c r="C246"/>
  <c r="D246"/>
  <c r="H254"/>
  <c r="G257"/>
  <c r="G259"/>
  <c r="D267" s="1"/>
  <c r="G261"/>
  <c r="D268" s="1"/>
  <c r="G262"/>
  <c r="D269" s="1"/>
  <c r="G263"/>
  <c r="D281" s="1"/>
  <c r="G264"/>
  <c r="D278" s="1"/>
  <c r="F266"/>
  <c r="F267"/>
  <c r="F268"/>
  <c r="F269"/>
  <c r="F270"/>
  <c r="F271"/>
  <c r="I271" s="1"/>
  <c r="F272"/>
  <c r="I272" s="1"/>
  <c r="F273"/>
  <c r="I273" s="1"/>
  <c r="F274"/>
  <c r="I274" s="1"/>
  <c r="F275"/>
  <c r="I275" s="1"/>
  <c r="F276"/>
  <c r="I276" s="1"/>
  <c r="F277"/>
  <c r="I277" s="1"/>
  <c r="D280"/>
  <c r="F281"/>
  <c r="D282"/>
  <c r="F283"/>
  <c r="D284"/>
  <c r="C287"/>
  <c r="D287"/>
  <c r="H295"/>
  <c r="G298"/>
  <c r="D307" s="1"/>
  <c r="G300"/>
  <c r="D308" s="1"/>
  <c r="G302"/>
  <c r="D309" s="1"/>
  <c r="G303"/>
  <c r="D310" s="1"/>
  <c r="G304"/>
  <c r="D311" s="1"/>
  <c r="G305"/>
  <c r="D319" s="1"/>
  <c r="F307"/>
  <c r="F308"/>
  <c r="F309"/>
  <c r="F310"/>
  <c r="F311"/>
  <c r="F312"/>
  <c r="I312" s="1"/>
  <c r="F313"/>
  <c r="I313" s="1"/>
  <c r="F314"/>
  <c r="I314" s="1"/>
  <c r="F315"/>
  <c r="I315" s="1"/>
  <c r="F316"/>
  <c r="I316" s="1"/>
  <c r="F317"/>
  <c r="I317" s="1"/>
  <c r="F318"/>
  <c r="I318" s="1"/>
  <c r="D321"/>
  <c r="F322"/>
  <c r="D323"/>
  <c r="F324"/>
  <c r="D325"/>
  <c r="C328"/>
  <c r="D328"/>
  <c r="H336"/>
  <c r="G339"/>
  <c r="G341"/>
  <c r="D349" s="1"/>
  <c r="G343"/>
  <c r="D350" s="1"/>
  <c r="G344"/>
  <c r="D351" s="1"/>
  <c r="G345"/>
  <c r="D352" s="1"/>
  <c r="G346"/>
  <c r="D360" s="1"/>
  <c r="F348"/>
  <c r="F349"/>
  <c r="F350"/>
  <c r="F351"/>
  <c r="F352"/>
  <c r="F353"/>
  <c r="I353" s="1"/>
  <c r="F354"/>
  <c r="I354" s="1"/>
  <c r="F355"/>
  <c r="I355" s="1"/>
  <c r="F356"/>
  <c r="I356" s="1"/>
  <c r="F357"/>
  <c r="I357" s="1"/>
  <c r="F358"/>
  <c r="I358" s="1"/>
  <c r="F359"/>
  <c r="I359" s="1"/>
  <c r="D362"/>
  <c r="F363"/>
  <c r="D364"/>
  <c r="F365"/>
  <c r="D366"/>
  <c r="C369"/>
  <c r="D369"/>
  <c r="H377"/>
  <c r="G380"/>
  <c r="D389" s="1"/>
  <c r="G382"/>
  <c r="D390" s="1"/>
  <c r="G384"/>
  <c r="D406" s="1"/>
  <c r="G385"/>
  <c r="D392" s="1"/>
  <c r="G386"/>
  <c r="D393" s="1"/>
  <c r="G387"/>
  <c r="D401" s="1"/>
  <c r="F389"/>
  <c r="F390"/>
  <c r="F391"/>
  <c r="F392"/>
  <c r="F393"/>
  <c r="F394"/>
  <c r="I394" s="1"/>
  <c r="F395"/>
  <c r="I395" s="1"/>
  <c r="F396"/>
  <c r="I396" s="1"/>
  <c r="F397"/>
  <c r="I397" s="1"/>
  <c r="F398"/>
  <c r="I398" s="1"/>
  <c r="F399"/>
  <c r="I399" s="1"/>
  <c r="F400"/>
  <c r="I400" s="1"/>
  <c r="D403"/>
  <c r="F404"/>
  <c r="D405"/>
  <c r="F406"/>
  <c r="D407"/>
  <c r="C410"/>
  <c r="D410"/>
  <c r="G418"/>
  <c r="G421"/>
  <c r="G423"/>
  <c r="D431" s="1"/>
  <c r="G425"/>
  <c r="D432" s="1"/>
  <c r="G426"/>
  <c r="D433" s="1"/>
  <c r="G427"/>
  <c r="D445" s="1"/>
  <c r="G428"/>
  <c r="D442" s="1"/>
  <c r="F430"/>
  <c r="F431"/>
  <c r="F432"/>
  <c r="F433"/>
  <c r="F434"/>
  <c r="F435"/>
  <c r="I435" s="1"/>
  <c r="F436"/>
  <c r="I436" s="1"/>
  <c r="F437"/>
  <c r="I437" s="1"/>
  <c r="F438"/>
  <c r="I438" s="1"/>
  <c r="F439"/>
  <c r="I439" s="1"/>
  <c r="F440"/>
  <c r="I440" s="1"/>
  <c r="F441"/>
  <c r="I441" s="1"/>
  <c r="D444"/>
  <c r="F445"/>
  <c r="D446"/>
  <c r="F447"/>
  <c r="D448"/>
  <c r="C451"/>
  <c r="D451"/>
  <c r="H460"/>
  <c r="G463"/>
  <c r="G465"/>
  <c r="D471" s="1"/>
  <c r="G468"/>
  <c r="D472" s="1"/>
  <c r="F470"/>
  <c r="F471"/>
  <c r="F472"/>
  <c r="F473"/>
  <c r="I473" s="1"/>
  <c r="F474"/>
  <c r="I474" s="1"/>
  <c r="F475"/>
  <c r="I475" s="1"/>
  <c r="F476"/>
  <c r="I476" s="1"/>
  <c r="F477"/>
  <c r="I477" s="1"/>
  <c r="F478"/>
  <c r="I478" s="1"/>
  <c r="F479"/>
  <c r="I479" s="1"/>
  <c r="F480"/>
  <c r="D481"/>
  <c r="C485"/>
  <c r="D485"/>
  <c r="G492"/>
  <c r="G495"/>
  <c r="D500" s="1"/>
  <c r="G497"/>
  <c r="D501" s="1"/>
  <c r="G499"/>
  <c r="D502" s="1"/>
  <c r="F500"/>
  <c r="F501"/>
  <c r="F502"/>
  <c r="F503"/>
  <c r="I503" s="1"/>
  <c r="F504"/>
  <c r="I504" s="1"/>
  <c r="F505"/>
  <c r="I505" s="1"/>
  <c r="F506"/>
  <c r="I506" s="1"/>
  <c r="F507"/>
  <c r="I507" s="1"/>
  <c r="F508"/>
  <c r="I508" s="1"/>
  <c r="F509"/>
  <c r="I509" s="1"/>
  <c r="D511"/>
  <c r="F512"/>
  <c r="D513"/>
  <c r="C517"/>
  <c r="D517"/>
  <c r="H524"/>
  <c r="G527"/>
  <c r="G529"/>
  <c r="D535" s="1"/>
  <c r="G532"/>
  <c r="F534"/>
  <c r="F535"/>
  <c r="F536"/>
  <c r="F537"/>
  <c r="I537" s="1"/>
  <c r="F538"/>
  <c r="I538" s="1"/>
  <c r="F539"/>
  <c r="I539" s="1"/>
  <c r="F540"/>
  <c r="I540" s="1"/>
  <c r="F541"/>
  <c r="I541" s="1"/>
  <c r="F542"/>
  <c r="I542" s="1"/>
  <c r="F543"/>
  <c r="I543" s="1"/>
  <c r="D545"/>
  <c r="F546"/>
  <c r="D547"/>
  <c r="C551"/>
  <c r="D551"/>
  <c r="G558"/>
  <c r="G561"/>
  <c r="G563"/>
  <c r="D569" s="1"/>
  <c r="H566"/>
  <c r="D570" s="1"/>
  <c r="F568"/>
  <c r="F569"/>
  <c r="F570"/>
  <c r="F571"/>
  <c r="I571" s="1"/>
  <c r="F572"/>
  <c r="I572" s="1"/>
  <c r="F573"/>
  <c r="I573" s="1"/>
  <c r="F574"/>
  <c r="I574" s="1"/>
  <c r="F575"/>
  <c r="I575" s="1"/>
  <c r="F576"/>
  <c r="I576" s="1"/>
  <c r="F577"/>
  <c r="I577" s="1"/>
  <c r="D579"/>
  <c r="C580"/>
  <c r="C613" s="1"/>
  <c r="C647" s="1"/>
  <c r="C682" s="1"/>
  <c r="F580"/>
  <c r="D581"/>
  <c r="C585"/>
  <c r="D585"/>
  <c r="G592"/>
  <c r="G595"/>
  <c r="D601" s="1"/>
  <c r="G597"/>
  <c r="D602" s="1"/>
  <c r="G599"/>
  <c r="D603" s="1"/>
  <c r="F601"/>
  <c r="F602"/>
  <c r="F603"/>
  <c r="F604"/>
  <c r="I604" s="1"/>
  <c r="F605"/>
  <c r="I605" s="1"/>
  <c r="F606"/>
  <c r="I606" s="1"/>
  <c r="F607"/>
  <c r="I607" s="1"/>
  <c r="F608"/>
  <c r="I608" s="1"/>
  <c r="F609"/>
  <c r="I609" s="1"/>
  <c r="F610"/>
  <c r="I610" s="1"/>
  <c r="D612"/>
  <c r="F613"/>
  <c r="D614"/>
  <c r="C617"/>
  <c r="D617"/>
  <c r="G625"/>
  <c r="G628"/>
  <c r="G630"/>
  <c r="D636" s="1"/>
  <c r="G632"/>
  <c r="D637" s="1"/>
  <c r="F635"/>
  <c r="F636"/>
  <c r="F637"/>
  <c r="F638"/>
  <c r="I638" s="1"/>
  <c r="F639"/>
  <c r="I639" s="1"/>
  <c r="F640"/>
  <c r="I640" s="1"/>
  <c r="F641"/>
  <c r="I641" s="1"/>
  <c r="F642"/>
  <c r="I642" s="1"/>
  <c r="F643"/>
  <c r="I643" s="1"/>
  <c r="F644"/>
  <c r="I644" s="1"/>
  <c r="D646"/>
  <c r="F647"/>
  <c r="D648"/>
  <c r="C651"/>
  <c r="D651"/>
  <c r="G659"/>
  <c r="G661"/>
  <c r="D669" s="1"/>
  <c r="G663"/>
  <c r="D670" s="1"/>
  <c r="H666"/>
  <c r="D671" s="1"/>
  <c r="D678" s="1"/>
  <c r="D679" s="1"/>
  <c r="F669"/>
  <c r="F670"/>
  <c r="F671"/>
  <c r="F672"/>
  <c r="I672" s="1"/>
  <c r="F673"/>
  <c r="I673" s="1"/>
  <c r="F674"/>
  <c r="I674" s="1"/>
  <c r="F675"/>
  <c r="I675" s="1"/>
  <c r="F676"/>
  <c r="I676" s="1"/>
  <c r="F677"/>
  <c r="I677" s="1"/>
  <c r="F678"/>
  <c r="F679"/>
  <c r="D681"/>
  <c r="F682"/>
  <c r="D683"/>
  <c r="C686"/>
  <c r="D686"/>
  <c r="G695"/>
  <c r="G697"/>
  <c r="G699"/>
  <c r="D705" s="1"/>
  <c r="G701"/>
  <c r="D706" s="1"/>
  <c r="D713" s="1"/>
  <c r="F704"/>
  <c r="F705"/>
  <c r="F706"/>
  <c r="F707"/>
  <c r="I707" s="1"/>
  <c r="F708"/>
  <c r="I708" s="1"/>
  <c r="F709"/>
  <c r="I709" s="1"/>
  <c r="F710"/>
  <c r="I710" s="1"/>
  <c r="F711"/>
  <c r="I711" s="1"/>
  <c r="F712"/>
  <c r="I712" s="1"/>
  <c r="F713"/>
  <c r="F714"/>
  <c r="D716"/>
  <c r="F717"/>
  <c r="D718"/>
  <c r="C721"/>
  <c r="D721"/>
  <c r="G729"/>
  <c r="D756" s="1"/>
  <c r="G730"/>
  <c r="G731"/>
  <c r="G733"/>
  <c r="G734"/>
  <c r="G735"/>
  <c r="H736"/>
  <c r="H737"/>
  <c r="H738"/>
  <c r="H739"/>
  <c r="G741"/>
  <c r="D748" s="1"/>
  <c r="G742"/>
  <c r="D749" s="1"/>
  <c r="G743"/>
  <c r="D750" s="1"/>
  <c r="G744"/>
  <c r="D751" s="1"/>
  <c r="F747"/>
  <c r="F748"/>
  <c r="F749"/>
  <c r="F750"/>
  <c r="F751"/>
  <c r="F752"/>
  <c r="I752" s="1"/>
  <c r="F753"/>
  <c r="I753" s="1"/>
  <c r="F754"/>
  <c r="I754" s="1"/>
  <c r="F755"/>
  <c r="I755" s="1"/>
  <c r="C759"/>
  <c r="D759"/>
  <c r="G768"/>
  <c r="D795" s="1"/>
  <c r="G769"/>
  <c r="G770"/>
  <c r="H772"/>
  <c r="G773"/>
  <c r="H774"/>
  <c r="G775"/>
  <c r="H776"/>
  <c r="G777"/>
  <c r="H778"/>
  <c r="K778"/>
  <c r="H780"/>
  <c r="D787" s="1"/>
  <c r="H781"/>
  <c r="D788" s="1"/>
  <c r="H782"/>
  <c r="D789" s="1"/>
  <c r="H783"/>
  <c r="D790" s="1"/>
  <c r="F786"/>
  <c r="F787"/>
  <c r="F788"/>
  <c r="F789"/>
  <c r="F790"/>
  <c r="F791"/>
  <c r="I791" s="1"/>
  <c r="F792"/>
  <c r="I792" s="1"/>
  <c r="F793"/>
  <c r="I793" s="1"/>
  <c r="F794"/>
  <c r="I794" s="1"/>
  <c r="C798"/>
  <c r="D798"/>
  <c r="G806"/>
  <c r="D833" s="1"/>
  <c r="G807"/>
  <c r="G808"/>
  <c r="G811"/>
  <c r="H812" s="1"/>
  <c r="H814"/>
  <c r="H816"/>
  <c r="G818"/>
  <c r="D825" s="1"/>
  <c r="G819"/>
  <c r="D826" s="1"/>
  <c r="G820"/>
  <c r="D827" s="1"/>
  <c r="H821"/>
  <c r="D828" s="1"/>
  <c r="F824"/>
  <c r="F825"/>
  <c r="F826"/>
  <c r="F827"/>
  <c r="F828"/>
  <c r="F829"/>
  <c r="I829" s="1"/>
  <c r="F830"/>
  <c r="I830" s="1"/>
  <c r="F831"/>
  <c r="I831" s="1"/>
  <c r="F832"/>
  <c r="I832" s="1"/>
  <c r="C836"/>
  <c r="D836"/>
  <c r="F842"/>
  <c r="I842" s="1"/>
  <c r="F843" s="1"/>
  <c r="C843"/>
  <c r="D843"/>
  <c r="F848"/>
  <c r="I848" s="1"/>
  <c r="C849"/>
  <c r="D849"/>
  <c r="F854"/>
  <c r="I854" s="1"/>
  <c r="F855" s="1"/>
  <c r="C855"/>
  <c r="D855"/>
  <c r="F860"/>
  <c r="I860" s="1"/>
  <c r="F861" s="1"/>
  <c r="C861"/>
  <c r="D861"/>
  <c r="F866"/>
  <c r="I866" s="1"/>
  <c r="F867" s="1"/>
  <c r="C867"/>
  <c r="D867"/>
  <c r="H872"/>
  <c r="D873"/>
  <c r="F873"/>
  <c r="D874"/>
  <c r="F874"/>
  <c r="F877"/>
  <c r="I877" s="1"/>
  <c r="F878"/>
  <c r="I878" s="1"/>
  <c r="C880"/>
  <c r="D880"/>
  <c r="H884"/>
  <c r="D885"/>
  <c r="F885"/>
  <c r="D886"/>
  <c r="F886"/>
  <c r="F889"/>
  <c r="I889" s="1"/>
  <c r="F890"/>
  <c r="I890" s="1"/>
  <c r="C892"/>
  <c r="D892"/>
  <c r="H896"/>
  <c r="D897"/>
  <c r="F897"/>
  <c r="D898"/>
  <c r="F898"/>
  <c r="F901"/>
  <c r="I901" s="1"/>
  <c r="F902"/>
  <c r="I902" s="1"/>
  <c r="C904"/>
  <c r="D904"/>
  <c r="H908"/>
  <c r="D909"/>
  <c r="F909"/>
  <c r="D910"/>
  <c r="F910"/>
  <c r="F913"/>
  <c r="I913" s="1"/>
  <c r="F914"/>
  <c r="I914" s="1"/>
  <c r="C916"/>
  <c r="D916"/>
  <c r="H920"/>
  <c r="D921" s="1"/>
  <c r="F921"/>
  <c r="F923"/>
  <c r="I923" s="1"/>
  <c r="F924"/>
  <c r="I924" s="1"/>
  <c r="C926"/>
  <c r="D926"/>
  <c r="H930"/>
  <c r="D931" s="1"/>
  <c r="F931"/>
  <c r="F933"/>
  <c r="I933" s="1"/>
  <c r="F934"/>
  <c r="I934" s="1"/>
  <c r="C936"/>
  <c r="D936"/>
  <c r="H940"/>
  <c r="D941" s="1"/>
  <c r="F941"/>
  <c r="F943"/>
  <c r="I943" s="1"/>
  <c r="F944"/>
  <c r="I944" s="1"/>
  <c r="C946"/>
  <c r="D946"/>
  <c r="H950"/>
  <c r="D951" s="1"/>
  <c r="F951"/>
  <c r="F953"/>
  <c r="I953" s="1"/>
  <c r="F954"/>
  <c r="I954" s="1"/>
  <c r="C956"/>
  <c r="D956"/>
  <c r="H962"/>
  <c r="D963"/>
  <c r="F963"/>
  <c r="D964"/>
  <c r="F964"/>
  <c r="F967"/>
  <c r="I967" s="1"/>
  <c r="F968"/>
  <c r="I968" s="1"/>
  <c r="C970"/>
  <c r="D970"/>
  <c r="H974"/>
  <c r="D975"/>
  <c r="F975"/>
  <c r="D976"/>
  <c r="F976"/>
  <c r="F979"/>
  <c r="I979" s="1"/>
  <c r="F980"/>
  <c r="I980" s="1"/>
  <c r="C982"/>
  <c r="D982"/>
  <c r="H986"/>
  <c r="D987"/>
  <c r="F987"/>
  <c r="D988"/>
  <c r="F988"/>
  <c r="F991"/>
  <c r="I991" s="1"/>
  <c r="F992"/>
  <c r="I992" s="1"/>
  <c r="C994"/>
  <c r="D994"/>
  <c r="H998"/>
  <c r="D999"/>
  <c r="F999"/>
  <c r="D1000"/>
  <c r="F1000"/>
  <c r="F1003"/>
  <c r="I1003" s="1"/>
  <c r="F1004"/>
  <c r="I1004" s="1"/>
  <c r="C1006"/>
  <c r="D1006"/>
  <c r="F1011"/>
  <c r="I1011" s="1"/>
  <c r="F1012"/>
  <c r="I1012" s="1"/>
  <c r="F1013"/>
  <c r="I1013" s="1"/>
  <c r="C1015"/>
  <c r="D1015"/>
  <c r="F1021"/>
  <c r="I1021" s="1"/>
  <c r="F1022"/>
  <c r="I1022" s="1"/>
  <c r="F1023"/>
  <c r="I1023" s="1"/>
  <c r="C1025"/>
  <c r="D1025"/>
  <c r="F1030"/>
  <c r="I1030" s="1"/>
  <c r="F1031"/>
  <c r="I1031" s="1"/>
  <c r="F1032"/>
  <c r="I1032" s="1"/>
  <c r="C1034"/>
  <c r="D1034"/>
  <c r="F1039"/>
  <c r="I1039" s="1"/>
  <c r="F1040"/>
  <c r="I1040" s="1"/>
  <c r="F1041"/>
  <c r="I1041" s="1"/>
  <c r="C1043"/>
  <c r="D1043"/>
  <c r="F1049"/>
  <c r="I1049" s="1"/>
  <c r="F1050" s="1"/>
  <c r="C1050"/>
  <c r="D1050"/>
  <c r="F1054"/>
  <c r="I1054" s="1"/>
  <c r="F1055" s="1"/>
  <c r="C1055"/>
  <c r="D1055"/>
  <c r="F1060"/>
  <c r="I1060" s="1"/>
  <c r="F1061" s="1"/>
  <c r="C1061"/>
  <c r="D1061"/>
  <c r="F1066"/>
  <c r="I1066" s="1"/>
  <c r="F1067" s="1"/>
  <c r="C1067"/>
  <c r="D1067"/>
  <c r="F1072"/>
  <c r="I1072" s="1"/>
  <c r="C1073"/>
  <c r="D1073"/>
  <c r="F1078"/>
  <c r="I1078" s="1"/>
  <c r="F1079" s="1"/>
  <c r="C1079"/>
  <c r="D1079"/>
  <c r="F1084"/>
  <c r="I1084" s="1"/>
  <c r="F1085" s="1"/>
  <c r="C1085"/>
  <c r="D1085"/>
  <c r="F1091"/>
  <c r="I1091" s="1"/>
  <c r="F1092" s="1"/>
  <c r="C1092"/>
  <c r="D1092"/>
  <c r="D1097"/>
  <c r="H1099"/>
  <c r="H1100"/>
  <c r="D1108" s="1"/>
  <c r="F1102"/>
  <c r="F1103"/>
  <c r="F1109"/>
  <c r="I1109" s="1"/>
  <c r="F1110"/>
  <c r="F1111"/>
  <c r="D1112"/>
  <c r="C1115"/>
  <c r="D1115"/>
  <c r="F1120"/>
  <c r="I1120" s="1"/>
  <c r="C1121"/>
  <c r="D1121"/>
  <c r="H1126"/>
  <c r="D1138" s="1"/>
  <c r="K1127"/>
  <c r="H1128"/>
  <c r="H1130"/>
  <c r="H1132"/>
  <c r="H1134"/>
  <c r="K1134"/>
  <c r="F1137"/>
  <c r="F1138"/>
  <c r="F1139"/>
  <c r="I1139" s="1"/>
  <c r="F1140"/>
  <c r="I1140" s="1"/>
  <c r="F1141"/>
  <c r="I1141" s="1"/>
  <c r="C1145"/>
  <c r="D1145"/>
  <c r="H1151"/>
  <c r="G1153"/>
  <c r="G1155"/>
  <c r="G1157"/>
  <c r="F1160"/>
  <c r="F1161"/>
  <c r="I1161" s="1"/>
  <c r="F1162"/>
  <c r="I1162" s="1"/>
  <c r="C1166"/>
  <c r="D1166"/>
  <c r="H1174"/>
  <c r="D1193" s="1"/>
  <c r="H1177"/>
  <c r="K1177"/>
  <c r="H1178"/>
  <c r="K1178"/>
  <c r="H1179"/>
  <c r="K1179"/>
  <c r="H1180"/>
  <c r="K1180"/>
  <c r="H1182"/>
  <c r="K1182"/>
  <c r="H1183"/>
  <c r="K1183"/>
  <c r="H1184"/>
  <c r="K1184"/>
  <c r="K1185"/>
  <c r="H1186"/>
  <c r="K1186"/>
  <c r="G1188"/>
  <c r="F1192"/>
  <c r="F1193"/>
  <c r="D1194"/>
  <c r="F1194"/>
  <c r="C1198"/>
  <c r="D1198"/>
  <c r="G1204"/>
  <c r="D1227" s="1"/>
  <c r="H1207"/>
  <c r="K1207"/>
  <c r="H1208"/>
  <c r="K1208"/>
  <c r="H1209"/>
  <c r="K1209"/>
  <c r="H1210"/>
  <c r="K1210"/>
  <c r="L1210"/>
  <c r="H1212"/>
  <c r="K1212"/>
  <c r="H1213"/>
  <c r="K1213"/>
  <c r="H1214"/>
  <c r="K1214"/>
  <c r="K1215"/>
  <c r="H1216"/>
  <c r="K1216"/>
  <c r="D1218"/>
  <c r="H1219"/>
  <c r="F1224"/>
  <c r="F1225"/>
  <c r="D1226"/>
  <c r="F1226"/>
  <c r="C1230"/>
  <c r="D1230"/>
  <c r="F1237"/>
  <c r="I1237" s="1"/>
  <c r="C1238"/>
  <c r="D1238"/>
  <c r="F1243"/>
  <c r="I1243" s="1"/>
  <c r="F1244"/>
  <c r="I1244" s="1"/>
  <c r="F1245"/>
  <c r="I1245" s="1"/>
  <c r="C1247"/>
  <c r="D1247"/>
  <c r="H1252"/>
  <c r="D1261" s="1"/>
  <c r="D1253"/>
  <c r="F1253"/>
  <c r="D1254"/>
  <c r="F1254"/>
  <c r="F1255"/>
  <c r="I1255" s="1"/>
  <c r="F1256"/>
  <c r="I1256" s="1"/>
  <c r="F1257"/>
  <c r="I1257" s="1"/>
  <c r="F1258"/>
  <c r="I1258" s="1"/>
  <c r="F1259"/>
  <c r="I1259" s="1"/>
  <c r="D1260"/>
  <c r="F1261"/>
  <c r="D1262"/>
  <c r="C1265"/>
  <c r="D1265"/>
  <c r="A1" i="5"/>
  <c r="A2"/>
  <c r="M4"/>
  <c r="I5"/>
  <c r="J5" s="1"/>
  <c r="K5" s="1"/>
  <c r="L5" s="1"/>
  <c r="M5" s="1"/>
  <c r="N5" s="1"/>
  <c r="I6"/>
  <c r="N6" s="1"/>
  <c r="F2010" i="6" s="1"/>
  <c r="I2010" s="1"/>
  <c r="AD6" i="5"/>
  <c r="AG6"/>
  <c r="AT6"/>
  <c r="A7"/>
  <c r="A8" s="1"/>
  <c r="A9" s="1"/>
  <c r="A10" s="1"/>
  <c r="A11" s="1"/>
  <c r="A12" s="1"/>
  <c r="A13" s="1"/>
  <c r="A14" s="1"/>
  <c r="A15" s="1"/>
  <c r="A16" s="1"/>
  <c r="A17" s="1"/>
  <c r="A18" s="1"/>
  <c r="A19" s="1"/>
  <c r="A20" s="1"/>
  <c r="A21" s="1"/>
  <c r="A22" s="1"/>
  <c r="A23" s="1"/>
  <c r="A24" s="1"/>
  <c r="A25" s="1"/>
  <c r="A26" s="1"/>
  <c r="A27" s="1"/>
  <c r="A28" s="1"/>
  <c r="A29" s="1"/>
  <c r="A31" s="1"/>
  <c r="A32" s="1"/>
  <c r="A33" s="1"/>
  <c r="A34" s="1"/>
  <c r="A35" s="1"/>
  <c r="A36" s="1"/>
  <c r="A37" s="1"/>
  <c r="A38" s="1"/>
  <c r="A39" s="1"/>
  <c r="A40" s="1"/>
  <c r="A41" s="1"/>
  <c r="A42" s="1"/>
  <c r="A43" s="1"/>
  <c r="A44" s="1"/>
  <c r="I7"/>
  <c r="N7" s="1"/>
  <c r="F2266" i="6" s="1"/>
  <c r="I2266" s="1"/>
  <c r="AD7" i="5"/>
  <c r="AG7"/>
  <c r="AT7"/>
  <c r="I8"/>
  <c r="N8" s="1"/>
  <c r="AD8"/>
  <c r="AG8"/>
  <c r="AT8"/>
  <c r="I9"/>
  <c r="N9" s="1"/>
  <c r="AD9"/>
  <c r="AT9"/>
  <c r="I10"/>
  <c r="N10" s="1"/>
  <c r="AD10"/>
  <c r="AT10"/>
  <c r="I11"/>
  <c r="N11" s="1"/>
  <c r="AD11"/>
  <c r="AT11"/>
  <c r="C12"/>
  <c r="D12"/>
  <c r="AM12" s="1"/>
  <c r="E12"/>
  <c r="H12"/>
  <c r="J12" s="1"/>
  <c r="AP12" s="1"/>
  <c r="I12"/>
  <c r="AN12" s="1"/>
  <c r="X12"/>
  <c r="Y12"/>
  <c r="Z12"/>
  <c r="AC12"/>
  <c r="AE12" s="1"/>
  <c r="AD12"/>
  <c r="C13"/>
  <c r="D13"/>
  <c r="AM13" s="1"/>
  <c r="E13"/>
  <c r="H13"/>
  <c r="J13" s="1"/>
  <c r="AP13" s="1"/>
  <c r="I13"/>
  <c r="AN13" s="1"/>
  <c r="X13"/>
  <c r="Y13"/>
  <c r="Z13"/>
  <c r="AC13"/>
  <c r="AE13" s="1"/>
  <c r="AD13"/>
  <c r="D14"/>
  <c r="AM14" s="1"/>
  <c r="E14"/>
  <c r="H14"/>
  <c r="J14" s="1"/>
  <c r="AP14" s="1"/>
  <c r="I14"/>
  <c r="X14"/>
  <c r="Y14"/>
  <c r="Z14"/>
  <c r="AC14"/>
  <c r="AE14" s="1"/>
  <c r="AD14"/>
  <c r="C15"/>
  <c r="D15"/>
  <c r="AM15" s="1"/>
  <c r="E15"/>
  <c r="H15"/>
  <c r="L15"/>
  <c r="X15"/>
  <c r="Y15"/>
  <c r="Z15"/>
  <c r="AC15"/>
  <c r="AF15"/>
  <c r="AG15"/>
  <c r="AQ15"/>
  <c r="AS15" s="1"/>
  <c r="AR15"/>
  <c r="C16"/>
  <c r="D16"/>
  <c r="AM16" s="1"/>
  <c r="E16"/>
  <c r="H16"/>
  <c r="J16" s="1"/>
  <c r="I16"/>
  <c r="AN16" s="1"/>
  <c r="X16"/>
  <c r="Y16"/>
  <c r="Z16"/>
  <c r="AC16"/>
  <c r="AE16" s="1"/>
  <c r="AD16"/>
  <c r="AF16"/>
  <c r="AG16"/>
  <c r="AQ16"/>
  <c r="AS16" s="1"/>
  <c r="AR16"/>
  <c r="AT16" s="1"/>
  <c r="C17"/>
  <c r="D17"/>
  <c r="AM17" s="1"/>
  <c r="E17"/>
  <c r="H17"/>
  <c r="J17" s="1"/>
  <c r="AP17" s="1"/>
  <c r="I17"/>
  <c r="AN17" s="1"/>
  <c r="X17"/>
  <c r="Y17"/>
  <c r="Z17"/>
  <c r="AC17"/>
  <c r="AE17" s="1"/>
  <c r="AD17"/>
  <c r="AF17"/>
  <c r="AG17"/>
  <c r="AQ17"/>
  <c r="AS17" s="1"/>
  <c r="AR17"/>
  <c r="AT17" s="1"/>
  <c r="C18"/>
  <c r="D18"/>
  <c r="E18"/>
  <c r="H18"/>
  <c r="J18" s="1"/>
  <c r="I18"/>
  <c r="AN18" s="1"/>
  <c r="X18"/>
  <c r="Y18"/>
  <c r="Z18"/>
  <c r="AC18"/>
  <c r="AE18" s="1"/>
  <c r="AD18"/>
  <c r="C19"/>
  <c r="D19"/>
  <c r="AM19" s="1"/>
  <c r="E19"/>
  <c r="H19"/>
  <c r="J19" s="1"/>
  <c r="AP19" s="1"/>
  <c r="I19"/>
  <c r="AN19" s="1"/>
  <c r="X19"/>
  <c r="Y19"/>
  <c r="Z19"/>
  <c r="AC19"/>
  <c r="AE19" s="1"/>
  <c r="AD19"/>
  <c r="C20"/>
  <c r="D20"/>
  <c r="AM20" s="1"/>
  <c r="E20"/>
  <c r="H20"/>
  <c r="J20" s="1"/>
  <c r="AP20" s="1"/>
  <c r="I20"/>
  <c r="AN20" s="1"/>
  <c r="X20"/>
  <c r="Y20"/>
  <c r="Z20"/>
  <c r="AC20"/>
  <c r="AE20" s="1"/>
  <c r="AD20"/>
  <c r="C21"/>
  <c r="D21"/>
  <c r="AM21" s="1"/>
  <c r="E21"/>
  <c r="H21"/>
  <c r="J21" s="1"/>
  <c r="AP21" s="1"/>
  <c r="I21"/>
  <c r="AN21" s="1"/>
  <c r="X21"/>
  <c r="Y21"/>
  <c r="Z21"/>
  <c r="AC21"/>
  <c r="AE21" s="1"/>
  <c r="AD21"/>
  <c r="C22"/>
  <c r="D22"/>
  <c r="AM22" s="1"/>
  <c r="E22"/>
  <c r="H22"/>
  <c r="J22" s="1"/>
  <c r="I22"/>
  <c r="AN22" s="1"/>
  <c r="X22"/>
  <c r="Y22"/>
  <c r="Z22"/>
  <c r="AC22"/>
  <c r="AE22" s="1"/>
  <c r="AD22"/>
  <c r="C23"/>
  <c r="E23"/>
  <c r="H23"/>
  <c r="J23" s="1"/>
  <c r="AP23" s="1"/>
  <c r="I23"/>
  <c r="X23"/>
  <c r="Z23"/>
  <c r="AC23"/>
  <c r="AE23" s="1"/>
  <c r="AD23"/>
  <c r="C24"/>
  <c r="E24"/>
  <c r="H24"/>
  <c r="J24" s="1"/>
  <c r="AP24" s="1"/>
  <c r="X24"/>
  <c r="Z24"/>
  <c r="AC24"/>
  <c r="AE24" s="1"/>
  <c r="C25"/>
  <c r="D25"/>
  <c r="AM25" s="1"/>
  <c r="E25"/>
  <c r="H25"/>
  <c r="J25" s="1"/>
  <c r="AP25" s="1"/>
  <c r="I25"/>
  <c r="AN25" s="1"/>
  <c r="X25"/>
  <c r="Y25"/>
  <c r="Z25"/>
  <c r="AC25"/>
  <c r="AE25" s="1"/>
  <c r="AD25"/>
  <c r="C26"/>
  <c r="D26"/>
  <c r="AM26" s="1"/>
  <c r="E26"/>
  <c r="H26"/>
  <c r="J26" s="1"/>
  <c r="I26"/>
  <c r="AN26" s="1"/>
  <c r="L26"/>
  <c r="M26" s="1"/>
  <c r="X26"/>
  <c r="Y26"/>
  <c r="Z26"/>
  <c r="AC26"/>
  <c r="AE26" s="1"/>
  <c r="AD26"/>
  <c r="AF26"/>
  <c r="AG26"/>
  <c r="AH26" s="1"/>
  <c r="AS26"/>
  <c r="C27"/>
  <c r="D27"/>
  <c r="AM27" s="1"/>
  <c r="E27"/>
  <c r="H27"/>
  <c r="J27" s="1"/>
  <c r="I27"/>
  <c r="AN27" s="1"/>
  <c r="L27"/>
  <c r="AT27" s="1"/>
  <c r="X27"/>
  <c r="Y27"/>
  <c r="Z27"/>
  <c r="AC27"/>
  <c r="AE27" s="1"/>
  <c r="AD27"/>
  <c r="AF27"/>
  <c r="AG27"/>
  <c r="AH27" s="1"/>
  <c r="AS27"/>
  <c r="D28"/>
  <c r="AM28" s="1"/>
  <c r="E28"/>
  <c r="I28"/>
  <c r="N28" s="1"/>
  <c r="Y28"/>
  <c r="Z28"/>
  <c r="AD28"/>
  <c r="AI28" s="1"/>
  <c r="AP28"/>
  <c r="D29"/>
  <c r="AM29" s="1"/>
  <c r="E29"/>
  <c r="I29"/>
  <c r="AN29" s="1"/>
  <c r="Y29"/>
  <c r="Z29"/>
  <c r="AD29"/>
  <c r="AI29" s="1"/>
  <c r="AP29"/>
  <c r="Q30"/>
  <c r="H31"/>
  <c r="L31" s="1"/>
  <c r="K31"/>
  <c r="H32"/>
  <c r="L32" s="1"/>
  <c r="K32"/>
  <c r="K33"/>
  <c r="L33"/>
  <c r="H34"/>
  <c r="L34" s="1"/>
  <c r="K34"/>
  <c r="K35"/>
  <c r="K36"/>
  <c r="K37"/>
  <c r="L38"/>
  <c r="N38" s="1"/>
  <c r="K39"/>
  <c r="L39"/>
  <c r="I40"/>
  <c r="J40"/>
  <c r="I41"/>
  <c r="J41"/>
  <c r="I42"/>
  <c r="J42"/>
  <c r="I43"/>
  <c r="J43"/>
  <c r="I44"/>
  <c r="N44" s="1"/>
  <c r="Q44" s="1"/>
  <c r="B49"/>
  <c r="A3" i="20"/>
  <c r="A4" s="1"/>
  <c r="A5" s="1"/>
  <c r="A6" s="1"/>
  <c r="A7" s="1"/>
  <c r="A8" s="1"/>
  <c r="A9" s="1"/>
  <c r="A10" s="1"/>
  <c r="A11" s="1"/>
  <c r="A12" s="1"/>
  <c r="P10" i="22"/>
  <c r="Q10"/>
  <c r="R10"/>
  <c r="Q17"/>
  <c r="R17"/>
  <c r="Q18"/>
  <c r="R18"/>
  <c r="B3" i="30"/>
  <c r="H8"/>
  <c r="H11" s="1"/>
  <c r="H18" s="1"/>
  <c r="F6" i="8"/>
  <c r="I6" s="1"/>
  <c r="C7"/>
  <c r="D7"/>
  <c r="F12"/>
  <c r="I12" s="1"/>
  <c r="C13"/>
  <c r="D13"/>
  <c r="F18"/>
  <c r="I18" s="1"/>
  <c r="F19"/>
  <c r="I19" s="1"/>
  <c r="F20" s="1"/>
  <c r="D20"/>
  <c r="C22"/>
  <c r="D22"/>
  <c r="F27"/>
  <c r="I27" s="1"/>
  <c r="F28"/>
  <c r="I28" s="1"/>
  <c r="F29" s="1"/>
  <c r="D29"/>
  <c r="C31"/>
  <c r="D31"/>
  <c r="F36"/>
  <c r="I36" s="1"/>
  <c r="F37"/>
  <c r="I37" s="1"/>
  <c r="C38"/>
  <c r="D38"/>
  <c r="C40"/>
  <c r="D40"/>
  <c r="A43"/>
  <c r="A49" s="1"/>
  <c r="A55" s="1"/>
  <c r="A62" s="1"/>
  <c r="F44"/>
  <c r="I44" s="1"/>
  <c r="C45"/>
  <c r="D45"/>
  <c r="F50"/>
  <c r="I50" s="1"/>
  <c r="F51" s="1"/>
  <c r="C51"/>
  <c r="D51"/>
  <c r="F56"/>
  <c r="I56" s="1"/>
  <c r="C57"/>
  <c r="D57"/>
  <c r="F63"/>
  <c r="I63" s="1"/>
  <c r="F64"/>
  <c r="I64" s="1"/>
  <c r="F65"/>
  <c r="I65" s="1"/>
  <c r="C67"/>
  <c r="D67"/>
  <c r="F72"/>
  <c r="I72" s="1"/>
  <c r="F73" s="1"/>
  <c r="C73"/>
  <c r="D73"/>
  <c r="F78"/>
  <c r="I78" s="1"/>
  <c r="C79"/>
  <c r="D79"/>
  <c r="F84"/>
  <c r="I84" s="1"/>
  <c r="D85"/>
  <c r="F85"/>
  <c r="F86"/>
  <c r="I86" s="1"/>
  <c r="F87"/>
  <c r="I87" s="1"/>
  <c r="F88"/>
  <c r="I88" s="1"/>
  <c r="F89"/>
  <c r="I89" s="1"/>
  <c r="D90"/>
  <c r="F90"/>
  <c r="F91"/>
  <c r="I91" s="1"/>
  <c r="D92"/>
  <c r="F92"/>
  <c r="F93"/>
  <c r="I93" s="1"/>
  <c r="D94"/>
  <c r="F94"/>
  <c r="F95"/>
  <c r="I95" s="1"/>
  <c r="F96" s="1"/>
  <c r="D96"/>
  <c r="F97"/>
  <c r="I97" s="1"/>
  <c r="D98"/>
  <c r="F98"/>
  <c r="C100"/>
  <c r="D100"/>
  <c r="F105"/>
  <c r="I105" s="1"/>
  <c r="D106"/>
  <c r="F106"/>
  <c r="F107"/>
  <c r="I107" s="1"/>
  <c r="F108"/>
  <c r="I108" s="1"/>
  <c r="D109"/>
  <c r="F109"/>
  <c r="F110"/>
  <c r="I110" s="1"/>
  <c r="D111"/>
  <c r="F111"/>
  <c r="F112"/>
  <c r="I112" s="1"/>
  <c r="D113"/>
  <c r="F113"/>
  <c r="F114"/>
  <c r="I114" s="1"/>
  <c r="F115" s="1"/>
  <c r="D115"/>
  <c r="F116"/>
  <c r="I116" s="1"/>
  <c r="D117"/>
  <c r="F117"/>
  <c r="C119"/>
  <c r="D119"/>
  <c r="F124"/>
  <c r="I124" s="1"/>
  <c r="D125"/>
  <c r="F125"/>
  <c r="F126"/>
  <c r="I126" s="1"/>
  <c r="D127"/>
  <c r="F127"/>
  <c r="F128"/>
  <c r="I128" s="1"/>
  <c r="D129"/>
  <c r="F129"/>
  <c r="F130"/>
  <c r="I130" s="1"/>
  <c r="F131"/>
  <c r="I131" s="1"/>
  <c r="C133"/>
  <c r="D133"/>
  <c r="F138"/>
  <c r="I138" s="1"/>
  <c r="D139"/>
  <c r="F139"/>
  <c r="C141"/>
  <c r="D141"/>
  <c r="F147"/>
  <c r="I147" s="1"/>
  <c r="D148"/>
  <c r="F148"/>
  <c r="C150"/>
  <c r="D150"/>
  <c r="F155"/>
  <c r="I155" s="1"/>
  <c r="D156"/>
  <c r="F156"/>
  <c r="C158"/>
  <c r="D158"/>
  <c r="I163"/>
  <c r="D164"/>
  <c r="F164"/>
  <c r="C166"/>
  <c r="D166"/>
  <c r="I171"/>
  <c r="D172"/>
  <c r="I172" s="1"/>
  <c r="C174"/>
  <c r="D174"/>
  <c r="F179"/>
  <c r="I179" s="1"/>
  <c r="D180"/>
  <c r="F180"/>
  <c r="C182"/>
  <c r="D182"/>
  <c r="F194"/>
  <c r="I194" s="1"/>
  <c r="D195"/>
  <c r="F195"/>
  <c r="C197"/>
  <c r="D197"/>
  <c r="F202"/>
  <c r="I202" s="1"/>
  <c r="D203"/>
  <c r="F203"/>
  <c r="C205"/>
  <c r="D205"/>
  <c r="F212"/>
  <c r="G212"/>
  <c r="F213"/>
  <c r="I213" s="1"/>
  <c r="F214"/>
  <c r="I214" s="1"/>
  <c r="F215" s="1"/>
  <c r="D215"/>
  <c r="C218"/>
  <c r="D218"/>
  <c r="F224"/>
  <c r="G224"/>
  <c r="F225"/>
  <c r="I225" s="1"/>
  <c r="F226"/>
  <c r="I226" s="1"/>
  <c r="F227" s="1"/>
  <c r="D227"/>
  <c r="C230"/>
  <c r="D230"/>
  <c r="F236"/>
  <c r="G236"/>
  <c r="F237"/>
  <c r="I237" s="1"/>
  <c r="F238"/>
  <c r="I238" s="1"/>
  <c r="F239" s="1"/>
  <c r="D239"/>
  <c r="C242"/>
  <c r="D242"/>
  <c r="F248"/>
  <c r="G248"/>
  <c r="F249"/>
  <c r="I249" s="1"/>
  <c r="F250"/>
  <c r="I250" s="1"/>
  <c r="F251" s="1"/>
  <c r="D251"/>
  <c r="C254"/>
  <c r="D254"/>
  <c r="F260"/>
  <c r="I260" s="1"/>
  <c r="C261"/>
  <c r="D261"/>
  <c r="F266"/>
  <c r="I266" s="1"/>
  <c r="C267"/>
  <c r="D267"/>
  <c r="F272"/>
  <c r="I272" s="1"/>
  <c r="C273"/>
  <c r="D273"/>
  <c r="F278"/>
  <c r="I278" s="1"/>
  <c r="C279"/>
  <c r="D279"/>
  <c r="F284"/>
  <c r="I284" s="1"/>
  <c r="C285"/>
  <c r="D285"/>
  <c r="F290"/>
  <c r="I290" s="1"/>
  <c r="C291"/>
  <c r="D291"/>
  <c r="F297"/>
  <c r="I297" s="1"/>
  <c r="C298"/>
  <c r="D298"/>
  <c r="F303"/>
  <c r="I303" s="1"/>
  <c r="C304"/>
  <c r="D304"/>
  <c r="F309"/>
  <c r="I309" s="1"/>
  <c r="C310"/>
  <c r="D310"/>
  <c r="F315"/>
  <c r="I315" s="1"/>
  <c r="C316"/>
  <c r="D316"/>
  <c r="F321"/>
  <c r="I321" s="1"/>
  <c r="C322"/>
  <c r="D322"/>
  <c r="F327"/>
  <c r="I327" s="1"/>
  <c r="C328"/>
  <c r="D328"/>
  <c r="F334"/>
  <c r="I334" s="1"/>
  <c r="D335"/>
  <c r="F335"/>
  <c r="C337"/>
  <c r="D337"/>
  <c r="F342"/>
  <c r="I342" s="1"/>
  <c r="D343"/>
  <c r="F343"/>
  <c r="C345"/>
  <c r="D345"/>
  <c r="F350"/>
  <c r="I350" s="1"/>
  <c r="C351"/>
  <c r="D351"/>
  <c r="F351"/>
  <c r="C353"/>
  <c r="D353"/>
  <c r="F358"/>
  <c r="I358" s="1"/>
  <c r="D359"/>
  <c r="F359"/>
  <c r="C361"/>
  <c r="D361"/>
  <c r="F366"/>
  <c r="I366" s="1"/>
  <c r="D367"/>
  <c r="F367"/>
  <c r="C369"/>
  <c r="D369"/>
  <c r="F374"/>
  <c r="I374" s="1"/>
  <c r="D375"/>
  <c r="F375"/>
  <c r="C377"/>
  <c r="D377"/>
  <c r="F382"/>
  <c r="I382" s="1"/>
  <c r="C383"/>
  <c r="D383"/>
  <c r="F389"/>
  <c r="I389" s="1"/>
  <c r="F390" s="1"/>
  <c r="C390"/>
  <c r="D390"/>
  <c r="F395"/>
  <c r="I395" s="1"/>
  <c r="F396" s="1"/>
  <c r="C396"/>
  <c r="D396"/>
  <c r="F402"/>
  <c r="I402" s="1"/>
  <c r="F403" s="1"/>
  <c r="C403"/>
  <c r="D403"/>
  <c r="F408"/>
  <c r="I408" s="1"/>
  <c r="F409" s="1"/>
  <c r="C409"/>
  <c r="D409"/>
  <c r="F415"/>
  <c r="I415" s="1"/>
  <c r="F416" s="1"/>
  <c r="C416"/>
  <c r="D416"/>
  <c r="F421"/>
  <c r="I421" s="1"/>
  <c r="F422" s="1"/>
  <c r="C422"/>
  <c r="D422"/>
  <c r="F427"/>
  <c r="I427" s="1"/>
  <c r="F428" s="1"/>
  <c r="C428"/>
  <c r="D428"/>
  <c r="F433"/>
  <c r="I433" s="1"/>
  <c r="F434" s="1"/>
  <c r="C434"/>
  <c r="D434"/>
  <c r="F439"/>
  <c r="I439" s="1"/>
  <c r="D440"/>
  <c r="F440"/>
  <c r="C442"/>
  <c r="D442"/>
  <c r="F446"/>
  <c r="I446" s="1"/>
  <c r="D447"/>
  <c r="F447"/>
  <c r="C449"/>
  <c r="D449"/>
  <c r="F454"/>
  <c r="I454" s="1"/>
  <c r="D455"/>
  <c r="F455"/>
  <c r="C457"/>
  <c r="D457"/>
  <c r="F462"/>
  <c r="I462" s="1"/>
  <c r="D463"/>
  <c r="F463"/>
  <c r="F464"/>
  <c r="I464" s="1"/>
  <c r="D465"/>
  <c r="F465"/>
  <c r="F466"/>
  <c r="I466" s="1"/>
  <c r="F467"/>
  <c r="I467" s="1"/>
  <c r="C469"/>
  <c r="D469"/>
  <c r="F474"/>
  <c r="I474" s="1"/>
  <c r="D475"/>
  <c r="F475"/>
  <c r="F476"/>
  <c r="I476" s="1"/>
  <c r="D477"/>
  <c r="F477"/>
  <c r="F478"/>
  <c r="I478" s="1"/>
  <c r="F479"/>
  <c r="I479" s="1"/>
  <c r="C481"/>
  <c r="D481"/>
  <c r="D486"/>
  <c r="F486"/>
  <c r="F487"/>
  <c r="I487" s="1"/>
  <c r="F488" s="1"/>
  <c r="D488"/>
  <c r="F489"/>
  <c r="I489" s="1"/>
  <c r="D490"/>
  <c r="D491"/>
  <c r="C493"/>
  <c r="D493"/>
  <c r="F498"/>
  <c r="I498" s="1"/>
  <c r="C500"/>
  <c r="D500"/>
  <c r="F504"/>
  <c r="I504" s="1"/>
  <c r="D505"/>
  <c r="F505"/>
  <c r="C507"/>
  <c r="D507"/>
  <c r="A7" i="18"/>
  <c r="A11" s="1"/>
  <c r="A12" s="1"/>
  <c r="A13" s="1"/>
  <c r="A14" s="1"/>
  <c r="A15" s="1"/>
  <c r="A16" s="1"/>
  <c r="A18" s="1"/>
  <c r="A19" s="1"/>
  <c r="A20" s="1"/>
  <c r="A21" s="1"/>
  <c r="A22" s="1"/>
  <c r="A24" s="1"/>
  <c r="A25" s="1"/>
  <c r="A26" s="1"/>
  <c r="A27" s="1"/>
  <c r="A28" s="1"/>
  <c r="A29" s="1"/>
  <c r="A30" s="1"/>
  <c r="A31" s="1"/>
  <c r="A32" s="1"/>
  <c r="A33" s="1"/>
  <c r="A34" s="1"/>
  <c r="A35" s="1"/>
  <c r="A36" s="1"/>
  <c r="A37" s="1"/>
  <c r="A39" s="1"/>
  <c r="G107"/>
  <c r="A7" i="3"/>
  <c r="A11" s="1"/>
  <c r="A12" s="1"/>
  <c r="A13" s="1"/>
  <c r="A14" s="1"/>
  <c r="A15" s="1"/>
  <c r="A16" s="1"/>
  <c r="A18" s="1"/>
  <c r="A19" s="1"/>
  <c r="A20" s="1"/>
  <c r="A21" s="1"/>
  <c r="A22" s="1"/>
  <c r="A24" s="1"/>
  <c r="A25" s="1"/>
  <c r="A26" s="1"/>
  <c r="A27" s="1"/>
  <c r="A28" s="1"/>
  <c r="A29" s="1"/>
  <c r="A30" s="1"/>
  <c r="A31" s="1"/>
  <c r="A32" s="1"/>
  <c r="A33" s="1"/>
  <c r="A34" s="1"/>
  <c r="A35" s="1"/>
  <c r="A36" s="1"/>
  <c r="A37" s="1"/>
  <c r="A39" s="1"/>
  <c r="C335" i="8" l="1"/>
  <c r="C20"/>
  <c r="AD24" i="5"/>
  <c r="C195" i="8"/>
  <c r="C367"/>
  <c r="AH16" i="5"/>
  <c r="M15"/>
  <c r="D324" i="7"/>
  <c r="D363"/>
  <c r="I363" s="1"/>
  <c r="F364" s="1"/>
  <c r="I364" s="1"/>
  <c r="G700"/>
  <c r="D715" s="1"/>
  <c r="I963"/>
  <c r="D404"/>
  <c r="I404" s="1"/>
  <c r="F405" s="1"/>
  <c r="I405" s="1"/>
  <c r="I999"/>
  <c r="AD15" i="5"/>
  <c r="D391" i="7"/>
  <c r="I391" s="1"/>
  <c r="G177"/>
  <c r="D197" s="1"/>
  <c r="N41" i="5"/>
  <c r="Q41" s="1"/>
  <c r="D682" i="7"/>
  <c r="I682" s="1"/>
  <c r="F683" s="1"/>
  <c r="I683" s="1"/>
  <c r="I670"/>
  <c r="I349"/>
  <c r="C375" i="8"/>
  <c r="C359"/>
  <c r="C343"/>
  <c r="C203"/>
  <c r="C180"/>
  <c r="C29"/>
  <c r="C157" i="7"/>
  <c r="C505" i="8"/>
  <c r="C491"/>
  <c r="C488"/>
  <c r="C455"/>
  <c r="C440"/>
  <c r="C251"/>
  <c r="C239"/>
  <c r="C227"/>
  <c r="C215"/>
  <c r="C164"/>
  <c r="C148"/>
  <c r="C1262" i="7"/>
  <c r="J11" i="19"/>
  <c r="C1112" i="7"/>
  <c r="C477" i="8"/>
  <c r="C475"/>
  <c r="C465"/>
  <c r="C463"/>
  <c r="C447"/>
  <c r="C172"/>
  <c r="C156"/>
  <c r="D1195" i="7"/>
  <c r="I48" i="19"/>
  <c r="AT26" i="5"/>
  <c r="I1996" i="6"/>
  <c r="I921" i="7"/>
  <c r="I922" s="1"/>
  <c r="I925" s="1"/>
  <c r="F926" s="1"/>
  <c r="I926" s="1"/>
  <c r="I927" s="1"/>
  <c r="I928" s="1"/>
  <c r="I885"/>
  <c r="I827"/>
  <c r="I637"/>
  <c r="D613"/>
  <c r="I613" s="1"/>
  <c r="F614" s="1"/>
  <c r="I614" s="1"/>
  <c r="I1067"/>
  <c r="I1068" s="1"/>
  <c r="I1069" s="1"/>
  <c r="G466"/>
  <c r="C35" i="19"/>
  <c r="G530" i="7"/>
  <c r="D544" s="1"/>
  <c r="D434"/>
  <c r="I434" s="1"/>
  <c r="I145"/>
  <c r="I51" i="19"/>
  <c r="I351" i="8"/>
  <c r="I352" s="1"/>
  <c r="F353" s="1"/>
  <c r="I353" s="1"/>
  <c r="I354" s="1"/>
  <c r="I355" s="1"/>
  <c r="I987" i="7"/>
  <c r="G598"/>
  <c r="D611" s="1"/>
  <c r="D534"/>
  <c r="I534" s="1"/>
  <c r="I500"/>
  <c r="I392"/>
  <c r="G219"/>
  <c r="D238" s="1"/>
  <c r="I1226"/>
  <c r="I951"/>
  <c r="I952" s="1"/>
  <c r="I955" s="1"/>
  <c r="F956" s="1"/>
  <c r="I956" s="1"/>
  <c r="I957" s="1"/>
  <c r="I958" s="1"/>
  <c r="H13" i="21"/>
  <c r="C21" s="1"/>
  <c r="H21" s="1"/>
  <c r="H22" s="1"/>
  <c r="I129" i="8"/>
  <c r="I85"/>
  <c r="N42" i="5"/>
  <c r="Q42" s="1"/>
  <c r="N40"/>
  <c r="Q40" s="1"/>
  <c r="D704" i="7"/>
  <c r="I704" s="1"/>
  <c r="D580"/>
  <c r="D470"/>
  <c r="I470" s="1"/>
  <c r="D322"/>
  <c r="I322" s="1"/>
  <c r="F323" s="1"/>
  <c r="I323" s="1"/>
  <c r="D270"/>
  <c r="I270" s="1"/>
  <c r="R6" i="19"/>
  <c r="R11" s="1"/>
  <c r="I790" i="7"/>
  <c r="I502"/>
  <c r="I351"/>
  <c r="I751"/>
  <c r="I143"/>
  <c r="I669"/>
  <c r="I281"/>
  <c r="F282" s="1"/>
  <c r="I282" s="1"/>
  <c r="I240"/>
  <c r="F241" s="1"/>
  <c r="I241" s="1"/>
  <c r="I199"/>
  <c r="F200" s="1"/>
  <c r="I173" i="8"/>
  <c r="F174" s="1"/>
  <c r="I139"/>
  <c r="I117"/>
  <c r="I111"/>
  <c r="I92"/>
  <c r="I73"/>
  <c r="AI14" i="5"/>
  <c r="F1104" i="7"/>
  <c r="H1104" s="1"/>
  <c r="D1107" s="1"/>
  <c r="G809"/>
  <c r="H810" s="1"/>
  <c r="G817" s="1"/>
  <c r="D824" s="1"/>
  <c r="I824" s="1"/>
  <c r="I788"/>
  <c r="G779"/>
  <c r="D786" s="1"/>
  <c r="I786" s="1"/>
  <c r="G771"/>
  <c r="G383"/>
  <c r="D402" s="1"/>
  <c r="I343" i="8"/>
  <c r="G1187" i="7"/>
  <c r="D1192" s="1"/>
  <c r="I1192" s="1"/>
  <c r="I713"/>
  <c r="G664"/>
  <c r="D680" s="1"/>
  <c r="I601"/>
  <c r="G301"/>
  <c r="D320" s="1"/>
  <c r="I269"/>
  <c r="I184"/>
  <c r="P258" i="2"/>
  <c r="E2059" i="6"/>
  <c r="E2060" s="1"/>
  <c r="I50" i="19"/>
  <c r="I2905" i="6"/>
  <c r="I79"/>
  <c r="I1253" i="7"/>
  <c r="G1158"/>
  <c r="D1160" s="1"/>
  <c r="I1160" s="1"/>
  <c r="I975"/>
  <c r="I180" i="8"/>
  <c r="I109"/>
  <c r="N32" i="5"/>
  <c r="Q32" s="1"/>
  <c r="D647" i="7"/>
  <c r="I647" s="1"/>
  <c r="F648" s="1"/>
  <c r="I535"/>
  <c r="G498"/>
  <c r="D510" s="1"/>
  <c r="I433"/>
  <c r="I267"/>
  <c r="D229"/>
  <c r="I229" s="1"/>
  <c r="D183"/>
  <c r="F2092" i="6"/>
  <c r="F2015"/>
  <c r="I2015" s="1"/>
  <c r="F1033"/>
  <c r="F2134"/>
  <c r="I2134" s="1"/>
  <c r="F756"/>
  <c r="F1629"/>
  <c r="F667"/>
  <c r="F513"/>
  <c r="E2071"/>
  <c r="E2072" s="1"/>
  <c r="K2026"/>
  <c r="K2027" s="1"/>
  <c r="O12" i="19"/>
  <c r="I310" i="6"/>
  <c r="I311" s="1"/>
  <c r="F278" i="7"/>
  <c r="I278" s="1"/>
  <c r="F30" i="40"/>
  <c r="I30" s="1"/>
  <c r="I33" s="1"/>
  <c r="I51" i="8"/>
  <c r="I52" s="1"/>
  <c r="I53" s="1"/>
  <c r="I106"/>
  <c r="C4846" i="6"/>
  <c r="C188" i="8"/>
  <c r="C2029" i="6"/>
  <c r="C2027"/>
  <c r="C2021"/>
  <c r="F499" i="8"/>
  <c r="I499"/>
  <c r="I248"/>
  <c r="I236"/>
  <c r="I224"/>
  <c r="I125"/>
  <c r="I447"/>
  <c r="I448" s="1"/>
  <c r="F449" s="1"/>
  <c r="I449" s="1"/>
  <c r="I450" s="1"/>
  <c r="I451" s="1"/>
  <c r="I335"/>
  <c r="I336" s="1"/>
  <c r="F337" s="1"/>
  <c r="I337" s="1"/>
  <c r="I338" s="1"/>
  <c r="I339" s="1"/>
  <c r="I4909" i="6"/>
  <c r="I4910" s="1"/>
  <c r="I4911" s="1"/>
  <c r="I3780"/>
  <c r="D3814"/>
  <c r="D3815" s="1"/>
  <c r="I3815" s="1"/>
  <c r="G1399"/>
  <c r="G1400" s="1"/>
  <c r="I4626"/>
  <c r="I622"/>
  <c r="I2515"/>
  <c r="I4649"/>
  <c r="I3864"/>
  <c r="D3833"/>
  <c r="D4543"/>
  <c r="I4543" s="1"/>
  <c r="I553"/>
  <c r="I189"/>
  <c r="F190" s="1"/>
  <c r="I190" s="1"/>
  <c r="F191" s="1"/>
  <c r="I191" s="1"/>
  <c r="F3552"/>
  <c r="G3558" s="1"/>
  <c r="G3559" s="1"/>
  <c r="F1417"/>
  <c r="I631"/>
  <c r="I613"/>
  <c r="F614" s="1"/>
  <c r="I614" s="1"/>
  <c r="E887"/>
  <c r="I2918"/>
  <c r="F2919" s="1"/>
  <c r="E1462"/>
  <c r="E1463" s="1"/>
  <c r="I592"/>
  <c r="C681" i="7"/>
  <c r="C648"/>
  <c r="C614"/>
  <c r="C581"/>
  <c r="I156" i="8"/>
  <c r="C716" i="7"/>
  <c r="C683"/>
  <c r="C646"/>
  <c r="I90" i="8"/>
  <c r="C444" i="7"/>
  <c r="I4840" i="6"/>
  <c r="F4484"/>
  <c r="I584"/>
  <c r="F585" s="1"/>
  <c r="I4871"/>
  <c r="F4873" s="1"/>
  <c r="I4873" s="1"/>
  <c r="F517"/>
  <c r="I517" s="1"/>
  <c r="I4890"/>
  <c r="F4733"/>
  <c r="I4733" s="1"/>
  <c r="I4435"/>
  <c r="I2917"/>
  <c r="F2303"/>
  <c r="I256"/>
  <c r="D897"/>
  <c r="D898" s="1"/>
  <c r="E897"/>
  <c r="E898" s="1"/>
  <c r="I583"/>
  <c r="F897"/>
  <c r="F898" s="1"/>
  <c r="G886"/>
  <c r="G887" s="1"/>
  <c r="I886"/>
  <c r="I887" s="1"/>
  <c r="I228" i="7"/>
  <c r="I671"/>
  <c r="D714"/>
  <c r="I714" s="1"/>
  <c r="I825"/>
  <c r="I4659" i="6"/>
  <c r="I4962"/>
  <c r="F4964" s="1"/>
  <c r="I4964" s="1"/>
  <c r="I3901"/>
  <c r="I3908" s="1"/>
  <c r="F911"/>
  <c r="F3304"/>
  <c r="F3774"/>
  <c r="F3789" s="1"/>
  <c r="F3790" s="1"/>
  <c r="I3738"/>
  <c r="F3082"/>
  <c r="I3082" s="1"/>
  <c r="I2549"/>
  <c r="F1719"/>
  <c r="I1719" s="1"/>
  <c r="F1661"/>
  <c r="I1661" s="1"/>
  <c r="I4234"/>
  <c r="I4235" s="1"/>
  <c r="I3923"/>
  <c r="D4978"/>
  <c r="D4979" s="1"/>
  <c r="I4979" s="1"/>
  <c r="I4799"/>
  <c r="I4801" s="1"/>
  <c r="F1958"/>
  <c r="G1966" s="1"/>
  <c r="G1967" s="1"/>
  <c r="E1092"/>
  <c r="I4436"/>
  <c r="I2136"/>
  <c r="I1092" i="7"/>
  <c r="I1093" s="1"/>
  <c r="I1094" s="1"/>
  <c r="C366"/>
  <c r="E1507" i="6"/>
  <c r="E1508" s="1"/>
  <c r="F1462"/>
  <c r="F1463" s="1"/>
  <c r="H1449"/>
  <c r="H1450" s="1"/>
  <c r="L939"/>
  <c r="L940" s="1"/>
  <c r="C403" i="7"/>
  <c r="C325"/>
  <c r="I1494" i="6"/>
  <c r="I1495" s="1"/>
  <c r="E1450"/>
  <c r="C511" i="7"/>
  <c r="C446"/>
  <c r="AI13" i="5"/>
  <c r="I843" i="7"/>
  <c r="I844" s="1"/>
  <c r="I845" s="1"/>
  <c r="C545"/>
  <c r="C718"/>
  <c r="C405"/>
  <c r="C362"/>
  <c r="C579"/>
  <c r="C513"/>
  <c r="C481"/>
  <c r="C448"/>
  <c r="C321"/>
  <c r="C612"/>
  <c r="C547"/>
  <c r="I4262" i="6"/>
  <c r="C407" i="7"/>
  <c r="C364"/>
  <c r="C119"/>
  <c r="I3277" i="6"/>
  <c r="E1593"/>
  <c r="E1594" s="1"/>
  <c r="F4044"/>
  <c r="I4044" s="1"/>
  <c r="F4045" s="1"/>
  <c r="F2381"/>
  <c r="I463" i="8"/>
  <c r="I1261" i="7"/>
  <c r="I787"/>
  <c r="I679"/>
  <c r="I187"/>
  <c r="F4944" i="6"/>
  <c r="I4944" s="1"/>
  <c r="F4945" s="1"/>
  <c r="I4945" s="1"/>
  <c r="I4946" s="1"/>
  <c r="I4766"/>
  <c r="I4768" s="1"/>
  <c r="F1367"/>
  <c r="F1223"/>
  <c r="F1224" s="1"/>
  <c r="I563"/>
  <c r="I545"/>
  <c r="I931" i="7"/>
  <c r="I932" s="1"/>
  <c r="I935" s="1"/>
  <c r="F936" s="1"/>
  <c r="I936" s="1"/>
  <c r="I937" s="1"/>
  <c r="I938" s="1"/>
  <c r="I310"/>
  <c r="F4675" i="6"/>
  <c r="I4567"/>
  <c r="F3906"/>
  <c r="I3906" s="1"/>
  <c r="H1367"/>
  <c r="H1368" s="1"/>
  <c r="G1223"/>
  <c r="G1224" s="1"/>
  <c r="I623"/>
  <c r="F624" s="1"/>
  <c r="I624" s="1"/>
  <c r="F474"/>
  <c r="F352"/>
  <c r="I352" s="1"/>
  <c r="AI20" i="5"/>
  <c r="I1055" i="7"/>
  <c r="I1056" s="1"/>
  <c r="I1057" s="1"/>
  <c r="I873"/>
  <c r="I789"/>
  <c r="I4494" i="6"/>
  <c r="I4495" s="1"/>
  <c r="I4496" s="1"/>
  <c r="F2728"/>
  <c r="E2734" s="1"/>
  <c r="E2735" s="1"/>
  <c r="F2485"/>
  <c r="F1804"/>
  <c r="G1820" s="1"/>
  <c r="G1821" s="1"/>
  <c r="I1367"/>
  <c r="I1368" s="1"/>
  <c r="H1223"/>
  <c r="H1224" s="1"/>
  <c r="I475" i="8"/>
  <c r="N33" i="5"/>
  <c r="Q33" s="1"/>
  <c r="I4419" i="6"/>
  <c r="F4396"/>
  <c r="I4396" s="1"/>
  <c r="I4400" s="1"/>
  <c r="F3976"/>
  <c r="I3976" s="1"/>
  <c r="F3977" s="1"/>
  <c r="I3938"/>
  <c r="I3628"/>
  <c r="F3629" s="1"/>
  <c r="I3629" s="1"/>
  <c r="F3332"/>
  <c r="H1251"/>
  <c r="H1252" s="1"/>
  <c r="I1223"/>
  <c r="I1224" s="1"/>
  <c r="I440" i="8"/>
  <c r="I441" s="1"/>
  <c r="F442" s="1"/>
  <c r="I442" s="1"/>
  <c r="I443" s="1"/>
  <c r="I375"/>
  <c r="I376" s="1"/>
  <c r="F377" s="1"/>
  <c r="I377" s="1"/>
  <c r="I378" s="1"/>
  <c r="I379" s="1"/>
  <c r="I98"/>
  <c r="N29" i="5"/>
  <c r="AJ29" s="1"/>
  <c r="I1254" i="7"/>
  <c r="I4501" i="6"/>
  <c r="F3942"/>
  <c r="I3942" s="1"/>
  <c r="E1368"/>
  <c r="I1251"/>
  <c r="I1252" s="1"/>
  <c r="F61"/>
  <c r="I61" s="1"/>
  <c r="I4843"/>
  <c r="F3962"/>
  <c r="F3488"/>
  <c r="G3494" s="1"/>
  <c r="G3495" s="1"/>
  <c r="F886"/>
  <c r="F887" s="1"/>
  <c r="D8"/>
  <c r="I455" i="8"/>
  <c r="I456" s="1"/>
  <c r="F457" s="1"/>
  <c r="I457" s="1"/>
  <c r="I458" s="1"/>
  <c r="I459" s="1"/>
  <c r="I181"/>
  <c r="F182" s="1"/>
  <c r="I182" s="1"/>
  <c r="I183" s="1"/>
  <c r="I184" s="1"/>
  <c r="F46" i="34" s="1"/>
  <c r="G46" s="1"/>
  <c r="M27" i="5"/>
  <c r="N27" s="1"/>
  <c r="I748" i="7"/>
  <c r="I501"/>
  <c r="I431"/>
  <c r="I389"/>
  <c r="F4165" i="6"/>
  <c r="I4165" s="1"/>
  <c r="F4166" s="1"/>
  <c r="E1252"/>
  <c r="F671"/>
  <c r="I671" s="1"/>
  <c r="E8"/>
  <c r="AH8" i="5"/>
  <c r="AI8" s="1"/>
  <c r="AJ8" s="1"/>
  <c r="I1138" i="7"/>
  <c r="I602"/>
  <c r="I390"/>
  <c r="I227"/>
  <c r="I186"/>
  <c r="I2952" i="6"/>
  <c r="I2953" s="1"/>
  <c r="I2954" s="1"/>
  <c r="F8"/>
  <c r="I148" i="8"/>
  <c r="I149" s="1"/>
  <c r="I1033" i="7"/>
  <c r="I705"/>
  <c r="I350"/>
  <c r="I144"/>
  <c r="I4846" i="6"/>
  <c r="I4638"/>
  <c r="I2595"/>
  <c r="G8"/>
  <c r="I367" i="8"/>
  <c r="I368" s="1"/>
  <c r="F369" s="1"/>
  <c r="I369" s="1"/>
  <c r="I370" s="1"/>
  <c r="I371" s="1"/>
  <c r="I203"/>
  <c r="I204" s="1"/>
  <c r="F205" s="1"/>
  <c r="I205" s="1"/>
  <c r="I206" s="1"/>
  <c r="I207" s="1"/>
  <c r="I445" i="7"/>
  <c r="F446" s="1"/>
  <c r="I446" s="1"/>
  <c r="F2591" i="6"/>
  <c r="E2605" s="1"/>
  <c r="E2606" s="1"/>
  <c r="F2553"/>
  <c r="G2559" s="1"/>
  <c r="G2560" s="1"/>
  <c r="F2053"/>
  <c r="E2061" s="1"/>
  <c r="E2062" s="1"/>
  <c r="I632"/>
  <c r="F633" s="1"/>
  <c r="I633" s="1"/>
  <c r="I603"/>
  <c r="F604" s="1"/>
  <c r="I574"/>
  <c r="F575" s="1"/>
  <c r="I575" s="1"/>
  <c r="I470"/>
  <c r="I206"/>
  <c r="H8"/>
  <c r="I505" i="8"/>
  <c r="I506" s="1"/>
  <c r="I344"/>
  <c r="F345" s="1"/>
  <c r="I345" s="1"/>
  <c r="I346" s="1"/>
  <c r="I347" s="1"/>
  <c r="AT15" i="5"/>
  <c r="I1193" i="7"/>
  <c r="I867"/>
  <c r="I868" s="1"/>
  <c r="I869" s="1"/>
  <c r="I580"/>
  <c r="F581" s="1"/>
  <c r="I581" s="1"/>
  <c r="I324"/>
  <c r="F325" s="1"/>
  <c r="I308"/>
  <c r="I185"/>
  <c r="I158"/>
  <c r="F159" s="1"/>
  <c r="I159" s="1"/>
  <c r="I4209" i="6"/>
  <c r="I3853"/>
  <c r="I3856" s="1"/>
  <c r="I3857" s="1"/>
  <c r="F3858" s="1"/>
  <c r="I3858" s="1"/>
  <c r="I3859" s="1"/>
  <c r="I3860" s="1"/>
  <c r="I96"/>
  <c r="I97" s="1"/>
  <c r="I98" s="1"/>
  <c r="A245"/>
  <c r="A213"/>
  <c r="A231" s="1"/>
  <c r="N14" i="5"/>
  <c r="F333" i="6" s="1"/>
  <c r="I333" s="1"/>
  <c r="A333" i="7"/>
  <c r="A374" s="1"/>
  <c r="A656" s="1"/>
  <c r="A292"/>
  <c r="F1238"/>
  <c r="I1238" s="1"/>
  <c r="I1239" s="1"/>
  <c r="I1240" s="1"/>
  <c r="F12" i="34" s="1"/>
  <c r="F1121" i="7"/>
  <c r="I1121" s="1"/>
  <c r="I1122" s="1"/>
  <c r="I1123" s="1"/>
  <c r="I106"/>
  <c r="D118"/>
  <c r="I118" s="1"/>
  <c r="F119" s="1"/>
  <c r="I119" s="1"/>
  <c r="I8"/>
  <c r="F156" s="1"/>
  <c r="F45" i="8"/>
  <c r="I45" s="1"/>
  <c r="I46" s="1"/>
  <c r="I47" s="1"/>
  <c r="I465"/>
  <c r="H23" i="30"/>
  <c r="AN14" i="5"/>
  <c r="D1225" i="7"/>
  <c r="I1225" s="1"/>
  <c r="F1107"/>
  <c r="D512"/>
  <c r="I512" s="1"/>
  <c r="F513" s="1"/>
  <c r="I513" s="1"/>
  <c r="I432"/>
  <c r="I393"/>
  <c r="I311"/>
  <c r="C202"/>
  <c r="H5" i="19"/>
  <c r="H11" s="1"/>
  <c r="H12" s="1"/>
  <c r="I4658" i="6"/>
  <c r="F4660" s="1"/>
  <c r="I4660" s="1"/>
  <c r="I4625"/>
  <c r="F4627" s="1"/>
  <c r="I4627" s="1"/>
  <c r="I4628" s="1"/>
  <c r="F3181"/>
  <c r="I3187" s="1"/>
  <c r="I3188" s="1"/>
  <c r="F1925"/>
  <c r="I1925" s="1"/>
  <c r="F1537"/>
  <c r="F1538" s="1"/>
  <c r="F1423"/>
  <c r="I1423" s="1"/>
  <c r="F1353"/>
  <c r="G844"/>
  <c r="G845" s="1"/>
  <c r="F511"/>
  <c r="F494"/>
  <c r="I494" s="1"/>
  <c r="I132"/>
  <c r="I133" s="1"/>
  <c r="I134" s="1"/>
  <c r="I486" i="8"/>
  <c r="I20"/>
  <c r="I21" s="1"/>
  <c r="F22" s="1"/>
  <c r="I22" s="1"/>
  <c r="I23" s="1"/>
  <c r="I24" s="1"/>
  <c r="N24" i="5"/>
  <c r="F446" i="6" s="1"/>
  <c r="I446" s="1"/>
  <c r="N13" i="5"/>
  <c r="F2450" i="6" s="1"/>
  <c r="I2450" s="1"/>
  <c r="I750" i="7"/>
  <c r="I603"/>
  <c r="G564"/>
  <c r="D578" s="1"/>
  <c r="C323"/>
  <c r="C284"/>
  <c r="G94"/>
  <c r="D104" s="1"/>
  <c r="I104" s="1"/>
  <c r="I12" i="19"/>
  <c r="I4637" i="6"/>
  <c r="I4566"/>
  <c r="I4484"/>
  <c r="I3847"/>
  <c r="I3848" s="1"/>
  <c r="F1850"/>
  <c r="E1861" s="1"/>
  <c r="E1862" s="1"/>
  <c r="G1537"/>
  <c r="G1538" s="1"/>
  <c r="G1523"/>
  <c r="G1524" s="1"/>
  <c r="G1353"/>
  <c r="G1354" s="1"/>
  <c r="F1251"/>
  <c r="F1252" s="1"/>
  <c r="H939"/>
  <c r="H940" s="1"/>
  <c r="H814"/>
  <c r="H815" s="1"/>
  <c r="I1014" i="7"/>
  <c r="C161"/>
  <c r="I4896" i="6"/>
  <c r="I4897" s="1"/>
  <c r="I4898" s="1"/>
  <c r="I4837"/>
  <c r="D4650"/>
  <c r="F3462"/>
  <c r="F2912"/>
  <c r="I2912" s="1"/>
  <c r="F1775"/>
  <c r="H1537"/>
  <c r="H1538" s="1"/>
  <c r="I1523"/>
  <c r="I1524" s="1"/>
  <c r="F1449"/>
  <c r="F1450" s="1"/>
  <c r="H1353"/>
  <c r="H1354" s="1"/>
  <c r="F665"/>
  <c r="I564"/>
  <c r="F565" s="1"/>
  <c r="I565" s="1"/>
  <c r="N34" i="5"/>
  <c r="Q34" s="1"/>
  <c r="AI19"/>
  <c r="I570" i="7"/>
  <c r="I268"/>
  <c r="C241"/>
  <c r="D146"/>
  <c r="I3878" i="6"/>
  <c r="F2520"/>
  <c r="I2520" s="1"/>
  <c r="F1627"/>
  <c r="H1642" s="1"/>
  <c r="H1643" s="1"/>
  <c r="I1537"/>
  <c r="I1538" s="1"/>
  <c r="I1353"/>
  <c r="I1354" s="1"/>
  <c r="I488" i="8"/>
  <c r="AN28" i="5"/>
  <c r="N23"/>
  <c r="F428" i="6" s="1"/>
  <c r="I428" s="1"/>
  <c r="N21" i="5"/>
  <c r="E14" i="6" s="1"/>
  <c r="F14" s="1"/>
  <c r="I976" i="7"/>
  <c r="I977" s="1"/>
  <c r="I978" s="1"/>
  <c r="I981" s="1"/>
  <c r="I964"/>
  <c r="I965" s="1"/>
  <c r="I966" s="1"/>
  <c r="I969" s="1"/>
  <c r="F970" s="1"/>
  <c r="I970" s="1"/>
  <c r="I971" s="1"/>
  <c r="I972" s="1"/>
  <c r="I861"/>
  <c r="I862" s="1"/>
  <c r="I863" s="1"/>
  <c r="C198"/>
  <c r="F4995" i="6"/>
  <c r="I4995" s="1"/>
  <c r="C4944"/>
  <c r="I4612"/>
  <c r="I4613" s="1"/>
  <c r="I4614" s="1"/>
  <c r="C4568"/>
  <c r="H4508"/>
  <c r="I4048"/>
  <c r="F3742"/>
  <c r="G3747" s="1"/>
  <c r="G3748" s="1"/>
  <c r="F3665"/>
  <c r="F3683" s="1"/>
  <c r="F3684" s="1"/>
  <c r="F3514"/>
  <c r="H3520" s="1"/>
  <c r="H3521" s="1"/>
  <c r="I1449"/>
  <c r="I1450" s="1"/>
  <c r="H1091"/>
  <c r="H1092" s="1"/>
  <c r="I612"/>
  <c r="I593"/>
  <c r="F594" s="1"/>
  <c r="I594" s="1"/>
  <c r="I252"/>
  <c r="I224"/>
  <c r="I202"/>
  <c r="I477" i="8"/>
  <c r="I480" s="1"/>
  <c r="AI24" i="5"/>
  <c r="AI12"/>
  <c r="I1000" i="7"/>
  <c r="I1001" s="1"/>
  <c r="I1002" s="1"/>
  <c r="I1005" s="1"/>
  <c r="I988"/>
  <c r="I909"/>
  <c r="I826"/>
  <c r="I749"/>
  <c r="I471"/>
  <c r="C280"/>
  <c r="D242"/>
  <c r="I242" s="1"/>
  <c r="F243" s="1"/>
  <c r="I243" s="1"/>
  <c r="A210"/>
  <c r="C117"/>
  <c r="I4591" i="6"/>
  <c r="F4592" s="1"/>
  <c r="I3332"/>
  <c r="F3275"/>
  <c r="F3079"/>
  <c r="H3088" s="1"/>
  <c r="H3089" s="1"/>
  <c r="F2132"/>
  <c r="E2177" s="1"/>
  <c r="E2178" s="1"/>
  <c r="F2000"/>
  <c r="I2000" s="1"/>
  <c r="D1978"/>
  <c r="D1979" s="1"/>
  <c r="L1566"/>
  <c r="L1567" s="1"/>
  <c r="E1538"/>
  <c r="D1462"/>
  <c r="D1463" s="1"/>
  <c r="F1104"/>
  <c r="F1105" s="1"/>
  <c r="I641"/>
  <c r="I52" i="19"/>
  <c r="I4808" i="6"/>
  <c r="I3587"/>
  <c r="D1550"/>
  <c r="D1551" s="1"/>
  <c r="I212" i="8"/>
  <c r="D1142" i="7"/>
  <c r="I1079"/>
  <c r="I1080" s="1"/>
  <c r="I1081" s="1"/>
  <c r="I897"/>
  <c r="I307"/>
  <c r="C243"/>
  <c r="I4903" i="6"/>
  <c r="I4904" s="1"/>
  <c r="I4905" s="1"/>
  <c r="F4737"/>
  <c r="I4737" s="1"/>
  <c r="I3369"/>
  <c r="F3335"/>
  <c r="I3335" s="1"/>
  <c r="F2807"/>
  <c r="K2813" s="1"/>
  <c r="K2814" s="1"/>
  <c r="E1550"/>
  <c r="E1551" s="1"/>
  <c r="I642"/>
  <c r="F643" s="1"/>
  <c r="I554"/>
  <c r="F555" s="1"/>
  <c r="I555" s="1"/>
  <c r="F417"/>
  <c r="I417" s="1"/>
  <c r="I359" i="8"/>
  <c r="I360" s="1"/>
  <c r="I174"/>
  <c r="I175" s="1"/>
  <c r="I176" s="1"/>
  <c r="I96"/>
  <c r="AI23" i="5"/>
  <c r="AI21"/>
  <c r="AH6"/>
  <c r="AI6" s="1"/>
  <c r="AJ6" s="1"/>
  <c r="I941" i="7"/>
  <c r="I942" s="1"/>
  <c r="I945" s="1"/>
  <c r="I678"/>
  <c r="G631"/>
  <c r="D645" s="1"/>
  <c r="C200"/>
  <c r="C76"/>
  <c r="F4079" i="6"/>
  <c r="I3956"/>
  <c r="F3703"/>
  <c r="F3045"/>
  <c r="I3045" s="1"/>
  <c r="F2834"/>
  <c r="F2458"/>
  <c r="F2469" s="1"/>
  <c r="F2470" s="1"/>
  <c r="F2420"/>
  <c r="F2437" s="1"/>
  <c r="F2438" s="1"/>
  <c r="I1631"/>
  <c r="I573"/>
  <c r="F155"/>
  <c r="I155" s="1"/>
  <c r="I156" s="1"/>
  <c r="F157" s="1"/>
  <c r="I157" s="1"/>
  <c r="I158" s="1"/>
  <c r="I159" s="1"/>
  <c r="I251" i="8"/>
  <c r="I239"/>
  <c r="I66"/>
  <c r="F67" s="1"/>
  <c r="I67" s="1"/>
  <c r="I68" s="1"/>
  <c r="I69" s="1"/>
  <c r="AH7" i="5"/>
  <c r="AI7" s="1"/>
  <c r="AJ7" s="1"/>
  <c r="I1194" i="7"/>
  <c r="I200"/>
  <c r="I4980" i="6"/>
  <c r="I4922"/>
  <c r="I4923" s="1"/>
  <c r="I4924" s="1"/>
  <c r="C4873"/>
  <c r="I2933"/>
  <c r="I2934" s="1"/>
  <c r="I2935" s="1"/>
  <c r="F34" i="34" s="1"/>
  <c r="G34" s="1"/>
  <c r="I2919" i="6"/>
  <c r="I1724"/>
  <c r="I602"/>
  <c r="I585"/>
  <c r="AG9" i="5"/>
  <c r="AG10" s="1"/>
  <c r="C282" i="7"/>
  <c r="D201"/>
  <c r="I201" s="1"/>
  <c r="F202" s="1"/>
  <c r="I202" s="1"/>
  <c r="C159"/>
  <c r="I4834" i="6"/>
  <c r="F3927"/>
  <c r="I3927" s="1"/>
  <c r="F3374"/>
  <c r="L3380" s="1"/>
  <c r="L3381" s="1"/>
  <c r="F2754"/>
  <c r="E2760" s="1"/>
  <c r="E2761" s="1"/>
  <c r="F2664"/>
  <c r="I238"/>
  <c r="I115" i="8"/>
  <c r="N20" i="5"/>
  <c r="AJ20" s="1"/>
  <c r="I1024" i="7"/>
  <c r="F1025" s="1"/>
  <c r="I1025" s="1"/>
  <c r="C239"/>
  <c r="H6" i="21"/>
  <c r="F328" i="8"/>
  <c r="I328" s="1"/>
  <c r="I329" s="1"/>
  <c r="I330" s="1"/>
  <c r="F304"/>
  <c r="I304" s="1"/>
  <c r="I305" s="1"/>
  <c r="I306" s="1"/>
  <c r="A42" i="18"/>
  <c r="A43" s="1"/>
  <c r="A44" s="1"/>
  <c r="A45" s="1"/>
  <c r="A47" s="1"/>
  <c r="A56" s="1"/>
  <c r="A66" s="1"/>
  <c r="A71" s="1"/>
  <c r="A72" s="1"/>
  <c r="A73" s="1"/>
  <c r="A76" s="1"/>
  <c r="A81" s="1"/>
  <c r="A82" s="1"/>
  <c r="A83" s="1"/>
  <c r="A85" s="1"/>
  <c r="A86" s="1"/>
  <c r="A87" s="1"/>
  <c r="A88" s="1"/>
  <c r="A89" s="1"/>
  <c r="A90" s="1"/>
  <c r="A91" s="1"/>
  <c r="A92" s="1"/>
  <c r="A93" s="1"/>
  <c r="A107" s="1"/>
  <c r="A40"/>
  <c r="A41" s="1"/>
  <c r="I434" i="8"/>
  <c r="I435" s="1"/>
  <c r="I436" s="1"/>
  <c r="I428"/>
  <c r="I429" s="1"/>
  <c r="I430" s="1"/>
  <c r="I422"/>
  <c r="I423" s="1"/>
  <c r="I424" s="1"/>
  <c r="I416"/>
  <c r="I417" s="1"/>
  <c r="I418" s="1"/>
  <c r="I409"/>
  <c r="I410" s="1"/>
  <c r="I411" s="1"/>
  <c r="I403"/>
  <c r="I404" s="1"/>
  <c r="I405" s="1"/>
  <c r="I396"/>
  <c r="I397" s="1"/>
  <c r="I398" s="1"/>
  <c r="I390"/>
  <c r="I391" s="1"/>
  <c r="I392" s="1"/>
  <c r="F310"/>
  <c r="I310" s="1"/>
  <c r="I311" s="1"/>
  <c r="I312" s="1"/>
  <c r="F57"/>
  <c r="I57" s="1"/>
  <c r="I58" s="1"/>
  <c r="I59" s="1"/>
  <c r="K93" i="41" s="1"/>
  <c r="F316" i="8"/>
  <c r="I316" s="1"/>
  <c r="I317" s="1"/>
  <c r="I318" s="1"/>
  <c r="F13"/>
  <c r="I13" s="1"/>
  <c r="I14" s="1"/>
  <c r="I15" s="1"/>
  <c r="A40" i="3"/>
  <c r="A41" s="1"/>
  <c r="A42"/>
  <c r="A43" s="1"/>
  <c r="A44" s="1"/>
  <c r="A45" s="1"/>
  <c r="A47" s="1"/>
  <c r="A56" s="1"/>
  <c r="A66" s="1"/>
  <c r="A71" s="1"/>
  <c r="A72" s="1"/>
  <c r="A73" s="1"/>
  <c r="A76" s="1"/>
  <c r="A81" s="1"/>
  <c r="A82" s="1"/>
  <c r="A83" s="1"/>
  <c r="A85" s="1"/>
  <c r="A86" s="1"/>
  <c r="A87" s="1"/>
  <c r="A88" s="1"/>
  <c r="A89" s="1"/>
  <c r="A90" s="1"/>
  <c r="A91" s="1"/>
  <c r="A92" s="1"/>
  <c r="A93" s="1"/>
  <c r="A107" s="1"/>
  <c r="A114" s="1"/>
  <c r="F383" i="8"/>
  <c r="I383" s="1"/>
  <c r="I384" s="1"/>
  <c r="I385" s="1"/>
  <c r="F322"/>
  <c r="I322" s="1"/>
  <c r="I323" s="1"/>
  <c r="I324" s="1"/>
  <c r="F298"/>
  <c r="I298" s="1"/>
  <c r="I299" s="1"/>
  <c r="I300" s="1"/>
  <c r="I140"/>
  <c r="A77"/>
  <c r="A83" s="1"/>
  <c r="A104" s="1"/>
  <c r="A123" s="1"/>
  <c r="A137" s="1"/>
  <c r="A146" s="1"/>
  <c r="A154" s="1"/>
  <c r="A162" s="1"/>
  <c r="A170" s="1"/>
  <c r="A178" s="1"/>
  <c r="A186" s="1"/>
  <c r="A71"/>
  <c r="AP18" i="5"/>
  <c r="N18"/>
  <c r="G342" i="7"/>
  <c r="D361" s="1"/>
  <c r="D348"/>
  <c r="I348" s="1"/>
  <c r="F500" i="8"/>
  <c r="I500" s="1"/>
  <c r="I501" s="1"/>
  <c r="I502" s="1"/>
  <c r="F291"/>
  <c r="I291" s="1"/>
  <c r="I292" s="1"/>
  <c r="I293" s="1"/>
  <c r="F285"/>
  <c r="I285" s="1"/>
  <c r="I286" s="1"/>
  <c r="I287" s="1"/>
  <c r="F279"/>
  <c r="I279" s="1"/>
  <c r="I280" s="1"/>
  <c r="I281" s="1"/>
  <c r="F273"/>
  <c r="I273" s="1"/>
  <c r="I274" s="1"/>
  <c r="I275" s="1"/>
  <c r="F267"/>
  <c r="I267" s="1"/>
  <c r="I268" s="1"/>
  <c r="I269" s="1"/>
  <c r="F40" i="34" s="1"/>
  <c r="G40" s="1"/>
  <c r="F261" i="8"/>
  <c r="I261" s="1"/>
  <c r="I262" s="1"/>
  <c r="I263" s="1"/>
  <c r="I227"/>
  <c r="I228" s="1"/>
  <c r="I229" s="1"/>
  <c r="I113"/>
  <c r="N26" i="5"/>
  <c r="AP26"/>
  <c r="E20" i="6"/>
  <c r="F20" s="1"/>
  <c r="AM18" i="5"/>
  <c r="N16"/>
  <c r="F1796" i="6" s="1"/>
  <c r="I1796" s="1"/>
  <c r="AP16" i="5"/>
  <c r="J15"/>
  <c r="AE15"/>
  <c r="H1135" i="7"/>
  <c r="D1137" s="1"/>
  <c r="I1137" s="1"/>
  <c r="I1085"/>
  <c r="I1086" s="1"/>
  <c r="I1087" s="1"/>
  <c r="F1073"/>
  <c r="I1073" s="1"/>
  <c r="I1074" s="1"/>
  <c r="I1075" s="1"/>
  <c r="I1061"/>
  <c r="I1062" s="1"/>
  <c r="I1063" s="1"/>
  <c r="I910"/>
  <c r="I898"/>
  <c r="I899" s="1"/>
  <c r="I900" s="1"/>
  <c r="I903" s="1"/>
  <c r="I886"/>
  <c r="I874"/>
  <c r="I855"/>
  <c r="I856" s="1"/>
  <c r="I857" s="1"/>
  <c r="G740"/>
  <c r="D747" s="1"/>
  <c r="I747" s="1"/>
  <c r="I706"/>
  <c r="I648"/>
  <c r="D635"/>
  <c r="I635" s="1"/>
  <c r="I569"/>
  <c r="I406"/>
  <c r="F407" s="1"/>
  <c r="I407" s="1"/>
  <c r="I309"/>
  <c r="G260"/>
  <c r="D279" s="1"/>
  <c r="D266"/>
  <c r="I266" s="1"/>
  <c r="G136"/>
  <c r="D156" s="1"/>
  <c r="D142"/>
  <c r="I142" s="1"/>
  <c r="I74" i="8"/>
  <c r="I75" s="1"/>
  <c r="F4711" i="6"/>
  <c r="I4711" s="1"/>
  <c r="Q38" i="5"/>
  <c r="AP22"/>
  <c r="N22"/>
  <c r="G424" i="7"/>
  <c r="D443" s="1"/>
  <c r="D430"/>
  <c r="I430" s="1"/>
  <c r="D105"/>
  <c r="I105" s="1"/>
  <c r="D116"/>
  <c r="I116" s="1"/>
  <c r="F117" s="1"/>
  <c r="I117" s="1"/>
  <c r="B25" i="4"/>
  <c r="B26" s="1"/>
  <c r="B27" s="1"/>
  <c r="B28" s="1"/>
  <c r="B29" s="1"/>
  <c r="B30" s="1"/>
  <c r="B31" s="1"/>
  <c r="B32" s="1"/>
  <c r="B33" s="1"/>
  <c r="B34" s="1"/>
  <c r="B35" s="1"/>
  <c r="B23"/>
  <c r="I215" i="8"/>
  <c r="I164"/>
  <c r="I165" s="1"/>
  <c r="I157"/>
  <c r="I94"/>
  <c r="F7"/>
  <c r="I7" s="1"/>
  <c r="I8" s="1"/>
  <c r="I9" s="1"/>
  <c r="N31" i="5"/>
  <c r="F3323" i="6"/>
  <c r="I3323" s="1"/>
  <c r="F3363"/>
  <c r="I3363" s="1"/>
  <c r="F2996"/>
  <c r="I2996" s="1"/>
  <c r="F3620"/>
  <c r="I3620" s="1"/>
  <c r="F3581"/>
  <c r="I3581" s="1"/>
  <c r="AI27" i="5"/>
  <c r="AI25"/>
  <c r="AI22"/>
  <c r="AI18"/>
  <c r="F429" i="6"/>
  <c r="I429" s="1"/>
  <c r="F1886"/>
  <c r="I1886" s="1"/>
  <c r="F2376"/>
  <c r="I2376" s="1"/>
  <c r="F2632"/>
  <c r="I2632" s="1"/>
  <c r="F2416"/>
  <c r="I2416" s="1"/>
  <c r="F2866"/>
  <c r="I2866" s="1"/>
  <c r="F3176"/>
  <c r="I3176" s="1"/>
  <c r="F3621"/>
  <c r="I3621" s="1"/>
  <c r="F3429"/>
  <c r="I3429" s="1"/>
  <c r="F3213"/>
  <c r="I3213" s="1"/>
  <c r="F3658"/>
  <c r="I3658" s="1"/>
  <c r="F3696"/>
  <c r="I3696" s="1"/>
  <c r="I1246" i="7"/>
  <c r="G1217"/>
  <c r="D1224" s="1"/>
  <c r="I1224" s="1"/>
  <c r="I1050"/>
  <c r="I1051" s="1"/>
  <c r="I1042"/>
  <c r="I472"/>
  <c r="D480"/>
  <c r="I480" s="1"/>
  <c r="F481" s="1"/>
  <c r="I481" s="1"/>
  <c r="F47"/>
  <c r="I47" s="1"/>
  <c r="I51" s="1"/>
  <c r="AP27" i="5"/>
  <c r="F1015" i="7"/>
  <c r="I1015" s="1"/>
  <c r="I1016" s="1"/>
  <c r="I1017" s="1"/>
  <c r="I195" i="8"/>
  <c r="I196" s="1"/>
  <c r="I127"/>
  <c r="I132" s="1"/>
  <c r="F79"/>
  <c r="I79" s="1"/>
  <c r="I80" s="1"/>
  <c r="I81" s="1"/>
  <c r="F48" i="34" s="1"/>
  <c r="G48" s="1"/>
  <c r="F38" i="8"/>
  <c r="I38" s="1"/>
  <c r="I39" s="1"/>
  <c r="I29"/>
  <c r="I30" s="1"/>
  <c r="H24" i="30"/>
  <c r="N43" i="5"/>
  <c r="Q43" s="1"/>
  <c r="N39"/>
  <c r="Q39" s="1"/>
  <c r="AJ28"/>
  <c r="AI26"/>
  <c r="N25"/>
  <c r="F346" i="6" s="1"/>
  <c r="I346" s="1"/>
  <c r="N19" i="5"/>
  <c r="AJ19" s="1"/>
  <c r="AI16"/>
  <c r="N12"/>
  <c r="F4564" i="6"/>
  <c r="I4564" s="1"/>
  <c r="F4512"/>
  <c r="I4512" s="1"/>
  <c r="F4541"/>
  <c r="I4541" s="1"/>
  <c r="F73" i="7"/>
  <c r="F1108"/>
  <c r="I1108" s="1"/>
  <c r="AH9" i="5"/>
  <c r="AI9" s="1"/>
  <c r="AJ9" s="1"/>
  <c r="F1034" i="7"/>
  <c r="I1034" s="1"/>
  <c r="I1035" s="1"/>
  <c r="I1036" s="1"/>
  <c r="F849"/>
  <c r="I849" s="1"/>
  <c r="I850" s="1"/>
  <c r="I851" s="1"/>
  <c r="I828"/>
  <c r="G732"/>
  <c r="I636"/>
  <c r="D568"/>
  <c r="I568" s="1"/>
  <c r="D536"/>
  <c r="I536" s="1"/>
  <c r="D546"/>
  <c r="I546" s="1"/>
  <c r="F547" s="1"/>
  <c r="I547" s="1"/>
  <c r="I352"/>
  <c r="I325"/>
  <c r="A23" i="2"/>
  <c r="A25" s="1"/>
  <c r="A26" s="1"/>
  <c r="A22"/>
  <c r="D75" i="7"/>
  <c r="I75" s="1"/>
  <c r="D73"/>
  <c r="F17"/>
  <c r="I17" s="1"/>
  <c r="I21" s="1"/>
  <c r="F197"/>
  <c r="F238"/>
  <c r="I238" s="1"/>
  <c r="F239" s="1"/>
  <c r="I239" s="1"/>
  <c r="F510"/>
  <c r="F114"/>
  <c r="I1964" i="6"/>
  <c r="I1965" s="1"/>
  <c r="I2100"/>
  <c r="I2101" s="1"/>
  <c r="I2059"/>
  <c r="I2060" s="1"/>
  <c r="E1964"/>
  <c r="E1965" s="1"/>
  <c r="E2100"/>
  <c r="E2101" s="1"/>
  <c r="I183" i="7"/>
  <c r="I160"/>
  <c r="F161" s="1"/>
  <c r="I161" s="1"/>
  <c r="F32"/>
  <c r="I32" s="1"/>
  <c r="I36" s="1"/>
  <c r="F334" i="6"/>
  <c r="I334" s="1"/>
  <c r="F388"/>
  <c r="I388" s="1"/>
  <c r="F518"/>
  <c r="I518" s="1"/>
  <c r="F409"/>
  <c r="I409" s="1"/>
  <c r="F466"/>
  <c r="I466" s="1"/>
  <c r="F486"/>
  <c r="I486" s="1"/>
  <c r="F761"/>
  <c r="I761" s="1"/>
  <c r="F672"/>
  <c r="I672" s="1"/>
  <c r="F1038"/>
  <c r="I1038" s="1"/>
  <c r="F1424"/>
  <c r="I1424" s="1"/>
  <c r="F1632"/>
  <c r="I1632" s="1"/>
  <c r="F1950"/>
  <c r="I1950" s="1"/>
  <c r="F2042"/>
  <c r="I2042" s="1"/>
  <c r="F1992"/>
  <c r="I1992" s="1"/>
  <c r="F2095"/>
  <c r="I2095" s="1"/>
  <c r="F2211"/>
  <c r="I2211" s="1"/>
  <c r="F1655"/>
  <c r="I1655" s="1"/>
  <c r="F2137"/>
  <c r="I2137" s="1"/>
  <c r="F2901"/>
  <c r="I2901" s="1"/>
  <c r="F3734"/>
  <c r="I3734" s="1"/>
  <c r="F4599"/>
  <c r="I4599" s="1"/>
  <c r="F3781"/>
  <c r="I3781" s="1"/>
  <c r="F4727"/>
  <c r="I4727" s="1"/>
  <c r="F5022"/>
  <c r="I5022" s="1"/>
  <c r="F4860"/>
  <c r="I4860" s="1"/>
  <c r="F5045"/>
  <c r="I5045" s="1"/>
  <c r="H14" i="21"/>
  <c r="D31" s="1"/>
  <c r="H15"/>
  <c r="H7"/>
  <c r="D30" s="1"/>
  <c r="H8"/>
  <c r="C18"/>
  <c r="H18" s="1"/>
  <c r="H19" s="1"/>
  <c r="H25" s="1"/>
  <c r="H26" s="1"/>
  <c r="H27" s="1"/>
  <c r="E2466" i="6"/>
  <c r="E2602"/>
  <c r="E2499"/>
  <c r="E2389"/>
  <c r="E2434"/>
  <c r="F235" i="2"/>
  <c r="F2602" i="6" s="1"/>
  <c r="A26" i="17"/>
  <c r="A27" s="1"/>
  <c r="A28"/>
  <c r="A29" s="1"/>
  <c r="A30" s="1"/>
  <c r="A31" s="1"/>
  <c r="A32" s="1"/>
  <c r="A33" s="1"/>
  <c r="A34" s="1"/>
  <c r="A35" s="1"/>
  <c r="A36" s="1"/>
  <c r="A37" s="1"/>
  <c r="A38" s="1"/>
  <c r="A39" s="1"/>
  <c r="A40" s="1"/>
  <c r="A42" s="1"/>
  <c r="A43" s="1"/>
  <c r="A44" s="1"/>
  <c r="A45" s="1"/>
  <c r="A46" s="1"/>
  <c r="A48" s="1"/>
  <c r="A49" s="1"/>
  <c r="A50" s="1"/>
  <c r="A51" s="1"/>
  <c r="A52" s="1"/>
  <c r="A54" s="1"/>
  <c r="A55" s="1"/>
  <c r="A56" s="1"/>
  <c r="A57" s="1"/>
  <c r="A58" s="1"/>
  <c r="A59" s="1"/>
  <c r="A60" s="1"/>
  <c r="A61" s="1"/>
  <c r="A62" s="1"/>
  <c r="A63" s="1"/>
  <c r="A64" s="1"/>
  <c r="A65" s="1"/>
  <c r="A66" s="1"/>
  <c r="A67" s="1"/>
  <c r="A68" s="1"/>
  <c r="A69" s="1"/>
  <c r="A70" s="1"/>
  <c r="A71" s="1"/>
  <c r="A72" s="1"/>
  <c r="A73" s="1"/>
  <c r="A74" s="1"/>
  <c r="A76" s="1"/>
  <c r="A77"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9" s="1"/>
  <c r="A111" s="1"/>
  <c r="A112" s="1"/>
  <c r="A114" s="1"/>
  <c r="A115" s="1"/>
  <c r="A116" s="1"/>
  <c r="A117" s="1"/>
  <c r="A120" s="1"/>
  <c r="A123" s="1"/>
  <c r="A127" s="1"/>
  <c r="A128" s="1"/>
  <c r="A129" s="1"/>
  <c r="A130" s="1"/>
  <c r="A132" s="1"/>
  <c r="A136" s="1"/>
  <c r="A137" s="1"/>
  <c r="A139" s="1"/>
  <c r="A142" s="1"/>
  <c r="A143"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5" s="1"/>
  <c r="A176" s="1"/>
  <c r="A177" s="1"/>
  <c r="A179" s="1"/>
  <c r="A180" s="1"/>
  <c r="A181" s="1"/>
  <c r="A182" s="1"/>
  <c r="A183" s="1"/>
  <c r="A184" s="1"/>
  <c r="A185" s="1"/>
  <c r="A186" s="1"/>
  <c r="A188" s="1"/>
  <c r="A189" s="1"/>
  <c r="A191" s="1"/>
  <c r="A192" s="1"/>
  <c r="A193" s="1"/>
  <c r="A194" s="1"/>
  <c r="A195" s="1"/>
  <c r="A196" s="1"/>
  <c r="A197" s="1"/>
  <c r="A198" s="1"/>
  <c r="A199" s="1"/>
  <c r="A200" s="1"/>
  <c r="A201" s="1"/>
  <c r="A203" s="1"/>
  <c r="A214" s="1"/>
  <c r="A231" s="1"/>
  <c r="A240" s="1"/>
  <c r="A248" s="1"/>
  <c r="A258" s="1"/>
  <c r="A269" s="1"/>
  <c r="A273" s="1"/>
  <c r="A274" s="1"/>
  <c r="A275" s="1"/>
  <c r="A276" s="1"/>
  <c r="A277" s="1"/>
  <c r="A278" s="1"/>
  <c r="A279" s="1"/>
  <c r="A280" s="1"/>
  <c r="A281" s="1"/>
  <c r="F4335" i="6"/>
  <c r="I4335" s="1"/>
  <c r="I4339" s="1"/>
  <c r="F4215"/>
  <c r="I146" i="7"/>
  <c r="G102"/>
  <c r="D107" s="1"/>
  <c r="I107" s="1"/>
  <c r="D74"/>
  <c r="I74" s="1"/>
  <c r="F62"/>
  <c r="I62" s="1"/>
  <c r="I66" s="1"/>
  <c r="F468" i="6"/>
  <c r="I468" s="1"/>
  <c r="F411"/>
  <c r="I411" s="1"/>
  <c r="F488"/>
  <c r="I488" s="1"/>
  <c r="F390"/>
  <c r="I390" s="1"/>
  <c r="F1952"/>
  <c r="I1952" s="1"/>
  <c r="F1994"/>
  <c r="I1994" s="1"/>
  <c r="F2593"/>
  <c r="I2593" s="1"/>
  <c r="F2903"/>
  <c r="I2903" s="1"/>
  <c r="F3776"/>
  <c r="I3776" s="1"/>
  <c r="F3736"/>
  <c r="I3736" s="1"/>
  <c r="F4587"/>
  <c r="I4587" s="1"/>
  <c r="F4832"/>
  <c r="I4832" s="1"/>
  <c r="F1858"/>
  <c r="F1782"/>
  <c r="F1754"/>
  <c r="F1817"/>
  <c r="F1933"/>
  <c r="F3879"/>
  <c r="F225" i="2"/>
  <c r="F4236" i="6"/>
  <c r="I4236" s="1"/>
  <c r="I4237" s="1"/>
  <c r="I4238" s="1"/>
  <c r="H35" i="5"/>
  <c r="AN24"/>
  <c r="AN23"/>
  <c r="N17"/>
  <c r="F1843" i="6" s="1"/>
  <c r="I1843" s="1"/>
  <c r="D447" i="7"/>
  <c r="I447" s="1"/>
  <c r="F448" s="1"/>
  <c r="I448" s="1"/>
  <c r="F442"/>
  <c r="I442" s="1"/>
  <c r="D365"/>
  <c r="I365" s="1"/>
  <c r="F366" s="1"/>
  <c r="I366" s="1"/>
  <c r="F360"/>
  <c r="I360" s="1"/>
  <c r="D283"/>
  <c r="I283" s="1"/>
  <c r="F284" s="1"/>
  <c r="I284" s="1"/>
  <c r="C115"/>
  <c r="I103"/>
  <c r="C62"/>
  <c r="C47"/>
  <c r="C32"/>
  <c r="C17"/>
  <c r="F515" i="6"/>
  <c r="I515" s="1"/>
  <c r="F758"/>
  <c r="I758" s="1"/>
  <c r="F669"/>
  <c r="I669" s="1"/>
  <c r="F1035"/>
  <c r="I1035" s="1"/>
  <c r="F1659"/>
  <c r="I1659" s="1"/>
  <c r="F1421"/>
  <c r="I1421" s="1"/>
  <c r="F2046"/>
  <c r="I2046" s="1"/>
  <c r="F2906"/>
  <c r="I2906" s="1"/>
  <c r="F4590"/>
  <c r="I4590" s="1"/>
  <c r="F4731"/>
  <c r="I4731" s="1"/>
  <c r="F3778"/>
  <c r="I3778" s="1"/>
  <c r="F5036"/>
  <c r="I5036" s="1"/>
  <c r="F4618"/>
  <c r="I4618" s="1"/>
  <c r="I4619" s="1"/>
  <c r="I4620" s="1"/>
  <c r="C4550"/>
  <c r="F3073"/>
  <c r="I3073" s="1"/>
  <c r="F3033"/>
  <c r="I3033" s="1"/>
  <c r="F4511"/>
  <c r="I4511" s="1"/>
  <c r="F4636"/>
  <c r="I4636" s="1"/>
  <c r="F4542"/>
  <c r="F4657"/>
  <c r="I4657" s="1"/>
  <c r="I4661" s="1"/>
  <c r="F4870"/>
  <c r="I4870" s="1"/>
  <c r="F4961"/>
  <c r="I4961" s="1"/>
  <c r="F4540"/>
  <c r="I4540" s="1"/>
  <c r="F4565"/>
  <c r="I4565" s="1"/>
  <c r="F4997"/>
  <c r="F4998" s="1"/>
  <c r="I4998" s="1"/>
  <c r="F4513"/>
  <c r="I4513" s="1"/>
  <c r="F4563"/>
  <c r="I4563" s="1"/>
  <c r="E6"/>
  <c r="I6"/>
  <c r="F6"/>
  <c r="D6"/>
  <c r="H6"/>
  <c r="F406"/>
  <c r="I406" s="1"/>
  <c r="F385"/>
  <c r="I385" s="1"/>
  <c r="F427"/>
  <c r="I427" s="1"/>
  <c r="F485"/>
  <c r="I485" s="1"/>
  <c r="F504"/>
  <c r="I504" s="1"/>
  <c r="F658"/>
  <c r="I658" s="1"/>
  <c r="F747"/>
  <c r="I747" s="1"/>
  <c r="F465"/>
  <c r="I465" s="1"/>
  <c r="F1024"/>
  <c r="I1024" s="1"/>
  <c r="F445"/>
  <c r="I445" s="1"/>
  <c r="G6"/>
  <c r="F1654"/>
  <c r="I1654" s="1"/>
  <c r="F1620"/>
  <c r="I1620" s="1"/>
  <c r="F1919"/>
  <c r="I1919" s="1"/>
  <c r="F1410"/>
  <c r="I1410" s="1"/>
  <c r="F1797"/>
  <c r="I1797" s="1"/>
  <c r="F1844"/>
  <c r="I1844" s="1"/>
  <c r="F1885"/>
  <c r="I1885" s="1"/>
  <c r="F1734"/>
  <c r="I1734" s="1"/>
  <c r="F1769"/>
  <c r="I1769" s="1"/>
  <c r="F1989"/>
  <c r="I1989" s="1"/>
  <c r="F2125"/>
  <c r="I2125" s="1"/>
  <c r="F2329"/>
  <c r="I2329" s="1"/>
  <c r="F2415"/>
  <c r="I2415" s="1"/>
  <c r="F2513"/>
  <c r="I2513" s="1"/>
  <c r="F2583"/>
  <c r="I2583" s="1"/>
  <c r="F2656"/>
  <c r="I2656" s="1"/>
  <c r="F2658"/>
  <c r="I2658" s="1"/>
  <c r="F2720"/>
  <c r="I2720" s="1"/>
  <c r="F2746"/>
  <c r="I2746" s="1"/>
  <c r="F2800"/>
  <c r="I2800" s="1"/>
  <c r="F2898"/>
  <c r="I2898" s="1"/>
  <c r="F2083"/>
  <c r="I2083" s="1"/>
  <c r="F2199"/>
  <c r="I2199" s="1"/>
  <c r="F2375"/>
  <c r="I2375" s="1"/>
  <c r="F2449"/>
  <c r="I2449" s="1"/>
  <c r="F2582"/>
  <c r="I2582" s="1"/>
  <c r="F2630"/>
  <c r="I2630" s="1"/>
  <c r="F2683"/>
  <c r="I2683" s="1"/>
  <c r="F2772"/>
  <c r="I2772" s="1"/>
  <c r="F2827"/>
  <c r="I2827" s="1"/>
  <c r="F2863"/>
  <c r="I2863" s="1"/>
  <c r="F2970"/>
  <c r="I2970" s="1"/>
  <c r="F1712"/>
  <c r="I1712" s="1"/>
  <c r="F1949"/>
  <c r="I1949" s="1"/>
  <c r="F2041"/>
  <c r="I2041" s="1"/>
  <c r="F2372"/>
  <c r="I2372" s="1"/>
  <c r="F2452"/>
  <c r="I2452" s="1"/>
  <c r="F2480"/>
  <c r="I2480" s="1"/>
  <c r="F2547"/>
  <c r="I2547" s="1"/>
  <c r="F2629"/>
  <c r="I2629" s="1"/>
  <c r="F2631"/>
  <c r="I2631" s="1"/>
  <c r="F2684"/>
  <c r="I2684" s="1"/>
  <c r="F2773"/>
  <c r="I2773" s="1"/>
  <c r="F2826"/>
  <c r="I2826" s="1"/>
  <c r="F2864"/>
  <c r="I2864" s="1"/>
  <c r="F2971"/>
  <c r="I2971" s="1"/>
  <c r="F2997"/>
  <c r="I2997" s="1"/>
  <c r="F3101"/>
  <c r="I3101" s="1"/>
  <c r="F3268"/>
  <c r="I3268" s="1"/>
  <c r="F3299"/>
  <c r="I3299" s="1"/>
  <c r="F3404"/>
  <c r="I3404" s="1"/>
  <c r="F3481"/>
  <c r="I3481" s="1"/>
  <c r="F3545"/>
  <c r="I3545" s="1"/>
  <c r="F3584"/>
  <c r="I3584" s="1"/>
  <c r="F3623"/>
  <c r="I3623" s="1"/>
  <c r="F2747"/>
  <c r="I2747" s="1"/>
  <c r="F3035"/>
  <c r="I3035" s="1"/>
  <c r="F3175"/>
  <c r="I3175" s="1"/>
  <c r="F3210"/>
  <c r="I3210" s="1"/>
  <c r="F3212"/>
  <c r="I3212" s="1"/>
  <c r="F3240"/>
  <c r="I3240" s="1"/>
  <c r="F3325"/>
  <c r="I3325" s="1"/>
  <c r="F3366"/>
  <c r="I3366" s="1"/>
  <c r="F3431"/>
  <c r="I3431" s="1"/>
  <c r="F3456"/>
  <c r="I3456" s="1"/>
  <c r="F3507"/>
  <c r="I3507" s="1"/>
  <c r="F3659"/>
  <c r="I3659" s="1"/>
  <c r="F2657"/>
  <c r="I2657" s="1"/>
  <c r="F2721"/>
  <c r="I2721" s="1"/>
  <c r="F3034"/>
  <c r="I3034" s="1"/>
  <c r="F3173"/>
  <c r="I3173" s="1"/>
  <c r="F3211"/>
  <c r="I3211" s="1"/>
  <c r="F3241"/>
  <c r="I3241" s="1"/>
  <c r="F3324"/>
  <c r="I3324" s="1"/>
  <c r="F3365"/>
  <c r="I3365" s="1"/>
  <c r="F3430"/>
  <c r="I3430" s="1"/>
  <c r="F3457"/>
  <c r="I3457" s="1"/>
  <c r="F3508"/>
  <c r="I3508" s="1"/>
  <c r="F3660"/>
  <c r="I3660" s="1"/>
  <c r="F3137"/>
  <c r="I3137" s="1"/>
  <c r="M3137" s="1"/>
  <c r="F3174"/>
  <c r="I3174" s="1"/>
  <c r="F3267"/>
  <c r="I3267" s="1"/>
  <c r="F3405"/>
  <c r="I3405" s="1"/>
  <c r="F3583"/>
  <c r="I3583" s="1"/>
  <c r="F3731"/>
  <c r="I3731" s="1"/>
  <c r="F4726"/>
  <c r="I4726" s="1"/>
  <c r="F2332"/>
  <c r="I2332" s="1"/>
  <c r="F2799"/>
  <c r="I2799" s="1"/>
  <c r="F3269"/>
  <c r="I3269" s="1"/>
  <c r="F3698"/>
  <c r="I3698" s="1"/>
  <c r="F4852"/>
  <c r="I4852" s="1"/>
  <c r="F3697"/>
  <c r="I3697" s="1"/>
  <c r="F3767"/>
  <c r="I3767" s="1"/>
  <c r="F4598"/>
  <c r="I4598" s="1"/>
  <c r="F3622"/>
  <c r="I3622" s="1"/>
  <c r="F3482"/>
  <c r="I3482" s="1"/>
  <c r="F3138"/>
  <c r="I3138" s="1"/>
  <c r="M3138" s="1"/>
  <c r="F3298"/>
  <c r="I3298" s="1"/>
  <c r="F2998"/>
  <c r="I2998" s="1"/>
  <c r="F3136"/>
  <c r="I3136" s="1"/>
  <c r="M3136" s="1"/>
  <c r="F3546"/>
  <c r="I3546" s="1"/>
  <c r="F401" i="7"/>
  <c r="I401" s="1"/>
  <c r="F319"/>
  <c r="I319" s="1"/>
  <c r="F237"/>
  <c r="I237" s="1"/>
  <c r="F196"/>
  <c r="I196" s="1"/>
  <c r="F155"/>
  <c r="I155" s="1"/>
  <c r="F4830" i="6"/>
  <c r="I4830" s="1"/>
  <c r="F4367"/>
  <c r="I4367" s="1"/>
  <c r="I4371" s="1"/>
  <c r="F4300"/>
  <c r="I4300" s="1"/>
  <c r="F4242"/>
  <c r="I4242" s="1"/>
  <c r="I4243" s="1"/>
  <c r="I4244" s="1"/>
  <c r="F4221"/>
  <c r="I4221" s="1"/>
  <c r="I4222" s="1"/>
  <c r="I4223" s="1"/>
  <c r="AH17" i="5"/>
  <c r="AI17" s="1"/>
  <c r="AH15"/>
  <c r="F2297" i="6"/>
  <c r="I2297" s="1"/>
  <c r="F4855"/>
  <c r="I4855" s="1"/>
  <c r="D717" i="7"/>
  <c r="I717" s="1"/>
  <c r="F718" s="1"/>
  <c r="I718" s="1"/>
  <c r="C48" i="6"/>
  <c r="C79"/>
  <c r="C123"/>
  <c r="C141"/>
  <c r="C57"/>
  <c r="C61"/>
  <c r="C87"/>
  <c r="C105"/>
  <c r="C39"/>
  <c r="C190"/>
  <c r="C271"/>
  <c r="C331"/>
  <c r="C238"/>
  <c r="C252"/>
  <c r="C352"/>
  <c r="C30"/>
  <c r="C166"/>
  <c r="C220"/>
  <c r="C433"/>
  <c r="C155"/>
  <c r="C294"/>
  <c r="C371"/>
  <c r="C396"/>
  <c r="C451"/>
  <c r="C8"/>
  <c r="C114"/>
  <c r="C417"/>
  <c r="C474"/>
  <c r="C494"/>
  <c r="C525"/>
  <c r="C565"/>
  <c r="C604"/>
  <c r="C643"/>
  <c r="C682"/>
  <c r="C711"/>
  <c r="C179"/>
  <c r="C511"/>
  <c r="C575"/>
  <c r="C614"/>
  <c r="C698"/>
  <c r="C723"/>
  <c r="C725"/>
  <c r="C735"/>
  <c r="C771"/>
  <c r="C773"/>
  <c r="C555"/>
  <c r="C594"/>
  <c r="C633"/>
  <c r="C665"/>
  <c r="C684"/>
  <c r="C799"/>
  <c r="C801"/>
  <c r="C96"/>
  <c r="C202"/>
  <c r="C695"/>
  <c r="C787"/>
  <c r="C827"/>
  <c r="C845"/>
  <c r="C874"/>
  <c r="C535"/>
  <c r="C545"/>
  <c r="C737"/>
  <c r="C830"/>
  <c r="C842"/>
  <c r="C860"/>
  <c r="C926"/>
  <c r="C937"/>
  <c r="C971"/>
  <c r="C1076"/>
  <c r="C1078"/>
  <c r="C1102"/>
  <c r="C1149"/>
  <c r="C1151"/>
  <c r="C1221"/>
  <c r="C1252"/>
  <c r="C585"/>
  <c r="C708"/>
  <c r="C815"/>
  <c r="C887"/>
  <c r="C956"/>
  <c r="C984"/>
  <c r="C999"/>
  <c r="C1001"/>
  <c r="C1011"/>
  <c r="C1048"/>
  <c r="C1050"/>
  <c r="C1092"/>
  <c r="C1165"/>
  <c r="C1189"/>
  <c r="C1249"/>
  <c r="C132"/>
  <c r="C940"/>
  <c r="C954"/>
  <c r="C969"/>
  <c r="C1089"/>
  <c r="C1235"/>
  <c r="C1237"/>
  <c r="C1263"/>
  <c r="C1281"/>
  <c r="C1324"/>
  <c r="C70"/>
  <c r="C898"/>
  <c r="C914"/>
  <c r="C924"/>
  <c r="C1064"/>
  <c r="C1135"/>
  <c r="C1179"/>
  <c r="C1207"/>
  <c r="C1209"/>
  <c r="C1307"/>
  <c r="C1309"/>
  <c r="C624"/>
  <c r="C784"/>
  <c r="C812"/>
  <c r="C986"/>
  <c r="C1031"/>
  <c r="C1117"/>
  <c r="C1120"/>
  <c r="C1162"/>
  <c r="C1192"/>
  <c r="C754"/>
  <c r="C1013"/>
  <c r="C1224"/>
  <c r="C1321"/>
  <c r="C1338"/>
  <c r="C1365"/>
  <c r="C1368"/>
  <c r="C1460"/>
  <c r="C1479"/>
  <c r="C1495"/>
  <c r="C1535"/>
  <c r="C1551"/>
  <c r="C1567"/>
  <c r="C1643"/>
  <c r="C1176"/>
  <c r="C1266"/>
  <c r="C1340"/>
  <c r="C1351"/>
  <c r="C1354"/>
  <c r="C1385"/>
  <c r="C1447"/>
  <c r="C1463"/>
  <c r="C1481"/>
  <c r="C1548"/>
  <c r="C1565"/>
  <c r="C1581"/>
  <c r="C1609"/>
  <c r="C1611"/>
  <c r="C1641"/>
  <c r="C1666"/>
  <c r="C912"/>
  <c r="C1061"/>
  <c r="C1293"/>
  <c r="C1382"/>
  <c r="C1524"/>
  <c r="C1538"/>
  <c r="C1594"/>
  <c r="C1719"/>
  <c r="C1804"/>
  <c r="C1850"/>
  <c r="C1937"/>
  <c r="C1450"/>
  <c r="C1508"/>
  <c r="C1578"/>
  <c r="C1591"/>
  <c r="C1676"/>
  <c r="C1741"/>
  <c r="C1758"/>
  <c r="C1784"/>
  <c r="C1819"/>
  <c r="C1821"/>
  <c r="C1833"/>
  <c r="C1907"/>
  <c r="C1965"/>
  <c r="C1967"/>
  <c r="C1979"/>
  <c r="C1105"/>
  <c r="C1279"/>
  <c r="C1397"/>
  <c r="C1400"/>
  <c r="C1434"/>
  <c r="C1724"/>
  <c r="C1756"/>
  <c r="C1786"/>
  <c r="C1872"/>
  <c r="C1892"/>
  <c r="C1909"/>
  <c r="C1925"/>
  <c r="C1296"/>
  <c r="C1417"/>
  <c r="C1505"/>
  <c r="C1627"/>
  <c r="C1692"/>
  <c r="C1775"/>
  <c r="C1831"/>
  <c r="C1977"/>
  <c r="C2072"/>
  <c r="C2160"/>
  <c r="C2178"/>
  <c r="C2188"/>
  <c r="C2222"/>
  <c r="C2224"/>
  <c r="C2238"/>
  <c r="C2240"/>
  <c r="C2303"/>
  <c r="C2309"/>
  <c r="C2347"/>
  <c r="C2381"/>
  <c r="C2420"/>
  <c r="C2503"/>
  <c r="C2591"/>
  <c r="C2616"/>
  <c r="C2807"/>
  <c r="C2814"/>
  <c r="C1492"/>
  <c r="C1522"/>
  <c r="C1862"/>
  <c r="C1958"/>
  <c r="C2053"/>
  <c r="C2060"/>
  <c r="C2254"/>
  <c r="C2256"/>
  <c r="C2272"/>
  <c r="C2278"/>
  <c r="C2338"/>
  <c r="C2361"/>
  <c r="C2438"/>
  <c r="C2468"/>
  <c r="C2560"/>
  <c r="C2570"/>
  <c r="C2637"/>
  <c r="C2644"/>
  <c r="C2698"/>
  <c r="C2708"/>
  <c r="C2728"/>
  <c r="C2834"/>
  <c r="C2908"/>
  <c r="C1436"/>
  <c r="C1678"/>
  <c r="C1874"/>
  <c r="C1935"/>
  <c r="C2000"/>
  <c r="C2074"/>
  <c r="C2090"/>
  <c r="C2114"/>
  <c r="C2148"/>
  <c r="C2150"/>
  <c r="C2162"/>
  <c r="C2190"/>
  <c r="C2206"/>
  <c r="C2287"/>
  <c r="C2403"/>
  <c r="C2436"/>
  <c r="C2470"/>
  <c r="C2485"/>
  <c r="C2520"/>
  <c r="C2553"/>
  <c r="C2604"/>
  <c r="C2606"/>
  <c r="C2618"/>
  <c r="C2691"/>
  <c r="C2735"/>
  <c r="C2780"/>
  <c r="C2787"/>
  <c r="C2841"/>
  <c r="C2871"/>
  <c r="C2905"/>
  <c r="C2912"/>
  <c r="C2978"/>
  <c r="C2985"/>
  <c r="C1132"/>
  <c r="C2101"/>
  <c r="C2359"/>
  <c r="C2393"/>
  <c r="C2458"/>
  <c r="C2761"/>
  <c r="C3012"/>
  <c r="C3022"/>
  <c r="C3151"/>
  <c r="C3161"/>
  <c r="C3181"/>
  <c r="C3275"/>
  <c r="C3304"/>
  <c r="C3311"/>
  <c r="C3488"/>
  <c r="C3495"/>
  <c r="C3552"/>
  <c r="C3559"/>
  <c r="C3592"/>
  <c r="C3599"/>
  <c r="C3646"/>
  <c r="C2062"/>
  <c r="C2132"/>
  <c r="C2318"/>
  <c r="C2349"/>
  <c r="C2391"/>
  <c r="C2671"/>
  <c r="C2754"/>
  <c r="C3042"/>
  <c r="C3045"/>
  <c r="C3079"/>
  <c r="C3082"/>
  <c r="C3114"/>
  <c r="C3124"/>
  <c r="C3220"/>
  <c r="C3227"/>
  <c r="C3332"/>
  <c r="C3335"/>
  <c r="C3342"/>
  <c r="C3374"/>
  <c r="C3381"/>
  <c r="C3436"/>
  <c r="C3443"/>
  <c r="C3514"/>
  <c r="C3521"/>
  <c r="C3570"/>
  <c r="C3684"/>
  <c r="C2103"/>
  <c r="C2116"/>
  <c r="C2501"/>
  <c r="C2537"/>
  <c r="C2919"/>
  <c r="C3052"/>
  <c r="C3062"/>
  <c r="C3089"/>
  <c r="C3107"/>
  <c r="C3144"/>
  <c r="C3218"/>
  <c r="C3246"/>
  <c r="C3253"/>
  <c r="C3352"/>
  <c r="C3369"/>
  <c r="C3391"/>
  <c r="C3462"/>
  <c r="C3469"/>
  <c r="C3531"/>
  <c r="C3665"/>
  <c r="C3674"/>
  <c r="C1860"/>
  <c r="C2664"/>
  <c r="C3005"/>
  <c r="C3410"/>
  <c r="C3636"/>
  <c r="C3748"/>
  <c r="C3774"/>
  <c r="C3790"/>
  <c r="C3800"/>
  <c r="C3891"/>
  <c r="C3906"/>
  <c r="C3942"/>
  <c r="C3962"/>
  <c r="C3976"/>
  <c r="C4044"/>
  <c r="C4095"/>
  <c r="C4165"/>
  <c r="C4300"/>
  <c r="C4367"/>
  <c r="C4396"/>
  <c r="C4437"/>
  <c r="C4589"/>
  <c r="C4660"/>
  <c r="C4675"/>
  <c r="C4733"/>
  <c r="C4745"/>
  <c r="C4840"/>
  <c r="C2527"/>
  <c r="C3188"/>
  <c r="C3284"/>
  <c r="C3629"/>
  <c r="C3703"/>
  <c r="C3710"/>
  <c r="C3757"/>
  <c r="C3802"/>
  <c r="C3927"/>
  <c r="C3946"/>
  <c r="C4007"/>
  <c r="C4025"/>
  <c r="C4048"/>
  <c r="C4079"/>
  <c r="C4183"/>
  <c r="C4200"/>
  <c r="C4335"/>
  <c r="C4484"/>
  <c r="C4592"/>
  <c r="C4651"/>
  <c r="C4759"/>
  <c r="C4792"/>
  <c r="C4951"/>
  <c r="C4995"/>
  <c r="C3417"/>
  <c r="C3587"/>
  <c r="C3609"/>
  <c r="C3720"/>
  <c r="C3788"/>
  <c r="C3881"/>
  <c r="C3993"/>
  <c r="C4111"/>
  <c r="C4132"/>
  <c r="C4422"/>
  <c r="C4523"/>
  <c r="C4639"/>
  <c r="C4698"/>
  <c r="C4843"/>
  <c r="C4890"/>
  <c r="C5015"/>
  <c r="C5036"/>
  <c r="C4066"/>
  <c r="C4149"/>
  <c r="C4585"/>
  <c r="C4834"/>
  <c r="C4964"/>
  <c r="C4465"/>
  <c r="C4837"/>
  <c r="C2405"/>
  <c r="C3277"/>
  <c r="C3742"/>
  <c r="C2176"/>
  <c r="C3198"/>
  <c r="C4627"/>
  <c r="C4743"/>
  <c r="C4830"/>
  <c r="C4937"/>
  <c r="C4737"/>
  <c r="F4248"/>
  <c r="I4248" s="1"/>
  <c r="I4249" s="1"/>
  <c r="I4250" s="1"/>
  <c r="F4095"/>
  <c r="I4095" s="1"/>
  <c r="F4096" s="1"/>
  <c r="F254"/>
  <c r="I254" s="1"/>
  <c r="F204"/>
  <c r="I204" s="1"/>
  <c r="F222"/>
  <c r="I222" s="1"/>
  <c r="F5038"/>
  <c r="I5038" s="1"/>
  <c r="F273"/>
  <c r="I273" s="1"/>
  <c r="F296"/>
  <c r="I296" s="1"/>
  <c r="D1976"/>
  <c r="D1977" s="1"/>
  <c r="D2113"/>
  <c r="D2114" s="1"/>
  <c r="D2071"/>
  <c r="D2072" s="1"/>
  <c r="F1964"/>
  <c r="F1965" s="1"/>
  <c r="F2059"/>
  <c r="F2060" s="1"/>
  <c r="F2100"/>
  <c r="F2101" s="1"/>
  <c r="F247" i="2"/>
  <c r="F4937" i="6"/>
  <c r="I4937" s="1"/>
  <c r="F4938" s="1"/>
  <c r="I4938" s="1"/>
  <c r="I4939" s="1"/>
  <c r="F4792"/>
  <c r="I4792" s="1"/>
  <c r="I4793" s="1"/>
  <c r="F4759"/>
  <c r="I4759" s="1"/>
  <c r="I4760" s="1"/>
  <c r="I4650"/>
  <c r="I4588"/>
  <c r="F4589" s="1"/>
  <c r="I4589" s="1"/>
  <c r="F4584"/>
  <c r="I4584" s="1"/>
  <c r="I4583"/>
  <c r="D4542"/>
  <c r="H4536"/>
  <c r="D4521"/>
  <c r="F4422"/>
  <c r="I4422" s="1"/>
  <c r="I4426" s="1"/>
  <c r="I4304"/>
  <c r="F4279"/>
  <c r="I4279" s="1"/>
  <c r="I4280" s="1"/>
  <c r="I4281" s="1"/>
  <c r="I4263"/>
  <c r="I4264" s="1"/>
  <c r="F4255"/>
  <c r="I4255" s="1"/>
  <c r="I4256" s="1"/>
  <c r="I4257" s="1"/>
  <c r="F4227"/>
  <c r="I4227" s="1"/>
  <c r="I4228" s="1"/>
  <c r="I4229" s="1"/>
  <c r="F4200"/>
  <c r="I4200" s="1"/>
  <c r="F4520"/>
  <c r="I4079"/>
  <c r="I4081" s="1"/>
  <c r="I3962"/>
  <c r="I3946"/>
  <c r="H3709"/>
  <c r="H3710" s="1"/>
  <c r="L3709"/>
  <c r="L3710" s="1"/>
  <c r="D3719"/>
  <c r="D3720" s="1"/>
  <c r="E3709"/>
  <c r="E3710" s="1"/>
  <c r="I3709"/>
  <c r="I3710" s="1"/>
  <c r="E3719"/>
  <c r="E3720" s="1"/>
  <c r="G3709"/>
  <c r="G3710" s="1"/>
  <c r="K3709"/>
  <c r="K3710" s="1"/>
  <c r="E3558"/>
  <c r="E3559" s="1"/>
  <c r="I3558"/>
  <c r="I3559" s="1"/>
  <c r="H3569"/>
  <c r="H3570" s="1"/>
  <c r="L3569"/>
  <c r="L3570" s="1"/>
  <c r="F3558"/>
  <c r="F3559" s="1"/>
  <c r="E3569"/>
  <c r="E3570" s="1"/>
  <c r="I3569"/>
  <c r="I3570" s="1"/>
  <c r="I3552"/>
  <c r="H3558"/>
  <c r="H3559" s="1"/>
  <c r="L3558"/>
  <c r="L3559" s="1"/>
  <c r="G3569"/>
  <c r="G3570" s="1"/>
  <c r="K3569"/>
  <c r="K3570" s="1"/>
  <c r="K3558"/>
  <c r="K3559" s="1"/>
  <c r="G3468"/>
  <c r="G3469" s="1"/>
  <c r="L3468"/>
  <c r="L3469" s="1"/>
  <c r="G3283"/>
  <c r="G3284" s="1"/>
  <c r="K3283"/>
  <c r="K3284" s="1"/>
  <c r="H3283"/>
  <c r="H3284" s="1"/>
  <c r="L3283"/>
  <c r="L3284" s="1"/>
  <c r="I3275"/>
  <c r="F3283"/>
  <c r="F3284" s="1"/>
  <c r="I3283"/>
  <c r="I3284" s="1"/>
  <c r="E3283"/>
  <c r="E3284" s="1"/>
  <c r="F4007"/>
  <c r="I4007" s="1"/>
  <c r="I4009" s="1"/>
  <c r="F3993"/>
  <c r="I3993" s="1"/>
  <c r="F3994" s="1"/>
  <c r="I3867"/>
  <c r="I3868" s="1"/>
  <c r="L3520"/>
  <c r="L3521" s="1"/>
  <c r="E3530"/>
  <c r="E3531" s="1"/>
  <c r="F3530"/>
  <c r="F3531" s="1"/>
  <c r="D3390"/>
  <c r="D3391" s="1"/>
  <c r="E3310"/>
  <c r="E3311" s="1"/>
  <c r="I3310"/>
  <c r="I3311" s="1"/>
  <c r="F3310"/>
  <c r="F3311" s="1"/>
  <c r="I3304"/>
  <c r="H3310"/>
  <c r="H3311" s="1"/>
  <c r="L3310"/>
  <c r="L3311" s="1"/>
  <c r="G3310"/>
  <c r="G3311" s="1"/>
  <c r="K3310"/>
  <c r="K3311" s="1"/>
  <c r="H2392"/>
  <c r="H2393" s="1"/>
  <c r="E2404"/>
  <c r="E2405" s="1"/>
  <c r="E2392"/>
  <c r="E2393" s="1"/>
  <c r="I2392"/>
  <c r="I2393" s="1"/>
  <c r="F2404"/>
  <c r="F2405" s="1"/>
  <c r="I2381"/>
  <c r="G2392"/>
  <c r="G2393" s="1"/>
  <c r="D2404"/>
  <c r="D2405" s="1"/>
  <c r="F2392"/>
  <c r="F2393" s="1"/>
  <c r="F1976"/>
  <c r="F1977" s="1"/>
  <c r="L2059"/>
  <c r="L2060" s="1"/>
  <c r="F2071"/>
  <c r="F2072" s="1"/>
  <c r="F2113"/>
  <c r="F2114" s="1"/>
  <c r="H1964"/>
  <c r="H1965" s="1"/>
  <c r="H2100"/>
  <c r="H2101" s="1"/>
  <c r="H2059"/>
  <c r="H2060" s="1"/>
  <c r="F5015"/>
  <c r="I5015" s="1"/>
  <c r="F4951"/>
  <c r="I4951" s="1"/>
  <c r="F4952" s="1"/>
  <c r="I4952" s="1"/>
  <c r="F4916"/>
  <c r="I4916" s="1"/>
  <c r="I4917" s="1"/>
  <c r="I4918" s="1"/>
  <c r="I4887"/>
  <c r="I4888" s="1"/>
  <c r="I4891" s="1"/>
  <c r="I4892" s="1"/>
  <c r="F4698"/>
  <c r="I4698" s="1"/>
  <c r="I4699" s="1"/>
  <c r="I4675"/>
  <c r="I4592"/>
  <c r="I4502"/>
  <c r="I4503" s="1"/>
  <c r="F4465"/>
  <c r="I4465" s="1"/>
  <c r="I4466" s="1"/>
  <c r="I4467" s="1"/>
  <c r="I4210"/>
  <c r="I4211" s="1"/>
  <c r="F4183"/>
  <c r="I4183" s="1"/>
  <c r="I4167"/>
  <c r="F4111"/>
  <c r="I4111" s="1"/>
  <c r="I4113" s="1"/>
  <c r="F4066"/>
  <c r="I4066" s="1"/>
  <c r="F4067" s="1"/>
  <c r="F4025"/>
  <c r="I4025" s="1"/>
  <c r="F3590"/>
  <c r="I3590" s="1"/>
  <c r="I3591"/>
  <c r="F3494"/>
  <c r="F3495" s="1"/>
  <c r="K3494"/>
  <c r="K3495" s="1"/>
  <c r="F2272"/>
  <c r="E828"/>
  <c r="E696"/>
  <c r="E785"/>
  <c r="E1062"/>
  <c r="E1118"/>
  <c r="E1177"/>
  <c r="E1294"/>
  <c r="E813"/>
  <c r="D1133"/>
  <c r="E1222"/>
  <c r="E1264"/>
  <c r="E938"/>
  <c r="E1163"/>
  <c r="E1250"/>
  <c r="E1090"/>
  <c r="E843"/>
  <c r="E1366"/>
  <c r="E1383"/>
  <c r="E1579"/>
  <c r="E1352"/>
  <c r="E1493"/>
  <c r="E1322"/>
  <c r="E1536"/>
  <c r="E885"/>
  <c r="E1398"/>
  <c r="E1448"/>
  <c r="I756"/>
  <c r="I667"/>
  <c r="I1033"/>
  <c r="F1657"/>
  <c r="I1657" s="1"/>
  <c r="I513"/>
  <c r="F1419"/>
  <c r="I1419" s="1"/>
  <c r="I1629"/>
  <c r="F2044"/>
  <c r="I2044" s="1"/>
  <c r="I2092"/>
  <c r="F2208"/>
  <c r="I2208" s="1"/>
  <c r="E1976"/>
  <c r="E1977" s="1"/>
  <c r="E2113"/>
  <c r="E2114" s="1"/>
  <c r="K2059"/>
  <c r="K2060" s="1"/>
  <c r="G1964"/>
  <c r="G1965" s="1"/>
  <c r="G2059"/>
  <c r="G2060" s="1"/>
  <c r="G2100"/>
  <c r="G2101" s="1"/>
  <c r="E1782"/>
  <c r="E1933"/>
  <c r="E1858"/>
  <c r="E1754"/>
  <c r="E1817"/>
  <c r="E3879"/>
  <c r="E3882" s="1"/>
  <c r="F4729"/>
  <c r="I4729" s="1"/>
  <c r="I4705"/>
  <c r="I4485"/>
  <c r="I4486" s="1"/>
  <c r="F4275"/>
  <c r="I4275" s="1"/>
  <c r="I4276" s="1"/>
  <c r="F4269"/>
  <c r="I4269" s="1"/>
  <c r="I4270" s="1"/>
  <c r="I4271" s="1"/>
  <c r="I4215"/>
  <c r="I4216" s="1"/>
  <c r="I4217" s="1"/>
  <c r="F4149"/>
  <c r="I4149" s="1"/>
  <c r="F4150" s="1"/>
  <c r="F4132"/>
  <c r="I4132" s="1"/>
  <c r="I4134" s="1"/>
  <c r="F4519"/>
  <c r="G3878"/>
  <c r="E3888"/>
  <c r="D3878"/>
  <c r="D3882" s="1"/>
  <c r="H3878"/>
  <c r="F3888"/>
  <c r="F3878"/>
  <c r="D3888"/>
  <c r="I3833"/>
  <c r="D3834"/>
  <c r="I3834" s="1"/>
  <c r="F3088"/>
  <c r="F3089" s="1"/>
  <c r="E2502"/>
  <c r="E2503" s="1"/>
  <c r="I2502"/>
  <c r="I2503" s="1"/>
  <c r="F2502"/>
  <c r="F2503" s="1"/>
  <c r="H2502"/>
  <c r="H2503" s="1"/>
  <c r="L2502"/>
  <c r="L2503" s="1"/>
  <c r="I2485"/>
  <c r="G2502"/>
  <c r="G2503" s="1"/>
  <c r="K2502"/>
  <c r="K2503" s="1"/>
  <c r="F3916"/>
  <c r="I3916" s="1"/>
  <c r="I3917" s="1"/>
  <c r="I3918" s="1"/>
  <c r="F3436"/>
  <c r="I3374"/>
  <c r="F3144"/>
  <c r="F3107"/>
  <c r="F3042"/>
  <c r="I3042" s="1"/>
  <c r="E2813"/>
  <c r="E2814" s="1"/>
  <c r="I2813"/>
  <c r="I2814" s="1"/>
  <c r="F2813"/>
  <c r="F2814" s="1"/>
  <c r="H2813"/>
  <c r="H2814" s="1"/>
  <c r="L2813"/>
  <c r="L2814" s="1"/>
  <c r="G2813"/>
  <c r="G2814" s="1"/>
  <c r="H2526"/>
  <c r="H2527" s="1"/>
  <c r="E2536"/>
  <c r="E2537" s="1"/>
  <c r="E2526"/>
  <c r="E2527" s="1"/>
  <c r="I2526"/>
  <c r="I2527" s="1"/>
  <c r="F2536"/>
  <c r="F2537" s="1"/>
  <c r="G2526"/>
  <c r="G2527" s="1"/>
  <c r="D2536"/>
  <c r="D2537" s="1"/>
  <c r="F2526"/>
  <c r="F2527" s="1"/>
  <c r="E2437"/>
  <c r="E2438" s="1"/>
  <c r="I2177"/>
  <c r="I2178" s="1"/>
  <c r="F2161"/>
  <c r="F2162" s="1"/>
  <c r="G3673"/>
  <c r="G3674" s="1"/>
  <c r="E3683"/>
  <c r="E3684" s="1"/>
  <c r="F3410"/>
  <c r="H3341"/>
  <c r="H3342" s="1"/>
  <c r="L3341"/>
  <c r="L3342" s="1"/>
  <c r="D3351"/>
  <c r="D3352" s="1"/>
  <c r="E3341"/>
  <c r="E3342" s="1"/>
  <c r="I3341"/>
  <c r="I3342" s="1"/>
  <c r="E3351"/>
  <c r="E3352" s="1"/>
  <c r="G3341"/>
  <c r="G3342" s="1"/>
  <c r="K3341"/>
  <c r="K3342" s="1"/>
  <c r="F3246"/>
  <c r="I3220"/>
  <c r="F3005"/>
  <c r="H2760"/>
  <c r="H2761" s="1"/>
  <c r="F3218"/>
  <c r="M3135"/>
  <c r="F2780"/>
  <c r="G2670"/>
  <c r="G2671" s="1"/>
  <c r="K2670"/>
  <c r="K2671" s="1"/>
  <c r="I2664"/>
  <c r="H2670"/>
  <c r="H2671" s="1"/>
  <c r="L2670"/>
  <c r="L2671" s="1"/>
  <c r="F2670"/>
  <c r="F2671" s="1"/>
  <c r="I2670"/>
  <c r="I2671" s="1"/>
  <c r="E2670"/>
  <c r="E2671" s="1"/>
  <c r="E2559"/>
  <c r="E2560" s="1"/>
  <c r="I2559"/>
  <c r="I2560" s="1"/>
  <c r="F2569"/>
  <c r="F2570" s="1"/>
  <c r="F2559"/>
  <c r="F2560" s="1"/>
  <c r="H2559"/>
  <c r="H2560" s="1"/>
  <c r="E2569"/>
  <c r="E2570" s="1"/>
  <c r="D2569"/>
  <c r="D2570" s="1"/>
  <c r="I2553"/>
  <c r="F2308"/>
  <c r="F2309" s="1"/>
  <c r="E2317"/>
  <c r="E2318" s="1"/>
  <c r="G2308"/>
  <c r="G2309" s="1"/>
  <c r="F2317"/>
  <c r="F2318" s="1"/>
  <c r="E2308"/>
  <c r="E2309" s="1"/>
  <c r="I2308"/>
  <c r="I2309" s="1"/>
  <c r="D2317"/>
  <c r="D2318" s="1"/>
  <c r="H2308"/>
  <c r="H2309" s="1"/>
  <c r="I2946"/>
  <c r="I2947" s="1"/>
  <c r="I2948" s="1"/>
  <c r="I2908"/>
  <c r="I2834"/>
  <c r="F2691"/>
  <c r="G2605"/>
  <c r="G2606" s="1"/>
  <c r="D2617"/>
  <c r="D2618" s="1"/>
  <c r="H2605"/>
  <c r="H2606" s="1"/>
  <c r="E2617"/>
  <c r="E2618" s="1"/>
  <c r="I2591"/>
  <c r="F2605"/>
  <c r="F2606" s="1"/>
  <c r="F2338"/>
  <c r="I2210"/>
  <c r="I2094"/>
  <c r="E1936"/>
  <c r="E1937" s="1"/>
  <c r="I2940"/>
  <c r="I2941" s="1"/>
  <c r="I2942" s="1"/>
  <c r="I2303"/>
  <c r="F2206"/>
  <c r="F2090"/>
  <c r="F2061"/>
  <c r="F2062" s="1"/>
  <c r="I1861"/>
  <c r="I1862" s="1"/>
  <c r="D1873"/>
  <c r="D1874" s="1"/>
  <c r="E1385"/>
  <c r="F1384"/>
  <c r="G1384"/>
  <c r="F2978"/>
  <c r="F2871"/>
  <c r="I2871" s="1"/>
  <c r="I2807"/>
  <c r="F2637"/>
  <c r="F1741"/>
  <c r="I1741" s="1"/>
  <c r="F1666"/>
  <c r="F1323"/>
  <c r="F1324" s="1"/>
  <c r="I1323"/>
  <c r="I1324" s="1"/>
  <c r="G1323"/>
  <c r="G1324" s="1"/>
  <c r="E1324"/>
  <c r="H1323"/>
  <c r="H1324" s="1"/>
  <c r="E1966"/>
  <c r="E1967" s="1"/>
  <c r="I1966"/>
  <c r="I1967" s="1"/>
  <c r="F1978"/>
  <c r="F1979" s="1"/>
  <c r="I1958"/>
  <c r="F1966"/>
  <c r="F1967" s="1"/>
  <c r="H1966"/>
  <c r="H1967" s="1"/>
  <c r="E1978"/>
  <c r="E1979" s="1"/>
  <c r="I1954"/>
  <c r="F1692"/>
  <c r="I1692" s="1"/>
  <c r="F2048"/>
  <c r="I2048" s="1"/>
  <c r="F1892"/>
  <c r="F1785"/>
  <c r="F1786" s="1"/>
  <c r="I1775"/>
  <c r="G1785"/>
  <c r="G1786" s="1"/>
  <c r="K1785"/>
  <c r="K1786" s="1"/>
  <c r="E1785"/>
  <c r="E1786" s="1"/>
  <c r="I1785"/>
  <c r="I1786" s="1"/>
  <c r="I1627"/>
  <c r="E1642"/>
  <c r="E1643" s="1"/>
  <c r="G1642"/>
  <c r="G1643" s="1"/>
  <c r="K1642"/>
  <c r="K1643" s="1"/>
  <c r="L1642"/>
  <c r="L1643" s="1"/>
  <c r="H1580"/>
  <c r="H1581" s="1"/>
  <c r="E1581"/>
  <c r="F1593"/>
  <c r="F1594" s="1"/>
  <c r="F1580"/>
  <c r="F1581" s="1"/>
  <c r="D1593"/>
  <c r="D1594" s="1"/>
  <c r="F1399"/>
  <c r="F1400" s="1"/>
  <c r="H1399"/>
  <c r="H1400" s="1"/>
  <c r="L1399"/>
  <c r="L1400" s="1"/>
  <c r="H1178"/>
  <c r="H1179" s="1"/>
  <c r="E1179"/>
  <c r="F1191"/>
  <c r="F1192" s="1"/>
  <c r="G1178"/>
  <c r="G1179" s="1"/>
  <c r="E1191"/>
  <c r="E1192" s="1"/>
  <c r="I1178"/>
  <c r="I1179" s="1"/>
  <c r="F1178"/>
  <c r="F1179" s="1"/>
  <c r="D1191"/>
  <c r="D1192" s="1"/>
  <c r="I1580"/>
  <c r="I1581" s="1"/>
  <c r="E1400"/>
  <c r="I1399"/>
  <c r="I1400" s="1"/>
  <c r="H1295"/>
  <c r="H1296" s="1"/>
  <c r="E1296"/>
  <c r="F1295"/>
  <c r="F1296" s="1"/>
  <c r="G1295"/>
  <c r="G1296" s="1"/>
  <c r="I1295"/>
  <c r="I1296" s="1"/>
  <c r="F1494"/>
  <c r="F1495" s="1"/>
  <c r="D1507"/>
  <c r="D1508" s="1"/>
  <c r="H1494"/>
  <c r="H1495" s="1"/>
  <c r="E1495"/>
  <c r="F1507"/>
  <c r="F1508" s="1"/>
  <c r="K1339"/>
  <c r="K1340" s="1"/>
  <c r="K1480"/>
  <c r="K1481" s="1"/>
  <c r="I1566"/>
  <c r="I1567" s="1"/>
  <c r="F1435"/>
  <c r="F1436" s="1"/>
  <c r="H1523"/>
  <c r="H1524" s="1"/>
  <c r="F1610"/>
  <c r="F1611" s="1"/>
  <c r="H1063"/>
  <c r="H1064" s="1"/>
  <c r="E1064"/>
  <c r="G1063"/>
  <c r="G1064" s="1"/>
  <c r="I1063"/>
  <c r="I1064" s="1"/>
  <c r="F1063"/>
  <c r="F1064" s="1"/>
  <c r="G1164"/>
  <c r="G1165" s="1"/>
  <c r="F1164"/>
  <c r="F1165" s="1"/>
  <c r="F754"/>
  <c r="F322"/>
  <c r="I322" s="1"/>
  <c r="I323" s="1"/>
  <c r="I324" s="1"/>
  <c r="G1265"/>
  <c r="G1266" s="1"/>
  <c r="F1265"/>
  <c r="F1266" s="1"/>
  <c r="E1266"/>
  <c r="I1164"/>
  <c r="I1165" s="1"/>
  <c r="G697"/>
  <c r="G698" s="1"/>
  <c r="E698"/>
  <c r="F697"/>
  <c r="F698" s="1"/>
  <c r="F710"/>
  <c r="F711" s="1"/>
  <c r="I697"/>
  <c r="I698" s="1"/>
  <c r="E710"/>
  <c r="E711" s="1"/>
  <c r="D710"/>
  <c r="D711" s="1"/>
  <c r="H1164"/>
  <c r="H1165" s="1"/>
  <c r="G1091"/>
  <c r="G1092" s="1"/>
  <c r="E1104"/>
  <c r="E1105" s="1"/>
  <c r="F1091"/>
  <c r="F1092" s="1"/>
  <c r="D1104"/>
  <c r="D1105" s="1"/>
  <c r="F1037"/>
  <c r="I1037" s="1"/>
  <c r="F1031"/>
  <c r="G939"/>
  <c r="G940" s="1"/>
  <c r="K939"/>
  <c r="K940" s="1"/>
  <c r="F939"/>
  <c r="F940" s="1"/>
  <c r="E940"/>
  <c r="F844"/>
  <c r="F845" s="1"/>
  <c r="I844"/>
  <c r="I845" s="1"/>
  <c r="H844"/>
  <c r="H845" s="1"/>
  <c r="F141"/>
  <c r="I141" s="1"/>
  <c r="I142" s="1"/>
  <c r="I143" s="1"/>
  <c r="G814"/>
  <c r="G815" s="1"/>
  <c r="E815"/>
  <c r="G786"/>
  <c r="G787" s="1"/>
  <c r="E787"/>
  <c r="F786"/>
  <c r="F787" s="1"/>
  <c r="F123"/>
  <c r="I123" s="1"/>
  <c r="I124" s="1"/>
  <c r="I125" s="1"/>
  <c r="F814"/>
  <c r="F815" s="1"/>
  <c r="H786"/>
  <c r="H787" s="1"/>
  <c r="F760"/>
  <c r="I760" s="1"/>
  <c r="G683"/>
  <c r="G684" s="1"/>
  <c r="K683"/>
  <c r="K684" s="1"/>
  <c r="E736"/>
  <c r="E737" s="1"/>
  <c r="F683"/>
  <c r="F684" s="1"/>
  <c r="D736"/>
  <c r="D737" s="1"/>
  <c r="E683"/>
  <c r="E684" s="1"/>
  <c r="L683"/>
  <c r="L684" s="1"/>
  <c r="F331"/>
  <c r="I331" s="1"/>
  <c r="I335" s="1"/>
  <c r="I535"/>
  <c r="I474"/>
  <c r="F433"/>
  <c r="I433" s="1"/>
  <c r="I392"/>
  <c r="F371"/>
  <c r="I371" s="1"/>
  <c r="I372" s="1"/>
  <c r="F48"/>
  <c r="I48" s="1"/>
  <c r="I49" s="1"/>
  <c r="I643"/>
  <c r="I604"/>
  <c r="I525"/>
  <c r="F294"/>
  <c r="I294" s="1"/>
  <c r="F271"/>
  <c r="I271" s="1"/>
  <c r="F166"/>
  <c r="I166" s="1"/>
  <c r="I167" s="1"/>
  <c r="F99"/>
  <c r="I99" s="1"/>
  <c r="I100" s="1"/>
  <c r="I101" s="1"/>
  <c r="I80"/>
  <c r="I511"/>
  <c r="I490"/>
  <c r="F451"/>
  <c r="I451" s="1"/>
  <c r="I413"/>
  <c r="F396"/>
  <c r="I396" s="1"/>
  <c r="F220"/>
  <c r="I220" s="1"/>
  <c r="F39"/>
  <c r="I39" s="1"/>
  <c r="I40" s="1"/>
  <c r="F301"/>
  <c r="I301" s="1"/>
  <c r="F278"/>
  <c r="I278" s="1"/>
  <c r="I239"/>
  <c r="I179"/>
  <c r="I180" s="1"/>
  <c r="F135"/>
  <c r="I135" s="1"/>
  <c r="I136" s="1"/>
  <c r="I137" s="1"/>
  <c r="F105"/>
  <c r="I105" s="1"/>
  <c r="I106" s="1"/>
  <c r="I57"/>
  <c r="I87"/>
  <c r="I88" s="1"/>
  <c r="I89" s="1"/>
  <c r="I114"/>
  <c r="I115" s="1"/>
  <c r="I116" s="1"/>
  <c r="I70"/>
  <c r="I71" s="1"/>
  <c r="I72" s="1"/>
  <c r="I30"/>
  <c r="I31" s="1"/>
  <c r="I240" i="8" l="1"/>
  <c r="I241" s="1"/>
  <c r="K88" i="41"/>
  <c r="L88" s="1"/>
  <c r="M88" s="1"/>
  <c r="F86" i="46"/>
  <c r="G86" s="1"/>
  <c r="F85" i="45"/>
  <c r="F60" i="46"/>
  <c r="G60" s="1"/>
  <c r="F57" i="45"/>
  <c r="G57" s="1"/>
  <c r="K57" s="1"/>
  <c r="K57" i="41"/>
  <c r="L57" s="1"/>
  <c r="F1861" i="6"/>
  <c r="F1862" s="1"/>
  <c r="F1873"/>
  <c r="F1874" s="1"/>
  <c r="H1861"/>
  <c r="H1862" s="1"/>
  <c r="G2734"/>
  <c r="G2735" s="1"/>
  <c r="I2760"/>
  <c r="I2761" s="1"/>
  <c r="K3673"/>
  <c r="K3674" s="1"/>
  <c r="F3673"/>
  <c r="F3674" s="1"/>
  <c r="K3468"/>
  <c r="K3469" s="1"/>
  <c r="F4651"/>
  <c r="I4651" s="1"/>
  <c r="I4652" s="1"/>
  <c r="F3403"/>
  <c r="I3403" s="1"/>
  <c r="F3000"/>
  <c r="I3000" s="1"/>
  <c r="F3239"/>
  <c r="I3239" s="1"/>
  <c r="F2481"/>
  <c r="I2481" s="1"/>
  <c r="F2453"/>
  <c r="I2453" s="1"/>
  <c r="F3270"/>
  <c r="I3270" s="1"/>
  <c r="F2973"/>
  <c r="I2973" s="1"/>
  <c r="F2514"/>
  <c r="I2514" s="1"/>
  <c r="F2723"/>
  <c r="I2723" s="1"/>
  <c r="F2802"/>
  <c r="I2802" s="1"/>
  <c r="F1736"/>
  <c r="I1736" s="1"/>
  <c r="F447"/>
  <c r="I447" s="1"/>
  <c r="L93" i="41"/>
  <c r="M93" s="1"/>
  <c r="F91" i="46"/>
  <c r="G91" s="1"/>
  <c r="E1873" i="6"/>
  <c r="E1874" s="1"/>
  <c r="H2734"/>
  <c r="H2735" s="1"/>
  <c r="E3673"/>
  <c r="E3674" s="1"/>
  <c r="H3494"/>
  <c r="H3495" s="1"/>
  <c r="E3494"/>
  <c r="E3495" s="1"/>
  <c r="F3907"/>
  <c r="F3197"/>
  <c r="F3198" s="1"/>
  <c r="E3468"/>
  <c r="E3469" s="1"/>
  <c r="F3468"/>
  <c r="F3469" s="1"/>
  <c r="F3480"/>
  <c r="I3480" s="1"/>
  <c r="F3489" s="1"/>
  <c r="I3489" s="1"/>
  <c r="I3490" s="1"/>
  <c r="F3455"/>
  <c r="I3455" s="1"/>
  <c r="F2548"/>
  <c r="I2548" s="1"/>
  <c r="F3037"/>
  <c r="I3037" s="1"/>
  <c r="F3297"/>
  <c r="I3297" s="1"/>
  <c r="F2373"/>
  <c r="I2373" s="1"/>
  <c r="F2584"/>
  <c r="I2584" s="1"/>
  <c r="F2829"/>
  <c r="I2829" s="1"/>
  <c r="F1770"/>
  <c r="I1770" s="1"/>
  <c r="F1798"/>
  <c r="I1798" s="1"/>
  <c r="F1714"/>
  <c r="I1714" s="1"/>
  <c r="I1850"/>
  <c r="I3488"/>
  <c r="G1861"/>
  <c r="G1862" s="1"/>
  <c r="I2053"/>
  <c r="F2734"/>
  <c r="F2735" s="1"/>
  <c r="I3673"/>
  <c r="I3674" s="1"/>
  <c r="L3494"/>
  <c r="L3495" s="1"/>
  <c r="I3494"/>
  <c r="I3495" s="1"/>
  <c r="I3468"/>
  <c r="I3469" s="1"/>
  <c r="F3544"/>
  <c r="I3544" s="1"/>
  <c r="F3506"/>
  <c r="I3506" s="1"/>
  <c r="F2749"/>
  <c r="I2749" s="1"/>
  <c r="F3364"/>
  <c r="I3364" s="1"/>
  <c r="F3582"/>
  <c r="I3582" s="1"/>
  <c r="F2659"/>
  <c r="I2659" s="1"/>
  <c r="F2686"/>
  <c r="I2686" s="1"/>
  <c r="F2330"/>
  <c r="I2330" s="1"/>
  <c r="F2333"/>
  <c r="I2333" s="1"/>
  <c r="F1920"/>
  <c r="I1920" s="1"/>
  <c r="F1845"/>
  <c r="I1845" s="1"/>
  <c r="F1851" s="1"/>
  <c r="I1851" s="1"/>
  <c r="I1852" s="1"/>
  <c r="I1853" s="1"/>
  <c r="D5"/>
  <c r="H1105" i="7"/>
  <c r="K53" i="41"/>
  <c r="L53" s="1"/>
  <c r="M53" s="1"/>
  <c r="F56" i="46"/>
  <c r="G56" s="1"/>
  <c r="F53" i="45"/>
  <c r="G53" s="1"/>
  <c r="K53" s="1"/>
  <c r="F1260" i="7"/>
  <c r="I1260" s="1"/>
  <c r="F320"/>
  <c r="F544"/>
  <c r="I544" s="1"/>
  <c r="F545" s="1"/>
  <c r="I545" s="1"/>
  <c r="F402"/>
  <c r="I875"/>
  <c r="I876" s="1"/>
  <c r="I879" s="1"/>
  <c r="I1026"/>
  <c r="I1027" s="1"/>
  <c r="I207" i="6"/>
  <c r="F208" s="1"/>
  <c r="I208" s="1"/>
  <c r="I209" s="1"/>
  <c r="I210" s="1"/>
  <c r="I211" s="1"/>
  <c r="A415" i="7"/>
  <c r="A457" s="1"/>
  <c r="A489" s="1"/>
  <c r="A521" s="1"/>
  <c r="A555" s="1"/>
  <c r="A589" s="1"/>
  <c r="A622" s="1"/>
  <c r="I989"/>
  <c r="I990" s="1"/>
  <c r="I993" s="1"/>
  <c r="F994" s="1"/>
  <c r="I994" s="1"/>
  <c r="I995" s="1"/>
  <c r="I996" s="1"/>
  <c r="I402"/>
  <c r="F403" s="1"/>
  <c r="I403" s="1"/>
  <c r="I887"/>
  <c r="I888" s="1"/>
  <c r="I891" s="1"/>
  <c r="F892" s="1"/>
  <c r="I892" s="1"/>
  <c r="I893" s="1"/>
  <c r="I894" s="1"/>
  <c r="L1339" i="6"/>
  <c r="L1340" s="1"/>
  <c r="L1523"/>
  <c r="L1524" s="1"/>
  <c r="H1610"/>
  <c r="H1611" s="1"/>
  <c r="F1523"/>
  <c r="F1524" s="1"/>
  <c r="H1435"/>
  <c r="H1436" s="1"/>
  <c r="H1480"/>
  <c r="H1481" s="1"/>
  <c r="G1435"/>
  <c r="G1436" s="1"/>
  <c r="K2061"/>
  <c r="K2062" s="1"/>
  <c r="L2760"/>
  <c r="L2761" s="1"/>
  <c r="G2760"/>
  <c r="G2761" s="1"/>
  <c r="I3514"/>
  <c r="I3088"/>
  <c r="I3089" s="1"/>
  <c r="F3520"/>
  <c r="F3521" s="1"/>
  <c r="G3520"/>
  <c r="G3521" s="1"/>
  <c r="D3530"/>
  <c r="D3531" s="1"/>
  <c r="I320" i="7"/>
  <c r="F321" s="1"/>
  <c r="I321" s="1"/>
  <c r="K1523" i="6"/>
  <c r="K1524" s="1"/>
  <c r="E1480"/>
  <c r="E1481" s="1"/>
  <c r="I1417"/>
  <c r="F2760"/>
  <c r="F2761" s="1"/>
  <c r="G3088"/>
  <c r="G3089" s="1"/>
  <c r="I3814"/>
  <c r="I3820" s="1"/>
  <c r="I3821" s="1"/>
  <c r="I3822" s="1"/>
  <c r="F3823" s="1"/>
  <c r="I3823" s="1"/>
  <c r="I3824" s="1"/>
  <c r="I3825" s="1"/>
  <c r="K3520"/>
  <c r="K3521" s="1"/>
  <c r="E3520"/>
  <c r="E3521" s="1"/>
  <c r="F1480"/>
  <c r="F1481" s="1"/>
  <c r="I1610"/>
  <c r="I1611" s="1"/>
  <c r="I252" i="8"/>
  <c r="I253" s="1"/>
  <c r="I1435" i="6"/>
  <c r="I1436" s="1"/>
  <c r="F1566"/>
  <c r="F1567" s="1"/>
  <c r="G1566"/>
  <c r="G1567" s="1"/>
  <c r="E1339"/>
  <c r="E1340" s="1"/>
  <c r="L1435"/>
  <c r="L1436" s="1"/>
  <c r="K1435"/>
  <c r="K1436" s="1"/>
  <c r="E2073"/>
  <c r="E2074" s="1"/>
  <c r="H2061"/>
  <c r="H2062" s="1"/>
  <c r="K2760"/>
  <c r="K2761" s="1"/>
  <c r="I3079"/>
  <c r="F3083" s="1"/>
  <c r="I3083" s="1"/>
  <c r="I3084" s="1"/>
  <c r="E3088"/>
  <c r="E3089" s="1"/>
  <c r="K1566"/>
  <c r="K1567" s="1"/>
  <c r="I1480"/>
  <c r="I1481" s="1"/>
  <c r="I1339"/>
  <c r="I1340" s="1"/>
  <c r="E1566"/>
  <c r="E1567" s="1"/>
  <c r="G1480"/>
  <c r="G1481" s="1"/>
  <c r="G1339"/>
  <c r="G1340" s="1"/>
  <c r="I2061"/>
  <c r="I2062" s="1"/>
  <c r="D2073"/>
  <c r="D2074" s="1"/>
  <c r="L2061"/>
  <c r="L2062" s="1"/>
  <c r="I2754"/>
  <c r="I3520"/>
  <c r="I3521" s="1"/>
  <c r="F3963"/>
  <c r="I4997"/>
  <c r="F5000" s="1"/>
  <c r="I5000" s="1"/>
  <c r="I510" i="7"/>
  <c r="I197"/>
  <c r="F198" s="1"/>
  <c r="I198" s="1"/>
  <c r="I99" i="8"/>
  <c r="F100" s="1"/>
  <c r="I100" s="1"/>
  <c r="I101" s="1"/>
  <c r="I102" s="1"/>
  <c r="H1339" i="6"/>
  <c r="H1340" s="1"/>
  <c r="G1610"/>
  <c r="G1611" s="1"/>
  <c r="E1610"/>
  <c r="E1611" s="1"/>
  <c r="E1435"/>
  <c r="E1436" s="1"/>
  <c r="H1566"/>
  <c r="H1567" s="1"/>
  <c r="I118" i="8"/>
  <c r="F4568" i="6"/>
  <c r="I4568" s="1"/>
  <c r="I2728"/>
  <c r="I1107" i="7"/>
  <c r="F1262"/>
  <c r="I1262" s="1"/>
  <c r="I1264" s="1"/>
  <c r="F1265" s="1"/>
  <c r="I1265" s="1"/>
  <c r="I1266" s="1"/>
  <c r="F2073" i="6"/>
  <c r="F2074" s="1"/>
  <c r="I216" i="8"/>
  <c r="I217" s="1"/>
  <c r="F34" i="40"/>
  <c r="I34" s="1"/>
  <c r="I35" s="1"/>
  <c r="AJ16" i="5"/>
  <c r="AJ18"/>
  <c r="F2808" i="6"/>
  <c r="I2808" s="1"/>
  <c r="I2809" s="1"/>
  <c r="D2812" s="1"/>
  <c r="AJ26" i="5"/>
  <c r="AJ12"/>
  <c r="F2012" i="6"/>
  <c r="I2012" s="1"/>
  <c r="AJ24" i="5"/>
  <c r="E3380" i="6"/>
  <c r="E3381" s="1"/>
  <c r="E1820"/>
  <c r="E1821" s="1"/>
  <c r="I3380"/>
  <c r="I3381" s="1"/>
  <c r="E3747"/>
  <c r="E3748" s="1"/>
  <c r="I1820"/>
  <c r="I1821" s="1"/>
  <c r="E3390"/>
  <c r="E3391" s="1"/>
  <c r="I3747"/>
  <c r="I3748" s="1"/>
  <c r="F1832"/>
  <c r="F1833" s="1"/>
  <c r="G3380"/>
  <c r="G3381" s="1"/>
  <c r="F3756"/>
  <c r="F3757" s="1"/>
  <c r="F1820"/>
  <c r="F1821" s="1"/>
  <c r="K3380"/>
  <c r="K3381" s="1"/>
  <c r="I3742"/>
  <c r="D3755" s="1"/>
  <c r="I1804"/>
  <c r="K3747"/>
  <c r="K3748" s="1"/>
  <c r="F3747"/>
  <c r="F3748" s="1"/>
  <c r="H1820"/>
  <c r="H1821" s="1"/>
  <c r="F3390"/>
  <c r="F3391" s="1"/>
  <c r="D3756"/>
  <c r="D3757" s="1"/>
  <c r="E1832"/>
  <c r="E1833" s="1"/>
  <c r="F3380"/>
  <c r="F3381" s="1"/>
  <c r="H3747"/>
  <c r="H3748" s="1"/>
  <c r="F4639"/>
  <c r="I4639" s="1"/>
  <c r="I4640" s="1"/>
  <c r="F4437"/>
  <c r="I4437" s="1"/>
  <c r="I4438" s="1"/>
  <c r="F4439" s="1"/>
  <c r="I4439" s="1"/>
  <c r="I4440" s="1"/>
  <c r="I4441" s="1"/>
  <c r="D1832"/>
  <c r="D1833" s="1"/>
  <c r="L3747"/>
  <c r="L3748" s="1"/>
  <c r="H3380"/>
  <c r="H3381" s="1"/>
  <c r="E3756"/>
  <c r="E3757" s="1"/>
  <c r="I2458"/>
  <c r="K2177"/>
  <c r="K2178" s="1"/>
  <c r="D2189"/>
  <c r="D2190" s="1"/>
  <c r="F3882"/>
  <c r="F2189"/>
  <c r="F2190" s="1"/>
  <c r="I2132"/>
  <c r="G2469"/>
  <c r="G2470" s="1"/>
  <c r="K2469"/>
  <c r="K2470" s="1"/>
  <c r="E2149"/>
  <c r="E2150" s="1"/>
  <c r="H2149"/>
  <c r="H2150" s="1"/>
  <c r="D3789"/>
  <c r="D3790" s="1"/>
  <c r="E2469"/>
  <c r="E2470" s="1"/>
  <c r="G2177"/>
  <c r="G2178" s="1"/>
  <c r="E2161"/>
  <c r="E2162" s="1"/>
  <c r="H3789"/>
  <c r="H3790" s="1"/>
  <c r="I4542"/>
  <c r="I2469"/>
  <c r="I2470" s="1"/>
  <c r="F2177"/>
  <c r="F2178" s="1"/>
  <c r="E3801"/>
  <c r="E3802" s="1"/>
  <c r="E3789"/>
  <c r="E3790" s="1"/>
  <c r="E2189"/>
  <c r="E2190" s="1"/>
  <c r="I3789"/>
  <c r="I3790" s="1"/>
  <c r="F2149"/>
  <c r="F2150" s="1"/>
  <c r="I3774"/>
  <c r="H2177"/>
  <c r="H2178" s="1"/>
  <c r="G2149"/>
  <c r="G2150" s="1"/>
  <c r="G3789"/>
  <c r="G3790" s="1"/>
  <c r="L2177"/>
  <c r="L2178" s="1"/>
  <c r="D2161"/>
  <c r="D2162" s="1"/>
  <c r="K3789"/>
  <c r="K3790" s="1"/>
  <c r="I2149"/>
  <c r="I2150" s="1"/>
  <c r="D3801"/>
  <c r="D3802" s="1"/>
  <c r="L1480"/>
  <c r="L1481" s="1"/>
  <c r="F1339"/>
  <c r="F1340" s="1"/>
  <c r="E1523"/>
  <c r="E1524" s="1"/>
  <c r="I4097"/>
  <c r="I3978"/>
  <c r="F3979" s="1"/>
  <c r="I3979" s="1"/>
  <c r="I3980" s="1"/>
  <c r="I3981" s="1"/>
  <c r="I3982" s="1"/>
  <c r="F2617"/>
  <c r="F2618" s="1"/>
  <c r="G2061"/>
  <c r="G2062" s="1"/>
  <c r="E2029"/>
  <c r="L2028"/>
  <c r="L2029" s="1"/>
  <c r="K2028"/>
  <c r="K2029" s="1"/>
  <c r="F3569"/>
  <c r="F3570" s="1"/>
  <c r="F3351"/>
  <c r="F3352" s="1"/>
  <c r="F3341"/>
  <c r="F3342" s="1"/>
  <c r="I4978"/>
  <c r="I4982" s="1"/>
  <c r="I4983" s="1"/>
  <c r="F3849"/>
  <c r="I3849" s="1"/>
  <c r="I3850" s="1"/>
  <c r="I3851" s="1"/>
  <c r="I3181"/>
  <c r="F3182" s="1"/>
  <c r="I3182" s="1"/>
  <c r="I3183" s="1"/>
  <c r="G3187"/>
  <c r="G3188" s="1"/>
  <c r="D3197"/>
  <c r="D3198" s="1"/>
  <c r="F3187"/>
  <c r="F3188" s="1"/>
  <c r="H3187"/>
  <c r="H3188" s="1"/>
  <c r="E3197"/>
  <c r="E3198" s="1"/>
  <c r="E3187"/>
  <c r="E3188" s="1"/>
  <c r="G2437"/>
  <c r="G2438" s="1"/>
  <c r="I2437"/>
  <c r="I2438" s="1"/>
  <c r="L2437"/>
  <c r="L2438" s="1"/>
  <c r="I1936"/>
  <c r="I1937" s="1"/>
  <c r="F1936"/>
  <c r="F1937" s="1"/>
  <c r="H1936"/>
  <c r="H1937" s="1"/>
  <c r="L1936"/>
  <c r="L1937" s="1"/>
  <c r="G1936"/>
  <c r="G1937" s="1"/>
  <c r="K1936"/>
  <c r="K1937" s="1"/>
  <c r="I911" i="7"/>
  <c r="I912" s="1"/>
  <c r="I915" s="1"/>
  <c r="F916" s="1"/>
  <c r="I916" s="1"/>
  <c r="I917" s="1"/>
  <c r="I918" s="1"/>
  <c r="E19" i="6"/>
  <c r="F19" s="1"/>
  <c r="AJ21" i="5"/>
  <c r="I3995" i="6"/>
  <c r="F3996" s="1"/>
  <c r="I3996" s="1"/>
  <c r="I3997" s="1"/>
  <c r="I3998" s="1"/>
  <c r="I3999" s="1"/>
  <c r="F912"/>
  <c r="G911"/>
  <c r="I257"/>
  <c r="F258" s="1"/>
  <c r="I258" s="1"/>
  <c r="I259" s="1"/>
  <c r="I260" s="1"/>
  <c r="I261" s="1"/>
  <c r="F1368"/>
  <c r="I2605"/>
  <c r="I2606" s="1"/>
  <c r="I2734"/>
  <c r="I2735" s="1"/>
  <c r="I4049"/>
  <c r="F4050" s="1"/>
  <c r="I4050" s="1"/>
  <c r="I4051" s="1"/>
  <c r="I4052" s="1"/>
  <c r="I4053" s="1"/>
  <c r="F28" i="34" s="1"/>
  <c r="G28" s="1"/>
  <c r="I3947" i="6"/>
  <c r="F150" i="8"/>
  <c r="I150" s="1"/>
  <c r="I151" s="1"/>
  <c r="I152" s="1"/>
  <c r="I1642" i="6"/>
  <c r="I1643" s="1"/>
  <c r="F2755"/>
  <c r="I2755" s="1"/>
  <c r="I2756" s="1"/>
  <c r="F2759" s="1"/>
  <c r="F2762" s="1"/>
  <c r="K2437"/>
  <c r="K2438" s="1"/>
  <c r="F4080"/>
  <c r="F4585"/>
  <c r="I4585" s="1"/>
  <c r="AJ13" i="5"/>
  <c r="AJ17"/>
  <c r="F76" i="7"/>
  <c r="I76" s="1"/>
  <c r="F1642" i="6"/>
  <c r="F1643" s="1"/>
  <c r="F3943"/>
  <c r="I5047"/>
  <c r="F5048" s="1"/>
  <c r="I5048" s="1"/>
  <c r="I5049" s="1"/>
  <c r="I5050" s="1"/>
  <c r="I5051" s="1"/>
  <c r="I5052" s="1"/>
  <c r="I4874"/>
  <c r="F4875" s="1"/>
  <c r="I4875" s="1"/>
  <c r="I4876" s="1"/>
  <c r="I4877" s="1"/>
  <c r="I4878" s="1"/>
  <c r="I4879" s="1"/>
  <c r="AJ23" i="5"/>
  <c r="F4810" i="6"/>
  <c r="I4810" s="1"/>
  <c r="I4812" s="1"/>
  <c r="F4813" s="1"/>
  <c r="I4813" s="1"/>
  <c r="I4814" s="1"/>
  <c r="I4815" s="1"/>
  <c r="I4816" s="1"/>
  <c r="I4965"/>
  <c r="F4966" s="1"/>
  <c r="I4966" s="1"/>
  <c r="I4967" s="1"/>
  <c r="I4968" s="1"/>
  <c r="I4969" s="1"/>
  <c r="I4970" s="1"/>
  <c r="I62"/>
  <c r="F63" s="1"/>
  <c r="I63" s="1"/>
  <c r="I64" s="1"/>
  <c r="I65" s="1"/>
  <c r="H2437"/>
  <c r="H2438" s="1"/>
  <c r="F3139"/>
  <c r="I3139" s="1"/>
  <c r="M3139" s="1"/>
  <c r="F3327"/>
  <c r="I3327" s="1"/>
  <c r="F3336" s="1"/>
  <c r="I3336" s="1"/>
  <c r="I3337" s="1"/>
  <c r="F2775"/>
  <c r="I2775" s="1"/>
  <c r="E13"/>
  <c r="F13" s="1"/>
  <c r="I468" i="8"/>
  <c r="F469" s="1"/>
  <c r="I469" s="1"/>
  <c r="I470" s="1"/>
  <c r="I471" s="1"/>
  <c r="I3964" i="6"/>
  <c r="I409" i="7"/>
  <c r="F410" s="1"/>
  <c r="I410" s="1"/>
  <c r="I411" s="1"/>
  <c r="I412" s="1"/>
  <c r="I413" s="1"/>
  <c r="I282" i="6"/>
  <c r="F283" s="1"/>
  <c r="I283" s="1"/>
  <c r="I284" s="1"/>
  <c r="I285" s="1"/>
  <c r="I286" s="1"/>
  <c r="I2420"/>
  <c r="F2421" s="1"/>
  <c r="I2421" s="1"/>
  <c r="I2422" s="1"/>
  <c r="I2423" s="1"/>
  <c r="I245" i="7"/>
  <c r="F246" s="1"/>
  <c r="I246" s="1"/>
  <c r="I247" s="1"/>
  <c r="I248" s="1"/>
  <c r="I249" s="1"/>
  <c r="F2835" i="6"/>
  <c r="I2835" s="1"/>
  <c r="I2836" s="1"/>
  <c r="I3929"/>
  <c r="F3928"/>
  <c r="F490" i="8"/>
  <c r="I490" s="1"/>
  <c r="F3719" i="6"/>
  <c r="F3720" s="1"/>
  <c r="F3709"/>
  <c r="F3710" s="1"/>
  <c r="A263"/>
  <c r="A288" s="1"/>
  <c r="A308" s="1"/>
  <c r="A319" s="1"/>
  <c r="A326" s="1"/>
  <c r="A340"/>
  <c r="A360" s="1"/>
  <c r="A381" s="1"/>
  <c r="A402" s="1"/>
  <c r="H3468"/>
  <c r="H3469" s="1"/>
  <c r="I3462"/>
  <c r="F3463" s="1"/>
  <c r="I3463" s="1"/>
  <c r="I3464" s="1"/>
  <c r="K3467" s="1"/>
  <c r="K3470" s="1"/>
  <c r="H2469"/>
  <c r="H2470" s="1"/>
  <c r="L2469"/>
  <c r="L2470" s="1"/>
  <c r="I5023"/>
  <c r="F5024" s="1"/>
  <c r="I5024" s="1"/>
  <c r="I5025" s="1"/>
  <c r="I5026" s="1"/>
  <c r="I5027" s="1"/>
  <c r="I5028" s="1"/>
  <c r="H1785"/>
  <c r="H1786" s="1"/>
  <c r="L1785"/>
  <c r="L1786" s="1"/>
  <c r="I302"/>
  <c r="F303" s="1"/>
  <c r="I303" s="1"/>
  <c r="I304" s="1"/>
  <c r="I305" s="1"/>
  <c r="I306" s="1"/>
  <c r="L3673"/>
  <c r="L3674" s="1"/>
  <c r="H3673"/>
  <c r="H3674" s="1"/>
  <c r="I3665"/>
  <c r="D3683"/>
  <c r="D3684" s="1"/>
  <c r="I3703"/>
  <c r="F3704" s="1"/>
  <c r="I3704" s="1"/>
  <c r="I3705" s="1"/>
  <c r="F3708" s="1"/>
  <c r="I4068"/>
  <c r="F4069" s="1"/>
  <c r="I4069" s="1"/>
  <c r="I4070" s="1"/>
  <c r="I4071" s="1"/>
  <c r="I4072" s="1"/>
  <c r="F1354"/>
  <c r="F578" i="7"/>
  <c r="I578" s="1"/>
  <c r="F611"/>
  <c r="I611" s="1"/>
  <c r="F612" s="1"/>
  <c r="I612" s="1"/>
  <c r="F645"/>
  <c r="I645" s="1"/>
  <c r="F680"/>
  <c r="I680" s="1"/>
  <c r="F681" s="1"/>
  <c r="I681" s="1"/>
  <c r="I685" s="1"/>
  <c r="F686" s="1"/>
  <c r="I686" s="1"/>
  <c r="I687" s="1"/>
  <c r="I688" s="1"/>
  <c r="I689" s="1"/>
  <c r="F715"/>
  <c r="I715" s="1"/>
  <c r="F716" s="1"/>
  <c r="I716" s="1"/>
  <c r="F279"/>
  <c r="I279" s="1"/>
  <c r="F361"/>
  <c r="I361" s="1"/>
  <c r="F443"/>
  <c r="I443" s="1"/>
  <c r="F444" s="1"/>
  <c r="I444" s="1"/>
  <c r="F4112" i="6"/>
  <c r="F946" i="7"/>
  <c r="I946" s="1"/>
  <c r="I947" s="1"/>
  <c r="I948" s="1"/>
  <c r="I1000" i="6"/>
  <c r="I1001" s="1"/>
  <c r="D1012"/>
  <c r="D1013" s="1"/>
  <c r="I665"/>
  <c r="H1000"/>
  <c r="H1001" s="1"/>
  <c r="F736"/>
  <c r="F737" s="1"/>
  <c r="G1000"/>
  <c r="G1001" s="1"/>
  <c r="F1000"/>
  <c r="F1001" s="1"/>
  <c r="E1000"/>
  <c r="E1001" s="1"/>
  <c r="I683"/>
  <c r="I684" s="1"/>
  <c r="H683"/>
  <c r="H684" s="1"/>
  <c r="F1012"/>
  <c r="F1013" s="1"/>
  <c r="E1012"/>
  <c r="E1013" s="1"/>
  <c r="I225"/>
  <c r="F226" s="1"/>
  <c r="I226" s="1"/>
  <c r="I327" i="7"/>
  <c r="F328" s="1"/>
  <c r="I328" s="1"/>
  <c r="I329" s="1"/>
  <c r="I330" s="1"/>
  <c r="I331" s="1"/>
  <c r="I483"/>
  <c r="I484" s="1"/>
  <c r="F485" s="1"/>
  <c r="I485" s="1"/>
  <c r="I486" s="1"/>
  <c r="I487" s="1"/>
  <c r="AJ22" i="5"/>
  <c r="D114" i="7"/>
  <c r="I114" s="1"/>
  <c r="AJ14" i="5"/>
  <c r="I4185" i="6"/>
  <c r="F4184"/>
  <c r="F4427"/>
  <c r="I4427" s="1"/>
  <c r="I4428" s="1"/>
  <c r="F168"/>
  <c r="I168" s="1"/>
  <c r="I169" s="1"/>
  <c r="I170" s="1"/>
  <c r="E3883"/>
  <c r="E3884" s="1"/>
  <c r="E3885" s="1"/>
  <c r="F4468"/>
  <c r="I4468" s="1"/>
  <c r="I4469" s="1"/>
  <c r="I4470" s="1"/>
  <c r="F37" i="7"/>
  <c r="I37" s="1"/>
  <c r="I38" s="1"/>
  <c r="I1295" s="1"/>
  <c r="F511"/>
  <c r="I511" s="1"/>
  <c r="I515" s="1"/>
  <c r="I516" s="1"/>
  <c r="F4653" i="6"/>
  <c r="I4653" s="1"/>
  <c r="I4654" s="1"/>
  <c r="I4655" s="1"/>
  <c r="I549" i="7"/>
  <c r="I550" s="1"/>
  <c r="F4010" i="6"/>
  <c r="I4010" s="1"/>
  <c r="I4011" s="1"/>
  <c r="I4012" s="1"/>
  <c r="I4013" s="1"/>
  <c r="I4027"/>
  <c r="F4026"/>
  <c r="F4114"/>
  <c r="I4114" s="1"/>
  <c r="I4115" s="1"/>
  <c r="I4116" s="1"/>
  <c r="I4117" s="1"/>
  <c r="F32" i="34" s="1"/>
  <c r="G32" s="1"/>
  <c r="I4202" i="6"/>
  <c r="F4201"/>
  <c r="F22" i="7"/>
  <c r="I22" s="1"/>
  <c r="I23" s="1"/>
  <c r="F40" i="8"/>
  <c r="I40" s="1"/>
  <c r="I41" s="1"/>
  <c r="I42" s="1"/>
  <c r="F119"/>
  <c r="I119" s="1"/>
  <c r="I120" s="1"/>
  <c r="I121" s="1"/>
  <c r="F4372" i="6"/>
  <c r="I4372" s="1"/>
  <c r="I4373" s="1"/>
  <c r="F41"/>
  <c r="I41" s="1"/>
  <c r="I42" s="1"/>
  <c r="I43" s="1"/>
  <c r="F5002"/>
  <c r="I5002" s="1"/>
  <c r="F5003" s="1"/>
  <c r="I5003" s="1"/>
  <c r="F4135"/>
  <c r="I4135" s="1"/>
  <c r="I4136" s="1"/>
  <c r="I4137" s="1"/>
  <c r="I4138" s="1"/>
  <c r="F4340"/>
  <c r="I4340" s="1"/>
  <c r="I4341" s="1"/>
  <c r="F67" i="7"/>
  <c r="I67" s="1"/>
  <c r="I68" s="1"/>
  <c r="F197" i="8"/>
  <c r="I197" s="1"/>
  <c r="I198" s="1"/>
  <c r="I199" s="1"/>
  <c r="F885" i="6"/>
  <c r="H885"/>
  <c r="E896"/>
  <c r="G885"/>
  <c r="D896"/>
  <c r="F896"/>
  <c r="I885"/>
  <c r="G843"/>
  <c r="I843"/>
  <c r="H843"/>
  <c r="F843"/>
  <c r="I1062"/>
  <c r="H1062"/>
  <c r="F1062"/>
  <c r="G1062"/>
  <c r="E2277"/>
  <c r="E2278" s="1"/>
  <c r="I2277"/>
  <c r="I2278" s="1"/>
  <c r="D2286"/>
  <c r="D2287" s="1"/>
  <c r="F2277"/>
  <c r="F2278" s="1"/>
  <c r="E2286"/>
  <c r="E2287" s="1"/>
  <c r="H2277"/>
  <c r="H2278" s="1"/>
  <c r="F2286"/>
  <c r="F2287" s="1"/>
  <c r="G2277"/>
  <c r="G2278" s="1"/>
  <c r="F4168"/>
  <c r="I4168" s="1"/>
  <c r="I4169" s="1"/>
  <c r="I4170" s="1"/>
  <c r="I4171" s="1"/>
  <c r="I4520"/>
  <c r="F4547"/>
  <c r="I4547" s="1"/>
  <c r="D4522"/>
  <c r="I4522" s="1"/>
  <c r="I4521"/>
  <c r="L35" i="5"/>
  <c r="N35" s="1"/>
  <c r="F4708" i="6" s="1"/>
  <c r="I4708" s="1"/>
  <c r="H36" i="5"/>
  <c r="F904" i="7"/>
  <c r="I904" s="1"/>
  <c r="I905" s="1"/>
  <c r="I906" s="1"/>
  <c r="AH10" i="5"/>
  <c r="AI10" s="1"/>
  <c r="AJ10" s="1"/>
  <c r="AG11"/>
  <c r="F31" i="8"/>
  <c r="I31" s="1"/>
  <c r="I32" s="1"/>
  <c r="I33" s="1"/>
  <c r="F141"/>
  <c r="I141" s="1"/>
  <c r="I142" s="1"/>
  <c r="I143" s="1"/>
  <c r="F44" i="34" s="1"/>
  <c r="G44" s="1"/>
  <c r="F32" i="6"/>
  <c r="I32" s="1"/>
  <c r="I33" s="1"/>
  <c r="I34" s="1"/>
  <c r="F4" i="34" s="1"/>
  <c r="F181" i="6"/>
  <c r="I181" s="1"/>
  <c r="I182" s="1"/>
  <c r="F126"/>
  <c r="I126" s="1"/>
  <c r="I127" s="1"/>
  <c r="I128" s="1"/>
  <c r="F144"/>
  <c r="I144" s="1"/>
  <c r="I145" s="1"/>
  <c r="I146" s="1"/>
  <c r="F1908"/>
  <c r="F1909" s="1"/>
  <c r="G1908"/>
  <c r="G1909" s="1"/>
  <c r="K1908"/>
  <c r="K1909" s="1"/>
  <c r="E1908"/>
  <c r="E1909" s="1"/>
  <c r="I1908"/>
  <c r="I1909" s="1"/>
  <c r="L1908"/>
  <c r="L1909" s="1"/>
  <c r="H1908"/>
  <c r="H1909" s="1"/>
  <c r="I1892"/>
  <c r="F1893" s="1"/>
  <c r="I1893" s="1"/>
  <c r="I1894" s="1"/>
  <c r="G1385"/>
  <c r="I1384"/>
  <c r="I1385" s="1"/>
  <c r="F2223"/>
  <c r="F2224" s="1"/>
  <c r="F2239"/>
  <c r="F2240" s="1"/>
  <c r="E2255"/>
  <c r="E2256" s="1"/>
  <c r="I2255"/>
  <c r="I2256" s="1"/>
  <c r="G2223"/>
  <c r="G2224" s="1"/>
  <c r="G2239"/>
  <c r="G2240" s="1"/>
  <c r="F2255"/>
  <c r="F2256" s="1"/>
  <c r="E2223"/>
  <c r="E2224" s="1"/>
  <c r="I2223"/>
  <c r="I2224" s="1"/>
  <c r="E2239"/>
  <c r="E2240" s="1"/>
  <c r="I2239"/>
  <c r="I2240" s="1"/>
  <c r="H2255"/>
  <c r="H2256" s="1"/>
  <c r="H2223"/>
  <c r="H2224" s="1"/>
  <c r="H2239"/>
  <c r="H2240" s="1"/>
  <c r="I2206"/>
  <c r="G2255"/>
  <c r="G2256" s="1"/>
  <c r="G2348"/>
  <c r="G2349" s="1"/>
  <c r="K2348"/>
  <c r="K2349" s="1"/>
  <c r="F2360"/>
  <c r="F2361" s="1"/>
  <c r="H2348"/>
  <c r="H2349" s="1"/>
  <c r="L2348"/>
  <c r="L2349" s="1"/>
  <c r="F2348"/>
  <c r="F2349" s="1"/>
  <c r="E2360"/>
  <c r="E2361" s="1"/>
  <c r="I2348"/>
  <c r="I2349" s="1"/>
  <c r="D2360"/>
  <c r="D2361" s="1"/>
  <c r="E2348"/>
  <c r="E2349" s="1"/>
  <c r="E2697"/>
  <c r="E2698" s="1"/>
  <c r="I2697"/>
  <c r="I2698" s="1"/>
  <c r="F2707"/>
  <c r="F2708" s="1"/>
  <c r="F2697"/>
  <c r="F2698" s="1"/>
  <c r="H2697"/>
  <c r="H2698" s="1"/>
  <c r="E2707"/>
  <c r="E2708" s="1"/>
  <c r="G2697"/>
  <c r="G2698" s="1"/>
  <c r="I2691"/>
  <c r="D2707"/>
  <c r="D2708" s="1"/>
  <c r="F3515"/>
  <c r="I3515" s="1"/>
  <c r="I3516" s="1"/>
  <c r="H3442"/>
  <c r="H3443" s="1"/>
  <c r="L3442"/>
  <c r="L3443" s="1"/>
  <c r="E3442"/>
  <c r="E3443" s="1"/>
  <c r="I3442"/>
  <c r="I3443" s="1"/>
  <c r="G3442"/>
  <c r="G3443" s="1"/>
  <c r="K3442"/>
  <c r="K3443" s="1"/>
  <c r="F3442"/>
  <c r="F3443" s="1"/>
  <c r="F3883"/>
  <c r="F3884" s="1"/>
  <c r="F3885" s="1"/>
  <c r="F4546"/>
  <c r="I4546" s="1"/>
  <c r="I4519"/>
  <c r="F1398"/>
  <c r="H1398"/>
  <c r="L1398"/>
  <c r="G1398"/>
  <c r="I1398"/>
  <c r="K1398"/>
  <c r="G1493"/>
  <c r="I1493"/>
  <c r="E1506"/>
  <c r="H1493"/>
  <c r="F1506"/>
  <c r="D1506"/>
  <c r="F1493"/>
  <c r="I1366"/>
  <c r="G1366"/>
  <c r="F1366"/>
  <c r="H1366"/>
  <c r="H1163"/>
  <c r="G1163"/>
  <c r="F1163"/>
  <c r="I1163"/>
  <c r="F3948"/>
  <c r="I3948" s="1"/>
  <c r="I3949" s="1"/>
  <c r="I3950" s="1"/>
  <c r="I3951" s="1"/>
  <c r="F3965"/>
  <c r="I3965" s="1"/>
  <c r="I3966" s="1"/>
  <c r="I3967" s="1"/>
  <c r="I3968" s="1"/>
  <c r="F4082"/>
  <c r="I4082" s="1"/>
  <c r="I4083" s="1"/>
  <c r="I4084" s="1"/>
  <c r="I4085" s="1"/>
  <c r="F2486"/>
  <c r="I2486" s="1"/>
  <c r="I2487" s="1"/>
  <c r="I2488" s="1"/>
  <c r="F2521"/>
  <c r="I2521" s="1"/>
  <c r="I2522" s="1"/>
  <c r="A284" i="17"/>
  <c r="A285" s="1"/>
  <c r="A282"/>
  <c r="F353" i="6"/>
  <c r="I353" s="1"/>
  <c r="I354" s="1"/>
  <c r="F230" i="8"/>
  <c r="I230" s="1"/>
  <c r="I231" s="1"/>
  <c r="I232" s="1"/>
  <c r="I156" i="7"/>
  <c r="F157" s="1"/>
  <c r="I157" s="1"/>
  <c r="AP15" i="5"/>
  <c r="N15"/>
  <c r="F1006" i="7"/>
  <c r="I1006" s="1"/>
  <c r="I1007" s="1"/>
  <c r="I1008" s="1"/>
  <c r="F386" i="6"/>
  <c r="I386" s="1"/>
  <c r="F407"/>
  <c r="I407" s="1"/>
  <c r="F463"/>
  <c r="I463" s="1"/>
  <c r="F3768"/>
  <c r="I3768" s="1"/>
  <c r="F254" i="8"/>
  <c r="I254" s="1"/>
  <c r="I255" s="1"/>
  <c r="I256" s="1"/>
  <c r="F507"/>
  <c r="I507" s="1"/>
  <c r="I508" s="1"/>
  <c r="I509" s="1"/>
  <c r="F361"/>
  <c r="I361" s="1"/>
  <c r="I362" s="1"/>
  <c r="I363" s="1"/>
  <c r="F73" i="6"/>
  <c r="I73" s="1"/>
  <c r="I74" s="1"/>
  <c r="I75" s="1"/>
  <c r="F6" i="34" s="1"/>
  <c r="F107" i="6"/>
  <c r="I107" s="1"/>
  <c r="I108" s="1"/>
  <c r="I109" s="1"/>
  <c r="H2643"/>
  <c r="H2644" s="1"/>
  <c r="L2643"/>
  <c r="L2644" s="1"/>
  <c r="E2643"/>
  <c r="E2644" s="1"/>
  <c r="I2643"/>
  <c r="I2644" s="1"/>
  <c r="G2643"/>
  <c r="G2644" s="1"/>
  <c r="K2643"/>
  <c r="K2644" s="1"/>
  <c r="F2643"/>
  <c r="F2644" s="1"/>
  <c r="H1384"/>
  <c r="H1385" s="1"/>
  <c r="F1385"/>
  <c r="H3226"/>
  <c r="H3227" s="1"/>
  <c r="L3226"/>
  <c r="L3227" s="1"/>
  <c r="E3226"/>
  <c r="E3227" s="1"/>
  <c r="I3226"/>
  <c r="I3227" s="1"/>
  <c r="G3226"/>
  <c r="G3227" s="1"/>
  <c r="K3226"/>
  <c r="K3227" s="1"/>
  <c r="F3226"/>
  <c r="F3227" s="1"/>
  <c r="I3218"/>
  <c r="E3113"/>
  <c r="E3114" s="1"/>
  <c r="I3113"/>
  <c r="I3114" s="1"/>
  <c r="F3123"/>
  <c r="F3124" s="1"/>
  <c r="F3113"/>
  <c r="F3114" s="1"/>
  <c r="H3113"/>
  <c r="H3114" s="1"/>
  <c r="E3123"/>
  <c r="E3124" s="1"/>
  <c r="D3123"/>
  <c r="D3124" s="1"/>
  <c r="I3107"/>
  <c r="G3113"/>
  <c r="G3114" s="1"/>
  <c r="G1352"/>
  <c r="I1352"/>
  <c r="F1352"/>
  <c r="H1352"/>
  <c r="H813"/>
  <c r="F813"/>
  <c r="I813"/>
  <c r="G813"/>
  <c r="F3909"/>
  <c r="I3909" s="1"/>
  <c r="I3910" s="1"/>
  <c r="I3911" s="1"/>
  <c r="I3912" s="1"/>
  <c r="F3046"/>
  <c r="I3046" s="1"/>
  <c r="I3047" s="1"/>
  <c r="F4629"/>
  <c r="I4629" s="1"/>
  <c r="I4630" s="1"/>
  <c r="I4631" s="1"/>
  <c r="I4632" s="1"/>
  <c r="I4633" s="1"/>
  <c r="A29" i="2"/>
  <c r="A30" s="1"/>
  <c r="A31" s="1"/>
  <c r="A32" s="1"/>
  <c r="A33" s="1"/>
  <c r="A34" s="1"/>
  <c r="A35" s="1"/>
  <c r="A36" s="1"/>
  <c r="A37" s="1"/>
  <c r="A38" s="1"/>
  <c r="A39" s="1"/>
  <c r="A40" s="1"/>
  <c r="A41" s="1"/>
  <c r="A43" s="1"/>
  <c r="A44" s="1"/>
  <c r="A45" s="1"/>
  <c r="A46" s="1"/>
  <c r="A47" s="1"/>
  <c r="A49" s="1"/>
  <c r="A50" s="1"/>
  <c r="A51" s="1"/>
  <c r="A52" s="1"/>
  <c r="A53" s="1"/>
  <c r="A55" s="1"/>
  <c r="A56" s="1"/>
  <c r="A57" s="1"/>
  <c r="A58" s="1"/>
  <c r="A59" s="1"/>
  <c r="A60" s="1"/>
  <c r="A61" s="1"/>
  <c r="A62" s="1"/>
  <c r="A63" s="1"/>
  <c r="A64" s="1"/>
  <c r="A65" s="1"/>
  <c r="A66" s="1"/>
  <c r="A67" s="1"/>
  <c r="A68" s="1"/>
  <c r="A69" s="1"/>
  <c r="A70" s="1"/>
  <c r="A27"/>
  <c r="A28" s="1"/>
  <c r="F3630" i="6"/>
  <c r="I3630" s="1"/>
  <c r="I3631" s="1"/>
  <c r="F90"/>
  <c r="I90" s="1"/>
  <c r="I91" s="1"/>
  <c r="I92" s="1"/>
  <c r="F240"/>
  <c r="I240" s="1"/>
  <c r="I241" s="1"/>
  <c r="I242" s="1"/>
  <c r="I243" s="1"/>
  <c r="F81"/>
  <c r="I81" s="1"/>
  <c r="I82" s="1"/>
  <c r="I83" s="1"/>
  <c r="F373"/>
  <c r="I373" s="1"/>
  <c r="I374" s="1"/>
  <c r="G724"/>
  <c r="G725" s="1"/>
  <c r="G772"/>
  <c r="G773" s="1"/>
  <c r="F724"/>
  <c r="F725" s="1"/>
  <c r="F772"/>
  <c r="F773" s="1"/>
  <c r="E724"/>
  <c r="E725" s="1"/>
  <c r="E772"/>
  <c r="E773" s="1"/>
  <c r="F800"/>
  <c r="F801" s="1"/>
  <c r="I754"/>
  <c r="E800"/>
  <c r="E801" s="1"/>
  <c r="I800"/>
  <c r="I801" s="1"/>
  <c r="F873"/>
  <c r="F874" s="1"/>
  <c r="E873"/>
  <c r="E874" s="1"/>
  <c r="E913"/>
  <c r="E914" s="1"/>
  <c r="I913"/>
  <c r="I914" s="1"/>
  <c r="I724"/>
  <c r="I725" s="1"/>
  <c r="I873"/>
  <c r="I874" s="1"/>
  <c r="H913"/>
  <c r="H914" s="1"/>
  <c r="F925"/>
  <c r="F926" s="1"/>
  <c r="G800"/>
  <c r="G801" s="1"/>
  <c r="G873"/>
  <c r="G874" s="1"/>
  <c r="G913"/>
  <c r="G914" s="1"/>
  <c r="H800"/>
  <c r="H801" s="1"/>
  <c r="H873"/>
  <c r="H874" s="1"/>
  <c r="D925"/>
  <c r="D926" s="1"/>
  <c r="H724"/>
  <c r="H725" s="1"/>
  <c r="I772"/>
  <c r="I773" s="1"/>
  <c r="F913"/>
  <c r="F914" s="1"/>
  <c r="H772"/>
  <c r="H773" s="1"/>
  <c r="E925"/>
  <c r="E926" s="1"/>
  <c r="G1677"/>
  <c r="G1678" s="1"/>
  <c r="E1677"/>
  <c r="E1678" s="1"/>
  <c r="I1677"/>
  <c r="I1678" s="1"/>
  <c r="I1666"/>
  <c r="F1677"/>
  <c r="F1678" s="1"/>
  <c r="H1677"/>
  <c r="H1678" s="1"/>
  <c r="I2272"/>
  <c r="I2273" s="1"/>
  <c r="I2338"/>
  <c r="F2339" s="1"/>
  <c r="I2339" s="1"/>
  <c r="I3436"/>
  <c r="F3011"/>
  <c r="F3012" s="1"/>
  <c r="I3005"/>
  <c r="G3011"/>
  <c r="G3012" s="1"/>
  <c r="D3021"/>
  <c r="D3022" s="1"/>
  <c r="E3011"/>
  <c r="E3012" s="1"/>
  <c r="I3011"/>
  <c r="I3012" s="1"/>
  <c r="F3021"/>
  <c r="F3022" s="1"/>
  <c r="H3011"/>
  <c r="H3012" s="1"/>
  <c r="E3021"/>
  <c r="E3022" s="1"/>
  <c r="F3150"/>
  <c r="F3151" s="1"/>
  <c r="G3150"/>
  <c r="G3151" s="1"/>
  <c r="D3160"/>
  <c r="D3161" s="1"/>
  <c r="E3150"/>
  <c r="E3151" s="1"/>
  <c r="I3150"/>
  <c r="I3151" s="1"/>
  <c r="F3160"/>
  <c r="F3161" s="1"/>
  <c r="I3144"/>
  <c r="M3144" s="1"/>
  <c r="H3150"/>
  <c r="H3151" s="1"/>
  <c r="E3160"/>
  <c r="E3161" s="1"/>
  <c r="I3839"/>
  <c r="I3840" s="1"/>
  <c r="I4151"/>
  <c r="F4984"/>
  <c r="I4984" s="1"/>
  <c r="I4985" s="1"/>
  <c r="I4986" s="1"/>
  <c r="F1536"/>
  <c r="F1549"/>
  <c r="H1536"/>
  <c r="D1549"/>
  <c r="G1536"/>
  <c r="E1549"/>
  <c r="I1536"/>
  <c r="I1579"/>
  <c r="E1592"/>
  <c r="G1579"/>
  <c r="F1579"/>
  <c r="D1592"/>
  <c r="H1579"/>
  <c r="F1592"/>
  <c r="H1090"/>
  <c r="D1103"/>
  <c r="G1090"/>
  <c r="F1103"/>
  <c r="I1090"/>
  <c r="E1103"/>
  <c r="F1090"/>
  <c r="F1264"/>
  <c r="G1264"/>
  <c r="I1294"/>
  <c r="F1294"/>
  <c r="G1294"/>
  <c r="H1294"/>
  <c r="H785"/>
  <c r="G785"/>
  <c r="I785"/>
  <c r="F785"/>
  <c r="F3592"/>
  <c r="F3869"/>
  <c r="I3869" s="1"/>
  <c r="I3870" s="1"/>
  <c r="I3871" s="1"/>
  <c r="F4008"/>
  <c r="F4133"/>
  <c r="F2345"/>
  <c r="F248" i="2"/>
  <c r="F4401" i="6"/>
  <c r="I4401" s="1"/>
  <c r="I4402" s="1"/>
  <c r="I4953"/>
  <c r="I4954" s="1"/>
  <c r="F2382"/>
  <c r="I2382" s="1"/>
  <c r="I2383" s="1"/>
  <c r="I2384" s="1"/>
  <c r="I434"/>
  <c r="G1754"/>
  <c r="K1754"/>
  <c r="I1782"/>
  <c r="G1817"/>
  <c r="D1829"/>
  <c r="H1933"/>
  <c r="L1933"/>
  <c r="H1754"/>
  <c r="L1754"/>
  <c r="H1817"/>
  <c r="E1829"/>
  <c r="G1858"/>
  <c r="D1870"/>
  <c r="I1933"/>
  <c r="H1782"/>
  <c r="L1782"/>
  <c r="I1858"/>
  <c r="F1870"/>
  <c r="G1933"/>
  <c r="K1933"/>
  <c r="K1782"/>
  <c r="I1817"/>
  <c r="F1829"/>
  <c r="E1870"/>
  <c r="I1754"/>
  <c r="G1782"/>
  <c r="H1858"/>
  <c r="I3879"/>
  <c r="I3882" s="1"/>
  <c r="F3889"/>
  <c r="F3892" s="1"/>
  <c r="H3879"/>
  <c r="H3882" s="1"/>
  <c r="E3889"/>
  <c r="E3892" s="1"/>
  <c r="G3879"/>
  <c r="G3882" s="1"/>
  <c r="D3889"/>
  <c r="D3892" s="1"/>
  <c r="F226" i="2"/>
  <c r="F227" s="1"/>
  <c r="F228" s="1"/>
  <c r="F229" s="1"/>
  <c r="F230" s="1"/>
  <c r="F231" s="1"/>
  <c r="F2389" i="6"/>
  <c r="F2466"/>
  <c r="F2434"/>
  <c r="F2499"/>
  <c r="F236" i="2"/>
  <c r="I2602" i="6" s="1"/>
  <c r="D4548"/>
  <c r="I73" i="7"/>
  <c r="I77" s="1"/>
  <c r="I78" s="1"/>
  <c r="I79" s="1"/>
  <c r="F133" i="8"/>
  <c r="I133" s="1"/>
  <c r="I134" s="1"/>
  <c r="I135" s="1"/>
  <c r="F42" i="34" s="1"/>
  <c r="G42" s="1"/>
  <c r="AJ25" i="5"/>
  <c r="F166" i="8"/>
  <c r="I166" s="1"/>
  <c r="I167" s="1"/>
  <c r="I168" s="1"/>
  <c r="D1111" i="7"/>
  <c r="I1111" s="1"/>
  <c r="D1110"/>
  <c r="I1110" s="1"/>
  <c r="F1805" i="6"/>
  <c r="I1805" s="1"/>
  <c r="I1806" s="1"/>
  <c r="F481" i="8"/>
  <c r="I481" s="1"/>
  <c r="I482" s="1"/>
  <c r="I483" s="1"/>
  <c r="F50" i="6"/>
  <c r="I50" s="1"/>
  <c r="I51" s="1"/>
  <c r="I52" s="1"/>
  <c r="G1049"/>
  <c r="G1050" s="1"/>
  <c r="F1077"/>
  <c r="F1078" s="1"/>
  <c r="F1150"/>
  <c r="F1151" s="1"/>
  <c r="H1208"/>
  <c r="H1209" s="1"/>
  <c r="E1236"/>
  <c r="E1237" s="1"/>
  <c r="I1236"/>
  <c r="I1237" s="1"/>
  <c r="G1280"/>
  <c r="G1281" s="1"/>
  <c r="F1049"/>
  <c r="F1050" s="1"/>
  <c r="E1077"/>
  <c r="E1078" s="1"/>
  <c r="I1077"/>
  <c r="I1078" s="1"/>
  <c r="E1150"/>
  <c r="E1151" s="1"/>
  <c r="I1150"/>
  <c r="I1151" s="1"/>
  <c r="G1208"/>
  <c r="G1209" s="1"/>
  <c r="H1236"/>
  <c r="H1237" s="1"/>
  <c r="H1077"/>
  <c r="H1078" s="1"/>
  <c r="I1208"/>
  <c r="I1209" s="1"/>
  <c r="E1280"/>
  <c r="E1281" s="1"/>
  <c r="E1308"/>
  <c r="E1309" s="1"/>
  <c r="I1308"/>
  <c r="I1309" s="1"/>
  <c r="I1031"/>
  <c r="E1049"/>
  <c r="E1050" s="1"/>
  <c r="G1150"/>
  <c r="G1151" s="1"/>
  <c r="F1280"/>
  <c r="F1281" s="1"/>
  <c r="F1308"/>
  <c r="F1309" s="1"/>
  <c r="I1049"/>
  <c r="I1050" s="1"/>
  <c r="G1077"/>
  <c r="G1078" s="1"/>
  <c r="F1208"/>
  <c r="F1209" s="1"/>
  <c r="G1236"/>
  <c r="G1237" s="1"/>
  <c r="H1150"/>
  <c r="H1151" s="1"/>
  <c r="H1049"/>
  <c r="H1050" s="1"/>
  <c r="F1236"/>
  <c r="F1237" s="1"/>
  <c r="H1280"/>
  <c r="H1281" s="1"/>
  <c r="G1308"/>
  <c r="G1309" s="1"/>
  <c r="E1208"/>
  <c r="E1209" s="1"/>
  <c r="H1308"/>
  <c r="H1309" s="1"/>
  <c r="I1280"/>
  <c r="I1281" s="1"/>
  <c r="F3252"/>
  <c r="F3253" s="1"/>
  <c r="G3252"/>
  <c r="G3253" s="1"/>
  <c r="K3252"/>
  <c r="K3253" s="1"/>
  <c r="E3252"/>
  <c r="E3253" s="1"/>
  <c r="I3252"/>
  <c r="I3253" s="1"/>
  <c r="L3252"/>
  <c r="L3253" s="1"/>
  <c r="I3246"/>
  <c r="H3252"/>
  <c r="H3253" s="1"/>
  <c r="F4098"/>
  <c r="I4098" s="1"/>
  <c r="I4099" s="1"/>
  <c r="I4100" s="1"/>
  <c r="I4101" s="1"/>
  <c r="F4487"/>
  <c r="I4487" s="1"/>
  <c r="I4488" s="1"/>
  <c r="I4489" s="1"/>
  <c r="G938"/>
  <c r="K938"/>
  <c r="F938"/>
  <c r="H938"/>
  <c r="L938"/>
  <c r="I938"/>
  <c r="F4305"/>
  <c r="I4305" s="1"/>
  <c r="I4306" s="1"/>
  <c r="I2304"/>
  <c r="F4662"/>
  <c r="I4662" s="1"/>
  <c r="I4663" s="1"/>
  <c r="I4664" s="1"/>
  <c r="I4665" s="1"/>
  <c r="I4666" s="1"/>
  <c r="F52" i="7"/>
  <c r="I52" s="1"/>
  <c r="I53" s="1"/>
  <c r="F408" i="6"/>
  <c r="I408" s="1"/>
  <c r="F464"/>
  <c r="I464" s="1"/>
  <c r="F484"/>
  <c r="I484" s="1"/>
  <c r="F387"/>
  <c r="I387" s="1"/>
  <c r="F660"/>
  <c r="I660" s="1"/>
  <c r="F749"/>
  <c r="I749" s="1"/>
  <c r="F506"/>
  <c r="I506" s="1"/>
  <c r="F1026"/>
  <c r="I1026" s="1"/>
  <c r="F1991"/>
  <c r="I1991" s="1"/>
  <c r="F2040"/>
  <c r="I2040" s="1"/>
  <c r="F1412"/>
  <c r="I1412" s="1"/>
  <c r="F1948"/>
  <c r="I1948" s="1"/>
  <c r="F1622"/>
  <c r="I1622" s="1"/>
  <c r="F1653"/>
  <c r="I1653" s="1"/>
  <c r="F2127"/>
  <c r="I2127" s="1"/>
  <c r="F2085"/>
  <c r="I2085" s="1"/>
  <c r="F2201"/>
  <c r="I2201" s="1"/>
  <c r="F2900"/>
  <c r="I2900" s="1"/>
  <c r="F3102"/>
  <c r="I3102" s="1"/>
  <c r="F3733"/>
  <c r="I3733" s="1"/>
  <c r="F4597"/>
  <c r="I4597" s="1"/>
  <c r="F4725"/>
  <c r="I4725" s="1"/>
  <c r="F3769"/>
  <c r="I3769" s="1"/>
  <c r="F4851"/>
  <c r="I4851" s="1"/>
  <c r="Q31" i="5"/>
  <c r="F158" i="8"/>
  <c r="I158" s="1"/>
  <c r="I159" s="1"/>
  <c r="I160" s="1"/>
  <c r="A692" i="7"/>
  <c r="A726"/>
  <c r="F117" i="6"/>
  <c r="I117" s="1"/>
  <c r="I118" s="1"/>
  <c r="I119" s="1"/>
  <c r="F336"/>
  <c r="I336" s="1"/>
  <c r="I337" s="1"/>
  <c r="I338" s="1"/>
  <c r="H1757"/>
  <c r="H1758" s="1"/>
  <c r="L1757"/>
  <c r="L1758" s="1"/>
  <c r="E1757"/>
  <c r="E1758" s="1"/>
  <c r="I1757"/>
  <c r="I1758" s="1"/>
  <c r="G1757"/>
  <c r="G1758" s="1"/>
  <c r="K1757"/>
  <c r="K1758" s="1"/>
  <c r="F1757"/>
  <c r="F1758" s="1"/>
  <c r="G2984"/>
  <c r="G2985" s="1"/>
  <c r="K2984"/>
  <c r="K2985" s="1"/>
  <c r="E2984"/>
  <c r="E2985" s="1"/>
  <c r="I2984"/>
  <c r="I2985" s="1"/>
  <c r="L2984"/>
  <c r="L2985" s="1"/>
  <c r="F2984"/>
  <c r="F2985" s="1"/>
  <c r="I2978"/>
  <c r="H2984"/>
  <c r="H2985" s="1"/>
  <c r="H2102"/>
  <c r="H2103" s="1"/>
  <c r="E2115"/>
  <c r="E2116" s="1"/>
  <c r="E2102"/>
  <c r="E2103" s="1"/>
  <c r="I2102"/>
  <c r="I2103" s="1"/>
  <c r="F2115"/>
  <c r="F2116" s="1"/>
  <c r="G2102"/>
  <c r="G2103" s="1"/>
  <c r="D2115"/>
  <c r="D2116" s="1"/>
  <c r="I2090"/>
  <c r="F2102"/>
  <c r="F2103" s="1"/>
  <c r="I2637"/>
  <c r="F2786"/>
  <c r="F2787" s="1"/>
  <c r="G2840"/>
  <c r="G2841" s="1"/>
  <c r="D2850"/>
  <c r="D2851" s="1"/>
  <c r="E2878"/>
  <c r="E2879" s="1"/>
  <c r="I2878"/>
  <c r="I2879" s="1"/>
  <c r="F2888"/>
  <c r="F2889" s="1"/>
  <c r="G2786"/>
  <c r="G2787" s="1"/>
  <c r="K2786"/>
  <c r="K2787" s="1"/>
  <c r="H2840"/>
  <c r="H2841" s="1"/>
  <c r="E2850"/>
  <c r="E2851" s="1"/>
  <c r="F2878"/>
  <c r="F2879" s="1"/>
  <c r="E2786"/>
  <c r="E2787" s="1"/>
  <c r="I2786"/>
  <c r="I2787" s="1"/>
  <c r="F2840"/>
  <c r="F2841" s="1"/>
  <c r="H2878"/>
  <c r="H2879" s="1"/>
  <c r="E2888"/>
  <c r="E2889" s="1"/>
  <c r="I2780"/>
  <c r="H2786"/>
  <c r="H2787" s="1"/>
  <c r="F2850"/>
  <c r="F2851" s="1"/>
  <c r="L2786"/>
  <c r="L2787" s="1"/>
  <c r="G2878"/>
  <c r="G2879" s="1"/>
  <c r="D2888"/>
  <c r="D2889" s="1"/>
  <c r="I2840"/>
  <c r="I2841" s="1"/>
  <c r="E2840"/>
  <c r="E2841" s="1"/>
  <c r="G3416"/>
  <c r="G3417" s="1"/>
  <c r="K3416"/>
  <c r="K3417" s="1"/>
  <c r="I3410"/>
  <c r="H3416"/>
  <c r="H3417" s="1"/>
  <c r="L3416"/>
  <c r="L3417" s="1"/>
  <c r="F3416"/>
  <c r="F3417" s="1"/>
  <c r="E3416"/>
  <c r="E3417" s="1"/>
  <c r="I3416"/>
  <c r="I3417" s="1"/>
  <c r="G3051"/>
  <c r="G3052" s="1"/>
  <c r="D3061"/>
  <c r="D3062" s="1"/>
  <c r="H3051"/>
  <c r="H3052" s="1"/>
  <c r="E3061"/>
  <c r="E3062" s="1"/>
  <c r="F3051"/>
  <c r="F3052" s="1"/>
  <c r="E3051"/>
  <c r="E3052" s="1"/>
  <c r="I3051"/>
  <c r="I3052" s="1"/>
  <c r="F3061"/>
  <c r="F3062" s="1"/>
  <c r="D3883"/>
  <c r="D3884" s="1"/>
  <c r="D3885" s="1"/>
  <c r="H1448"/>
  <c r="D1461"/>
  <c r="F1448"/>
  <c r="F1461"/>
  <c r="I1448"/>
  <c r="G1448"/>
  <c r="E1461"/>
  <c r="G1322"/>
  <c r="I1322"/>
  <c r="F1322"/>
  <c r="H1322"/>
  <c r="G1383"/>
  <c r="I1383" s="1"/>
  <c r="F1383"/>
  <c r="H1383" s="1"/>
  <c r="G1250"/>
  <c r="F1250"/>
  <c r="H1250"/>
  <c r="I1250"/>
  <c r="F1222"/>
  <c r="I1222"/>
  <c r="H1222"/>
  <c r="G1222"/>
  <c r="I1177"/>
  <c r="E1190"/>
  <c r="H1177"/>
  <c r="D1190"/>
  <c r="F1177"/>
  <c r="G1177"/>
  <c r="F1190"/>
  <c r="H696"/>
  <c r="F709"/>
  <c r="G696"/>
  <c r="E709"/>
  <c r="I696"/>
  <c r="F696"/>
  <c r="D709"/>
  <c r="F2554"/>
  <c r="I2554" s="1"/>
  <c r="I2555" s="1"/>
  <c r="F2872"/>
  <c r="I2872" s="1"/>
  <c r="F1926"/>
  <c r="I1926" s="1"/>
  <c r="I1927" s="1"/>
  <c r="I1928" s="1"/>
  <c r="I452"/>
  <c r="F880" i="7"/>
  <c r="I880" s="1"/>
  <c r="I881" s="1"/>
  <c r="I882" s="1"/>
  <c r="E12" i="6"/>
  <c r="F12" s="1"/>
  <c r="F483"/>
  <c r="I483" s="1"/>
  <c r="F3266"/>
  <c r="I3266" s="1"/>
  <c r="F3428"/>
  <c r="I3428" s="1"/>
  <c r="F3296"/>
  <c r="I3296" s="1"/>
  <c r="F2655"/>
  <c r="I2655" s="1"/>
  <c r="F1043" i="7"/>
  <c r="I1043" s="1"/>
  <c r="I1044" s="1"/>
  <c r="I1045" s="1"/>
  <c r="F1247"/>
  <c r="I1247" s="1"/>
  <c r="I1248" s="1"/>
  <c r="I1249" s="1"/>
  <c r="F3553" i="6"/>
  <c r="I3553" s="1"/>
  <c r="I3554" s="1"/>
  <c r="G5"/>
  <c r="G9" s="1"/>
  <c r="H5"/>
  <c r="H9" s="1"/>
  <c r="I5"/>
  <c r="I9" s="1"/>
  <c r="D9"/>
  <c r="F5"/>
  <c r="F9" s="1"/>
  <c r="F1688" s="1"/>
  <c r="I1688" s="1"/>
  <c r="E5"/>
  <c r="E9" s="1"/>
  <c r="AJ27" i="5"/>
  <c r="F3375" i="6"/>
  <c r="I3375" s="1"/>
  <c r="I3376" s="1"/>
  <c r="F218" i="8"/>
  <c r="I218" s="1"/>
  <c r="I219" s="1"/>
  <c r="I220" s="1"/>
  <c r="E21" i="6"/>
  <c r="F21" s="1"/>
  <c r="E15"/>
  <c r="F15" s="1"/>
  <c r="AI15" i="5"/>
  <c r="F2628" i="6"/>
  <c r="I2628" s="1"/>
  <c r="F3402"/>
  <c r="I3402" s="1"/>
  <c r="F3238"/>
  <c r="I3238" s="1"/>
  <c r="F3209"/>
  <c r="I3209" s="1"/>
  <c r="F982" i="7"/>
  <c r="I982" s="1"/>
  <c r="I983" s="1"/>
  <c r="I984" s="1"/>
  <c r="F242" i="8"/>
  <c r="I242" s="1"/>
  <c r="I243" s="1"/>
  <c r="I244" s="1"/>
  <c r="F50" i="34" s="1"/>
  <c r="G50" s="1"/>
  <c r="A201" i="8"/>
  <c r="A209" s="1"/>
  <c r="A258" s="1"/>
  <c r="A295" s="1"/>
  <c r="A193"/>
  <c r="M57" i="41" l="1"/>
  <c r="N57"/>
  <c r="G90" i="45"/>
  <c r="K90" s="1"/>
  <c r="G85"/>
  <c r="K85" s="1"/>
  <c r="K91" i="41"/>
  <c r="L91" s="1"/>
  <c r="N91" s="1"/>
  <c r="F89" i="46"/>
  <c r="G89" s="1"/>
  <c r="F88" i="45"/>
  <c r="K86" i="41"/>
  <c r="L86" s="1"/>
  <c r="F84" i="46"/>
  <c r="G84" s="1"/>
  <c r="F83" i="45"/>
  <c r="I616" i="7"/>
  <c r="F2729" i="6"/>
  <c r="I2729" s="1"/>
  <c r="I2730" s="1"/>
  <c r="I204" i="7"/>
  <c r="F205" s="1"/>
  <c r="I205" s="1"/>
  <c r="I206" s="1"/>
  <c r="I207" s="1"/>
  <c r="I208" s="1"/>
  <c r="F2459" i="6"/>
  <c r="I2459" s="1"/>
  <c r="I2460" s="1"/>
  <c r="I2461" s="1"/>
  <c r="N88" i="41"/>
  <c r="N93"/>
  <c r="N53"/>
  <c r="F1296" i="7"/>
  <c r="I1296" s="1"/>
  <c r="I1298" s="1"/>
  <c r="F1299" s="1"/>
  <c r="I1299" s="1"/>
  <c r="I1300" s="1"/>
  <c r="I1301" s="1"/>
  <c r="I1302" s="1"/>
  <c r="I3782" i="6"/>
  <c r="I3785" s="1"/>
  <c r="I3791" s="1"/>
  <c r="G51" i="34"/>
  <c r="C6" i="38" s="1"/>
  <c r="N86" i="41"/>
  <c r="M86"/>
  <c r="E2614" i="6"/>
  <c r="F22"/>
  <c r="I36" i="40"/>
  <c r="I37" s="1"/>
  <c r="D3758" i="6"/>
  <c r="D3759" s="1"/>
  <c r="I1267" i="7"/>
  <c r="I1268" s="1"/>
  <c r="F2781" i="6"/>
  <c r="I2781" s="1"/>
  <c r="I2782" s="1"/>
  <c r="D3708"/>
  <c r="D3711" s="1"/>
  <c r="D3712" s="1"/>
  <c r="D3713" s="1"/>
  <c r="D3714" s="1"/>
  <c r="D3715" s="1"/>
  <c r="H3708"/>
  <c r="H3711" s="1"/>
  <c r="H3712" s="1"/>
  <c r="H3713" s="1"/>
  <c r="H3714" s="1"/>
  <c r="H3715" s="1"/>
  <c r="E3708"/>
  <c r="E3711" s="1"/>
  <c r="E3712" s="1"/>
  <c r="E3713" s="1"/>
  <c r="E3714" s="1"/>
  <c r="E3715" s="1"/>
  <c r="H911"/>
  <c r="G912"/>
  <c r="L3708"/>
  <c r="L3711" s="1"/>
  <c r="L3712" s="1"/>
  <c r="L3713" s="1"/>
  <c r="L3714" s="1"/>
  <c r="L3715" s="1"/>
  <c r="I3708"/>
  <c r="I3711" s="1"/>
  <c r="I3712" s="1"/>
  <c r="I3713" s="1"/>
  <c r="I3714" s="1"/>
  <c r="I3715" s="1"/>
  <c r="D3718"/>
  <c r="D3721" s="1"/>
  <c r="D3722" s="1"/>
  <c r="D3723" s="1"/>
  <c r="D3724" s="1"/>
  <c r="D3725" s="1"/>
  <c r="G3708"/>
  <c r="G3711" s="1"/>
  <c r="G3712" s="1"/>
  <c r="G3713" s="1"/>
  <c r="G3714" s="1"/>
  <c r="G3715" s="1"/>
  <c r="K3708"/>
  <c r="K3711" s="1"/>
  <c r="K3712" s="1"/>
  <c r="K3713" s="1"/>
  <c r="K3714" s="1"/>
  <c r="K3715" s="1"/>
  <c r="E3718"/>
  <c r="E3721" s="1"/>
  <c r="E3722" s="1"/>
  <c r="E3723" s="1"/>
  <c r="E3724" s="1"/>
  <c r="E3725" s="1"/>
  <c r="E2849"/>
  <c r="E2852" s="1"/>
  <c r="D2839"/>
  <c r="D2842" s="1"/>
  <c r="D2843" s="1"/>
  <c r="D2844" s="1"/>
  <c r="D2845" s="1"/>
  <c r="D2846" s="1"/>
  <c r="F3711"/>
  <c r="F3712" s="1"/>
  <c r="F3713" s="1"/>
  <c r="F3714" s="1"/>
  <c r="F3715" s="1"/>
  <c r="I495"/>
  <c r="F496" s="1"/>
  <c r="I496" s="1"/>
  <c r="I497" s="1"/>
  <c r="I498" s="1"/>
  <c r="D2759"/>
  <c r="D2762" s="1"/>
  <c r="D2763" s="1"/>
  <c r="D2764" s="1"/>
  <c r="D2765" s="1"/>
  <c r="D2766" s="1"/>
  <c r="F16" i="34" s="1"/>
  <c r="G16" s="1"/>
  <c r="F3718" i="6"/>
  <c r="F3721" s="1"/>
  <c r="F3722" s="1"/>
  <c r="F3723" s="1"/>
  <c r="F3724" s="1"/>
  <c r="F3725" s="1"/>
  <c r="F362" i="7"/>
  <c r="I362" s="1"/>
  <c r="I368" s="1"/>
  <c r="F369" s="1"/>
  <c r="I369" s="1"/>
  <c r="I370" s="1"/>
  <c r="I371" s="1"/>
  <c r="I372" s="1"/>
  <c r="E2759" i="6"/>
  <c r="E2762" s="1"/>
  <c r="E2763" s="1"/>
  <c r="E2764" s="1"/>
  <c r="E2765" s="1"/>
  <c r="E2766" s="1"/>
  <c r="I720" i="7"/>
  <c r="I2759" i="6"/>
  <c r="I2762" s="1"/>
  <c r="I2763" s="1"/>
  <c r="I2764" s="1"/>
  <c r="I2765" s="1"/>
  <c r="I2766" s="1"/>
  <c r="D2849"/>
  <c r="G2759"/>
  <c r="G2762" s="1"/>
  <c r="G2763" s="1"/>
  <c r="G2764" s="1"/>
  <c r="G2765" s="1"/>
  <c r="G2766" s="1"/>
  <c r="I418"/>
  <c r="F2957" s="1"/>
  <c r="I2957" s="1"/>
  <c r="K2759"/>
  <c r="K2762" s="1"/>
  <c r="K2763" s="1"/>
  <c r="K2764" s="1"/>
  <c r="K2765" s="1"/>
  <c r="K2766" s="1"/>
  <c r="I227"/>
  <c r="I228" s="1"/>
  <c r="I229" s="1"/>
  <c r="I5004"/>
  <c r="I5005" s="1"/>
  <c r="I5006" s="1"/>
  <c r="H2759"/>
  <c r="H2762" s="1"/>
  <c r="H2763" s="1"/>
  <c r="H2764" s="1"/>
  <c r="H2765" s="1"/>
  <c r="H2766" s="1"/>
  <c r="I450" i="7"/>
  <c r="F451" s="1"/>
  <c r="I451" s="1"/>
  <c r="I452" s="1"/>
  <c r="I453" s="1"/>
  <c r="I454" s="1"/>
  <c r="L2759" i="6"/>
  <c r="L2762" s="1"/>
  <c r="L2763" s="1"/>
  <c r="L2764" s="1"/>
  <c r="L2765" s="1"/>
  <c r="L2766" s="1"/>
  <c r="F280" i="7"/>
  <c r="I280" s="1"/>
  <c r="I286" s="1"/>
  <c r="F287" s="1"/>
  <c r="I287" s="1"/>
  <c r="I288" s="1"/>
  <c r="I289" s="1"/>
  <c r="I290" s="1"/>
  <c r="F115"/>
  <c r="I115" s="1"/>
  <c r="I121" s="1"/>
  <c r="I122" s="1"/>
  <c r="F123" s="1"/>
  <c r="I123" s="1"/>
  <c r="I124" s="1"/>
  <c r="I125" s="1"/>
  <c r="F579"/>
  <c r="I579" s="1"/>
  <c r="I583" s="1"/>
  <c r="I584" s="1"/>
  <c r="F585" s="1"/>
  <c r="I585" s="1"/>
  <c r="I586" s="1"/>
  <c r="I587" s="1"/>
  <c r="F646"/>
  <c r="I646" s="1"/>
  <c r="I650" s="1"/>
  <c r="A441" i="6"/>
  <c r="A423"/>
  <c r="I3467"/>
  <c r="I3470" s="1"/>
  <c r="I3471" s="1"/>
  <c r="I3472" s="1"/>
  <c r="I3473" s="1"/>
  <c r="I3474" s="1"/>
  <c r="I397"/>
  <c r="F398" s="1"/>
  <c r="I398" s="1"/>
  <c r="I399" s="1"/>
  <c r="I400" s="1"/>
  <c r="H3467"/>
  <c r="H3470" s="1"/>
  <c r="H3471" s="1"/>
  <c r="H3472" s="1"/>
  <c r="H3473" s="1"/>
  <c r="H3474" s="1"/>
  <c r="L3467"/>
  <c r="L3470" s="1"/>
  <c r="L3471" s="1"/>
  <c r="L3472" s="1"/>
  <c r="L3473" s="1"/>
  <c r="L3474" s="1"/>
  <c r="E3467"/>
  <c r="E3470" s="1"/>
  <c r="E3471" s="1"/>
  <c r="E3472" s="1"/>
  <c r="E3473" s="1"/>
  <c r="E3474" s="1"/>
  <c r="F4523"/>
  <c r="I4523" s="1"/>
  <c r="I4526" s="1"/>
  <c r="F4527" s="1"/>
  <c r="I4527" s="1"/>
  <c r="I4528" s="1"/>
  <c r="I4529" s="1"/>
  <c r="I4530" s="1"/>
  <c r="D3467"/>
  <c r="D3470" s="1"/>
  <c r="D3471" s="1"/>
  <c r="D3472" s="1"/>
  <c r="D3473" s="1"/>
  <c r="D3474" s="1"/>
  <c r="H2839"/>
  <c r="H2842" s="1"/>
  <c r="H2843" s="1"/>
  <c r="H2844" s="1"/>
  <c r="H2845" s="1"/>
  <c r="H2846" s="1"/>
  <c r="F3930"/>
  <c r="I3930" s="1"/>
  <c r="I3931" s="1"/>
  <c r="I3932" s="1"/>
  <c r="I3933" s="1"/>
  <c r="F24" i="34" s="1"/>
  <c r="G24" s="1"/>
  <c r="E2839" i="6"/>
  <c r="E2842" s="1"/>
  <c r="I2839"/>
  <c r="I2842" s="1"/>
  <c r="F491" i="8"/>
  <c r="I491" s="1"/>
  <c r="I492" s="1"/>
  <c r="F493" s="1"/>
  <c r="I493" s="1"/>
  <c r="I494" s="1"/>
  <c r="I495" s="1"/>
  <c r="F92" i="45" s="1"/>
  <c r="F3467" i="6"/>
  <c r="F3470" s="1"/>
  <c r="G2839"/>
  <c r="G2842" s="1"/>
  <c r="F3666"/>
  <c r="I3666" s="1"/>
  <c r="I3667" s="1"/>
  <c r="F16"/>
  <c r="F748" s="1"/>
  <c r="I748" s="1"/>
  <c r="I762" s="1"/>
  <c r="F2849"/>
  <c r="F2852" s="1"/>
  <c r="G3467"/>
  <c r="G3470" s="1"/>
  <c r="G3471" s="1"/>
  <c r="G3472" s="1"/>
  <c r="G3473" s="1"/>
  <c r="G3474" s="1"/>
  <c r="F2839"/>
  <c r="F2842" s="1"/>
  <c r="F4307"/>
  <c r="I4307" s="1"/>
  <c r="I4308" s="1"/>
  <c r="I4309" s="1"/>
  <c r="G3883"/>
  <c r="G3884" s="1"/>
  <c r="G3885" s="1"/>
  <c r="E2498"/>
  <c r="E2504" s="1"/>
  <c r="I2498"/>
  <c r="F2498"/>
  <c r="F2504" s="1"/>
  <c r="F2491"/>
  <c r="I2491" s="1"/>
  <c r="D2498"/>
  <c r="D2504" s="1"/>
  <c r="H2498"/>
  <c r="L2498"/>
  <c r="G2498"/>
  <c r="K2498"/>
  <c r="F4569"/>
  <c r="I4569" s="1"/>
  <c r="D3519"/>
  <c r="D3522" s="1"/>
  <c r="H3519"/>
  <c r="H3522" s="1"/>
  <c r="L3519"/>
  <c r="L3522" s="1"/>
  <c r="E3519"/>
  <c r="E3522" s="1"/>
  <c r="I3519"/>
  <c r="I3522" s="1"/>
  <c r="D3529"/>
  <c r="D3532" s="1"/>
  <c r="G3519"/>
  <c r="G3522" s="1"/>
  <c r="K3519"/>
  <c r="K3522" s="1"/>
  <c r="F3529"/>
  <c r="F3532" s="1"/>
  <c r="E3529"/>
  <c r="E3532" s="1"/>
  <c r="F3519"/>
  <c r="F3522" s="1"/>
  <c r="F4955"/>
  <c r="I4955" s="1"/>
  <c r="I4956" s="1"/>
  <c r="I4957" s="1"/>
  <c r="I4958" s="1"/>
  <c r="F1904"/>
  <c r="F1910" s="1"/>
  <c r="G1904"/>
  <c r="G1910" s="1"/>
  <c r="K1904"/>
  <c r="K1910" s="1"/>
  <c r="E1904"/>
  <c r="E1910" s="1"/>
  <c r="I1904"/>
  <c r="I1910" s="1"/>
  <c r="H1904"/>
  <c r="H1910" s="1"/>
  <c r="L1904"/>
  <c r="L1910" s="1"/>
  <c r="F1897"/>
  <c r="I1897" s="1"/>
  <c r="D1904"/>
  <c r="D1910" s="1"/>
  <c r="D3893"/>
  <c r="D3894" s="1"/>
  <c r="D3895" s="1"/>
  <c r="F3893"/>
  <c r="F3894" s="1"/>
  <c r="F3895" s="1"/>
  <c r="F4403"/>
  <c r="I4403" s="1"/>
  <c r="I4404" s="1"/>
  <c r="I4405" s="1"/>
  <c r="D2388"/>
  <c r="D2394" s="1"/>
  <c r="H2388"/>
  <c r="F2400"/>
  <c r="E2388"/>
  <c r="E2394" s="1"/>
  <c r="I2388"/>
  <c r="F2585"/>
  <c r="I2585" s="1"/>
  <c r="G2388"/>
  <c r="E2400"/>
  <c r="F2388"/>
  <c r="F2394" s="1"/>
  <c r="D2400"/>
  <c r="E3493"/>
  <c r="E3496" s="1"/>
  <c r="I3493"/>
  <c r="I3496" s="1"/>
  <c r="F3493"/>
  <c r="F3496" s="1"/>
  <c r="D3493"/>
  <c r="D3496" s="1"/>
  <c r="H3493"/>
  <c r="H3496" s="1"/>
  <c r="L3493"/>
  <c r="L3496" s="1"/>
  <c r="G3493"/>
  <c r="G3496" s="1"/>
  <c r="K3493"/>
  <c r="K3496" s="1"/>
  <c r="F2558"/>
  <c r="F2561" s="1"/>
  <c r="E2568"/>
  <c r="E2571" s="1"/>
  <c r="G2558"/>
  <c r="G2561" s="1"/>
  <c r="F2568"/>
  <c r="F2571" s="1"/>
  <c r="E2558"/>
  <c r="E2561" s="1"/>
  <c r="I2558"/>
  <c r="I2561" s="1"/>
  <c r="D2568"/>
  <c r="D2571" s="1"/>
  <c r="D2558"/>
  <c r="D2561" s="1"/>
  <c r="H2558"/>
  <c r="H2561" s="1"/>
  <c r="F2426"/>
  <c r="I2426" s="1"/>
  <c r="D2433"/>
  <c r="D2439" s="1"/>
  <c r="H2433"/>
  <c r="L2433"/>
  <c r="E2433"/>
  <c r="E2439" s="1"/>
  <c r="I2433"/>
  <c r="G2433"/>
  <c r="K2433"/>
  <c r="F2433"/>
  <c r="F2439" s="1"/>
  <c r="E3893"/>
  <c r="E3894" s="1"/>
  <c r="E3895" s="1"/>
  <c r="F376"/>
  <c r="I376" s="1"/>
  <c r="I377" s="1"/>
  <c r="I378" s="1"/>
  <c r="I379" s="1"/>
  <c r="D2733"/>
  <c r="D2736" s="1"/>
  <c r="H2733"/>
  <c r="H2736" s="1"/>
  <c r="E2733"/>
  <c r="E2736" s="1"/>
  <c r="I2733"/>
  <c r="I2736" s="1"/>
  <c r="G2733"/>
  <c r="G2736" s="1"/>
  <c r="F2733"/>
  <c r="F2736" s="1"/>
  <c r="I183"/>
  <c r="F4560"/>
  <c r="I4560" s="1"/>
  <c r="F1163" i="7"/>
  <c r="I1163" s="1"/>
  <c r="I1165" s="1"/>
  <c r="F1142"/>
  <c r="I1142" s="1"/>
  <c r="I1144" s="1"/>
  <c r="F4429" i="6"/>
  <c r="I4429" s="1"/>
  <c r="I4430" s="1"/>
  <c r="I4431" s="1"/>
  <c r="E1932"/>
  <c r="E1938" s="1"/>
  <c r="I1932"/>
  <c r="I1938" s="1"/>
  <c r="F1932"/>
  <c r="F1938" s="1"/>
  <c r="D1932"/>
  <c r="D1938" s="1"/>
  <c r="H1932"/>
  <c r="H1938" s="1"/>
  <c r="L1932"/>
  <c r="L1938" s="1"/>
  <c r="G1932"/>
  <c r="G1938" s="1"/>
  <c r="K1932"/>
  <c r="K1938" s="1"/>
  <c r="D3050"/>
  <c r="D3053" s="1"/>
  <c r="H3050"/>
  <c r="H3053" s="1"/>
  <c r="E3050"/>
  <c r="E3053" s="1"/>
  <c r="I3050"/>
  <c r="I3053" s="1"/>
  <c r="D3060"/>
  <c r="D3063" s="1"/>
  <c r="G3050"/>
  <c r="G3053" s="1"/>
  <c r="F3060"/>
  <c r="F3063" s="1"/>
  <c r="E3060"/>
  <c r="E3063" s="1"/>
  <c r="F3050"/>
  <c r="F3053" s="1"/>
  <c r="F517" i="7"/>
  <c r="I517" s="1"/>
  <c r="I518" s="1"/>
  <c r="I519" s="1"/>
  <c r="F1693" i="6"/>
  <c r="I1693" s="1"/>
  <c r="I1694" s="1"/>
  <c r="F2665"/>
  <c r="I2665" s="1"/>
  <c r="I2666" s="1"/>
  <c r="E2887"/>
  <c r="E2890" s="1"/>
  <c r="E2877"/>
  <c r="E2880" s="1"/>
  <c r="D1857"/>
  <c r="D1863" s="1"/>
  <c r="H1857"/>
  <c r="H1863" s="1"/>
  <c r="F1869"/>
  <c r="F1875" s="1"/>
  <c r="E1857"/>
  <c r="E1863" s="1"/>
  <c r="I1857"/>
  <c r="I1863" s="1"/>
  <c r="G1857"/>
  <c r="G1863" s="1"/>
  <c r="E1869"/>
  <c r="E1875" s="1"/>
  <c r="F1857"/>
  <c r="F1863" s="1"/>
  <c r="D1869"/>
  <c r="D1875" s="1"/>
  <c r="G3634"/>
  <c r="K3634"/>
  <c r="F3644"/>
  <c r="D3634"/>
  <c r="D3637" s="1"/>
  <c r="H3634"/>
  <c r="L3634"/>
  <c r="F3634"/>
  <c r="E3644"/>
  <c r="E3634"/>
  <c r="D3644"/>
  <c r="I3634"/>
  <c r="F1713"/>
  <c r="I1713" s="1"/>
  <c r="F1768"/>
  <c r="I1768" s="1"/>
  <c r="F1735"/>
  <c r="I1735" s="1"/>
  <c r="F3732"/>
  <c r="I3732" s="1"/>
  <c r="I3743" s="1"/>
  <c r="E2525"/>
  <c r="E2528" s="1"/>
  <c r="I2525"/>
  <c r="I2528" s="1"/>
  <c r="D2535"/>
  <c r="D2538" s="1"/>
  <c r="F2525"/>
  <c r="F2528" s="1"/>
  <c r="E2535"/>
  <c r="E2538" s="1"/>
  <c r="D2525"/>
  <c r="D2528" s="1"/>
  <c r="H2525"/>
  <c r="H2528" s="1"/>
  <c r="G2525"/>
  <c r="G2528" s="1"/>
  <c r="F2535"/>
  <c r="F2538" s="1"/>
  <c r="F2692"/>
  <c r="I2692" s="1"/>
  <c r="I2693" s="1"/>
  <c r="F2638"/>
  <c r="I2638" s="1"/>
  <c r="I2639" s="1"/>
  <c r="I163" i="7"/>
  <c r="I2873" i="6"/>
  <c r="AJ15" i="5"/>
  <c r="A847" i="7"/>
  <c r="A765"/>
  <c r="A803" s="1"/>
  <c r="A841" s="1"/>
  <c r="G2307" i="6"/>
  <c r="G2310" s="1"/>
  <c r="D2316"/>
  <c r="D2319" s="1"/>
  <c r="D2307"/>
  <c r="D2310" s="1"/>
  <c r="H2307"/>
  <c r="H2310" s="1"/>
  <c r="E2316"/>
  <c r="E2319" s="1"/>
  <c r="F2307"/>
  <c r="F2310" s="1"/>
  <c r="I2307"/>
  <c r="I2310" s="1"/>
  <c r="F2316"/>
  <c r="F2319" s="1"/>
  <c r="E2307"/>
  <c r="E2310" s="1"/>
  <c r="F3006"/>
  <c r="I3006" s="1"/>
  <c r="I3007" s="1"/>
  <c r="G2434"/>
  <c r="K2434"/>
  <c r="I2466"/>
  <c r="H2499"/>
  <c r="L2499"/>
  <c r="G2389"/>
  <c r="D2401"/>
  <c r="H2434"/>
  <c r="L2434"/>
  <c r="I2499"/>
  <c r="I2389"/>
  <c r="F2401"/>
  <c r="H2466"/>
  <c r="L2466"/>
  <c r="G2499"/>
  <c r="K2499"/>
  <c r="K2466"/>
  <c r="E2401"/>
  <c r="G2466"/>
  <c r="H2389"/>
  <c r="F237" i="2"/>
  <c r="F238" s="1"/>
  <c r="F239" s="1"/>
  <c r="F240" s="1"/>
  <c r="F241" s="1"/>
  <c r="F242" s="1"/>
  <c r="I2434" i="6"/>
  <c r="F2614"/>
  <c r="H2602"/>
  <c r="G2602"/>
  <c r="D2614"/>
  <c r="F3247"/>
  <c r="I3247" s="1"/>
  <c r="I3248" s="1"/>
  <c r="F721" i="7"/>
  <c r="I721" s="1"/>
  <c r="I722" s="1"/>
  <c r="I723" s="1"/>
  <c r="I724" s="1"/>
  <c r="F3278" i="6"/>
  <c r="I3278" s="1"/>
  <c r="I3279" s="1"/>
  <c r="F2979"/>
  <c r="I2979" s="1"/>
  <c r="I2980" s="1"/>
  <c r="F1112" i="7"/>
  <c r="I1112" s="1"/>
  <c r="I1113" s="1"/>
  <c r="I1114" s="1"/>
  <c r="F4152" i="6"/>
  <c r="I4152" s="1"/>
  <c r="I4153" s="1"/>
  <c r="I4154" s="1"/>
  <c r="I4155" s="1"/>
  <c r="F3841"/>
  <c r="I3841" s="1"/>
  <c r="I3842" s="1"/>
  <c r="I3843" s="1"/>
  <c r="F617" i="7"/>
  <c r="I617" s="1"/>
  <c r="I618" s="1"/>
  <c r="I619" s="1"/>
  <c r="I620" s="1"/>
  <c r="A287" i="17"/>
  <c r="A288" s="1"/>
  <c r="A290" s="1"/>
  <c r="A292" s="1"/>
  <c r="A293" s="1"/>
  <c r="A294" s="1"/>
  <c r="A295" s="1"/>
  <c r="A296" s="1"/>
  <c r="A297" s="1"/>
  <c r="A298" s="1"/>
  <c r="A299" s="1"/>
  <c r="A300" s="1"/>
  <c r="A301" s="1"/>
  <c r="A302" s="1"/>
  <c r="A303" s="1"/>
  <c r="A304" s="1"/>
  <c r="A305" s="1"/>
  <c r="A306" s="1"/>
  <c r="A307" s="1"/>
  <c r="A309" s="1"/>
  <c r="A318" s="1"/>
  <c r="A328" s="1"/>
  <c r="A329" s="1"/>
  <c r="A330" s="1"/>
  <c r="A286"/>
  <c r="AH11" i="5"/>
  <c r="AI11" s="1"/>
  <c r="AJ11" s="1"/>
  <c r="K3471" i="6"/>
  <c r="K3472" s="1"/>
  <c r="K3473" s="1"/>
  <c r="K3474" s="1"/>
  <c r="F2763"/>
  <c r="F2764" s="1"/>
  <c r="F2765" s="1"/>
  <c r="F2766" s="1"/>
  <c r="D3379"/>
  <c r="D3382" s="1"/>
  <c r="H3379"/>
  <c r="H3382" s="1"/>
  <c r="L3379"/>
  <c r="L3382" s="1"/>
  <c r="E3379"/>
  <c r="E3382" s="1"/>
  <c r="I3379"/>
  <c r="I3382" s="1"/>
  <c r="D3389"/>
  <c r="D3392" s="1"/>
  <c r="G3379"/>
  <c r="G3382" s="1"/>
  <c r="K3379"/>
  <c r="K3382" s="1"/>
  <c r="F3389"/>
  <c r="F3392" s="1"/>
  <c r="E3389"/>
  <c r="E3392" s="1"/>
  <c r="F3379"/>
  <c r="F3382" s="1"/>
  <c r="F4641"/>
  <c r="I4641" s="1"/>
  <c r="I4642" s="1"/>
  <c r="I4643" s="1"/>
  <c r="I4644" s="1"/>
  <c r="I4645" s="1"/>
  <c r="I4646" s="1"/>
  <c r="E3557"/>
  <c r="E3560" s="1"/>
  <c r="I3557"/>
  <c r="I3560" s="1"/>
  <c r="D3568"/>
  <c r="D3571" s="1"/>
  <c r="H3568"/>
  <c r="H3571" s="1"/>
  <c r="L3568"/>
  <c r="L3571" s="1"/>
  <c r="F3557"/>
  <c r="F3560" s="1"/>
  <c r="E3568"/>
  <c r="E3571" s="1"/>
  <c r="I3568"/>
  <c r="I3571" s="1"/>
  <c r="D3557"/>
  <c r="D3560" s="1"/>
  <c r="H3557"/>
  <c r="H3560" s="1"/>
  <c r="L3557"/>
  <c r="L3560" s="1"/>
  <c r="G3568"/>
  <c r="G3571" s="1"/>
  <c r="K3568"/>
  <c r="K3571" s="1"/>
  <c r="G3557"/>
  <c r="G3560" s="1"/>
  <c r="F3568"/>
  <c r="F3571" s="1"/>
  <c r="K3557"/>
  <c r="K3560" s="1"/>
  <c r="F3305"/>
  <c r="I3305" s="1"/>
  <c r="I3306" s="1"/>
  <c r="F453"/>
  <c r="I453" s="1"/>
  <c r="I454" s="1"/>
  <c r="F3785"/>
  <c r="F3791" s="1"/>
  <c r="E3797"/>
  <c r="E3803" s="1"/>
  <c r="E1816"/>
  <c r="E1822" s="1"/>
  <c r="I1816"/>
  <c r="I1822" s="1"/>
  <c r="F1816"/>
  <c r="F1822" s="1"/>
  <c r="D1828"/>
  <c r="D1834" s="1"/>
  <c r="F1809"/>
  <c r="I1809" s="1"/>
  <c r="D1816"/>
  <c r="D1822" s="1"/>
  <c r="H1816"/>
  <c r="H1822" s="1"/>
  <c r="F1828"/>
  <c r="F1834" s="1"/>
  <c r="G1816"/>
  <c r="G1822" s="1"/>
  <c r="E1828"/>
  <c r="E1834" s="1"/>
  <c r="D4549"/>
  <c r="I4549" s="1"/>
  <c r="I4548"/>
  <c r="I3883"/>
  <c r="I3884" s="1"/>
  <c r="I3885" s="1"/>
  <c r="I2340"/>
  <c r="I2341" s="1"/>
  <c r="E2812"/>
  <c r="D2815"/>
  <c r="D2357"/>
  <c r="G2345"/>
  <c r="K2345"/>
  <c r="E2357"/>
  <c r="I2345"/>
  <c r="F2357"/>
  <c r="L2345"/>
  <c r="H2345"/>
  <c r="F249" i="2"/>
  <c r="F250" s="1"/>
  <c r="F251" s="1"/>
  <c r="F252" s="1"/>
  <c r="F253" s="1"/>
  <c r="F2276" i="6"/>
  <c r="F2279" s="1"/>
  <c r="G2276"/>
  <c r="G2279" s="1"/>
  <c r="D2285"/>
  <c r="D2288" s="1"/>
  <c r="E2276"/>
  <c r="E2279" s="1"/>
  <c r="I2276"/>
  <c r="I2279" s="1"/>
  <c r="F2285"/>
  <c r="F2288" s="1"/>
  <c r="E2285"/>
  <c r="E2288" s="1"/>
  <c r="D2276"/>
  <c r="D2279" s="1"/>
  <c r="H2276"/>
  <c r="H2279" s="1"/>
  <c r="L36" i="5"/>
  <c r="N36" s="1"/>
  <c r="Q36" s="1"/>
  <c r="H37"/>
  <c r="L37" s="1"/>
  <c r="N37" s="1"/>
  <c r="D2852" i="6"/>
  <c r="A332" i="8"/>
  <c r="A381" s="1"/>
  <c r="A387"/>
  <c r="A438" s="1"/>
  <c r="A445" s="1"/>
  <c r="F3411" i="6"/>
  <c r="I3411" s="1"/>
  <c r="I3412" s="1"/>
  <c r="F435"/>
  <c r="I435" s="1"/>
  <c r="I436" s="1"/>
  <c r="E3598"/>
  <c r="E3599" s="1"/>
  <c r="I3598"/>
  <c r="I3599" s="1"/>
  <c r="E3608"/>
  <c r="E3609" s="1"/>
  <c r="G3635"/>
  <c r="G3636" s="1"/>
  <c r="K3635"/>
  <c r="K3636" s="1"/>
  <c r="F3598"/>
  <c r="F3599" s="1"/>
  <c r="F3608"/>
  <c r="F3609" s="1"/>
  <c r="H3635"/>
  <c r="H3636" s="1"/>
  <c r="L3635"/>
  <c r="L3636" s="1"/>
  <c r="D3645"/>
  <c r="D3646" s="1"/>
  <c r="I3592"/>
  <c r="H3598"/>
  <c r="H3599" s="1"/>
  <c r="L3598"/>
  <c r="L3599" s="1"/>
  <c r="D3608"/>
  <c r="D3609" s="1"/>
  <c r="F3635"/>
  <c r="F3636" s="1"/>
  <c r="F3645"/>
  <c r="F3646" s="1"/>
  <c r="G3598"/>
  <c r="G3599" s="1"/>
  <c r="K3598"/>
  <c r="K3599" s="1"/>
  <c r="E3645"/>
  <c r="E3646" s="1"/>
  <c r="I3635"/>
  <c r="I3636" s="1"/>
  <c r="E3635"/>
  <c r="E3636" s="1"/>
  <c r="A72" i="2"/>
  <c r="A73" s="1"/>
  <c r="A74" s="1"/>
  <c r="A75" s="1"/>
  <c r="A76" s="1"/>
  <c r="A78" s="1"/>
  <c r="A79" s="1"/>
  <c r="A81" s="1"/>
  <c r="A82" s="1"/>
  <c r="A83" s="1"/>
  <c r="A84" s="1"/>
  <c r="A85" s="1"/>
  <c r="A86" s="1"/>
  <c r="A87" s="1"/>
  <c r="A88" s="1"/>
  <c r="A89" s="1"/>
  <c r="A90" s="1"/>
  <c r="A91" s="1"/>
  <c r="A92" s="1"/>
  <c r="A93" s="1"/>
  <c r="A94" s="1"/>
  <c r="A71"/>
  <c r="D3340" i="6"/>
  <c r="D3343" s="1"/>
  <c r="H3340"/>
  <c r="H3343" s="1"/>
  <c r="L3340"/>
  <c r="L3343" s="1"/>
  <c r="E3340"/>
  <c r="E3343" s="1"/>
  <c r="I3340"/>
  <c r="I3343" s="1"/>
  <c r="D3350"/>
  <c r="D3353" s="1"/>
  <c r="G3340"/>
  <c r="G3343" s="1"/>
  <c r="K3340"/>
  <c r="K3343" s="1"/>
  <c r="F3350"/>
  <c r="F3353" s="1"/>
  <c r="F3340"/>
  <c r="F3343" s="1"/>
  <c r="E3350"/>
  <c r="E3353" s="1"/>
  <c r="F1652"/>
  <c r="I1652" s="1"/>
  <c r="I1667" s="1"/>
  <c r="F1670" s="1"/>
  <c r="I1670" s="1"/>
  <c r="F2084"/>
  <c r="I2084" s="1"/>
  <c r="I2096" s="1"/>
  <c r="F2200"/>
  <c r="I2200" s="1"/>
  <c r="I2212" s="1"/>
  <c r="F2126"/>
  <c r="I2126" s="1"/>
  <c r="I2138" s="1"/>
  <c r="F3100"/>
  <c r="I3100" s="1"/>
  <c r="F355"/>
  <c r="I355" s="1"/>
  <c r="I356" s="1"/>
  <c r="I357" s="1"/>
  <c r="I358" s="1"/>
  <c r="F4342"/>
  <c r="I4342" s="1"/>
  <c r="I4343" s="1"/>
  <c r="I4344" s="1"/>
  <c r="F22" i="34" s="1"/>
  <c r="G22" s="1"/>
  <c r="F551" i="7"/>
  <c r="I551" s="1"/>
  <c r="I552" s="1"/>
  <c r="I553" s="1"/>
  <c r="F1227"/>
  <c r="I1227" s="1"/>
  <c r="I1229" s="1"/>
  <c r="F1195"/>
  <c r="I1195" s="1"/>
  <c r="I1197" s="1"/>
  <c r="G2843" i="6"/>
  <c r="G2844" s="1"/>
  <c r="G2845" s="1"/>
  <c r="G2846" s="1"/>
  <c r="F3221"/>
  <c r="I3221" s="1"/>
  <c r="I3222" s="1"/>
  <c r="F3437"/>
  <c r="I3437" s="1"/>
  <c r="I3438" s="1"/>
  <c r="D3087"/>
  <c r="D3090" s="1"/>
  <c r="H3087"/>
  <c r="H3090" s="1"/>
  <c r="E3087"/>
  <c r="E3090" s="1"/>
  <c r="I3087"/>
  <c r="I3090" s="1"/>
  <c r="G3087"/>
  <c r="G3090" s="1"/>
  <c r="F3087"/>
  <c r="F3090" s="1"/>
  <c r="H3883"/>
  <c r="H3884" s="1"/>
  <c r="H3885" s="1"/>
  <c r="F2465"/>
  <c r="F2471" s="1"/>
  <c r="G2465"/>
  <c r="K2465"/>
  <c r="E2465"/>
  <c r="E2471" s="1"/>
  <c r="I2465"/>
  <c r="H2465"/>
  <c r="L2465"/>
  <c r="L2471" s="1"/>
  <c r="D2465"/>
  <c r="D2471" s="1"/>
  <c r="I475"/>
  <c r="E3186"/>
  <c r="E3189" s="1"/>
  <c r="I3186"/>
  <c r="I3189" s="1"/>
  <c r="D3196"/>
  <c r="D3199" s="1"/>
  <c r="F3186"/>
  <c r="F3189" s="1"/>
  <c r="E3196"/>
  <c r="E3199" s="1"/>
  <c r="D3186"/>
  <c r="D3189" s="1"/>
  <c r="H3186"/>
  <c r="H3189" s="1"/>
  <c r="F3196"/>
  <c r="F3199" s="1"/>
  <c r="G3186"/>
  <c r="G3189" s="1"/>
  <c r="F3145"/>
  <c r="I3145" s="1"/>
  <c r="M3145" s="1"/>
  <c r="Q35" i="5"/>
  <c r="F4374" i="6"/>
  <c r="I4374" s="1"/>
  <c r="I4375" s="1"/>
  <c r="I4376" s="1"/>
  <c r="F3471"/>
  <c r="F3472" s="1"/>
  <c r="F3473" s="1"/>
  <c r="F3474" s="1"/>
  <c r="F756" i="7"/>
  <c r="I756" s="1"/>
  <c r="I758" s="1"/>
  <c r="F795"/>
  <c r="I795" s="1"/>
  <c r="I797" s="1"/>
  <c r="F833"/>
  <c r="I833" s="1"/>
  <c r="I835" s="1"/>
  <c r="F4203" i="6"/>
  <c r="I4203" s="1"/>
  <c r="I4204" s="1"/>
  <c r="I4205" s="1"/>
  <c r="F4028"/>
  <c r="I4028" s="1"/>
  <c r="I4029" s="1"/>
  <c r="I4030" s="1"/>
  <c r="I4031" s="1"/>
  <c r="F26" i="34" s="1"/>
  <c r="G26" s="1"/>
  <c r="F4186" i="6"/>
  <c r="I4186" s="1"/>
  <c r="I4187" s="1"/>
  <c r="I4188" s="1"/>
  <c r="G88" i="45" l="1"/>
  <c r="K88" s="1"/>
  <c r="G83"/>
  <c r="K83" s="1"/>
  <c r="M91" i="41"/>
  <c r="K95"/>
  <c r="L95" s="1"/>
  <c r="L97" s="1"/>
  <c r="D8" i="42" s="1"/>
  <c r="F93" i="46"/>
  <c r="G93" s="1"/>
  <c r="G95" s="1"/>
  <c r="K59" i="41"/>
  <c r="L59" s="1"/>
  <c r="N59" s="1"/>
  <c r="F62" i="46"/>
  <c r="G62" s="1"/>
  <c r="G59" i="45"/>
  <c r="K59" s="1"/>
  <c r="D3797" i="6"/>
  <c r="D3803" s="1"/>
  <c r="D3804" s="1"/>
  <c r="D3805" s="1"/>
  <c r="D3806" s="1"/>
  <c r="G3785"/>
  <c r="G3791" s="1"/>
  <c r="D3785"/>
  <c r="D3791" s="1"/>
  <c r="D3792" s="1"/>
  <c r="D3793" s="1"/>
  <c r="D3794" s="1"/>
  <c r="E3785"/>
  <c r="E3791" s="1"/>
  <c r="E3792" s="1"/>
  <c r="E3793" s="1"/>
  <c r="E3794" s="1"/>
  <c r="K3785"/>
  <c r="K3791" s="1"/>
  <c r="H3785"/>
  <c r="H3791" s="1"/>
  <c r="H2471"/>
  <c r="H2472" s="1"/>
  <c r="H2473" s="1"/>
  <c r="H2474" s="1"/>
  <c r="G2471"/>
  <c r="F4596"/>
  <c r="I4596" s="1"/>
  <c r="I4601" s="1"/>
  <c r="K2471"/>
  <c r="I2471"/>
  <c r="I2472" s="1"/>
  <c r="I2473" s="1"/>
  <c r="I2474" s="1"/>
  <c r="F1411"/>
  <c r="I1411" s="1"/>
  <c r="I1425" s="1"/>
  <c r="D1444" s="1"/>
  <c r="D1451" s="1"/>
  <c r="F4561"/>
  <c r="I4561" s="1"/>
  <c r="D3760"/>
  <c r="D3761" s="1"/>
  <c r="I5007"/>
  <c r="F1947"/>
  <c r="I1947" s="1"/>
  <c r="I1959" s="1"/>
  <c r="E1962" s="1"/>
  <c r="E1968" s="1"/>
  <c r="F1621"/>
  <c r="I1621" s="1"/>
  <c r="I1633" s="1"/>
  <c r="F1635" s="1"/>
  <c r="I1635" s="1"/>
  <c r="H1638" s="1"/>
  <c r="H1644" s="1"/>
  <c r="F1990"/>
  <c r="F2039"/>
  <c r="I2039" s="1"/>
  <c r="I2054" s="1"/>
  <c r="F2899"/>
  <c r="I2899" s="1"/>
  <c r="F2913" s="1"/>
  <c r="I2913" s="1"/>
  <c r="I2914" s="1"/>
  <c r="F2916" s="1"/>
  <c r="I2916" s="1"/>
  <c r="I2924" s="1"/>
  <c r="F4724"/>
  <c r="I4724" s="1"/>
  <c r="I4738" s="1"/>
  <c r="D4740" s="1"/>
  <c r="D4746" s="1"/>
  <c r="D4747" s="1"/>
  <c r="D4748" s="1"/>
  <c r="D4749" s="1"/>
  <c r="F505"/>
  <c r="I505" s="1"/>
  <c r="I519" s="1"/>
  <c r="F542" s="1"/>
  <c r="I542" s="1"/>
  <c r="I546" s="1"/>
  <c r="F659"/>
  <c r="I659" s="1"/>
  <c r="I673" s="1"/>
  <c r="F1025"/>
  <c r="I1025" s="1"/>
  <c r="I1039" s="1"/>
  <c r="I1058" s="1"/>
  <c r="I1065" s="1"/>
  <c r="F4850"/>
  <c r="I4850" s="1"/>
  <c r="I4862" s="1"/>
  <c r="F4863" s="1"/>
  <c r="I4863" s="1"/>
  <c r="I4864" s="1"/>
  <c r="I911"/>
  <c r="I912" s="1"/>
  <c r="H912"/>
  <c r="K2504"/>
  <c r="K2505" s="1"/>
  <c r="K2506" s="1"/>
  <c r="K2507" s="1"/>
  <c r="G2394"/>
  <c r="G2395" s="1"/>
  <c r="G2396" s="1"/>
  <c r="G2397" s="1"/>
  <c r="F419"/>
  <c r="I419" s="1"/>
  <c r="I420" s="1"/>
  <c r="I421" s="1"/>
  <c r="I2504"/>
  <c r="I2505" s="1"/>
  <c r="F651" i="7"/>
  <c r="I651" s="1"/>
  <c r="I652" s="1"/>
  <c r="I653" s="1"/>
  <c r="I654" s="1"/>
  <c r="F2406" i="6"/>
  <c r="F2407" s="1"/>
  <c r="F2408" s="1"/>
  <c r="F2409" s="1"/>
  <c r="D3647"/>
  <c r="D3648" s="1"/>
  <c r="D3649" s="1"/>
  <c r="D3650" s="1"/>
  <c r="D3651" s="1"/>
  <c r="A479"/>
  <c r="A459"/>
  <c r="A500" s="1"/>
  <c r="A654" s="1"/>
  <c r="A743" s="1"/>
  <c r="A1020" s="1"/>
  <c r="A1406" s="1"/>
  <c r="A1617" s="1"/>
  <c r="D3672"/>
  <c r="D3675" s="1"/>
  <c r="D3676" s="1"/>
  <c r="D3677" s="1"/>
  <c r="D3678" s="1"/>
  <c r="D3679" s="1"/>
  <c r="F20" i="34" s="1"/>
  <c r="G20" s="1"/>
  <c r="L3672" i="6"/>
  <c r="L3675" s="1"/>
  <c r="D3682"/>
  <c r="D3685" s="1"/>
  <c r="D3686" s="1"/>
  <c r="D3687" s="1"/>
  <c r="D3688" s="1"/>
  <c r="D3689" s="1"/>
  <c r="E3672"/>
  <c r="E3675" s="1"/>
  <c r="I3672"/>
  <c r="I3675" s="1"/>
  <c r="F3682"/>
  <c r="F3685" s="1"/>
  <c r="F3686" s="1"/>
  <c r="F3687" s="1"/>
  <c r="F3688" s="1"/>
  <c r="F3689" s="1"/>
  <c r="K3672"/>
  <c r="K3675" s="1"/>
  <c r="E3682"/>
  <c r="E3685" s="1"/>
  <c r="G3672"/>
  <c r="G3675" s="1"/>
  <c r="F3672"/>
  <c r="F3675" s="1"/>
  <c r="F3676" s="1"/>
  <c r="F3677" s="1"/>
  <c r="F3678" s="1"/>
  <c r="F3679" s="1"/>
  <c r="H3672"/>
  <c r="H3675" s="1"/>
  <c r="F3647"/>
  <c r="F3648" s="1"/>
  <c r="F3649" s="1"/>
  <c r="F3650" s="1"/>
  <c r="F3651" s="1"/>
  <c r="G3282"/>
  <c r="G3285" s="1"/>
  <c r="K3282"/>
  <c r="K3285" s="1"/>
  <c r="D3282"/>
  <c r="D3285" s="1"/>
  <c r="H3282"/>
  <c r="H3285" s="1"/>
  <c r="L3282"/>
  <c r="L3285" s="1"/>
  <c r="F3282"/>
  <c r="F3285" s="1"/>
  <c r="E3282"/>
  <c r="E3285" s="1"/>
  <c r="I3282"/>
  <c r="I3285" s="1"/>
  <c r="F3251"/>
  <c r="F3254" s="1"/>
  <c r="G3251"/>
  <c r="G3254" s="1"/>
  <c r="K3251"/>
  <c r="K3254" s="1"/>
  <c r="E3251"/>
  <c r="E3254" s="1"/>
  <c r="I3251"/>
  <c r="I3254" s="1"/>
  <c r="D3251"/>
  <c r="D3254" s="1"/>
  <c r="H3251"/>
  <c r="H3254" s="1"/>
  <c r="L3251"/>
  <c r="L3254" s="1"/>
  <c r="E3309"/>
  <c r="E3312" s="1"/>
  <c r="I3309"/>
  <c r="I3312" s="1"/>
  <c r="F3309"/>
  <c r="F3312" s="1"/>
  <c r="D3309"/>
  <c r="D3312" s="1"/>
  <c r="H3309"/>
  <c r="H3312" s="1"/>
  <c r="L3309"/>
  <c r="L3312" s="1"/>
  <c r="K3309"/>
  <c r="K3312" s="1"/>
  <c r="G3309"/>
  <c r="G3312" s="1"/>
  <c r="F437"/>
  <c r="I437" s="1"/>
  <c r="I438" s="1"/>
  <c r="I439" s="1"/>
  <c r="G3010"/>
  <c r="G3013" s="1"/>
  <c r="F3020"/>
  <c r="F3023" s="1"/>
  <c r="D3010"/>
  <c r="D3013" s="1"/>
  <c r="H3010"/>
  <c r="H3013" s="1"/>
  <c r="F3010"/>
  <c r="F3013" s="1"/>
  <c r="E3020"/>
  <c r="E3023" s="1"/>
  <c r="I3010"/>
  <c r="I3013" s="1"/>
  <c r="D3020"/>
  <c r="D3023" s="1"/>
  <c r="E3010"/>
  <c r="E3013" s="1"/>
  <c r="F1695"/>
  <c r="I1695" s="1"/>
  <c r="I1696" s="1"/>
  <c r="I1697" s="1"/>
  <c r="F836" i="7"/>
  <c r="I836" s="1"/>
  <c r="I837" s="1"/>
  <c r="I838" s="1"/>
  <c r="I839" s="1"/>
  <c r="D3441" i="6"/>
  <c r="D3444" s="1"/>
  <c r="H3441"/>
  <c r="H3444" s="1"/>
  <c r="L3441"/>
  <c r="L3444" s="1"/>
  <c r="E3441"/>
  <c r="E3444" s="1"/>
  <c r="I3441"/>
  <c r="I3444" s="1"/>
  <c r="G3441"/>
  <c r="G3444" s="1"/>
  <c r="K3441"/>
  <c r="K3444" s="1"/>
  <c r="F3441"/>
  <c r="F3444" s="1"/>
  <c r="F3344"/>
  <c r="F3345" s="1"/>
  <c r="F3346" s="1"/>
  <c r="F3347" s="1"/>
  <c r="L3344"/>
  <c r="L3345" s="1"/>
  <c r="L3346" s="1"/>
  <c r="L3347" s="1"/>
  <c r="F3593"/>
  <c r="I3593" s="1"/>
  <c r="I3594" s="1"/>
  <c r="E2289"/>
  <c r="E2290" s="1"/>
  <c r="E2291" s="1"/>
  <c r="G1823"/>
  <c r="G1824" s="1"/>
  <c r="G1825" s="1"/>
  <c r="F1810"/>
  <c r="I1810" s="1"/>
  <c r="I1811" s="1"/>
  <c r="I1812" s="1"/>
  <c r="F455"/>
  <c r="I455" s="1"/>
  <c r="I456" s="1"/>
  <c r="I457" s="1"/>
  <c r="K3561"/>
  <c r="K3562" s="1"/>
  <c r="K3563" s="1"/>
  <c r="K3564" s="1"/>
  <c r="G3572"/>
  <c r="G3573" s="1"/>
  <c r="G3574" s="1"/>
  <c r="G3575" s="1"/>
  <c r="I3572"/>
  <c r="I3573" s="1"/>
  <c r="I3574" s="1"/>
  <c r="I3575" s="1"/>
  <c r="L3572"/>
  <c r="L3573" s="1"/>
  <c r="L3574" s="1"/>
  <c r="L3575" s="1"/>
  <c r="E3561"/>
  <c r="E3562" s="1"/>
  <c r="E3563" s="1"/>
  <c r="E3564" s="1"/>
  <c r="F3393"/>
  <c r="F3394" s="1"/>
  <c r="F3395" s="1"/>
  <c r="F3396" s="1"/>
  <c r="I3383"/>
  <c r="I3384" s="1"/>
  <c r="I3385" s="1"/>
  <c r="I3386" s="1"/>
  <c r="D3383"/>
  <c r="D3384" s="1"/>
  <c r="D3385" s="1"/>
  <c r="D3386" s="1"/>
  <c r="F2427"/>
  <c r="I2427" s="1"/>
  <c r="I2428" s="1"/>
  <c r="I2429" s="1"/>
  <c r="E2572"/>
  <c r="E2573" s="1"/>
  <c r="E2574" s="1"/>
  <c r="E2575" s="1"/>
  <c r="D3497"/>
  <c r="D3498" s="1"/>
  <c r="D3499" s="1"/>
  <c r="D3500" s="1"/>
  <c r="E3533"/>
  <c r="E3534" s="1"/>
  <c r="E3535" s="1"/>
  <c r="E3536" s="1"/>
  <c r="H3523"/>
  <c r="H3524" s="1"/>
  <c r="H3525" s="1"/>
  <c r="H3526" s="1"/>
  <c r="D2505"/>
  <c r="D2506" s="1"/>
  <c r="D2507" s="1"/>
  <c r="I2843"/>
  <c r="I2844" s="1"/>
  <c r="I2845" s="1"/>
  <c r="I2846" s="1"/>
  <c r="F798" i="7"/>
  <c r="I798" s="1"/>
  <c r="I799" s="1"/>
  <c r="I800" s="1"/>
  <c r="I801" s="1"/>
  <c r="F4710" i="6"/>
  <c r="I4710" s="1"/>
  <c r="I4712" s="1"/>
  <c r="I4714" s="1"/>
  <c r="F3200"/>
  <c r="F3201" s="1"/>
  <c r="F3202" s="1"/>
  <c r="F3203" s="1"/>
  <c r="F3190"/>
  <c r="F3191" s="1"/>
  <c r="F3192" s="1"/>
  <c r="F3193" s="1"/>
  <c r="F476"/>
  <c r="I476" s="1"/>
  <c r="I477" s="1"/>
  <c r="I478" s="1"/>
  <c r="G2472"/>
  <c r="G2473" s="1"/>
  <c r="G2474" s="1"/>
  <c r="I3091"/>
  <c r="I3092" s="1"/>
  <c r="I3093" s="1"/>
  <c r="I3094" s="1"/>
  <c r="I3095" s="1"/>
  <c r="F2843"/>
  <c r="F2844" s="1"/>
  <c r="F2845" s="1"/>
  <c r="F2846" s="1"/>
  <c r="F759" i="7"/>
  <c r="I759" s="1"/>
  <c r="I760" s="1"/>
  <c r="I761" s="1"/>
  <c r="I762" s="1"/>
  <c r="H3190" i="6"/>
  <c r="H3191" s="1"/>
  <c r="H3192" s="1"/>
  <c r="H3193" s="1"/>
  <c r="D3200"/>
  <c r="D3201" s="1"/>
  <c r="D3202" s="1"/>
  <c r="D3203" s="1"/>
  <c r="E3091"/>
  <c r="E3092" s="1"/>
  <c r="E3093" s="1"/>
  <c r="E3094" s="1"/>
  <c r="E3095" s="1"/>
  <c r="D3190"/>
  <c r="D3191" s="1"/>
  <c r="D3192" s="1"/>
  <c r="D3193" s="1"/>
  <c r="I3190"/>
  <c r="I3191" s="1"/>
  <c r="I3192" s="1"/>
  <c r="I3193" s="1"/>
  <c r="D2472"/>
  <c r="D2473" s="1"/>
  <c r="D2474" s="1"/>
  <c r="E2472"/>
  <c r="E2473" s="1"/>
  <c r="E2474" s="1"/>
  <c r="F2472"/>
  <c r="F2473" s="1"/>
  <c r="F2474" s="1"/>
  <c r="F3091"/>
  <c r="F3092" s="1"/>
  <c r="F3093" s="1"/>
  <c r="F3094" s="1"/>
  <c r="F3095" s="1"/>
  <c r="H3091"/>
  <c r="H3092" s="1"/>
  <c r="H3093" s="1"/>
  <c r="H3094" s="1"/>
  <c r="H3095" s="1"/>
  <c r="G768"/>
  <c r="G774" s="1"/>
  <c r="F768"/>
  <c r="F774" s="1"/>
  <c r="I768"/>
  <c r="I774" s="1"/>
  <c r="F796"/>
  <c r="F802" s="1"/>
  <c r="H768"/>
  <c r="H774" s="1"/>
  <c r="E796"/>
  <c r="E802" s="1"/>
  <c r="I796"/>
  <c r="I802" s="1"/>
  <c r="H796"/>
  <c r="H802" s="1"/>
  <c r="F867"/>
  <c r="I867" s="1"/>
  <c r="F947"/>
  <c r="I947" s="1"/>
  <c r="D951" s="1"/>
  <c r="D957" s="1"/>
  <c r="G796"/>
  <c r="G802" s="1"/>
  <c r="F992"/>
  <c r="I992" s="1"/>
  <c r="F962"/>
  <c r="I962" s="1"/>
  <c r="D966" s="1"/>
  <c r="D972" s="1"/>
  <c r="F977"/>
  <c r="I977" s="1"/>
  <c r="D981" s="1"/>
  <c r="D987" s="1"/>
  <c r="F905"/>
  <c r="I905" s="1"/>
  <c r="E768"/>
  <c r="E774" s="1"/>
  <c r="D796"/>
  <c r="D802" s="1"/>
  <c r="F853"/>
  <c r="I853" s="1"/>
  <c r="D857" s="1"/>
  <c r="D861" s="1"/>
  <c r="D768"/>
  <c r="D774" s="1"/>
  <c r="F2169"/>
  <c r="I2169" s="1"/>
  <c r="I2170" s="1"/>
  <c r="F2141"/>
  <c r="I2141" s="1"/>
  <c r="E3354"/>
  <c r="E3355" s="1"/>
  <c r="E3356" s="1"/>
  <c r="E3357" s="1"/>
  <c r="K3344"/>
  <c r="K3345" s="1"/>
  <c r="K3346" s="1"/>
  <c r="K3347" s="1"/>
  <c r="E3344"/>
  <c r="E3345" s="1"/>
  <c r="E3346" s="1"/>
  <c r="E3347" s="1"/>
  <c r="A473" i="8"/>
  <c r="A485" s="1"/>
  <c r="A453"/>
  <c r="A461" s="1"/>
  <c r="F4774" i="6"/>
  <c r="I4774" s="1"/>
  <c r="I4775" s="1"/>
  <c r="F4777" s="1"/>
  <c r="I4777" s="1"/>
  <c r="I4779" s="1"/>
  <c r="F4684"/>
  <c r="I4684" s="1"/>
  <c r="I4685" s="1"/>
  <c r="I4686" s="1"/>
  <c r="Q37" i="5"/>
  <c r="D2280" i="6"/>
  <c r="D2281" s="1"/>
  <c r="D2282" s="1"/>
  <c r="E2280"/>
  <c r="E2281" s="1"/>
  <c r="E2282" s="1"/>
  <c r="G2344"/>
  <c r="G2350" s="1"/>
  <c r="K2344"/>
  <c r="K2350" s="1"/>
  <c r="D2344"/>
  <c r="D2350" s="1"/>
  <c r="H2344"/>
  <c r="H2350" s="1"/>
  <c r="L2344"/>
  <c r="L2350" s="1"/>
  <c r="D2356"/>
  <c r="D2362" s="1"/>
  <c r="F2344"/>
  <c r="F2350" s="1"/>
  <c r="F2356"/>
  <c r="F2362" s="1"/>
  <c r="I2344"/>
  <c r="I2350" s="1"/>
  <c r="E2344"/>
  <c r="E2350" s="1"/>
  <c r="E2356"/>
  <c r="E2362" s="1"/>
  <c r="F4550"/>
  <c r="I4550" s="1"/>
  <c r="I4552" s="1"/>
  <c r="E1835"/>
  <c r="E1836" s="1"/>
  <c r="E1837" s="1"/>
  <c r="D1823"/>
  <c r="D1824" s="1"/>
  <c r="D1825" s="1"/>
  <c r="F8" i="34" s="1"/>
  <c r="I1823" i="6"/>
  <c r="I1824" s="1"/>
  <c r="I1825" s="1"/>
  <c r="G3792"/>
  <c r="G3793" s="1"/>
  <c r="G3794" s="1"/>
  <c r="K3572"/>
  <c r="K3573" s="1"/>
  <c r="K3574" s="1"/>
  <c r="K3575" s="1"/>
  <c r="D3561"/>
  <c r="D3562" s="1"/>
  <c r="D3563" s="1"/>
  <c r="D3564" s="1"/>
  <c r="F3561"/>
  <c r="F3562" s="1"/>
  <c r="F3563" s="1"/>
  <c r="F3564" s="1"/>
  <c r="I3561"/>
  <c r="I3562" s="1"/>
  <c r="I3563" s="1"/>
  <c r="I3564" s="1"/>
  <c r="E3393"/>
  <c r="E3394" s="1"/>
  <c r="E3395" s="1"/>
  <c r="E3396" s="1"/>
  <c r="D3393"/>
  <c r="D3394" s="1"/>
  <c r="D3395" s="1"/>
  <c r="D3396" s="1"/>
  <c r="H3383"/>
  <c r="H3384" s="1"/>
  <c r="H3385" s="1"/>
  <c r="H3386" s="1"/>
  <c r="I3146"/>
  <c r="F2320"/>
  <c r="F2321" s="1"/>
  <c r="F2322" s="1"/>
  <c r="H2311"/>
  <c r="H2312" s="1"/>
  <c r="H2313" s="1"/>
  <c r="F2877"/>
  <c r="F2880" s="1"/>
  <c r="G2877"/>
  <c r="G2880" s="1"/>
  <c r="F2887"/>
  <c r="F2890" s="1"/>
  <c r="I2877"/>
  <c r="I2880" s="1"/>
  <c r="D2887"/>
  <c r="D2890" s="1"/>
  <c r="H2877"/>
  <c r="H2880" s="1"/>
  <c r="D2877"/>
  <c r="D2880" s="1"/>
  <c r="F2539"/>
  <c r="F2540" s="1"/>
  <c r="F2541" s="1"/>
  <c r="F2542" s="1"/>
  <c r="E2539"/>
  <c r="E2540" s="1"/>
  <c r="E2541" s="1"/>
  <c r="E2542" s="1"/>
  <c r="E2529"/>
  <c r="E2530" s="1"/>
  <c r="E2531" s="1"/>
  <c r="E2532" s="1"/>
  <c r="E3746"/>
  <c r="E3749" s="1"/>
  <c r="I3746"/>
  <c r="I3749" s="1"/>
  <c r="E3755"/>
  <c r="E3758" s="1"/>
  <c r="F3746"/>
  <c r="F3749" s="1"/>
  <c r="F3755"/>
  <c r="F3758" s="1"/>
  <c r="D3746"/>
  <c r="D3749" s="1"/>
  <c r="H3746"/>
  <c r="H3749" s="1"/>
  <c r="L3746"/>
  <c r="L3749" s="1"/>
  <c r="G3746"/>
  <c r="G3749" s="1"/>
  <c r="K3746"/>
  <c r="K3749" s="1"/>
  <c r="I3637"/>
  <c r="D3638"/>
  <c r="D3639" s="1"/>
  <c r="D3640" s="1"/>
  <c r="D3641" s="1"/>
  <c r="D1876"/>
  <c r="D1877" s="1"/>
  <c r="D1878" s="1"/>
  <c r="I1864"/>
  <c r="I1865" s="1"/>
  <c r="I1866" s="1"/>
  <c r="D1864"/>
  <c r="D1865" s="1"/>
  <c r="D1866" s="1"/>
  <c r="F3064"/>
  <c r="F3065" s="1"/>
  <c r="F3066" s="1"/>
  <c r="F3067" s="1"/>
  <c r="E3054"/>
  <c r="E3055" s="1"/>
  <c r="E3056" s="1"/>
  <c r="E3057" s="1"/>
  <c r="G1939"/>
  <c r="G1940" s="1"/>
  <c r="G1941" s="1"/>
  <c r="F2737"/>
  <c r="F2738" s="1"/>
  <c r="F2739" s="1"/>
  <c r="F2740" s="1"/>
  <c r="H2737"/>
  <c r="H2738" s="1"/>
  <c r="H2739" s="1"/>
  <c r="H2740" s="1"/>
  <c r="F2440"/>
  <c r="F2441" s="1"/>
  <c r="F2442" s="1"/>
  <c r="I2439"/>
  <c r="D2440"/>
  <c r="D2441" s="1"/>
  <c r="D2442" s="1"/>
  <c r="D2572"/>
  <c r="D2573" s="1"/>
  <c r="D2574" s="1"/>
  <c r="D2575" s="1"/>
  <c r="G2562"/>
  <c r="G2563" s="1"/>
  <c r="G2564" s="1"/>
  <c r="G2565" s="1"/>
  <c r="H3497"/>
  <c r="H3498" s="1"/>
  <c r="H3499" s="1"/>
  <c r="H3500" s="1"/>
  <c r="I3497"/>
  <c r="I3498" s="1"/>
  <c r="I3499" s="1"/>
  <c r="I3500" s="1"/>
  <c r="E2406"/>
  <c r="E2395"/>
  <c r="E2396" s="1"/>
  <c r="E2397" s="1"/>
  <c r="D1911"/>
  <c r="D1912" s="1"/>
  <c r="D1913" s="1"/>
  <c r="I1911"/>
  <c r="I1912" s="1"/>
  <c r="I1913" s="1"/>
  <c r="F3523"/>
  <c r="F3524" s="1"/>
  <c r="F3525" s="1"/>
  <c r="F3526" s="1"/>
  <c r="G3523"/>
  <c r="G3524" s="1"/>
  <c r="G3525" s="1"/>
  <c r="G3526" s="1"/>
  <c r="L3523"/>
  <c r="L3524" s="1"/>
  <c r="L3525" s="1"/>
  <c r="L3526" s="1"/>
  <c r="H2504"/>
  <c r="F2505"/>
  <c r="F2506" s="1"/>
  <c r="F2507" s="1"/>
  <c r="G3190"/>
  <c r="G3191" s="1"/>
  <c r="G3192" s="1"/>
  <c r="G3193" s="1"/>
  <c r="E3200"/>
  <c r="E3201" s="1"/>
  <c r="E3202" s="1"/>
  <c r="E3203" s="1"/>
  <c r="E3190"/>
  <c r="E3191" s="1"/>
  <c r="E3192" s="1"/>
  <c r="E3193" s="1"/>
  <c r="L2472"/>
  <c r="L2473" s="1"/>
  <c r="L2474" s="1"/>
  <c r="K2472"/>
  <c r="K2473" s="1"/>
  <c r="K2474" s="1"/>
  <c r="G3091"/>
  <c r="G3092" s="1"/>
  <c r="G3093" s="1"/>
  <c r="G3094" s="1"/>
  <c r="G3095" s="1"/>
  <c r="D3091"/>
  <c r="D3092" s="1"/>
  <c r="D3093" s="1"/>
  <c r="D3094" s="1"/>
  <c r="D3095" s="1"/>
  <c r="I1962"/>
  <c r="I1968" s="1"/>
  <c r="H1962"/>
  <c r="H1968" s="1"/>
  <c r="F2215"/>
  <c r="I2215" s="1"/>
  <c r="F2231"/>
  <c r="I2231" s="1"/>
  <c r="F2247"/>
  <c r="I2247" s="1"/>
  <c r="G3344"/>
  <c r="G3345" s="1"/>
  <c r="G3346" s="1"/>
  <c r="G3347" s="1"/>
  <c r="D2853"/>
  <c r="D2854" s="1"/>
  <c r="D2855" s="1"/>
  <c r="D2856" s="1"/>
  <c r="D2289"/>
  <c r="D2290" s="1"/>
  <c r="D2291" s="1"/>
  <c r="G2983"/>
  <c r="G2986" s="1"/>
  <c r="K2983"/>
  <c r="K2986" s="1"/>
  <c r="E2983"/>
  <c r="E2986" s="1"/>
  <c r="I2983"/>
  <c r="I2986" s="1"/>
  <c r="D2983"/>
  <c r="D2986" s="1"/>
  <c r="L2983"/>
  <c r="L2986" s="1"/>
  <c r="F2983"/>
  <c r="F2986" s="1"/>
  <c r="H2983"/>
  <c r="H2986" s="1"/>
  <c r="I2311"/>
  <c r="I2312" s="1"/>
  <c r="I2313" s="1"/>
  <c r="I4602"/>
  <c r="I4603" s="1"/>
  <c r="F1073"/>
  <c r="F1079" s="1"/>
  <c r="E1114"/>
  <c r="E1121" s="1"/>
  <c r="H1058"/>
  <c r="H1065" s="1"/>
  <c r="D1099"/>
  <c r="D1106" s="1"/>
  <c r="G1073"/>
  <c r="G1079" s="1"/>
  <c r="F1099"/>
  <c r="F1106" s="1"/>
  <c r="D1073"/>
  <c r="D1079" s="1"/>
  <c r="I1045"/>
  <c r="I1051" s="1"/>
  <c r="F1198" i="7"/>
  <c r="I1198" s="1"/>
  <c r="I1199" s="1"/>
  <c r="I1200" s="1"/>
  <c r="I1201" s="1"/>
  <c r="D2098" i="6"/>
  <c r="D2104" s="1"/>
  <c r="H2098"/>
  <c r="H2104" s="1"/>
  <c r="F2111"/>
  <c r="F2117" s="1"/>
  <c r="E2098"/>
  <c r="E2104" s="1"/>
  <c r="I2098"/>
  <c r="I2104" s="1"/>
  <c r="G2098"/>
  <c r="G2104" s="1"/>
  <c r="E2111"/>
  <c r="E2117" s="1"/>
  <c r="D2111"/>
  <c r="D2117" s="1"/>
  <c r="F2098"/>
  <c r="F2104" s="1"/>
  <c r="D3354"/>
  <c r="D3355" s="1"/>
  <c r="D3356" s="1"/>
  <c r="D3357" s="1"/>
  <c r="H3344"/>
  <c r="H3345" s="1"/>
  <c r="H3346" s="1"/>
  <c r="H3347" s="1"/>
  <c r="E2853"/>
  <c r="E2854" s="1"/>
  <c r="E2855" s="1"/>
  <c r="E2856" s="1"/>
  <c r="F2289"/>
  <c r="F2290" s="1"/>
  <c r="F2291" s="1"/>
  <c r="G2280"/>
  <c r="G2281" s="1"/>
  <c r="G2282" s="1"/>
  <c r="D2816"/>
  <c r="D2817" s="1"/>
  <c r="D2818" s="1"/>
  <c r="D2819" s="1"/>
  <c r="F1835"/>
  <c r="F1836" s="1"/>
  <c r="F1837" s="1"/>
  <c r="D1835"/>
  <c r="D1836" s="1"/>
  <c r="D1837" s="1"/>
  <c r="E3804"/>
  <c r="E3805" s="1"/>
  <c r="E3806" s="1"/>
  <c r="F3792"/>
  <c r="F3793" s="1"/>
  <c r="F3794" s="1"/>
  <c r="F3572"/>
  <c r="F3573" s="1"/>
  <c r="F3574" s="1"/>
  <c r="F3575" s="1"/>
  <c r="L3561"/>
  <c r="L3562" s="1"/>
  <c r="L3563" s="1"/>
  <c r="L3564" s="1"/>
  <c r="E3572"/>
  <c r="E3573" s="1"/>
  <c r="E3574" s="1"/>
  <c r="E3575" s="1"/>
  <c r="H3572"/>
  <c r="H3573" s="1"/>
  <c r="H3574" s="1"/>
  <c r="H3575" s="1"/>
  <c r="K3383"/>
  <c r="K3384" s="1"/>
  <c r="K3385" s="1"/>
  <c r="K3386" s="1"/>
  <c r="E3383"/>
  <c r="E3384" s="1"/>
  <c r="E3385" s="1"/>
  <c r="E3386" s="1"/>
  <c r="E2843"/>
  <c r="E2844" s="1"/>
  <c r="E2845" s="1"/>
  <c r="E2846" s="1"/>
  <c r="F2311"/>
  <c r="F2312" s="1"/>
  <c r="F2313" s="1"/>
  <c r="D2320"/>
  <c r="D2321" s="1"/>
  <c r="D2322" s="1"/>
  <c r="D2642"/>
  <c r="D2645" s="1"/>
  <c r="H2642"/>
  <c r="H2645" s="1"/>
  <c r="L2642"/>
  <c r="L2645" s="1"/>
  <c r="E2642"/>
  <c r="E2645" s="1"/>
  <c r="I2642"/>
  <c r="I2645" s="1"/>
  <c r="G2642"/>
  <c r="G2645" s="1"/>
  <c r="K2642"/>
  <c r="K2645" s="1"/>
  <c r="F2642"/>
  <c r="F2645" s="1"/>
  <c r="H2529"/>
  <c r="H2530" s="1"/>
  <c r="H2531" s="1"/>
  <c r="H2532" s="1"/>
  <c r="D2539"/>
  <c r="D2540" s="1"/>
  <c r="D2541" s="1"/>
  <c r="D2542" s="1"/>
  <c r="F1776"/>
  <c r="I1776" s="1"/>
  <c r="I1777" s="1"/>
  <c r="I1778" s="1"/>
  <c r="E3637"/>
  <c r="L3637"/>
  <c r="K3637"/>
  <c r="E1876"/>
  <c r="E1877" s="1"/>
  <c r="E1878" s="1"/>
  <c r="F1876"/>
  <c r="F1877" s="1"/>
  <c r="F1878" s="1"/>
  <c r="E2891"/>
  <c r="E2892" s="1"/>
  <c r="E2893" s="1"/>
  <c r="E2894" s="1"/>
  <c r="F3054"/>
  <c r="F3055" s="1"/>
  <c r="F3056" s="1"/>
  <c r="F3057" s="1"/>
  <c r="D3064"/>
  <c r="D3065" s="1"/>
  <c r="D3066" s="1"/>
  <c r="D3067" s="1"/>
  <c r="D3054"/>
  <c r="D3055" s="1"/>
  <c r="D3056" s="1"/>
  <c r="D3057" s="1"/>
  <c r="H1939"/>
  <c r="H1940" s="1"/>
  <c r="H1941" s="1"/>
  <c r="I1939"/>
  <c r="I1940" s="1"/>
  <c r="I1941" s="1"/>
  <c r="F1166" i="7"/>
  <c r="I1166" s="1"/>
  <c r="I1167" s="1"/>
  <c r="I1168" s="1"/>
  <c r="I1169" s="1"/>
  <c r="I2737" i="6"/>
  <c r="I2738" s="1"/>
  <c r="I2739" s="1"/>
  <c r="I2740" s="1"/>
  <c r="K2439"/>
  <c r="L2439"/>
  <c r="H2562"/>
  <c r="H2563" s="1"/>
  <c r="H2564" s="1"/>
  <c r="H2565" s="1"/>
  <c r="E2562"/>
  <c r="E2563" s="1"/>
  <c r="E2564" s="1"/>
  <c r="E2565" s="1"/>
  <c r="F2562"/>
  <c r="F2563" s="1"/>
  <c r="F2564" s="1"/>
  <c r="F2565" s="1"/>
  <c r="G3497"/>
  <c r="G3498" s="1"/>
  <c r="G3499" s="1"/>
  <c r="G3500" s="1"/>
  <c r="D2406"/>
  <c r="F2596"/>
  <c r="I2596" s="1"/>
  <c r="I2597" s="1"/>
  <c r="I2598" s="1"/>
  <c r="H2394"/>
  <c r="L1911"/>
  <c r="L1912" s="1"/>
  <c r="L1913" s="1"/>
  <c r="K1911"/>
  <c r="K1912" s="1"/>
  <c r="K1913" s="1"/>
  <c r="F3533"/>
  <c r="F3534" s="1"/>
  <c r="F3535" s="1"/>
  <c r="F3536" s="1"/>
  <c r="I3523"/>
  <c r="I3524" s="1"/>
  <c r="I3525" s="1"/>
  <c r="I3526" s="1"/>
  <c r="D3523"/>
  <c r="D3524" s="1"/>
  <c r="D3525" s="1"/>
  <c r="D3526" s="1"/>
  <c r="F18" i="34" s="1"/>
  <c r="G18" s="1"/>
  <c r="G2504" i="6"/>
  <c r="F2492"/>
  <c r="I2492" s="1"/>
  <c r="I2493" s="1"/>
  <c r="I2494" s="1"/>
  <c r="E2505"/>
  <c r="E2506" s="1"/>
  <c r="E2507" s="1"/>
  <c r="D2057"/>
  <c r="D2063" s="1"/>
  <c r="H2057"/>
  <c r="H2063" s="1"/>
  <c r="L2057"/>
  <c r="L2063" s="1"/>
  <c r="F2057"/>
  <c r="F2063" s="1"/>
  <c r="K2057"/>
  <c r="K2063" s="1"/>
  <c r="E2069"/>
  <c r="E2075" s="1"/>
  <c r="E2057"/>
  <c r="E2063" s="1"/>
  <c r="F2069"/>
  <c r="F2075" s="1"/>
  <c r="I2057"/>
  <c r="I2063" s="1"/>
  <c r="D2069"/>
  <c r="D2075" s="1"/>
  <c r="G2057"/>
  <c r="G2063" s="1"/>
  <c r="A95" i="2"/>
  <c r="A96"/>
  <c r="A97" s="1"/>
  <c r="A98" s="1"/>
  <c r="A99" s="1"/>
  <c r="A100" s="1"/>
  <c r="A101" s="1"/>
  <c r="A102" s="1"/>
  <c r="A103" s="1"/>
  <c r="A104" s="1"/>
  <c r="A105" s="1"/>
  <c r="A106" s="1"/>
  <c r="A107" s="1"/>
  <c r="A108" s="1"/>
  <c r="A109" s="1"/>
  <c r="A110" s="1"/>
  <c r="A112" s="1"/>
  <c r="A114" s="1"/>
  <c r="A115" s="1"/>
  <c r="A117" s="1"/>
  <c r="A118" s="1"/>
  <c r="A119" s="1"/>
  <c r="A120" s="1"/>
  <c r="A123" s="1"/>
  <c r="A127" s="1"/>
  <c r="A131" s="1"/>
  <c r="A132" s="1"/>
  <c r="A133" s="1"/>
  <c r="A134" s="1"/>
  <c r="A136" s="1"/>
  <c r="A140" s="1"/>
  <c r="A141" s="1"/>
  <c r="A143" s="1"/>
  <c r="A147" s="1"/>
  <c r="A148"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80" s="1"/>
  <c r="A181" s="1"/>
  <c r="A182" s="1"/>
  <c r="A183" s="1"/>
  <c r="A185" s="1"/>
  <c r="A186" s="1"/>
  <c r="A187" s="1"/>
  <c r="A188" s="1"/>
  <c r="A189" s="1"/>
  <c r="A190" s="1"/>
  <c r="A191" s="1"/>
  <c r="A192" s="1"/>
  <c r="A194" s="1"/>
  <c r="A195" s="1"/>
  <c r="A197" s="1"/>
  <c r="A198" s="1"/>
  <c r="A199" s="1"/>
  <c r="A200" s="1"/>
  <c r="A201" s="1"/>
  <c r="A202" s="1"/>
  <c r="A203" s="1"/>
  <c r="A204" s="1"/>
  <c r="A205" s="1"/>
  <c r="A206" s="1"/>
  <c r="A207" s="1"/>
  <c r="A209" s="1"/>
  <c r="A220" s="1"/>
  <c r="A243" s="1"/>
  <c r="A254" s="1"/>
  <c r="A262" s="1"/>
  <c r="A273" s="1"/>
  <c r="A283" s="1"/>
  <c r="A288" s="1"/>
  <c r="A289" s="1"/>
  <c r="A290" s="1"/>
  <c r="A291" s="1"/>
  <c r="A292" s="1"/>
  <c r="A293" s="1"/>
  <c r="A294" s="1"/>
  <c r="A295" s="1"/>
  <c r="A296" s="1"/>
  <c r="E1823" i="6"/>
  <c r="E1824" s="1"/>
  <c r="E1825" s="1"/>
  <c r="D2311"/>
  <c r="D2312" s="1"/>
  <c r="D2313" s="1"/>
  <c r="A853" i="7"/>
  <c r="A859" s="1"/>
  <c r="A865" s="1"/>
  <c r="A871" s="1"/>
  <c r="A960" s="1"/>
  <c r="A1047" s="1"/>
  <c r="A1059" s="1"/>
  <c r="A1065"/>
  <c r="F164"/>
  <c r="I164" s="1"/>
  <c r="I165" s="1"/>
  <c r="I166" s="1"/>
  <c r="I167" s="1"/>
  <c r="F2696" i="6"/>
  <c r="F2699" s="1"/>
  <c r="E2706"/>
  <c r="E2709" s="1"/>
  <c r="G2696"/>
  <c r="G2699" s="1"/>
  <c r="F2706"/>
  <c r="F2709" s="1"/>
  <c r="E2696"/>
  <c r="E2699" s="1"/>
  <c r="I2696"/>
  <c r="I2699" s="1"/>
  <c r="D2706"/>
  <c r="D2709" s="1"/>
  <c r="H2696"/>
  <c r="H2699" s="1"/>
  <c r="D2696"/>
  <c r="D2699" s="1"/>
  <c r="G2529"/>
  <c r="G2530" s="1"/>
  <c r="G2531" s="1"/>
  <c r="G2532" s="1"/>
  <c r="F2529"/>
  <c r="F2530" s="1"/>
  <c r="F2531" s="1"/>
  <c r="F2532" s="1"/>
  <c r="F1742"/>
  <c r="I1742" s="1"/>
  <c r="I1743" s="1"/>
  <c r="F3637"/>
  <c r="F1864"/>
  <c r="F1865" s="1"/>
  <c r="F1866" s="1"/>
  <c r="E1864"/>
  <c r="E1865" s="1"/>
  <c r="E1866" s="1"/>
  <c r="E2881"/>
  <c r="E2882" s="1"/>
  <c r="E2883" s="1"/>
  <c r="E2884" s="1"/>
  <c r="G2669"/>
  <c r="G2672" s="1"/>
  <c r="K2669"/>
  <c r="K2672" s="1"/>
  <c r="D2669"/>
  <c r="D2672" s="1"/>
  <c r="H2669"/>
  <c r="H2672" s="1"/>
  <c r="L2669"/>
  <c r="L2672" s="1"/>
  <c r="F2669"/>
  <c r="F2672" s="1"/>
  <c r="E2669"/>
  <c r="E2672" s="1"/>
  <c r="I2669"/>
  <c r="I2672" s="1"/>
  <c r="G3054"/>
  <c r="G3055" s="1"/>
  <c r="G3056" s="1"/>
  <c r="G3057" s="1"/>
  <c r="H3054"/>
  <c r="H3055" s="1"/>
  <c r="H3056" s="1"/>
  <c r="H3057" s="1"/>
  <c r="L1939"/>
  <c r="L1940" s="1"/>
  <c r="L1941" s="1"/>
  <c r="F1939"/>
  <c r="F1940" s="1"/>
  <c r="F1941" s="1"/>
  <c r="F1145" i="7"/>
  <c r="I1145" s="1"/>
  <c r="I1146" s="1"/>
  <c r="I1147" s="1"/>
  <c r="I1148" s="1"/>
  <c r="G2737" i="6"/>
  <c r="G2738" s="1"/>
  <c r="G2739" s="1"/>
  <c r="G2740" s="1"/>
  <c r="D2737"/>
  <c r="D2738" s="1"/>
  <c r="D2739" s="1"/>
  <c r="D2740" s="1"/>
  <c r="E2440"/>
  <c r="E2441" s="1"/>
  <c r="E2442" s="1"/>
  <c r="I2562"/>
  <c r="I2563" s="1"/>
  <c r="I2564" s="1"/>
  <c r="I2565" s="1"/>
  <c r="K3497"/>
  <c r="K3498" s="1"/>
  <c r="K3499" s="1"/>
  <c r="K3500" s="1"/>
  <c r="E3497"/>
  <c r="E3498" s="1"/>
  <c r="E3499" s="1"/>
  <c r="E3500" s="1"/>
  <c r="F1898"/>
  <c r="I1898" s="1"/>
  <c r="I1899" s="1"/>
  <c r="I1900" s="1"/>
  <c r="E1911"/>
  <c r="E1912" s="1"/>
  <c r="E1913" s="1"/>
  <c r="F1911"/>
  <c r="F1912" s="1"/>
  <c r="F1913" s="1"/>
  <c r="D3533"/>
  <c r="D3534" s="1"/>
  <c r="D3535" s="1"/>
  <c r="D3536" s="1"/>
  <c r="D3225"/>
  <c r="D3228" s="1"/>
  <c r="H3225"/>
  <c r="H3228" s="1"/>
  <c r="L3225"/>
  <c r="L3228" s="1"/>
  <c r="E3225"/>
  <c r="E3228" s="1"/>
  <c r="I3225"/>
  <c r="I3228" s="1"/>
  <c r="G3225"/>
  <c r="G3228" s="1"/>
  <c r="K3225"/>
  <c r="K3228" s="1"/>
  <c r="F3225"/>
  <c r="F3228" s="1"/>
  <c r="D1431"/>
  <c r="D1437" s="1"/>
  <c r="H1444"/>
  <c r="H1451" s="1"/>
  <c r="K1431"/>
  <c r="K1437" s="1"/>
  <c r="G1444"/>
  <c r="G1451" s="1"/>
  <c r="G1431"/>
  <c r="G1437" s="1"/>
  <c r="F1230" i="7"/>
  <c r="I1230" s="1"/>
  <c r="I1231" s="1"/>
  <c r="I1232" s="1"/>
  <c r="I1233" s="1"/>
  <c r="F3108" i="6"/>
  <c r="I3108" s="1"/>
  <c r="I3109" s="1"/>
  <c r="G1673"/>
  <c r="G1679" s="1"/>
  <c r="E1673"/>
  <c r="E1679" s="1"/>
  <c r="I1673"/>
  <c r="I1679" s="1"/>
  <c r="H1673"/>
  <c r="H1679" s="1"/>
  <c r="F1673"/>
  <c r="F1679" s="1"/>
  <c r="D1673"/>
  <c r="D1679" s="1"/>
  <c r="F3354"/>
  <c r="F3355" s="1"/>
  <c r="F3356" s="1"/>
  <c r="F3357" s="1"/>
  <c r="I3344"/>
  <c r="I3345" s="1"/>
  <c r="I3346" s="1"/>
  <c r="I3347" s="1"/>
  <c r="D3344"/>
  <c r="D3345" s="1"/>
  <c r="D3346" s="1"/>
  <c r="D3347" s="1"/>
  <c r="G3415"/>
  <c r="G3418" s="1"/>
  <c r="K3415"/>
  <c r="K3418" s="1"/>
  <c r="D3415"/>
  <c r="D3418" s="1"/>
  <c r="H3415"/>
  <c r="H3418" s="1"/>
  <c r="L3415"/>
  <c r="L3418" s="1"/>
  <c r="F3415"/>
  <c r="F3418" s="1"/>
  <c r="I3415"/>
  <c r="I3418" s="1"/>
  <c r="E3415"/>
  <c r="E3418" s="1"/>
  <c r="H2280"/>
  <c r="H2281" s="1"/>
  <c r="H2282" s="1"/>
  <c r="I2280"/>
  <c r="I2281" s="1"/>
  <c r="I2282" s="1"/>
  <c r="F2280"/>
  <c r="F2281" s="1"/>
  <c r="F2282" s="1"/>
  <c r="F2812"/>
  <c r="E2815"/>
  <c r="H1823"/>
  <c r="H1824" s="1"/>
  <c r="H1825" s="1"/>
  <c r="F1823"/>
  <c r="F1824" s="1"/>
  <c r="F1825" s="1"/>
  <c r="K3792"/>
  <c r="K3793" s="1"/>
  <c r="K3794" s="1"/>
  <c r="H3792"/>
  <c r="H3793" s="1"/>
  <c r="H3794" s="1"/>
  <c r="I3792"/>
  <c r="I3793" s="1"/>
  <c r="I3794" s="1"/>
  <c r="G3561"/>
  <c r="G3562" s="1"/>
  <c r="G3563" s="1"/>
  <c r="G3564" s="1"/>
  <c r="H3561"/>
  <c r="H3562" s="1"/>
  <c r="H3563" s="1"/>
  <c r="H3564" s="1"/>
  <c r="D3572"/>
  <c r="D3573" s="1"/>
  <c r="D3574" s="1"/>
  <c r="D3575" s="1"/>
  <c r="F3383"/>
  <c r="F3384" s="1"/>
  <c r="F3385" s="1"/>
  <c r="F3386" s="1"/>
  <c r="G3383"/>
  <c r="G3384" s="1"/>
  <c r="G3385" s="1"/>
  <c r="G3386" s="1"/>
  <c r="L3383"/>
  <c r="L3384" s="1"/>
  <c r="L3385" s="1"/>
  <c r="L3386" s="1"/>
  <c r="F2853"/>
  <c r="F2854" s="1"/>
  <c r="F2855" s="1"/>
  <c r="F2856" s="1"/>
  <c r="F2785"/>
  <c r="F2788" s="1"/>
  <c r="G2785"/>
  <c r="G2788" s="1"/>
  <c r="K2785"/>
  <c r="K2788" s="1"/>
  <c r="E2785"/>
  <c r="E2788" s="1"/>
  <c r="I2785"/>
  <c r="I2788" s="1"/>
  <c r="D2785"/>
  <c r="D2788" s="1"/>
  <c r="L2785"/>
  <c r="L2788" s="1"/>
  <c r="H2785"/>
  <c r="H2788" s="1"/>
  <c r="F1115" i="7"/>
  <c r="I1115" s="1"/>
  <c r="I1116" s="1"/>
  <c r="I1117" s="1"/>
  <c r="F30" i="34" s="1"/>
  <c r="G30" s="1"/>
  <c r="E2311" i="6"/>
  <c r="E2312" s="1"/>
  <c r="E2313" s="1"/>
  <c r="E2320"/>
  <c r="E2321" s="1"/>
  <c r="E2322" s="1"/>
  <c r="G2311"/>
  <c r="G2312" s="1"/>
  <c r="G2313" s="1"/>
  <c r="D2529"/>
  <c r="D2530" s="1"/>
  <c r="D2531" s="1"/>
  <c r="D2532" s="1"/>
  <c r="I2529"/>
  <c r="I2530" s="1"/>
  <c r="I2531" s="1"/>
  <c r="I2532" s="1"/>
  <c r="F1720"/>
  <c r="I1720" s="1"/>
  <c r="I1721" s="1"/>
  <c r="I1725" s="1"/>
  <c r="E3647"/>
  <c r="H3637"/>
  <c r="G3637"/>
  <c r="G1864"/>
  <c r="G1865" s="1"/>
  <c r="G1866" s="1"/>
  <c r="H1864"/>
  <c r="H1865" s="1"/>
  <c r="H1866" s="1"/>
  <c r="E3064"/>
  <c r="E3065" s="1"/>
  <c r="E3066" s="1"/>
  <c r="E3067" s="1"/>
  <c r="I3054"/>
  <c r="I3055" s="1"/>
  <c r="I3056" s="1"/>
  <c r="I3057" s="1"/>
  <c r="K1939"/>
  <c r="K1940" s="1"/>
  <c r="K1941" s="1"/>
  <c r="D1939"/>
  <c r="D1940" s="1"/>
  <c r="D1941" s="1"/>
  <c r="E1939"/>
  <c r="E1940" s="1"/>
  <c r="E1941" s="1"/>
  <c r="I184"/>
  <c r="F188"/>
  <c r="I188" s="1"/>
  <c r="I192" s="1"/>
  <c r="I193" s="1"/>
  <c r="E2737"/>
  <c r="E2738" s="1"/>
  <c r="E2739" s="1"/>
  <c r="E2740" s="1"/>
  <c r="G2439"/>
  <c r="H2439"/>
  <c r="D2562"/>
  <c r="D2563" s="1"/>
  <c r="D2564" s="1"/>
  <c r="D2565" s="1"/>
  <c r="F2572"/>
  <c r="F2573" s="1"/>
  <c r="F2574" s="1"/>
  <c r="F2575" s="1"/>
  <c r="L3497"/>
  <c r="L3498" s="1"/>
  <c r="L3499" s="1"/>
  <c r="L3500" s="1"/>
  <c r="F3497"/>
  <c r="F3498" s="1"/>
  <c r="F3499" s="1"/>
  <c r="F3500" s="1"/>
  <c r="F2395"/>
  <c r="F2396" s="1"/>
  <c r="F2397" s="1"/>
  <c r="I2394"/>
  <c r="D2395"/>
  <c r="D2396" s="1"/>
  <c r="D2397" s="1"/>
  <c r="F10" i="34" s="1"/>
  <c r="H1911" i="6"/>
  <c r="H1912" s="1"/>
  <c r="H1913" s="1"/>
  <c r="G1911"/>
  <c r="G1912" s="1"/>
  <c r="G1913" s="1"/>
  <c r="K3523"/>
  <c r="K3524" s="1"/>
  <c r="K3525" s="1"/>
  <c r="K3526" s="1"/>
  <c r="E3523"/>
  <c r="E3524" s="1"/>
  <c r="E3525" s="1"/>
  <c r="E3526" s="1"/>
  <c r="L2504"/>
  <c r="M95" i="41" l="1"/>
  <c r="M97" s="1"/>
  <c r="E8" i="42" s="1"/>
  <c r="G92" i="45"/>
  <c r="N95" i="41"/>
  <c r="N97" s="1"/>
  <c r="F8" i="42" s="1"/>
  <c r="I1444" i="6"/>
  <c r="I1451" s="1"/>
  <c r="I1452" s="1"/>
  <c r="I1453" s="1"/>
  <c r="I1454" s="1"/>
  <c r="I1431"/>
  <c r="I1437" s="1"/>
  <c r="E1444"/>
  <c r="E1451" s="1"/>
  <c r="F1444"/>
  <c r="F1451" s="1"/>
  <c r="E1457"/>
  <c r="E1464" s="1"/>
  <c r="E1465" s="1"/>
  <c r="E1466" s="1"/>
  <c r="E1467" s="1"/>
  <c r="H1431"/>
  <c r="H1437" s="1"/>
  <c r="F1058"/>
  <c r="F1065" s="1"/>
  <c r="I1086"/>
  <c r="I1093" s="1"/>
  <c r="F1199"/>
  <c r="I1199" s="1"/>
  <c r="H1204" s="1"/>
  <c r="H1210" s="1"/>
  <c r="H1045"/>
  <c r="H1051" s="1"/>
  <c r="D1114"/>
  <c r="D1121" s="1"/>
  <c r="E1073"/>
  <c r="E1079" s="1"/>
  <c r="F1143"/>
  <c r="I1143" s="1"/>
  <c r="D1146" s="1"/>
  <c r="D1152" s="1"/>
  <c r="D1086"/>
  <c r="D1093" s="1"/>
  <c r="G1045"/>
  <c r="G1051" s="1"/>
  <c r="F1974"/>
  <c r="F1980" s="1"/>
  <c r="F1962"/>
  <c r="F1968" s="1"/>
  <c r="K51" i="41"/>
  <c r="L51" s="1"/>
  <c r="N51" s="1"/>
  <c r="F54" i="46"/>
  <c r="G54" s="1"/>
  <c r="F51" i="45"/>
  <c r="G51" s="1"/>
  <c r="F1600" i="6"/>
  <c r="I1600" s="1"/>
  <c r="G1606" s="1"/>
  <c r="G1612" s="1"/>
  <c r="F1272"/>
  <c r="I1272" s="1"/>
  <c r="E1058"/>
  <c r="E1065" s="1"/>
  <c r="F1558"/>
  <c r="I1558" s="1"/>
  <c r="I1575" s="1"/>
  <c r="I1582" s="1"/>
  <c r="D1457"/>
  <c r="D1464" s="1"/>
  <c r="F1457"/>
  <c r="F1464" s="1"/>
  <c r="F1515"/>
  <c r="I1515" s="1"/>
  <c r="L1431"/>
  <c r="L1437" s="1"/>
  <c r="D1129"/>
  <c r="D1136" s="1"/>
  <c r="D1045"/>
  <c r="D1051" s="1"/>
  <c r="H1073"/>
  <c r="H1079" s="1"/>
  <c r="I1073"/>
  <c r="I1079" s="1"/>
  <c r="I1080" s="1"/>
  <c r="I1081" s="1"/>
  <c r="I1082" s="1"/>
  <c r="F1045"/>
  <c r="F1051" s="1"/>
  <c r="H1086"/>
  <c r="H1093" s="1"/>
  <c r="G1962"/>
  <c r="G1968" s="1"/>
  <c r="D1974"/>
  <c r="D1980" s="1"/>
  <c r="F1331"/>
  <c r="I1331" s="1"/>
  <c r="F1472"/>
  <c r="I1472" s="1"/>
  <c r="E1431"/>
  <c r="E1437" s="1"/>
  <c r="F1375"/>
  <c r="I1375" s="1"/>
  <c r="E1379" s="1"/>
  <c r="E1386" s="1"/>
  <c r="F1431"/>
  <c r="F1437" s="1"/>
  <c r="F1086"/>
  <c r="F1093" s="1"/>
  <c r="G1058"/>
  <c r="G1065" s="1"/>
  <c r="E1086"/>
  <c r="E1093" s="1"/>
  <c r="E1045"/>
  <c r="E1051" s="1"/>
  <c r="G1086"/>
  <c r="G1093" s="1"/>
  <c r="D1058"/>
  <c r="D1065" s="1"/>
  <c r="E1099"/>
  <c r="E1106" s="1"/>
  <c r="E1974"/>
  <c r="E1980" s="1"/>
  <c r="D1962"/>
  <c r="D1968" s="1"/>
  <c r="M59" i="41"/>
  <c r="G6" i="34"/>
  <c r="F552" i="6"/>
  <c r="I552" s="1"/>
  <c r="I556" s="1"/>
  <c r="F557" s="1"/>
  <c r="I557" s="1"/>
  <c r="I558" s="1"/>
  <c r="I559" s="1"/>
  <c r="G692"/>
  <c r="G699" s="1"/>
  <c r="G700" s="1"/>
  <c r="G701" s="1"/>
  <c r="G702" s="1"/>
  <c r="I679"/>
  <c r="I685" s="1"/>
  <c r="I686" s="1"/>
  <c r="I687" s="1"/>
  <c r="I688" s="1"/>
  <c r="I692"/>
  <c r="I699" s="1"/>
  <c r="E720"/>
  <c r="E726" s="1"/>
  <c r="I781"/>
  <c r="I788" s="1"/>
  <c r="I789" s="1"/>
  <c r="I790" s="1"/>
  <c r="I791" s="1"/>
  <c r="G809"/>
  <c r="G816" s="1"/>
  <c r="G817" s="1"/>
  <c r="G818" s="1"/>
  <c r="G819" s="1"/>
  <c r="E824"/>
  <c r="E831" s="1"/>
  <c r="D732"/>
  <c r="D738" s="1"/>
  <c r="D739" s="1"/>
  <c r="D740" s="1"/>
  <c r="D741" s="1"/>
  <c r="F720"/>
  <c r="F726" s="1"/>
  <c r="F727" s="1"/>
  <c r="F728" s="1"/>
  <c r="F729" s="1"/>
  <c r="G839"/>
  <c r="G846" s="1"/>
  <c r="G847" s="1"/>
  <c r="G848" s="1"/>
  <c r="G849" s="1"/>
  <c r="G781"/>
  <c r="G788" s="1"/>
  <c r="G789" s="1"/>
  <c r="G790" s="1"/>
  <c r="G791" s="1"/>
  <c r="E732"/>
  <c r="E738" s="1"/>
  <c r="E739" s="1"/>
  <c r="E740" s="1"/>
  <c r="E741" s="1"/>
  <c r="E679"/>
  <c r="E685" s="1"/>
  <c r="E686" s="1"/>
  <c r="E687" s="1"/>
  <c r="E688" s="1"/>
  <c r="D809"/>
  <c r="D816" s="1"/>
  <c r="D817" s="1"/>
  <c r="D818" s="1"/>
  <c r="D819" s="1"/>
  <c r="D679"/>
  <c r="D685" s="1"/>
  <c r="D686" s="1"/>
  <c r="D687" s="1"/>
  <c r="D688" s="1"/>
  <c r="G679"/>
  <c r="G685" s="1"/>
  <c r="G686" s="1"/>
  <c r="G687" s="1"/>
  <c r="G688" s="1"/>
  <c r="F705"/>
  <c r="F712" s="1"/>
  <c r="F713" s="1"/>
  <c r="F714" s="1"/>
  <c r="F715" s="1"/>
  <c r="D720"/>
  <c r="D726" s="1"/>
  <c r="D727" s="1"/>
  <c r="D728" s="1"/>
  <c r="D729" s="1"/>
  <c r="H809"/>
  <c r="H816" s="1"/>
  <c r="L679"/>
  <c r="L685" s="1"/>
  <c r="L686" s="1"/>
  <c r="L687" s="1"/>
  <c r="L688" s="1"/>
  <c r="K679"/>
  <c r="K685" s="1"/>
  <c r="K686" s="1"/>
  <c r="K687" s="1"/>
  <c r="K688" s="1"/>
  <c r="E781"/>
  <c r="E788" s="1"/>
  <c r="E789" s="1"/>
  <c r="E790" s="1"/>
  <c r="E791" s="1"/>
  <c r="F839"/>
  <c r="F846" s="1"/>
  <c r="E692"/>
  <c r="E699" s="1"/>
  <c r="E700" s="1"/>
  <c r="E701" s="1"/>
  <c r="E702" s="1"/>
  <c r="D692"/>
  <c r="D699" s="1"/>
  <c r="D700" s="1"/>
  <c r="D701" s="1"/>
  <c r="D702" s="1"/>
  <c r="D824"/>
  <c r="D831" s="1"/>
  <c r="D832" s="1"/>
  <c r="D833" s="1"/>
  <c r="D834" s="1"/>
  <c r="F692"/>
  <c r="F699" s="1"/>
  <c r="I720"/>
  <c r="I726" s="1"/>
  <c r="I727" s="1"/>
  <c r="I728" s="1"/>
  <c r="I729" s="1"/>
  <c r="H692"/>
  <c r="H699" s="1"/>
  <c r="H700" s="1"/>
  <c r="H701" s="1"/>
  <c r="H702" s="1"/>
  <c r="H720"/>
  <c r="H726" s="1"/>
  <c r="H727" s="1"/>
  <c r="H728" s="1"/>
  <c r="H729" s="1"/>
  <c r="I839"/>
  <c r="I846" s="1"/>
  <c r="E705"/>
  <c r="E712" s="1"/>
  <c r="E713" s="1"/>
  <c r="E714" s="1"/>
  <c r="E715" s="1"/>
  <c r="D781"/>
  <c r="D788" s="1"/>
  <c r="D789" s="1"/>
  <c r="D790" s="1"/>
  <c r="D791" s="1"/>
  <c r="G720"/>
  <c r="G726" s="1"/>
  <c r="G727" s="1"/>
  <c r="G728" s="1"/>
  <c r="G729" s="1"/>
  <c r="D839"/>
  <c r="D846" s="1"/>
  <c r="D847" s="1"/>
  <c r="D848" s="1"/>
  <c r="D849" s="1"/>
  <c r="H679"/>
  <c r="H685" s="1"/>
  <c r="H686" s="1"/>
  <c r="H687" s="1"/>
  <c r="H688" s="1"/>
  <c r="F809"/>
  <c r="F816" s="1"/>
  <c r="F817" s="1"/>
  <c r="F818" s="1"/>
  <c r="F819" s="1"/>
  <c r="H781"/>
  <c r="H788" s="1"/>
  <c r="H789" s="1"/>
  <c r="H790" s="1"/>
  <c r="H791" s="1"/>
  <c r="F732"/>
  <c r="F738" s="1"/>
  <c r="F781"/>
  <c r="F788" s="1"/>
  <c r="H839"/>
  <c r="H846" s="1"/>
  <c r="H847" s="1"/>
  <c r="H848" s="1"/>
  <c r="H849" s="1"/>
  <c r="E809"/>
  <c r="E816" s="1"/>
  <c r="E817" s="1"/>
  <c r="E818" s="1"/>
  <c r="E819" s="1"/>
  <c r="F679"/>
  <c r="F685" s="1"/>
  <c r="F686" s="1"/>
  <c r="F687" s="1"/>
  <c r="F688" s="1"/>
  <c r="E839"/>
  <c r="E846" s="1"/>
  <c r="E847" s="1"/>
  <c r="E848" s="1"/>
  <c r="E849" s="1"/>
  <c r="D705"/>
  <c r="D712" s="1"/>
  <c r="D713" s="1"/>
  <c r="D714" s="1"/>
  <c r="D715" s="1"/>
  <c r="I809"/>
  <c r="I816" s="1"/>
  <c r="I817" s="1"/>
  <c r="I818" s="1"/>
  <c r="I819" s="1"/>
  <c r="F649"/>
  <c r="I649" s="1"/>
  <c r="F650" s="1"/>
  <c r="I650" s="1"/>
  <c r="I651" s="1"/>
  <c r="I652" s="1"/>
  <c r="F522"/>
  <c r="I522" s="1"/>
  <c r="I526" s="1"/>
  <c r="F527" s="1"/>
  <c r="I527" s="1"/>
  <c r="I528" s="1"/>
  <c r="I529" s="1"/>
  <c r="F601"/>
  <c r="I601" s="1"/>
  <c r="I605" s="1"/>
  <c r="F606" s="1"/>
  <c r="I606" s="1"/>
  <c r="I607" s="1"/>
  <c r="I608" s="1"/>
  <c r="F640"/>
  <c r="I640" s="1"/>
  <c r="I644" s="1"/>
  <c r="F645" s="1"/>
  <c r="I645" s="1"/>
  <c r="I646" s="1"/>
  <c r="I647" s="1"/>
  <c r="F532"/>
  <c r="I532" s="1"/>
  <c r="I536" s="1"/>
  <c r="I1990"/>
  <c r="I2001" s="1"/>
  <c r="F2011"/>
  <c r="I2011" s="1"/>
  <c r="I2022" s="1"/>
  <c r="F572"/>
  <c r="I572" s="1"/>
  <c r="I576" s="1"/>
  <c r="F577" s="1"/>
  <c r="I577" s="1"/>
  <c r="I578" s="1"/>
  <c r="I579" s="1"/>
  <c r="F611"/>
  <c r="I611" s="1"/>
  <c r="I615" s="1"/>
  <c r="L2024"/>
  <c r="L2030" s="1"/>
  <c r="K2024"/>
  <c r="K2030" s="1"/>
  <c r="E1638"/>
  <c r="E1644" s="1"/>
  <c r="E1645" s="1"/>
  <c r="E1646" s="1"/>
  <c r="E1647" s="1"/>
  <c r="F1638"/>
  <c r="F1644" s="1"/>
  <c r="F1645" s="1"/>
  <c r="F1646" s="1"/>
  <c r="F1647" s="1"/>
  <c r="G1638"/>
  <c r="G1644" s="1"/>
  <c r="G1645" s="1"/>
  <c r="G1646" s="1"/>
  <c r="G1647" s="1"/>
  <c r="I1638"/>
  <c r="I1644" s="1"/>
  <c r="I1645" s="1"/>
  <c r="I1646" s="1"/>
  <c r="I1647" s="1"/>
  <c r="K1638"/>
  <c r="K1644" s="1"/>
  <c r="K1645" s="1"/>
  <c r="K1646" s="1"/>
  <c r="K1647" s="1"/>
  <c r="D1638"/>
  <c r="D1644" s="1"/>
  <c r="F582"/>
  <c r="I582" s="1"/>
  <c r="I586" s="1"/>
  <c r="F587" s="1"/>
  <c r="I587" s="1"/>
  <c r="I588" s="1"/>
  <c r="I589" s="1"/>
  <c r="F630"/>
  <c r="I630" s="1"/>
  <c r="I634" s="1"/>
  <c r="F562"/>
  <c r="I562" s="1"/>
  <c r="I566" s="1"/>
  <c r="F567" s="1"/>
  <c r="I567" s="1"/>
  <c r="I568" s="1"/>
  <c r="I569" s="1"/>
  <c r="L1638"/>
  <c r="L1644" s="1"/>
  <c r="L1645" s="1"/>
  <c r="L1646" s="1"/>
  <c r="L1647" s="1"/>
  <c r="F591"/>
  <c r="I591" s="1"/>
  <c r="I595" s="1"/>
  <c r="F596" s="1"/>
  <c r="I596" s="1"/>
  <c r="I597" s="1"/>
  <c r="I598" s="1"/>
  <c r="F621"/>
  <c r="I621" s="1"/>
  <c r="I625" s="1"/>
  <c r="F626" s="1"/>
  <c r="I626" s="1"/>
  <c r="I627" s="1"/>
  <c r="I628" s="1"/>
  <c r="I2506"/>
  <c r="I2507" s="1"/>
  <c r="I3676"/>
  <c r="I3677" s="1"/>
  <c r="I3678" s="1"/>
  <c r="I3679" s="1"/>
  <c r="K3676"/>
  <c r="K3677" s="1"/>
  <c r="K3678" s="1"/>
  <c r="K3679" s="1"/>
  <c r="E3686"/>
  <c r="E3687" s="1"/>
  <c r="E3688" s="1"/>
  <c r="E3689" s="1"/>
  <c r="A1649"/>
  <c r="A1684" s="1"/>
  <c r="A1699" s="1"/>
  <c r="A1703" s="1"/>
  <c r="A1708" s="1"/>
  <c r="A1730" s="1"/>
  <c r="A1764" s="1"/>
  <c r="A1792"/>
  <c r="A1839" s="1"/>
  <c r="G3676"/>
  <c r="G3677" s="1"/>
  <c r="G3678" s="1"/>
  <c r="G3679" s="1"/>
  <c r="H3676"/>
  <c r="H3677" s="1"/>
  <c r="H3678" s="1"/>
  <c r="H3679" s="1"/>
  <c r="L3676"/>
  <c r="L3677" s="1"/>
  <c r="L3678" s="1"/>
  <c r="L3679" s="1"/>
  <c r="E3676"/>
  <c r="E3677" s="1"/>
  <c r="E3678" s="1"/>
  <c r="E3679" s="1"/>
  <c r="F2925"/>
  <c r="I2925" s="1"/>
  <c r="I2926" s="1"/>
  <c r="I2927" s="1"/>
  <c r="I2928" s="1"/>
  <c r="F1781"/>
  <c r="F1787" s="1"/>
  <c r="G1781"/>
  <c r="G1787" s="1"/>
  <c r="K1781"/>
  <c r="K1787" s="1"/>
  <c r="E1781"/>
  <c r="E1787" s="1"/>
  <c r="I1781"/>
  <c r="I1787" s="1"/>
  <c r="H1781"/>
  <c r="H1787" s="1"/>
  <c r="L1781"/>
  <c r="L1787" s="1"/>
  <c r="D1781"/>
  <c r="D1787" s="1"/>
  <c r="F1726"/>
  <c r="I1726" s="1"/>
  <c r="I1727" s="1"/>
  <c r="I1728" s="1"/>
  <c r="F4865"/>
  <c r="I4865" s="1"/>
  <c r="I4866" s="1"/>
  <c r="I4867" s="1"/>
  <c r="I4868" s="1"/>
  <c r="G2601"/>
  <c r="G2607" s="1"/>
  <c r="E2613"/>
  <c r="E2619" s="1"/>
  <c r="D2601"/>
  <c r="D2607" s="1"/>
  <c r="H2601"/>
  <c r="H2607" s="1"/>
  <c r="F2613"/>
  <c r="F2619" s="1"/>
  <c r="F2601"/>
  <c r="F2607" s="1"/>
  <c r="D2613"/>
  <c r="D2619" s="1"/>
  <c r="E2601"/>
  <c r="E2607" s="1"/>
  <c r="I2601"/>
  <c r="I2607" s="1"/>
  <c r="F4604"/>
  <c r="I4604" s="1"/>
  <c r="I4605" s="1"/>
  <c r="I4606" s="1"/>
  <c r="I1700"/>
  <c r="I1701" s="1"/>
  <c r="I1705"/>
  <c r="I1706" s="1"/>
  <c r="G3419"/>
  <c r="G3420" s="1"/>
  <c r="G3421" s="1"/>
  <c r="G3422" s="1"/>
  <c r="F1680"/>
  <c r="F1681" s="1"/>
  <c r="F1682" s="1"/>
  <c r="K1438"/>
  <c r="K1439" s="1"/>
  <c r="K1440" s="1"/>
  <c r="H1452"/>
  <c r="H1453" s="1"/>
  <c r="H1454" s="1"/>
  <c r="F3229"/>
  <c r="F3230" s="1"/>
  <c r="F3231" s="1"/>
  <c r="F3232" s="1"/>
  <c r="D3229"/>
  <c r="D3230" s="1"/>
  <c r="D3231" s="1"/>
  <c r="D3232" s="1"/>
  <c r="K2673"/>
  <c r="K2674" s="1"/>
  <c r="K2675" s="1"/>
  <c r="K2676" s="1"/>
  <c r="H2700"/>
  <c r="H2701" s="1"/>
  <c r="H2702" s="1"/>
  <c r="H2703" s="1"/>
  <c r="F2710"/>
  <c r="F2711" s="1"/>
  <c r="F2712" s="1"/>
  <c r="F2713" s="1"/>
  <c r="G2064"/>
  <c r="G2065" s="1"/>
  <c r="G2066" s="1"/>
  <c r="E2064"/>
  <c r="E2065" s="1"/>
  <c r="E2066" s="1"/>
  <c r="F2064"/>
  <c r="F2065" s="1"/>
  <c r="F2066" s="1"/>
  <c r="D1080"/>
  <c r="D1081" s="1"/>
  <c r="D1082" s="1"/>
  <c r="F2363"/>
  <c r="F2364" s="1"/>
  <c r="F2365" s="1"/>
  <c r="L2351"/>
  <c r="L2352" s="1"/>
  <c r="L2353" s="1"/>
  <c r="G2351"/>
  <c r="G2352" s="1"/>
  <c r="G2353" s="1"/>
  <c r="A497" i="8"/>
  <c r="A503"/>
  <c r="D775" i="6"/>
  <c r="D776" s="1"/>
  <c r="D777" s="1"/>
  <c r="D909"/>
  <c r="D915" s="1"/>
  <c r="H909"/>
  <c r="H915" s="1"/>
  <c r="D921"/>
  <c r="D927" s="1"/>
  <c r="G934"/>
  <c r="G941" s="1"/>
  <c r="K934"/>
  <c r="K941" s="1"/>
  <c r="G909"/>
  <c r="G915" s="1"/>
  <c r="F934"/>
  <c r="F941" s="1"/>
  <c r="I909"/>
  <c r="I915" s="1"/>
  <c r="D934"/>
  <c r="D941" s="1"/>
  <c r="L934"/>
  <c r="L941" s="1"/>
  <c r="E921"/>
  <c r="E927" s="1"/>
  <c r="E934"/>
  <c r="E941" s="1"/>
  <c r="F909"/>
  <c r="F915" s="1"/>
  <c r="I934"/>
  <c r="I941" s="1"/>
  <c r="F921"/>
  <c r="F927" s="1"/>
  <c r="H934"/>
  <c r="H941" s="1"/>
  <c r="E909"/>
  <c r="E915" s="1"/>
  <c r="G803"/>
  <c r="G804" s="1"/>
  <c r="G805" s="1"/>
  <c r="I803"/>
  <c r="I804" s="1"/>
  <c r="I805" s="1"/>
  <c r="I775"/>
  <c r="I776" s="1"/>
  <c r="I777" s="1"/>
  <c r="H1645"/>
  <c r="H1646" s="1"/>
  <c r="H1647" s="1"/>
  <c r="F635"/>
  <c r="I635" s="1"/>
  <c r="I636" s="1"/>
  <c r="I637" s="1"/>
  <c r="K3445"/>
  <c r="K3446" s="1"/>
  <c r="K3447" s="1"/>
  <c r="K3448" s="1"/>
  <c r="L3445"/>
  <c r="L3446" s="1"/>
  <c r="L3447" s="1"/>
  <c r="L3448" s="1"/>
  <c r="E3014"/>
  <c r="E3015" s="1"/>
  <c r="E3016" s="1"/>
  <c r="E3017" s="1"/>
  <c r="F3014"/>
  <c r="F3015" s="1"/>
  <c r="F3016" s="1"/>
  <c r="F3017" s="1"/>
  <c r="G3014"/>
  <c r="G3015" s="1"/>
  <c r="G3016" s="1"/>
  <c r="G3017" s="1"/>
  <c r="H3313"/>
  <c r="H3314" s="1"/>
  <c r="H3315" s="1"/>
  <c r="H3316" s="1"/>
  <c r="I3313"/>
  <c r="I3314" s="1"/>
  <c r="I3315" s="1"/>
  <c r="I3316" s="1"/>
  <c r="L3255"/>
  <c r="L3256" s="1"/>
  <c r="L3257" s="1"/>
  <c r="L3258" s="1"/>
  <c r="E3255"/>
  <c r="E3256" s="1"/>
  <c r="E3257" s="1"/>
  <c r="E3258" s="1"/>
  <c r="F3255"/>
  <c r="F3256" s="1"/>
  <c r="F3257" s="1"/>
  <c r="F3258" s="1"/>
  <c r="F3286"/>
  <c r="F3287" s="1"/>
  <c r="F3288" s="1"/>
  <c r="F3289" s="1"/>
  <c r="K3286"/>
  <c r="K3287" s="1"/>
  <c r="K3288" s="1"/>
  <c r="K3289" s="1"/>
  <c r="H3638"/>
  <c r="H3639" s="1"/>
  <c r="H3640" s="1"/>
  <c r="H3641" s="1"/>
  <c r="H2789"/>
  <c r="H2790" s="1"/>
  <c r="H2791" s="1"/>
  <c r="H2792" s="1"/>
  <c r="E2789"/>
  <c r="E2790" s="1"/>
  <c r="E2791" s="1"/>
  <c r="E2792" s="1"/>
  <c r="F2789"/>
  <c r="F2790" s="1"/>
  <c r="F2791" s="1"/>
  <c r="F2792" s="1"/>
  <c r="I3419"/>
  <c r="I3420" s="1"/>
  <c r="I3421" s="1"/>
  <c r="I3422" s="1"/>
  <c r="H3419"/>
  <c r="H3420" s="1"/>
  <c r="H3421" s="1"/>
  <c r="H3422" s="1"/>
  <c r="H1680"/>
  <c r="H1681" s="1"/>
  <c r="H1682" s="1"/>
  <c r="F700"/>
  <c r="F701" s="1"/>
  <c r="F702" s="1"/>
  <c r="G1335"/>
  <c r="G1341" s="1"/>
  <c r="K1335"/>
  <c r="K1341" s="1"/>
  <c r="G1348"/>
  <c r="G1355" s="1"/>
  <c r="E1362"/>
  <c r="E1369" s="1"/>
  <c r="I1362"/>
  <c r="I1369" s="1"/>
  <c r="E1335"/>
  <c r="E1341" s="1"/>
  <c r="I1335"/>
  <c r="I1341" s="1"/>
  <c r="E1348"/>
  <c r="E1355" s="1"/>
  <c r="I1348"/>
  <c r="I1355" s="1"/>
  <c r="G1362"/>
  <c r="G1369" s="1"/>
  <c r="F1335"/>
  <c r="F1341" s="1"/>
  <c r="D1348"/>
  <c r="D1355" s="1"/>
  <c r="F1362"/>
  <c r="F1369" s="1"/>
  <c r="H1335"/>
  <c r="H1341" s="1"/>
  <c r="F1348"/>
  <c r="F1355" s="1"/>
  <c r="H1362"/>
  <c r="H1369" s="1"/>
  <c r="D1335"/>
  <c r="D1341" s="1"/>
  <c r="L1335"/>
  <c r="L1341" s="1"/>
  <c r="D1362"/>
  <c r="D1369" s="1"/>
  <c r="H1348"/>
  <c r="H1355" s="1"/>
  <c r="F1146"/>
  <c r="F1152" s="1"/>
  <c r="D1159"/>
  <c r="D1166" s="1"/>
  <c r="H1159"/>
  <c r="H1166" s="1"/>
  <c r="E1173"/>
  <c r="E1180" s="1"/>
  <c r="I1173"/>
  <c r="I1180" s="1"/>
  <c r="F1186"/>
  <c r="F1193" s="1"/>
  <c r="E1146"/>
  <c r="E1152" s="1"/>
  <c r="I1146"/>
  <c r="I1152" s="1"/>
  <c r="G1159"/>
  <c r="G1166" s="1"/>
  <c r="D1173"/>
  <c r="D1180" s="1"/>
  <c r="H1173"/>
  <c r="H1180" s="1"/>
  <c r="E1186"/>
  <c r="E1193" s="1"/>
  <c r="G1146"/>
  <c r="G1152" s="1"/>
  <c r="F1159"/>
  <c r="F1166" s="1"/>
  <c r="F1173"/>
  <c r="F1180" s="1"/>
  <c r="H1146"/>
  <c r="H1152" s="1"/>
  <c r="I1159"/>
  <c r="I1166" s="1"/>
  <c r="G1173"/>
  <c r="G1180" s="1"/>
  <c r="E1159"/>
  <c r="E1166" s="1"/>
  <c r="D1186"/>
  <c r="D1193" s="1"/>
  <c r="G1476"/>
  <c r="G1482" s="1"/>
  <c r="K1476"/>
  <c r="K1482" s="1"/>
  <c r="G1489"/>
  <c r="G1496" s="1"/>
  <c r="D1502"/>
  <c r="D1509" s="1"/>
  <c r="E1476"/>
  <c r="E1482" s="1"/>
  <c r="I1476"/>
  <c r="I1482" s="1"/>
  <c r="E1489"/>
  <c r="E1496" s="1"/>
  <c r="I1489"/>
  <c r="I1496" s="1"/>
  <c r="F1502"/>
  <c r="F1509" s="1"/>
  <c r="D1476"/>
  <c r="D1482" s="1"/>
  <c r="L1476"/>
  <c r="L1482" s="1"/>
  <c r="F1489"/>
  <c r="F1496" s="1"/>
  <c r="F1476"/>
  <c r="F1482" s="1"/>
  <c r="H1489"/>
  <c r="H1496" s="1"/>
  <c r="D1489"/>
  <c r="D1496" s="1"/>
  <c r="E1502"/>
  <c r="E1509" s="1"/>
  <c r="H1476"/>
  <c r="H1482" s="1"/>
  <c r="E1438"/>
  <c r="E1439" s="1"/>
  <c r="E1440" s="1"/>
  <c r="I1379"/>
  <c r="I1386" s="1"/>
  <c r="D1394"/>
  <c r="D1401" s="1"/>
  <c r="D1379"/>
  <c r="D1386" s="1"/>
  <c r="G1394"/>
  <c r="G1401" s="1"/>
  <c r="F1438"/>
  <c r="F1439" s="1"/>
  <c r="F1440" s="1"/>
  <c r="D1452"/>
  <c r="D1453" s="1"/>
  <c r="D1454" s="1"/>
  <c r="E3229"/>
  <c r="E3230" s="1"/>
  <c r="E3231" s="1"/>
  <c r="E3232" s="1"/>
  <c r="I2673"/>
  <c r="I2674" s="1"/>
  <c r="I2675" s="1"/>
  <c r="I2676" s="1"/>
  <c r="L2673"/>
  <c r="L2674" s="1"/>
  <c r="L2675" s="1"/>
  <c r="L2676" s="1"/>
  <c r="G2673"/>
  <c r="G2674" s="1"/>
  <c r="G2675" s="1"/>
  <c r="G2676" s="1"/>
  <c r="D2710"/>
  <c r="D2711" s="1"/>
  <c r="D2712" s="1"/>
  <c r="D2713" s="1"/>
  <c r="G2700"/>
  <c r="G2701" s="1"/>
  <c r="G2702" s="1"/>
  <c r="G2703" s="1"/>
  <c r="D2076"/>
  <c r="D2077" s="1"/>
  <c r="D2078" s="1"/>
  <c r="E2076"/>
  <c r="E2077" s="1"/>
  <c r="E2078" s="1"/>
  <c r="L2064"/>
  <c r="L2065" s="1"/>
  <c r="L2066" s="1"/>
  <c r="L2440"/>
  <c r="L2441" s="1"/>
  <c r="L2442" s="1"/>
  <c r="E3638"/>
  <c r="E3639" s="1"/>
  <c r="E3640" s="1"/>
  <c r="E3641" s="1"/>
  <c r="F2646"/>
  <c r="F2647" s="1"/>
  <c r="F2648" s="1"/>
  <c r="F2649" s="1"/>
  <c r="I2646"/>
  <c r="I2647" s="1"/>
  <c r="I2648" s="1"/>
  <c r="I2649" s="1"/>
  <c r="D2646"/>
  <c r="D2647" s="1"/>
  <c r="D2648" s="1"/>
  <c r="D2649" s="1"/>
  <c r="F2105"/>
  <c r="F2106" s="1"/>
  <c r="F2107" s="1"/>
  <c r="I2105"/>
  <c r="I2106" s="1"/>
  <c r="I2107" s="1"/>
  <c r="D2105"/>
  <c r="D2106" s="1"/>
  <c r="D2107" s="1"/>
  <c r="F1094"/>
  <c r="F1095" s="1"/>
  <c r="F1096" s="1"/>
  <c r="G1066"/>
  <c r="G1067" s="1"/>
  <c r="G1068" s="1"/>
  <c r="E1094"/>
  <c r="E1095" s="1"/>
  <c r="E1096" s="1"/>
  <c r="E1052"/>
  <c r="E1053" s="1"/>
  <c r="E1054" s="1"/>
  <c r="G1094"/>
  <c r="G1095" s="1"/>
  <c r="G1096" s="1"/>
  <c r="D1066"/>
  <c r="D1067" s="1"/>
  <c r="D1068" s="1"/>
  <c r="E1107"/>
  <c r="E1108" s="1"/>
  <c r="E1109" s="1"/>
  <c r="I1066"/>
  <c r="I1067" s="1"/>
  <c r="I1068" s="1"/>
  <c r="I2987"/>
  <c r="I2988" s="1"/>
  <c r="I2989" s="1"/>
  <c r="I2990" s="1"/>
  <c r="H1969"/>
  <c r="H1970" s="1"/>
  <c r="H1971" s="1"/>
  <c r="I1969"/>
  <c r="I1970" s="1"/>
  <c r="I1971" s="1"/>
  <c r="I2440"/>
  <c r="I2441" s="1"/>
  <c r="I2442" s="1"/>
  <c r="G3750"/>
  <c r="G3751" s="1"/>
  <c r="G3752" s="1"/>
  <c r="F3759"/>
  <c r="F3760" s="1"/>
  <c r="F3761" s="1"/>
  <c r="I3750"/>
  <c r="I3751" s="1"/>
  <c r="I3752" s="1"/>
  <c r="D2881"/>
  <c r="D2882" s="1"/>
  <c r="D2883" s="1"/>
  <c r="D2884" s="1"/>
  <c r="F2891"/>
  <c r="F2892" s="1"/>
  <c r="F2893" s="1"/>
  <c r="F2894" s="1"/>
  <c r="E2363"/>
  <c r="E2364" s="1"/>
  <c r="E2365" s="1"/>
  <c r="H2351"/>
  <c r="H2352" s="1"/>
  <c r="H2353" s="1"/>
  <c r="D862"/>
  <c r="D863" s="1"/>
  <c r="D864" s="1"/>
  <c r="D988"/>
  <c r="D989" s="1"/>
  <c r="D990" s="1"/>
  <c r="D958"/>
  <c r="D959" s="1"/>
  <c r="D960" s="1"/>
  <c r="E803"/>
  <c r="E804" s="1"/>
  <c r="E805" s="1"/>
  <c r="F775"/>
  <c r="F776" s="1"/>
  <c r="F777" s="1"/>
  <c r="F537"/>
  <c r="I537" s="1"/>
  <c r="I538" s="1"/>
  <c r="I539" s="1"/>
  <c r="F547"/>
  <c r="I547" s="1"/>
  <c r="I548" s="1"/>
  <c r="I549" s="1"/>
  <c r="G3445"/>
  <c r="G3446" s="1"/>
  <c r="G3447" s="1"/>
  <c r="G3448" s="1"/>
  <c r="H3445"/>
  <c r="H3446" s="1"/>
  <c r="H3447" s="1"/>
  <c r="H3448" s="1"/>
  <c r="D3024"/>
  <c r="D3025" s="1"/>
  <c r="D3026" s="1"/>
  <c r="D3027" s="1"/>
  <c r="H3014"/>
  <c r="H3015" s="1"/>
  <c r="H3016" s="1"/>
  <c r="H3017" s="1"/>
  <c r="G3313"/>
  <c r="G3314" s="1"/>
  <c r="G3315" s="1"/>
  <c r="G3316" s="1"/>
  <c r="D3313"/>
  <c r="D3314" s="1"/>
  <c r="D3315" s="1"/>
  <c r="D3316" s="1"/>
  <c r="E3313"/>
  <c r="E3314" s="1"/>
  <c r="E3315" s="1"/>
  <c r="E3316" s="1"/>
  <c r="H3255"/>
  <c r="H3256" s="1"/>
  <c r="H3257" s="1"/>
  <c r="H3258" s="1"/>
  <c r="K3255"/>
  <c r="K3256" s="1"/>
  <c r="K3257" s="1"/>
  <c r="K3258" s="1"/>
  <c r="I3286"/>
  <c r="I3287" s="1"/>
  <c r="I3288" s="1"/>
  <c r="I3289" s="1"/>
  <c r="L3286"/>
  <c r="L3287" s="1"/>
  <c r="L3288" s="1"/>
  <c r="L3289" s="1"/>
  <c r="G3286"/>
  <c r="G3287" s="1"/>
  <c r="G3288" s="1"/>
  <c r="G3289" s="1"/>
  <c r="L3419"/>
  <c r="L3420" s="1"/>
  <c r="L3421" s="1"/>
  <c r="L3422" s="1"/>
  <c r="I700"/>
  <c r="I701" s="1"/>
  <c r="I702" s="1"/>
  <c r="E727"/>
  <c r="E728" s="1"/>
  <c r="E729" s="1"/>
  <c r="G1438"/>
  <c r="G1439" s="1"/>
  <c r="G1440" s="1"/>
  <c r="I3229"/>
  <c r="I3230" s="1"/>
  <c r="I3231" s="1"/>
  <c r="I3232" s="1"/>
  <c r="L3638"/>
  <c r="L3639" s="1"/>
  <c r="L3640" s="1"/>
  <c r="L3641" s="1"/>
  <c r="G2646"/>
  <c r="G2647" s="1"/>
  <c r="G2648" s="1"/>
  <c r="G2649" s="1"/>
  <c r="H2646"/>
  <c r="H2647" s="1"/>
  <c r="H2648" s="1"/>
  <c r="H2649" s="1"/>
  <c r="G2105"/>
  <c r="G2106" s="1"/>
  <c r="G2107" s="1"/>
  <c r="H2105"/>
  <c r="H2106" s="1"/>
  <c r="H2107" s="1"/>
  <c r="I1052"/>
  <c r="I1053" s="1"/>
  <c r="I1054" s="1"/>
  <c r="F1107"/>
  <c r="F1108" s="1"/>
  <c r="F1109" s="1"/>
  <c r="G1080"/>
  <c r="G1081" s="1"/>
  <c r="G1082" s="1"/>
  <c r="D1107"/>
  <c r="D1108" s="1"/>
  <c r="D1109" s="1"/>
  <c r="H1066"/>
  <c r="H1067" s="1"/>
  <c r="H1068" s="1"/>
  <c r="E1122"/>
  <c r="E1123" s="1"/>
  <c r="E1124" s="1"/>
  <c r="F1080"/>
  <c r="F1081" s="1"/>
  <c r="F1082" s="1"/>
  <c r="H2987"/>
  <c r="H2988" s="1"/>
  <c r="H2989" s="1"/>
  <c r="H2990" s="1"/>
  <c r="F2219"/>
  <c r="F2225" s="1"/>
  <c r="G2219"/>
  <c r="G2225" s="1"/>
  <c r="E2219"/>
  <c r="E2225" s="1"/>
  <c r="I2219"/>
  <c r="I2225" s="1"/>
  <c r="H2219"/>
  <c r="H2225" s="1"/>
  <c r="D2219"/>
  <c r="D2225" s="1"/>
  <c r="F1981"/>
  <c r="F1982" s="1"/>
  <c r="F1983" s="1"/>
  <c r="F1969"/>
  <c r="F1970" s="1"/>
  <c r="F1971" s="1"/>
  <c r="H2440"/>
  <c r="H2441" s="1"/>
  <c r="H2442" s="1"/>
  <c r="E3648"/>
  <c r="E3649" s="1"/>
  <c r="E3650" s="1"/>
  <c r="E3651" s="1"/>
  <c r="K2789"/>
  <c r="K2790" s="1"/>
  <c r="K2791" s="1"/>
  <c r="K2792" s="1"/>
  <c r="I1680"/>
  <c r="I1681" s="1"/>
  <c r="I1682" s="1"/>
  <c r="F3112"/>
  <c r="F3115" s="1"/>
  <c r="E3122"/>
  <c r="E3125" s="1"/>
  <c r="G3112"/>
  <c r="G3115" s="1"/>
  <c r="F3122"/>
  <c r="F3125" s="1"/>
  <c r="F2958"/>
  <c r="I2958" s="1"/>
  <c r="I2959" s="1"/>
  <c r="E3112"/>
  <c r="E3115" s="1"/>
  <c r="I3112"/>
  <c r="I3115" s="1"/>
  <c r="D3122"/>
  <c r="D3125" s="1"/>
  <c r="D3112"/>
  <c r="D3115" s="1"/>
  <c r="H3112"/>
  <c r="H3115" s="1"/>
  <c r="F789"/>
  <c r="F790" s="1"/>
  <c r="F791" s="1"/>
  <c r="E832"/>
  <c r="E833" s="1"/>
  <c r="E834" s="1"/>
  <c r="F847"/>
  <c r="F848" s="1"/>
  <c r="F849" s="1"/>
  <c r="E1562"/>
  <c r="E1568" s="1"/>
  <c r="F1588"/>
  <c r="F1595" s="1"/>
  <c r="D1588"/>
  <c r="D1595" s="1"/>
  <c r="D1562"/>
  <c r="D1568" s="1"/>
  <c r="D1575"/>
  <c r="D1582" s="1"/>
  <c r="D1465"/>
  <c r="D1466" s="1"/>
  <c r="D1467" s="1"/>
  <c r="F1465"/>
  <c r="F1466" s="1"/>
  <c r="F1467" s="1"/>
  <c r="D1606"/>
  <c r="D1612" s="1"/>
  <c r="I1606"/>
  <c r="I1612" s="1"/>
  <c r="F1519"/>
  <c r="F1525" s="1"/>
  <c r="F1532"/>
  <c r="F1539" s="1"/>
  <c r="D1519"/>
  <c r="D1525" s="1"/>
  <c r="H1519"/>
  <c r="H1525" s="1"/>
  <c r="L1519"/>
  <c r="L1525" s="1"/>
  <c r="D1532"/>
  <c r="D1539" s="1"/>
  <c r="H1532"/>
  <c r="H1539" s="1"/>
  <c r="E1545"/>
  <c r="E1552" s="1"/>
  <c r="E1519"/>
  <c r="E1525" s="1"/>
  <c r="I1532"/>
  <c r="I1539" s="1"/>
  <c r="G1519"/>
  <c r="G1525" s="1"/>
  <c r="K1519"/>
  <c r="K1525" s="1"/>
  <c r="G1532"/>
  <c r="G1539" s="1"/>
  <c r="F1545"/>
  <c r="F1552" s="1"/>
  <c r="D1545"/>
  <c r="D1552" s="1"/>
  <c r="E1532"/>
  <c r="E1539" s="1"/>
  <c r="I1519"/>
  <c r="I1525" s="1"/>
  <c r="L1438"/>
  <c r="L1439" s="1"/>
  <c r="L1440" s="1"/>
  <c r="K3229"/>
  <c r="K3230" s="1"/>
  <c r="K3231" s="1"/>
  <c r="K3232" s="1"/>
  <c r="L3229"/>
  <c r="L3230" s="1"/>
  <c r="L3231" s="1"/>
  <c r="L3232" s="1"/>
  <c r="E2673"/>
  <c r="E2674" s="1"/>
  <c r="E2675" s="1"/>
  <c r="E2676" s="1"/>
  <c r="H2673"/>
  <c r="H2674" s="1"/>
  <c r="H2675" s="1"/>
  <c r="H2676" s="1"/>
  <c r="F3638"/>
  <c r="F3639" s="1"/>
  <c r="F3640" s="1"/>
  <c r="F3641" s="1"/>
  <c r="F1746"/>
  <c r="I1746" s="1"/>
  <c r="D1753"/>
  <c r="D1759" s="1"/>
  <c r="H1753"/>
  <c r="H1759" s="1"/>
  <c r="L1753"/>
  <c r="L1759" s="1"/>
  <c r="E1753"/>
  <c r="E1759" s="1"/>
  <c r="I1753"/>
  <c r="I1759" s="1"/>
  <c r="G1753"/>
  <c r="G1759" s="1"/>
  <c r="K1753"/>
  <c r="K1759" s="1"/>
  <c r="F1753"/>
  <c r="F1759" s="1"/>
  <c r="I2700"/>
  <c r="I2701" s="1"/>
  <c r="I2702" s="1"/>
  <c r="I2703" s="1"/>
  <c r="E2710"/>
  <c r="E2711" s="1"/>
  <c r="E2712" s="1"/>
  <c r="E2713" s="1"/>
  <c r="A299" i="2"/>
  <c r="A300" s="1"/>
  <c r="A297"/>
  <c r="K2064" i="6"/>
  <c r="K2065" s="1"/>
  <c r="K2066" s="1"/>
  <c r="D2407"/>
  <c r="D2408" s="1"/>
  <c r="D2409" s="1"/>
  <c r="K2440"/>
  <c r="K2441" s="1"/>
  <c r="K2442" s="1"/>
  <c r="E2646"/>
  <c r="E2647" s="1"/>
  <c r="E2648" s="1"/>
  <c r="E2649" s="1"/>
  <c r="D2118"/>
  <c r="D2119" s="1"/>
  <c r="D2120" s="1"/>
  <c r="E2105"/>
  <c r="E2106" s="1"/>
  <c r="E2107" s="1"/>
  <c r="D1137"/>
  <c r="D1138" s="1"/>
  <c r="D1139" s="1"/>
  <c r="D1052"/>
  <c r="D1053" s="1"/>
  <c r="D1054" s="1"/>
  <c r="H1080"/>
  <c r="H1081" s="1"/>
  <c r="H1082" s="1"/>
  <c r="G1276"/>
  <c r="G1282" s="1"/>
  <c r="E1290"/>
  <c r="E1297" s="1"/>
  <c r="I1290"/>
  <c r="I1297" s="1"/>
  <c r="F1276"/>
  <c r="F1282" s="1"/>
  <c r="G1290"/>
  <c r="G1297" s="1"/>
  <c r="E1304"/>
  <c r="E1310" s="1"/>
  <c r="I1304"/>
  <c r="I1310" s="1"/>
  <c r="G1318"/>
  <c r="G1325" s="1"/>
  <c r="H1276"/>
  <c r="H1282" s="1"/>
  <c r="H1290"/>
  <c r="H1297" s="1"/>
  <c r="F1304"/>
  <c r="F1310" s="1"/>
  <c r="D1276"/>
  <c r="D1282" s="1"/>
  <c r="G1304"/>
  <c r="G1310" s="1"/>
  <c r="E1318"/>
  <c r="E1325" s="1"/>
  <c r="I1276"/>
  <c r="I1282" s="1"/>
  <c r="F1290"/>
  <c r="F1297" s="1"/>
  <c r="H1318"/>
  <c r="H1325" s="1"/>
  <c r="H1304"/>
  <c r="H1310" s="1"/>
  <c r="I1318"/>
  <c r="I1325" s="1"/>
  <c r="D1290"/>
  <c r="D1297" s="1"/>
  <c r="D1304"/>
  <c r="D1310" s="1"/>
  <c r="F1318"/>
  <c r="F1325" s="1"/>
  <c r="D1318"/>
  <c r="D1325" s="1"/>
  <c r="E1276"/>
  <c r="E1282" s="1"/>
  <c r="F1052"/>
  <c r="F1053" s="1"/>
  <c r="F1054" s="1"/>
  <c r="H1094"/>
  <c r="H1095" s="1"/>
  <c r="H1096" s="1"/>
  <c r="E1066"/>
  <c r="E1067" s="1"/>
  <c r="E1068" s="1"/>
  <c r="F2987"/>
  <c r="F2988" s="1"/>
  <c r="F2989" s="1"/>
  <c r="F2990" s="1"/>
  <c r="E2987"/>
  <c r="E2988" s="1"/>
  <c r="E2989" s="1"/>
  <c r="E2990" s="1"/>
  <c r="E2251"/>
  <c r="E2257" s="1"/>
  <c r="I2251"/>
  <c r="I2257" s="1"/>
  <c r="F2251"/>
  <c r="F2257" s="1"/>
  <c r="D2251"/>
  <c r="D2257" s="1"/>
  <c r="H2251"/>
  <c r="H2257" s="1"/>
  <c r="G2251"/>
  <c r="G2257" s="1"/>
  <c r="I2248"/>
  <c r="E1981"/>
  <c r="E1982" s="1"/>
  <c r="E1983" s="1"/>
  <c r="D1969"/>
  <c r="D1970" s="1"/>
  <c r="D1971" s="1"/>
  <c r="E1969"/>
  <c r="E1970" s="1"/>
  <c r="E1971" s="1"/>
  <c r="H2505"/>
  <c r="H2506" s="1"/>
  <c r="H2507" s="1"/>
  <c r="E2407"/>
  <c r="E2408" s="1"/>
  <c r="E2409" s="1"/>
  <c r="L3750"/>
  <c r="L3751" s="1"/>
  <c r="L3752" s="1"/>
  <c r="E3750"/>
  <c r="E3751" s="1"/>
  <c r="E3752" s="1"/>
  <c r="H2881"/>
  <c r="H2882" s="1"/>
  <c r="H2883" s="1"/>
  <c r="H2884" s="1"/>
  <c r="G2881"/>
  <c r="G2882" s="1"/>
  <c r="G2883" s="1"/>
  <c r="G2884" s="1"/>
  <c r="E2351"/>
  <c r="E2352" s="1"/>
  <c r="E2353" s="1"/>
  <c r="F2351"/>
  <c r="F2352" s="1"/>
  <c r="F2353" s="1"/>
  <c r="D2351"/>
  <c r="D2352" s="1"/>
  <c r="D2353" s="1"/>
  <c r="F4687"/>
  <c r="I4687" s="1"/>
  <c r="I4688" s="1"/>
  <c r="I4689" s="1"/>
  <c r="G2145"/>
  <c r="G2151" s="1"/>
  <c r="E2157"/>
  <c r="E2163" s="1"/>
  <c r="D2145"/>
  <c r="D2151" s="1"/>
  <c r="H2145"/>
  <c r="H2151" s="1"/>
  <c r="F2157"/>
  <c r="F2163" s="1"/>
  <c r="F2145"/>
  <c r="F2151" s="1"/>
  <c r="D2157"/>
  <c r="D2163" s="1"/>
  <c r="I2145"/>
  <c r="I2151" s="1"/>
  <c r="E2145"/>
  <c r="E2151" s="1"/>
  <c r="D803"/>
  <c r="D804" s="1"/>
  <c r="D805" s="1"/>
  <c r="D973"/>
  <c r="D974" s="1"/>
  <c r="D975" s="1"/>
  <c r="E871"/>
  <c r="E875" s="1"/>
  <c r="I871"/>
  <c r="I875" s="1"/>
  <c r="E883"/>
  <c r="E888" s="1"/>
  <c r="I883"/>
  <c r="I888" s="1"/>
  <c r="G871"/>
  <c r="G875" s="1"/>
  <c r="D883"/>
  <c r="D888" s="1"/>
  <c r="F871"/>
  <c r="F875" s="1"/>
  <c r="H883"/>
  <c r="H888" s="1"/>
  <c r="F894"/>
  <c r="F899" s="1"/>
  <c r="D871"/>
  <c r="D875" s="1"/>
  <c r="D894"/>
  <c r="D899" s="1"/>
  <c r="H871"/>
  <c r="H875" s="1"/>
  <c r="E894"/>
  <c r="E899" s="1"/>
  <c r="G883"/>
  <c r="G888" s="1"/>
  <c r="F883"/>
  <c r="F888" s="1"/>
  <c r="H775"/>
  <c r="H776" s="1"/>
  <c r="H777" s="1"/>
  <c r="G775"/>
  <c r="G776" s="1"/>
  <c r="G777" s="1"/>
  <c r="D1645"/>
  <c r="D1646" s="1"/>
  <c r="D1647" s="1"/>
  <c r="E3597"/>
  <c r="E3600" s="1"/>
  <c r="I3597"/>
  <c r="I3600" s="1"/>
  <c r="D3607"/>
  <c r="D3610" s="1"/>
  <c r="F3597"/>
  <c r="F3600" s="1"/>
  <c r="E3607"/>
  <c r="E3610" s="1"/>
  <c r="D3597"/>
  <c r="D3600" s="1"/>
  <c r="H3597"/>
  <c r="H3600" s="1"/>
  <c r="L3597"/>
  <c r="L3600" s="1"/>
  <c r="K3597"/>
  <c r="K3600" s="1"/>
  <c r="F3607"/>
  <c r="F3610" s="1"/>
  <c r="G3597"/>
  <c r="G3600" s="1"/>
  <c r="F3445"/>
  <c r="F3446" s="1"/>
  <c r="F3447" s="1"/>
  <c r="F3448" s="1"/>
  <c r="I3445"/>
  <c r="I3446" s="1"/>
  <c r="I3447" s="1"/>
  <c r="I3448" s="1"/>
  <c r="D3445"/>
  <c r="D3446" s="1"/>
  <c r="D3447" s="1"/>
  <c r="D3448" s="1"/>
  <c r="I3014"/>
  <c r="I3015" s="1"/>
  <c r="I3016" s="1"/>
  <c r="I3017" s="1"/>
  <c r="D3014"/>
  <c r="D3015" s="1"/>
  <c r="D3016" s="1"/>
  <c r="D3017" s="1"/>
  <c r="K3313"/>
  <c r="K3314" s="1"/>
  <c r="K3315" s="1"/>
  <c r="K3316" s="1"/>
  <c r="D3255"/>
  <c r="D3256" s="1"/>
  <c r="D3257" s="1"/>
  <c r="D3258" s="1"/>
  <c r="G3255"/>
  <c r="G3256" s="1"/>
  <c r="G3257" s="1"/>
  <c r="G3258" s="1"/>
  <c r="E3286"/>
  <c r="E3287" s="1"/>
  <c r="E3288" s="1"/>
  <c r="E3289" s="1"/>
  <c r="H3286"/>
  <c r="H3287" s="1"/>
  <c r="H3288" s="1"/>
  <c r="H3289" s="1"/>
  <c r="F4553"/>
  <c r="I4553" s="1"/>
  <c r="I4554" s="1"/>
  <c r="I4555" s="1"/>
  <c r="I4556" s="1"/>
  <c r="G3638"/>
  <c r="G3639" s="1"/>
  <c r="G3640" s="1"/>
  <c r="G3641" s="1"/>
  <c r="I2789"/>
  <c r="I2790" s="1"/>
  <c r="I2791" s="1"/>
  <c r="I2792" s="1"/>
  <c r="F2815"/>
  <c r="G2812"/>
  <c r="E3419"/>
  <c r="E3420" s="1"/>
  <c r="E3421" s="1"/>
  <c r="E3422" s="1"/>
  <c r="G1680"/>
  <c r="G1681" s="1"/>
  <c r="G1682" s="1"/>
  <c r="I847"/>
  <c r="I848" s="1"/>
  <c r="I849" s="1"/>
  <c r="G1452"/>
  <c r="G1453" s="1"/>
  <c r="G1454" s="1"/>
  <c r="D1438"/>
  <c r="D1439" s="1"/>
  <c r="D1440" s="1"/>
  <c r="F2673"/>
  <c r="F2674" s="1"/>
  <c r="F2675" s="1"/>
  <c r="F2676" s="1"/>
  <c r="D2987"/>
  <c r="D2988" s="1"/>
  <c r="D2989" s="1"/>
  <c r="D2990" s="1"/>
  <c r="G2987"/>
  <c r="G2988" s="1"/>
  <c r="G2989" s="1"/>
  <c r="G2990" s="1"/>
  <c r="K3750"/>
  <c r="K3751" s="1"/>
  <c r="K3752" s="1"/>
  <c r="D3750"/>
  <c r="D3751" s="1"/>
  <c r="D3752" s="1"/>
  <c r="E3759"/>
  <c r="E3760" s="1"/>
  <c r="E3761" s="1"/>
  <c r="I2881"/>
  <c r="I2882" s="1"/>
  <c r="I2883" s="1"/>
  <c r="I2884" s="1"/>
  <c r="L2789"/>
  <c r="L2790" s="1"/>
  <c r="L2791" s="1"/>
  <c r="L2792" s="1"/>
  <c r="D3419"/>
  <c r="D3420" s="1"/>
  <c r="D3421" s="1"/>
  <c r="D3422" s="1"/>
  <c r="I2064"/>
  <c r="I2065" s="1"/>
  <c r="I2066" s="1"/>
  <c r="H2064"/>
  <c r="H2065" s="1"/>
  <c r="H2066" s="1"/>
  <c r="L2505"/>
  <c r="L2506" s="1"/>
  <c r="L2507" s="1"/>
  <c r="I2395"/>
  <c r="I2396" s="1"/>
  <c r="I2397" s="1"/>
  <c r="G2440"/>
  <c r="G2441" s="1"/>
  <c r="G2442" s="1"/>
  <c r="D2789"/>
  <c r="D2790" s="1"/>
  <c r="D2791" s="1"/>
  <c r="D2792" s="1"/>
  <c r="F14" i="34" s="1"/>
  <c r="G2789" i="6"/>
  <c r="G2790" s="1"/>
  <c r="G2791" s="1"/>
  <c r="G2792" s="1"/>
  <c r="E2816"/>
  <c r="E2817" s="1"/>
  <c r="E2818" s="1"/>
  <c r="E2819" s="1"/>
  <c r="F3419"/>
  <c r="F3420" s="1"/>
  <c r="F3421" s="1"/>
  <c r="F3422" s="1"/>
  <c r="K3419"/>
  <c r="K3420" s="1"/>
  <c r="K3421" s="1"/>
  <c r="K3422" s="1"/>
  <c r="D1680"/>
  <c r="D1681" s="1"/>
  <c r="D1682" s="1"/>
  <c r="E1680"/>
  <c r="E1681" s="1"/>
  <c r="E1682" s="1"/>
  <c r="H817"/>
  <c r="H818" s="1"/>
  <c r="H819" s="1"/>
  <c r="F739"/>
  <c r="F740" s="1"/>
  <c r="F741" s="1"/>
  <c r="I1438"/>
  <c r="I1439" s="1"/>
  <c r="I1440" s="1"/>
  <c r="E1452"/>
  <c r="E1453" s="1"/>
  <c r="E1454" s="1"/>
  <c r="F1452"/>
  <c r="F1453" s="1"/>
  <c r="F1454" s="1"/>
  <c r="H1438"/>
  <c r="H1439" s="1"/>
  <c r="H1440" s="1"/>
  <c r="G3229"/>
  <c r="G3230" s="1"/>
  <c r="G3231" s="1"/>
  <c r="G3232" s="1"/>
  <c r="H3229"/>
  <c r="H3230" s="1"/>
  <c r="H3231" s="1"/>
  <c r="H3232" s="1"/>
  <c r="D2673"/>
  <c r="D2674" s="1"/>
  <c r="D2675" s="1"/>
  <c r="D2676" s="1"/>
  <c r="D2700"/>
  <c r="D2701" s="1"/>
  <c r="D2702" s="1"/>
  <c r="D2703" s="1"/>
  <c r="E2700"/>
  <c r="E2701" s="1"/>
  <c r="E2702" s="1"/>
  <c r="E2703" s="1"/>
  <c r="F2700"/>
  <c r="F2701" s="1"/>
  <c r="F2702" s="1"/>
  <c r="F2703" s="1"/>
  <c r="A1071" i="7"/>
  <c r="A1077"/>
  <c r="F2076" i="6"/>
  <c r="F2077" s="1"/>
  <c r="F2078" s="1"/>
  <c r="D2064"/>
  <c r="D2065" s="1"/>
  <c r="D2066" s="1"/>
  <c r="G2505"/>
  <c r="G2506" s="1"/>
  <c r="G2507" s="1"/>
  <c r="H2395"/>
  <c r="H2396" s="1"/>
  <c r="H2397" s="1"/>
  <c r="K3638"/>
  <c r="K3639" s="1"/>
  <c r="K3640" s="1"/>
  <c r="K3641" s="1"/>
  <c r="K2646"/>
  <c r="K2647" s="1"/>
  <c r="K2648" s="1"/>
  <c r="K2649" s="1"/>
  <c r="L2646"/>
  <c r="L2647" s="1"/>
  <c r="L2648" s="1"/>
  <c r="L2649" s="1"/>
  <c r="E2118"/>
  <c r="E2119" s="1"/>
  <c r="E2120" s="1"/>
  <c r="F2118"/>
  <c r="F2119" s="1"/>
  <c r="F2120" s="1"/>
  <c r="F1066"/>
  <c r="F1067" s="1"/>
  <c r="F1068" s="1"/>
  <c r="I1094"/>
  <c r="I1095" s="1"/>
  <c r="I1096" s="1"/>
  <c r="F1218"/>
  <c r="F1225" s="1"/>
  <c r="F1260"/>
  <c r="F1267" s="1"/>
  <c r="D1232"/>
  <c r="D1238" s="1"/>
  <c r="I1204"/>
  <c r="I1210" s="1"/>
  <c r="E1246"/>
  <c r="E1253" s="1"/>
  <c r="I1246"/>
  <c r="I1253" s="1"/>
  <c r="H1246"/>
  <c r="H1253" s="1"/>
  <c r="H1052"/>
  <c r="H1053" s="1"/>
  <c r="H1054" s="1"/>
  <c r="D1122"/>
  <c r="D1123" s="1"/>
  <c r="D1124" s="1"/>
  <c r="E1080"/>
  <c r="E1081" s="1"/>
  <c r="E1082" s="1"/>
  <c r="D1094"/>
  <c r="D1095" s="1"/>
  <c r="D1096" s="1"/>
  <c r="G1052"/>
  <c r="G1053" s="1"/>
  <c r="G1054" s="1"/>
  <c r="L2987"/>
  <c r="L2988" s="1"/>
  <c r="L2989" s="1"/>
  <c r="L2990" s="1"/>
  <c r="K2987"/>
  <c r="K2988" s="1"/>
  <c r="K2989" s="1"/>
  <c r="K2990" s="1"/>
  <c r="F2235"/>
  <c r="F2241" s="1"/>
  <c r="G2235"/>
  <c r="G2241" s="1"/>
  <c r="E2235"/>
  <c r="E2241" s="1"/>
  <c r="I2235"/>
  <c r="I2241" s="1"/>
  <c r="H2235"/>
  <c r="H2241" s="1"/>
  <c r="D2235"/>
  <c r="D2241" s="1"/>
  <c r="G1969"/>
  <c r="G1970" s="1"/>
  <c r="G1971" s="1"/>
  <c r="D1981"/>
  <c r="D1982" s="1"/>
  <c r="D1983" s="1"/>
  <c r="I3638"/>
  <c r="I3639" s="1"/>
  <c r="I3640" s="1"/>
  <c r="I3641" s="1"/>
  <c r="H3750"/>
  <c r="H3751" s="1"/>
  <c r="H3752" s="1"/>
  <c r="F3750"/>
  <c r="F3751" s="1"/>
  <c r="F3752" s="1"/>
  <c r="D2891"/>
  <c r="D2892" s="1"/>
  <c r="D2893" s="1"/>
  <c r="D2894" s="1"/>
  <c r="F2881"/>
  <c r="F2882" s="1"/>
  <c r="F2883" s="1"/>
  <c r="F2884" s="1"/>
  <c r="M3146"/>
  <c r="G3149"/>
  <c r="G3152" s="1"/>
  <c r="F3159"/>
  <c r="F3162" s="1"/>
  <c r="D3149"/>
  <c r="D3152" s="1"/>
  <c r="H3149"/>
  <c r="H3152" s="1"/>
  <c r="F3149"/>
  <c r="F3152" s="1"/>
  <c r="E3159"/>
  <c r="E3162" s="1"/>
  <c r="I3149"/>
  <c r="I3152" s="1"/>
  <c r="D3159"/>
  <c r="D3162" s="1"/>
  <c r="E3149"/>
  <c r="E3152" s="1"/>
  <c r="I2351"/>
  <c r="I2352" s="1"/>
  <c r="I2353" s="1"/>
  <c r="D2363"/>
  <c r="D2364" s="1"/>
  <c r="D2365" s="1"/>
  <c r="K2351"/>
  <c r="K2352" s="1"/>
  <c r="K2353" s="1"/>
  <c r="F4780"/>
  <c r="I4780" s="1"/>
  <c r="I4781" s="1"/>
  <c r="I4782" s="1"/>
  <c r="I4783" s="1"/>
  <c r="E2173"/>
  <c r="E2179" s="1"/>
  <c r="I2173"/>
  <c r="I2179" s="1"/>
  <c r="E2185"/>
  <c r="E2191" s="1"/>
  <c r="F2173"/>
  <c r="F2179" s="1"/>
  <c r="F2185"/>
  <c r="F2191" s="1"/>
  <c r="D2173"/>
  <c r="D2179" s="1"/>
  <c r="H2173"/>
  <c r="H2179" s="1"/>
  <c r="L2173"/>
  <c r="L2179" s="1"/>
  <c r="D2185"/>
  <c r="D2191" s="1"/>
  <c r="K2173"/>
  <c r="K2179" s="1"/>
  <c r="G2173"/>
  <c r="G2179" s="1"/>
  <c r="E775"/>
  <c r="E776" s="1"/>
  <c r="E777" s="1"/>
  <c r="G996"/>
  <c r="G1002" s="1"/>
  <c r="F1008"/>
  <c r="F1014" s="1"/>
  <c r="F996"/>
  <c r="F1002" s="1"/>
  <c r="E1008"/>
  <c r="E1014" s="1"/>
  <c r="D996"/>
  <c r="D1002" s="1"/>
  <c r="E996"/>
  <c r="E1002" s="1"/>
  <c r="D1008"/>
  <c r="D1014" s="1"/>
  <c r="I996"/>
  <c r="I1002" s="1"/>
  <c r="H996"/>
  <c r="H1002" s="1"/>
  <c r="H803"/>
  <c r="H804" s="1"/>
  <c r="H805" s="1"/>
  <c r="F803"/>
  <c r="F804" s="1"/>
  <c r="F805" s="1"/>
  <c r="F4715"/>
  <c r="I4715" s="1"/>
  <c r="I4716" s="1"/>
  <c r="I4717" s="1"/>
  <c r="I4718" s="1"/>
  <c r="F616"/>
  <c r="I616" s="1"/>
  <c r="I617" s="1"/>
  <c r="I618" s="1"/>
  <c r="E3445"/>
  <c r="E3446" s="1"/>
  <c r="E3447" s="1"/>
  <c r="E3448" s="1"/>
  <c r="E3024"/>
  <c r="E3025" s="1"/>
  <c r="E3026" s="1"/>
  <c r="E3027" s="1"/>
  <c r="F3024"/>
  <c r="F3025" s="1"/>
  <c r="F3026" s="1"/>
  <c r="F3027" s="1"/>
  <c r="L3313"/>
  <c r="L3314" s="1"/>
  <c r="L3315" s="1"/>
  <c r="L3316" s="1"/>
  <c r="F3313"/>
  <c r="F3314" s="1"/>
  <c r="F3315" s="1"/>
  <c r="F3316" s="1"/>
  <c r="I3255"/>
  <c r="I3256" s="1"/>
  <c r="I3257" s="1"/>
  <c r="I3258" s="1"/>
  <c r="D3286"/>
  <c r="D3287" s="1"/>
  <c r="D3288" s="1"/>
  <c r="D3289" s="1"/>
  <c r="M51" i="41" l="1"/>
  <c r="K51" i="45"/>
  <c r="G94"/>
  <c r="K92"/>
  <c r="K94" s="1"/>
  <c r="G1260" i="6"/>
  <c r="G1267" s="1"/>
  <c r="F1232"/>
  <c r="F1238" s="1"/>
  <c r="F1204"/>
  <c r="F1210" s="1"/>
  <c r="F1211" s="1"/>
  <c r="F1212" s="1"/>
  <c r="F1213" s="1"/>
  <c r="G1218"/>
  <c r="G1225" s="1"/>
  <c r="H1232"/>
  <c r="H1238" s="1"/>
  <c r="G1204"/>
  <c r="G1210" s="1"/>
  <c r="E1232"/>
  <c r="E1238" s="1"/>
  <c r="E1239" s="1"/>
  <c r="E1240" s="1"/>
  <c r="E1241" s="1"/>
  <c r="E1606"/>
  <c r="E1612" s="1"/>
  <c r="H1606"/>
  <c r="H1612" s="1"/>
  <c r="E1588"/>
  <c r="E1595" s="1"/>
  <c r="L1562"/>
  <c r="L1568" s="1"/>
  <c r="F1562"/>
  <c r="F1568" s="1"/>
  <c r="G1562"/>
  <c r="G1568" s="1"/>
  <c r="I1562"/>
  <c r="I1568" s="1"/>
  <c r="F1379"/>
  <c r="F1386" s="1"/>
  <c r="F1387" s="1"/>
  <c r="F1388" s="1"/>
  <c r="F1389" s="1"/>
  <c r="E1394"/>
  <c r="E1401" s="1"/>
  <c r="H1394"/>
  <c r="H1401" s="1"/>
  <c r="F1394"/>
  <c r="F1401" s="1"/>
  <c r="D1218"/>
  <c r="D1225" s="1"/>
  <c r="I1232"/>
  <c r="I1238" s="1"/>
  <c r="F1606"/>
  <c r="F1612" s="1"/>
  <c r="F1575"/>
  <c r="F1582" s="1"/>
  <c r="F1583" s="1"/>
  <c r="F1584" s="1"/>
  <c r="F1585" s="1"/>
  <c r="H1575"/>
  <c r="H1582" s="1"/>
  <c r="K1562"/>
  <c r="K1568" s="1"/>
  <c r="E1575"/>
  <c r="E1582" s="1"/>
  <c r="H1379"/>
  <c r="H1386" s="1"/>
  <c r="L1394"/>
  <c r="L1401" s="1"/>
  <c r="K55" i="41"/>
  <c r="L55" s="1"/>
  <c r="N55" s="1"/>
  <c r="N66" s="1"/>
  <c r="F58" i="46"/>
  <c r="G58" s="1"/>
  <c r="G63" s="1"/>
  <c r="G145" s="1"/>
  <c r="F55" i="45"/>
  <c r="G55" s="1"/>
  <c r="G64" s="1"/>
  <c r="D1260" i="6"/>
  <c r="D1267" s="1"/>
  <c r="D1246"/>
  <c r="D1253" s="1"/>
  <c r="F1246"/>
  <c r="F1253" s="1"/>
  <c r="F1254" s="1"/>
  <c r="F1255" s="1"/>
  <c r="E1218"/>
  <c r="E1225" s="1"/>
  <c r="D1204"/>
  <c r="D1210" s="1"/>
  <c r="E1204"/>
  <c r="E1210" s="1"/>
  <c r="G1232"/>
  <c r="G1238" s="1"/>
  <c r="G1239" s="1"/>
  <c r="G1240" s="1"/>
  <c r="G1241" s="1"/>
  <c r="H1218"/>
  <c r="H1225" s="1"/>
  <c r="E1260"/>
  <c r="E1267" s="1"/>
  <c r="I1218"/>
  <c r="I1225" s="1"/>
  <c r="G1246"/>
  <c r="G1253" s="1"/>
  <c r="G1254" s="1"/>
  <c r="G1255" s="1"/>
  <c r="H1562"/>
  <c r="H1568" s="1"/>
  <c r="G1575"/>
  <c r="G1582" s="1"/>
  <c r="I1394"/>
  <c r="I1401" s="1"/>
  <c r="I1402" s="1"/>
  <c r="I1403" s="1"/>
  <c r="I1404" s="1"/>
  <c r="K1394"/>
  <c r="K1401" s="1"/>
  <c r="G1379"/>
  <c r="G1386" s="1"/>
  <c r="M55" i="41"/>
  <c r="M66" s="1"/>
  <c r="E6" i="42" s="1"/>
  <c r="G14" i="34"/>
  <c r="K4606" i="6"/>
  <c r="G8" i="34"/>
  <c r="F4562" i="6"/>
  <c r="I4562" s="1"/>
  <c r="I4572" s="1"/>
  <c r="I4573" s="1"/>
  <c r="I4574" s="1"/>
  <c r="F2002"/>
  <c r="I2002" s="1"/>
  <c r="I2003" s="1"/>
  <c r="I2004" s="1"/>
  <c r="G4" i="34" s="1"/>
  <c r="E2024" i="6"/>
  <c r="E2030" s="1"/>
  <c r="E2031" s="1"/>
  <c r="E2032" s="1"/>
  <c r="E2033" s="1"/>
  <c r="D2024"/>
  <c r="D2030" s="1"/>
  <c r="D2031" s="1"/>
  <c r="D2032" s="1"/>
  <c r="D2033" s="1"/>
  <c r="L2031"/>
  <c r="L2032" s="1"/>
  <c r="L2033" s="1"/>
  <c r="K2031"/>
  <c r="K2032" s="1"/>
  <c r="K2033" s="1"/>
  <c r="A1943"/>
  <c r="A1880"/>
  <c r="A1915" s="1"/>
  <c r="I1003"/>
  <c r="I1004" s="1"/>
  <c r="I1005" s="1"/>
  <c r="D2192"/>
  <c r="D2193" s="1"/>
  <c r="D2194" s="1"/>
  <c r="E3163"/>
  <c r="E3164" s="1"/>
  <c r="E3165" s="1"/>
  <c r="E3166" s="1"/>
  <c r="E1254"/>
  <c r="E1255" s="1"/>
  <c r="F1268"/>
  <c r="F1269" s="1"/>
  <c r="F1270" s="1"/>
  <c r="I889"/>
  <c r="I890" s="1"/>
  <c r="I891" s="1"/>
  <c r="F2164"/>
  <c r="F2165" s="1"/>
  <c r="F2166" s="1"/>
  <c r="F1326"/>
  <c r="F1327" s="1"/>
  <c r="F1328" s="1"/>
  <c r="E1326"/>
  <c r="E1327" s="1"/>
  <c r="E1328" s="1"/>
  <c r="E1311"/>
  <c r="E1312" s="1"/>
  <c r="E1313" s="1"/>
  <c r="G1760"/>
  <c r="G1761" s="1"/>
  <c r="G1762" s="1"/>
  <c r="K1526"/>
  <c r="K1527" s="1"/>
  <c r="K1528" s="1"/>
  <c r="H1526"/>
  <c r="H1527" s="1"/>
  <c r="H1528" s="1"/>
  <c r="F1613"/>
  <c r="F1614" s="1"/>
  <c r="F1615" s="1"/>
  <c r="D1583"/>
  <c r="D1584" s="1"/>
  <c r="D1585" s="1"/>
  <c r="F1596"/>
  <c r="F1597" s="1"/>
  <c r="F1598" s="1"/>
  <c r="I3116"/>
  <c r="I3117" s="1"/>
  <c r="I3118" s="1"/>
  <c r="I3119" s="1"/>
  <c r="G3116"/>
  <c r="G3117" s="1"/>
  <c r="G3118" s="1"/>
  <c r="G3119" s="1"/>
  <c r="F2226"/>
  <c r="F2227" s="1"/>
  <c r="F2228" s="1"/>
  <c r="E2608"/>
  <c r="E2609" s="1"/>
  <c r="E2610" s="1"/>
  <c r="H2608"/>
  <c r="H2609" s="1"/>
  <c r="H2610" s="1"/>
  <c r="H1788"/>
  <c r="H1789" s="1"/>
  <c r="H1790" s="1"/>
  <c r="G1788"/>
  <c r="G1789" s="1"/>
  <c r="G1790" s="1"/>
  <c r="D1015"/>
  <c r="D1016" s="1"/>
  <c r="D1017" s="1"/>
  <c r="F1003"/>
  <c r="F1004" s="1"/>
  <c r="F1005" s="1"/>
  <c r="L2180"/>
  <c r="L2181" s="1"/>
  <c r="L2182" s="1"/>
  <c r="E2180"/>
  <c r="E2181" s="1"/>
  <c r="E2182" s="1"/>
  <c r="E3153"/>
  <c r="E3154" s="1"/>
  <c r="E3155" s="1"/>
  <c r="E3156" s="1"/>
  <c r="F3153"/>
  <c r="F3154" s="1"/>
  <c r="F3155" s="1"/>
  <c r="F3156" s="1"/>
  <c r="G3153"/>
  <c r="G3154" s="1"/>
  <c r="G3155" s="1"/>
  <c r="G3156" s="1"/>
  <c r="D2242"/>
  <c r="D2243" s="1"/>
  <c r="D2244" s="1"/>
  <c r="G2242"/>
  <c r="G2243" s="1"/>
  <c r="G2244" s="1"/>
  <c r="E1211"/>
  <c r="E1212" s="1"/>
  <c r="E1213" s="1"/>
  <c r="H1226"/>
  <c r="H1227" s="1"/>
  <c r="E1268"/>
  <c r="E1269" s="1"/>
  <c r="E1270" s="1"/>
  <c r="I1226"/>
  <c r="I1227" s="1"/>
  <c r="H1211"/>
  <c r="H1212" s="1"/>
  <c r="H1213" s="1"/>
  <c r="A1096" i="7"/>
  <c r="A1119" s="1"/>
  <c r="A1125" s="1"/>
  <c r="A1150" s="1"/>
  <c r="A1171" s="1"/>
  <c r="A1202" s="1"/>
  <c r="A1236" s="1"/>
  <c r="A1242" s="1"/>
  <c r="A1251" s="1"/>
  <c r="A1083"/>
  <c r="A1090" s="1"/>
  <c r="G2815" i="6"/>
  <c r="H2812"/>
  <c r="F3611"/>
  <c r="F3612" s="1"/>
  <c r="F3613" s="1"/>
  <c r="F3614" s="1"/>
  <c r="D3601"/>
  <c r="D3602" s="1"/>
  <c r="D3603" s="1"/>
  <c r="D3604" s="1"/>
  <c r="D3611"/>
  <c r="D3612" s="1"/>
  <c r="D3613" s="1"/>
  <c r="D3614" s="1"/>
  <c r="F889"/>
  <c r="F890" s="1"/>
  <c r="F891" s="1"/>
  <c r="D900"/>
  <c r="D901" s="1"/>
  <c r="D902" s="1"/>
  <c r="F876"/>
  <c r="F877" s="1"/>
  <c r="F878" s="1"/>
  <c r="E889"/>
  <c r="E890" s="1"/>
  <c r="E891" s="1"/>
  <c r="I2152"/>
  <c r="I2153" s="1"/>
  <c r="I2154" s="1"/>
  <c r="H2152"/>
  <c r="H2153" s="1"/>
  <c r="H2154" s="1"/>
  <c r="D2258"/>
  <c r="D2259" s="1"/>
  <c r="D2260" s="1"/>
  <c r="D1311"/>
  <c r="D1312" s="1"/>
  <c r="D1313" s="1"/>
  <c r="H1326"/>
  <c r="H1327" s="1"/>
  <c r="H1328" s="1"/>
  <c r="G1311"/>
  <c r="G1312" s="1"/>
  <c r="G1313" s="1"/>
  <c r="H1283"/>
  <c r="H1284" s="1"/>
  <c r="H1285" s="1"/>
  <c r="G1298"/>
  <c r="G1299" s="1"/>
  <c r="G1300" s="1"/>
  <c r="G1283"/>
  <c r="G1284" s="1"/>
  <c r="G1285" s="1"/>
  <c r="I1760"/>
  <c r="I1761" s="1"/>
  <c r="I1762" s="1"/>
  <c r="D1760"/>
  <c r="D1761" s="1"/>
  <c r="D1762" s="1"/>
  <c r="D1553"/>
  <c r="D1554" s="1"/>
  <c r="D1555" s="1"/>
  <c r="G1526"/>
  <c r="G1527" s="1"/>
  <c r="G1528" s="1"/>
  <c r="H1540"/>
  <c r="H1541" s="1"/>
  <c r="H1542" s="1"/>
  <c r="D1526"/>
  <c r="D1527" s="1"/>
  <c r="D1528" s="1"/>
  <c r="E1613"/>
  <c r="E1614" s="1"/>
  <c r="E1615" s="1"/>
  <c r="H1613"/>
  <c r="H1614" s="1"/>
  <c r="H1615" s="1"/>
  <c r="H1569"/>
  <c r="H1570" s="1"/>
  <c r="H1571" s="1"/>
  <c r="G1583"/>
  <c r="G1584" s="1"/>
  <c r="G1585" s="1"/>
  <c r="I1583"/>
  <c r="I1584" s="1"/>
  <c r="I1585" s="1"/>
  <c r="H3116"/>
  <c r="H3117" s="1"/>
  <c r="H3118" s="1"/>
  <c r="H3119" s="1"/>
  <c r="E3116"/>
  <c r="E3117" s="1"/>
  <c r="E3118" s="1"/>
  <c r="E3119" s="1"/>
  <c r="E3126"/>
  <c r="E3127" s="1"/>
  <c r="E3128" s="1"/>
  <c r="E3129" s="1"/>
  <c r="I2226"/>
  <c r="I2227" s="1"/>
  <c r="I2228" s="1"/>
  <c r="G1402"/>
  <c r="G1403" s="1"/>
  <c r="G1404" s="1"/>
  <c r="D1387"/>
  <c r="D1388" s="1"/>
  <c r="D1389" s="1"/>
  <c r="D1402"/>
  <c r="D1403" s="1"/>
  <c r="D1404" s="1"/>
  <c r="I1387"/>
  <c r="I1388" s="1"/>
  <c r="I1389" s="1"/>
  <c r="H1483"/>
  <c r="H1484" s="1"/>
  <c r="H1485" s="1"/>
  <c r="H1497"/>
  <c r="H1498" s="1"/>
  <c r="H1499" s="1"/>
  <c r="D1483"/>
  <c r="D1484" s="1"/>
  <c r="D1485" s="1"/>
  <c r="I1483"/>
  <c r="I1484" s="1"/>
  <c r="I1485" s="1"/>
  <c r="K1483"/>
  <c r="K1484" s="1"/>
  <c r="K1485" s="1"/>
  <c r="D1153"/>
  <c r="D1154" s="1"/>
  <c r="D1155" s="1"/>
  <c r="F1181"/>
  <c r="F1182" s="1"/>
  <c r="F1183" s="1"/>
  <c r="H1181"/>
  <c r="H1182" s="1"/>
  <c r="H1183" s="1"/>
  <c r="E1153"/>
  <c r="E1154" s="1"/>
  <c r="E1155" s="1"/>
  <c r="H1167"/>
  <c r="H1168" s="1"/>
  <c r="H1169" s="1"/>
  <c r="L1342"/>
  <c r="L1343" s="1"/>
  <c r="L1344" s="1"/>
  <c r="H1342"/>
  <c r="H1343" s="1"/>
  <c r="H1344" s="1"/>
  <c r="G1370"/>
  <c r="G1371" s="1"/>
  <c r="G1372" s="1"/>
  <c r="E1342"/>
  <c r="E1343" s="1"/>
  <c r="E1344" s="1"/>
  <c r="K1342"/>
  <c r="K1343" s="1"/>
  <c r="K1344" s="1"/>
  <c r="F928"/>
  <c r="F929" s="1"/>
  <c r="F930" s="1"/>
  <c r="E928"/>
  <c r="E929" s="1"/>
  <c r="E930" s="1"/>
  <c r="G942"/>
  <c r="G943" s="1"/>
  <c r="G944" s="1"/>
  <c r="D2620"/>
  <c r="D2621" s="1"/>
  <c r="D2622" s="1"/>
  <c r="D2608"/>
  <c r="D2609" s="1"/>
  <c r="D2610" s="1"/>
  <c r="I1788"/>
  <c r="I1789" s="1"/>
  <c r="I1790" s="1"/>
  <c r="E1015"/>
  <c r="E1016" s="1"/>
  <c r="E1017" s="1"/>
  <c r="F2192"/>
  <c r="F2193" s="1"/>
  <c r="F2194" s="1"/>
  <c r="I1254"/>
  <c r="I1255" s="1"/>
  <c r="D1239"/>
  <c r="D1240" s="1"/>
  <c r="D1241" s="1"/>
  <c r="H889"/>
  <c r="H890" s="1"/>
  <c r="H891" s="1"/>
  <c r="H2226"/>
  <c r="H2227" s="1"/>
  <c r="H2228" s="1"/>
  <c r="E1402"/>
  <c r="E1403" s="1"/>
  <c r="E1404" s="1"/>
  <c r="H1402"/>
  <c r="H1403" s="1"/>
  <c r="H1404" s="1"/>
  <c r="F1402"/>
  <c r="F1403" s="1"/>
  <c r="F1404" s="1"/>
  <c r="L1483"/>
  <c r="L1484" s="1"/>
  <c r="L1485" s="1"/>
  <c r="E1497"/>
  <c r="E1498" s="1"/>
  <c r="E1499" s="1"/>
  <c r="G1497"/>
  <c r="G1498" s="1"/>
  <c r="G1499" s="1"/>
  <c r="E1167"/>
  <c r="E1168" s="1"/>
  <c r="E1169" s="1"/>
  <c r="H1153"/>
  <c r="H1154" s="1"/>
  <c r="H1155" s="1"/>
  <c r="E1194"/>
  <c r="E1195" s="1"/>
  <c r="E1196" s="1"/>
  <c r="I1153"/>
  <c r="I1154" s="1"/>
  <c r="I1155" s="1"/>
  <c r="E1181"/>
  <c r="E1182" s="1"/>
  <c r="E1183" s="1"/>
  <c r="F1356"/>
  <c r="F1357" s="1"/>
  <c r="F1358" s="1"/>
  <c r="F1342"/>
  <c r="F1343" s="1"/>
  <c r="F1344" s="1"/>
  <c r="I1342"/>
  <c r="I1343" s="1"/>
  <c r="I1344" s="1"/>
  <c r="G1356"/>
  <c r="G1357" s="1"/>
  <c r="G1358" s="1"/>
  <c r="O702"/>
  <c r="H942"/>
  <c r="H943" s="1"/>
  <c r="H944" s="1"/>
  <c r="E942"/>
  <c r="E943" s="1"/>
  <c r="E944" s="1"/>
  <c r="I916"/>
  <c r="I917" s="1"/>
  <c r="I918" s="1"/>
  <c r="K942"/>
  <c r="K943" s="1"/>
  <c r="K944" s="1"/>
  <c r="D916"/>
  <c r="D917" s="1"/>
  <c r="D918" s="1"/>
  <c r="E1003"/>
  <c r="E1004" s="1"/>
  <c r="E1005" s="1"/>
  <c r="F1015"/>
  <c r="F1016" s="1"/>
  <c r="F1017" s="1"/>
  <c r="G2180"/>
  <c r="G2181" s="1"/>
  <c r="G2182" s="1"/>
  <c r="H2180"/>
  <c r="H2181" s="1"/>
  <c r="H2182" s="1"/>
  <c r="F2180"/>
  <c r="F2181" s="1"/>
  <c r="F2182" s="1"/>
  <c r="D3163"/>
  <c r="D3164" s="1"/>
  <c r="D3165" s="1"/>
  <c r="D3166" s="1"/>
  <c r="H3153"/>
  <c r="H3154" s="1"/>
  <c r="H3155" s="1"/>
  <c r="H3156" s="1"/>
  <c r="H2242"/>
  <c r="H2243" s="1"/>
  <c r="H2244" s="1"/>
  <c r="F2242"/>
  <c r="F2243" s="1"/>
  <c r="F2244" s="1"/>
  <c r="D1268"/>
  <c r="D1269" s="1"/>
  <c r="D1270" s="1"/>
  <c r="D1226"/>
  <c r="D1227" s="1"/>
  <c r="D1254"/>
  <c r="D1255" s="1"/>
  <c r="E1226"/>
  <c r="E1227" s="1"/>
  <c r="I1239"/>
  <c r="I1240" s="1"/>
  <c r="I1241" s="1"/>
  <c r="D1211"/>
  <c r="D1212" s="1"/>
  <c r="D1213" s="1"/>
  <c r="F2816"/>
  <c r="F2817" s="1"/>
  <c r="F2818" s="1"/>
  <c r="F2819" s="1"/>
  <c r="K3601"/>
  <c r="K3602" s="1"/>
  <c r="K3603" s="1"/>
  <c r="K3604" s="1"/>
  <c r="E3611"/>
  <c r="E3612" s="1"/>
  <c r="E3613" s="1"/>
  <c r="E3614" s="1"/>
  <c r="I3601"/>
  <c r="I3602" s="1"/>
  <c r="I3603" s="1"/>
  <c r="I3604" s="1"/>
  <c r="G889"/>
  <c r="G890" s="1"/>
  <c r="G891" s="1"/>
  <c r="D876"/>
  <c r="D877" s="1"/>
  <c r="D878" s="1"/>
  <c r="D889"/>
  <c r="D890" s="1"/>
  <c r="D891" s="1"/>
  <c r="I876"/>
  <c r="I877" s="1"/>
  <c r="I878" s="1"/>
  <c r="D2164"/>
  <c r="D2165" s="1"/>
  <c r="D2166" s="1"/>
  <c r="D2152"/>
  <c r="D2153" s="1"/>
  <c r="D2154" s="1"/>
  <c r="F2258"/>
  <c r="F2259" s="1"/>
  <c r="F2260" s="1"/>
  <c r="E1283"/>
  <c r="E1284" s="1"/>
  <c r="E1285" s="1"/>
  <c r="D1298"/>
  <c r="D1299" s="1"/>
  <c r="D1300" s="1"/>
  <c r="F1298"/>
  <c r="F1299" s="1"/>
  <c r="F1300" s="1"/>
  <c r="D1283"/>
  <c r="D1284" s="1"/>
  <c r="D1285" s="1"/>
  <c r="G1326"/>
  <c r="G1327" s="1"/>
  <c r="G1328" s="1"/>
  <c r="F1283"/>
  <c r="F1284" s="1"/>
  <c r="F1285" s="1"/>
  <c r="F1760"/>
  <c r="F1761" s="1"/>
  <c r="F1762" s="1"/>
  <c r="E1760"/>
  <c r="E1761" s="1"/>
  <c r="E1762" s="1"/>
  <c r="G12" i="34" s="1"/>
  <c r="F1747" i="6"/>
  <c r="I1747" s="1"/>
  <c r="I1748" s="1"/>
  <c r="I1749" s="1"/>
  <c r="G10" i="34" s="1"/>
  <c r="F1553" i="6"/>
  <c r="F1554" s="1"/>
  <c r="F1555" s="1"/>
  <c r="I1540"/>
  <c r="I1541" s="1"/>
  <c r="I1542" s="1"/>
  <c r="D1540"/>
  <c r="D1541" s="1"/>
  <c r="D1542" s="1"/>
  <c r="F1540"/>
  <c r="F1541" s="1"/>
  <c r="F1542" s="1"/>
  <c r="I1613"/>
  <c r="I1614" s="1"/>
  <c r="I1615" s="1"/>
  <c r="D1613"/>
  <c r="D1614" s="1"/>
  <c r="D1615" s="1"/>
  <c r="H1583"/>
  <c r="H1584" s="1"/>
  <c r="H1585" s="1"/>
  <c r="K1569"/>
  <c r="K1570" s="1"/>
  <c r="K1571" s="1"/>
  <c r="E1583"/>
  <c r="E1584" s="1"/>
  <c r="E1585" s="1"/>
  <c r="D3116"/>
  <c r="D3117" s="1"/>
  <c r="D3118" s="1"/>
  <c r="D3119" s="1"/>
  <c r="F2960"/>
  <c r="I2960" s="1"/>
  <c r="I2961" s="1"/>
  <c r="I2962" s="1"/>
  <c r="I2963" s="1"/>
  <c r="F3116"/>
  <c r="F3117" s="1"/>
  <c r="F3118" s="1"/>
  <c r="F3119" s="1"/>
  <c r="E2226"/>
  <c r="E2227" s="1"/>
  <c r="E2228" s="1"/>
  <c r="P702"/>
  <c r="K1402"/>
  <c r="K1403" s="1"/>
  <c r="K1404" s="1"/>
  <c r="G1387"/>
  <c r="G1388" s="1"/>
  <c r="G1389" s="1"/>
  <c r="E1387"/>
  <c r="E1388" s="1"/>
  <c r="E1389" s="1"/>
  <c r="E1510"/>
  <c r="E1511" s="1"/>
  <c r="E1512" s="1"/>
  <c r="F1483"/>
  <c r="F1484" s="1"/>
  <c r="F1485" s="1"/>
  <c r="F1510"/>
  <c r="F1511" s="1"/>
  <c r="F1512" s="1"/>
  <c r="E1483"/>
  <c r="E1484" s="1"/>
  <c r="E1485" s="1"/>
  <c r="G1483"/>
  <c r="G1484" s="1"/>
  <c r="G1485" s="1"/>
  <c r="G1181"/>
  <c r="G1182" s="1"/>
  <c r="G1183" s="1"/>
  <c r="F1167"/>
  <c r="F1168" s="1"/>
  <c r="F1169" s="1"/>
  <c r="D1181"/>
  <c r="D1182" s="1"/>
  <c r="D1183" s="1"/>
  <c r="F1194"/>
  <c r="F1195" s="1"/>
  <c r="F1196" s="1"/>
  <c r="D1167"/>
  <c r="D1168" s="1"/>
  <c r="D1169" s="1"/>
  <c r="H1356"/>
  <c r="H1357" s="1"/>
  <c r="H1358" s="1"/>
  <c r="D1342"/>
  <c r="D1343" s="1"/>
  <c r="D1344" s="1"/>
  <c r="F1370"/>
  <c r="F1371" s="1"/>
  <c r="F1372" s="1"/>
  <c r="I1356"/>
  <c r="I1357" s="1"/>
  <c r="I1358" s="1"/>
  <c r="I1370"/>
  <c r="I1371" s="1"/>
  <c r="I1372" s="1"/>
  <c r="G1342"/>
  <c r="G1343" s="1"/>
  <c r="G1344" s="1"/>
  <c r="I942"/>
  <c r="I943" s="1"/>
  <c r="I944" s="1"/>
  <c r="L942"/>
  <c r="L943" s="1"/>
  <c r="L944" s="1"/>
  <c r="F942"/>
  <c r="F943" s="1"/>
  <c r="F944" s="1"/>
  <c r="D928"/>
  <c r="D929" s="1"/>
  <c r="D930" s="1"/>
  <c r="F2608"/>
  <c r="F2609" s="1"/>
  <c r="F2610" s="1"/>
  <c r="E2620"/>
  <c r="E2621" s="1"/>
  <c r="E2622" s="1"/>
  <c r="D1788"/>
  <c r="D1789" s="1"/>
  <c r="D1790" s="1"/>
  <c r="E1788"/>
  <c r="E1789" s="1"/>
  <c r="E1790" s="1"/>
  <c r="F1788"/>
  <c r="F1789" s="1"/>
  <c r="F1790" s="1"/>
  <c r="I2180"/>
  <c r="I2181" s="1"/>
  <c r="I2182" s="1"/>
  <c r="F3163"/>
  <c r="F3164" s="1"/>
  <c r="F3165" s="1"/>
  <c r="F3166" s="1"/>
  <c r="E2242"/>
  <c r="E2243" s="1"/>
  <c r="E2244" s="1"/>
  <c r="H1254"/>
  <c r="H1255" s="1"/>
  <c r="I1211"/>
  <c r="I1212" s="1"/>
  <c r="I1213" s="1"/>
  <c r="F1226"/>
  <c r="F1227" s="1"/>
  <c r="G3601"/>
  <c r="G3602" s="1"/>
  <c r="G3603" s="1"/>
  <c r="G3604" s="1"/>
  <c r="H3601"/>
  <c r="H3602" s="1"/>
  <c r="H3603" s="1"/>
  <c r="H3604" s="1"/>
  <c r="F3601"/>
  <c r="F3602" s="1"/>
  <c r="F3603" s="1"/>
  <c r="F3604" s="1"/>
  <c r="H876"/>
  <c r="H877" s="1"/>
  <c r="H878" s="1"/>
  <c r="E2152"/>
  <c r="E2153" s="1"/>
  <c r="E2154" s="1"/>
  <c r="G2152"/>
  <c r="G2153" s="1"/>
  <c r="G2154" s="1"/>
  <c r="H2258"/>
  <c r="H2259" s="1"/>
  <c r="H2260" s="1"/>
  <c r="E2258"/>
  <c r="E2259" s="1"/>
  <c r="E2260" s="1"/>
  <c r="H1311"/>
  <c r="H1312" s="1"/>
  <c r="H1313" s="1"/>
  <c r="H1298"/>
  <c r="H1299" s="1"/>
  <c r="H1300" s="1"/>
  <c r="E1298"/>
  <c r="E1299" s="1"/>
  <c r="E1300" s="1"/>
  <c r="H1760"/>
  <c r="H1761" s="1"/>
  <c r="H1762" s="1"/>
  <c r="E1540"/>
  <c r="E1541" s="1"/>
  <c r="E1542" s="1"/>
  <c r="E1553"/>
  <c r="E1554" s="1"/>
  <c r="E1555" s="1"/>
  <c r="F1526"/>
  <c r="F1527" s="1"/>
  <c r="F1528" s="1"/>
  <c r="D1569"/>
  <c r="D1570" s="1"/>
  <c r="D1571" s="1"/>
  <c r="D1596"/>
  <c r="D1597" s="1"/>
  <c r="D1598" s="1"/>
  <c r="E1569"/>
  <c r="E1570" s="1"/>
  <c r="E1571" s="1"/>
  <c r="N702"/>
  <c r="H1003"/>
  <c r="H1004" s="1"/>
  <c r="H1005" s="1"/>
  <c r="D1003"/>
  <c r="D1004" s="1"/>
  <c r="D1005" s="1"/>
  <c r="G1003"/>
  <c r="G1004" s="1"/>
  <c r="G1005" s="1"/>
  <c r="K2180"/>
  <c r="K2181" s="1"/>
  <c r="K2182" s="1"/>
  <c r="D2180"/>
  <c r="D2181" s="1"/>
  <c r="D2182" s="1"/>
  <c r="E2192"/>
  <c r="E2193" s="1"/>
  <c r="E2194" s="1"/>
  <c r="I3153"/>
  <c r="I3154" s="1"/>
  <c r="I3155" s="1"/>
  <c r="I3156" s="1"/>
  <c r="D3153"/>
  <c r="D3154" s="1"/>
  <c r="D3155" s="1"/>
  <c r="D3156" s="1"/>
  <c r="I2242"/>
  <c r="I2243" s="1"/>
  <c r="I2244" s="1"/>
  <c r="G1268"/>
  <c r="G1269" s="1"/>
  <c r="G1270" s="1"/>
  <c r="F1239"/>
  <c r="F1240" s="1"/>
  <c r="F1241" s="1"/>
  <c r="G1226"/>
  <c r="G1227" s="1"/>
  <c r="H1239"/>
  <c r="H1240" s="1"/>
  <c r="H1241" s="1"/>
  <c r="G1211"/>
  <c r="G1212" s="1"/>
  <c r="G1213" s="1"/>
  <c r="L3601"/>
  <c r="L3602" s="1"/>
  <c r="L3603" s="1"/>
  <c r="L3604" s="1"/>
  <c r="E3601"/>
  <c r="E3602" s="1"/>
  <c r="E3603" s="1"/>
  <c r="E3604" s="1"/>
  <c r="E900"/>
  <c r="E901" s="1"/>
  <c r="E902" s="1"/>
  <c r="F900"/>
  <c r="F901" s="1"/>
  <c r="F902" s="1"/>
  <c r="G876"/>
  <c r="G877" s="1"/>
  <c r="G878" s="1"/>
  <c r="E876"/>
  <c r="E877" s="1"/>
  <c r="E878" s="1"/>
  <c r="F2152"/>
  <c r="F2153" s="1"/>
  <c r="F2154" s="1"/>
  <c r="E2164"/>
  <c r="E2165" s="1"/>
  <c r="E2166" s="1"/>
  <c r="G2258"/>
  <c r="G2259" s="1"/>
  <c r="G2260" s="1"/>
  <c r="I2258"/>
  <c r="I2259" s="1"/>
  <c r="I2260" s="1"/>
  <c r="D1326"/>
  <c r="D1327" s="1"/>
  <c r="D1328" s="1"/>
  <c r="I1326"/>
  <c r="I1327" s="1"/>
  <c r="I1328" s="1"/>
  <c r="I1283"/>
  <c r="I1284" s="1"/>
  <c r="I1285" s="1"/>
  <c r="F1311"/>
  <c r="F1312" s="1"/>
  <c r="F1313" s="1"/>
  <c r="I1311"/>
  <c r="I1312" s="1"/>
  <c r="I1313" s="1"/>
  <c r="I1298"/>
  <c r="I1299" s="1"/>
  <c r="I1300" s="1"/>
  <c r="A302" i="2"/>
  <c r="A303" s="1"/>
  <c r="A307" s="1"/>
  <c r="A309" s="1"/>
  <c r="A310" s="1"/>
  <c r="A311" s="1"/>
  <c r="A312" s="1"/>
  <c r="A313" s="1"/>
  <c r="A314" s="1"/>
  <c r="A315" s="1"/>
  <c r="A316" s="1"/>
  <c r="A317" s="1"/>
  <c r="A318" s="1"/>
  <c r="A319" s="1"/>
  <c r="A320" s="1"/>
  <c r="A321" s="1"/>
  <c r="A322" s="1"/>
  <c r="A323" s="1"/>
  <c r="A324" s="1"/>
  <c r="A327" s="1"/>
  <c r="A336" s="1"/>
  <c r="A346" s="1"/>
  <c r="A347" s="1"/>
  <c r="A348" s="1"/>
  <c r="A301"/>
  <c r="K1760" i="6"/>
  <c r="K1761" s="1"/>
  <c r="K1762" s="1"/>
  <c r="L1760"/>
  <c r="L1761" s="1"/>
  <c r="L1762" s="1"/>
  <c r="I1526"/>
  <c r="I1527" s="1"/>
  <c r="I1528" s="1"/>
  <c r="G1540"/>
  <c r="G1541" s="1"/>
  <c r="G1542" s="1"/>
  <c r="E1526"/>
  <c r="E1527" s="1"/>
  <c r="E1528" s="1"/>
  <c r="L1526"/>
  <c r="L1527" s="1"/>
  <c r="L1528" s="1"/>
  <c r="G1613"/>
  <c r="G1614" s="1"/>
  <c r="G1615" s="1"/>
  <c r="E1596"/>
  <c r="E1597" s="1"/>
  <c r="E1598" s="1"/>
  <c r="L1569"/>
  <c r="L1570" s="1"/>
  <c r="L1571" s="1"/>
  <c r="F1569"/>
  <c r="F1570" s="1"/>
  <c r="F1571" s="1"/>
  <c r="G1569"/>
  <c r="G1570" s="1"/>
  <c r="G1571" s="1"/>
  <c r="I1569"/>
  <c r="I1570" s="1"/>
  <c r="I1571" s="1"/>
  <c r="D3126"/>
  <c r="D3127" s="1"/>
  <c r="D3128" s="1"/>
  <c r="D3129" s="1"/>
  <c r="F3126"/>
  <c r="F3127" s="1"/>
  <c r="F3128" s="1"/>
  <c r="F3129" s="1"/>
  <c r="D2226"/>
  <c r="D2227" s="1"/>
  <c r="D2228" s="1"/>
  <c r="G2226"/>
  <c r="G2227" s="1"/>
  <c r="G2228" s="1"/>
  <c r="H1387"/>
  <c r="H1388" s="1"/>
  <c r="H1389" s="1"/>
  <c r="L1402"/>
  <c r="L1403" s="1"/>
  <c r="L1404" s="1"/>
  <c r="D1497"/>
  <c r="D1498" s="1"/>
  <c r="D1499" s="1"/>
  <c r="F1497"/>
  <c r="F1498" s="1"/>
  <c r="F1499" s="1"/>
  <c r="I1497"/>
  <c r="I1498" s="1"/>
  <c r="I1499" s="1"/>
  <c r="D1510"/>
  <c r="D1511" s="1"/>
  <c r="D1512" s="1"/>
  <c r="D1194"/>
  <c r="D1195" s="1"/>
  <c r="D1196" s="1"/>
  <c r="I1167"/>
  <c r="I1168" s="1"/>
  <c r="I1169" s="1"/>
  <c r="G1153"/>
  <c r="G1154" s="1"/>
  <c r="G1155" s="1"/>
  <c r="G1167"/>
  <c r="G1168" s="1"/>
  <c r="G1169" s="1"/>
  <c r="I1181"/>
  <c r="I1182" s="1"/>
  <c r="I1183" s="1"/>
  <c r="F1153"/>
  <c r="F1154" s="1"/>
  <c r="F1155" s="1"/>
  <c r="D1370"/>
  <c r="D1371" s="1"/>
  <c r="D1372" s="1"/>
  <c r="H1370"/>
  <c r="H1371" s="1"/>
  <c r="H1372" s="1"/>
  <c r="D1356"/>
  <c r="D1357" s="1"/>
  <c r="D1358" s="1"/>
  <c r="E1356"/>
  <c r="E1357" s="1"/>
  <c r="E1358" s="1"/>
  <c r="E1370"/>
  <c r="E1371" s="1"/>
  <c r="E1372" s="1"/>
  <c r="E916"/>
  <c r="E917" s="1"/>
  <c r="E918" s="1"/>
  <c r="F916"/>
  <c r="F917" s="1"/>
  <c r="F918" s="1"/>
  <c r="D942"/>
  <c r="D943" s="1"/>
  <c r="D944" s="1"/>
  <c r="G916"/>
  <c r="G917" s="1"/>
  <c r="G918" s="1"/>
  <c r="H916"/>
  <c r="H917" s="1"/>
  <c r="H918" s="1"/>
  <c r="I2608"/>
  <c r="I2609" s="1"/>
  <c r="I2610" s="1"/>
  <c r="F2620"/>
  <c r="F2621" s="1"/>
  <c r="F2622" s="1"/>
  <c r="G2608"/>
  <c r="G2609" s="1"/>
  <c r="G2610" s="1"/>
  <c r="L1788"/>
  <c r="L1789" s="1"/>
  <c r="L1790" s="1"/>
  <c r="K1788"/>
  <c r="K1789" s="1"/>
  <c r="K1790" s="1"/>
  <c r="L66" i="41" l="1"/>
  <c r="D6" i="42" s="1"/>
  <c r="D11" s="1"/>
  <c r="D12" s="1"/>
  <c r="D13" s="1"/>
  <c r="G140" i="45"/>
  <c r="K140" s="1"/>
  <c r="K141" s="1"/>
  <c r="K142" s="1"/>
  <c r="K143" s="1"/>
  <c r="K144" s="1"/>
  <c r="K55"/>
  <c r="K64" s="1"/>
  <c r="M147" i="41"/>
  <c r="L149" s="1"/>
  <c r="F6" i="42"/>
  <c r="F11" s="1"/>
  <c r="N147" i="41"/>
  <c r="L150" s="1"/>
  <c r="L147"/>
  <c r="H150" s="1"/>
  <c r="H151" s="1"/>
  <c r="E11" i="42"/>
  <c r="E13" s="1"/>
  <c r="G38" i="34"/>
  <c r="C5" i="38" s="1"/>
  <c r="C8" s="1"/>
  <c r="A2036" i="6"/>
  <c r="A1985"/>
  <c r="G2816"/>
  <c r="G2817" s="1"/>
  <c r="G2818" s="1"/>
  <c r="G2819" s="1"/>
  <c r="I2812"/>
  <c r="H2815"/>
  <c r="G141" i="45" l="1"/>
  <c r="G142" s="1"/>
  <c r="G143" s="1"/>
  <c r="G144" s="1"/>
  <c r="L151" i="41"/>
  <c r="D17" i="42"/>
  <c r="F17" s="1"/>
  <c r="D23"/>
  <c r="E23" s="1"/>
  <c r="E18"/>
  <c r="E22" s="1"/>
  <c r="F12"/>
  <c r="F13" s="1"/>
  <c r="C9" i="38"/>
  <c r="C10" s="1"/>
  <c r="A2122" i="6"/>
  <c r="A2080"/>
  <c r="A2196" s="1"/>
  <c r="A2262" s="1"/>
  <c r="A2293" s="1"/>
  <c r="A2324" s="1"/>
  <c r="A2367" s="1"/>
  <c r="A2411" s="1"/>
  <c r="I2815"/>
  <c r="H2816"/>
  <c r="H2817" s="1"/>
  <c r="H2818" s="1"/>
  <c r="H2819" s="1"/>
  <c r="D18" i="42" l="1"/>
  <c r="D19" s="1"/>
  <c r="F19" s="1"/>
  <c r="F18"/>
  <c r="E24"/>
  <c r="E27" s="1"/>
  <c r="C12" i="38"/>
  <c r="C11"/>
  <c r="A2509" i="6"/>
  <c r="A2544" s="1"/>
  <c r="A2444"/>
  <c r="A2476" s="1"/>
  <c r="I2816"/>
  <c r="I2817" s="1"/>
  <c r="I2818" s="1"/>
  <c r="I2819" s="1"/>
  <c r="K2812"/>
  <c r="D21" i="42" l="1"/>
  <c r="F21" s="1"/>
  <c r="F22" s="1"/>
  <c r="F24" s="1"/>
  <c r="E28" s="1"/>
  <c r="E29" s="1"/>
  <c r="C13" i="38"/>
  <c r="C14" s="1"/>
  <c r="A2678" i="6"/>
  <c r="A2577"/>
  <c r="A2624" s="1"/>
  <c r="A2651" s="1"/>
  <c r="K2815"/>
  <c r="L2812"/>
  <c r="L2815" s="1"/>
  <c r="D22" i="42" l="1"/>
  <c r="D24" s="1"/>
  <c r="D25" s="1"/>
  <c r="C15" i="38"/>
  <c r="A2794" i="6"/>
  <c r="A2992" s="1"/>
  <c r="A3029" s="1"/>
  <c r="A3069" s="1"/>
  <c r="A3096" s="1"/>
  <c r="A2715"/>
  <c r="L2816"/>
  <c r="L2817" s="1"/>
  <c r="L2818" s="1"/>
  <c r="L2819" s="1"/>
  <c r="K2816"/>
  <c r="K2817" s="1"/>
  <c r="K2818" s="1"/>
  <c r="K2819" s="1"/>
  <c r="C28" i="42" l="1"/>
  <c r="C29" s="1"/>
  <c r="C16" i="38"/>
  <c r="C18" s="1"/>
  <c r="D18" s="1"/>
  <c r="A3131" i="6"/>
  <c r="A3168"/>
  <c r="A2767"/>
  <c r="A2821" s="1"/>
  <c r="A2741"/>
  <c r="A2937" l="1"/>
  <c r="A2896"/>
  <c r="A2858"/>
  <c r="A2930" s="1"/>
  <c r="A2965"/>
  <c r="A3204"/>
  <c r="A3261" s="1"/>
  <c r="A3318"/>
  <c r="A2943" l="1"/>
  <c r="A2950" s="1"/>
  <c r="A2956"/>
  <c r="A3398"/>
  <c r="A3424" s="1"/>
  <c r="A3450" s="1"/>
  <c r="A3476"/>
  <c r="K1" i="7"/>
  <c r="M1" s="1"/>
  <c r="L1" i="8" l="1"/>
  <c r="N1" s="1"/>
  <c r="L1" i="6"/>
  <c r="A3653"/>
  <c r="A3691" s="1"/>
  <c r="A3727" s="1"/>
  <c r="A3502"/>
  <c r="A3539" s="1"/>
  <c r="A3577" s="1"/>
  <c r="M1"/>
  <c r="O1" s="1"/>
  <c r="A3763" l="1"/>
  <c r="A3808"/>
  <c r="A3827" s="1"/>
  <c r="A3852" s="1"/>
  <c r="A3873" s="1"/>
  <c r="A3897" s="1"/>
  <c r="A3914" s="1"/>
  <c r="A3920" s="1"/>
  <c r="A3935" s="1"/>
  <c r="A3953" s="1"/>
  <c r="A4015" l="1"/>
  <c r="A4033" s="1"/>
  <c r="A4055" s="1"/>
  <c r="A3970"/>
  <c r="A3984" s="1"/>
  <c r="A4001" s="1"/>
  <c r="A4074" l="1"/>
  <c r="A4087" s="1"/>
  <c r="A4103" s="1"/>
  <c r="A4119"/>
  <c r="A4173" l="1"/>
  <c r="A4141"/>
  <c r="A4157" s="1"/>
  <c r="A4207" l="1"/>
  <c r="A4190"/>
  <c r="A4213" l="1"/>
  <c r="A4219"/>
  <c r="A4225" s="1"/>
  <c r="A4231" s="1"/>
  <c r="A4240" s="1"/>
  <c r="A4246" s="1"/>
  <c r="A4252" s="1"/>
  <c r="A4259" s="1"/>
  <c r="A4266" s="1"/>
  <c r="A4282" s="1"/>
  <c r="A4623" l="1"/>
  <c r="A4311"/>
  <c r="A4346" s="1"/>
  <c r="A4635" l="1"/>
  <c r="A4647" s="1"/>
  <c r="A4656"/>
  <c r="A4407"/>
  <c r="A4433" s="1"/>
  <c r="A4378"/>
  <c r="A4609" s="1"/>
  <c r="A4615" s="1"/>
  <c r="A4668" l="1"/>
  <c r="A4869"/>
  <c r="A4472"/>
  <c r="A4491" s="1"/>
  <c r="A4443"/>
  <c r="A4881" l="1"/>
  <c r="A4885" s="1"/>
  <c r="A4893" s="1"/>
  <c r="A4900" s="1"/>
  <c r="A4907" s="1"/>
  <c r="A4913" s="1"/>
  <c r="A4720"/>
  <c r="A4784" s="1"/>
  <c r="A4817" s="1"/>
  <c r="A4498"/>
  <c r="A4504"/>
  <c r="A4532" s="1"/>
  <c r="A4558" s="1"/>
  <c r="A4576" s="1"/>
  <c r="A4920" s="1"/>
  <c r="A4926" s="1"/>
  <c r="A4929" s="1"/>
  <c r="A4960" s="1"/>
  <c r="A4972" s="1"/>
  <c r="A4987" s="1"/>
  <c r="A5009" s="1"/>
  <c r="A5030" s="1"/>
</calcChain>
</file>

<file path=xl/sharedStrings.xml><?xml version="1.0" encoding="utf-8"?>
<sst xmlns="http://schemas.openxmlformats.org/spreadsheetml/2006/main" count="17548" uniqueCount="3924">
  <si>
    <t>( No loading and unloading charges allowed for machinery loading and unloading )</t>
  </si>
  <si>
    <t>Sl No.</t>
  </si>
  <si>
    <t>Distance</t>
  </si>
  <si>
    <r>
      <rPr>
        <sz val="10"/>
        <rFont val="Cambria"/>
        <family val="2"/>
        <charset val="1"/>
      </rPr>
      <t xml:space="preserve">(Lead) charges for trucks and tippers for Earth / Sand /Gravel </t>
    </r>
    <r>
      <rPr>
        <sz val="11"/>
        <rFont val="Cambria"/>
        <family val="2"/>
        <charset val="1"/>
      </rPr>
      <t xml:space="preserve">/ Murrum/ Lime/ Surki/ </t>
    </r>
    <r>
      <rPr>
        <sz val="10"/>
        <rFont val="Cambria"/>
        <family val="2"/>
        <charset val="1"/>
      </rPr>
      <t>per cu.meter</t>
    </r>
  </si>
  <si>
    <r>
      <rPr>
        <sz val="10"/>
        <rFont val="Cambria"/>
        <family val="2"/>
        <charset val="1"/>
      </rPr>
      <t>(Lead) charges for trucks and tippers for Rubble</t>
    </r>
    <r>
      <rPr>
        <sz val="11"/>
        <rFont val="Cambria"/>
        <family val="2"/>
        <charset val="1"/>
      </rPr>
      <t xml:space="preserve">/Size stones/ Cut Stones/ </t>
    </r>
    <r>
      <rPr>
        <sz val="10"/>
        <rFont val="Cambria"/>
        <family val="2"/>
        <charset val="1"/>
      </rPr>
      <t>Coarse aggregate per cu.meter</t>
    </r>
  </si>
  <si>
    <r>
      <rPr>
        <sz val="10"/>
        <rFont val="Cambria"/>
        <family val="2"/>
        <charset val="1"/>
      </rPr>
      <t>(Lead) charges for trucks and tippers for Cement/ Stee</t>
    </r>
    <r>
      <rPr>
        <sz val="11"/>
        <rFont val="Cambria"/>
        <family val="2"/>
        <charset val="1"/>
      </rPr>
      <t xml:space="preserve">l/ RCC poles/ </t>
    </r>
    <r>
      <rPr>
        <sz val="10"/>
        <rFont val="Cambria"/>
        <family val="2"/>
        <charset val="1"/>
      </rPr>
      <t>AC &amp; GI sheets/</t>
    </r>
    <r>
      <rPr>
        <sz val="11"/>
        <rFont val="Cambria"/>
        <family val="2"/>
        <charset val="1"/>
      </rPr>
      <t xml:space="preserve"> Packed materials</t>
    </r>
    <r>
      <rPr>
        <sz val="10"/>
        <rFont val="Cambria"/>
        <family val="2"/>
        <charset val="1"/>
      </rPr>
      <t>/tonne</t>
    </r>
  </si>
  <si>
    <r>
      <rPr>
        <sz val="10"/>
        <rFont val="Cambria"/>
        <family val="2"/>
        <charset val="1"/>
      </rPr>
      <t>(Lead) charges for trucks and tippers per cu.meter for PCC slabs/ Shahabad slabs</t>
    </r>
    <r>
      <rPr>
        <sz val="11"/>
        <rFont val="Cambria"/>
        <family val="2"/>
        <charset val="1"/>
      </rPr>
      <t xml:space="preserve">/ CC &amp; Laterite blocks/ Wood/ </t>
    </r>
    <r>
      <rPr>
        <sz val="10"/>
        <rFont val="Cambria"/>
        <family val="2"/>
        <charset val="1"/>
      </rPr>
      <t>cum</t>
    </r>
  </si>
  <si>
    <t>(Lead) charges for trucks and tippers per cu.meter for water/ 1000 litres</t>
  </si>
  <si>
    <t>(Lead) charges for trucks and tippers for  Bricks /1000 nos</t>
  </si>
  <si>
    <t>Lead up to 1 km</t>
  </si>
  <si>
    <t>Lead up to 2 km</t>
  </si>
  <si>
    <t>Lead up to 3 km</t>
  </si>
  <si>
    <t>Lead up to 4 km</t>
  </si>
  <si>
    <t>Lead up to 5 km</t>
  </si>
  <si>
    <t>for Every km beyond 5 km up to 30 km</t>
  </si>
  <si>
    <t>for Every km beyond 30 km</t>
  </si>
  <si>
    <t>Description of item</t>
  </si>
  <si>
    <t>Earth / Sand /Gravel Murrum/ / Surki/ Rs / cum</t>
  </si>
  <si>
    <t>Rubble/ size stone/ cut stone/ Coarse aggregate, Lime in Rs/cum</t>
  </si>
  <si>
    <t>Cement in Rs/Tonne</t>
  </si>
  <si>
    <t>Steel in Rs/Tonne</t>
  </si>
  <si>
    <t>Bricks Rs/1000 Nos.</t>
  </si>
  <si>
    <t>Loading</t>
  </si>
  <si>
    <t>Unloading</t>
  </si>
  <si>
    <t>COMMON SoR 2022-23</t>
  </si>
  <si>
    <t>Sl.   No</t>
  </si>
  <si>
    <t xml:space="preserve">Items </t>
  </si>
  <si>
    <t xml:space="preserve">Reference to SoR </t>
  </si>
  <si>
    <t>S.No./ Item Code No.</t>
  </si>
  <si>
    <t>Rate</t>
  </si>
  <si>
    <t>Unit</t>
  </si>
  <si>
    <t xml:space="preserve">Part </t>
  </si>
  <si>
    <t>Page No.</t>
  </si>
  <si>
    <t>Common burnt clay bricks (23x11x7cm)</t>
  </si>
  <si>
    <t>Buildings</t>
  </si>
  <si>
    <t>TBSC-A.I-01</t>
  </si>
  <si>
    <t>Nos.</t>
  </si>
  <si>
    <t>Flyash cement / lime solid blocks (50 Kgs/ sq.cm) 290mmx225mmx140mm</t>
  </si>
  <si>
    <t>TBSC-A.II-08</t>
  </si>
  <si>
    <t>No.</t>
  </si>
  <si>
    <t>Flyash cement / lime solid blocks (50 Kgs/ sq.cm) 290mmx100mmx140mm</t>
  </si>
  <si>
    <t>TBSC-A.II-11</t>
  </si>
  <si>
    <t>Flyash cement / lime solid blocks (50 Kgs/ sq.cm) 225mmx100mmx60mm</t>
  </si>
  <si>
    <t>TBSC-A.II-12</t>
  </si>
  <si>
    <t>Polished Shahabad / Tandur stone slabs 15mm to 18mm thick</t>
  </si>
  <si>
    <t>TBSC-B.I-03</t>
  </si>
  <si>
    <t>Sqm</t>
  </si>
  <si>
    <t>Polished black Kadapa slabs minimum of   15mm to 18mm thick</t>
  </si>
  <si>
    <t>TBSC-B.I-06</t>
  </si>
  <si>
    <t>High Polished Granite  16 to 18 mm thick up to 8'-00 (2.43 M) other than black and premium colours</t>
  </si>
  <si>
    <t>TBSC-B.III-01</t>
  </si>
  <si>
    <t>High Polished Granite  16 to 18 mm thick up to 8'-00 (2.43 M) other than black and regular colours</t>
  </si>
  <si>
    <t>TBSC-B.III-02</t>
  </si>
  <si>
    <t>High Polished Granite  16 to 18 mm thick up to 8'-00 (2.43 M) black.</t>
  </si>
  <si>
    <t>TBSC-B.III-03</t>
  </si>
  <si>
    <t>Granite stone tiles 8mm thick (mirror polished of all shades)</t>
  </si>
  <si>
    <t>TBSC-B.III-04</t>
  </si>
  <si>
    <t>Non-skid full body ceramic floor tiles of size 300mm x 300mm,  7 - 8mm thick</t>
  </si>
  <si>
    <t>TBSC-C.I-01</t>
  </si>
  <si>
    <t xml:space="preserve">Non - skid full body Ceramic tiles of size 400mm x 400mm, 7 to 8mm thick </t>
  </si>
  <si>
    <t>TBSC-C.I-02</t>
  </si>
  <si>
    <t>Soluble salt porcelain vitrified tiles screen printed and polished of size  600mm x 600mm , 8 to 10mm thick of any colour and finish in all shades and designs</t>
  </si>
  <si>
    <t>TBSC-C.II-02</t>
  </si>
  <si>
    <t>Nano polished / stain free soluble salt porcelain vitrified tiles screen printed of size 600mm x 600mm and thickness between 8 to 10mm of any colour and finish in all shades and designs</t>
  </si>
  <si>
    <t>TBSC-C.II-03</t>
  </si>
  <si>
    <r>
      <rPr>
        <sz val="10"/>
        <color indexed="17"/>
        <rFont val="Arial"/>
        <family val="2"/>
        <charset val="1"/>
      </rPr>
      <t>Supply of Double charged / multi charged stain free full body porcelain vitrified tiles with double layer pigment of size 600 x 600 mm and thickness between 8-10 mm 1</t>
    </r>
    <r>
      <rPr>
        <vertAlign val="superscript"/>
        <sz val="10"/>
        <color indexed="17"/>
        <rFont val="Arial"/>
        <family val="2"/>
        <charset val="1"/>
      </rPr>
      <t>st</t>
    </r>
    <r>
      <rPr>
        <sz val="10"/>
        <color indexed="17"/>
        <rFont val="Arial"/>
        <family val="2"/>
        <charset val="1"/>
      </rPr>
      <t xml:space="preserve"> quality conforming to IS:15622 - 2017, IS:13630 (Parts 1 to 15) of any colour and finish in all shades and designs</t>
    </r>
  </si>
  <si>
    <t>TBSC-C.II-05</t>
  </si>
  <si>
    <t>Full body ceramic tiles of any size 5 to 7mm thick for dadooing</t>
  </si>
  <si>
    <t>TBSC-C.VI-02</t>
  </si>
  <si>
    <t>Glazed full body porcelain wall tiles of size 300 x 600 mm with any type of design texture</t>
  </si>
  <si>
    <t>TBSC-C.IV-01</t>
  </si>
  <si>
    <t xml:space="preserve">Chequrred cement concrete heavy duty  tiles, 25mm thick (300mm x 300mm) </t>
  </si>
  <si>
    <t>TBSC-C.VIII-04</t>
  </si>
  <si>
    <t>Medium teak wood scantilings  up to 2m</t>
  </si>
  <si>
    <t>TBSC-D.I-01</t>
  </si>
  <si>
    <t>cum</t>
  </si>
  <si>
    <t>Medium teak wood scantilings 2 to 3m</t>
  </si>
  <si>
    <t>TBSC.D.I-02</t>
  </si>
  <si>
    <t>Medium teak wood scantilings above 3m</t>
  </si>
  <si>
    <t>TBSC-D.I-03</t>
  </si>
  <si>
    <t>Medium teak wood planks of any thickness</t>
  </si>
  <si>
    <t>TBSC-D.I-04</t>
  </si>
  <si>
    <t>Best teak wood scantilings  up to 2m</t>
  </si>
  <si>
    <t>TBSC-D.II-01</t>
  </si>
  <si>
    <t>Best teak wood scantilings 2 to 3m</t>
  </si>
  <si>
    <t>TBSC-D.II-02</t>
  </si>
  <si>
    <t>Best teak wood scantilings above 3m</t>
  </si>
  <si>
    <t>TBSC-D.II-03</t>
  </si>
  <si>
    <t>Best teak wood planks of any thickness</t>
  </si>
  <si>
    <t>TBSC-D.II-04</t>
  </si>
  <si>
    <t xml:space="preserve">Sal wood scantlings any length </t>
  </si>
  <si>
    <t>TBSC-D.V-01</t>
  </si>
  <si>
    <t>6mm thick corrugated AC sheets</t>
  </si>
  <si>
    <t>TBSC-D.VI-01</t>
  </si>
  <si>
    <t>sqm</t>
  </si>
  <si>
    <t>Plain or Corrugated Galvanized iron sheets as per IS 277(0.1mm to 0.8 mm thickness)</t>
  </si>
  <si>
    <t>TBSC-D.VI-04</t>
  </si>
  <si>
    <t>Kg</t>
  </si>
  <si>
    <t>Pre-painted Galvalume Trapezoidal Profile Roofing sheets with 0.50mm thickness</t>
  </si>
  <si>
    <t>TBSC-D.VI-05</t>
  </si>
  <si>
    <t>G.I scam bolts &amp; nuts</t>
  </si>
  <si>
    <t>TBSC-D.VI-14</t>
  </si>
  <si>
    <t>8mm dia GI 'j' bolts &amp; nuts</t>
  </si>
  <si>
    <t>TBSC-D.VI-16</t>
  </si>
  <si>
    <t>GI washers</t>
  </si>
  <si>
    <t>TBSC-D.VI-17</t>
  </si>
  <si>
    <t>Limpet washers (for scam &amp; ‘J’ bolts)</t>
  </si>
  <si>
    <t>TBSC-D.VI-18</t>
  </si>
  <si>
    <t xml:space="preserve">Bitumen washers </t>
  </si>
  <si>
    <t>TBSC-D.VI-19</t>
  </si>
  <si>
    <t>Rolling Shutter (80x1.25mm)</t>
  </si>
  <si>
    <t>TBSC-E.I-01</t>
  </si>
  <si>
    <t>Collapsable steel shutters</t>
  </si>
  <si>
    <t>TBSC-E.I-02</t>
  </si>
  <si>
    <t>Rabbit wire mesh (chicken mesh)</t>
  </si>
  <si>
    <t>TBSC-E.I-12</t>
  </si>
  <si>
    <t xml:space="preserve">Cost of MS Tube </t>
  </si>
  <si>
    <t>TBSC-E.I-15</t>
  </si>
  <si>
    <t xml:space="preserve">Cost of stainless steel pipes 304 grade </t>
  </si>
  <si>
    <t>TBSC-E.III-01</t>
  </si>
  <si>
    <t>5mm thick plain glass</t>
  </si>
  <si>
    <t>TBSC-F.I-02</t>
  </si>
  <si>
    <t>12mm thick plain float glass</t>
  </si>
  <si>
    <t>TBSC-F.I-06</t>
  </si>
  <si>
    <t>Pin headed glass 4mm thick</t>
  </si>
  <si>
    <t>TBSC-F.II-01</t>
  </si>
  <si>
    <t>Cost of 12mm thick tinted glass</t>
  </si>
  <si>
    <t>TBSC-F.III-06</t>
  </si>
  <si>
    <t>5mm thick ground glass</t>
  </si>
  <si>
    <t>TBSC-F.IV-02</t>
  </si>
  <si>
    <t>Water based Cement Primer of Interior Grade- 1</t>
  </si>
  <si>
    <t>TBSC-G.I-01</t>
  </si>
  <si>
    <t>Water based Cement Primer of Exterior Grade- 2</t>
  </si>
  <si>
    <t>TBSC-G.I-02</t>
  </si>
  <si>
    <t>Wall putty of White Cement or Polymer or Cement based</t>
  </si>
  <si>
    <t>TBSC-G.I-03</t>
  </si>
  <si>
    <t>Red oxide Primer Paint Grade-I</t>
  </si>
  <si>
    <t>TBSC-G.I-05</t>
  </si>
  <si>
    <t>Ltr</t>
  </si>
  <si>
    <t>Zinc Chromate Yellow Oxide Iron Primer paint</t>
  </si>
  <si>
    <t>TBSC-G.I-06</t>
  </si>
  <si>
    <t>Ready made primer for Wood</t>
  </si>
  <si>
    <t>TBSC-G.I-07</t>
  </si>
  <si>
    <t>Putty for wood work</t>
  </si>
  <si>
    <t>TBSC-G.I-09</t>
  </si>
  <si>
    <t>Spirit</t>
  </si>
  <si>
    <t>TBSC-G.I-12</t>
  </si>
  <si>
    <t>Linseed Oil</t>
  </si>
  <si>
    <t>TBSC-G.I-13</t>
  </si>
  <si>
    <t>Thinner for Melamine polish</t>
  </si>
  <si>
    <t>TBSC-G.I-14</t>
  </si>
  <si>
    <t>French Polish</t>
  </si>
  <si>
    <t>TBSC-G.I-16</t>
  </si>
  <si>
    <t>Ltr.</t>
  </si>
  <si>
    <t xml:space="preserve">Acrylic based Oil bound Washable Distemper having VOC content less than 50 grams/litre </t>
  </si>
  <si>
    <t>TBSC-G.II-03</t>
  </si>
  <si>
    <t>Water proof cement paint</t>
  </si>
  <si>
    <t>TBSC-G.II-04</t>
  </si>
  <si>
    <t xml:space="preserve">Acrylic emulsion paint  interior grade having VOC content less than 50 grams/litre  </t>
  </si>
  <si>
    <t>TBSC-G.III-01</t>
  </si>
  <si>
    <t>Supply of acrylic emulsion paint exterior grade with silicon additives having VOC (Volatile Organic Compound) content less than 50 grams/ liter.</t>
  </si>
  <si>
    <t>TBSC-G.III-02</t>
  </si>
  <si>
    <t xml:space="preserve">Synthetic enamel paint Grade - I having VOC content less than 50 grams/litre  </t>
  </si>
  <si>
    <t>TBSC-G.V-01</t>
  </si>
  <si>
    <t xml:space="preserve">Synthetic enamel paint Grade - II having VOC content less than 50 grams/litre  </t>
  </si>
  <si>
    <t>TBSC-G.V-02</t>
  </si>
  <si>
    <t>Exterior grade Texture ready mixed paint with sand texture added sand particles Acrylic copolymers and mineral compounds, bactericides and various additives</t>
  </si>
  <si>
    <t>TBSC-G.VI-01</t>
  </si>
  <si>
    <t>Exterior grade Texture ready mixed paint plaster made with natural minerals - granite flakes / marble flakes / powder, sand and other carefully selected and seived minerals in acrylic binding medium</t>
  </si>
  <si>
    <t>TBSC-G.VI-02</t>
  </si>
  <si>
    <t>Melamine Polish</t>
  </si>
  <si>
    <t>TBSC-G.VII-01</t>
  </si>
  <si>
    <t>Interior grade Poly -Urethene polish</t>
  </si>
  <si>
    <t>TBSC-G.VII-02</t>
  </si>
  <si>
    <t>Exterior grade Poly -Urethene polish</t>
  </si>
  <si>
    <t>TBSC-G.VII-03</t>
  </si>
  <si>
    <t>Previous SSR 2017-18</t>
  </si>
  <si>
    <t>12mm thick prelaminated paticle board (both sides laminated)</t>
  </si>
  <si>
    <t>TBSC-H.III-48</t>
  </si>
  <si>
    <t>TBSC-H.IV-22</t>
  </si>
  <si>
    <t xml:space="preserve">MDF Board Interior - BSL 18mm thick </t>
  </si>
  <si>
    <t>TBSC-H.III-43</t>
  </si>
  <si>
    <t xml:space="preserve">12.5mm Gypboard Tiles  595mm x 595mm  </t>
  </si>
  <si>
    <t>TBSC-K.I-01</t>
  </si>
  <si>
    <t>Gypsom board plain sheets 12.5mm thick</t>
  </si>
  <si>
    <t>TBSC-K.I-03</t>
  </si>
  <si>
    <t xml:space="preserve">12mm Mineral Fiber sheet 600 x 600 </t>
  </si>
  <si>
    <t>TBSC-K.I-04</t>
  </si>
  <si>
    <t>DELETED</t>
  </si>
  <si>
    <t xml:space="preserve">14mm Mineral Fiber sheet 600 x 600 </t>
  </si>
  <si>
    <t>TBSC-K.I-05</t>
  </si>
  <si>
    <t xml:space="preserve">15mm Mineral Fiber sheet 600 x 600 </t>
  </si>
  <si>
    <t>TBSC-K.I-06</t>
  </si>
  <si>
    <t>12mm Thermocole sheet</t>
  </si>
  <si>
    <t>TBSC-K.I-24</t>
  </si>
  <si>
    <t xml:space="preserve">GI Ceiling Angle - 25mm x 10mm x 0.5mm </t>
  </si>
  <si>
    <t>TBSC-K.II-01</t>
  </si>
  <si>
    <t>RM</t>
  </si>
  <si>
    <t xml:space="preserve">GI Ceiling section - 51.5mm x 26mm x 10.5mm x 0.55mm thick </t>
  </si>
  <si>
    <t>TBSC-K.II-02</t>
  </si>
  <si>
    <t>Intermediate channel - 45mm x 15mm x 15mm x 0.9mm</t>
  </si>
  <si>
    <t>TBSC-K.II-03</t>
  </si>
  <si>
    <t xml:space="preserve">Perimeter channel - 20mm x 27mm x 30mm (web) of 0.55mm thick </t>
  </si>
  <si>
    <t>TBSC-K.II-04</t>
  </si>
  <si>
    <t>GI Angle - Precoated - 25mm x 25mm  x0.7mm</t>
  </si>
  <si>
    <t>TBSC-K.II-05</t>
  </si>
  <si>
    <t>GI pre coated - T section - 3600mm long - 24mm x 38mm x 0.7mm thick</t>
  </si>
  <si>
    <t xml:space="preserve">TBSC-K.II-07 </t>
  </si>
  <si>
    <t xml:space="preserve">Hotdipped GI Angle - Precoated - Grid - 19mmx19mmX0.7mm </t>
  </si>
  <si>
    <t>TBSC-K.II-08</t>
  </si>
  <si>
    <t xml:space="preserve">Polyster painted GI - T section - 1200mm -  24x32mm and 24x25mm (sub-cross Tee) </t>
  </si>
  <si>
    <t>TBSC-K.II-09</t>
  </si>
  <si>
    <t>24x25 Rs. 45</t>
  </si>
  <si>
    <t>TBSC-K.II-10</t>
  </si>
  <si>
    <t>Polyster painted GI-T Section - 300mm - 24mm x 27mm</t>
  </si>
  <si>
    <t>TBSC-K.II-11</t>
  </si>
  <si>
    <t xml:space="preserve">Aluminium angle - 24mmx 24mm </t>
  </si>
  <si>
    <t>TBSC-K.II-12</t>
  </si>
  <si>
    <t xml:space="preserve">Anodised Aluminium T section - 24mm x 24.5mm x 2.4mm </t>
  </si>
  <si>
    <t>TBSC-K.II-13</t>
  </si>
  <si>
    <t xml:space="preserve">Connecting Clips </t>
  </si>
  <si>
    <t>TBSC-K.II-14</t>
  </si>
  <si>
    <t xml:space="preserve">Rawl Plug </t>
  </si>
  <si>
    <t>TBSC-K.II-15</t>
  </si>
  <si>
    <t xml:space="preserve">6mm Nylon Rawl Plug </t>
  </si>
  <si>
    <t>TBSC-K.II-16</t>
  </si>
  <si>
    <t xml:space="preserve">Soffit Cleats </t>
  </si>
  <si>
    <t>TBSC-K.II-17</t>
  </si>
  <si>
    <t xml:space="preserve">Drywall screws - 25mm </t>
  </si>
  <si>
    <t>TBSC-K.II-18</t>
  </si>
  <si>
    <t xml:space="preserve">Jointing Compound </t>
  </si>
  <si>
    <t>TBSC-K.II-19</t>
  </si>
  <si>
    <t>Kg.</t>
  </si>
  <si>
    <t xml:space="preserve">Jointing Paper tape </t>
  </si>
  <si>
    <t>TBSC-K.II-20</t>
  </si>
  <si>
    <t xml:space="preserve">Drywall top coat </t>
  </si>
  <si>
    <t>TBSC-K.II-21</t>
  </si>
  <si>
    <t>Universal Holding Clips</t>
  </si>
  <si>
    <t>TBSC-K.II-22</t>
  </si>
  <si>
    <t xml:space="preserve">GI Rod - 4mm dia - Connecting Rod </t>
  </si>
  <si>
    <t>TBSC-K.II-23</t>
  </si>
  <si>
    <t xml:space="preserve">GI rod-prestraightened 2.0mm dia. - Connecting rod </t>
  </si>
  <si>
    <t>TBSC-K.II-24</t>
  </si>
  <si>
    <t>Cement bonded Prelaminated particle board aluminium glazed partions</t>
  </si>
  <si>
    <t>TBSC-K.IV-13</t>
  </si>
  <si>
    <t>Providing and fixing door frames fabricated from sections made of galvanized steel powder coated</t>
  </si>
  <si>
    <t>TBSC-L.I-11</t>
  </si>
  <si>
    <t xml:space="preserve"> 30 mm thick flush shutter </t>
  </si>
  <si>
    <t>TBSC-L.II-05</t>
  </si>
  <si>
    <t xml:space="preserve"> 35 mm thick flush shutter </t>
  </si>
  <si>
    <t>TBSC-L.II-06</t>
  </si>
  <si>
    <t>Supply and fixing of UPVC sliding doors 3 track 2 glass and 1 mesh shutter</t>
  </si>
  <si>
    <t>TBSC-L.III-10</t>
  </si>
  <si>
    <t>Supply and fixing of UPVC openable doors</t>
  </si>
  <si>
    <t>TBSC-L.III-12</t>
  </si>
  <si>
    <t>Scientific Door with metal door frame (single leaf door)</t>
  </si>
  <si>
    <t>TBSC-L.III-19</t>
  </si>
  <si>
    <t>Scientific Door with metal door frame (double leaf door)</t>
  </si>
  <si>
    <t>TBSC-L.III-20</t>
  </si>
  <si>
    <t>Pre painted steel windows</t>
  </si>
  <si>
    <t>Windows with guard bars</t>
  </si>
  <si>
    <t>i)</t>
  </si>
  <si>
    <t>Double shutter with mullion</t>
  </si>
  <si>
    <t>TBSC-M.I-02</t>
  </si>
  <si>
    <t>ii)</t>
  </si>
  <si>
    <t>Double shutter with Mullion section for sizes 4'-6 x 4'-6 (1371.6x1371.6mm) 5'-0 x 4'-0
(1524x1219.2mm) and 6'-0 x 4'-0 (1828.8x1219.2mm) and 6'-0 x 4'-6 (1828.8x1371.6mm</t>
  </si>
  <si>
    <t>TBSC-M.I-04</t>
  </si>
  <si>
    <t>Centre fixed both side openable shutter window for sizes 5’0”x4’0” (1524mm x1219.2mm) and 6’0”x4’0” (1828.8mm x1219.2mm)</t>
  </si>
  <si>
    <t>TBSC-M.I-07</t>
  </si>
  <si>
    <t>Pre painted steel Windows with fly mesh</t>
  </si>
  <si>
    <t>Double shutter Window with vertical mullion of sizes 3’0” x 4’0” ( 914.4mm x 1219.2mm) and 4’0” x 4’0” (1219.2mm x 1219.2mm)</t>
  </si>
  <si>
    <t>TBSC-M.I-09</t>
  </si>
  <si>
    <t>Centre fixed both side open able shutter window for a size 5’0”x4’0” (1524mm x1219.2mm).</t>
  </si>
  <si>
    <t>TBSC-M.I-10</t>
  </si>
  <si>
    <t>Previous SSR</t>
  </si>
  <si>
    <t>iii)</t>
  </si>
  <si>
    <t>Size of Window : 6’0”x4’0” (1828.8mm x1219.2mm)</t>
  </si>
  <si>
    <t>TBSC-M.I-11</t>
  </si>
  <si>
    <t>Centre fixed both side openable shutters(6'x4')</t>
  </si>
  <si>
    <t>Supply and fixing of UPVC casement windows (2.4mm)</t>
  </si>
  <si>
    <t>TBSC-M.I-24</t>
  </si>
  <si>
    <t>Pre painted steel Window with 2 Track 2 glass shutter sliding Windows</t>
  </si>
  <si>
    <t>TBSC-M.II-01</t>
  </si>
  <si>
    <t>Pre painted steel Window with two track - 2 panel sliding</t>
  </si>
  <si>
    <t>Supply and fixing of UPVC sliding windows 2 Track–2 Panel Sliding.</t>
  </si>
  <si>
    <t>TBSC-M.II-09</t>
  </si>
  <si>
    <t>Supply and fixing of UPVC sliding windows 2 track sliding</t>
  </si>
  <si>
    <t>Supply and fixing of UPVC sliding windows 3 track sliding windows with
mesh shutter</t>
  </si>
  <si>
    <t>TBSC-M.II-11</t>
  </si>
  <si>
    <t>Supply and fixing of UPVC sliding windows 3 track sliding</t>
  </si>
  <si>
    <t>Supply and fixing of prepainted steel sliding door - 3 track sliding window
/doors shutter with mesh shutter</t>
  </si>
  <si>
    <t>TBSC-M.II-13</t>
  </si>
  <si>
    <t>Supply and fixing of prepainted steel sliding door - 3 track - 3 panel sliding doorsliding</t>
  </si>
  <si>
    <t xml:space="preserve">Pre painted steel Ventilators </t>
  </si>
  <si>
    <t>a)</t>
  </si>
  <si>
    <t>Top hung</t>
  </si>
  <si>
    <t>TBSC-M.III-01</t>
  </si>
  <si>
    <t>b)</t>
  </si>
  <si>
    <t>Fixed louvered</t>
  </si>
  <si>
    <t>TBSC-M.III-02</t>
  </si>
  <si>
    <t>Supplying and fixing fixed  louvered ventilator made out of of multi chambered UPVC sections</t>
  </si>
  <si>
    <t>TBSC-M.III-07</t>
  </si>
  <si>
    <t>Supplying and fixing top hung ventilator made out of of multi chambered UPVC sections</t>
  </si>
  <si>
    <t>TBSC-M.III-08</t>
  </si>
  <si>
    <t>Curtain glazing made of pre painted steel</t>
  </si>
  <si>
    <t>Fixed Glazing 2'-0" x 2'-0" (609.6x609.6mm) and 2'-0" x 3'-0" (609.6x914.4mm)</t>
  </si>
  <si>
    <t>TBSC-N.I-01</t>
  </si>
  <si>
    <t>Fixed Glazing 3'-0" x 3'-0" (914.4x914.4mm), 3'-0" x 4'-0" (914.4x1219.2mm)</t>
  </si>
  <si>
    <t>TBSC-N.I-02</t>
  </si>
  <si>
    <t>S/F of UPVC fixed glazing</t>
  </si>
  <si>
    <t>TBSC-N.I-04</t>
  </si>
  <si>
    <t>Pre painted steel Structural Glazing</t>
  </si>
  <si>
    <t>TBSC-N.II-01</t>
  </si>
  <si>
    <t>Top Hung shutters  in Structural Glazing</t>
  </si>
  <si>
    <t>TBSC-N.II-02</t>
  </si>
  <si>
    <t xml:space="preserve">Brass tower bolt 150mm long </t>
  </si>
  <si>
    <t>TBSC-P.I-02</t>
  </si>
  <si>
    <t xml:space="preserve">Brass tower bolt 200mm long </t>
  </si>
  <si>
    <t>TBSC-P.I-03</t>
  </si>
  <si>
    <t xml:space="preserve">Al. tower bolt 150mm long </t>
  </si>
  <si>
    <t>TBSC-P.I-08</t>
  </si>
  <si>
    <t xml:space="preserve">Al. tower bolt 200mm long </t>
  </si>
  <si>
    <t>TBSC-P.I-09</t>
  </si>
  <si>
    <t xml:space="preserve">Al. tower bolt 300mm long </t>
  </si>
  <si>
    <t>TBSC-P.I-11</t>
  </si>
  <si>
    <t xml:space="preserve">MS powder coated tower bolt 100mm long </t>
  </si>
  <si>
    <t>TBSC-P.I-14</t>
  </si>
  <si>
    <t xml:space="preserve">MS powder coated tower bolt 150mm long </t>
  </si>
  <si>
    <t>TBSC-P.I-15</t>
  </si>
  <si>
    <t xml:space="preserve">MS powder coated tower bolt 200mm long </t>
  </si>
  <si>
    <t>TBSC-P.I-16</t>
  </si>
  <si>
    <t xml:space="preserve">Brass Butt hinges 150mm long </t>
  </si>
  <si>
    <t>TBSC-P.II-04</t>
  </si>
  <si>
    <t xml:space="preserve">Al. Butt hinges 150mm long </t>
  </si>
  <si>
    <t>TBSC-P.II-08</t>
  </si>
  <si>
    <t>Powder coated butt hinges 100mm long</t>
  </si>
  <si>
    <t>TBSC-P.II-10</t>
  </si>
  <si>
    <t xml:space="preserve">MS powder coated  Butt hinges 150mm long </t>
  </si>
  <si>
    <t>TBSC-P.II-12</t>
  </si>
  <si>
    <t>Friction stay hinges for windows</t>
  </si>
  <si>
    <t>TBSC-P.II-15</t>
  </si>
  <si>
    <t xml:space="preserve">Al. handle 125mm long </t>
  </si>
  <si>
    <t>TBSC-P.III-03</t>
  </si>
  <si>
    <t xml:space="preserve">Al. handle 150mm long </t>
  </si>
  <si>
    <t>TBSC-P.III-04</t>
  </si>
  <si>
    <t xml:space="preserve">MS powder coated handle 125mm long </t>
  </si>
  <si>
    <t>TBSC-P.III-05</t>
  </si>
  <si>
    <t xml:space="preserve">MS powder coated handle 150mm long </t>
  </si>
  <si>
    <t>TBSC-P.III-06</t>
  </si>
  <si>
    <t xml:space="preserve">Brass  fancy handle 150mm long </t>
  </si>
  <si>
    <t>TBSC-P.III-07</t>
  </si>
  <si>
    <t xml:space="preserve">Brass  fancy handle 450mm long </t>
  </si>
  <si>
    <t>TBSC-P.III-11</t>
  </si>
  <si>
    <t xml:space="preserve">Brass aldrop 300mm long </t>
  </si>
  <si>
    <t>TBSC-P.IV-01</t>
  </si>
  <si>
    <t xml:space="preserve">Brass aldrop 450mm long </t>
  </si>
  <si>
    <t>TBSC-P.IV-03</t>
  </si>
  <si>
    <t xml:space="preserve">Al. aldrop 250mm long </t>
  </si>
  <si>
    <t>TBSC-P.IV-05</t>
  </si>
  <si>
    <t xml:space="preserve">Al. aldrop 300mm long </t>
  </si>
  <si>
    <t>TBSC-P.IV-06</t>
  </si>
  <si>
    <t xml:space="preserve">MS powder coated aldrop 250mm long </t>
  </si>
  <si>
    <t>TBSC-P.IV-08</t>
  </si>
  <si>
    <t xml:space="preserve">MS powder coated aldrop 300mm long </t>
  </si>
  <si>
    <t>TBSC-P.IV-09</t>
  </si>
  <si>
    <t xml:space="preserve">Cost of hydraulic floor springs </t>
  </si>
  <si>
    <t>TBSC-P.VII-03</t>
  </si>
  <si>
    <t xml:space="preserve">Brass door stopper </t>
  </si>
  <si>
    <t>TBSC-P.IX-01</t>
  </si>
  <si>
    <t xml:space="preserve">MS powder coated door stopper </t>
  </si>
  <si>
    <t>TBSC-P.IX-02</t>
  </si>
  <si>
    <t xml:space="preserve">Heavy duty Al.door stopper </t>
  </si>
  <si>
    <t>TBSC-P.IX-03</t>
  </si>
  <si>
    <t>Integral water proofing liquid</t>
  </si>
  <si>
    <t>TBSC-Q.II-01</t>
  </si>
  <si>
    <t>Imidacloprid 30.5% S.C diluted @ 2.1 ml of formulation in one Liter of water for the termite treatment in the buildings during pre and post construction stages as per current BIS standard practices (IS:6313 part II and III)</t>
  </si>
  <si>
    <t>TBSC-Q.VI-18</t>
  </si>
  <si>
    <t>Pre construction Anti termite</t>
  </si>
  <si>
    <t>TBSC-Q.VI-23</t>
  </si>
  <si>
    <t>SoR 2020-21</t>
  </si>
  <si>
    <t>Expansion joint filler board for buildings, columns, beams and slabs 25 mm thick</t>
  </si>
  <si>
    <t>TBSC-Q.VIII-05</t>
  </si>
  <si>
    <t>White cement</t>
  </si>
  <si>
    <t>TBSC-R.I-01</t>
  </si>
  <si>
    <t xml:space="preserve">Powder coated  Al. sections </t>
  </si>
  <si>
    <t>TBSC-R.I-03</t>
  </si>
  <si>
    <t>Rubber beading</t>
  </si>
  <si>
    <t>TBSC-R.I-11</t>
  </si>
  <si>
    <t>Aluminium composite cladding 4mm thick with skin material thickness of 0.25mm</t>
  </si>
  <si>
    <t>TBSC-R.I-18</t>
  </si>
  <si>
    <t>Aluminium composite cladding 4mm thick with skin material thickness of 0.50mm</t>
  </si>
  <si>
    <t>TBSC-R.I-19</t>
  </si>
  <si>
    <t>Precast RCC grills 50mm thick manufactured with M 30 grade concrete</t>
  </si>
  <si>
    <t>TBSC-R.I-22</t>
  </si>
  <si>
    <t>24 gauge aluminium sheet</t>
  </si>
  <si>
    <t>TBSC-R.I-23</t>
  </si>
  <si>
    <t>7.5mm thick Aluminium Grill (as approved by the department) 3.58 Kg/Sqm</t>
  </si>
  <si>
    <t>TBSC-R.I-24</t>
  </si>
  <si>
    <t xml:space="preserve">Power Saw cutter - Hand Operated - Hire Charges </t>
  </si>
  <si>
    <t>TBSC-S.I-02</t>
  </si>
  <si>
    <t>hour</t>
  </si>
  <si>
    <t xml:space="preserve">Power Drill - Hand Operated - Hire Charges </t>
  </si>
  <si>
    <t>TBSC-S.I-03</t>
  </si>
  <si>
    <t>Rounding the edges of Kadapa / Shahabad stone slab of any thickness including polishing the same</t>
  </si>
  <si>
    <t>TBSC-T.I-10</t>
  </si>
  <si>
    <t>Half rounding the edges of Marble / Granite slabs of all thicknesses and polishing the same</t>
  </si>
  <si>
    <t>TBSC-T.I-11</t>
  </si>
  <si>
    <t>Full  rounding the edges of Marble / Granite slabs of all thicknesses and polishing the same</t>
  </si>
  <si>
    <t>TBSC-T.I-12</t>
  </si>
  <si>
    <t>Machine cutting charges for Marble / Granite slabs up to 50mm thickness by mechanical device</t>
  </si>
  <si>
    <t>TBSC-T.I-13</t>
  </si>
  <si>
    <t>Flat nosing Shahabad/Kadapa slabs of any thickness</t>
  </si>
  <si>
    <t>TBSC-T.I-14</t>
  </si>
  <si>
    <t>Labour charges for fabricating steel works like Window Grills, Compound Wall Grills, Iron Doors, Windows including cost of welding rods, power charges, excluding cost of fixing in position.</t>
  </si>
  <si>
    <t>TBSC-T.I-16</t>
  </si>
  <si>
    <t>Labour charges for fixing Iron Doors, Iron Windows and Window Grills in position</t>
  </si>
  <si>
    <t>TBSC-T.I-17</t>
  </si>
  <si>
    <t>Labour charges for fabrication of stainless steel railing works</t>
  </si>
  <si>
    <t>TBSC-T.I-20</t>
  </si>
  <si>
    <t>Labour charges for glass designing work (Etching work)</t>
  </si>
  <si>
    <t>TBSC-T.I-22</t>
  </si>
  <si>
    <t>Labour charges for fixing flush door shutters to the existing door frame</t>
  </si>
  <si>
    <t>TBSC-T.I-25</t>
  </si>
  <si>
    <t>Labour charges for fixing glass</t>
  </si>
  <si>
    <t>TBSC-T.I-26</t>
  </si>
  <si>
    <t>Dismantling</t>
  </si>
  <si>
    <t>Stone masonry in cement mortar</t>
  </si>
  <si>
    <t>TBSC-U.I-01</t>
  </si>
  <si>
    <t>Flat stone in roof or floors including lifting  :</t>
  </si>
  <si>
    <t>TBSC-U.I-03</t>
  </si>
  <si>
    <t>c)</t>
  </si>
  <si>
    <t>Pan tiled or Mangalore tiled roof with out roof timbers :</t>
  </si>
  <si>
    <t>TBSC-U.I-04</t>
  </si>
  <si>
    <t>d)</t>
  </si>
  <si>
    <t xml:space="preserve">Wrought and framed timber in roofs or floors </t>
  </si>
  <si>
    <t>TBSC-U.I-06</t>
  </si>
  <si>
    <t>e)</t>
  </si>
  <si>
    <t>Old lime mortar plaster</t>
  </si>
  <si>
    <t>TBSC-U.I-07</t>
  </si>
  <si>
    <t>f)</t>
  </si>
  <si>
    <t>Old cement mortar plaster</t>
  </si>
  <si>
    <t>TBSC-U.I-08</t>
  </si>
  <si>
    <t>g)</t>
  </si>
  <si>
    <t>Kadapa slabs or shahabad stone slabs on sand bed</t>
  </si>
  <si>
    <t>TBSC-U.I-11</t>
  </si>
  <si>
    <t>h)</t>
  </si>
  <si>
    <t>Clean removal of lime plaster from walls and raking out joints 20mm deep or from terraced roof and raking out joints 100 mm deep</t>
  </si>
  <si>
    <t>TBSC-U.I-14</t>
  </si>
  <si>
    <t>Clean removal of cement plaster from walls and raking out joint 200 mm deep</t>
  </si>
  <si>
    <t>TBSC-U.I-15</t>
  </si>
  <si>
    <t xml:space="preserve">Hire charges for Access Scaffolding </t>
  </si>
  <si>
    <t>Reference to SSR page</t>
  </si>
  <si>
    <t>Material hire charges</t>
  </si>
  <si>
    <t>Labour charges</t>
  </si>
  <si>
    <t>A)</t>
  </si>
  <si>
    <t>Brick Masonry / Stone Masonry
With Casuarina Ballis, Bamboos etc</t>
  </si>
  <si>
    <t>MS Jack Prop Cuplock pipe scaffolding</t>
  </si>
  <si>
    <t>1st floor</t>
  </si>
  <si>
    <t>2nd floor</t>
  </si>
  <si>
    <t xml:space="preserve">3rd floor </t>
  </si>
  <si>
    <t>4th floor</t>
  </si>
  <si>
    <t>5th floor</t>
  </si>
  <si>
    <t>6th floor</t>
  </si>
  <si>
    <t>7th floor</t>
  </si>
  <si>
    <t>8th floor</t>
  </si>
  <si>
    <t>9th floor</t>
  </si>
  <si>
    <t>j)</t>
  </si>
  <si>
    <r>
      <rPr>
        <sz val="10"/>
        <color indexed="17"/>
        <rFont val="Arial"/>
        <family val="2"/>
        <charset val="1"/>
      </rPr>
      <t>10</t>
    </r>
    <r>
      <rPr>
        <vertAlign val="superscript"/>
        <sz val="10"/>
        <color indexed="17"/>
        <rFont val="Arial"/>
        <family val="2"/>
        <charset val="1"/>
      </rPr>
      <t>th</t>
    </r>
    <r>
      <rPr>
        <sz val="10"/>
        <color indexed="17"/>
        <rFont val="Arial"/>
        <family val="2"/>
        <charset val="1"/>
      </rPr>
      <t xml:space="preserve"> Floor</t>
    </r>
  </si>
  <si>
    <t>B)</t>
  </si>
  <si>
    <t>Plastering to walls</t>
  </si>
  <si>
    <t xml:space="preserve">Hire charges for Stage Scaffolding </t>
  </si>
  <si>
    <t>Ceiling Plastering</t>
  </si>
  <si>
    <t>HIRE CHARGES FOR CENTERING &amp; SCAFFOLDING -Unsupported height of 3.66M - Steel scaffolding pipes, jack props, Steel centering Plates etc.</t>
  </si>
  <si>
    <t xml:space="preserve"> 1st 
Floor</t>
  </si>
  <si>
    <t>2nd 
Floor</t>
  </si>
  <si>
    <t>3rd Floor</t>
  </si>
  <si>
    <t>4th 
Floor</t>
  </si>
  <si>
    <t>5th 
Floor</t>
  </si>
  <si>
    <t>6th 
Floor</t>
  </si>
  <si>
    <t>7th 
Floor</t>
  </si>
  <si>
    <t>8th 
Floor</t>
  </si>
  <si>
    <t>9th 
Floor</t>
  </si>
  <si>
    <r>
      <rPr>
        <b/>
        <sz val="10"/>
        <color indexed="17"/>
        <rFont val="Arial"/>
        <family val="2"/>
        <charset val="1"/>
      </rPr>
      <t>10</t>
    </r>
    <r>
      <rPr>
        <b/>
        <vertAlign val="superscript"/>
        <sz val="10"/>
        <color indexed="17"/>
        <rFont val="Arial"/>
        <family val="2"/>
        <charset val="1"/>
      </rPr>
      <t>th</t>
    </r>
    <r>
      <rPr>
        <b/>
        <sz val="10"/>
        <color indexed="17"/>
        <rFont val="Arial"/>
        <family val="2"/>
        <charset val="1"/>
      </rPr>
      <t xml:space="preserve"> 
Floor</t>
    </r>
  </si>
  <si>
    <t>Footings</t>
  </si>
  <si>
    <t>Cum</t>
  </si>
  <si>
    <t xml:space="preserve">Bed blocks, Steps  </t>
  </si>
  <si>
    <t>Pedestals</t>
  </si>
  <si>
    <t xml:space="preserve">Plinth beams </t>
  </si>
  <si>
    <t>Lintels</t>
  </si>
  <si>
    <t>Sunshades of  any width</t>
  </si>
  <si>
    <t>Columns</t>
  </si>
  <si>
    <t xml:space="preserve">Beams </t>
  </si>
  <si>
    <t xml:space="preserve">RCC roof slabs upto 150 mm depth </t>
  </si>
  <si>
    <t>RCC slabs upto 150-300 mm depth</t>
  </si>
  <si>
    <t>HIRE CHARGES FOR CENTERING &amp; SCAFFOLDING -Unsupported height of 3.66M - Casurina Ballies, Bamboos, Wooden Reapers, Runners, Wood Posts, Wall Plates etc.,</t>
  </si>
  <si>
    <t>RCC walls, water tank walls 
(RCC vertical walls)</t>
  </si>
  <si>
    <t>P&amp;H</t>
  </si>
  <si>
    <t>Page 5</t>
  </si>
  <si>
    <t>PVC Clamps 110 mm</t>
  </si>
  <si>
    <t>Plumbing items</t>
  </si>
  <si>
    <t>TBSP-H.II-61</t>
  </si>
  <si>
    <t>Each</t>
  </si>
  <si>
    <t>PVC Clamps 160 mm</t>
  </si>
  <si>
    <t>TBSP-H.II-62</t>
  </si>
  <si>
    <t>LABOUR CHARGES</t>
  </si>
  <si>
    <t>Part I (I&amp;CAD Works)</t>
  </si>
  <si>
    <t>SKILLED</t>
  </si>
  <si>
    <t xml:space="preserve">Bar bender </t>
  </si>
  <si>
    <t xml:space="preserve"> I - 1 </t>
  </si>
  <si>
    <t>Blacksmith</t>
  </si>
  <si>
    <t>I - 2</t>
  </si>
  <si>
    <t>Blaster (licensed)</t>
  </si>
  <si>
    <t>I - 3</t>
  </si>
  <si>
    <t xml:space="preserve">Carpenter </t>
  </si>
  <si>
    <t>I - 4</t>
  </si>
  <si>
    <t>Work Inspector(Non technical)</t>
  </si>
  <si>
    <t>I -10</t>
  </si>
  <si>
    <t>Mason / Brick layer</t>
  </si>
  <si>
    <t>I -11</t>
  </si>
  <si>
    <t>Operator concrete mixer</t>
  </si>
  <si>
    <t>I -16</t>
  </si>
  <si>
    <t>Operator Jackhammer / Pneumatic tamper(skilled)</t>
  </si>
  <si>
    <t>I - 23</t>
  </si>
  <si>
    <t xml:space="preserve">Painter </t>
  </si>
  <si>
    <t>I - 35</t>
  </si>
  <si>
    <t>Plumber(licensed) / Pipe fitter</t>
  </si>
  <si>
    <t>I - 36</t>
  </si>
  <si>
    <t>SEMI SKILLED</t>
  </si>
  <si>
    <t>Sprayer(semi skilled)</t>
  </si>
  <si>
    <t>II - 1</t>
  </si>
  <si>
    <t>Carpenter</t>
  </si>
  <si>
    <t>II - 4</t>
  </si>
  <si>
    <t>Plumber / Pipe fitter</t>
  </si>
  <si>
    <t>II - 9</t>
  </si>
  <si>
    <t>II - 35</t>
  </si>
  <si>
    <t>Painter</t>
  </si>
  <si>
    <t>II - 37</t>
  </si>
  <si>
    <t>Crowbarman / Jumperman</t>
  </si>
  <si>
    <t>II - 8</t>
  </si>
  <si>
    <t>Bhisti</t>
  </si>
  <si>
    <t>II - 2</t>
  </si>
  <si>
    <t>UN SKILLED</t>
  </si>
  <si>
    <t xml:space="preserve">Heavy Mazdoor / Light Mazdoor                      </t>
  </si>
  <si>
    <t>III - 3, 4</t>
  </si>
  <si>
    <t>Cost of Materials :</t>
  </si>
  <si>
    <t>Binding wire</t>
  </si>
  <si>
    <t>Detonator electric</t>
  </si>
  <si>
    <t>Sand (un-screened for concrete items)</t>
  </si>
  <si>
    <t>27 a</t>
  </si>
  <si>
    <t>Sand un-screened for filling</t>
  </si>
  <si>
    <t>27 b</t>
  </si>
  <si>
    <t>Sand(screened for mortar, plastering items)</t>
  </si>
  <si>
    <t>Impervious Water proof compound</t>
  </si>
  <si>
    <t>Gravel / Quarry spall</t>
  </si>
  <si>
    <t>Roads&amp; Bridges Works</t>
  </si>
  <si>
    <t>S.No.89/34</t>
  </si>
  <si>
    <t>Aggregates 6mm nominal size (HBG)</t>
  </si>
  <si>
    <t>S.No.25/33 a</t>
  </si>
  <si>
    <t>Aggregates 10mm nominal size (HBG)</t>
  </si>
  <si>
    <t>S.No.25/33 b</t>
  </si>
  <si>
    <t>Aggregates 13.20 / 12.50mm nominal size (HBG)</t>
  </si>
  <si>
    <t>S.No.25/33 c</t>
  </si>
  <si>
    <t>Aggregates 20mm nominal size (HBG)</t>
  </si>
  <si>
    <t>S.No.25/33 d</t>
  </si>
  <si>
    <t>Aggregates 40mm nominal size (HBG)</t>
  </si>
  <si>
    <t>S.No.25/33 f</t>
  </si>
  <si>
    <t>Gelatin 80%</t>
  </si>
  <si>
    <t>SoR 2015-16</t>
  </si>
  <si>
    <t>M - 104</t>
  </si>
  <si>
    <t>Water charges (Urban)</t>
  </si>
  <si>
    <t>KL</t>
  </si>
  <si>
    <t>Water charges (Rural)</t>
  </si>
  <si>
    <t>PVC pipes 110mm dia. 4kg/cm2</t>
  </si>
  <si>
    <t>PHE Items</t>
  </si>
  <si>
    <t>PH Items Table17</t>
  </si>
  <si>
    <t xml:space="preserve"> </t>
  </si>
  <si>
    <t>PVC pipes 160mm dia. 4kg/cm2</t>
  </si>
  <si>
    <t>Machinery Charges</t>
  </si>
  <si>
    <t>Hire &amp; Fuel charges</t>
  </si>
  <si>
    <t>Crew charges</t>
  </si>
  <si>
    <t>Air compressor 7 cmm ( diesel)</t>
  </si>
  <si>
    <t>Batching plant 0.50 cum (6 cum/hour)</t>
  </si>
  <si>
    <t>Concrete Mixer 10 / 7 cft (0.2 / 0.8 cum)capacity</t>
  </si>
  <si>
    <t>Jack hammer</t>
  </si>
  <si>
    <t>Needle vibrator 40mm( petrol)</t>
  </si>
  <si>
    <t>Shovel 0.850 cum 110hp</t>
  </si>
  <si>
    <t>Lift charges of materials(Winch 35HP- Electric)</t>
  </si>
  <si>
    <t>Seigniorage charges</t>
  </si>
  <si>
    <t>G.O.Ms.No. 18 of Industries and Commerce (Mines.I) Dept. dt.31.03.2022</t>
  </si>
  <si>
    <t>Coarse aggregate , stone</t>
  </si>
  <si>
    <t>Earth , Gravel</t>
  </si>
  <si>
    <t>Sand for mortar &amp; filling</t>
  </si>
  <si>
    <t>iv)</t>
  </si>
  <si>
    <t>Bricks</t>
  </si>
  <si>
    <t>v)</t>
  </si>
  <si>
    <t>Polished Shahabad/Tandur stone slbs</t>
  </si>
  <si>
    <t>vi)</t>
  </si>
  <si>
    <t>Black Kadapa slabs</t>
  </si>
  <si>
    <t>vii)</t>
  </si>
  <si>
    <t>Colour Granite</t>
  </si>
  <si>
    <t>viii)</t>
  </si>
  <si>
    <t>Black Granite</t>
  </si>
  <si>
    <t xml:space="preserve">Rough Stone (OTG) </t>
  </si>
  <si>
    <t>Part II (Road &amp; Bridge works)</t>
  </si>
  <si>
    <t>1 (22.a)</t>
  </si>
  <si>
    <t xml:space="preserve">Rough Stone (HBG) </t>
  </si>
  <si>
    <t>12 (g)</t>
  </si>
  <si>
    <t>Drilling 25mm dia. Holes with pneumatic compressor</t>
  </si>
  <si>
    <t>143 (ii))</t>
  </si>
  <si>
    <t>Roads &amp; Bridge works</t>
  </si>
  <si>
    <t>Sl.No.1</t>
  </si>
  <si>
    <t>Sl.No.12</t>
  </si>
  <si>
    <t>Sl.No.143</t>
  </si>
  <si>
    <t>Hire charges</t>
  </si>
  <si>
    <t>Dozer (D50)</t>
  </si>
  <si>
    <t>Sl.No.2</t>
  </si>
  <si>
    <t>Hour</t>
  </si>
  <si>
    <t>Vibratory roller 8T</t>
  </si>
  <si>
    <t>I &amp; CAD-62</t>
  </si>
  <si>
    <t>Sl.No.7</t>
  </si>
  <si>
    <t>I &amp; CAD</t>
  </si>
  <si>
    <t>Water tanker 6 KL</t>
  </si>
  <si>
    <t>Sl.No.10</t>
  </si>
  <si>
    <t>Tractor with grader @ 25cum per hour</t>
  </si>
  <si>
    <t>Tractor with Rotavator</t>
  </si>
  <si>
    <t>Motorgrader</t>
  </si>
  <si>
    <t>Sl.No.3</t>
  </si>
  <si>
    <t xml:space="preserve">Wet mix plant @ 60 /75 tcapacity </t>
  </si>
  <si>
    <t>Sl.No.15</t>
  </si>
  <si>
    <t>Front end loader</t>
  </si>
  <si>
    <t>Sl.No.5</t>
  </si>
  <si>
    <t>Tipper 5.5 cum</t>
  </si>
  <si>
    <t>I &amp; CAD-54</t>
  </si>
  <si>
    <t>Sl.No.6</t>
  </si>
  <si>
    <t>Electric generator 125 KVA</t>
  </si>
  <si>
    <t>Sl.No.39</t>
  </si>
  <si>
    <t>Paver finisher Mechanical 100</t>
  </si>
  <si>
    <t>Sl.No.22</t>
  </si>
  <si>
    <t>HMP 40-60 TPH</t>
  </si>
  <si>
    <t>Sl.No.20</t>
  </si>
  <si>
    <t>Air compressor 250 cfm</t>
  </si>
  <si>
    <t>I &amp; CAD -2</t>
  </si>
  <si>
    <t>Sl.No.14</t>
  </si>
  <si>
    <t>Generator 250 KVA</t>
  </si>
  <si>
    <t>Smooth wheeled roller 8-10 tonnes</t>
  </si>
  <si>
    <t>I &amp; CAD-50</t>
  </si>
  <si>
    <t>Sl.No.8</t>
  </si>
  <si>
    <t>Tandem Road roller</t>
  </si>
  <si>
    <t>Sl.No.23</t>
  </si>
  <si>
    <t>Bitumen boiler oil fired</t>
  </si>
  <si>
    <t>Sl.No.25</t>
  </si>
  <si>
    <t>Hydraulic broom @ 1250 sqm per hour</t>
  </si>
  <si>
    <t>Sl.No.16</t>
  </si>
  <si>
    <t>Bitumen Pressure Distributor</t>
  </si>
  <si>
    <t>Sl.No.17</t>
  </si>
  <si>
    <t>Emulsion Pressure Distributor</t>
  </si>
  <si>
    <t>Sl.No.18</t>
  </si>
  <si>
    <t>Paver finisher hydrostatic with sensor control @ 75 cum per hour</t>
  </si>
  <si>
    <t>Non SSR items</t>
  </si>
  <si>
    <t>Glass strips in Granolithic concrete flooring</t>
  </si>
  <si>
    <t xml:space="preserve">Stainless steel base Plate 75mm dia.(in SS railing) </t>
  </si>
  <si>
    <t>Anchor bars in SS railing</t>
  </si>
  <si>
    <t>Bonding anchor bars in SS railing</t>
  </si>
  <si>
    <t>Teak wood beading 12mm x 12mm</t>
  </si>
  <si>
    <t>Teak wood beading 18mm x 12mm</t>
  </si>
  <si>
    <t>250mm long brass butt hinges</t>
  </si>
  <si>
    <t>Z holdfasts 300 x 40 x40x 5mm</t>
  </si>
  <si>
    <t>TBSC-P.IX-08</t>
  </si>
  <si>
    <t>Rubber bush</t>
  </si>
  <si>
    <t>TBSC-P.IX-04</t>
  </si>
  <si>
    <t>1.20mm thick PVC sheet</t>
  </si>
  <si>
    <t>Fevicol &amp; labour charges for fixing PVC sheet for flush shutter</t>
  </si>
  <si>
    <t>wood adhesive</t>
  </si>
  <si>
    <t>Wood Adhesive compound</t>
  </si>
  <si>
    <t>TBSC-G.I-18</t>
  </si>
  <si>
    <t>kg</t>
  </si>
  <si>
    <t>Al. round handles 150mm dia.</t>
  </si>
  <si>
    <t>Powder coated handles 100mm long</t>
  </si>
  <si>
    <t>Labour charges including cost of nails, making holes to wall and in aluminium sheet for expansion joint</t>
  </si>
  <si>
    <t xml:space="preserve">Expansion joint treatment with poly sulphide compound </t>
  </si>
  <si>
    <t>TBSC-Q.VII-07</t>
  </si>
  <si>
    <t>Labour charges for cup board shutters and fixing fixtures</t>
  </si>
  <si>
    <t>Cup board locks</t>
  </si>
  <si>
    <t>Al. lock with handle</t>
  </si>
  <si>
    <t>Encapsulated plastic steps</t>
  </si>
  <si>
    <t>PH</t>
  </si>
  <si>
    <t>II</t>
  </si>
  <si>
    <t>DATA (SoR 2022-23)</t>
  </si>
  <si>
    <t>WATER  SUPPLY  AND  SANITARY  ITEMS</t>
  </si>
  <si>
    <t>Sl.
No.</t>
  </si>
  <si>
    <t>ITEM</t>
  </si>
  <si>
    <t>Plumbing Items</t>
  </si>
  <si>
    <t>SoR Page No.</t>
  </si>
  <si>
    <t>Item code</t>
  </si>
  <si>
    <t>Labour</t>
  </si>
  <si>
    <t>Supply, laying, jointing 101.60 mm dia SWG pipe</t>
  </si>
  <si>
    <t>up to 1524mm (5') depth</t>
  </si>
  <si>
    <t>TBSP-A.I-01</t>
  </si>
  <si>
    <t>up to 914.40mm (3') depth</t>
  </si>
  <si>
    <t>TBSP-A.I-02</t>
  </si>
  <si>
    <t xml:space="preserve">Supply, laying, jointing 152.40mm dia SWG pipe </t>
  </si>
  <si>
    <t>TBSP-A.I-03</t>
  </si>
  <si>
    <t>TBSP-A.I-04</t>
  </si>
  <si>
    <t xml:space="preserve">150mm x 100mm SWG gully trap </t>
  </si>
  <si>
    <t>TBSP-A.I-09</t>
  </si>
  <si>
    <t xml:space="preserve">Supply of 203.20mm (8") dia SWG pipe </t>
  </si>
  <si>
    <t>TBSP-A.II-03</t>
  </si>
  <si>
    <t xml:space="preserve">Supply of 254mm (10") dia SWG pipe </t>
  </si>
  <si>
    <t>TBSP-A.II-04</t>
  </si>
  <si>
    <t xml:space="preserve">Supply of 300mm (12") dia SWG pipe </t>
  </si>
  <si>
    <t>TBSP-A.II-05</t>
  </si>
  <si>
    <t>Labour charges for laying , jointing , testing SWG pipes up to 914.40mm (3') depth</t>
  </si>
  <si>
    <t>TBSP-A.III-01</t>
  </si>
  <si>
    <t>Labour charges for laying , jointing , testing SWG pipes up to 1524mm (5') depth</t>
  </si>
  <si>
    <t>TBSP-A.III-02</t>
  </si>
  <si>
    <t>Inspection chamber 3' dia and upto 3' depth</t>
  </si>
  <si>
    <t>TBSP-B.I-03</t>
  </si>
  <si>
    <t>Inspection chamber 3' dia - 3' above upto 5' depth</t>
  </si>
  <si>
    <t>TBSP-B.I-04</t>
  </si>
  <si>
    <t>Inspection chamber 457.2mm x 457.2mm in brick masonry up to 914.4mm (3) depth</t>
  </si>
  <si>
    <t>TBSP-B.II-02</t>
  </si>
  <si>
    <t>Constructing Brick masonry support for G.I pipe with CM 304.8x228.6x 228.6 mm size including plastering finishing etc complete</t>
  </si>
  <si>
    <t>TBSP-B.II-04</t>
  </si>
  <si>
    <t>CI frame and cover for gully traps</t>
  </si>
  <si>
    <t>TBSP-B.II-06</t>
  </si>
  <si>
    <t>Orissa pan 580mmx440mm - ISI marked</t>
  </si>
  <si>
    <t>221/225</t>
  </si>
  <si>
    <t>TBSP-E.I-03/TBSP-E.VIII-02</t>
  </si>
  <si>
    <t>Brick masonry seat</t>
  </si>
  <si>
    <t>TBSP-E.I-06</t>
  </si>
  <si>
    <t>C.C Squatting plate</t>
  </si>
  <si>
    <t>TBSP-E.I-07</t>
  </si>
  <si>
    <t>S&amp;F EWC  with'S' trap</t>
  </si>
  <si>
    <t>TBSP-E.II-02/TBSP-E.VIII-06</t>
  </si>
  <si>
    <t>S&amp;F Plastic seat and lid for EWC</t>
  </si>
  <si>
    <t>223/225</t>
  </si>
  <si>
    <t>TBSP-E.V-01/TBSP-E.VIII-07</t>
  </si>
  <si>
    <t>Flat back  Wash hand basin 1st quality 550mmx400mm-single CP Pillar cock</t>
  </si>
  <si>
    <t>TBSP-E.VI-04/TBSP-E.VIII-08</t>
  </si>
  <si>
    <t>S &amp; F vitreous china porcelain sink (600 x 400 x 250)</t>
  </si>
  <si>
    <t>224/225</t>
  </si>
  <si>
    <t>TBSP-E.VI-09/TBSP-E.VIII-12</t>
  </si>
  <si>
    <t>S &amp; F vitreous china porcelain sink (750 x 450 x 250)</t>
  </si>
  <si>
    <t>TBSP-E.VI-10/TBSP-E.VIII-012</t>
  </si>
  <si>
    <t>S&amp;F flat back bowl urinal 440 x 265 x 315</t>
  </si>
  <si>
    <t>TBSP-E.VII-01/TBSP-E.VIII-011</t>
  </si>
  <si>
    <t>S&amp;F flat back bowl urinal 590 x 375 x 390</t>
  </si>
  <si>
    <t>TBSP-E.VII-03/TBSP-E.VIII-011</t>
  </si>
  <si>
    <t>Supplying &amp; fixing stainless steel sink size 36" x 18" (914.4x457.2mm) 1 mm thick with accessories</t>
  </si>
  <si>
    <t>TBSP-E.VI-13</t>
  </si>
  <si>
    <t>Supplying &amp; fixing stainless steel sink size 20" x 18" x 8" (508x457.2x203.20mm) 1 mm thick with accessories</t>
  </si>
  <si>
    <t>TBSP-E.VI-15</t>
  </si>
  <si>
    <t>S&amp;F RCC terrazo sink</t>
  </si>
  <si>
    <t>TBSP-E.VI-16</t>
  </si>
  <si>
    <t xml:space="preserve">Supplying &amp; fixing white glazed porcelain channel  4" x 24" (101.6 x 609.6mm) </t>
  </si>
  <si>
    <t>TBSP-E.VII-04</t>
  </si>
  <si>
    <t>15 mm brass body CP finish bib tap of not less than 300 grams weight</t>
  </si>
  <si>
    <t>225/229</t>
  </si>
  <si>
    <t>TBSP-F.I-01 / TBSP-F.VIII-
01</t>
  </si>
  <si>
    <t>Chromium plated finish brass body quarter turn Bibcock cum Health Faucet with 1m long tube and wall hook with 7 - 10 years warranty</t>
  </si>
  <si>
    <t>226/229</t>
  </si>
  <si>
    <t>TBSP-F.I-07/TBSP-F.VIII-01</t>
  </si>
  <si>
    <t>15 mm brass body CP finish self type conforming to IS 1711closing tap push</t>
  </si>
  <si>
    <t>TBSP-F.III-01 / /TBSP-F.VIII-01</t>
  </si>
  <si>
    <t>15 mm nominal size CP finish brass angled stop valve screw type</t>
  </si>
  <si>
    <t>227/229</t>
  </si>
  <si>
    <t>TBSP-F.IV-03
TBSP-F.VIII-02</t>
  </si>
  <si>
    <t>S&amp;F 15 mm nominal size 152.0 mm CP finish iron body shower</t>
  </si>
  <si>
    <t>228/230</t>
  </si>
  <si>
    <t>TBSP-F.VI-01/TBSP-F.VIII-04</t>
  </si>
  <si>
    <t>CP finish brass soap dish</t>
  </si>
  <si>
    <t>229/230</t>
  </si>
  <si>
    <t>TBSP-F.VII-21/TBSP-F.VIII-04</t>
  </si>
  <si>
    <t>S&amp;F 31.75mm brass plumber union</t>
  </si>
  <si>
    <t>TBSP-F.VII-30</t>
  </si>
  <si>
    <t xml:space="preserve">S&amp; F  Nominal Bore GI pipe Medium Grade properties &amp; weight </t>
  </si>
  <si>
    <t>15mm Nominal bore</t>
  </si>
  <si>
    <t>TBSP-G.I-07</t>
  </si>
  <si>
    <t>20mm Nominal bore</t>
  </si>
  <si>
    <t>TBSP-G.I-08</t>
  </si>
  <si>
    <t>25mm Nominal bore</t>
  </si>
  <si>
    <t>TBSP-G.I-09</t>
  </si>
  <si>
    <t>32mm Nominal bore</t>
  </si>
  <si>
    <t>TBSP-G.I-10</t>
  </si>
  <si>
    <t>40mm Nominal bore</t>
  </si>
  <si>
    <t>TBSP-G.I-11</t>
  </si>
  <si>
    <t>50mm Nominal bore</t>
  </si>
  <si>
    <t>TBSP-G.I-12</t>
  </si>
  <si>
    <t>65mm Tata or Zenith make or equivalent.</t>
  </si>
  <si>
    <t>TBSP-G.I-13</t>
  </si>
  <si>
    <t>S&amp;F Bronze Gate/ Globe valve as per IS - 778 Class - I, Indian make heavy type</t>
  </si>
  <si>
    <t xml:space="preserve">15mm NB </t>
  </si>
  <si>
    <t>TBSP-G.III-01</t>
  </si>
  <si>
    <t xml:space="preserve">20mm NB </t>
  </si>
  <si>
    <t>TBSP-G.III-02</t>
  </si>
  <si>
    <t xml:space="preserve">25mm NB </t>
  </si>
  <si>
    <t>TBSP-G.III-03</t>
  </si>
  <si>
    <t xml:space="preserve">32mm NB </t>
  </si>
  <si>
    <t>TBSP-G.III-04</t>
  </si>
  <si>
    <t xml:space="preserve">40mm NB </t>
  </si>
  <si>
    <t>TBSP-G.III-05</t>
  </si>
  <si>
    <t xml:space="preserve">50mm NB </t>
  </si>
  <si>
    <t>TBSP-G.III-06</t>
  </si>
  <si>
    <t xml:space="preserve">65mm NB </t>
  </si>
  <si>
    <t>TBSP-G.III-07</t>
  </si>
  <si>
    <t xml:space="preserve">80mm NB </t>
  </si>
  <si>
    <t>TBSP-G.III-08</t>
  </si>
  <si>
    <t>Single socket PVC/SWR pipes        4 kgs/sqm</t>
  </si>
  <si>
    <t>75mm dia.</t>
  </si>
  <si>
    <t>TBSP-H.I-01</t>
  </si>
  <si>
    <t>90mm dia.</t>
  </si>
  <si>
    <t>TBSP-H.I-02</t>
  </si>
  <si>
    <t>110mm dia.</t>
  </si>
  <si>
    <t>TBSP-H.I-03</t>
  </si>
  <si>
    <t>160mm dia. Double socket</t>
  </si>
  <si>
    <t>TBSP-H.I-22</t>
  </si>
  <si>
    <t xml:space="preserve">Polyetheylene water storage tank with Double layer </t>
  </si>
  <si>
    <t>TBSP-H.II-01</t>
  </si>
  <si>
    <t>Lt</t>
  </si>
  <si>
    <t>Supply &amp; fixing 30 mm nominal size dia PVC flexible waste pipe of 914.4 mm length of Ist quality</t>
  </si>
  <si>
    <t>TBSP-H.II-04</t>
  </si>
  <si>
    <t xml:space="preserve">Supply &amp; fixing of PVC low level system with internal components &amp; short bend </t>
  </si>
  <si>
    <t>10ltrs capacity single flush</t>
  </si>
  <si>
    <t>TBSP-H.II-07</t>
  </si>
  <si>
    <t>8 lts capacity single flush</t>
  </si>
  <si>
    <t>TBSP-H.II-09</t>
  </si>
  <si>
    <t xml:space="preserve">Pipe clip </t>
  </si>
  <si>
    <t>TBSP-H.II-59</t>
  </si>
  <si>
    <t>TBSP-H.II-60</t>
  </si>
  <si>
    <t>160mm dia.</t>
  </si>
  <si>
    <t xml:space="preserve">3" (75mm) Nahany trap with jali </t>
  </si>
  <si>
    <t>TBSP-H.II-73</t>
  </si>
  <si>
    <t xml:space="preserve">4" (101.6mm) multi floor trap with jali </t>
  </si>
  <si>
    <t>TBSP-H.II-74</t>
  </si>
  <si>
    <t>Labour charges for laying, fixing and commissioning the PVC pipes</t>
  </si>
  <si>
    <t>TBSP-H.IV-01</t>
  </si>
  <si>
    <t>Chiseling the brick masonry wall and repairs as directed by the department</t>
  </si>
  <si>
    <t>TBSP-J.I-05</t>
  </si>
  <si>
    <t>Cutting holes in brick masonry</t>
  </si>
  <si>
    <t>TBSP-J.I-22</t>
  </si>
  <si>
    <t>Cutting holes in RCC slab floor &amp; repairs labour charges only</t>
  </si>
  <si>
    <t>TBSP-J.I-23</t>
  </si>
  <si>
    <t>Cost of NP chain and rubber plug</t>
  </si>
  <si>
    <t>TBSP-J.I-24</t>
  </si>
  <si>
    <t xml:space="preserve">25.4mm dia &amp; 609.6mm long aluminium anodized towel rod </t>
  </si>
  <si>
    <t>TBSP-J.I-25</t>
  </si>
  <si>
    <t>Teak wood blocks 76.2mm x 101.6mm</t>
  </si>
  <si>
    <t>TBSP-J.I-31</t>
  </si>
  <si>
    <t>12.70mm PVC connection with brass union nut CP coated</t>
  </si>
  <si>
    <t>TBSP-J.I-32</t>
  </si>
  <si>
    <t xml:space="preserve">S&amp;F TV shap mirror with plastic frame size 609.60mm x 457.20mm </t>
  </si>
  <si>
    <t>TBSP-J.I-35</t>
  </si>
  <si>
    <t>CPVC Pipes</t>
  </si>
  <si>
    <t>15.90mm OD pipe - SDR 13.5</t>
  </si>
  <si>
    <t>TBSP-J.III-01</t>
  </si>
  <si>
    <t>22.20mm OD pipe - SDR 13.5</t>
  </si>
  <si>
    <t>TBSP-J.III-02</t>
  </si>
  <si>
    <t>28.60mm OD pipe - SDR 13.5</t>
  </si>
  <si>
    <t>TBSP-J.III-03</t>
  </si>
  <si>
    <t>34.90mm OD pipe - SDR 13.5</t>
  </si>
  <si>
    <t>TBSP-J.III-04</t>
  </si>
  <si>
    <t>41.30mm OD pipe - SDR 13.5</t>
  </si>
  <si>
    <t>TBSP-J.III-05</t>
  </si>
  <si>
    <t>54.00mm OD pipe - SDR 13.5</t>
  </si>
  <si>
    <t>TBSP-J.III-06</t>
  </si>
  <si>
    <t>15.90mm OD pipe - SDR 11</t>
  </si>
  <si>
    <t>TBSP-J.III-07</t>
  </si>
  <si>
    <t>22.20mm OD pipe - SDR 11</t>
  </si>
  <si>
    <t>TBSP-J.III-08</t>
  </si>
  <si>
    <t>28.60mm OD pipe - SDR 11</t>
  </si>
  <si>
    <t>TBSP-J.III-09</t>
  </si>
  <si>
    <t>34.90mm OD pipe - SDR 11</t>
  </si>
  <si>
    <t>TBSP-J.III-10</t>
  </si>
  <si>
    <t>41.30mm OD pipe - SDR 11</t>
  </si>
  <si>
    <t>TBSP-J.III-11</t>
  </si>
  <si>
    <t>54.00mm OD pipe - SDR 11</t>
  </si>
  <si>
    <t>TBSP-J.III-12</t>
  </si>
  <si>
    <t>16mm to 20mm thick marble slab</t>
  </si>
  <si>
    <t>TBSC.BII-03</t>
  </si>
  <si>
    <t>NON SSR ITEMS</t>
  </si>
  <si>
    <t>RCC cover for gully trap</t>
  </si>
  <si>
    <t>CP Finish steel towel road -600mm long</t>
  </si>
  <si>
    <t>TBSP-F.VII-10</t>
  </si>
  <si>
    <t>A</t>
  </si>
  <si>
    <t>B</t>
  </si>
  <si>
    <t>Sources and Leads</t>
  </si>
  <si>
    <t>Material</t>
  </si>
  <si>
    <t>Quarry</t>
  </si>
  <si>
    <t>Lead in KM</t>
  </si>
  <si>
    <t>Cement</t>
  </si>
  <si>
    <t>Steel</t>
  </si>
  <si>
    <t>Sand for concrete</t>
  </si>
  <si>
    <t>Sand for mortar, plastering</t>
  </si>
  <si>
    <t>Sand for filling</t>
  </si>
  <si>
    <t>Second Class Bricks</t>
  </si>
  <si>
    <t>Fly ash bricks 290 x 225 x 140</t>
  </si>
  <si>
    <t>Local</t>
  </si>
  <si>
    <t>Fly ash bricks 290 x 100 x 140</t>
  </si>
  <si>
    <t>Fly ash bricks 225 x 100 x 60</t>
  </si>
  <si>
    <t>40mm HBG Metal Machine crushed</t>
  </si>
  <si>
    <t>20mm HBG Metal Machine crushed</t>
  </si>
  <si>
    <t>12mm HBG Metal Machine crushed</t>
  </si>
  <si>
    <t>10mm HBG Metal Machine crushed</t>
  </si>
  <si>
    <t>6mm HBG Metal Machine crushed</t>
  </si>
  <si>
    <t xml:space="preserve">Rough Stone OTG </t>
  </si>
  <si>
    <t xml:space="preserve">Rough Stone HBG </t>
  </si>
  <si>
    <t>Gravel</t>
  </si>
  <si>
    <t>Shahabad stone slabs</t>
  </si>
  <si>
    <t>Kadapa stone slabs</t>
  </si>
  <si>
    <t>For road work</t>
  </si>
  <si>
    <t xml:space="preserve">Aggregate 13.2 - 10 mm </t>
  </si>
  <si>
    <t>Ramulabanda</t>
  </si>
  <si>
    <t xml:space="preserve">Aggregate 10 - 5 mm </t>
  </si>
  <si>
    <t xml:space="preserve">Aggregate 5 mm and below </t>
  </si>
  <si>
    <t xml:space="preserve">Aggregate 9.5 mm to 4.75 mm </t>
  </si>
  <si>
    <t xml:space="preserve">Aggregate 4.75 mm to 2.36 mm </t>
  </si>
  <si>
    <t xml:space="preserve">Aggregate 2.36 mm below </t>
  </si>
  <si>
    <t>Aggregate 45 mm to 22.4 mm</t>
  </si>
  <si>
    <t xml:space="preserve">Aggregate 22.4 mm to 2.36 mm </t>
  </si>
  <si>
    <t>Aggregate 2.36 mm to 75 micron</t>
  </si>
  <si>
    <t xml:space="preserve">Aggregate 60 mm to 63 mm </t>
  </si>
  <si>
    <t>Stone crusher dust finer than 3mm with not more than
10% passing 0.075 sieve.</t>
  </si>
  <si>
    <t>C</t>
  </si>
  <si>
    <t>Cement &amp; Steel Rates</t>
  </si>
  <si>
    <r>
      <rPr>
        <sz val="10"/>
        <rFont val="Cambria"/>
        <family val="2"/>
        <charset val="1"/>
      </rPr>
      <t>Fe-</t>
    </r>
    <r>
      <rPr>
        <sz val="10"/>
        <color indexed="10"/>
        <rFont val="Cambria"/>
        <family val="2"/>
        <charset val="1"/>
      </rPr>
      <t>500</t>
    </r>
  </si>
  <si>
    <t>Fe-415</t>
  </si>
  <si>
    <t>Mild Steel</t>
  </si>
  <si>
    <t>Structural Steel</t>
  </si>
  <si>
    <t>MS Flats</t>
  </si>
  <si>
    <t>D</t>
  </si>
  <si>
    <t>Allowances</t>
  </si>
  <si>
    <t>Overheads &amp; Contractors Profit @ 13.615%</t>
  </si>
  <si>
    <t>Type of Habitation</t>
  </si>
  <si>
    <t>1 for Rural</t>
  </si>
  <si>
    <t>2 for Urban</t>
  </si>
  <si>
    <t>Water charges</t>
  </si>
  <si>
    <t>Sl. No.</t>
  </si>
  <si>
    <t>Description</t>
  </si>
  <si>
    <t>Source of Materials</t>
  </si>
  <si>
    <t>Reference to SSR page number</t>
  </si>
  <si>
    <t xml:space="preserve">Unit </t>
  </si>
  <si>
    <t xml:space="preserve">Initial 
Cost </t>
  </si>
  <si>
    <t>Conveyance Charges (-) 13.615%</t>
  </si>
  <si>
    <t xml:space="preserve">Loading charges </t>
  </si>
  <si>
    <t>Unloading charges (-) 13.615%</t>
  </si>
  <si>
    <t xml:space="preserve">MA  </t>
  </si>
  <si>
    <t>Total</t>
  </si>
  <si>
    <t>Ordinary Portland Cement 43 / 53 grade (including loading charges)</t>
  </si>
  <si>
    <t>MT</t>
  </si>
  <si>
    <t>Reinforcement steel Fe- 500</t>
  </si>
  <si>
    <t>Reinforcement steel Fe- 415</t>
  </si>
  <si>
    <t xml:space="preserve">Mild steel bars </t>
  </si>
  <si>
    <t xml:space="preserve">Structural steel </t>
  </si>
  <si>
    <t>MS flats</t>
  </si>
  <si>
    <t>Sand (screened for mortar, plastering items)</t>
  </si>
  <si>
    <t>Nos</t>
  </si>
  <si>
    <t xml:space="preserve">(Part II) Roads &amp; Bridges </t>
  </si>
  <si>
    <t>(Part II) Roads &amp; Bridges</t>
  </si>
  <si>
    <t>Polished black Kadapa slabs 15mm to 18mm thick</t>
  </si>
  <si>
    <t>-</t>
  </si>
  <si>
    <t>For Road work</t>
  </si>
  <si>
    <t>Roads &amp; Bridges</t>
  </si>
  <si>
    <t>Aggregate 40mm to 45mm size (IRC, MORTH &amp;MORD)</t>
  </si>
  <si>
    <t>do</t>
  </si>
  <si>
    <t>Sl.No.50</t>
  </si>
  <si>
    <t>33 g</t>
  </si>
  <si>
    <t>Aggregate 25mm to 27mm size (IRC, MORTH &amp;MORD)</t>
  </si>
  <si>
    <t>Sl.No.49</t>
  </si>
  <si>
    <t>33 f</t>
  </si>
  <si>
    <t>Aggregate 19mm to 22mm size (IRC, MORTH &amp;MORD)</t>
  </si>
  <si>
    <t>Sl.No.48</t>
  </si>
  <si>
    <t>33 e</t>
  </si>
  <si>
    <t>Aggregate 12mm to 14mm size (IRC, MORTH &amp;MORD)</t>
  </si>
  <si>
    <t>Sl.No.47</t>
  </si>
  <si>
    <t>33 d</t>
  </si>
  <si>
    <t>Aggregate 9.5mm to 11.20mm size (IRC, MORTH &amp;MORD)</t>
  </si>
  <si>
    <t>Sl.No.46</t>
  </si>
  <si>
    <t>33 c</t>
  </si>
  <si>
    <t>Aggregate 5.0 mm to 7.00mm size (IRC, MORTH &amp;MORD)</t>
  </si>
  <si>
    <t>Sl.No.45</t>
  </si>
  <si>
    <t>33 b</t>
  </si>
  <si>
    <t>Aggregate 2.36 mm to 5.00mm size (IRC, MORTH &amp;MORD)</t>
  </si>
  <si>
    <t>33 a</t>
  </si>
  <si>
    <t>Sl.No.91</t>
  </si>
  <si>
    <t>35b</t>
  </si>
  <si>
    <t>Aggregate 60mm to 63mm size (IRC, MORTH &amp;MORD)</t>
  </si>
  <si>
    <t>Sl.No.52</t>
  </si>
  <si>
    <t>33 i</t>
  </si>
  <si>
    <t>Bitumen VG 30 Grade (60/70 Grade)</t>
  </si>
  <si>
    <t>Chennai</t>
  </si>
  <si>
    <t>IOCL</t>
  </si>
  <si>
    <t>Bitumen VG 10 Grade (80/100 Grade)</t>
  </si>
  <si>
    <t>Emulsion Rapid Setting (RS1)</t>
  </si>
  <si>
    <t>Emulsion Slow Setting (SS1)</t>
  </si>
  <si>
    <t>Hume pipes 300mm Dia., NP3</t>
  </si>
  <si>
    <t>KMs</t>
  </si>
  <si>
    <t>1) Certified that the leads mentioned in the lead statement are shortest and correct.</t>
  </si>
  <si>
    <t>2) Certified that  metal are to be obtained by blasting.</t>
  </si>
  <si>
    <t>3) Certified that sufficient quantities &amp; quantity material are available in the quarries.</t>
  </si>
  <si>
    <t xml:space="preserve">4) Certified that for non SSR items lowest market rates are adopted </t>
  </si>
  <si>
    <t>D A T A (SoR 2022-23)</t>
  </si>
  <si>
    <t>CEMENT MORTAR PER CUM</t>
  </si>
  <si>
    <t>720 Kg</t>
  </si>
  <si>
    <t>480 Kg</t>
  </si>
  <si>
    <t>360 Kg</t>
  </si>
  <si>
    <t>288 Kg</t>
  </si>
  <si>
    <t>240 Kg</t>
  </si>
  <si>
    <t>180 Kg</t>
  </si>
  <si>
    <t>CM (1:2)</t>
  </si>
  <si>
    <t>CM (1:3)</t>
  </si>
  <si>
    <t>CM (1:4)</t>
  </si>
  <si>
    <t>CM (1:5)</t>
  </si>
  <si>
    <t>CM (1:6)</t>
  </si>
  <si>
    <t>CM (1:8)</t>
  </si>
  <si>
    <t>Cost of Sand for mortar &amp; Plastering               (1.05 cum)</t>
  </si>
  <si>
    <t>Cost of cement</t>
  </si>
  <si>
    <t>Mazdoor (Unskilled ) for mixing mortar             ( 0.20 Nos.)</t>
  </si>
  <si>
    <t>Rate per Cum</t>
  </si>
  <si>
    <t>20 mm HBG graded metal</t>
  </si>
  <si>
    <t>Arregates 20mm nominal size</t>
  </si>
  <si>
    <t>Arregates 13.20 / 12.50mm nominal size</t>
  </si>
  <si>
    <t>Arregates 10mm nominal size</t>
  </si>
  <si>
    <t>Arregates 6mm nominal size</t>
  </si>
  <si>
    <t>12 mm HBG graded metal</t>
  </si>
  <si>
    <t>DATA</t>
  </si>
  <si>
    <t>Quantity</t>
  </si>
  <si>
    <t>Rate (Rs.)</t>
  </si>
  <si>
    <t>Per Unit</t>
  </si>
  <si>
    <t>Amount (Rs.)</t>
  </si>
  <si>
    <t xml:space="preserve">Brick masonry </t>
  </si>
  <si>
    <t xml:space="preserve">(BLD-CSTN-14-9/299) </t>
  </si>
  <si>
    <t>Mazdoor(unskilled)</t>
  </si>
  <si>
    <t>Rate per 1 cum</t>
  </si>
  <si>
    <t>Total Rs.</t>
  </si>
  <si>
    <t>Or Say</t>
  </si>
  <si>
    <t xml:space="preserve">Unreinforced cement concrete up to 15cm thickness </t>
  </si>
  <si>
    <t>(BLD-CSTN-14-8/296)</t>
  </si>
  <si>
    <t xml:space="preserve">Unreinforced cement concrete more than 15cm thickness </t>
  </si>
  <si>
    <t>(BLD-CSTN-14-8/297)</t>
  </si>
  <si>
    <t xml:space="preserve">Reinforced cement concrete </t>
  </si>
  <si>
    <t>(BLD-CSTN-14-8/298)</t>
  </si>
  <si>
    <t>Blacksmith 2nd class</t>
  </si>
  <si>
    <t>Mazdoor(Male)</t>
  </si>
  <si>
    <t>Rate as per SSR      TBSC-U.I-11</t>
  </si>
  <si>
    <t>Rate per 10 sqm</t>
  </si>
  <si>
    <t>Rate per 1 sqm</t>
  </si>
  <si>
    <t>Rate as per SSR            TBSC-U.I-01</t>
  </si>
  <si>
    <t>Rate as per                    SSR TBSC-U.I-04</t>
  </si>
  <si>
    <t>Rate as per SSR                TBSC-U.I-03</t>
  </si>
  <si>
    <t>Wrought and framed timber in roofs or floors ;</t>
  </si>
  <si>
    <t>Rate as per SSR      S.No.826(BMT-S.06)</t>
  </si>
  <si>
    <t>Rate as per SSR         TBSC-U.I-07</t>
  </si>
  <si>
    <t>k)</t>
  </si>
  <si>
    <t>Rate as per                 SSR   TBSC-U.I-08</t>
  </si>
  <si>
    <t>l)</t>
  </si>
  <si>
    <t>Rate as per                      SSR  TBSC-U.I-14</t>
  </si>
  <si>
    <t>m)</t>
  </si>
  <si>
    <t>Clean removal of cement plaster from walls and raking out joint 20 mm deep</t>
  </si>
  <si>
    <t>Rate as per                     SSR  TBSC-U.I-15</t>
  </si>
  <si>
    <t>(BLD-CSTN-14-11)</t>
  </si>
  <si>
    <t>Not exceeding 3 sqm in area :</t>
  </si>
  <si>
    <t xml:space="preserve">Details of cost per each : </t>
  </si>
  <si>
    <t>2nd class mason</t>
  </si>
  <si>
    <t>2nd class Blacksmith</t>
  </si>
  <si>
    <t>Cost per each</t>
  </si>
  <si>
    <t>Say</t>
  </si>
  <si>
    <t>Exceeding 3 sqm in area :</t>
  </si>
  <si>
    <t>(BLD-CSTN-2-1)</t>
  </si>
  <si>
    <t>Ordinary Soil - Manual Means up to 3m depth</t>
  </si>
  <si>
    <t>Unit : 1 cum</t>
  </si>
  <si>
    <t>Taking output : 10.00 Cum</t>
  </si>
  <si>
    <t>a) Labour</t>
  </si>
  <si>
    <t>Mazdoor ( Unskilled)</t>
  </si>
  <si>
    <t xml:space="preserve">b&amp;c) </t>
  </si>
  <si>
    <t>Cost for 10 cum ( a+b+c)</t>
  </si>
  <si>
    <t xml:space="preserve"> (BLD-CSTN-2-1&amp; COM-LDLFT-6-66)</t>
  </si>
  <si>
    <t>Rate with initial lead &amp; lift</t>
  </si>
  <si>
    <t>Mazdoor for extra lift ( 1 No. for 60m)</t>
  </si>
  <si>
    <t>(BLKD-CSTN-2-2)</t>
  </si>
  <si>
    <t>Ordinary Soil - Mechanical Means up to 3m depth</t>
  </si>
  <si>
    <t xml:space="preserve">Taking output : </t>
  </si>
  <si>
    <t>b) Machinery</t>
  </si>
  <si>
    <t>Shovel 0.85 cum 110hp (Part I (I&amp;CAD Works))</t>
  </si>
  <si>
    <t>hours</t>
  </si>
  <si>
    <t>Crew charges   (Part I (I&amp;CAD Works))</t>
  </si>
  <si>
    <t>Add MA on crew charges</t>
  </si>
  <si>
    <t xml:space="preserve">c&amp;d) </t>
  </si>
  <si>
    <t>Cost for 240 cum ( a+b+c+d)</t>
  </si>
  <si>
    <t>(BLD-CSTN-2-3)</t>
  </si>
  <si>
    <t>Ordinary Soil - Mechanical Means up to 3m to 6m depth</t>
  </si>
  <si>
    <t>Taking output : 210.00 Cum</t>
  </si>
  <si>
    <t>Cost for 210 cum ( a+b+c+d)</t>
  </si>
  <si>
    <t>(BLD-CSTN-2-4)</t>
  </si>
  <si>
    <t>Ordinary rock(not requiring blasting) - Manual Means up to 3m depth</t>
  </si>
  <si>
    <t xml:space="preserve"> cum</t>
  </si>
  <si>
    <t xml:space="preserve">(b &amp; c) </t>
  </si>
  <si>
    <t xml:space="preserve"> Or Say</t>
  </si>
  <si>
    <t>(BLKD-CSTN-2-5)</t>
  </si>
  <si>
    <t>Ordinary rock (not requiring blasting)- Mechanical Means up to 3m depth</t>
  </si>
  <si>
    <t>Taking output : 180.00 Cum</t>
  </si>
  <si>
    <t>Cost for 180 cum ( a+b+c+d)</t>
  </si>
  <si>
    <t>(BLKD-CSTN-2-6)  Hard rock (requiring blasting)- up to 3m depth</t>
  </si>
  <si>
    <t>Driller       ( Part I (I&amp;CAD Works) P.15 (I - 23)</t>
  </si>
  <si>
    <t>Blaster        ( Part I (I&amp;CAD Works) P.14 (I - 3)</t>
  </si>
  <si>
    <t>Air compressor 7cmm (diesel)</t>
  </si>
  <si>
    <t>Jack hammer/Pneumatic braker</t>
  </si>
  <si>
    <t>Air compressor(Part I(I&amp;CAD Works)P.14 (3))</t>
  </si>
  <si>
    <t>Hours</t>
  </si>
  <si>
    <t>c)Material</t>
  </si>
  <si>
    <t>Gelatin 80%    ( M - 104 )</t>
  </si>
  <si>
    <t>Kgs</t>
  </si>
  <si>
    <t>Cost for 10 cum ( a+b+c+d)</t>
  </si>
  <si>
    <t>(BLKD-CSTN-2-7)      Hard rock (blasting prohibited)- up to 3m depth</t>
  </si>
  <si>
    <t xml:space="preserve"> Cum</t>
  </si>
  <si>
    <t>Air compressor</t>
  </si>
  <si>
    <t>Rate as per SoR</t>
  </si>
  <si>
    <t>Rate as per S.S.R (TBSC-Q.VI-22)</t>
  </si>
  <si>
    <t>Rate per 1 Sqm</t>
  </si>
  <si>
    <t>(BLD-CSTN-2-8) &amp; Amendment in page 12 of SoR 2014.15</t>
  </si>
  <si>
    <t>Unit : 1 cum        Taking output = 6 cum</t>
  </si>
  <si>
    <t>Mazdoor ( Unskilled )</t>
  </si>
  <si>
    <t>b) Material :</t>
  </si>
  <si>
    <t>Coarse sand for filling           (RMR Rate)</t>
  </si>
  <si>
    <t>Water</t>
  </si>
  <si>
    <t>Kl</t>
  </si>
  <si>
    <t>Rate per 6 cum</t>
  </si>
  <si>
    <t>Ordinary Soils (either excavated or carted) - MANUAL MEANS</t>
  </si>
  <si>
    <t>Taking output = 10 cum</t>
  </si>
  <si>
    <t>a Material :</t>
  </si>
  <si>
    <t>Gravel             (RMR Rate)</t>
  </si>
  <si>
    <t>Mate (Crowbar man / Jumper man)</t>
  </si>
  <si>
    <t>Water charges @ 1%</t>
  </si>
  <si>
    <t xml:space="preserve">Rate per 10 cum </t>
  </si>
  <si>
    <t>Rate per 10 cum</t>
  </si>
  <si>
    <t>(BLD-CSTN-2-9)                                                      &amp; Amendments/ Modifications in  SoR 2021-22</t>
  </si>
  <si>
    <t>a) Material :</t>
  </si>
  <si>
    <t>Ordinary soils</t>
  </si>
  <si>
    <t>b) Labour</t>
  </si>
  <si>
    <t xml:space="preserve"> (BLD-CSTN-3-5)</t>
  </si>
  <si>
    <t>A.MATERIALS :</t>
  </si>
  <si>
    <t>Coarse aggregate 40mm</t>
  </si>
  <si>
    <t>Fine aggregate ( Sand )</t>
  </si>
  <si>
    <t>Water (including curing)</t>
  </si>
  <si>
    <t>kl</t>
  </si>
  <si>
    <t>B.MACHINERY :</t>
  </si>
  <si>
    <t>Concrete Mixer 10 / 7 cft (0.2 / 0.8 cum) capacity</t>
  </si>
  <si>
    <t>C.LABOUR :</t>
  </si>
  <si>
    <t>1st class mason</t>
  </si>
  <si>
    <t>Mazdoor (unskilled)</t>
  </si>
  <si>
    <t xml:space="preserve"> (BLD-CSTN-3-7)</t>
  </si>
  <si>
    <t>B. MACHINERY :</t>
  </si>
  <si>
    <t>C. LABOUR :</t>
  </si>
  <si>
    <t>( BLD-CSTN-6-13 )</t>
  </si>
  <si>
    <t>Unit = 1 cum</t>
  </si>
  <si>
    <t>A.MATERIALS</t>
  </si>
  <si>
    <t>Rough stone (OTG)</t>
  </si>
  <si>
    <t>Fine aggregate(sand)</t>
  </si>
  <si>
    <t>B) LABOUR</t>
  </si>
  <si>
    <t>Add water charges</t>
  </si>
  <si>
    <t>Rough stone (HBG)</t>
  </si>
  <si>
    <t xml:space="preserve"> (BLD-CSTN-3-10 &amp; 11)</t>
  </si>
  <si>
    <t>Unit : 1cum</t>
  </si>
  <si>
    <t>HBG 40mm size metal</t>
  </si>
  <si>
    <t>Sand</t>
  </si>
  <si>
    <t>Water ( including for curing )</t>
  </si>
  <si>
    <t>Crew Charges</t>
  </si>
  <si>
    <t>Mazdoor (Unskilled)</t>
  </si>
  <si>
    <t>Rate for 1 cum</t>
  </si>
  <si>
    <t>HBG 20mm size metal</t>
  </si>
  <si>
    <t>(BLD-CSTN-3-14)</t>
  </si>
  <si>
    <t>FOUNDATIONS , PLINTH , PEDESTALS ( Below Plinth)</t>
  </si>
  <si>
    <t>20mm HBG graded metal</t>
  </si>
  <si>
    <t>B.LABOUR :</t>
  </si>
  <si>
    <t>1st class Mason</t>
  </si>
  <si>
    <t>2nd class Mason</t>
  </si>
  <si>
    <t>Mazdoor (both men&amp;women)</t>
  </si>
  <si>
    <t>C.MACHINERY :</t>
  </si>
  <si>
    <t>Batching plant 0.50 cum</t>
  </si>
  <si>
    <t>Needle vibrator 40mm ( petrol )</t>
  </si>
  <si>
    <t>Water(including for curing)</t>
  </si>
  <si>
    <t>a</t>
  </si>
  <si>
    <t>Rate for Design mix M 25</t>
  </si>
  <si>
    <t xml:space="preserve">Hire charges of centering and scaffolding </t>
  </si>
  <si>
    <t>Labour charges                (SoR Pg 116)</t>
  </si>
  <si>
    <t>b</t>
  </si>
  <si>
    <t>Column pedestals</t>
  </si>
  <si>
    <t>c</t>
  </si>
  <si>
    <t xml:space="preserve">Plinth Beams </t>
  </si>
  <si>
    <t>d</t>
  </si>
  <si>
    <t>Base slab 100 mm thick Precast Slab</t>
  </si>
  <si>
    <t>Base slab 125 mm thick Precast Slab</t>
  </si>
  <si>
    <t>Base slab 150 mm thick  for Sump/Septic tank</t>
  </si>
  <si>
    <t>e</t>
  </si>
  <si>
    <t>Base slab 200 mm thick for Lift Pit :</t>
  </si>
  <si>
    <t>Base slab 230 mm thick for Sump / Septic tank :</t>
  </si>
  <si>
    <t>Base slab 250 mm thick for Sump / Septic tank :</t>
  </si>
  <si>
    <t>Base slab 300mm thick for Sump / Septic tank :</t>
  </si>
  <si>
    <t>f</t>
  </si>
  <si>
    <t>Base slab 400mm thick for Sump / Septic tank :</t>
  </si>
  <si>
    <t>g</t>
  </si>
  <si>
    <t>Base slab 500mm thick for Sump / Septic tank :</t>
  </si>
  <si>
    <t>Base slab 600mm thick for Sump / Septic tank :</t>
  </si>
  <si>
    <t>Haunch</t>
  </si>
  <si>
    <t>(BLD-CSTN-3-15)</t>
  </si>
  <si>
    <t>COLUMNS, LINTELS, WATER TANKS, RCC WALL IN BUILDINGS:</t>
  </si>
  <si>
    <t>COLUMNS :
un supported height up to 3.66 m</t>
  </si>
  <si>
    <t xml:space="preserve"> FF (GF)</t>
  </si>
  <si>
    <t>SF</t>
  </si>
  <si>
    <t>TF</t>
  </si>
  <si>
    <t>4F</t>
  </si>
  <si>
    <t>5F</t>
  </si>
  <si>
    <t>6F</t>
  </si>
  <si>
    <t>7F</t>
  </si>
  <si>
    <t>8F</t>
  </si>
  <si>
    <t>9F</t>
  </si>
  <si>
    <t>(i)</t>
  </si>
  <si>
    <t>Lifting by Manual means</t>
  </si>
  <si>
    <t>Rate for other Floors</t>
  </si>
  <si>
    <t xml:space="preserve">Rate as above </t>
  </si>
  <si>
    <t>Labour charges                (SoR Pg 119)</t>
  </si>
  <si>
    <t>Lift charges of materials (Manual)</t>
  </si>
  <si>
    <t>(ii)</t>
  </si>
  <si>
    <t>Lifting by Mechanical means</t>
  </si>
  <si>
    <t>FF (G.F)</t>
  </si>
  <si>
    <t>Lift charges of materials (Winch 35HP Electric) (Part I (I&amp;CAD Works) SoR Pg 35)</t>
  </si>
  <si>
    <t>Crew charges  (Part I (I&amp;CAD Works) SoR Pg 35)</t>
  </si>
  <si>
    <t>LINTELS :</t>
  </si>
  <si>
    <t>COLUMNS</t>
  </si>
  <si>
    <t>COLUMNS un supported height up to 3.66 m</t>
  </si>
  <si>
    <t>Lift charges of materials (Winch 35HP Electric)       (Part I (I&amp;CAD Works) SoR Pg 35)</t>
  </si>
  <si>
    <t>COLUMNS un supported height up to 4.27 m</t>
  </si>
  <si>
    <t>COLUMNS un supported height up to 4.88 m</t>
  </si>
  <si>
    <t>COLUMNS un supported height up to 5.49 m</t>
  </si>
  <si>
    <t>WATER TANKS, SUMP, LIFT :</t>
  </si>
  <si>
    <t>350mm thick side walls</t>
  </si>
  <si>
    <t>Cost of M 25 design mix</t>
  </si>
  <si>
    <t>150mm thick side walls</t>
  </si>
  <si>
    <t>Lift charges of materials (Winch 35HP Electric)</t>
  </si>
  <si>
    <t>200mm thick side walls</t>
  </si>
  <si>
    <t>Lift charges of materials(Manual)</t>
  </si>
  <si>
    <t>Hire charges of centering and scaffolding</t>
  </si>
  <si>
    <t>Lift charges of materials
 (Winch 35HP Electric)</t>
  </si>
  <si>
    <t>300mm thick side walls</t>
  </si>
  <si>
    <t>325mm thick side walls</t>
  </si>
  <si>
    <t>375mm thick side walls</t>
  </si>
  <si>
    <t>500mm thick side walls</t>
  </si>
  <si>
    <t>(BLD-CSTN-3-16)</t>
  </si>
  <si>
    <t>RCC SLABS, BEAMS :</t>
  </si>
  <si>
    <t>Mazdoor (both Men &amp; Women)</t>
  </si>
  <si>
    <t>BEAMS :</t>
  </si>
  <si>
    <t>un supported height up to 3.66 m</t>
  </si>
  <si>
    <t>Lifting by Manual Means</t>
  </si>
  <si>
    <t xml:space="preserve">Labour , lift charges for scaffolding </t>
  </si>
  <si>
    <t>Lift charges ( Page 131 of Std. Data )</t>
  </si>
  <si>
    <t>Lift charges of materials 
(Winch 35HP Electric)</t>
  </si>
  <si>
    <t>un supported height up to 4.27 m</t>
  </si>
  <si>
    <t>un supported height up to 4.88 m</t>
  </si>
  <si>
    <t>un supported height up to 7.93 m</t>
  </si>
  <si>
    <t>Roof Slabs 125mm thick : un supported height up to 3.66 m</t>
  </si>
  <si>
    <t>Lifting by Manual Means for unsupported height 3.66m</t>
  </si>
  <si>
    <t>Labour , lift charges for scaffolding</t>
  </si>
  <si>
    <t>Lifting by Mechanical Means for unsupported height 3.66m</t>
  </si>
  <si>
    <t>(iii)</t>
  </si>
  <si>
    <t>Lifting by Mechanical Means for unsupported height 4.27m</t>
  </si>
  <si>
    <t>Roof Slabs 125mm thick : un supported height up to 4.27 m</t>
  </si>
  <si>
    <t>Roof Slabs 150mm thick :</t>
  </si>
  <si>
    <t>un supported height up to 3.66 m Lifting by Manual</t>
  </si>
  <si>
    <t>un supported height up to 3.66 m Lifting by Mechanical means</t>
  </si>
  <si>
    <t xml:space="preserve"> FF (GL)</t>
  </si>
  <si>
    <t xml:space="preserve">Lift charges for scaffolding </t>
  </si>
  <si>
    <t>Lift charges of materials
(Winch 35HP Electric)</t>
  </si>
  <si>
    <t>un supported height up to 4.27 m Lifting by Manual</t>
  </si>
  <si>
    <t>un supported height up to 4.27 m Lifting by Mechanical means</t>
  </si>
  <si>
    <t>un supported height up to 4.88 m Lifting by Mechanical means</t>
  </si>
  <si>
    <t>Roof Slabs 175mm thick :</t>
  </si>
  <si>
    <t>Lifting by Manual means for unsupported height 4.27m</t>
  </si>
  <si>
    <t>Roof Slabs 200mm thick :</t>
  </si>
  <si>
    <t>for un supported height of 3.66 m Lifting by Manual means</t>
  </si>
  <si>
    <t>for un supported height of 4.27 m Lifting by Mechanical</t>
  </si>
  <si>
    <t>Roof Slabs 225mm thick :</t>
  </si>
  <si>
    <t>for un supported height of 4.27 m Lifting by Manual means</t>
  </si>
  <si>
    <t>un supported height up to 3.66m</t>
  </si>
  <si>
    <t>RCC SLABS :</t>
  </si>
  <si>
    <t>Labour, lift charges for scaffolding</t>
  </si>
  <si>
    <t>un supported height up to 3.66 m Lifting by Manual means</t>
  </si>
  <si>
    <t xml:space="preserve">Labour, lift charges for scaffolding </t>
  </si>
  <si>
    <t>for un supported height of 3.66 m</t>
  </si>
  <si>
    <t>Cost of RCC M 25 design mix</t>
  </si>
  <si>
    <t>Rate per 1 RM</t>
  </si>
  <si>
    <t>12mm HBG graded metal</t>
  </si>
  <si>
    <t>Screed Concrete 50 mm thick :</t>
  </si>
  <si>
    <t>4 F</t>
  </si>
  <si>
    <t>5 F</t>
  </si>
  <si>
    <t>6 F</t>
  </si>
  <si>
    <t>Ornamental borders by providing 20 mm thick raised bands of 300 mm wide  in plain cement mortor bands in CM(1:4)   360 Kg including cost and conveyence of all materials, labour charges and scaffolding s etc., curing, overheads &amp; contractors profit etc., complete for finished item of work.</t>
  </si>
  <si>
    <t>(BLD-CSTN-8-17)</t>
  </si>
  <si>
    <t>Unit : 10sqm</t>
  </si>
  <si>
    <t>Cement mortar 1:4</t>
  </si>
  <si>
    <t>B. LABOUR</t>
  </si>
  <si>
    <t>Mason 1st class</t>
  </si>
  <si>
    <t>Mazdoor (unskiled)</t>
  </si>
  <si>
    <t xml:space="preserve">Add water charges 1% </t>
  </si>
  <si>
    <t>Rate per 10 Sqm</t>
  </si>
  <si>
    <t>Cost for 10 metres long and 10 cm wide band</t>
  </si>
  <si>
    <t>Cost for 1 metres long and 10 cm wide band</t>
  </si>
  <si>
    <t>Ornamental borders by providing 20 mm thick raised bands of 230 mm wide  in plain cement mortor bands in CM(1:4)   360 Kg ,including cost and conveyence of all materials, labour charges and scaffolding s etc., curing, overheads &amp; contractors profit etc., complete for finished item of work.</t>
  </si>
  <si>
    <t>Cost for 1 metres long and 23 cm wide band</t>
  </si>
  <si>
    <t>Ornamental borders by providing 20 mm thick raised bands of 100 mm wide  in plain cement mortor bands in CM(1:4)   360 Kg ,including cost and conveyence of all materials, labour charges and scaffolding s etc., curing, overheads &amp; contractors profit etc., complete for finished item of work.</t>
  </si>
  <si>
    <t>Rm</t>
  </si>
  <si>
    <t>(BLD-CSTN-5-5)</t>
  </si>
  <si>
    <t>Common burnt clay bricks 23x11x7cms</t>
  </si>
  <si>
    <t>Cum.</t>
  </si>
  <si>
    <t>water charges @ 1%</t>
  </si>
  <si>
    <t>Hire charges for Access Scaffolding</t>
  </si>
  <si>
    <t>Labour charges for scaffolding</t>
  </si>
  <si>
    <t>cu.m.</t>
  </si>
  <si>
    <t>Up to basement</t>
  </si>
  <si>
    <t>Rate as worked out above</t>
  </si>
  <si>
    <t>Superstructure :</t>
  </si>
  <si>
    <t>(BLD-CSTN-5-12)</t>
  </si>
  <si>
    <t>Unit - 10sqm</t>
  </si>
  <si>
    <t>(BLD-CSTN-5-17)</t>
  </si>
  <si>
    <t>Unit = 1 Cum</t>
  </si>
  <si>
    <t>No of blocks required for 
1 Cum of Masonry</t>
  </si>
  <si>
    <t>B .LABOUR</t>
  </si>
  <si>
    <t>Mason 2nd class</t>
  </si>
  <si>
    <t>Man Mazdoor</t>
  </si>
  <si>
    <t>Woman Mazdoor</t>
  </si>
  <si>
    <t>Rate for Foundation , Basement , Compound wall</t>
  </si>
  <si>
    <t>Rate as above</t>
  </si>
  <si>
    <t xml:space="preserve"> (BLD-CSTN-5-12)</t>
  </si>
  <si>
    <t>Flyash lime solid blocks  TBSC-A.II-11</t>
  </si>
  <si>
    <t>Internal walls :</t>
  </si>
  <si>
    <t>Women Mazdoor</t>
  </si>
  <si>
    <t>Flyash lime solid blocks</t>
  </si>
  <si>
    <t xml:space="preserve"> (BLD-CSTN-3-11)</t>
  </si>
  <si>
    <t>(BLD-CSTN-3-16) Unit : 1cum</t>
  </si>
  <si>
    <t>Cost of M 20 design mix</t>
  </si>
  <si>
    <t>(BLD-CSTN-3-13 - A)</t>
  </si>
  <si>
    <t>Water (including for curing)</t>
  </si>
  <si>
    <t>Basic cost per 1 cum</t>
  </si>
  <si>
    <t>FF</t>
  </si>
  <si>
    <t>Basic cost per 1cum</t>
  </si>
  <si>
    <t>50mm thick platforms :</t>
  </si>
  <si>
    <t>Hire charges of centering and scaffolding (50% of roof slab)</t>
  </si>
  <si>
    <t>25mm thick shelves :</t>
  </si>
  <si>
    <t>Rate per 1sqm</t>
  </si>
  <si>
    <t>Hire charges of centering and scaffolding (25% of roof slab)</t>
  </si>
  <si>
    <t>75mm thick platforms :</t>
  </si>
  <si>
    <t>(BLD-CSTN-4.2)&amp; Amendment in SoR 2011-12 page No. 392</t>
  </si>
  <si>
    <t>Unit - 1 MT</t>
  </si>
  <si>
    <t>TMT bars including 5% for overlaps and wastage</t>
  </si>
  <si>
    <t>1st class Blacksmith / Barbender</t>
  </si>
  <si>
    <t>2nd class Blacksmith / Barbender</t>
  </si>
  <si>
    <t>Mazdoor(Unskilled)</t>
  </si>
  <si>
    <t xml:space="preserve">Lift charges ( Page 131 of Std. Data )                                               </t>
  </si>
  <si>
    <t>Rate per 1 MT</t>
  </si>
  <si>
    <t>7 F</t>
  </si>
  <si>
    <t>8 F</t>
  </si>
  <si>
    <t>9 F</t>
  </si>
  <si>
    <t>Mild steel bars including 5% for overlaps and wastage</t>
  </si>
  <si>
    <t>Labour for cutting , bending , shifting to site , tying and placing in position</t>
  </si>
  <si>
    <t xml:space="preserve">Lift charges ( Page 131 of Std. Data )                                              </t>
  </si>
  <si>
    <t>(BLD-CSTN-8-3)</t>
  </si>
  <si>
    <t>Unit : 10 sqm</t>
  </si>
  <si>
    <t>Base coat in CM(1:6) , 8mm thick</t>
  </si>
  <si>
    <t xml:space="preserve">Cement </t>
  </si>
  <si>
    <t>Fine aggregate (Sand)</t>
  </si>
  <si>
    <t>Top coat in CM(1:4) , 4mm thick</t>
  </si>
  <si>
    <t>1st Class Mason</t>
  </si>
  <si>
    <t>2nd Class Mason</t>
  </si>
  <si>
    <t>( BLD-CSTN-8-10)</t>
  </si>
  <si>
    <t>Walls in superstructure :</t>
  </si>
  <si>
    <t>for basement :</t>
  </si>
  <si>
    <t>(BLD-CSTN-8-9)</t>
  </si>
  <si>
    <t>Base coat in CM(1:6) , 16mm thick</t>
  </si>
  <si>
    <t>Top coat in CM(1:4), 4mm thick</t>
  </si>
  <si>
    <t>(BLD-CSTN-8-8)</t>
  </si>
  <si>
    <t>(BLD-CSTN-10-25)</t>
  </si>
  <si>
    <t>Integral cement waterproofing liquid</t>
  </si>
  <si>
    <t>Ltrs</t>
  </si>
  <si>
    <t>(BLD-CSTN-8-2)</t>
  </si>
  <si>
    <t>(BLD-CSTN-8-11)</t>
  </si>
  <si>
    <t>A)MATERIALS</t>
  </si>
  <si>
    <t xml:space="preserve">Rabbit wire mesh </t>
  </si>
  <si>
    <t>Cement  for base coat and plastering</t>
  </si>
  <si>
    <t>Cement  for lumps</t>
  </si>
  <si>
    <t>12mm plastering 2 coats in 1:6 &amp; 1:4 both sides</t>
  </si>
  <si>
    <t>Excluding HYSD steel/mild steel &amp; binding wire</t>
  </si>
  <si>
    <t>B) LABOUR CHARGES</t>
  </si>
  <si>
    <t>C)Machinery :</t>
  </si>
  <si>
    <t xml:space="preserve">Hire charges for Access Scaffolding     </t>
  </si>
  <si>
    <t xml:space="preserve">Labour charges for scaffolding             </t>
  </si>
  <si>
    <t xml:space="preserve">(BLD-CSTN-9-1) </t>
  </si>
  <si>
    <t>Unit = 10 sqm.</t>
  </si>
  <si>
    <t>A. MATERIALS:</t>
  </si>
  <si>
    <t>Polished shahabad stone 15 to 18mm thick</t>
  </si>
  <si>
    <t>Cement for CM (1:8) proportion for base coat</t>
  </si>
  <si>
    <t>Cement for slurry</t>
  </si>
  <si>
    <t>Cement for pointing</t>
  </si>
  <si>
    <t>Sand for CM(1:8)</t>
  </si>
  <si>
    <t>Mazdoor(un skilled)</t>
  </si>
  <si>
    <t>Rate for 10 sqm</t>
  </si>
  <si>
    <t>Rate for other floors</t>
  </si>
  <si>
    <t>Polished black Kadapa slabs minimum of  15mm thick</t>
  </si>
  <si>
    <t>(BLD-CSTN-9-6)</t>
  </si>
  <si>
    <t>Ceramic tiles 7 to 8mm thick (300mm x 300mm)</t>
  </si>
  <si>
    <t>Cement for CM(1:8) proportion for base coat</t>
  </si>
  <si>
    <t>White Cement</t>
  </si>
  <si>
    <t>Rate for 10sqm</t>
  </si>
  <si>
    <t>Cement for CM(1:8)proportion for base coat</t>
  </si>
  <si>
    <t xml:space="preserve">Providing and fixing flooring with full depth jointing and pointing to the Vitrified/ CeramicTile flooring in specified thick for tiles of any sizes with epoxy emulsion grout/ synthetic /resin adhesive in width of 3-5 mm with Nylonspacers excluding cost of tiles. </t>
  </si>
  <si>
    <t>SQM</t>
  </si>
  <si>
    <t>Ceramic tiles 7 to 8mm thick 
(400mm x 400mm)</t>
  </si>
  <si>
    <t>(BLD-CSTN-9-5)</t>
  </si>
  <si>
    <t xml:space="preserve">Vitrified tiles 8 to 10mm thick of size  600mm x 600mm </t>
  </si>
  <si>
    <t>digital / polished glazed full body
porcelain vitrified tiles with any type of design texture 9 to 11mm thick of size  900mm x 900mm  TBSCC.II-09</t>
  </si>
  <si>
    <t xml:space="preserve">Vaccum dewatering cement concrete flooring 75mm thick  using  M 25 grade design mix corresponding to IS 456 with minimum cement content of 380 kgs per 1 cum of concrete using WEIGH BATCHER / MIXER with 20mm size graded machine crushed hard granite metal (coarse aggregate - as per IS 383 - 1970 and IS 2386 Part 1 to Part 8)  from approved quarry in panels as per drawing / design, laid to proper level and slope including consolidating with power driven mechanical vibrators (both needle &amp; screed vibrators),  dewatering by vacuum process "Tremix" method, floated with neat cement and power troweled to achieve smooth finishing, including MS Shuttering, finishing, rounding of the edges, curing including cost and conveyance of all materials like cement, coarse aggregate, sand etc., to site, centering, shuttering, machine mixing, laying concrete, vibrating, curing, hire charges of all tools and plants, all other incidental and operational charges, labour charges and all taxes exceluding GST etc., complete for finished item of work but excluding cost of steel and its fabrication charges for finished item of work. </t>
  </si>
  <si>
    <t>20mm graded metal</t>
  </si>
  <si>
    <t>Needle vibrator hire charges</t>
  </si>
  <si>
    <t>Cost of design mix M 25</t>
  </si>
  <si>
    <t>Hire charges of centering</t>
  </si>
  <si>
    <t>Labour charges for centering</t>
  </si>
  <si>
    <t>Vacuum dewatering charges</t>
  </si>
  <si>
    <t>Finishing with power trovel</t>
  </si>
  <si>
    <t>Cutting 4mm x 25mm grooves</t>
  </si>
  <si>
    <t>Filling grooves with bitumen</t>
  </si>
  <si>
    <t xml:space="preserve">Supply  and fixing of Venetian blinds Vertical blinds 100 mm wide with all accessories including cost and conveynace of materials, labour charges  and overheads &amp; contractor profit etc., for complete finished item of work. </t>
  </si>
  <si>
    <t>Cost of material (Rate as per SSR                   Sl.No. 758 - P.No. 138 TBSC-R.I-10)</t>
  </si>
  <si>
    <t>Rate per 1 SQM</t>
  </si>
  <si>
    <t>Supply and fixing  of Aluminium Venetian Blinds horizontal 25.4 mm wide with all accessories. including cost and conveynace of materials, labour charges  and overheads &amp; contractor profit etc., for complete finished item of work.</t>
  </si>
  <si>
    <t>Cost of material (Rate as per SSR                   Sl.No. 756 - P.No. 138 TBSC-R.I-
08)</t>
  </si>
  <si>
    <t>A) Material requirement</t>
  </si>
  <si>
    <t>multi-wall polycarbonate sheets 6.00 mm thick TBSC-D.VI-20</t>
  </si>
  <si>
    <t>Supplying and fixing  Aluminium Universal glazing set 40mm wide  for jointing and fixing Polycarbonate sheets  including cost and conveyance of all materials, labour charges, overheads and contractors profit etc., complete for finished item of work.</t>
  </si>
  <si>
    <t>Cost of Aluminium Universal glazing set 40mm wide Rate  as per TBSC-D.VI-21</t>
  </si>
  <si>
    <t>Cost of PCC(1:5:10) 100 mm thick</t>
  </si>
  <si>
    <t>Cost of granolithic flooring</t>
  </si>
  <si>
    <t>Sq.m</t>
  </si>
  <si>
    <t>(BLD-CSTN-9-9)</t>
  </si>
  <si>
    <t>Cement for CM(1:8) for base coat</t>
  </si>
  <si>
    <t>(BLD-CSTN-9-7)</t>
  </si>
  <si>
    <t>High polished granite slabs other than black 16 to 18mm thick</t>
  </si>
  <si>
    <t>White cement for jointing</t>
  </si>
  <si>
    <t>High polished granite slabs black 16 to 18mm thick</t>
  </si>
  <si>
    <t>Machine cutting charges</t>
  </si>
  <si>
    <t>Half rounding the edges</t>
  </si>
  <si>
    <t>Rate per rmt</t>
  </si>
  <si>
    <t>(BLD-CSTN-9-13)</t>
  </si>
  <si>
    <t xml:space="preserve">6mm to 12mm HBG Metal </t>
  </si>
  <si>
    <t>Mason 2nd  class</t>
  </si>
  <si>
    <t>(BLD-CSTN-9-4)</t>
  </si>
  <si>
    <t>Chequred tiles 25mm thick  TBSC-C.VIII-04</t>
  </si>
  <si>
    <t>Cement for CM(1:6) proportion 
for base coat</t>
  </si>
  <si>
    <t>Cement for jointing &amp; pointing</t>
  </si>
  <si>
    <t xml:space="preserve">Sand for CM(1:6) proportion </t>
  </si>
  <si>
    <t>Johnson EnduraTloor tiles-lvory &amp; Terracota 10mm thick (Quotation)</t>
  </si>
  <si>
    <t>Treads of 0.30m wide :</t>
  </si>
  <si>
    <t>Cement for CM (1:5) proportion for base coat</t>
  </si>
  <si>
    <t>Cement for jointing</t>
  </si>
  <si>
    <t>Sand for CM(1:5)</t>
  </si>
  <si>
    <t>Flat nosing the edges  TBSC-T.I-14</t>
  </si>
  <si>
    <t>Risers of 0.15m height :</t>
  </si>
  <si>
    <t>(BLD-CSTN-9-23)</t>
  </si>
  <si>
    <t>Unit = 10 sqm</t>
  </si>
  <si>
    <t>Cost of shahabad stone slabs</t>
  </si>
  <si>
    <t>Sand for CM(1:5) base coat</t>
  </si>
  <si>
    <t>Cement for CM(1:5) base coat</t>
  </si>
  <si>
    <t>B.LABOUR</t>
  </si>
  <si>
    <t xml:space="preserve">Polished black Kadapa slabs minimum of 15mm thick </t>
  </si>
  <si>
    <t>Flat nosing the edges        TBSC-T.I-14</t>
  </si>
  <si>
    <t>(BLD-CSTN-9-21)</t>
  </si>
  <si>
    <t>Cost of Kadapa stone slabs</t>
  </si>
  <si>
    <t>Cement for CM(1:5) for base coat</t>
  </si>
  <si>
    <t xml:space="preserve">Machine cutting charges </t>
  </si>
  <si>
    <t xml:space="preserve">Half rounding the edges </t>
  </si>
  <si>
    <t>Cost of high polished granite</t>
  </si>
  <si>
    <t>White cement for jointing &amp; pointing TBSC-R.I-01</t>
  </si>
  <si>
    <t>Machine cutting charges    TBSC-T.I-13</t>
  </si>
  <si>
    <t>Man Mazdoor(Beldar)</t>
  </si>
  <si>
    <t>(BLD-CSTN-9-22)</t>
  </si>
  <si>
    <t>(BLD-CSTN-9-18)</t>
  </si>
  <si>
    <t>Cost of Edge cut Rectified ceramic tiles 8 mm thick</t>
  </si>
  <si>
    <t>White cement for jointing &amp; pointing</t>
  </si>
  <si>
    <t>(BLD-CSTN-9-20)</t>
  </si>
  <si>
    <t>Cost of vitrified tiles 8-10mm thick</t>
  </si>
  <si>
    <t>Cost of granite tiles 8mm thick</t>
  </si>
  <si>
    <t>(BLD-CSTN-9-19)</t>
  </si>
  <si>
    <t xml:space="preserve"> (BLD-CSTN-9-18)</t>
  </si>
  <si>
    <t>cost of glazed full body porcelain wall tiles of size 300 x 600 mm</t>
  </si>
  <si>
    <t>Cost of glazed coloured tiles    TBSC-C.VI-02</t>
  </si>
  <si>
    <t>Lift charges (Page 131 of Std. Data)</t>
  </si>
  <si>
    <t>(BLD-CSTN-3-7)</t>
  </si>
  <si>
    <t>Unit: 1 Cum</t>
  </si>
  <si>
    <t>A. Materials :-</t>
  </si>
  <si>
    <t>Cost of brick jelly 20mm size(1/3rd rate)</t>
  </si>
  <si>
    <t>(BLDS-CSTN-3-13)</t>
  </si>
  <si>
    <t>40mm HBG metal</t>
  </si>
  <si>
    <t>Lift charges</t>
  </si>
  <si>
    <t>For a flight length of 4.60 M.</t>
  </si>
  <si>
    <t>Cost of 50mm dia SS pipe (1x4.60)</t>
  </si>
  <si>
    <t>Cost of 25mm dia SS pipe (26x0.90)</t>
  </si>
  <si>
    <t>50.00mm pipe (4.60  x 2.39 Kgs/RM)</t>
  </si>
  <si>
    <t>25mm pipe (23.40x 0.89 Kgs/RM)</t>
  </si>
  <si>
    <t>Cost of stainless steel pipes   TBSC-E.III-01</t>
  </si>
  <si>
    <t>Labour charges for fabrication TBSC-T.I-20</t>
  </si>
  <si>
    <t>Drilling of 25mm dia hole(13 x 0.10)  SSR Pg 143 (ii))</t>
  </si>
  <si>
    <t xml:space="preserve">Base Plate 75mm dia. </t>
  </si>
  <si>
    <t>Add for anchor bars</t>
  </si>
  <si>
    <t>No</t>
  </si>
  <si>
    <t>Add for bonding</t>
  </si>
  <si>
    <t>say</t>
  </si>
  <si>
    <t>Supplying and fixing of stainless steel (grade 304) Wall hand railing as per approved drawing with top rail of 50mm dia pipe and 2mm thick medium class and vertical posts of  25mm dia and 1.6mm thick medium class 1 Nos for each step fixed with base plate of 75mm dia using bonding agent and anchor fastner and welding,  drilling of 20mm dia holes with pneumatic compressor for fixing railing, buffing, polishing all members of the railing  thouroughly, lacquer finishing to present seamless finish including cost and conveyance of all materials, electrodes, welding charges, cost of all consumables, labour charges, overheads &amp; contractors profit etc., complete for finished item of work. Around Courtyards &amp; Corridors.</t>
  </si>
  <si>
    <t>Cost of 25mm dia SS pipe (5x0.1)</t>
  </si>
  <si>
    <t>25mm pipe (0.50 x 0.89 Kgs/RM)</t>
  </si>
  <si>
    <t>Cost of stainless steel pipes TBSC-E.III-01</t>
  </si>
  <si>
    <t>Drilling of 20mm dia hole (5 x 0.10)</t>
  </si>
  <si>
    <t>Supplying and fixing of stainless steel (grade 304) 50mm dia pipe and 2mm thick medium class Grip bar along the Ramp flight/Staircase Flight  as per approved drawing including cost and conveyance of all materials to site, buffing charges, polishing charges, overheads &amp; contractors profit etc complete for finished item of work.</t>
  </si>
  <si>
    <t>Cost of 50mm dia stainless steel pipes (2.39 Kgs/RM)</t>
  </si>
  <si>
    <t>Labour charges for fabrication</t>
  </si>
  <si>
    <t xml:space="preserve">PVC pipe 110mm dia </t>
  </si>
  <si>
    <t>MS Clamps</t>
  </si>
  <si>
    <t>Labour charges for fixing pipes</t>
  </si>
  <si>
    <t>Rate per 6 RM</t>
  </si>
  <si>
    <t>Cost of 50mm thick jali</t>
  </si>
  <si>
    <t>Rate for 1 sqm</t>
  </si>
  <si>
    <t>(BLD-CSTN-11-5)</t>
  </si>
  <si>
    <t>White cement   TBSC-R.I-01</t>
  </si>
  <si>
    <t>kgs</t>
  </si>
  <si>
    <t>Painter 1st class</t>
  </si>
  <si>
    <t>Painter 2nd class</t>
  </si>
  <si>
    <t>Sundries including brushes, ladders etc., @ 1%</t>
  </si>
  <si>
    <t xml:space="preserve">Say </t>
  </si>
  <si>
    <t>Rate as per SSR TBSCQ.VII-11</t>
  </si>
  <si>
    <t xml:space="preserve"> (As per Amendment in SoR 2011-12)</t>
  </si>
  <si>
    <t>Unit = 10 Sqm</t>
  </si>
  <si>
    <t>Wall putty      TBSC-G.I-03</t>
  </si>
  <si>
    <t>Mazdoor</t>
  </si>
  <si>
    <t>Sundries for emery papers, fillers, knife etc., @ 1%</t>
  </si>
  <si>
    <t>Exterior Texture   TBSC-G.VI-01</t>
  </si>
  <si>
    <t>(BLD-CSTN-12-1)</t>
  </si>
  <si>
    <t>Cost of white cement</t>
  </si>
  <si>
    <t>Cost of washable oil bound distemper</t>
  </si>
  <si>
    <t>(BLD-CSTN-11-10)</t>
  </si>
  <si>
    <t>(BLD-CSTN-12-5)</t>
  </si>
  <si>
    <t xml:space="preserve">Cost of white cement for base coat </t>
  </si>
  <si>
    <t>(BLD-CSTN-12-4)</t>
  </si>
  <si>
    <t>Water proof cement paint     TBSC-G.II-04</t>
  </si>
  <si>
    <t xml:space="preserve"> (BLD-CSTN-12-2&amp; Amendment in SoR 2011-12)</t>
  </si>
  <si>
    <t>Unit 10 Sqm.</t>
  </si>
  <si>
    <t>A. Materials:-</t>
  </si>
  <si>
    <t xml:space="preserve">Cost of cement primer interior grade I  TBSC-G.I-01 </t>
  </si>
  <si>
    <t>Cost of cement primer exterior grade II  TBSC-G.I-02</t>
  </si>
  <si>
    <t>(BLD-CSTN-12-6 &amp; 12-12-195)</t>
  </si>
  <si>
    <t>Cost of Putty for wood work</t>
  </si>
  <si>
    <t>Primer Coat</t>
  </si>
  <si>
    <t>Cost of Wood Primer</t>
  </si>
  <si>
    <t>1st Class Painter</t>
  </si>
  <si>
    <t>2nd Class Painter</t>
  </si>
  <si>
    <t>2 coats of Enamel painting</t>
  </si>
  <si>
    <t>Cost of Synthetic Enamel Paint</t>
  </si>
  <si>
    <t>Sundries including brushes , ladders etc., @ 1%</t>
  </si>
  <si>
    <t>(BLD-CSTN-12-12-196)</t>
  </si>
  <si>
    <t>Cost of Synthetic Enamel Paint  TBSC-G.V-02</t>
  </si>
  <si>
    <t>(BLD-CSTN-12-7)</t>
  </si>
  <si>
    <t>Red oxide primer</t>
  </si>
  <si>
    <t>(BLD-CSTN-12-12-197)</t>
  </si>
  <si>
    <t>Cost of Synthetic Enamel Paint TBSC-G.V-02</t>
  </si>
  <si>
    <t>(BLD-CSTN-12-7 &amp; 12-12-197)</t>
  </si>
  <si>
    <t>for primer coat</t>
  </si>
  <si>
    <t>for enamel painting</t>
  </si>
  <si>
    <t>(BLD-CSTN-12-12-198)</t>
  </si>
  <si>
    <t>Cost of Synthetic Enamel Paint   TBSC-G.V-01</t>
  </si>
  <si>
    <t>(BLD-CSTN-12-15)</t>
  </si>
  <si>
    <t>A.Materials</t>
  </si>
  <si>
    <t>French polish</t>
  </si>
  <si>
    <t>cost of spirit</t>
  </si>
  <si>
    <t>B.Labour</t>
  </si>
  <si>
    <t>Sundries for terpentaine, sand paper, putty, wood filler, white woolen cloth, linseed oil, cotton etc., @ 1%</t>
  </si>
  <si>
    <t>Unit : 1 sqm</t>
  </si>
  <si>
    <t>Melamine polish</t>
  </si>
  <si>
    <t>Thinner for Poly Uretene polish</t>
  </si>
  <si>
    <t>Helper</t>
  </si>
  <si>
    <t>Sundries for spraying machine etc., @ 1%</t>
  </si>
  <si>
    <t>Poly-Urethene polish Interior grade TBSC-G.VII-02</t>
  </si>
  <si>
    <t>Thinner for Poly Uretene polish                  TBSC-G.I-14</t>
  </si>
  <si>
    <t>Rate as per SSR       TBSC-E.I-01</t>
  </si>
  <si>
    <t>Rate as per SSR  TBSC-E.I-02</t>
  </si>
  <si>
    <t>Providing specialized polysulphide sealant treatment to the expansion joints (Size : 25mm x 12mm) including cost and conveyance of all materials to site, all incidental, operational, labour charges etc.overheads &amp; contractors profit complete for finished item of work as per approved drawing for all floors duly  a]. Chipping and removing of existing covering on expansion joints b]. Cleaning of the surface from dirt, dust and other contaminations c].Application of one coat of - High performance specially designed SBR latex polymer based bonding agent d]. Providing and application of Acrylic Polymer modified instatement concrete /mortar to the damaged edges of joint and making the groove. e]. Providing and fixing of masking tape on top of the joint both sides f]. Providing and fixing of Back up support material of Backer rod to leave the depth of 12mm on the joint g]. Providing and application of one coat of polysulphide primer on inner edges of Joint. h]. Providing and application of Two part Polysulphide sealant to a width of 25mm and 12mm depth with putty knife and neat finish i]. Removing of masking tape and providing and application of two coats of Acrylic elastomeric cementitious coating.</t>
  </si>
  <si>
    <t>Rate as per SSR   TBSC-Q.VII-07</t>
  </si>
  <si>
    <t>Rate as per SSR</t>
  </si>
  <si>
    <t>Cost of aluminium sheet 24 gauge 
TBSC-R.I-23</t>
  </si>
  <si>
    <t xml:space="preserve">Add for labour charges including cost of nails, making holes to wall and in aluminium sheet  etc.   </t>
  </si>
  <si>
    <t>Rate as per SSR   TBSC-R.I-18</t>
  </si>
  <si>
    <t>Rate as per SSR   TBSC-R.I-19</t>
  </si>
  <si>
    <t xml:space="preserve">Providing and Fixing Structural Glazing fabricated from Roll formed sections made of Pre-painted Steel / Powder coated (Base steel as per IS 513 of ‘D’ quality, galvanized as per IS 277 with Zinc of 120 Gm/Sqm) with total coated thickness of 0.72mm. The glass holding section made of 304 grade stainless steel of 0.6mm thick as per the design requirement &amp; calculations as given in IS: 875. Primer coat with epoxy primer of 5 – 7 microns thick, finish painted with a polyester paint of 12-16 microns thick and back coated with Alkyd backer of 5-7 microns or powder coated with pure polyester powder up to 50-60 microns thick. The vertical section should be of 50mm x100mm x 0.72mm, 33mm x 58mm x 0.72mm for frame horizontal section, stiffener section should be 48mm x 98mm x 1mm, cover pros sections should be of 20mm x 58mm x 0.58mm, Glass holding section should be of 37mm x 37mm &amp; 37mm x 18mm. Including 5mm thick Ocean Blue reflective glass. Brackets made of CRCA powder coated/Electroplated should be used to connect </t>
  </si>
  <si>
    <t>vertical to horizontal, vertical to slab, to fix verticals at top &amp; bottom as per site requirement. Gasket made of Ethyl Propylene Diamine Monomer. Natural cure, with Good U.V. Resistance Silicon to be used. Wall fixing of sections to concrete/masonry wall should be with self-expanding cap &amp; screws. The rate is inclusive of cost and conveyance of all materials to site, all labour charges, incidental charges, cost of all consumables etc. and scaffolding charges, form work , overheads &amp; contractors profit etc., complete for finished item of work in all floors.</t>
  </si>
  <si>
    <t>Rate as per SSR  TBSC-N.II-01</t>
  </si>
  <si>
    <t>shutter. The rate is inclusive of cost and conveyance of all materials to site, all labour charges,  incidental charges, cost of all consumables etc. and scaffolding charges, form work, overheads &amp; contractor profit etc. complete for finished item of work in all floors.</t>
  </si>
  <si>
    <t>Rate as per SSR TBSC-N.II-02</t>
  </si>
  <si>
    <t>Fixed Glazing 2'-0" x 2'-0" (609.6x609.6mm) and 2'-0" x 3'-0" (609.6x914.4mm) grid outer frames section size of 46 x 52 mm</t>
  </si>
  <si>
    <t>Rate as per SSR  TBSC-N.I-01</t>
  </si>
  <si>
    <t>Fixed Glazing 3'-0" x 3'-0" (914.4x914.4mm), 3'-0" x 4'-0" (914.4x1219.2mm)   grid outer frames section size of 46 x 52 mm</t>
  </si>
  <si>
    <t>Rate as per SSR  TBSC-N.I-02</t>
  </si>
  <si>
    <t>Providing and fixing perforated wall panels channeled wood works panels/ sheets of width 192 mm, thickness of 15 mm and length 2400 mm made of a moisture resistant fibre board substrate with a laminated facing as per the approved shade/ species &amp; finish and a melamine balancing layer on the reverse side, with a special perforation pattern of helm holtz fluted perforation with consecutive 3 mm wide grooves followed by 21 mm of visible surface with edges of panel shall be tongue and groove fitting to fix special clips for installation and seamless finish, the back of the panel shall have hot pressed acoustic fleece to absorb noice/ sound absorbing to achieve NRC of 0.5 as per ASTM C423 and humidity resistance with minimum sag resistance of RH70, and a fire rating class of 2 as per Part 7 of BS 476.</t>
  </si>
  <si>
    <t>Rate as per SSR  TBSC-K.III-02</t>
  </si>
  <si>
    <t>(BLD-CSTN-10-33 &amp; vide Page No. 391 of SoR 2011-12)</t>
  </si>
  <si>
    <t>Unit 1 Sqm</t>
  </si>
  <si>
    <t>14mm Mineral Fiber sheet 600 x 600 TBSC-K.I-05</t>
  </si>
  <si>
    <t>Hotdipped GI Angle - Precoated - Grid - 19mmx19mmX0.7mm   TBSC-K.II-08</t>
  </si>
  <si>
    <t>Polyster painted GI - T section - 1200mm -  24x32mm and 24x25mm (sub-cross Tee) TBSC-K.II-09&amp;10</t>
  </si>
  <si>
    <t>Polyster painted GI-T Section - 300mm - 24mm x 27mm  TBSC-K.II-11</t>
  </si>
  <si>
    <t>GI Rod - prestraightened - 2.0mm dia -Connecting Rod TBSC-K.II-24</t>
  </si>
  <si>
    <t>6mm Nylon Rawl Plug TBSC-K.II-15</t>
  </si>
  <si>
    <t>B) Labour charges</t>
  </si>
  <si>
    <t>1st Class Carpenter</t>
  </si>
  <si>
    <t>2nd Class Carpenter</t>
  </si>
  <si>
    <t>Power Saw cutter - Hand Operated - Operator</t>
  </si>
  <si>
    <t>Power Drill - Hand Operated - Operator</t>
  </si>
  <si>
    <t xml:space="preserve">                                                                                                     </t>
  </si>
  <si>
    <t>Unskilled Mazdoor</t>
  </si>
  <si>
    <t>C) Machinery</t>
  </si>
  <si>
    <t>Power Saw cutter - Hand Operated - Hire Charges  TBSC-S.I-02</t>
  </si>
  <si>
    <t>Power Drill - Hand Operated - Hire Charges   TBSC-S.I-03</t>
  </si>
  <si>
    <t>Scaffolding charges  1%</t>
  </si>
  <si>
    <t>Basic Cost per 1 sqm</t>
  </si>
  <si>
    <t>(BLD-CSTN-10-31 &amp; vide Page No. 389 of SoR 2011-12)</t>
  </si>
  <si>
    <t>Unit - 1 Sqm</t>
  </si>
  <si>
    <t>A) Material requirement as per India Gypsum 12.5mm Gypboard</t>
  </si>
  <si>
    <t>GI Ceiling Angle - 25mm x 10mm x 0.5mm   TBSC-K.II-01</t>
  </si>
  <si>
    <t>GI Ceiling section - 51.5mm x 26mm x 10.5mm x 0.55mm thick TBSC-K.II-02</t>
  </si>
  <si>
    <t>Intermediate channel - 45mm x 15mm x 15mm x 0.9mm TBSC-K.II-03</t>
  </si>
  <si>
    <t>Connecting Clips    TBSC-K.II-14</t>
  </si>
  <si>
    <t>Rawl Plug           TBSC-K.II-15</t>
  </si>
  <si>
    <t>Soffit Cleats TBSC-K.II-17</t>
  </si>
  <si>
    <t>Drywall screws - 25mm TBSC-K.II-18</t>
  </si>
  <si>
    <t>Jointing Compound  TBSC-K.II-19</t>
  </si>
  <si>
    <t>Kgs.</t>
  </si>
  <si>
    <t>Jointing Paper tape TBSC-K.II-20</t>
  </si>
  <si>
    <t>Drywall top coat TBSC-K.II-21</t>
  </si>
  <si>
    <t>B) Labour Charges</t>
  </si>
  <si>
    <t xml:space="preserve">Power Drill - Hand Operated - Hire Charges   </t>
  </si>
  <si>
    <t>Scaffolding charges 1%</t>
  </si>
  <si>
    <t>(BLD-CSTN-10-32 &amp; vide Page No. 390 of SoR 2011-12)</t>
  </si>
  <si>
    <t>A) Material requirement as per India Gypsum</t>
  </si>
  <si>
    <t>12.5mm Gypboard Tiles</t>
  </si>
  <si>
    <t>595mm x 595mm TBSC-K.I-01</t>
  </si>
  <si>
    <t>GI Angle - Precoated - 25mm x 25mm  x0.7mm   TBSC-K.II-05</t>
  </si>
  <si>
    <t xml:space="preserve">GI pre coated - T section - 3600mm long - 24mm x 38mm x 0.7mm thick TBSC-K.II-07 </t>
  </si>
  <si>
    <t>GI Rod - 4mm dia - Connecting Rod  TBSC-K.II-23</t>
  </si>
  <si>
    <t>Universal Holding Clips TBSC-K.II-22</t>
  </si>
  <si>
    <t>Drywall Top coat   TBSC-K.II-21</t>
  </si>
  <si>
    <t>Scaffolding charges @ 1%</t>
  </si>
  <si>
    <t>Basic Cost per 1 Sqm</t>
  </si>
  <si>
    <t>14mm Mineral Fiber sheet 600 x 600  TBSC-K.I- 05</t>
  </si>
  <si>
    <t xml:space="preserve">GI Rod - prestraightened - 2.0mm dia -Connecting Rod </t>
  </si>
  <si>
    <t>Power Saw cutter - Hand Operated - Hire Charges</t>
  </si>
  <si>
    <t>(BLD-CSTN-10-34 &amp; vide Page No. 392 of SoR 2011-12)</t>
  </si>
  <si>
    <t>12mm Thermocole sheet  TBSC-K.I-24</t>
  </si>
  <si>
    <t>Aluminium angle - 24mmx 24mm  
TBSC-K.II-12</t>
  </si>
  <si>
    <t>Anodised Aluminium T section - 24mm x 24.5mm x 2.4mm TBSC-K.II-13</t>
  </si>
  <si>
    <t>GI rod-prestraightened 2.0mm dia. - Connecting rod   TBSC-K.II-24</t>
  </si>
  <si>
    <t>Rawl plugs    TBSC-K.II-15</t>
  </si>
  <si>
    <t>Cost of MS Tube  TBSC-E.I-15</t>
  </si>
  <si>
    <t>Labour charges for fabrication 
TBSC-T.I-16</t>
  </si>
  <si>
    <t>Labour charges for fixing  TBSC-T.I-17</t>
  </si>
  <si>
    <t>G.I corrugated 0.80 mm thick sheets TBSC-D.VI-04</t>
  </si>
  <si>
    <t>G.I scam bolts &amp; nuts 2 x 27 (laps) x 17 = 884    TBSC-D.VI-14</t>
  </si>
  <si>
    <t>G.I ‘J’ bolts 8 mm dia 2 x 5 x 27 sheets x 3 nos = 810 nos. with washers or srews, if wooden battens used. TBSC-D.VI-16</t>
  </si>
  <si>
    <t>Limpet washers (for scam &amp; ‘J’ bolts) 884 + 810 = 1694    TBSC-D.VI-18</t>
  </si>
  <si>
    <t>Bitumen washers  TBSC-D.VI-19</t>
  </si>
  <si>
    <t>Zinc cromate yellow paint  TBSC-G.I-06</t>
  </si>
  <si>
    <t>Ready mixed paint    TBSC-G.V-01</t>
  </si>
  <si>
    <t>For roofing</t>
  </si>
  <si>
    <t>Carpenter II class</t>
  </si>
  <si>
    <t>Man mazdoor (beldar)</t>
  </si>
  <si>
    <t>For primer painting one coat</t>
  </si>
  <si>
    <t>Mazdoor (coolie)</t>
  </si>
  <si>
    <t>For two coats of painting to over laps</t>
  </si>
  <si>
    <t>Mazdor (coolie)</t>
  </si>
  <si>
    <t>Supplying and fixing of Pre-painted Galvalume Trapezoidal Pro Roofing sheets with 0.50mm thickness, Coating: Alu-Zinc coating AZ150 GSM. Tensile Strength: 550 MPA. Paint coating: Regular Modified Polyester painting. Painting Thickness (Top): 18 to 20 Microns, (Bottom): 5 to 7 Microns. Sheet Width: 1.020, Length: Maximum 12 Meters with Regular Range Colours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overheads and contractors profit etc., complete for finished item of work in all floors.</t>
  </si>
  <si>
    <t>Galvalume sheet 0.50mm thick 
TBSC-D.VI-05</t>
  </si>
  <si>
    <t>G.I scam bolts &amp; nuts 2 x 27 (laps) x 17 = 884  TBSC-D.VI-14</t>
  </si>
  <si>
    <t>G.I ‘J’ bolts 8 mm dia 2 x 5 x 27 sheets x 3 nos = 810 nos. with washers or srews, if wooden battens used.  TBSC-D.VI-16</t>
  </si>
  <si>
    <t>Limpet washers (for scam &amp; ‘J’ bolts)   TBSC-D.VI-18</t>
  </si>
  <si>
    <t>Rate as per S.S.R. S.No.29-II</t>
  </si>
  <si>
    <t>Rate per each</t>
  </si>
  <si>
    <t>Supplying &amp; fixing 602 x 602 mm CI man hole frame and cover (light weight) 30 Kgs including cost and conveyance and labour charges for fixing, overheads and contractor profit etc., complete for finished item of work</t>
  </si>
  <si>
    <t>Rate as per SoR TBSP-B.II-10</t>
  </si>
  <si>
    <t>MS Angle 75mm x 75mm x 6mm</t>
  </si>
  <si>
    <t>Kgs/RM</t>
  </si>
  <si>
    <t>MS Flat 63 x 6mm</t>
  </si>
  <si>
    <t>25mm MS Square Rods</t>
  </si>
  <si>
    <t>CI Spokes 9" Long-2kg/each-38 Nos and 6' long  1 kg / each 76 nos</t>
  </si>
  <si>
    <t>Cost Analysis</t>
  </si>
  <si>
    <t>Cost of MS Angles</t>
  </si>
  <si>
    <t>Cost of MS Flats</t>
  </si>
  <si>
    <t>Cost of MS Square Bars</t>
  </si>
  <si>
    <t>Cost of CI spikes</t>
  </si>
  <si>
    <t>Pin clamps for fixing gate to columns</t>
  </si>
  <si>
    <t>MS Aldrop 450mm long ( Special )</t>
  </si>
  <si>
    <t>MS Tower bolts 450 mm long (Special )</t>
  </si>
  <si>
    <t>LS for brass emblem and embossed cover</t>
  </si>
  <si>
    <t>Add for  Red Oxide painting to gate</t>
  </si>
  <si>
    <t>Applying Black paint</t>
  </si>
  <si>
    <t>Labour charges for fixing</t>
  </si>
  <si>
    <t>Add cost of rollers</t>
  </si>
  <si>
    <t>LS</t>
  </si>
  <si>
    <t>Add for conveyance to work spot</t>
  </si>
  <si>
    <t>Rate for 33.75 sqm</t>
  </si>
  <si>
    <t>MS Flat 80x6mm</t>
  </si>
  <si>
    <t>25mm MS Square bars</t>
  </si>
  <si>
    <t>CI Spokes 9" Long-2kg/each-12 Nos</t>
  </si>
  <si>
    <t>CI Spokes 6" Long-1kg/each-24 Nos</t>
  </si>
  <si>
    <t>Cost of MS  Flats</t>
  </si>
  <si>
    <t>Cost of MS  square bars</t>
  </si>
  <si>
    <t xml:space="preserve">MS Aldrop 300mm long </t>
  </si>
  <si>
    <t>MS pin clamps for fixing gate</t>
  </si>
  <si>
    <t>Add for  Red Oxide painting to gate(50%)</t>
  </si>
  <si>
    <t>Applying Black paint (50%)</t>
  </si>
  <si>
    <t>Rate for 4.50 Sqm</t>
  </si>
  <si>
    <t>Rate for 1 Sqm</t>
  </si>
  <si>
    <t>for Cattle trap of size 3.74mx1.45m</t>
  </si>
  <si>
    <t>Earth work excavation</t>
  </si>
  <si>
    <t>PCC (1:5:10)</t>
  </si>
  <si>
    <t>PCC M 20 nominal mix for wall around 0.45 M</t>
  </si>
  <si>
    <t>Cost of 25mm dia MS bars</t>
  </si>
  <si>
    <t>RS joints 125mm x 75mm @ 11.90 Kgs</t>
  </si>
  <si>
    <t>Structural steel</t>
  </si>
  <si>
    <t>20mm thick plastering</t>
  </si>
  <si>
    <t>50mm dia GI pipe 'B' class</t>
  </si>
  <si>
    <t xml:space="preserve">Labour charges for making suitable arrangement for drainage etc and transportation to site </t>
  </si>
  <si>
    <t>Rate per 5.423 Sqm</t>
  </si>
  <si>
    <t>Cement concrete pavement</t>
  </si>
  <si>
    <t>Taking output = 75 cum (172.50 t)</t>
  </si>
  <si>
    <t>(100 x 3.75 x 0.200)</t>
  </si>
  <si>
    <t>A. LABOUR:</t>
  </si>
  <si>
    <t>Mate</t>
  </si>
  <si>
    <t>day</t>
  </si>
  <si>
    <t>Mason (1st Class)</t>
  </si>
  <si>
    <t>Mason (2nd class)</t>
  </si>
  <si>
    <t>Mazdoor (Skilled)</t>
  </si>
  <si>
    <t>B. MACHINERY</t>
  </si>
  <si>
    <t>Concrete mixer 0.28 / 0.4 cum capacity (6 mixers) with weigh batcher and suitable capacity calibrated water tank</t>
  </si>
  <si>
    <t>Hr.</t>
  </si>
  <si>
    <t xml:space="preserve">Needle Vibrator </t>
  </si>
  <si>
    <t>Water tanker  6 kl capacity</t>
  </si>
  <si>
    <t>C. MATERIALS:</t>
  </si>
  <si>
    <t>Crushed stone coarse aggregates, grading will be as per Clause 1501.2.4.1 (Table 1500.1) of specifications @ 0.90 cum/cum of concrete</t>
  </si>
  <si>
    <t>20 mm Graded</t>
  </si>
  <si>
    <t>Sand as per IS:383 and confirming of clause 1500.2.4.2 @ 0.45cum/cum of concrete</t>
  </si>
  <si>
    <t>Cement @ 350 KG/cum of concrete</t>
  </si>
  <si>
    <t>water including curing</t>
  </si>
  <si>
    <t>high performance expansion joint filler board conforming to IS: 1838 - 20 mm THICK (4x3.75x0.100 = 1.5 sqm) VP No. 311, Sl No. 74 of bld. SSR 2013-14</t>
  </si>
  <si>
    <t>Sub Total =</t>
  </si>
  <si>
    <t>D) Formwork @ 3% of (a+b+c)</t>
  </si>
  <si>
    <t>Cost for 75 cum= A+B+C+D+E+F</t>
  </si>
  <si>
    <t>Rate per cum= (A+B+C+D+E+F)/75</t>
  </si>
  <si>
    <t>Rate per 1Cum</t>
  </si>
  <si>
    <t>Rate as per S.S.R. S.</t>
  </si>
  <si>
    <t>Cost of MS tube  TBSC-E.I-15</t>
  </si>
  <si>
    <t>Labour charges for fabrication TBSC-T.I-18</t>
  </si>
  <si>
    <t>Labour charges for fixing TBSC-T.I-19</t>
  </si>
  <si>
    <t>Rate per KG</t>
  </si>
  <si>
    <t>Or Say KG</t>
  </si>
  <si>
    <t xml:space="preserve">Supplying, fabricating, hoisting,erecting in position structural steel works comprising of trusses, lattice girders, brackets, column, bracing, rafters and other connected works with necessary joints, channels, angles, I-section, plates, bolts and nuts, washers as showin in the detailed approved drawings including cutting, welding, hoisting and painting redoxide primer one coat before erection including cost and conveyance of all materials, labour charges for fabrication erection at site work for all heights etc., complete as directed by the Engineer-in-Charge. </t>
  </si>
  <si>
    <t>Cost of Structural steel</t>
  </si>
  <si>
    <t>Labour charges for fabrication TBSC-T.I-16</t>
  </si>
  <si>
    <t>Labour charges for fixing TBSC-T.I-17</t>
  </si>
  <si>
    <t>Supplying and Fixing M.S. Chequered Plates of 10mm thickness with MS angles of approved sizes for cable trenches wherever required, at all levels, etc, complete, as per standard specifications / approved detailed drawings and as directed by engineer-in-charge including painting with synthetic enamel paint two coats over a primary coat of red oxide including cost and conveynace of all materials &amp;  labour charges overheads and contractor profit etc., complete for finished item of work</t>
  </si>
  <si>
    <t>Cost of Chequered plate</t>
  </si>
  <si>
    <t>RBR-SBBS-12</t>
  </si>
  <si>
    <t>Taking output : 300 cum</t>
  </si>
  <si>
    <t>Mazdoor skilled</t>
  </si>
  <si>
    <t>Mazdoor unskilled</t>
  </si>
  <si>
    <t>hr</t>
  </si>
  <si>
    <t>c) Material</t>
  </si>
  <si>
    <t xml:space="preserve">Coarse graded Granular sub base material as per Table 400-2 of MORT &amp;H  9.5mm to4.75mm @ 66%         (Av rate of 9.5-11.2mm , 5-7mm &amp; 2.36-5mm) </t>
  </si>
  <si>
    <t>Coarse graded Granular sub-base Material 9.5 mm to 4.75 MM @ 66%</t>
  </si>
  <si>
    <t>Coarse graded Granular sub-base Material 2.36 mm @ 34
&amp; below</t>
  </si>
  <si>
    <t>Basic rate per 1cum GSB</t>
  </si>
  <si>
    <t xml:space="preserve">Rate per 1 cum  </t>
  </si>
  <si>
    <t>Page 95 of MoRT&amp;H SDB</t>
  </si>
  <si>
    <t>Unit = cum</t>
  </si>
  <si>
    <t xml:space="preserve">Taking output = 300 cum </t>
  </si>
  <si>
    <t>A) Labour</t>
  </si>
  <si>
    <t xml:space="preserve">Mazdoor </t>
  </si>
  <si>
    <t>B) Machinery</t>
  </si>
  <si>
    <t>Motor grader 3.35M Blade @50 cum/Hr</t>
  </si>
  <si>
    <t>Vibratory roller 8 - 10 tonne</t>
  </si>
  <si>
    <t>Water tanker 6 KL capacity</t>
  </si>
  <si>
    <t>C)Material</t>
  </si>
  <si>
    <t>Coarse graded Granular sub-base material as per Table 400-1 of MORT&amp;H</t>
  </si>
  <si>
    <t>45mm-9.50 IRC &amp; MORT&amp;H HBG/HBG Chips @ 35%</t>
  </si>
  <si>
    <t>(Av. Of 40-45, 25-27, 19-22mm, 12-14mm, 9.5-11.2mm )</t>
  </si>
  <si>
    <t>9.5mm to 4.75mm @ 25% 
(Av. rate of 9.5-11.2mm , 5-7mm &amp; 2.36 - 5mm HBG M/C metal)</t>
  </si>
  <si>
    <t>2.36mm and below @40%
(Rate of 2.36mm &amp; below HBG metal)</t>
  </si>
  <si>
    <t>(E) Total of (A) + (B)+( C)+(D)</t>
  </si>
  <si>
    <t>Cost per 300 cum (E) + (F)</t>
  </si>
  <si>
    <t>Plain Cement Concrete M 20 design mix using WEIGH BATCHER / MIXER, 20mm size hard granite machine crushed graded metal (coarse aggregate - as per IS 383 - 1970 and IS 2386 Part 1 to Part 8) from approved quarry, using a minimum quantity of 350 kgs. of cement per 1 cum of concrete including cost and conveyance of  all materials  like cement,  fine aggregate (Sand), coarse aggregate, water etc., to site  including steel centering, shuttering, machine mixing,  lift charges, laying concrete,vibrating, curing, overheads &amp; contrctors profit etc., complete  for finished item of work (APSS No. 402 &amp; 403) for Kerb stone.</t>
  </si>
  <si>
    <t>(BLD-CSTN-3-11)</t>
  </si>
  <si>
    <t>Overheads&amp;Contractors Profit @13.615%</t>
  </si>
  <si>
    <t>Providing, Laying, Spreading and compacting graded HBG/HBG crushed stone aggregate to Wet Mix macadem specification including cost of all materials and including premixing the material with water at OMC in Mechanical mix plant carriage of mixed material by tipper to site , laying in uniform layers with paver in   base courses on well prepared surface and compacting with Vibratory roller to acheive the desired density etc., as directed by the Engineer-in-Charge and as per MoRT&amp;H specification.406 (5th revision) for finished item of work. (Payment based on levels for finished item of work)</t>
  </si>
  <si>
    <t>Page 110,111 of MoRT&amp;H SDB</t>
  </si>
  <si>
    <t xml:space="preserve">Taking output = 225 cum </t>
  </si>
  <si>
    <t>Wet mix plant of 60 tonne hr. capacity</t>
  </si>
  <si>
    <t xml:space="preserve">Front end loader 1 cum capacity </t>
  </si>
  <si>
    <t>Mechanical Paver finisher</t>
  </si>
  <si>
    <t>45 to 22.40mm IRC&amp;MoRT&amp;H HBG M/C metal@ 30%</t>
  </si>
  <si>
    <t>(Av. Of 40-45, 25-27, 19-22mm )</t>
  </si>
  <si>
    <t>22.4 to 2.36mm IRC&amp;MoRT&amp;H HBG M/C metal@40%</t>
  </si>
  <si>
    <t>(Av. Of 19-22mm, 12-14mm, 9.5-11.2mm, 5-7mm,  2.36  - 5mm )</t>
  </si>
  <si>
    <t>2.36mm to 75 micron @ 30% (2.36mm &amp; below)</t>
  </si>
  <si>
    <t>D)Over head charges @</t>
  </si>
  <si>
    <t>Add for Over head charges on (A)+(B)+( C)</t>
  </si>
  <si>
    <t>(F) Add Contractors Profit at 10% on (E)</t>
  </si>
  <si>
    <t>Cost per 225 cum (E) + (F)</t>
  </si>
  <si>
    <t>RBR-CCPV-5</t>
  </si>
  <si>
    <t>Construction of  un-reinforced, dowel jointed at expansion and construction joint only, plain cement concrete pavement, thickness as per design, over a prepared sub base, with 43 grade cement or any other type as per Clause 1501.2.2 M30 (Grade), coarse and fine aggregates conforming to IS : 383, maximum in a concrete mixer of not less than 0.2 cum capacity and appropeiate weigh batcher using approved mix design, laid in approved fixed side formwork (steel channel, laying and fixing of 125 mictron thick polythene film, wedges, steel plates including levelling the formwork as per drawing), spreading the concrete with sholvels, rakes, compacted using needle, scareed and plate vibrators and finished in continuous operation including provision of contraction and expansion, construction joints, applying debonding strips, primer, sealant, dowel bars, near approaches to bridge / culvert and construction joints, admixtures as approved, curing of concrete slabs for 14- days, curing compound (where specified) and water finishing to lines and grade as per drawing  and Technical Specification Clause 1501 MORD.</t>
  </si>
  <si>
    <t>Mason  1st Class</t>
  </si>
  <si>
    <t xml:space="preserve">Surveyor  </t>
  </si>
  <si>
    <t>Mazdoor ( semi skilled)</t>
  </si>
  <si>
    <t>Blacksmith for cutting of dowel bars including removal of burrs, fabrications &amp; fixing of dowel bars.</t>
  </si>
  <si>
    <t>crew charges</t>
  </si>
  <si>
    <t xml:space="preserve">Needle vibrator hire charges </t>
  </si>
  <si>
    <t>Screed vibrator  hire charges (Sl.No.47 of I&amp;CAD Hire charges)</t>
  </si>
  <si>
    <t>Plate vibrator (Sl.No.45 0f Hire charges)</t>
  </si>
  <si>
    <t>Concrete joint cutting machine for initial &amp; final cuts- hire charges  (Sl.No.33 of Hire charges)</t>
  </si>
  <si>
    <t>Water tanker  6 kl capacity)</t>
  </si>
  <si>
    <t xml:space="preserve">Air Compressor </t>
  </si>
  <si>
    <t>Sand as per IS:383 and conforming to Clause 1500.2.4.2 @ 0.45 cum/cum of concrete</t>
  </si>
  <si>
    <t xml:space="preserve">Cement  </t>
  </si>
  <si>
    <t>t</t>
  </si>
  <si>
    <t xml:space="preserve"> Polythene sheet 125 micron</t>
  </si>
  <si>
    <t>Mild steel dowel bar 25 mm dia of grade S 240. 500 mm long 20 Nos. at culvert/bridge slab and at construction joint including 5 per cent wastage.</t>
  </si>
  <si>
    <t>(4 x 20 x 0.500) + 5 per cent wastage = 42 m @ 2.80 kg per m = 117.6 kg.</t>
  </si>
  <si>
    <t>Bituminous sealant 800 ml per joint for 23 joints  TBSC-Q.VI-15</t>
  </si>
  <si>
    <t>litre</t>
  </si>
  <si>
    <t>Jute rope 12 mm dia including 5 per cent wastage</t>
  </si>
  <si>
    <t>m</t>
  </si>
  <si>
    <t>Polythene sheathing, covering 2/3rd dowel bars (20x23) and tight fit including 5 per cent wastage</t>
  </si>
  <si>
    <t>Plasticizer 0.5 per cent by weight of cement(TBSC-Q.I-01)</t>
  </si>
  <si>
    <t>Water for curing</t>
  </si>
  <si>
    <t>Joint filler board 20 mm thick as per IS:1838 TBSC-Q.VIII-02</t>
  </si>
  <si>
    <t xml:space="preserve">Total </t>
  </si>
  <si>
    <t>d) Formwork @ 3% of (a+b+c)</t>
  </si>
  <si>
    <t>Cost for 75  cum = a+b+c+d+e+f</t>
  </si>
  <si>
    <t>Rate per 1 cum = (a+b+c+d+e+f)/75</t>
  </si>
  <si>
    <t xml:space="preserve">Cutting of holes for beams, slabs and walls for plumbing lines including cost and conveyance of all materials to site, labour charges, overheads &amp; contractors profit complete for finished item of work at all floor levels. (APSS No. 1302  1319 &amp; 1326) </t>
  </si>
  <si>
    <t>As per approved quotation</t>
  </si>
  <si>
    <t>Rate per 1 each</t>
  </si>
  <si>
    <t>Supply and fixing of wire mesh(chiken mesh) at joint of RCC and brick work(internal and external walls) area with nails overheads &amp; contractors profit etc.,  complete</t>
  </si>
  <si>
    <t>Rabbit wire mesh (chicken mesh) of not less than 30 gauge -TBSC-E.I-12</t>
  </si>
  <si>
    <t>Labour charges for fixing of chiken mesh(as per quotation)</t>
  </si>
  <si>
    <t>Unit : 1RM</t>
  </si>
  <si>
    <t>Drilling holes  as per item Sl No.143, item No. 7 b II) (R&amp;B)</t>
  </si>
  <si>
    <t>Drilling holes  as per item Sl No.146, item No. 8 II) (R&amp;B)</t>
  </si>
  <si>
    <t>Clearing Juliflora (Prosafis) jungle including up-rooting and removing of Juliflora stumps including all labour charges.</t>
  </si>
  <si>
    <t>Basic rate as per item No.112.d</t>
  </si>
  <si>
    <t xml:space="preserve">Providing and fixing of PVC water stopper bars(230mm width x 10mm thick) for buildings, beams and slabs  including cost and conveyance of all materials to site, all incidental, operational, labour charges etc.overheads &amp; contractors profit complete for finished item of work as per approved drawing for all floors </t>
  </si>
  <si>
    <t>Rate as per quote</t>
  </si>
  <si>
    <t>Rate approved</t>
  </si>
  <si>
    <t>wall putty</t>
  </si>
  <si>
    <t>primer coat</t>
  </si>
  <si>
    <t xml:space="preserve">Cost of cement primer interior grade I </t>
  </si>
  <si>
    <t>poly-urethane paint 2 coats</t>
  </si>
  <si>
    <t>Cost of poly-urethane Paint</t>
  </si>
  <si>
    <t>Total (a+b+c)</t>
  </si>
  <si>
    <t>For a flight length of 10.0 M.</t>
  </si>
  <si>
    <t>Cost of 50mm dia SS pipe (1x10)</t>
  </si>
  <si>
    <t>Cost of 25mm dia SS pipe (9x0.3)</t>
  </si>
  <si>
    <t>50.00mm pipe (10  x 2.39 Kgs/RM)</t>
  </si>
  <si>
    <t>25mm pipe (2.7x 0.89 Kgs/RM)</t>
  </si>
  <si>
    <t xml:space="preserve">Drilling of 25mm dia hole(9 x 0.10) </t>
  </si>
  <si>
    <t>Worked out as per RBR-TSRA-16 (iv)</t>
  </si>
  <si>
    <t>Unit = Running metre</t>
  </si>
  <si>
    <t>Taking output = 30 m</t>
  </si>
  <si>
    <t>a)     Labour</t>
  </si>
  <si>
    <t>Welder</t>
  </si>
  <si>
    <t>b) Material</t>
  </si>
  <si>
    <t>MS angle iron 60 mm x 40 mm x 5 mm, 11nos x (3.0+0.15+0.60)m = 39.60 metres in length @ 4.4 kg per metre</t>
  </si>
  <si>
    <t>ii) 3 nos of Unequal angles 45 x 30 x 5 mm @ 2.8kg/m</t>
  </si>
  <si>
    <t>iii)Hot dipped Galvanised Iron Chain link mesh 8 gauge - (4.0 mm) as per IS: 2721-1979: 2"x2" (50 mm x 50 mm) - 8 Gauge</t>
  </si>
  <si>
    <t>Add 2.5 per cent  of cost of material for drilling holes in angles,  flats,  splitting angle at bottom,  nuts and bolts and welded consumables</t>
  </si>
  <si>
    <t>d) Painting</t>
  </si>
  <si>
    <t>Synthetic enamel Painting two coats over priming coat on exposed surface of angle iron posts</t>
  </si>
  <si>
    <t>e&amp;f) Overheads &amp; Contractors Profit</t>
  </si>
  <si>
    <t>Cost for 30 metre = a+b+c+d+e+f</t>
  </si>
  <si>
    <t xml:space="preserve">Rate per metre = (a+b+c+d+e+f)/30 </t>
  </si>
  <si>
    <t>Rate per 1 RMT</t>
  </si>
  <si>
    <t>rate per Sqm</t>
  </si>
  <si>
    <t>Taking output : 100 cum</t>
  </si>
  <si>
    <t>Dozer D80</t>
  </si>
  <si>
    <t>Motor grader</t>
  </si>
  <si>
    <t>Water tanker</t>
  </si>
  <si>
    <t>Vibratory Roller</t>
  </si>
  <si>
    <t>C) Material</t>
  </si>
  <si>
    <t>Cost of water</t>
  </si>
  <si>
    <t>kL</t>
  </si>
  <si>
    <t>Cost for 100 cum ( a+b+c+d)</t>
  </si>
  <si>
    <t>Rate per cum (a+b+c+d) / 100</t>
  </si>
  <si>
    <t>Rate per 1cum</t>
  </si>
  <si>
    <t>Hydraulic Excavator 1 cum bucket capacity @ 60 cum per hour</t>
  </si>
  <si>
    <t>Tipper 10 tonne capacity 
(5 km Lead considered)</t>
  </si>
  <si>
    <t>160 x L</t>
  </si>
  <si>
    <t>t.kM</t>
  </si>
  <si>
    <t>Dozer D50</t>
  </si>
  <si>
    <t>Compensation for earth taken from Private land</t>
  </si>
  <si>
    <t>JOINERY DATA</t>
  </si>
  <si>
    <t>Labour charges for wrought and put up (BLD-CSTN-13-1)</t>
  </si>
  <si>
    <t>1st class carpenter</t>
  </si>
  <si>
    <t>2nd class carpenter</t>
  </si>
  <si>
    <t>Labour charges per 1 cum</t>
  </si>
  <si>
    <t>Labour charges for aluminium doors ( S.No.11 of Page No. 396 of SoR 2011-12 )</t>
  </si>
  <si>
    <t>Power Saw Cutter -Hand Operated -Operator</t>
  </si>
  <si>
    <t>Power Drill -Hand Operated -Operator</t>
  </si>
  <si>
    <t>Non-technical work inspector</t>
  </si>
  <si>
    <t>Machinery</t>
  </si>
  <si>
    <t xml:space="preserve">Power Saw Cutter -Hand Operated -Hire charges </t>
  </si>
  <si>
    <t>Hrs</t>
  </si>
  <si>
    <t>Power Drill -Hand Operated -Hire charges</t>
  </si>
  <si>
    <t>Power charges for Motors 1%</t>
  </si>
  <si>
    <t>Labour charges per 1 sqm</t>
  </si>
  <si>
    <t>Labour charges for aluminium sliding windows ( S.No.10 of Page No. 395 of SoR 2011-12 )</t>
  </si>
  <si>
    <t>C.Machinery</t>
  </si>
  <si>
    <t xml:space="preserve">Power Drill -Hand Operated -Hire charges </t>
  </si>
  <si>
    <t>Labour charges for aluminium partitions partly glazed ( S.No.8 of Page No. 394 of SoR 2011-12 )</t>
  </si>
  <si>
    <t>Labour charges for aluminium casement windows ( S.No.9 of Page No. 394 of SoR 2011-12 )</t>
  </si>
  <si>
    <t>for grill of size 535mm x 435mm</t>
  </si>
  <si>
    <t>MS flats: 4(0.535+0.435)+4x0.1+2x0.38</t>
  </si>
  <si>
    <t>1 Kg/Rm</t>
  </si>
  <si>
    <t>Cost of MS flats</t>
  </si>
  <si>
    <t>Labour charges for fabrication              TBSC-T.I-16</t>
  </si>
  <si>
    <t>labour charges for fixing in position    TBSC-T.I-17</t>
  </si>
  <si>
    <t>Rate per 0.2327 Sqm</t>
  </si>
  <si>
    <t>Quantity analysis</t>
  </si>
  <si>
    <t xml:space="preserve">Size :  </t>
  </si>
  <si>
    <t>3.00m x 2.60m  =</t>
  </si>
  <si>
    <t>2x3.00 + 2x2.60+2x2.10</t>
  </si>
  <si>
    <t>= 15.40 RM x 0.15 x 0.10=</t>
  </si>
  <si>
    <t>Best teak wood frame up to 2m long for outer frame</t>
  </si>
  <si>
    <t>3x0.50+4x0.60</t>
  </si>
  <si>
    <t>= 3.90 RM x 0.15 x 0.10  =</t>
  </si>
  <si>
    <t>Shutter styles</t>
  </si>
  <si>
    <t>2 x 2 x 2.00</t>
  </si>
  <si>
    <t>= 8.00 RM x 0.12 x 0.035  =</t>
  </si>
  <si>
    <t>Top and middle rail</t>
  </si>
  <si>
    <t>2 x 2 x 0.80</t>
  </si>
  <si>
    <t>= 3.20 RM x 0.12 x 0.035  =</t>
  </si>
  <si>
    <t>Bottom rail</t>
  </si>
  <si>
    <t xml:space="preserve">2 x 0.80 </t>
  </si>
  <si>
    <t>= 1.60 RM x 0.15 x 0.035  =</t>
  </si>
  <si>
    <t>12 mm thick tinted glass fan light portion</t>
  </si>
  <si>
    <t>2x0.5x0.4+2x0.75x0.4  =</t>
  </si>
  <si>
    <t>12 mm thick tinted glass side fixed panels</t>
  </si>
  <si>
    <t>2x0.5x1.1+2x0.5x0.7   =</t>
  </si>
  <si>
    <t>12 mm thick plain float glass</t>
  </si>
  <si>
    <t>2x0.56x1.61                   =</t>
  </si>
  <si>
    <t>Teak wood beading</t>
  </si>
  <si>
    <t>Fan light portion</t>
  </si>
  <si>
    <t>2x2(0.50+0.40)+2x2(0.75+0.40)=</t>
  </si>
  <si>
    <t>Side fixed panels</t>
  </si>
  <si>
    <t>2x2(0.50+1.1)+2x2x(0.5+0.7) =</t>
  </si>
  <si>
    <t>Shutter portion</t>
  </si>
  <si>
    <t>2x2(0.56+1.61)  =</t>
  </si>
  <si>
    <t>Cost analysis</t>
  </si>
  <si>
    <t xml:space="preserve">Cost of best TW frame  2 m to 3m length </t>
  </si>
  <si>
    <t xml:space="preserve">Cost of best TW frame up to 2 m length </t>
  </si>
  <si>
    <t>Cost of 12mm thick tinted glass            TBSC-F.III-06</t>
  </si>
  <si>
    <t>Cost of 12mm thick plain float glass      TBSC-F.I-06</t>
  </si>
  <si>
    <t>Cost of teak wood beading                              ( Non SSR)</t>
  </si>
  <si>
    <t>Cost of 250mm long brass butt hinges    ( Non SSR)</t>
  </si>
  <si>
    <t>Cost of 450mm long brass fancy handles TBSC-P.III-11</t>
  </si>
  <si>
    <t>Cost of 450mm long brass heavy duty aldrop TBSC-P.IV-03</t>
  </si>
  <si>
    <t>Cost of 200mm long brass tower bolts         TBSC-P.I-03</t>
  </si>
  <si>
    <t>Cost of brass door stoppers                   TBSC-P.IX-01</t>
  </si>
  <si>
    <t>Cost of Z hold fasts                       TBSC-P.IX-08</t>
  </si>
  <si>
    <t>Labour charges for fixing glass              TBSC-T.I-26</t>
  </si>
  <si>
    <t>Labour charges for glass designing work( Etching work) 
TBSC-T.I-22</t>
  </si>
  <si>
    <t>Add for screws and nails</t>
  </si>
  <si>
    <t>Rate for 7.80 Sqm</t>
  </si>
  <si>
    <t>(BLD-CSTN-13-16)</t>
  </si>
  <si>
    <t>Size :</t>
  </si>
  <si>
    <t>2.00m x 2.60 m</t>
  </si>
  <si>
    <t>Outer frame  -  Vertical</t>
  </si>
  <si>
    <t xml:space="preserve">2 x 2.61 </t>
  </si>
  <si>
    <t xml:space="preserve">= 5.22 x 0.10 x 0.065  = </t>
  </si>
  <si>
    <t>Outer frame  -  Horizontal</t>
  </si>
  <si>
    <t>2 x 2.00 + 0.50</t>
  </si>
  <si>
    <t xml:space="preserve">= 4.50 x 0.10 x 0.065 </t>
  </si>
  <si>
    <t xml:space="preserve">4 mm thick pin headed glass </t>
  </si>
  <si>
    <t>2 x 1.00 x 0.50</t>
  </si>
  <si>
    <t xml:space="preserve">Teak wood beading </t>
  </si>
  <si>
    <t xml:space="preserve"> 2 x 2 (1.00+0.50)</t>
  </si>
  <si>
    <t>35 mm thick flush shutter</t>
  </si>
  <si>
    <t>2 x 0.95 x 2.05</t>
  </si>
  <si>
    <t>10 mm MS square bars</t>
  </si>
  <si>
    <t>2 x 2.00 x 0.785</t>
  </si>
  <si>
    <t>Cost of 4 mm thick pin headed glass    TBSC-F.II-01</t>
  </si>
  <si>
    <t>Cost of TW beading                                   ( Non SSR)</t>
  </si>
  <si>
    <t>Cost of 35 mm thick flush shutter         TBSC-L.II-06</t>
  </si>
  <si>
    <t>Cost of MS Z hold fasts                           TBSC-P.IX-08</t>
  </si>
  <si>
    <t>Cost of brass tower bolt 200mm long    TBSC-P.I-03</t>
  </si>
  <si>
    <t>Cost of brass tower bolt 150mm long  TBSC-P.I-02</t>
  </si>
  <si>
    <t>Cost of brass Butt hinges 150mm long TBSC-P.II-04</t>
  </si>
  <si>
    <t>Cost of brass aldrop 300mm long         TBSC-P.IV-01</t>
  </si>
  <si>
    <t>Cost of brass  fancy handle 150mm long TBSC-P.III-07</t>
  </si>
  <si>
    <t>Cost of brass door stopper                    TBSC-P.IX-01</t>
  </si>
  <si>
    <t>Cost of rubber bush                                 TBSC-P.IX-04</t>
  </si>
  <si>
    <t>Cost of 10mm MS square bars</t>
  </si>
  <si>
    <t>Labour charges for frame work</t>
  </si>
  <si>
    <t>Labour charges for fixing flush door shutter to the frame, fixing the fixtures to the shutter   TBSC-T.I-25</t>
  </si>
  <si>
    <t>Labour charges for fixing glass    TBSC-T.I-26</t>
  </si>
  <si>
    <t xml:space="preserve">Add for nails &amp; screws etc. </t>
  </si>
  <si>
    <t>Rate for 5.20 sqm</t>
  </si>
  <si>
    <t xml:space="preserve"> =5.22*0.1*0.065</t>
  </si>
  <si>
    <t>= 4.50 x 0.10 x 0.065   =</t>
  </si>
  <si>
    <t>2 x 1.00 x 0.5  =</t>
  </si>
  <si>
    <t xml:space="preserve"> 2 x 2 (1.00+0.50)   =</t>
  </si>
  <si>
    <t>2 x 0.95 x 2.05   =</t>
  </si>
  <si>
    <t>2 x 2.00 x 0.785   =</t>
  </si>
  <si>
    <t>1.80m x 2.60m</t>
  </si>
  <si>
    <t xml:space="preserve">= 5.22 x 0.10 x 0.065 </t>
  </si>
  <si>
    <t>2 x 1.80 + 0.50</t>
  </si>
  <si>
    <t xml:space="preserve">= 4.10 x 0.10 x 0.065 </t>
  </si>
  <si>
    <t>2x0.9 x 0.50</t>
  </si>
  <si>
    <t xml:space="preserve"> 2 x 2 (0.90+0.50)</t>
  </si>
  <si>
    <t>30 mm thick flush shutter</t>
  </si>
  <si>
    <t>2 x 0.85 x 2.05</t>
  </si>
  <si>
    <t>2 x 1.80 x 0.785</t>
  </si>
  <si>
    <t>Cost of medium TW frame  2 m to 3m length</t>
  </si>
  <si>
    <t>Cost of medium TW frame up to 2 m length</t>
  </si>
  <si>
    <t>rm</t>
  </si>
  <si>
    <t>Cost of 30 mm thick flush shutter            TBSC-L.II-05</t>
  </si>
  <si>
    <t>Cost of Z hold fasts                                     TBSC-P.IX-08</t>
  </si>
  <si>
    <t>Cost of Alumimium tower bolt 200mm long TBSC-P.I-09</t>
  </si>
  <si>
    <t>Cost of Alumimium butt hinges 150mm long 
TBSC-P.II-08</t>
  </si>
  <si>
    <t>Cost of Alumimium aldrop 300mm long    TBSC-P.IV-06</t>
  </si>
  <si>
    <t>Cost of Alumimium handle 150mm long    TBSC-P.III-04</t>
  </si>
  <si>
    <t>Cost of Alumimium door stopper                TBSC-P.IX-03</t>
  </si>
  <si>
    <t>Cost of rubber bush                                        TBSC-P.IX-04</t>
  </si>
  <si>
    <t>Rate for 4.68 sqm</t>
  </si>
  <si>
    <t>1.50m x 2.60m</t>
  </si>
  <si>
    <t>= 5.22 x 0.10 x 0.065   =</t>
  </si>
  <si>
    <t>2 x 1.50 + 0.50</t>
  </si>
  <si>
    <t xml:space="preserve">= 3.50 x 0.10 x 0.065   = </t>
  </si>
  <si>
    <t>2 x 0.75 x 0.5    =</t>
  </si>
  <si>
    <t xml:space="preserve"> 2 x 2 (0.75+ 0.50)  =</t>
  </si>
  <si>
    <t>2 x 0.70 x 2.05    =</t>
  </si>
  <si>
    <t>2 x 1.50 x 0.785  =</t>
  </si>
  <si>
    <t xml:space="preserve">Cost of medium TW frame  2 m to 3m length </t>
  </si>
  <si>
    <t>Cost of TW beading (Non SSR)</t>
  </si>
  <si>
    <t>Cost of 30 mm thick flush shutter TBSC-L.II-05</t>
  </si>
  <si>
    <t>Cost of Z hold fasts TBSC-P.IX-08</t>
  </si>
  <si>
    <t>Labour charges for fixing glass  TBSC-T.I-26</t>
  </si>
  <si>
    <t>Rate for 3.90 sqm</t>
  </si>
  <si>
    <t>1.50m x 2.40m</t>
  </si>
  <si>
    <t xml:space="preserve">2 x 2.41 </t>
  </si>
  <si>
    <t>= 4.82 x 0.10 x 0.065   =</t>
  </si>
  <si>
    <t>2 x 1.50 + 0.3</t>
  </si>
  <si>
    <t>= 3.50 x 0.10 x 0.065     =</t>
  </si>
  <si>
    <t>2 x 0.75 x 0.30    =</t>
  </si>
  <si>
    <t xml:space="preserve"> 2 x 2 (0.75+0.3)    =</t>
  </si>
  <si>
    <t>2 x 0.70 x 2.05       =</t>
  </si>
  <si>
    <t>2 x 1.50 x 0.785    =</t>
  </si>
  <si>
    <t>1.20m x 2.60m</t>
  </si>
  <si>
    <t>2 x 1.20 + 0.50</t>
  </si>
  <si>
    <t>= 2.90 x 0.10 x 0.065   =</t>
  </si>
  <si>
    <t>2x0.6 x 0.5  =</t>
  </si>
  <si>
    <t>2 x 2 (0.6 + 0.50)   =</t>
  </si>
  <si>
    <t>2 x 0.55 x 2.05   =</t>
  </si>
  <si>
    <t>2 x 1.20 x 0.785   =</t>
  </si>
  <si>
    <t>Labour charges for fixing flush door shutter to the frame ,  fixing the fixtures to the shutter TBSC-T.I-25</t>
  </si>
  <si>
    <t>Rate for 3.12 sqm</t>
  </si>
  <si>
    <t>1.00m x 2.60m</t>
  </si>
  <si>
    <t>2 x 1.00</t>
  </si>
  <si>
    <t xml:space="preserve">= 2.00 x 0.10 x 0.065 </t>
  </si>
  <si>
    <t>1.00 x 0.50</t>
  </si>
  <si>
    <t xml:space="preserve"> 2 x (1+ 0.50)</t>
  </si>
  <si>
    <t>1 x 0.90 x 2.05</t>
  </si>
  <si>
    <t>2 x 1.00 x 0.785</t>
  </si>
  <si>
    <t>Rate for 2.60 sqm</t>
  </si>
  <si>
    <t>0.90m x 2.60m</t>
  </si>
  <si>
    <t>2 x 0.90</t>
  </si>
  <si>
    <t>= 1.80 x 0.10 x 0.065  =</t>
  </si>
  <si>
    <t>0.90 x 0.50  =</t>
  </si>
  <si>
    <t xml:space="preserve"> 2 x (0.90+0.50)  =</t>
  </si>
  <si>
    <t>1 x 0.80 x 2.05  =</t>
  </si>
  <si>
    <t>2 x 0.90 x 0.785  =</t>
  </si>
  <si>
    <t>Rate for 2.34 sqm</t>
  </si>
  <si>
    <t xml:space="preserve"> (BLD-CSTN-13-16)</t>
  </si>
  <si>
    <t>2.00m x 2.10m</t>
  </si>
  <si>
    <t xml:space="preserve">2 x 2.11 </t>
  </si>
  <si>
    <t>= 4.22 x 0.10 x 0.065 =</t>
  </si>
  <si>
    <t>1 x 2.00</t>
  </si>
  <si>
    <t>= 2.00 x 0.10 x 0.065 =</t>
  </si>
  <si>
    <t>2 x 0.95 x 2.05=</t>
  </si>
  <si>
    <t>Labour charges for fixing flush door shutter to the frame ,  fixing the fixtures to the shutter       TBSC-T.I-25</t>
  </si>
  <si>
    <t>Rate for 4.20 sqm</t>
  </si>
  <si>
    <t>1.80m x 2.10m</t>
  </si>
  <si>
    <t>1 x 1.80</t>
  </si>
  <si>
    <t xml:space="preserve">= 1.80 x 0.10 x 0.065= </t>
  </si>
  <si>
    <t>2 x 0.85 x 2.05 =</t>
  </si>
  <si>
    <t>Rate for 3.78 sqm</t>
  </si>
  <si>
    <t>1.50m x 2.10m</t>
  </si>
  <si>
    <t xml:space="preserve">= 4.22 x 0.10 x 0.065 </t>
  </si>
  <si>
    <t>1 x 1.50</t>
  </si>
  <si>
    <t xml:space="preserve">= 1.50 x 0.10 x 0.065 </t>
  </si>
  <si>
    <t>2 x 0.70 x 2.05</t>
  </si>
  <si>
    <t>Rate for 3.15 sqm</t>
  </si>
  <si>
    <t>1.20m x 2.10m</t>
  </si>
  <si>
    <t>1 x 1.20</t>
  </si>
  <si>
    <t xml:space="preserve">= 1.20 x 0.10 x 0.065 </t>
  </si>
  <si>
    <t>2 x 0.55 x 2.05</t>
  </si>
  <si>
    <t xml:space="preserve">Cost of medium TW frame below 2 m length </t>
  </si>
  <si>
    <t>Rate for 2.52 sqm</t>
  </si>
  <si>
    <t>1.00m x 2.10m</t>
  </si>
  <si>
    <t>1 x 1.00</t>
  </si>
  <si>
    <t xml:space="preserve">= 1.00 x 0.10 x 0.065 </t>
  </si>
  <si>
    <t xml:space="preserve"> 0.90 x 2.05</t>
  </si>
  <si>
    <t xml:space="preserve">Cost of medium TW frame up to 2 m length </t>
  </si>
  <si>
    <t>Rate for 2.10 sqm</t>
  </si>
  <si>
    <t>0.90m x 2.10m</t>
  </si>
  <si>
    <t>1 x 0.90</t>
  </si>
  <si>
    <t xml:space="preserve">= 0.90 x 0.10 x 0.065 </t>
  </si>
  <si>
    <t xml:space="preserve"> 0.80 x 2.05</t>
  </si>
  <si>
    <t>Rate for 1.89 sqm</t>
  </si>
  <si>
    <t>0.80m x 2.10m</t>
  </si>
  <si>
    <t>1 x 0.80</t>
  </si>
  <si>
    <t xml:space="preserve">= 0.80 x 0.10 x 0.065 </t>
  </si>
  <si>
    <t xml:space="preserve"> 0.70 x 2.05</t>
  </si>
  <si>
    <t>Cost of Z hold fasts                             TBSC-P.IX-08</t>
  </si>
  <si>
    <t>Cost of Aluminium tower bolt 150mm long TBSC-P.I-08</t>
  </si>
  <si>
    <t>Cost of Aluminium butt hinges 150mm longTBSC-P.II-08</t>
  </si>
  <si>
    <t>Cost of Aluminium aldrop 250mm long TBSC-P.IV-05</t>
  </si>
  <si>
    <t>Cost of Aluminium handle 125mm long TBSC-P.III-03</t>
  </si>
  <si>
    <t>Cost of rubber bush                                   TBSC-P.IX-04</t>
  </si>
  <si>
    <t>Cost of 1.20mm thick PVC sheet</t>
  </si>
  <si>
    <t>Cost of Fevicol &amp; labour charges for fixing PVC sheet</t>
  </si>
  <si>
    <t>Rate for 1.68 sqm</t>
  </si>
  <si>
    <t>0.75m x 2.10m</t>
  </si>
  <si>
    <t>1 x 0.75</t>
  </si>
  <si>
    <t xml:space="preserve">= 0.75 x 0.10 x 0.065 </t>
  </si>
  <si>
    <t xml:space="preserve"> 0.65 x 2.05</t>
  </si>
  <si>
    <t>cost of Fevicol &amp; labour charges for fixing PVC sheet</t>
  </si>
  <si>
    <t xml:space="preserve">Labour charges for fixing flush door shutter to the frame ,  fixing the fixtures to the shutter </t>
  </si>
  <si>
    <t>(BLD-CSTN-13-31)</t>
  </si>
  <si>
    <t>2.00m x 2.60m</t>
  </si>
  <si>
    <t>Outer frame (101.60 x 44.45, 3.18mm thick)</t>
  </si>
  <si>
    <t xml:space="preserve"> 2 x 2.00 + 2 x 2.60 </t>
  </si>
  <si>
    <t>Mullions (101.60 x 44.45, 3.18mm thick)</t>
  </si>
  <si>
    <t xml:space="preserve">  1 x 0.50 </t>
  </si>
  <si>
    <t>= 9.70 RM @ 2.404 Kgs / RM</t>
  </si>
  <si>
    <t>Shutters, styles and rails(47.62mm  x 44.45mm , 3.18 mm thick)</t>
  </si>
  <si>
    <t>4 x 2.10 + 2 x 2 x 1.00</t>
  </si>
  <si>
    <t>= 12.40 RM @1.501 Kgs/ RM</t>
  </si>
  <si>
    <t>Bottom rails (114.30 x 44.45. 3.18mm thick)</t>
  </si>
  <si>
    <t>= 2.00 RM @ 2.646 Kgs / RM</t>
  </si>
  <si>
    <t>Glazing clips</t>
  </si>
  <si>
    <t xml:space="preserve">2 x 2 x 2(1.00+0.50) + 2 x 2 x 2 (1.00+1.20) + 2 x 2 x 2 (1.00+ 0.90) </t>
  </si>
  <si>
    <t>= 44.80 RM @ 0.101 Kgs /RM</t>
  </si>
  <si>
    <t>sqm.</t>
  </si>
  <si>
    <t>2 x 1.00 x 1.20</t>
  </si>
  <si>
    <t>12mm thick prelaminated paticle board</t>
  </si>
  <si>
    <t>2 x 1.00 x 0.90</t>
  </si>
  <si>
    <t>2 x 2(1.00+0.50)+2 x 2 (1.00+1.20)</t>
  </si>
  <si>
    <t>A.Material :</t>
  </si>
  <si>
    <t>Cost of powder coated Al. sections     TBSC-R.I-03</t>
  </si>
  <si>
    <t>Cost of 5mm thick plain glass               TBSC-F.I-02</t>
  </si>
  <si>
    <t>5mm thick ground glass                       TBSC-F.IV-02</t>
  </si>
  <si>
    <t>12mm thick prelaminated paticle boardTBSC-H.III-48</t>
  </si>
  <si>
    <t>Cost of rubber beading                             TBSC-R.I-11</t>
  </si>
  <si>
    <t>Cost of floor springs                              TBSC-P.VII-03</t>
  </si>
  <si>
    <t>Cost of  Al. tower bolts 300mm             TBSC-P.I-11</t>
  </si>
  <si>
    <t>Cost of  Al. round handles 150mm dia.</t>
  </si>
  <si>
    <t>Cost of Al. aldrops 300mm                   TBSC-P.IV-06</t>
  </si>
  <si>
    <t xml:space="preserve">B.Labour charges </t>
  </si>
  <si>
    <t xml:space="preserve">Add for Screws, Nails, Nuts, Bolts etc., </t>
  </si>
  <si>
    <t xml:space="preserve">Rate per  5.20 Sqm: </t>
  </si>
  <si>
    <t xml:space="preserve">Rate per 1 Sqm: </t>
  </si>
  <si>
    <t xml:space="preserve"> 2 x 1.80 + 2 x 2.60 </t>
  </si>
  <si>
    <t>= 9.30 RM @ 2.404 Kgs / RM</t>
  </si>
  <si>
    <t>4 x 2.10 + 2 x 2 x 0.90</t>
  </si>
  <si>
    <t>= 12.00 RM @1.501 Kgs/ RM</t>
  </si>
  <si>
    <t>= 1.80 RM @ 2.646 Kgs / RM</t>
  </si>
  <si>
    <t>2 x 2 x 2(0.90+0.50) +2 x 2 x 2(0.90+1.20) + 2 x 2 x 2 (0.90+ 0.90) =</t>
  </si>
  <si>
    <t>= 42.40 RM @ 0.101 Kgs /RM</t>
  </si>
  <si>
    <t>2 x 0.90 x 0.50</t>
  </si>
  <si>
    <t>2 x 0.90 x 1.20</t>
  </si>
  <si>
    <t>2 x 0.90 x 0.90</t>
  </si>
  <si>
    <t>2 x 2(0.90+0.50)+2 x 2(0.90+1.20)   =</t>
  </si>
  <si>
    <t>Cost of Al. aldrops 300mm                 TBSC-P.IV-06</t>
  </si>
  <si>
    <t xml:space="preserve">Rate per  4.68 Sqm: </t>
  </si>
  <si>
    <t xml:space="preserve"> (BLD-CSTN-13-31)</t>
  </si>
  <si>
    <t xml:space="preserve"> 2 x 1.50 + 2 x 2.60   = </t>
  </si>
  <si>
    <t xml:space="preserve">  1 x 0.50   =</t>
  </si>
  <si>
    <t>= 8.70 RM @ 2.404 Kgs / RM</t>
  </si>
  <si>
    <t>4 x 2.10 + 2 x 2 x 0.75 =</t>
  </si>
  <si>
    <t>= 11.40 RM @1.501 Kgs/ RM</t>
  </si>
  <si>
    <t>2 x 0.75  =</t>
  </si>
  <si>
    <t>= 1.50 RM @ 2.646 Kgs / RM</t>
  </si>
  <si>
    <t>2 x 2 x 2(0.75+0.50) +     2 x 2 x 2(0.75+1.20) + 2 x 2 x 2(0.75+0.90)  =38.80</t>
  </si>
  <si>
    <t>= 38.80 RM @ 0.101 Kgs /RM =</t>
  </si>
  <si>
    <t>2 x 0.75 x 0.50  =</t>
  </si>
  <si>
    <t>2 x 0.75 x 1.20  =</t>
  </si>
  <si>
    <t>2 x 0.75 x 0.90  =</t>
  </si>
  <si>
    <t>2 x 2(0.75+0.50)+2 x 2 (0.75 + 1.20) =</t>
  </si>
  <si>
    <t>12mm thick prelaminated paticle board TBSC-H.III-48</t>
  </si>
  <si>
    <t>Cost of rubber beading                        TBSC-R.I-11</t>
  </si>
  <si>
    <t xml:space="preserve">Rate per  3.90 Sqm: </t>
  </si>
  <si>
    <t>Rate as per SSR                          TBSC-L.III-19</t>
  </si>
  <si>
    <t>Rate as per SSR                                   TBSC-L.III-10</t>
  </si>
  <si>
    <t>Providing and Fixing Pre painted Steel Sliding Windows / Doors - 3 track sliding window /doors shutter with mesh shutter – (2 - glass shutters and 1 - mesh shutter) fabricated from Roll formed sections made of galvanized Steel colour coated/powder coated (Base Steel as per IS 513 ‘D’ quality, galvanized as per IS 277 with zinc of 120 GM/Sq.mtr) with total coated thickness of 0.58mm. Primer coat with epoxy primer of 5-7 microns thick, finish painted with a polyester paint of 12-16 microns thick and back coated with Alkyd backer of 5-7 microns or powder coated with pure polyester powder up to 50-60 microns thick. Section for external frame should be of 44 x 107mm .Section for glass shutter and mesh shutter in case of door should be of 35 x 67 mm Section for euro groove should be 25 x 31mm (Aluminium/ Plastic) (in case of window sections should be 35 x 49 mm and 25 x 24 mm and 30 x 41 mm) and Lap Strip should be of 39 x 41mm (30 x 41 mm &amp; Touch lock for window ) (Aluminium/ Plastic. The doors/ windows should be panelled with 5mm thick plain float glass. Corner bracket for internal and external frame made of glass filled nylon. Gaskets are to be made of Ethyl Propylene Diamine Monomer (EPDM).The sections are to be cut to length, joined and assembled by means of corner bracket. The above frames should be fixed to the concrete/masonry walls by means of self expanding brackets &amp; screws including 10mm square guard bars with 6” pitch (152.4mm) (in case of windows only) and all Taxes complete for finished item of work.</t>
  </si>
  <si>
    <t>Rate as per SSR                               TBSC-M.II-13</t>
  </si>
  <si>
    <t>Rate as per SSR   TBSC-L.III-12</t>
  </si>
  <si>
    <t xml:space="preserve">Centre fixed both side openable shutter window : 1800mm x1800mm with fixed fan light of 500mm at top : </t>
  </si>
  <si>
    <t>Window portion                           TBSC-M.I-11</t>
  </si>
  <si>
    <t>Fan light portion                           TBSC-N.I-02</t>
  </si>
  <si>
    <t>Rate per 3.24 sqm</t>
  </si>
  <si>
    <t>Deduct cost of 5mm plain glass              TBSC-F.I-02</t>
  </si>
  <si>
    <t>Add cost of 4mm thick pin headed glass  TBSC-F.II-01</t>
  </si>
  <si>
    <t xml:space="preserve">Centre fixed both side openable shutter window 1500mm x1800mm with fixed fan light of 500mm at top : </t>
  </si>
  <si>
    <t>Window portion                            TBSC-M.I-10</t>
  </si>
  <si>
    <t>Fan light portion                            TBSC-N.I-02</t>
  </si>
  <si>
    <t>Rate per 2.70 sqm</t>
  </si>
  <si>
    <t>Double shutter window  1200x1800 with fixed fan light of 500mm at top :</t>
  </si>
  <si>
    <t>Window portion                       TBSC-M.I-09</t>
  </si>
  <si>
    <t>Fan light portion                      TBSC-N.I-02</t>
  </si>
  <si>
    <t>Rate per 2.16 sqm</t>
  </si>
  <si>
    <t>Double shutter window  900x1800 with fixed fan light of 500mm at top :</t>
  </si>
  <si>
    <t>Rate per 1.62 sqm</t>
  </si>
  <si>
    <t>Centre fixed both side openable shutter window 1800mmx1300mm :</t>
  </si>
  <si>
    <t>Window portion            TBSC-M.I-11</t>
  </si>
  <si>
    <t>Centre fixed both side openable shutter window 1500mmx1300mm :</t>
  </si>
  <si>
    <t>Window portion                           TBSC-M.I-10</t>
  </si>
  <si>
    <t>Double shutter window  1200mmx1300mm :</t>
  </si>
  <si>
    <t>Window portion                TBSC-M.I-09</t>
  </si>
  <si>
    <t>h</t>
  </si>
  <si>
    <t>Double shutter window  900mmx1300mm:</t>
  </si>
  <si>
    <t>Window portion                  TBSC-M.I-09</t>
  </si>
  <si>
    <t>WINDOWS</t>
  </si>
  <si>
    <t>Centre fixed both side openable shutter window 1800x1800 with fixed fan light of 500mm at top :</t>
  </si>
  <si>
    <t>Window portion                               TBSC-M.I-04</t>
  </si>
  <si>
    <t>Fan light portion                               TBSC-N.I-02</t>
  </si>
  <si>
    <t>Centre fixed both side openable shutter window 1500x1800 with fixed fan light of 500mm at top :</t>
  </si>
  <si>
    <t>Double shutter window 1200x1800 with fixed fan light of 500mm at top :</t>
  </si>
  <si>
    <t>Window portion                                         TBSC-M.I-02</t>
  </si>
  <si>
    <t>Window portion                                     TBSC-M.I-02</t>
  </si>
  <si>
    <t>Fan light portion                                     TBSC-N.I-02</t>
  </si>
  <si>
    <t xml:space="preserve">Centre fixed both side openable shutter window 1800mmx1300mm : </t>
  </si>
  <si>
    <t>Rate as per SSR                                                         TBSC-M.I-04</t>
  </si>
  <si>
    <t xml:space="preserve">Centre fixed both side openable shutter window 1500mmx1300mm : </t>
  </si>
  <si>
    <t xml:space="preserve">Double shutter window 1200mmx1300mm : </t>
  </si>
  <si>
    <t xml:space="preserve">Double shutter window 900mmx1300mm : </t>
  </si>
  <si>
    <t>Rate as per SSR                               TBSC-M.II-09</t>
  </si>
  <si>
    <t>In Circle office data 4mm thick pin headed glass used</t>
  </si>
  <si>
    <t>Rate as per SSR                       TBSC-M.III-07</t>
  </si>
  <si>
    <t>Rate as per SSR                                TBSC-M.III-08</t>
  </si>
  <si>
    <t>Rate as per SSR                                    TBSC-R.I-24</t>
  </si>
  <si>
    <t xml:space="preserve">Supplying and fixing of  to windows / in open court yards using 25mm x 6mm MS flat alround and 10mm MS square bars horizontally at 125mm centre to centre and vertically at 300mm centre to centre including fixing with 4 Nos of MS  Z holdfasts (2 on each side) duly making cutting brick masonry, fixing and making to original surface neatly and painting grill with one coat of red oxide primer including cost all taxes and conveyance of all materials including cutting, bending, welding including all operational charges and all labour charges etc., complete for finished item of work. </t>
  </si>
  <si>
    <t>For1.80mx1.40m size</t>
  </si>
  <si>
    <t>Quantity  Anailysis</t>
  </si>
  <si>
    <t>Cost of 25mm x 6mm MS flat alround</t>
  </si>
  <si>
    <t>2 ( 1.80+ 1.40 )</t>
  </si>
  <si>
    <t>6.40 RM @ 1.80 Kgs/RM</t>
  </si>
  <si>
    <t>Cost of 10mm M.S square bars @0.785 kg /RM</t>
  </si>
  <si>
    <t>Vertical bars  6</t>
  </si>
  <si>
    <t>17 x 1.40</t>
  </si>
  <si>
    <t xml:space="preserve">Horizontal bars    13 </t>
  </si>
  <si>
    <t>13 x 1.80</t>
  </si>
  <si>
    <t>Cost of 10mm MS squre bars                 (RMR)</t>
  </si>
  <si>
    <t>Cost of  25X 6mm MS Flat                  (RMR)</t>
  </si>
  <si>
    <t>Cost of MS Z hold fasts</t>
  </si>
  <si>
    <t>Labour charges for fabrication of steel   TBSC-T.I-16</t>
  </si>
  <si>
    <t>Labour charges for fixing                            TBSC-T.I-17</t>
  </si>
  <si>
    <t>Rate per 3.06 Sqm</t>
  </si>
  <si>
    <t>Rate as per SSR                                   TBSC-M.II-01</t>
  </si>
  <si>
    <t>1.80m x 1.30m</t>
  </si>
  <si>
    <t>1) Outer frame  ( 38.50mm x 33mm,   3mm thick )</t>
  </si>
  <si>
    <t>2 ( 1.80 + 1.30 )</t>
  </si>
  <si>
    <t>6.20 RM @ 0.775 Kgs / RM</t>
  </si>
  <si>
    <t>2) Mullions[59mm (3mm) x 33mm (2.50mm) x 30mm (3mm) ]</t>
  </si>
  <si>
    <t>2 x 1.30</t>
  </si>
  <si>
    <t>2.60 RM @ 1.123 Kgs / RM</t>
  </si>
  <si>
    <t>3) Shutters Z Section (38.50mm x 33mm x 3mm thick</t>
  </si>
  <si>
    <t xml:space="preserve">3x2(0.60 +1.30) </t>
  </si>
  <si>
    <t>= 11.40 RM @ 0.663 Kgs/ RM</t>
  </si>
  <si>
    <t>4) Glazing clips</t>
  </si>
  <si>
    <t>3x2(0.60+1.30)</t>
  </si>
  <si>
    <t xml:space="preserve">= 11.40 RM @ 0.101 Kgs /RM  </t>
  </si>
  <si>
    <t>Cost of powder coated  Al. sections        TBSC-R.I-03</t>
  </si>
  <si>
    <t>Cost of 5mm thick plain glass                   TBSC-F.I-02</t>
  </si>
  <si>
    <t>sq.m.</t>
  </si>
  <si>
    <t>Cost of rubber beading                               TBSC-R.I-11</t>
  </si>
  <si>
    <t>Cost of Al. friction stay hinges                TBSC-P.II-15</t>
  </si>
  <si>
    <t>Cost of Al. lock with handle                       Non SSR</t>
  </si>
  <si>
    <t>Sqm.</t>
  </si>
  <si>
    <t xml:space="preserve">Add for Screws, Nails,  etc., </t>
  </si>
  <si>
    <t xml:space="preserve">Rate per 2.34 Sqm: </t>
  </si>
  <si>
    <t>0.90mx 0.50m</t>
  </si>
  <si>
    <t>2 ( 0.90 + 0.50 )</t>
  </si>
  <si>
    <t>= 2.80 RM @ 0.775 Kgs / RM</t>
  </si>
  <si>
    <t>2) Shutters Z Section (38.50mm x 33mm x 3mm thick</t>
  </si>
  <si>
    <t>2x2(0.45+0.50)</t>
  </si>
  <si>
    <t>= 3.80 RM @ 0.663 Kgs / RM</t>
  </si>
  <si>
    <t>3) Glazing clips</t>
  </si>
  <si>
    <t xml:space="preserve">= 3.80 RM @ 0.101 Kgs /RM.  </t>
  </si>
  <si>
    <t>Cost of powder coated  Al. sections       TBSC-R.I-03</t>
  </si>
  <si>
    <t xml:space="preserve">Add for Screws, Nails, Nuts, Bolts </t>
  </si>
  <si>
    <t xml:space="preserve">Rate per 0.45 Sqm </t>
  </si>
  <si>
    <t xml:space="preserve">Rate per 1 Sqm </t>
  </si>
  <si>
    <t>(BLD-CSTN-13-30 &amp; S.No.10 of SoR , page 395)</t>
  </si>
  <si>
    <t>Size</t>
  </si>
  <si>
    <t>1.80m x 1.80m</t>
  </si>
  <si>
    <t>Window frame</t>
  </si>
  <si>
    <t>bottom : (8932)</t>
  </si>
  <si>
    <t>1.80m    x</t>
  </si>
  <si>
    <t>sides : (8931)</t>
  </si>
  <si>
    <t>2 x 1.30m    x</t>
  </si>
  <si>
    <t>top : (8992)</t>
  </si>
  <si>
    <t>1.80m         x</t>
  </si>
  <si>
    <t>fan light sides &amp; top(4687)     2x0.50+</t>
  </si>
  <si>
    <t>(1.80+2 x 0.50) x</t>
  </si>
  <si>
    <t>Window shutters</t>
  </si>
  <si>
    <t>bottom : (8603)</t>
  </si>
  <si>
    <t>3 x 0.60m      x</t>
  </si>
  <si>
    <t>plain sides &amp; top : (8604)</t>
  </si>
  <si>
    <t>3 (1.30+0.60)</t>
  </si>
  <si>
    <t>x        0.522</t>
  </si>
  <si>
    <t>sides inter locking : (8602)</t>
  </si>
  <si>
    <t>3 x 1.30m    x</t>
  </si>
  <si>
    <t>3x2(0.60+0.50)+3x2x(0.60+1.30)=</t>
  </si>
  <si>
    <t xml:space="preserve">= 18.00 RM @ 0.101 Kgs /RM  </t>
  </si>
  <si>
    <t xml:space="preserve">Rate per 3.06 Sqm: </t>
  </si>
  <si>
    <t>1.20m x 1.80m</t>
  </si>
  <si>
    <t>bottom : (20830)</t>
  </si>
  <si>
    <t>1.20 m        x</t>
  </si>
  <si>
    <t>sides : (20829)</t>
  </si>
  <si>
    <t>2 x 1.30m   x</t>
  </si>
  <si>
    <t>top : (20888)</t>
  </si>
  <si>
    <t>fan light sides&amp;top(4687)     2x0.50+</t>
  </si>
  <si>
    <t xml:space="preserve">1.20+2x 0.50  </t>
  </si>
  <si>
    <t>3 x 0.40m       x</t>
  </si>
  <si>
    <t xml:space="preserve"> plain sides &amp; top : (8604)</t>
  </si>
  <si>
    <t>3 (1.30+0.40)x</t>
  </si>
  <si>
    <t>3 x 1.30m   x</t>
  </si>
  <si>
    <t>3x2(0.40+0.50)+3x2x(0.40+1.30)</t>
  </si>
  <si>
    <t xml:space="preserve">= 15.60 RM @ 0.101 Kgs /RM  </t>
  </si>
  <si>
    <t xml:space="preserve">Cost of powder coated  Al. sections </t>
  </si>
  <si>
    <t>Cost of 5mm thick plain glass             TBSC-F.I-02</t>
  </si>
  <si>
    <t>Cost of rubber beading                         TBSC-R.I-11</t>
  </si>
  <si>
    <t xml:space="preserve">Rate per 2.16 Sqm: </t>
  </si>
  <si>
    <t>Supplying and fixing of Unplasticised Poly Vinyl Chloride (UPVC) Fixed Glazing - 56 series duly manufactured using UPVC reinforced profiles of 60 mm x 56 mm x 2.25 mm for outer frames and the mullion sections are of 60 mm x 70 mm x 2.25 mm frames are structurally reinforced with hot dip galvanized up to 50 microns of minimum thickness of 1.2 mm the sash shall be fitted with 4 mm thick pinheaded glass of reputed make duly fixed with EPDM weathering seal resistant including cost and conveyance of all materials, accessories, labour charges for transportation, erection at site with templates for casement sizing scaffolding including overheads and contractor profit etc., complete for finished item of work.</t>
  </si>
  <si>
    <t>Rate as per SoR                                             TBSC-N.I-04</t>
  </si>
  <si>
    <t>For Cup board of size 1.20m x 1.80m</t>
  </si>
  <si>
    <t>MDF Board Interior - BSL 18mm thick TBSC-H.III-43</t>
  </si>
  <si>
    <t xml:space="preserve"> Sqm</t>
  </si>
  <si>
    <t>Powder coated butt hinges 100mm longTBSC-P.II-10</t>
  </si>
  <si>
    <t>Powder coated tower bolts 100mm long TBSC-P.I-14</t>
  </si>
  <si>
    <t>Powder coated handles 100mm long  Non SSR items</t>
  </si>
  <si>
    <t>Labour charges for shutters and fixing fixtures</t>
  </si>
  <si>
    <t>Add LS for Screws, Nails etc.</t>
  </si>
  <si>
    <t>Rate per 2.16 Sqm</t>
  </si>
  <si>
    <t>DATA FOR WATER SUPPLY AND SANITARY ITEMS</t>
  </si>
  <si>
    <t>Sl.No</t>
  </si>
  <si>
    <t>Qty</t>
  </si>
  <si>
    <t>Amount</t>
  </si>
  <si>
    <t>101.60mm dia upto 914.40mm (3') depth</t>
  </si>
  <si>
    <t>Rate as per SSR         TBSP-A.I-02</t>
  </si>
  <si>
    <t>152.40mm dia upto 1524.0mm (5') depth</t>
  </si>
  <si>
    <t>Rate as per SSR               TBSP-A.I-03</t>
  </si>
  <si>
    <t>203.20mm dia upto 1524mm (5') depth</t>
  </si>
  <si>
    <t>Cost of  SWG pipe             TBSP-A.II-03</t>
  </si>
  <si>
    <t>labour charges for laying , jointing , testing</t>
  </si>
  <si>
    <t>254mm dia upto 1524mm (5') depth</t>
  </si>
  <si>
    <t>Cost of  SWG pipeTBSP-A.II-04</t>
  </si>
  <si>
    <t>labour charges for laying, jointing, testing</t>
  </si>
  <si>
    <t>300mm dia upto 1524mm (5') depth</t>
  </si>
  <si>
    <t>Cost of  SWG pipe            TBSP-A.II-05</t>
  </si>
  <si>
    <t>Rate as per SSR                TBSP-B.I-03</t>
  </si>
  <si>
    <t>Rate per Each</t>
  </si>
  <si>
    <t>Rate as per SSR           TBSP-B.I-04</t>
  </si>
  <si>
    <t>Rate as per SSR                   TBSP-B.II-02</t>
  </si>
  <si>
    <t>Rate as per SSR  TBSP-A.I-09</t>
  </si>
  <si>
    <t xml:space="preserve">Deduct cost of CI frame and cover </t>
  </si>
  <si>
    <t xml:space="preserve">Add for RCC Cover </t>
  </si>
  <si>
    <t>Rate as per SSR           TBSP-H.II-73</t>
  </si>
  <si>
    <t>Rate as per SSR             TBSP-H.II-74</t>
  </si>
  <si>
    <t xml:space="preserve">Add MA on labour charges for fixing Orissa pan        TBSP-E.VIII-02   </t>
  </si>
  <si>
    <t>Add MA on labour charges for fixing angle stop cock</t>
  </si>
  <si>
    <t>12.70mm PVC connection with brass union nuts  TBSP-J.I-32</t>
  </si>
  <si>
    <t>Add MA on labour charges for fixing PVC connection with brass union nuts</t>
  </si>
  <si>
    <t>Add MA on labour charges for fixing 31.75mm brass plumber union</t>
  </si>
  <si>
    <t>Add MA on labour charges for cutting holes in brick masonry</t>
  </si>
  <si>
    <t>Add MA on labour charges for fixing Teak wood blocks</t>
  </si>
  <si>
    <t>Cost of EWC with 'S' trap 
TBSP-E.II-02/TBSP-E.VIII-06</t>
  </si>
  <si>
    <t>Add MA on labour charges for fixing EWC TBSP-E.VIII-06</t>
  </si>
  <si>
    <t>Supply and fixing of 10 lts. Capacity lowdown PVC flushing tank TBSP-H.II-07</t>
  </si>
  <si>
    <t>Add MA on labour charges for fixing Plastic seat and lid for EWC and rubber buffers TBSP-E.V-01/TBSP-E.VIII-07</t>
  </si>
  <si>
    <t xml:space="preserve">12.70mm dia PVC connection with brass union nuts TBSP-J.I-32 </t>
  </si>
  <si>
    <t xml:space="preserve">Add MA on labour charges for fixing PVC connection with brass union nuts </t>
  </si>
  <si>
    <t>Cost of 76.2 x 101.60 mm teakwood blocks TBSP-J.I-31</t>
  </si>
  <si>
    <t xml:space="preserve">Cost of Wash hand basin  TBSP-E.VI-04/TBSP-E.VIII-08  </t>
  </si>
  <si>
    <t>Add MA on labour charges for fixing Wash hand basin                  TBSP-E.VIII-08</t>
  </si>
  <si>
    <t>Angle stop cock 12.70mm TBSP-F.IV-03
TBSP-F.VIII-02</t>
  </si>
  <si>
    <t>Add MA on labour charges for fixing angle stop cockTBSP-F.IV-03/TBSP-F.VIII-02</t>
  </si>
  <si>
    <t>Deduct cost of NP chain and rubber plug  TBSP-J.I-24</t>
  </si>
  <si>
    <t>30mm dia. PVC flexible waste pipe  TBSP-H.II-04</t>
  </si>
  <si>
    <t>Rate as per SSR   TBSP-J.I-35</t>
  </si>
  <si>
    <t xml:space="preserve">Rate as per SSR  </t>
  </si>
  <si>
    <t xml:space="preserve">75mm dia </t>
  </si>
  <si>
    <t xml:space="preserve">Data for 6 RM </t>
  </si>
  <si>
    <t xml:space="preserve">90mm dia </t>
  </si>
  <si>
    <t xml:space="preserve">110mm dia </t>
  </si>
  <si>
    <t xml:space="preserve">160mm dia  Single socket </t>
  </si>
  <si>
    <t>15.90mm OD pipe</t>
  </si>
  <si>
    <t>22.20mm OD pipe</t>
  </si>
  <si>
    <t>28.60mm OD pipe</t>
  </si>
  <si>
    <t>34.90mm OD pipe</t>
  </si>
  <si>
    <t>41.30mm OD pipe</t>
  </si>
  <si>
    <t>54.00mm OD pipe</t>
  </si>
  <si>
    <t>65mm Nominal bore</t>
  </si>
  <si>
    <t>80mm Nominal bore</t>
  </si>
  <si>
    <t>Rate per 1 Ltr</t>
  </si>
  <si>
    <t xml:space="preserve">30mm dia.  PVC flexible waste pipe
</t>
  </si>
  <si>
    <t xml:space="preserve"> TBSP-H.II-04</t>
  </si>
  <si>
    <t>Labour charges for fixing ( dadooing labour charges )</t>
  </si>
  <si>
    <t>Rate for 1 RM</t>
  </si>
  <si>
    <t>(1/0.6096)</t>
  </si>
  <si>
    <t>First Floor</t>
  </si>
  <si>
    <t>L</t>
  </si>
  <si>
    <t>H</t>
  </si>
  <si>
    <t>Parapet</t>
  </si>
  <si>
    <t>Second Floor</t>
  </si>
  <si>
    <t>Third Floor</t>
  </si>
  <si>
    <t>D1</t>
  </si>
  <si>
    <t>D2</t>
  </si>
  <si>
    <t>D3</t>
  </si>
  <si>
    <t>W</t>
  </si>
  <si>
    <t>W1</t>
  </si>
  <si>
    <t>V</t>
  </si>
  <si>
    <t>GF</t>
  </si>
  <si>
    <t>MD</t>
  </si>
  <si>
    <t>V1</t>
  </si>
  <si>
    <t>GW</t>
  </si>
  <si>
    <t>Vitrified</t>
  </si>
  <si>
    <t>Ceramic</t>
  </si>
  <si>
    <t>Sl.No.</t>
  </si>
  <si>
    <t>Description of Work</t>
  </si>
  <si>
    <t xml:space="preserve">COMMON SoR 2015-2016 </t>
  </si>
  <si>
    <t>TBSC.A.I-01</t>
  </si>
  <si>
    <t>TBSC.A.II-08</t>
  </si>
  <si>
    <t>TBSC.A.II-11</t>
  </si>
  <si>
    <t>TBSC.A.II-12</t>
  </si>
  <si>
    <t>TBSC.B.I-03</t>
  </si>
  <si>
    <t>Polished black Kadapa slabs minimum of  15mm thick 15mm to 18mm thick</t>
  </si>
  <si>
    <t>TBSC.B.I-06</t>
  </si>
  <si>
    <t>TBSC.B.III-01</t>
  </si>
  <si>
    <t>TBSC.B.III-02</t>
  </si>
  <si>
    <t>TBSC.B.III-03</t>
  </si>
  <si>
    <t>TBSC.B.III-04</t>
  </si>
  <si>
    <t>TBSC.C.I-01</t>
  </si>
  <si>
    <t>TBSC.C.I-02</t>
  </si>
  <si>
    <t>As per SoR</t>
  </si>
  <si>
    <t>TBSC.C.II-02</t>
  </si>
  <si>
    <t>TBSC.C.II-03</t>
  </si>
  <si>
    <t>TBSC.C.VI-02</t>
  </si>
  <si>
    <t>TBSC.C.VIII-04</t>
  </si>
  <si>
    <t>TBSC.D.I.01</t>
  </si>
  <si>
    <t>TBSC.D.I.02</t>
  </si>
  <si>
    <t>TBSC.D.I.03</t>
  </si>
  <si>
    <t>TBSC.D.I.04</t>
  </si>
  <si>
    <t>TBSC.D.II.01</t>
  </si>
  <si>
    <t>TBSC.D.II.02</t>
  </si>
  <si>
    <t>TBSC.D.II.03</t>
  </si>
  <si>
    <t>TBSC.D.II.04</t>
  </si>
  <si>
    <t>TBSC.D.V.01</t>
  </si>
  <si>
    <t>TBSC.D.VI.01</t>
  </si>
  <si>
    <t>TBSC.D.VI.04</t>
  </si>
  <si>
    <t>TBSC.E.I-01</t>
  </si>
  <si>
    <t>TBSC.E.I-02</t>
  </si>
  <si>
    <t>TBSC.E.I-12</t>
  </si>
  <si>
    <t>TBSC.E.I.15</t>
  </si>
  <si>
    <t>TBSC.E.III.01</t>
  </si>
  <si>
    <t>TBSC.F.I-02</t>
  </si>
  <si>
    <t>TBSC.F.I-06</t>
  </si>
  <si>
    <t>TBSC.F.II-01</t>
  </si>
  <si>
    <t>TBSC.F.III-06</t>
  </si>
  <si>
    <t>TBSC.F.IV-02</t>
  </si>
  <si>
    <t>TBSC-H.III-11</t>
  </si>
  <si>
    <t>TBSC-H.III-13</t>
  </si>
  <si>
    <t>BTBSC-K.II-09&amp;10</t>
  </si>
  <si>
    <t>TBSC-L.II-02</t>
  </si>
  <si>
    <t>TBSC-L.II-03</t>
  </si>
  <si>
    <t>Supply and fixing of UPVC sliding doors 3 track</t>
  </si>
  <si>
    <t>Double shutters with central mullion</t>
  </si>
  <si>
    <t>Centre fixed both side openable shutters</t>
  </si>
  <si>
    <t>Centre fixed both side openable shutters(5'x4')</t>
  </si>
  <si>
    <t>Supply and fixing of UPVC casement windows</t>
  </si>
  <si>
    <t>Supply and fixing of UPVC sliding door - 3 track - 3 panel sliding doorsliding</t>
  </si>
  <si>
    <t>Chloropyriphos Lindane Emulsifiable concentrate of 20%</t>
  </si>
  <si>
    <t>Labour charges for fabricating steel works like Window Grills, Compound Wall Grills, Iron Doors, Windows including cost of welding rods, power charges, excluding cost of fixing in position</t>
  </si>
  <si>
    <t>Labour charges for glass designing work( Etching work)</t>
  </si>
  <si>
    <t>Brick Masonry / Stone Maasonry</t>
  </si>
  <si>
    <t>HIRE CHARGES FOR CENTERING&amp;SCAFFOLDING-centering using Steel scaffolding pipes , jack props , wallers , Foot plates , brackets , steel centering plates etc.,</t>
  </si>
  <si>
    <t>HIRE CHARGES FOR CENTERING &amp; SCAFFOLDING -Unsupported height of 3.66M - Casurina Ballies , Bamboos , Wooden Reapers , Runners , Wood Posts , Wall Plates etc.,</t>
  </si>
  <si>
    <t>RCC walls , water tank walls</t>
  </si>
  <si>
    <t>Public Health items</t>
  </si>
  <si>
    <t>PVC Clamps</t>
  </si>
  <si>
    <t>Water charges(Urban)</t>
  </si>
  <si>
    <t>M - 189(a)</t>
  </si>
  <si>
    <t>Water charges(Rural)</t>
  </si>
  <si>
    <t>M - 189(b)</t>
  </si>
  <si>
    <t>PVC pipes 110mm dia.(4.00Kgs/sq.cm)</t>
  </si>
  <si>
    <t>PH Items Table18</t>
  </si>
  <si>
    <t>Shovel 0.85 cum 110hp</t>
  </si>
  <si>
    <t>G.O.Ms.No. 67 of Industries and Commerce (Mines.I) Dept. dt.26.09.2015</t>
  </si>
  <si>
    <t>Z holdfasts 300 x 40 x 5mm</t>
  </si>
  <si>
    <t>DATA (SoR 2015-16)</t>
  </si>
  <si>
    <t>Inspection chamber 457.2mm x 457.2mm in brick masonry up to 914.4mm ( 3) depth</t>
  </si>
  <si>
    <t>142/147</t>
  </si>
  <si>
    <t>TBSP-E.II-02/TBSP-E.VIII-02</t>
  </si>
  <si>
    <t>144/147</t>
  </si>
  <si>
    <t>145/147</t>
  </si>
  <si>
    <t>146/147</t>
  </si>
  <si>
    <t>TBSP-E.VI-09/TBSP-E.VIII-012</t>
  </si>
  <si>
    <t>TBSP-F.I-01</t>
  </si>
  <si>
    <t>148/152</t>
  </si>
  <si>
    <t>TBSP-F.III-01</t>
  </si>
  <si>
    <t>TBSP-F.IV-03</t>
  </si>
  <si>
    <t>TBSP-F.VI-01</t>
  </si>
  <si>
    <t>TBSP-F.VII-21</t>
  </si>
  <si>
    <t>Double socket PVC/SWR pipes        4 kgs/sqm</t>
  </si>
  <si>
    <t xml:space="preserve">3" (76.2mm) multi floor trap with jali </t>
  </si>
  <si>
    <t>16 &amp; 3</t>
  </si>
  <si>
    <t xml:space="preserve">Name of the Work: </t>
  </si>
  <si>
    <t>CHECK LIST FOR SCRUTINY OF ESTIMATE</t>
  </si>
  <si>
    <t>Floors</t>
  </si>
  <si>
    <t>Plinth 
areas 
as per 
Drawing
(Sqm)</t>
  </si>
  <si>
    <t>Slab areas as per estimate qty. In Sqm</t>
  </si>
  <si>
    <t>Ornam. Ceiling plastering in Sqm</t>
  </si>
  <si>
    <t>Flooring qty. In Sqm</t>
  </si>
  <si>
    <t>Impervious coat qty. in Sqm</t>
  </si>
  <si>
    <t>100mm thick</t>
  </si>
  <si>
    <t>125mm thick</t>
  </si>
  <si>
    <t>150mm thick</t>
  </si>
  <si>
    <t>175mm thick</t>
  </si>
  <si>
    <t>200mm thick</t>
  </si>
  <si>
    <t>Granite</t>
  </si>
  <si>
    <t>Cheq. 
Tiles</t>
  </si>
  <si>
    <t>Epoxy Flooring</t>
  </si>
  <si>
    <t>20mm
 thick</t>
  </si>
  <si>
    <t>12mm
 thick</t>
  </si>
  <si>
    <t>3rd floor</t>
  </si>
  <si>
    <t>Plinth 
Beam 
Qty. 
in RM</t>
  </si>
  <si>
    <t>Brick Masonry qty. in Sqm</t>
  </si>
  <si>
    <t>Dadooing / Cladding in Sqm</t>
  </si>
  <si>
    <t>Plastering qty. In Sqm</t>
  </si>
  <si>
    <t>Painting (All Floors) qty. In Sqm</t>
  </si>
  <si>
    <t>230mm</t>
  </si>
  <si>
    <t>100mm</t>
  </si>
  <si>
    <t>Other Areas</t>
  </si>
  <si>
    <t>In Toilets</t>
  </si>
  <si>
    <t>12mm</t>
  </si>
  <si>
    <t>20mm</t>
  </si>
  <si>
    <t>White wash</t>
  </si>
  <si>
    <t>Wall care</t>
  </si>
  <si>
    <t>Internal</t>
  </si>
  <si>
    <t>External</t>
  </si>
  <si>
    <t>P.U Painting</t>
  </si>
  <si>
    <t>(0.23*3.095)*(3.475)</t>
  </si>
  <si>
    <t>Walls</t>
  </si>
  <si>
    <t>Ceilings</t>
  </si>
  <si>
    <t>(3.095)*(3.475)</t>
  </si>
  <si>
    <t>Up to Basement</t>
  </si>
  <si>
    <t>Fourth Floor</t>
  </si>
  <si>
    <t>Fifth Floor</t>
  </si>
  <si>
    <t>No. of Kgs / Sft</t>
  </si>
  <si>
    <t>CIVIL ECV Value</t>
  </si>
  <si>
    <t>Rate per SFT</t>
  </si>
  <si>
    <t>=Civil ECV/Construction area</t>
  </si>
  <si>
    <t>SL No</t>
  </si>
  <si>
    <t>Door</t>
  </si>
  <si>
    <t>FV</t>
  </si>
  <si>
    <t xml:space="preserve">Water Supply Demand </t>
  </si>
  <si>
    <t>OT Complex</t>
  </si>
  <si>
    <t>Wards</t>
  </si>
  <si>
    <t>Beds</t>
  </si>
  <si>
    <t>lpcd</t>
  </si>
  <si>
    <t>liters</t>
  </si>
  <si>
    <t>Lecture Hall</t>
  </si>
  <si>
    <t>Persons</t>
  </si>
  <si>
    <t>Total Water Demand</t>
  </si>
  <si>
    <t>Min.Sump Capacity Required</t>
  </si>
  <si>
    <t>Min.OHT Capacity Required</t>
  </si>
  <si>
    <t>OPD Block</t>
  </si>
  <si>
    <t>OPD</t>
  </si>
  <si>
    <t>SEWER GENERATION</t>
  </si>
  <si>
    <t>SEWER DEMAND</t>
  </si>
  <si>
    <t>Litres</t>
  </si>
  <si>
    <t>Liters</t>
  </si>
  <si>
    <t>Total Sewer Generation</t>
  </si>
  <si>
    <t>KLD</t>
  </si>
  <si>
    <t>MLD</t>
  </si>
  <si>
    <t>Sumps</t>
  </si>
  <si>
    <t>Required</t>
  </si>
  <si>
    <t>Provided</t>
  </si>
  <si>
    <t>Rahul industries</t>
  </si>
  <si>
    <t>S.S.TUBE ROUND APPROX WEIGHT.KGS.PER.FEET</t>
  </si>
  <si>
    <t>Round</t>
  </si>
  <si>
    <t>MM</t>
  </si>
  <si>
    <t>S.S.TUBE SQUARE SECTION APPROX WEIGHT.KGS.PER.FEET</t>
  </si>
  <si>
    <t>Square</t>
  </si>
  <si>
    <t>12.5X12.5</t>
  </si>
  <si>
    <t>20X20</t>
  </si>
  <si>
    <t>25X25</t>
  </si>
  <si>
    <t>30X30</t>
  </si>
  <si>
    <t>38X38</t>
  </si>
  <si>
    <t>40X40</t>
  </si>
  <si>
    <t>50X50</t>
  </si>
  <si>
    <t>S.S.TUBE RECTANGULAR SECTION APPROX WEIGHT.KGS.PER.FEET</t>
  </si>
  <si>
    <t>Rectangular</t>
  </si>
  <si>
    <t>14X14</t>
  </si>
  <si>
    <t>12X63</t>
  </si>
  <si>
    <t>20X30</t>
  </si>
  <si>
    <t>20X40</t>
  </si>
  <si>
    <t>50X25</t>
  </si>
  <si>
    <t>40X60</t>
  </si>
  <si>
    <t>25X75</t>
  </si>
  <si>
    <t>S.S.TUBE OVAL SECTION APPROX WEIGHT.KGS.PER.FEET</t>
  </si>
  <si>
    <t>Oval</t>
  </si>
  <si>
    <t>33X13</t>
  </si>
  <si>
    <t>65X25</t>
  </si>
  <si>
    <t>WATER REQUIREMENT &amp; STORAGE</t>
  </si>
  <si>
    <t>Population</t>
  </si>
  <si>
    <t>Fixed population</t>
  </si>
  <si>
    <t>Number of Beds</t>
  </si>
  <si>
    <t>=</t>
  </si>
  <si>
    <t>Per Capita Water Requirement for fixed population</t>
  </si>
  <si>
    <t>Water demand</t>
  </si>
  <si>
    <t>Water Storage</t>
  </si>
  <si>
    <t>Water shall be stored in Underground tank (UGT) and Over Head tank (OHT)</t>
  </si>
  <si>
    <t>Terrace tank Capacity Required</t>
  </si>
  <si>
    <t>Half a Day storage</t>
  </si>
  <si>
    <t>3 TANKS</t>
  </si>
  <si>
    <t>Underground Tank capacity Required</t>
  </si>
  <si>
    <t>One and Half Day Storage</t>
  </si>
  <si>
    <t>One Day Storage</t>
  </si>
  <si>
    <t>(BLD-CSTN-2-9) &amp; Amendments / Modifications in SoR 2021-22</t>
  </si>
  <si>
    <t>No of blocks required for  1 Cum of Masonry</t>
  </si>
  <si>
    <t>Rate as per SSR             TBSC-M.II-11</t>
  </si>
  <si>
    <t>Acrylic emulsion  paint   TBSC-G.III-04</t>
  </si>
  <si>
    <t>TBSC-G.III-04</t>
  </si>
  <si>
    <t>Supply &amp; application of one coat water based cement primer of exterior grade II and two coats of asemi glossy acrylic emulsion paint exterior premium grade with silicon additives having VOC content less than 50gm/lit for exterior walls including cost and conveyance of all materials to site, sales &amp; other taxes, incidental, operational and all labour charges etc., and overheads &amp; contractors profit complete for finished item of work in all floors.</t>
  </si>
  <si>
    <t>Acrylic emulsion  paint     TBSC-G.III-05</t>
  </si>
  <si>
    <r>
      <t>Supplying and laying, filling, jointing and testing SWG SP-1 pipe</t>
    </r>
    <r>
      <rPr>
        <sz val="11"/>
        <color theme="1"/>
        <rFont val="Cambria"/>
        <family val="2"/>
        <charset val="1"/>
      </rPr>
      <t xml:space="preserve"> conforming to ISI 651 &amp; 4127 with air tight Cement joints in CM (1.5:1) prop. including excavation of trenches and socket pits in any soil  (except rock requiring blasting) and refilling with watering and tamping to the required slope including cost and conveyance of all materials to site and all labour charges , overheads &amp; contractor profit etc., complete for finished item of work (APSS NO 1301 &amp; 1318).</t>
    </r>
  </si>
  <si>
    <r>
      <t>Constructing 904.0 mm (3’0”) dia brick masonry inspection chamber</t>
    </r>
    <r>
      <rPr>
        <sz val="11"/>
        <color theme="1"/>
        <rFont val="Cambria"/>
        <family val="2"/>
        <charset val="1"/>
      </rPr>
      <t xml:space="preserve"> as per IS - 4111: Part-1:1986 with cement mortar (1:6) prop using 2nd Class Clay Bricks of 225 mm thick from approved source having a minimum crushing strength of 5 N/sq.mm  including plastering with cement mortar 1:3 prop; ½” thick both inside and outside fitted with 20” dia RCC manhole covers and frames</t>
    </r>
    <r>
      <rPr>
        <b/>
        <sz val="11"/>
        <color theme="1"/>
        <rFont val="Cambria"/>
        <family val="2"/>
        <charset val="1"/>
      </rPr>
      <t xml:space="preserve"> including excavating pits up to a depth of 904 mm (3'-0") </t>
    </r>
    <r>
      <rPr>
        <sz val="11"/>
        <color theme="1"/>
        <rFont val="Cambria"/>
        <family val="2"/>
        <charset val="1"/>
      </rPr>
      <t>in all sorts of soils (exculding rock) and laying cement conrete (1:4:8) 150 mm thick using 40 mm HBG Metal and P.C.C. 1:2:4 benching and channel 100 mm thick as per Standard specification and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</si>
  <si>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 xml:space="preserve">Constructing 904.0 mm (3’0”) dia brick masonry inspection chamber </t>
    </r>
    <r>
      <rPr>
        <sz val="11"/>
        <color theme="1"/>
        <rFont val="Cambria"/>
        <family val="2"/>
        <charset val="1"/>
      </rPr>
      <t xml:space="preserve">as per IS - 4111: Part-1:1986 with cement mortar (1:6) prop using 2nd Class Clay Bricks of 225 mm thick from approved source having a minimum crushing strength of 5 N/sq.mm  including plastering with cement mortar 1:3 prop; ½” thick both inside and outside fitted with 20” dia RCC manhole covers and frames </t>
    </r>
    <r>
      <rPr>
        <b/>
        <sz val="11"/>
        <color theme="1"/>
        <rFont val="Cambria"/>
        <family val="2"/>
        <charset val="1"/>
      </rPr>
      <t>including excavating pits up to a depth of 1524 mm (5'-0")</t>
    </r>
    <r>
      <rPr>
        <sz val="11"/>
        <color theme="1"/>
        <rFont val="Cambria"/>
        <family val="2"/>
        <charset val="1"/>
      </rPr>
      <t xml:space="preserve"> in all sorts of soils (exculding rock) and laying cement conrete (1:4:8) 150 mm thick using 40 mm HBG Metal and P.C.C. 1:2:4 benching and channel 100 mm thick as per Standard specification and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</si>
  <si>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Constructing 457.2 mm x 457.2 mm (1'6"x1'6") brick in CM 1:6 prop. Masonry. Inspection chamber</t>
    </r>
    <r>
      <rPr>
        <sz val="11"/>
        <color theme="1"/>
        <rFont val="Cambria"/>
        <family val="2"/>
        <charset val="1"/>
      </rPr>
      <t xml:space="preserve"> upto 914.4 mm (3'0") and fitted with light weight 457.2 mm x 457.2 mm (1'6"x1'6") C.I frame and  cover of 20 Kg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r>
  </si>
  <si>
    <r>
      <t xml:space="preserve">Supplying and fixing of SWG Gully traps </t>
    </r>
    <r>
      <rPr>
        <sz val="11"/>
        <color theme="1"/>
        <rFont val="Cambria"/>
        <family val="2"/>
        <charset val="1"/>
      </rPr>
      <t>150mm x 100mm of ISI make confirming to IS 651 &amp; 4127 with C.I grating &amp; constructing cement brick masonry in CM (1:6) prop., intermediate chamber and fitted with 304.8 mm X 288.6 mm (12"x9") C.I Frame with hinged cover of standard make as approved including cost and conveyance of all materials to site, labour charges, overheads &amp; contractors profit etc., complete for finished item of work.</t>
    </r>
  </si>
  <si>
    <r>
      <t xml:space="preserve">Supplying and fixing of 3" (75mm) Nahany trap with jali - </t>
    </r>
    <r>
      <rPr>
        <sz val="11"/>
        <color theme="1"/>
        <rFont val="Cambria"/>
        <family val="2"/>
        <charset val="1"/>
      </rPr>
      <t xml:space="preserve">UPVC/SWR pipe fittings </t>
    </r>
    <r>
      <rPr>
        <b/>
        <sz val="11"/>
        <color theme="1"/>
        <rFont val="Cambria"/>
        <family val="2"/>
        <charset val="1"/>
      </rPr>
      <t xml:space="preserve"> </t>
    </r>
    <r>
      <rPr>
        <sz val="11"/>
        <color theme="1"/>
        <rFont val="Cambria"/>
        <family val="2"/>
        <charset val="1"/>
      </rPr>
      <t>as per site requirements with standard practice  for all floors including cost and conveyance of all materials to site, labour charges , overheads &amp; contractors profit etc., complete for finished item of work.</t>
    </r>
  </si>
  <si>
    <r>
      <t xml:space="preserve">Supplying and fixing of 4" (101.6mm) multi floor trap with jali - </t>
    </r>
    <r>
      <rPr>
        <sz val="11"/>
        <color theme="1"/>
        <rFont val="Cambria"/>
        <family val="2"/>
        <charset val="1"/>
      </rPr>
      <t>UPVC/SWR pipe fittings as per site requirements with standard practice  for all floors including cost and conveyance of all materials to site, labour charges , overheads &amp; contractors profit etc., complete for finished item of work.</t>
    </r>
  </si>
  <si>
    <r>
      <t>Supplying and fixing 580mm x 440mm long Orissa pan white glazed Water Closet</t>
    </r>
    <r>
      <rPr>
        <sz val="11"/>
        <color theme="1"/>
        <rFont val="Cambria"/>
        <family val="2"/>
        <charset val="1"/>
      </rPr>
      <t xml:space="preserve"> 1st quality ISI marked confirming to IS:2556-Part-3-1981 with "P" or "S" trap,  ISI marked and providing masonry seat, CC squatting plate and 10 litres capacity single flush PVC  low level cistern with internal components fixed on 2 Nos. of teak wood blocks of size 76.20mm x 101.60mm using required size of nails, screws as approved by Engineer-in-charge, 15 mm nominal size CP finish brass angled stop valve screw type with internal /external threaded conforming to IS 8931, 12.70mm PVC connection with brass union nuts CP coated , 31.75mm brass plumber union, P trap or S trap of Indian W.C. shall be encased on CC (1:2:4) 150mm alround well above the joint to stop leakage at the joint etc., complete including cost and conveyance of all materials to site, cost of CC bed, labour charges and seigniorage charges, overheads &amp; contractors profit etc., complete for finished item of work.</t>
    </r>
  </si>
  <si>
    <r>
      <t xml:space="preserve">Cost of Orissa pan   </t>
    </r>
    <r>
      <rPr>
        <sz val="9"/>
        <color theme="1"/>
        <rFont val="Cambria"/>
        <family val="2"/>
        <charset val="1"/>
      </rPr>
      <t xml:space="preserve">TBSP-E.I-03/TBSP-E.VIII-02   </t>
    </r>
  </si>
  <si>
    <r>
      <t xml:space="preserve">Cost of Brick masonry seat </t>
    </r>
    <r>
      <rPr>
        <sz val="10"/>
        <color theme="1"/>
        <rFont val="Cambria"/>
        <family val="2"/>
        <charset val="1"/>
      </rPr>
      <t>TBSP-E.I-06</t>
    </r>
  </si>
  <si>
    <r>
      <t xml:space="preserve">Cost of C C squatting plate  </t>
    </r>
    <r>
      <rPr>
        <sz val="10"/>
        <color theme="1"/>
        <rFont val="Cambria"/>
        <family val="2"/>
        <charset val="1"/>
      </rPr>
      <t>TBSP-E.I-07</t>
    </r>
  </si>
  <si>
    <r>
      <t xml:space="preserve">Cost of slim line PVC flush tank 10 Ltrs. capacity single flush </t>
    </r>
    <r>
      <rPr>
        <sz val="9"/>
        <color theme="1"/>
        <rFont val="Cambria"/>
        <family val="2"/>
        <charset val="1"/>
      </rPr>
      <t>TBSP-H.II-07</t>
    </r>
  </si>
  <si>
    <r>
      <t xml:space="preserve">31.75mm brass plumber union  </t>
    </r>
    <r>
      <rPr>
        <sz val="8"/>
        <color theme="1"/>
        <rFont val="Cambria"/>
        <family val="2"/>
        <charset val="1"/>
      </rPr>
      <t>TBSP-F.VII-30</t>
    </r>
  </si>
  <si>
    <r>
      <t xml:space="preserve">Cutting holes in brick masonry   </t>
    </r>
    <r>
      <rPr>
        <sz val="9"/>
        <color theme="1"/>
        <rFont val="Cambria"/>
        <family val="2"/>
        <charset val="1"/>
      </rPr>
      <t>TBSP-J.I-22</t>
    </r>
  </si>
  <si>
    <r>
      <t xml:space="preserve">Teak wood blocks 76.2mm x 101.6mm </t>
    </r>
    <r>
      <rPr>
        <sz val="10"/>
        <color theme="1"/>
        <rFont val="Cambria"/>
        <family val="2"/>
        <charset val="1"/>
      </rPr>
      <t>TBSP-J.I-31</t>
    </r>
  </si>
  <si>
    <r>
      <t xml:space="preserve">Supplying and fixing 15 mm brass body CP finish self closing tap push type </t>
    </r>
    <r>
      <rPr>
        <sz val="11"/>
        <color theme="1"/>
        <rFont val="Cambria"/>
        <family val="2"/>
        <charset val="1"/>
      </rPr>
      <t>conforming to IS 1711  as approved by the Engineer-In-Charge including cost and conveyance of all materials, labour charges, overheads &amp; contractors profit complete for finished item of work in all floors.</t>
    </r>
  </si>
  <si>
    <r>
      <t xml:space="preserve">Rate as per SSR  </t>
    </r>
    <r>
      <rPr>
        <sz val="9"/>
        <color theme="1"/>
        <rFont val="Cambria"/>
        <family val="2"/>
        <charset val="1"/>
      </rPr>
      <t>TBSP-F.III-01 /TBSP-F.VIII-01</t>
    </r>
  </si>
  <si>
    <r>
      <t xml:space="preserve">Cost of 110mm dia pipe          </t>
    </r>
    <r>
      <rPr>
        <sz val="9"/>
        <color theme="1"/>
        <rFont val="Cambria"/>
        <family val="2"/>
        <charset val="1"/>
      </rPr>
      <t>TBSP-H.I-03</t>
    </r>
  </si>
  <si>
    <r>
      <t xml:space="preserve">Cost of PVC clamps                  </t>
    </r>
    <r>
      <rPr>
        <sz val="9"/>
        <color theme="1"/>
        <rFont val="Cambria"/>
        <family val="2"/>
        <charset val="1"/>
      </rPr>
      <t>TBSP-H.II-61</t>
    </r>
  </si>
  <si>
    <r>
      <t xml:space="preserve">Labour charges                        </t>
    </r>
    <r>
      <rPr>
        <sz val="9"/>
        <color theme="1"/>
        <rFont val="Cambria"/>
        <family val="2"/>
        <charset val="1"/>
      </rPr>
      <t>TBSP-H.IV-01</t>
    </r>
  </si>
  <si>
    <r>
      <t xml:space="preserve">Cost of 160mm dia pipe            </t>
    </r>
    <r>
      <rPr>
        <sz val="9"/>
        <color theme="1"/>
        <rFont val="Cambria"/>
        <family val="2"/>
        <charset val="1"/>
      </rPr>
      <t>TBSP-H.I-22</t>
    </r>
  </si>
  <si>
    <r>
      <t xml:space="preserve">Cost of PVC clamps                    </t>
    </r>
    <r>
      <rPr>
        <sz val="9"/>
        <color theme="1"/>
        <rFont val="Cambria"/>
        <family val="2"/>
        <charset val="1"/>
      </rPr>
      <t>TBSP-H.II-62</t>
    </r>
  </si>
  <si>
    <r>
      <t xml:space="preserve">Labour charges                            </t>
    </r>
    <r>
      <rPr>
        <sz val="9"/>
        <color theme="1"/>
        <rFont val="Cambria"/>
        <family val="2"/>
        <charset val="1"/>
      </rPr>
      <t>TBSP-H.IV-01</t>
    </r>
  </si>
  <si>
    <r>
      <t>Supply and fixing of Ashirvad/ Ajay/ Astral Flowguard or equivalent CPVC Pipes and Fittings SDR 13.5</t>
    </r>
    <r>
      <rPr>
        <sz val="11"/>
        <color theme="1"/>
        <rFont val="Cambria"/>
        <family val="2"/>
        <charset val="1"/>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</si>
  <si>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r>
      <t xml:space="preserve">Rate as per SoR                 </t>
    </r>
    <r>
      <rPr>
        <sz val="9"/>
        <color theme="1"/>
        <rFont val="Cambria"/>
        <family val="2"/>
        <charset val="1"/>
      </rPr>
      <t>TBSP-J.III-01</t>
    </r>
  </si>
  <si>
    <r>
      <t xml:space="preserve">Rate as per SoR                   </t>
    </r>
    <r>
      <rPr>
        <sz val="9"/>
        <color theme="1"/>
        <rFont val="Cambria"/>
        <family val="2"/>
        <charset val="1"/>
      </rPr>
      <t>TBSP-J.III-02</t>
    </r>
  </si>
  <si>
    <r>
      <t xml:space="preserve">Rate as per SoR              </t>
    </r>
    <r>
      <rPr>
        <sz val="9"/>
        <color theme="1"/>
        <rFont val="Cambria"/>
        <family val="2"/>
        <charset val="1"/>
      </rPr>
      <t>TBSP-J.III-03</t>
    </r>
  </si>
  <si>
    <r>
      <t xml:space="preserve">Rate as per SoR                </t>
    </r>
    <r>
      <rPr>
        <sz val="9"/>
        <color theme="1"/>
        <rFont val="Cambria"/>
        <family val="2"/>
        <charset val="1"/>
      </rPr>
      <t>TBSP-J.III-04</t>
    </r>
  </si>
  <si>
    <r>
      <t xml:space="preserve">Rate as per SoR             </t>
    </r>
    <r>
      <rPr>
        <sz val="9"/>
        <color theme="1"/>
        <rFont val="Cambria"/>
        <family val="2"/>
        <charset val="1"/>
      </rPr>
      <t>TBSP-J.III-05</t>
    </r>
  </si>
  <si>
    <r>
      <t xml:space="preserve">Rate as per SoR              </t>
    </r>
    <r>
      <rPr>
        <sz val="9"/>
        <color theme="1"/>
        <rFont val="Cambria"/>
        <family val="2"/>
        <charset val="1"/>
      </rPr>
      <t>TBSP-J.III-06</t>
    </r>
  </si>
  <si>
    <r>
      <t>Supply and fixing of Ashirvad/ Ajay/ Astral Flowguard or equivalent CPVC Pipes and Fittings SDR 11</t>
    </r>
    <r>
      <rPr>
        <sz val="11"/>
        <color theme="1"/>
        <rFont val="Cambria"/>
        <family val="2"/>
        <charset val="1"/>
      </rPr>
      <t xml:space="preserve"> to meet the requirement of ASTM-D 2846 and are produced in CTS (Copper Tube Sizes 1/2" to 2") for hot and cold water (IS 15778:2007) including cost and conveyance of all materials to site, labour charges for fixing, overheads &amp; contractors profit complete for finished item of work at all floor levels.</t>
    </r>
  </si>
  <si>
    <r>
      <t xml:space="preserve">Rate as per SoR             </t>
    </r>
    <r>
      <rPr>
        <sz val="9"/>
        <color theme="1"/>
        <rFont val="Cambria"/>
        <family val="2"/>
        <charset val="1"/>
      </rPr>
      <t>TBSP-J.III-07</t>
    </r>
  </si>
  <si>
    <r>
      <t xml:space="preserve">Rate as per SoR           </t>
    </r>
    <r>
      <rPr>
        <sz val="9"/>
        <color theme="1"/>
        <rFont val="Cambria"/>
        <family val="2"/>
        <charset val="1"/>
      </rPr>
      <t>TBSP-J.III-08</t>
    </r>
  </si>
  <si>
    <r>
      <t xml:space="preserve">Rate as per SoR            </t>
    </r>
    <r>
      <rPr>
        <sz val="9"/>
        <color theme="1"/>
        <rFont val="Cambria"/>
        <family val="2"/>
        <charset val="1"/>
      </rPr>
      <t>TBSP-J.III-09</t>
    </r>
  </si>
  <si>
    <r>
      <t xml:space="preserve">Rate as per SoR              </t>
    </r>
    <r>
      <rPr>
        <sz val="9"/>
        <color theme="1"/>
        <rFont val="Cambria"/>
        <family val="2"/>
        <charset val="1"/>
      </rPr>
      <t>TBSP-J.III-10</t>
    </r>
  </si>
  <si>
    <r>
      <t xml:space="preserve">Rate as per SoR               </t>
    </r>
    <r>
      <rPr>
        <sz val="9"/>
        <color theme="1"/>
        <rFont val="Cambria"/>
        <family val="2"/>
        <charset val="1"/>
      </rPr>
      <t>TBSP-J.III-11</t>
    </r>
  </si>
  <si>
    <r>
      <t xml:space="preserve">Rate as per SoR                   </t>
    </r>
    <r>
      <rPr>
        <sz val="9"/>
        <color theme="1"/>
        <rFont val="Cambria"/>
        <family val="2"/>
        <charset val="1"/>
      </rPr>
      <t>TBSP-J.III-12</t>
    </r>
  </si>
  <si>
    <r>
      <t>Supplying &amp; fixing GI  pipe Medium Grade properties &amp; weight</t>
    </r>
    <r>
      <rPr>
        <sz val="11"/>
        <color theme="1"/>
        <rFont val="Cambria"/>
        <family val="2"/>
        <charset val="1"/>
      </rPr>
      <t xml:space="preserve"> as per IS 1239 ISI mark in ground or on wall  including cost of tees, elbows, bends, reducers, couplings, running joints, union flanges, unions etc.  with necessary excavation in all types of soils except rock requiring blasting, refilling, chiselling masonry walls and making good the walls &amp; floors to the original surface and fixing MS clamps on TW blocks on walls including cost and conveyance of all materials and labour charges , overheads &amp; contractors profit complete for finished item of work.</t>
    </r>
  </si>
  <si>
    <r>
      <t xml:space="preserve">Rate as per SSR   </t>
    </r>
    <r>
      <rPr>
        <sz val="9"/>
        <color theme="1"/>
        <rFont val="Cambria"/>
        <family val="2"/>
        <charset val="1"/>
      </rPr>
      <t xml:space="preserve">            TBSP-G.I-07</t>
    </r>
  </si>
  <si>
    <r>
      <t xml:space="preserve">Rate as per SSR                                 </t>
    </r>
    <r>
      <rPr>
        <sz val="9"/>
        <color theme="1"/>
        <rFont val="Cambria"/>
        <family val="2"/>
        <charset val="1"/>
      </rPr>
      <t>TBSP-G.I-08</t>
    </r>
  </si>
  <si>
    <r>
      <t xml:space="preserve">Rate as per SSR                                 </t>
    </r>
    <r>
      <rPr>
        <sz val="9"/>
        <color theme="1"/>
        <rFont val="Cambria"/>
        <family val="2"/>
        <charset val="1"/>
      </rPr>
      <t xml:space="preserve"> TBSP-G.I-9</t>
    </r>
  </si>
  <si>
    <r>
      <t xml:space="preserve">Rate as per SSR                                  </t>
    </r>
    <r>
      <rPr>
        <sz val="9"/>
        <color theme="1"/>
        <rFont val="Cambria"/>
        <family val="2"/>
        <charset val="1"/>
      </rPr>
      <t>TBSP-G.I-10</t>
    </r>
  </si>
  <si>
    <r>
      <t xml:space="preserve">Rate as per SSR                                   </t>
    </r>
    <r>
      <rPr>
        <sz val="9"/>
        <color theme="1"/>
        <rFont val="Cambria"/>
        <family val="2"/>
        <charset val="1"/>
      </rPr>
      <t>TBSP-G.I-11</t>
    </r>
  </si>
  <si>
    <r>
      <t xml:space="preserve">Rate as per SSR                                   </t>
    </r>
    <r>
      <rPr>
        <sz val="9"/>
        <color theme="1"/>
        <rFont val="Cambria"/>
        <family val="2"/>
        <charset val="1"/>
      </rPr>
      <t>TBSP-G.I-12</t>
    </r>
  </si>
  <si>
    <r>
      <t>Supplying and fixing 65 mm Nominal Bore GI pipe Medium Grade properties &amp; weight</t>
    </r>
    <r>
      <rPr>
        <sz val="11"/>
        <color theme="1"/>
        <rFont val="Cambria"/>
        <family val="2"/>
        <charset val="1"/>
      </rPr>
      <t xml:space="preserve"> as per IS 1239 in ground or on wall with GI fittings such as elbows tees couplings, nipples, plugs including excavation for trenches and refilling the trenches ,chiselling masonry walls and making good the walls &amp; floors to the original surface and fixing MS clamps on TW blocks on walls including cost and conveyance of all materials and labour charges , overheads &amp; contractors profit complete for finished item of work except for GI bends union and GI connectors with checkout and socket </t>
    </r>
    <r>
      <rPr>
        <b/>
        <sz val="11"/>
        <color theme="1"/>
        <rFont val="Cambria"/>
        <family val="2"/>
        <charset val="1"/>
      </rPr>
      <t xml:space="preserve">Tata or Zenith </t>
    </r>
    <r>
      <rPr>
        <sz val="11"/>
        <color theme="1"/>
        <rFont val="Cambria"/>
        <family val="2"/>
        <charset val="1"/>
      </rPr>
      <t xml:space="preserve">make or equivalent. </t>
    </r>
  </si>
  <si>
    <r>
      <t xml:space="preserve">Rate as per SSR                                   </t>
    </r>
    <r>
      <rPr>
        <sz val="9"/>
        <color theme="1"/>
        <rFont val="Cambria"/>
        <family val="2"/>
        <charset val="1"/>
      </rPr>
      <t>TBSP-G.I-13</t>
    </r>
  </si>
  <si>
    <r>
      <t>Supplying and fixing Bronze Gate/ Globe valve as per IS - 778 Class - I, Indian make heavy type</t>
    </r>
    <r>
      <rPr>
        <sz val="11"/>
        <color theme="1"/>
        <rFont val="Cambria"/>
        <family val="2"/>
        <charset val="1"/>
      </rPr>
      <t xml:space="preserve"> including cost and conveyance of all materials , labour charges , overheads &amp; contractors profit complete for finished item of work.</t>
    </r>
  </si>
  <si>
    <r>
      <t xml:space="preserve">Rate as per SSR                                </t>
    </r>
    <r>
      <rPr>
        <sz val="9"/>
        <color theme="1"/>
        <rFont val="Cambria"/>
        <family val="2"/>
        <charset val="1"/>
      </rPr>
      <t>TBSP-G.III-01</t>
    </r>
  </si>
  <si>
    <r>
      <t xml:space="preserve">Rate as per SSR                               </t>
    </r>
    <r>
      <rPr>
        <sz val="9"/>
        <color theme="1"/>
        <rFont val="Cambria"/>
        <family val="2"/>
        <charset val="1"/>
      </rPr>
      <t>TBSP-G.III-02</t>
    </r>
  </si>
  <si>
    <r>
      <t xml:space="preserve">Rate as per SSR                               </t>
    </r>
    <r>
      <rPr>
        <sz val="9"/>
        <color theme="1"/>
        <rFont val="Cambria"/>
        <family val="2"/>
        <charset val="1"/>
      </rPr>
      <t>TBSP-G.III-03</t>
    </r>
  </si>
  <si>
    <r>
      <t xml:space="preserve">Rate as per SSR                               </t>
    </r>
    <r>
      <rPr>
        <sz val="9"/>
        <color theme="1"/>
        <rFont val="Cambria"/>
        <family val="2"/>
        <charset val="1"/>
      </rPr>
      <t>TBSP-G.III-04</t>
    </r>
  </si>
  <si>
    <r>
      <t xml:space="preserve">Rate as per SSR                               </t>
    </r>
    <r>
      <rPr>
        <sz val="9"/>
        <color theme="1"/>
        <rFont val="Cambria"/>
        <family val="2"/>
        <charset val="1"/>
      </rPr>
      <t>TBSP-G.III-05</t>
    </r>
  </si>
  <si>
    <r>
      <t xml:space="preserve">Rate as per SSR                               </t>
    </r>
    <r>
      <rPr>
        <sz val="9"/>
        <color theme="1"/>
        <rFont val="Cambria"/>
        <family val="2"/>
        <charset val="1"/>
      </rPr>
      <t>TBSP-G.III-06</t>
    </r>
  </si>
  <si>
    <r>
      <t xml:space="preserve">Rate as per SSR                               </t>
    </r>
    <r>
      <rPr>
        <sz val="9"/>
        <color theme="1"/>
        <rFont val="Cambria"/>
        <family val="2"/>
        <charset val="1"/>
      </rPr>
      <t>TBSP-G.III-07</t>
    </r>
  </si>
  <si>
    <r>
      <t xml:space="preserve">Rate as per SSR   </t>
    </r>
    <r>
      <rPr>
        <sz val="9"/>
        <color theme="1"/>
        <rFont val="Cambria"/>
        <family val="2"/>
        <charset val="1"/>
      </rPr>
      <t xml:space="preserve">                                     TBSP-G.III-08</t>
    </r>
  </si>
  <si>
    <r>
      <t>Providing and placing on terrace</t>
    </r>
    <r>
      <rPr>
        <sz val="11"/>
        <color theme="1"/>
        <rFont val="Cambria"/>
        <family val="2"/>
        <charset val="1"/>
      </rPr>
      <t xml:space="preserve"> </t>
    </r>
    <r>
      <rPr>
        <b/>
        <sz val="11"/>
        <color theme="1"/>
        <rFont val="Cambria"/>
        <family val="2"/>
        <charset val="1"/>
      </rPr>
      <t>(at all floor levels)polyetheylene water storage tank with double layer</t>
    </r>
    <r>
      <rPr>
        <sz val="11"/>
        <color theme="1"/>
        <rFont val="Cambria"/>
        <family val="2"/>
        <charset val="1"/>
      </rPr>
      <t xml:space="preserve"> approved brand and manufacture with cover and suitable locking arrangement and making necessary holes for inlet and outlets and over flow pipes but without fittings and base support for tanks  including cost and conveyance of all materials and labour charges , overheads &amp; contractors profit complete for finished item of work.</t>
    </r>
  </si>
  <si>
    <r>
      <t xml:space="preserve">Rate as per SSR                       </t>
    </r>
    <r>
      <rPr>
        <sz val="9"/>
        <color theme="1"/>
        <rFont val="Cambria"/>
        <family val="2"/>
        <charset val="1"/>
      </rPr>
      <t>TBSP-H.II-01</t>
    </r>
  </si>
  <si>
    <r>
      <t>Supplying and fixing of stainless steel sink of size 914.4 mm x457.2mm, 1mm thick</t>
    </r>
    <r>
      <rPr>
        <sz val="11"/>
        <color theme="1"/>
        <rFont val="Cambria"/>
        <family val="2"/>
        <charset val="1"/>
      </rPr>
      <t xml:space="preserve"> of Indian make fixed on cantilever brackets including supply and fixing 31.75mm C.P. waste coupling, 30mm dia PVC flexible waste pipe of 914.4 mm length of Ist quality ncluding chiselling brick masonry wall and making good &amp; restoring to original surfaces overheads &amp; contractors profit complete.for finished item of work in all floors.</t>
    </r>
  </si>
  <si>
    <r>
      <t xml:space="preserve">Rate as per SSR                </t>
    </r>
    <r>
      <rPr>
        <sz val="9"/>
        <color theme="1"/>
        <rFont val="Cambria"/>
        <family val="2"/>
        <charset val="1"/>
      </rPr>
      <t>TBSP-E.VI-13</t>
    </r>
  </si>
  <si>
    <r>
      <t>Supplying and fixing white glazed flat back Bowl urinals of size 440 mm x 265 mm x 315 mm</t>
    </r>
    <r>
      <rPr>
        <sz val="11"/>
        <color theme="1"/>
        <rFont val="Cambria"/>
        <family val="2"/>
        <charset val="1"/>
      </rPr>
      <t xml:space="preserve"> with integral flushing rim fixed with screws complete Indian make (HSW/Parry/Neycer) conforming to IS:2556-1995 as approved by Engineer-in-charge, including supply and fixing 12.7mm PVC connection with brass plumber union nuts CP coated, 12.70mm push cock 1st quality of approved make , 30mm dia PVC flexible waste pipe of 914.4 mm length of Ist quality including cost and conveyance of all materials to site, labour charges , overheads &amp; contractors profit complete for finished item of work for all  floors.</t>
    </r>
  </si>
  <si>
    <r>
      <t xml:space="preserve">Rate as per SSR  </t>
    </r>
    <r>
      <rPr>
        <sz val="9"/>
        <color theme="1"/>
        <rFont val="Cambria"/>
        <family val="2"/>
        <charset val="1"/>
      </rPr>
      <t>TBSP-E.VII-01/TBSP-E.VIII-011</t>
    </r>
  </si>
  <si>
    <r>
      <t xml:space="preserve">12.7mm PVC connections with brass plumber union nuts  </t>
    </r>
    <r>
      <rPr>
        <sz val="9"/>
        <color theme="1"/>
        <rFont val="Cambria"/>
        <family val="2"/>
        <charset val="1"/>
      </rPr>
      <t>TBSP-J.I-32</t>
    </r>
  </si>
  <si>
    <r>
      <t xml:space="preserve">12.70mm NP push cock 
</t>
    </r>
    <r>
      <rPr>
        <sz val="9"/>
        <color theme="1"/>
        <rFont val="Cambria"/>
        <family val="2"/>
        <charset val="1"/>
      </rPr>
      <t>TBSP-F.III-01 / TBSP-F.VIII-01</t>
    </r>
  </si>
  <si>
    <r>
      <t>Supplying and fixing white glazed flat back half stall urinals of size 590 mm x 375 mm x 390 mm</t>
    </r>
    <r>
      <rPr>
        <sz val="11"/>
        <color theme="1"/>
        <rFont val="Cambria"/>
        <family val="2"/>
        <charset val="1"/>
      </rPr>
      <t xml:space="preserve"> with integral flushing rim fixed with screws complete Indian make (HSW/Parry/Neycer) conforming to IS:2556-1995 as approved by Engineer-in-charge, including supply and fixing 12.7mm PVC connection with brass plumber union nuts CP coated, 12.70mm push cock 1st quality of approved make, 30mm dia PVC flexible waste pipe of 914.4 mm length of Ist quality including cost and conveyance of all materials to site, labour charges etc., overheads &amp; contractors profit complete for finished item of work for all  floors.</t>
    </r>
  </si>
  <si>
    <r>
      <t xml:space="preserve">Rate as per SSR  </t>
    </r>
    <r>
      <rPr>
        <sz val="9"/>
        <color theme="1"/>
        <rFont val="Cambria"/>
        <family val="2"/>
        <charset val="1"/>
      </rPr>
      <t>TBSP-E.VII-03/TBSP-E.VIII-011</t>
    </r>
  </si>
  <si>
    <r>
      <t xml:space="preserve">12.7mm PVC connections with brass plumber union nuts   </t>
    </r>
    <r>
      <rPr>
        <sz val="9"/>
        <color theme="1"/>
        <rFont val="Cambria"/>
        <family val="2"/>
        <charset val="1"/>
      </rPr>
      <t>TBSP-J.I-32</t>
    </r>
  </si>
  <si>
    <r>
      <t xml:space="preserve">12.70mm NP push cock 
</t>
    </r>
    <r>
      <rPr>
        <sz val="9"/>
        <color theme="1"/>
        <rFont val="Cambria"/>
        <family val="2"/>
        <charset val="1"/>
      </rPr>
      <t>TBSP-F.III-01 / /TBSP-F.VIII-01</t>
    </r>
  </si>
  <si>
    <r>
      <t xml:space="preserve">30mm dia. PVC flexible waste pipe               
</t>
    </r>
    <r>
      <rPr>
        <sz val="9"/>
        <color theme="1"/>
        <rFont val="Cambria"/>
        <family val="2"/>
        <charset val="1"/>
      </rPr>
      <t>TBSP-H.II-04</t>
    </r>
  </si>
  <si>
    <r>
      <t>Supplying and fixing of 16mm to 20 mm thick polished marble slab partitioins of size 4' 0" x 2' 0" for urinals</t>
    </r>
    <r>
      <rPr>
        <sz val="11"/>
        <color theme="1"/>
        <rFont val="Cambria"/>
        <family val="2"/>
        <charset val="1"/>
      </rPr>
      <t xml:space="preserve"> including full rounding the edges, fixing in position, polishing, including cost and conveyance of all materials and labour charges, overheads &amp; contractors profit complete for finished item of work for all  floors.</t>
    </r>
  </si>
  <si>
    <r>
      <t xml:space="preserve">Rate as per SSR              </t>
    </r>
    <r>
      <rPr>
        <sz val="9"/>
        <color theme="1"/>
        <rFont val="Cambria"/>
        <family val="2"/>
        <charset val="1"/>
      </rPr>
      <t>TBSC.BII-03</t>
    </r>
  </si>
  <si>
    <r>
      <t xml:space="preserve">Chiselling the brick masonry wall </t>
    </r>
    <r>
      <rPr>
        <sz val="9"/>
        <color theme="1"/>
        <rFont val="Cambria"/>
        <family val="2"/>
        <charset val="1"/>
      </rPr>
      <t>TBSP-J.I-05</t>
    </r>
  </si>
  <si>
    <r>
      <t xml:space="preserve">Rounding the edges of marble    </t>
    </r>
    <r>
      <rPr>
        <sz val="9"/>
        <color theme="1"/>
        <rFont val="Cambria"/>
        <family val="2"/>
        <charset val="1"/>
      </rPr>
      <t>TBSC-T.I-12</t>
    </r>
  </si>
  <si>
    <r>
      <t>Supplying and fixing of 101.60mm x 609.60mm white glazed porcelain channels</t>
    </r>
    <r>
      <rPr>
        <sz val="11"/>
        <color theme="1"/>
        <rFont val="Cambria"/>
        <family val="2"/>
        <charset val="1"/>
      </rPr>
      <t xml:space="preserve"> 1st quality fixed in brick masonry  to the required slopes, white cement pointing including cost and conveyance of all materials and labour charges, overheads &amp; contractors profit complete for finished item of work for all  floors.</t>
    </r>
  </si>
  <si>
    <r>
      <t xml:space="preserve">Rate as per SSR                       </t>
    </r>
    <r>
      <rPr>
        <sz val="9"/>
        <color theme="1"/>
        <rFont val="Cambria"/>
        <family val="2"/>
        <charset val="1"/>
      </rPr>
      <t>TBSP-E.VII-04</t>
    </r>
  </si>
  <si>
    <r>
      <t>Construction of brick masonry support for GI pipe of size 304.80mm x 228.60mm x 228.60 mm</t>
    </r>
    <r>
      <rPr>
        <sz val="11"/>
        <color theme="1"/>
        <rFont val="Cambria"/>
        <family val="2"/>
        <charset val="1"/>
      </rPr>
      <t xml:space="preserve"> in CM (1:8) prop including plastering and finishing with 12mm thick in CM (1:5)  including cost and conveyance of all materials and all labour charges, overheads &amp; contractors profit complete for finished item of work for all  floors.</t>
    </r>
  </si>
  <si>
    <r>
      <t xml:space="preserve">Rate as per SSR                         </t>
    </r>
    <r>
      <rPr>
        <sz val="9"/>
        <color theme="1"/>
        <rFont val="Cambria"/>
        <family val="2"/>
        <charset val="1"/>
      </rPr>
      <t>TBSP-B.II-04</t>
    </r>
  </si>
  <si>
    <r>
      <t xml:space="preserve">15 mm nominal size CP finish brass angled stop valve   </t>
    </r>
    <r>
      <rPr>
        <sz val="9"/>
        <color theme="1"/>
        <rFont val="Cambria"/>
        <family val="2"/>
        <charset val="1"/>
      </rPr>
      <t>TBSP-F.IV-03/TBSP-F.VIII-04</t>
    </r>
  </si>
  <si>
    <t>Providing independent earthing for Important equipment with 40mm dia 'B' class 2.5m long G.I pipe and 19mm dia 'B' class G.I pipe of 0.3mtr. long connected with reducer providing G.I funnel with mesh enclosed in C.C/ brick massonry chamber of 450m x 450m x 400mm with R.C.C. Slab cover duly providing staggered holes filling with 20Kg Salt and 40Kg Charcoal or 40Kg bentonite powder  from the bottom of the pipe  giving earth connection from electrode through G.I strip of 40 x 6mm x 200mm length with all accessories and labour charges complete, as per IS specifications 732/1982 (Part II)</t>
  </si>
  <si>
    <t>Supply and Run of  25mm x 6mm G.I Strip including cost of all accessories and labour charges etc., complete. (1.18Kgs/1Mtr)</t>
  </si>
  <si>
    <t>Supply and fixing of Modular type Stepped  electronic  regulator  for sweep AC ceiling fans of 1200mm / 1400mm complete with connections.
Makes : Legrand Arteor / Schneider Zen celo / Honeywell Blenge Plus / Crabtree Amare / Logus Platina / Gold Medal GIFA / GM-Zenova/ L&amp;T Englaze.</t>
  </si>
  <si>
    <t>Labour charges for fixing of ceiling fan and regulator including transportation and giving connections with twin core wire etc., complete. 
Makes  :  Finolex  /  RR  Kabel  /  Havells  /  Polycab  /  GM  / Million  /  V-Guard  /  Gold  Medal  /  HPL  / RPG.</t>
  </si>
  <si>
    <t>Supply  of  12" (300mm)  Light  duty  exhaust fan with metal blades etc complete Makes   :   Crompton     /   Havells   Ventilair-DB  /Orient hill air.</t>
  </si>
  <si>
    <t>Supply,Transportation  of 12" (300mm) ISI, 900 RPM Heavy duty exhaust fan with metallic blades   wiremesh with all accessories etc complete   Makes : Crompton  / Almonard / Havells Turbo Force SP.</t>
  </si>
  <si>
    <t>Supply and erecting 19/20mm steel tube down rod of one meter length with bolts &amp; nuts duly painted with matching colour of  fan complete</t>
  </si>
  <si>
    <t>Supply and Fixing of ISI 25mm  outer dia medium grade, with IS:9537 part 3 rigid PVC with all accessories fixing on chromium plated metallic base saddles including all labour charges etc., complete for run of mains.
Makes:-   Sudhakar / Finolex / Modi / VIP / Precision / Universal / Million Plast / Gold /  Polycab / DEC.</t>
  </si>
  <si>
    <t>Skilled Electrician.</t>
  </si>
  <si>
    <t xml:space="preserve">Lineman Electric / Telephone </t>
  </si>
  <si>
    <t xml:space="preserve">Helper (Electrical). </t>
  </si>
  <si>
    <t xml:space="preserve">Mason Cl- I / Brick layer Cl- I </t>
  </si>
  <si>
    <t>Contractor Profit</t>
  </si>
  <si>
    <t xml:space="preserve">Electrical Datas </t>
  </si>
  <si>
    <t>(SSR Based on SSR 2022-23)</t>
  </si>
  <si>
    <t>S.No</t>
  </si>
  <si>
    <t>SSR Item No</t>
  </si>
  <si>
    <t>Item Code</t>
  </si>
  <si>
    <t>I</t>
  </si>
  <si>
    <t>CONDUIT PIPE</t>
  </si>
  <si>
    <t>ELEC-1.2.1</t>
  </si>
  <si>
    <t>Supply and Laying of ISI 25mm outer dia heavy grade with IS:9537 part 3 rigid PVC pipe
concealed in Roof Slabs with all required PVC / Metallic Deep Boxes including masonary work and labour charges etc., complete. 
Makes : Sudhakar / Finolex / Modi / VIP / Precision / Universal / Million Plast / Gold / Polycab / DEC</t>
  </si>
  <si>
    <t>a) Labour charges :</t>
  </si>
  <si>
    <t>Labour Rate Per 100 Rm</t>
  </si>
  <si>
    <t>Labour Rate for  1 Mtr</t>
  </si>
  <si>
    <t>1.2.7</t>
  </si>
  <si>
    <t xml:space="preserve">Supply of PVC Junction Boxes Deep size 25mm. </t>
  </si>
  <si>
    <t>1.2.8</t>
  </si>
  <si>
    <t xml:space="preserve">Supply of 25mm dia 1.5mm thick PVC Bends. </t>
  </si>
  <si>
    <t>1.2.1</t>
  </si>
  <si>
    <t xml:space="preserve">Supply of ISI 25mm outer dia heavy  grade FRLS with IS:9537 part 3 regid PVC pipe. </t>
  </si>
  <si>
    <t>Mtr</t>
  </si>
  <si>
    <t>Material Rate for 100 Mtrs</t>
  </si>
  <si>
    <t>Material Rate for  1 Mtr</t>
  </si>
  <si>
    <t>Total Cost of Material + Labour Charges</t>
  </si>
  <si>
    <t>Add Contractors Profit</t>
  </si>
  <si>
    <t>Rate per Meter</t>
  </si>
  <si>
    <t>Supply and laying of ISI 25mm outer dia medium grade, with IS:9537 part 3 rigid PVC concealed in wall with all required PVC / Metallic Junction Boxes including masonary work  and labour charges etc.,
Makes:-   Sudhakar / Finolex / Modi / VIP / Precision / Universal / Million Plast / Gold /  Polycab / DEC.</t>
  </si>
  <si>
    <t>9.4.11</t>
  </si>
  <si>
    <t xml:space="preserve">Cement. </t>
  </si>
  <si>
    <t>9.1.4</t>
  </si>
  <si>
    <t>U Nails.</t>
  </si>
  <si>
    <t>1.2.6</t>
  </si>
  <si>
    <t>Supply of 25mm PVC Junction Boxes Normal.</t>
  </si>
  <si>
    <t>1.2.2</t>
  </si>
  <si>
    <t xml:space="preserve">Supply of ISI 25mm outer dia medium grade FRLS with IS:9537 part 3 regid PVC pipe. </t>
  </si>
  <si>
    <t>9.1.2</t>
  </si>
  <si>
    <t>Rawl Plugs</t>
  </si>
  <si>
    <t>1.4.4</t>
  </si>
  <si>
    <t>35mm Screws</t>
  </si>
  <si>
    <t>1.1.11</t>
  </si>
  <si>
    <t>Chromium Plated saddles with base</t>
  </si>
  <si>
    <t xml:space="preserve">Supply and erecting PVC / GI / MS Galvanished fan hook box with hook in  RCC slab including all Labour charges etc., complete. </t>
  </si>
  <si>
    <t>a) Material</t>
  </si>
  <si>
    <t>9.1.22</t>
  </si>
  <si>
    <t xml:space="preserve">PVC/ MS with hook in  RCC Fan hook  </t>
  </si>
  <si>
    <t>each</t>
  </si>
  <si>
    <t xml:space="preserve">Rate </t>
  </si>
  <si>
    <t xml:space="preserve">Wiring </t>
  </si>
  <si>
    <t>Point wiring in Non Residential Building</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</si>
  <si>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N.R.B.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</si>
  <si>
    <t>Labour for 6 Points</t>
  </si>
  <si>
    <t>Labour for 1 Point</t>
  </si>
  <si>
    <t>1.3.1</t>
  </si>
  <si>
    <t xml:space="preserve">Supply of 3 Module box. </t>
  </si>
  <si>
    <t>1.3.2</t>
  </si>
  <si>
    <t xml:space="preserve">Supply of 3 Modular Cover Frame. </t>
  </si>
  <si>
    <t>1.9.1</t>
  </si>
  <si>
    <r>
      <t xml:space="preserve">Supply of </t>
    </r>
    <r>
      <rPr>
        <b/>
        <sz val="10"/>
        <color theme="1"/>
        <rFont val="Arial"/>
        <family val="2"/>
      </rPr>
      <t>6A/ 10A</t>
    </r>
    <r>
      <rPr>
        <sz val="10"/>
        <color theme="1"/>
        <rFont val="Arial"/>
        <family val="2"/>
      </rPr>
      <t xml:space="preserve"> 1 Way 1 Module Modular Switch.</t>
    </r>
  </si>
  <si>
    <t>1.7.1</t>
  </si>
  <si>
    <t xml:space="preserve">Supply of  3 Plate Jumbo Ceiling Rose. </t>
  </si>
  <si>
    <t>1.5.1</t>
  </si>
  <si>
    <t>Supply of 22/0.3mm (1.5 Sqmm) FRLS / HFFR  PVC insulated 1100V grade as perIS:694/1990 specification for Copper cable.</t>
  </si>
  <si>
    <t>Mtrs</t>
  </si>
  <si>
    <t>Cost of Material for 6 Points</t>
  </si>
  <si>
    <t>Cost of Material Rate per 1 Point</t>
  </si>
  <si>
    <t>Stair case point wiring Point wiring in Non Residential Building</t>
  </si>
  <si>
    <r>
      <t xml:space="preserve">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t>
    </r>
    <r>
      <rPr>
        <b/>
        <sz val="10"/>
        <color theme="1"/>
        <rFont val="Arial"/>
        <family val="2"/>
      </rPr>
      <t xml:space="preserve">complete for staircase light points </t>
    </r>
    <r>
      <rPr>
        <sz val="10"/>
        <color theme="1"/>
        <rFont val="Arial"/>
        <family val="2"/>
      </rPr>
      <t>in N.R.B.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</si>
  <si>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Point wiring in Residential Building</t>
  </si>
  <si>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t>
    </r>
    <r>
      <rPr>
        <b/>
        <sz val="10"/>
        <color theme="1"/>
        <rFont val="Arial"/>
        <family val="2"/>
      </rPr>
      <t xml:space="preserve"> </t>
    </r>
    <r>
      <rPr>
        <sz val="10"/>
        <color theme="1"/>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</si>
  <si>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ELEC-1.3.1</t>
  </si>
  <si>
    <t xml:space="preserve">Supply of 4 Module box. </t>
  </si>
  <si>
    <t>ELEC-1.3.2</t>
  </si>
  <si>
    <t xml:space="preserve">Supply of 4 Modular Cover Frame. </t>
  </si>
  <si>
    <t>ELEC-1.9.1</t>
  </si>
  <si>
    <t>ELEC-1.7.1</t>
  </si>
  <si>
    <t>ELEC-1.5.1</t>
  </si>
  <si>
    <t>Cost of Material for 7 Points</t>
  </si>
  <si>
    <t>Stair case point wiring Point wiring in Residential Building</t>
  </si>
  <si>
    <r>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staircase light points</t>
    </r>
    <r>
      <rPr>
        <b/>
        <sz val="10"/>
        <color theme="1"/>
        <rFont val="Arial"/>
        <family val="2"/>
      </rPr>
      <t xml:space="preserve"> </t>
    </r>
    <r>
      <rPr>
        <sz val="10"/>
        <color theme="1"/>
        <rFont val="Arial"/>
        <family val="2"/>
      </rPr>
      <t>in 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r>
  </si>
  <si>
    <t>Common Socket</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</si>
  <si>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</si>
  <si>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of 3 Module box.</t>
  </si>
  <si>
    <t>6 / 10A 1 Way 1 Module Modular Switch</t>
  </si>
  <si>
    <t>10A 3/2 Pin 2 Module Modular Socket with shutter</t>
  </si>
  <si>
    <t xml:space="preserve">6A Switches - 2 Nos &amp; 6A Sockets - 2 Nos </t>
  </si>
  <si>
    <t>Supply and fixing of  6 / 10A 1 Way 1 Module Modular Switches - 2 Nos  and 10A 3/2 Pin 2 Module Modular Socket with shutter - 2 Nos Modular type with cover plate  and GI switch box fixing on separate board including all labour charges etc., complete. 
Makes of switches : Legrand Arteor / Schneider Zen celo / Honeywell Blenge Plus / Cabtree
Amare / Logus Platina / Gold Medal GIFA / GM-Zenova/ L&amp;T- Englaze.</t>
  </si>
  <si>
    <t>Labour for 1 No</t>
  </si>
  <si>
    <t xml:space="preserve">Supply of 6 Module box </t>
  </si>
  <si>
    <t>Supply of 6 Modular Cover Frame.</t>
  </si>
  <si>
    <t>Cost of Material for 1 No</t>
  </si>
  <si>
    <t xml:space="preserve">6A Sockets - 3 Nos  &amp;  6A Switches - 2 Nos  </t>
  </si>
  <si>
    <r>
      <t xml:space="preserve">Supply and fixing of 6 / 10A 1 Way 1 Module Modular Switch - 2 Nos  and 10A 3/2 Pin 2 Module Modular Socket with shutter - 3 Nos Modular type with cover plate  and GI switch box   fixing on separate board including all labour charges with connections etc., complete.
</t>
    </r>
    <r>
      <rPr>
        <b/>
        <sz val="10"/>
        <color rgb="FF000000"/>
        <rFont val="Arial"/>
        <family val="2"/>
      </rPr>
      <t xml:space="preserve">Makes of switches : </t>
    </r>
    <r>
      <rPr>
        <sz val="10"/>
        <color rgb="FF000000"/>
        <rFont val="Arial"/>
        <family val="2"/>
      </rPr>
      <t>Legrand Arteor / Schneider Zen celo / Honeywell Blenge Plus / Cabtree
Amare / Logus Platina / Gold Medal GIFA / GM-Zenova/ L&amp;T- Englaze.</t>
    </r>
  </si>
  <si>
    <t xml:space="preserve">Supply of 8 Module box </t>
  </si>
  <si>
    <t>Supply of 8  Modular Cover Frame.</t>
  </si>
  <si>
    <t xml:space="preserve">6A Switches - 4 Nos &amp; 6A Sockets - 4 Nos </t>
  </si>
  <si>
    <t>Supply and fixing of  6 / 10A 1 Way 1 Module Modular Switches - 4 Nos  and 10A 3/2 Pin 2 Module Modular Socket with shutter - 4 Nos Modular type with cover plate  and GI switch box   fixing on separate board including all labour charges etc., complete.
Makes of switches : Legrand Arteor / Schneider Zen celo / Honeywell Blenge Plus / Cabtree
Amare / Logus Platina / Gold Medal GIFA / GM-Zenova/ L&amp;T- Englaze.</t>
  </si>
  <si>
    <t xml:space="preserve">Supply of 12 Module box </t>
  </si>
  <si>
    <t>Supply of 12  Modular Cover Frame.</t>
  </si>
  <si>
    <t xml:space="preserve">16 A Socket </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</si>
  <si>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in N.R.B. / R.B.  
Makes of switches : Legrand Arteor / Schneider Zen celo / Honeywell Blenge Plus / Cabtree
Amare / Logus Platina / Gold Medal GIFA / GM-Zenova/ L&amp;T- Englaze.</t>
  </si>
  <si>
    <t xml:space="preserve">Supply of 16A/20A 1 Way 1 Module Modular Switch. </t>
  </si>
  <si>
    <t>Supply of 16A / 6A 2 Module Combi Socket Modular Socket with shutter</t>
  </si>
  <si>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- 1 Nos.
4) 6 / 10A 1 Way 1 Module Modular Switch – 1 Nos.
including cost and coveyance of all material and all labour charges etc., complete for </t>
    </r>
    <r>
      <rPr>
        <b/>
        <sz val="10"/>
        <color rgb="FFFF0000"/>
        <rFont val="Arial"/>
        <family val="2"/>
      </rPr>
      <t xml:space="preserve"> Computer, LAB and OTs Use 
</t>
    </r>
    <r>
      <rPr>
        <sz val="10"/>
        <rFont val="Arial"/>
        <family val="2"/>
      </rPr>
      <t>Makes of switches : Legrand Arteor / Schneider Zen celo / Honeywell Blenge Plus / Cabtree Amare / Logus Platina / Gold Medal GIFA / GM-Zenova/ L&amp;T- Englaze.</t>
    </r>
  </si>
  <si>
    <t>6 Module cover frame</t>
  </si>
  <si>
    <t>6 Module box</t>
  </si>
  <si>
    <t>b) Labour charges :</t>
  </si>
  <si>
    <t>Skilled Electrician</t>
  </si>
  <si>
    <t>Helpers</t>
  </si>
  <si>
    <t>Sundries</t>
  </si>
  <si>
    <t>C) Cost for 1 Points</t>
  </si>
  <si>
    <r>
      <t xml:space="preserve">Supply and fixing of following switches and sockets modular type  on suitable size Modular deep box with cover frame including cost and coveyance of all material and all labour charges etc., complete with following configurations.
1) 16A / 6A 2 Module Combi Socket Modular Socket with shutter - 1 No
2) 16A/20A 1 Way 1 Module Modular Switch.  - 1 No
3) 10A 3/2 Pin 2 Module Modular Socket with shutter - 3 Nos.
4) 6 / 10A 1 Way 1 Module Modular Switch - 3 Nos.
including cost and coveyance of all material and all labour charges etc., complete for </t>
    </r>
    <r>
      <rPr>
        <b/>
        <sz val="10"/>
        <color rgb="FFFF0000"/>
        <rFont val="Arial"/>
        <family val="2"/>
      </rPr>
      <t xml:space="preserve"> LAB,ICU's and OTs Use  
</t>
    </r>
    <r>
      <rPr>
        <sz val="10"/>
        <rFont val="Arial"/>
        <family val="2"/>
      </rPr>
      <t>Makes of switches : Legrand Arteor / Schneider Zen celo / Honeywell Blenge Plus / Cabtree Amare / Logus Platina / Gold Medal GIFA / GM-Zenova/ L&amp;T- Englaze.</t>
    </r>
  </si>
  <si>
    <t>Taking Output = 15 Points</t>
  </si>
  <si>
    <t>12 Module cover frame</t>
  </si>
  <si>
    <t>12 Module box</t>
  </si>
  <si>
    <t>III</t>
  </si>
  <si>
    <t xml:space="preserve">Run of Mains </t>
  </si>
  <si>
    <t>Supply and  Run of 1 of 1.5 sq.mm (Earth) FRLSH / HFFR PVC insulated 1100V grade as per IS:694/1990, IS 17048 specification for Copper cable. specifications for Copper cable in the existing conduict pipe  for earth continuity inlcuding all labour charges etc., complete. 
Makes of wires : Finolex / RR kabel / Havells / Polycab / Finecab Gold (HFFR) / GM(HFFR) / Gold Medal(HFFR) / Million (HFFR) / KEI (HFFR) / V-Guard (HFFR)/ DEC (HFFR).</t>
  </si>
  <si>
    <t>Labour for 100 Mtr</t>
  </si>
  <si>
    <t>Labour for 1 Mtr</t>
  </si>
  <si>
    <t xml:space="preserve">Supply of 22/0.3mm (1.5 Sqmm) FRLS / HFFR  PVC insulated 1100V grade as perIS:694/1990 specification for Copper cable. </t>
  </si>
  <si>
    <t>Cost of Material for 100 Metres</t>
  </si>
  <si>
    <t>Cost of Material Rate per Mtr= C/100</t>
  </si>
  <si>
    <t>Supply and  Run of 3 of 1.5 sq.mm (phase, neutral and earth) FRLSH / HFFR PVC insulated 1100V grade as per IS:694/1990, IS 17048 specifications for Copper cable  of in existing pipe.  
Makes of wires : Finolex / RR kabel / Havells / Polycab / Finecab Gold (HFFR) / GM(HFFR) / Gold Medal(HFFR) / Million (HFFR) / KEI (HFFR) / V-Guard (HFFR)/ DEC (HFFR).</t>
  </si>
  <si>
    <t>Supply and  Run of  3 of 2.5 sq.mm (phase, neutral and earth) FRLSH / HFFR PVC insulated 1100V grade as per IS:694/1990, IS 17048 specifications for Copper cable  of in existing pipe.  
Makes of wires : Finolex / RR kabel / Havells / Polycab / Finecab Gold (HFFR) / GM(HFFR) / Gold Medal(HFFR) / Million (HFFR) / KEI (HFFR) / V-Guard (HFFR) / DEC (HFFR).</t>
  </si>
  <si>
    <t xml:space="preserve">Supply of 36/0.3mm (2.5 Sqmm) FRLS / HFFR  PVC insulated 1100V grade as perIS:694/1990 specification for Copper cable. </t>
  </si>
  <si>
    <t>Supply and  Run of 3 of 4.0 sq mm (phase neutral and earth) FRLSH / HFFR PVC insulated 1100V grade as per IS:694/1990, IS 17048 specifications for Copper cable  of  in existing pipe for power points and AC Sockets inlcuding all labour charges etc., complete. 
Makes of wires : Finolex / RR kabel / Havells / Polycab / Finecab Gold (HFFR) / GM(HFFR) / Gold Medal(HFFR) / Million (HFFR) / KEI (HFFR) / V-Guard (HFFR)/ DEC (HFFR).</t>
  </si>
  <si>
    <t xml:space="preserve">Supply of 56/0.3mm (4.0 Sqmm) FRLS / HFFR  PVC insulated 1100V grade as perIS:694/1990 specification for Copper cable. </t>
  </si>
  <si>
    <t>Supply and  Run of 3 of 6.0 sq mm (phase neutral and earth) FRLSH / HFFR PVC insulated 1100V grade as per IS:694/1990, IS 17048 specifications for Copper cable  of  in existing pipe for SPNDB's incoming inlcuding all labour charges etc., complete. 
Makes of wires : Finolex / RR kabel / Havells / Polycab / Finecab Gold (HFFR) / GM(HFFR) / Gold Medal(HFFR) / Million (HFFR) / KEI (HFFR) / V-Guard (HFFR) / DEC (HFFR).</t>
  </si>
  <si>
    <t xml:space="preserve">Supply of 84/0.3mm (6.0 Sqmm) FRLS / HFFR  PVC insulated 1100V grade as perIS:694/1990 specification for Copper cable. </t>
  </si>
  <si>
    <t>Supply and Run of  5 of 6.0 Sq.mm FRLSH / HFFR PVC insulated 1100V grade as per IS:694/1990, IS 17048 specifications for Copper cable  in the existing conduict pipe for run of mains from VTPN / Panel Board  to TPN DB"s with pin type lugs and connections etc., complete.  [for LDBs]
Makes of wires : Finolex / RR kabel / Havells / Polycab / Finecab Gold (HFFR) / GM(HFFR) / Gold Medal(HFFR) / Million (HFFR) / KEI (HFFR) / V-Guard (HFFR) /DEC (HFFR).</t>
  </si>
  <si>
    <t>Supply and Run of 5 of 10.0 Sq.mm FRLSH / HFFR PVC insulated 1100V grade as per IS:694/1990, IS 17048 specifications for Copper cable in the existing conduict pipe for run of mains from VTPN / Panel Board to TPN DB"s with pin type lugs and connections etc., complete.  [for PDBs]
Makes of wires : Finolex / RR kabel / Havells / Polycab / Finecab Gold (HFFR) / GM(HFFR) / Gold Medal(HFFR) / Million (HFFR) / KEI (HFFR) / V-Guard (HFFR) / DEC (HFFR).</t>
  </si>
  <si>
    <t xml:space="preserve">Supply of 140/0.3mm (10.0 Sqmm) PVC FRLS / HFFR insulated flexible Copper cable. </t>
  </si>
  <si>
    <t>IV</t>
  </si>
  <si>
    <t>Distribution Boards</t>
  </si>
  <si>
    <t xml:space="preserve">Supply and fixing of DP/FP Metal Enclosure with IP 20 Protection DB Make with 1 No 20A, 10 KA DP MCB   including internal connection and labour charges for Flush Mounting etc.,complete. 
Makes of Enclousure : Legrand / Schneider / Siemens / L&amp;T / Crabtree Xpro / ABB / C&amp;S  
MCB Makes : Legrand-DX3 / Schneider-Acti9 / Siemens / L&amp;T Exora. 
</t>
  </si>
  <si>
    <t>LABOUR</t>
  </si>
  <si>
    <t>COST OF LABOUR FOR FULSH MOUNTING</t>
  </si>
  <si>
    <t>MATERIAL</t>
  </si>
  <si>
    <t>2.17.11</t>
  </si>
  <si>
    <t>Supply of DP/TP/FP Metal Enclosure with IP 20 Protection.</t>
  </si>
  <si>
    <t>ELEC-2.14.1</t>
  </si>
  <si>
    <t xml:space="preserve">Supply of 6-32A 10KA DP MCB, C/D Curve ISI Mark. </t>
  </si>
  <si>
    <t>COST OF MATERIAL FOR FULSH MOUNTING</t>
  </si>
  <si>
    <t>TOTAL COST OF MATERIAL + LABOUR FOR FULSH MOUNTING</t>
  </si>
  <si>
    <t>8 Way SPNDB</t>
  </si>
  <si>
    <t>Supply and fixing of 8 Way SPN DB with IP 43 Protection as per IS:13032   with 1 No 40A DP MCB as Incommer, and 6 Nos of 20A SP MCB 10KA, C/D Curve ISI Mark  as out goings, concealing in wall  etc complete.  
DB Makes : Legrand / Schneider / Siemens / L&amp;T / Cabtree Xpro.
MCB Makes : Legrand-DX3 / Schneider-Acti9 / Siemens / L&amp;T Exora / Cabtree.</t>
  </si>
  <si>
    <t>2.16.1</t>
  </si>
  <si>
    <t>Supply of 8 Way SPN DB</t>
  </si>
  <si>
    <t>Supply of 40-63A DP MCB</t>
  </si>
  <si>
    <t xml:space="preserve">Supply of 20A 10KA SP MCB, C/D Curve ISI Mark. </t>
  </si>
  <si>
    <t>ELEC-9.4.11</t>
  </si>
  <si>
    <t>TOTAL COST OF MATERIAL + LABOUR FOR FLUSH MOUNTING</t>
  </si>
  <si>
    <t>FLUSH</t>
  </si>
  <si>
    <t>4 Way TPNDB (LDB)</t>
  </si>
  <si>
    <t>Supply and fixing of 4 Way TPN DB Horizontal with IP 43 Protection as per IS:13032  with 1 No., of 32A FP MCB 10KA, C/D Curve ISI Mark as incomer and 12 Nos 6-32 A 10KA SP MCBs  10KA, C/D Curve ISI Mark as out goings including internal connections and labour charges for FLUSH Mounting etc., complete. (For Lighting DBs)  
DB Makes : Legrand / Schneider / Siemens / L&amp;T / Cabtree Xpro.
MCB Makes : Legrand-DX3 / Schneider-Acti9 / Siemens / L&amp;T Exora / Cabtree.</t>
  </si>
  <si>
    <t>ELEC-2.17.1</t>
  </si>
  <si>
    <t>Supply of 4 Way TPN DB Horizontal with IP 43 Protection as per IS:13032 and suitable for 12 Nos S.P. out goings and for 1 No 4 pole  Incommer etc complete.</t>
  </si>
  <si>
    <t>Supply of 32A FP MCB</t>
  </si>
  <si>
    <t xml:space="preserve">Supply of 6-32A 10KA SP MCB, C/D Curve ISI Mark. </t>
  </si>
  <si>
    <t>4 Way TPNDB (PDB)</t>
  </si>
  <si>
    <t>Supply and fixing of 4 Way TPN DB Horizontal with IP 43 Protection as per IS:13032  with 1 No., of 63A FP MCB 10KA, C/D Curve ISI Mark as incomer and 12 Nos 6-32 A 10 KA SP MCBs  10KA, C/D Curve ISI Mark as out goings including internal connections and labour charges for FLUSH Mounting etc., complete. (For Power  DBs)  
DB Makes : Legrand / Schneider / Siemens / L&amp;T / Cabtree Xpro.
MCB Makes : Legrand-DX3 / Schneider-Acti9 / Siemens / L&amp;T Exora / Cabtree.</t>
  </si>
  <si>
    <t>2.17.1</t>
  </si>
  <si>
    <t xml:space="preserve">Supply of 4 Way TPN DB Horizontal with IP 43 Protection as per IS:13032 and suitable for 12 Nos S.P. out goings and for 1 No 4 pole  Incommer etc complete. </t>
  </si>
  <si>
    <t>2.14.1</t>
  </si>
  <si>
    <t>Supply of 63A FP MCB.</t>
  </si>
  <si>
    <t>Supply of 6-32A 10KA SP MCB, C/D Curve ISI Mark.</t>
  </si>
  <si>
    <t>8 Way VTPN  DB</t>
  </si>
  <si>
    <t xml:space="preserve">Supply and fixing of 8 Way VTPN DB with IP 43 Protection as per IS:13032 with 1 No., of 125A 4P MCCB, Adjustable, Confirms to IS/IEC 60947-2 having Breaking Capacity 25 KA with thermal magnetic release  Panel Mounted  as incomer with 8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
</t>
  </si>
  <si>
    <t>COST OF LABOUR FOR SURFACE MOUNTING</t>
  </si>
  <si>
    <t>2.17.3</t>
  </si>
  <si>
    <t xml:space="preserve">Supply of 8 Way VTPN DB </t>
  </si>
  <si>
    <t xml:space="preserve">Supply of 40-63A 10KA TP MCB, </t>
  </si>
  <si>
    <t>2.8.1</t>
  </si>
  <si>
    <t xml:space="preserve">Supply of  125A 4P MCCB, </t>
  </si>
  <si>
    <t>Makes : L&amp;T- D shine / Schneider-NS NSX/Legrand -DP X3/ Siemens-3VL / Hager- h3/C&amp;S -Winbreak.</t>
  </si>
  <si>
    <t>COST OF MATERIAL FOR SURFACE MOUNTING</t>
  </si>
  <si>
    <t>TOTAL COST OF MATERIAL + LABOUR FOR SURFACE MOUNTING</t>
  </si>
  <si>
    <t>SURFACE</t>
  </si>
  <si>
    <t>4 Way VTPN  DB</t>
  </si>
  <si>
    <t>Supply and fixing of 4 Way VTPN DB with IP 43 Protection as per IS:13032 with 1 No., of               63A 4P MCCB, Adjustable, Confirms to IS/IEC 60947-2 having Breaking Capacity 25 KA with thermal magnetic release  Panel Mounted  as incomer with 4 Nos of 63A  TP MCBs 10KA, C/D Curve ISI Mark as Out goings  including internal connections and labour charges for FLUSH Mounting etc., complete.   
DB Makes : Legrand / Schneider / Siemens / L&amp;T / Cabtree Xpro.
MCB Makes : Legrand-DX3 / Schneider-Acti9 / Siemens / L&amp;T Exora / Cabtree.
MCCB Makes : Makes : L&amp;T- D sine / Schneider-NS NSX/Legrand -DP X3/ Siemens-3V /
Hager-h3 / C&amp;S -Winbreak.</t>
  </si>
  <si>
    <t xml:space="preserve">Supply of 4 Way VTPN DB </t>
  </si>
  <si>
    <t xml:space="preserve">Supply of  63A 4P MCCB, </t>
  </si>
  <si>
    <t>AR</t>
  </si>
  <si>
    <t>Supply and fixing of cable  adopteres box with cover for DBs including, massanory work etc., complete.,
Makes : Legrand / Schneider.</t>
  </si>
  <si>
    <t xml:space="preserve">No </t>
  </si>
  <si>
    <t>63A MCCB Switch</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</si>
  <si>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 xml:space="preserve">made out of No.16/14 gauge CRCA sheet steel after 7 tank process and painting with powder coating.  The panel shall consists of 63A 4P 25 KA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
</t>
    </r>
  </si>
  <si>
    <t>Fabrication:</t>
  </si>
  <si>
    <t>Size of panel : in Mtr</t>
  </si>
  <si>
    <t xml:space="preserve">Front and back faces  </t>
  </si>
  <si>
    <t xml:space="preserve">Top and bottom faces  </t>
  </si>
  <si>
    <t xml:space="preserve">Side faces  </t>
  </si>
  <si>
    <t>Sub total</t>
  </si>
  <si>
    <t>Add extra 10 % for wastage</t>
  </si>
  <si>
    <t>7.13.1</t>
  </si>
  <si>
    <t>a+b/2</t>
  </si>
  <si>
    <t>Fabrication and erection of 14 / 16 SWG CRCA sheet steel enclosure for power control  cubicle panel / boxes etc., including cutting, bending drilling, welding and reveting  etc., complete with cleaning with 7 tank process and painting with powder coating including cost and conveyance of all materials and labour charges.</t>
  </si>
  <si>
    <t>Sqmt</t>
  </si>
  <si>
    <t>Incomer &amp; Out goings</t>
  </si>
  <si>
    <t>Supply of  63A / 60A 4 Pole MCCB, Adjustable, Confirms to IS/IEC 60947-2 having Breaking Capacity 16 KA with thermal magnetic release  Panel Mounted.  Makes : L&amp;T- D sine / Schneider-NS NSX/Legrand -DP X3/ Siemens-3V / Hager-h3/C&amp;S -Winbreak.</t>
  </si>
  <si>
    <t>Transportation</t>
  </si>
  <si>
    <t>Control wiring with flexible wires and connections to MCBs with required lugs including commissioning and testing etc</t>
  </si>
  <si>
    <t xml:space="preserve">TOTAL COST OF MATERIAL AND LABOUR </t>
  </si>
  <si>
    <t>125A MCCB Switch</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</si>
  <si>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125A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</si>
  <si>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Sqmtr</t>
  </si>
  <si>
    <t>3*25</t>
  </si>
  <si>
    <t>Supply of 125A 4Pole MCCB, Adjustable, Confirms to IS/IEC 60947-2 having Breaking Capacity 25 KA with thermal magnetic release Panel Mounted.</t>
  </si>
  <si>
    <t>250A 4Pole MCCB</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</si>
  <si>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250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</si>
  <si>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Supply of 250A 4Pole MCCB, Adjustable, Confirms to IS/IEC 60947-2 having Breaking Capacity 35/36 KA with thermal magnetic release Panel Mounted.</t>
  </si>
  <si>
    <t>400A 4Pole MCCB</t>
  </si>
  <si>
    <r>
      <t>Supply installation testing and commissioning of 3 phase and neutral 415V free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made out of No.16/14 gauge CRCA sheet steel after 7 tank process and painting with powder coating.  The panel shall consists of 400 A 4P MCCB Switch. The panel shall have comprised of following switch gear . Including supply and fixing the same and painting  with powder coating  including internal connections cost and conveyance of all materials &amp; labour charges. 
Makes : L&amp;T- D sine / Schneider-NS NSX/Legrand -DP X3/ Siemens-3VL / Hager-h3/C&amp;S -Winbreak.</t>
    </r>
  </si>
  <si>
    <t>j</t>
  </si>
  <si>
    <t>Supply of 400A 4Pole MCCB, Adjustable, Confirms to IS/IEC 60947-2 having Breaking Capacity 35/36 KA with thermal magnetic release Panel Mounted.</t>
  </si>
  <si>
    <t xml:space="preserve">Bus bar arrangement with insulators </t>
  </si>
  <si>
    <t>Hard ware such as base channel etc.</t>
  </si>
  <si>
    <t>Supply,transpotation,installation,testing and commissioning of HT OUTDOOR type single panel switchgear with VCB of  floor mounted, metal clad 11KV, 630A, not less than 16 -KA (350 / 500 MVA) VCB Panel, with 1No VCBs totally enclosed and horizantal drawout type, horizontal isolation type breaker as per IS 13118 as amended upto date and additional specifications having capacities as mentioned below , single break trip free mechanism, motorised/manually charged and auto manually closing breaker suitable for use on 12KV , 3phase, 50HZ AC supply  with self contained fully interlocked rackin and rackout mechanism air insulated allumium Busbars of 630A capacity, Breaker featured with ON/OFF indicator with hand trip device, spring relief coil, shunt trip coil and auxillary switch of 6NO + 6NC and equiped with following switchgears and accessories incomming connections suitable for 3x95Sqmm XLPE 11KV Cable as required etc complete with adaptor box for outgoing termination.</t>
  </si>
  <si>
    <t>7.16.15</t>
  </si>
  <si>
    <t>Single VCB PANEL</t>
  </si>
  <si>
    <t>Earthings</t>
  </si>
  <si>
    <t>7.16.7</t>
  </si>
  <si>
    <t>Earthing Cost</t>
  </si>
  <si>
    <t>Providing independent earthing by exacavating a pit to a depth of 2.25Mtr in all soils as per size specified in the data for Sophisticated Electronic equipment with 600mm x  600mm x 3.15mm thick copper plate rigidly fixed to 19mm dia 'B' Class G.I Pipe of 2.5Mtr lengthwith funnel as per National Electric Code and earth connection from electrode GI strip of 40mm x 5mm x 200mm length to be bolted with nut bolts to G.I.pipe including 25mm x 3mm copper strip of 6Mtrs length connected from plate to GI strip including filling with 20Kg Salt and 40Kg Charcoal or 40Kg bentonite powder  from the bottom of the pipe  and providing CC / Brick massonry chamber 450mmX450mmX400mm and covered with R.C.C. Slab  including all accessories and labour charges etc complete as per IS specification 732/1982
(Part II).</t>
  </si>
  <si>
    <t>7.16.8</t>
  </si>
  <si>
    <t>Providing independent earthing for Important equipment with 100mm dia Heavy gauge C.I ( Cast iron ) pipe with Flange 2.5m long enclosed in C.C/ brick massonry chamber of 450m x 450m x 400mm with R.C.C. Slab cover duly providing staggered holes filling with salt and charcoal from the bottom of the pipe giving earth connection from electrode through flange with all accessories and labour charges complete, as per IS specifications 732/1982 (Part II)</t>
  </si>
  <si>
    <t>7.16.11</t>
  </si>
  <si>
    <t xml:space="preserve">Skilled Electrician. </t>
  </si>
  <si>
    <t>Labour for 100 Mtrs</t>
  </si>
  <si>
    <t>9.3.6</t>
  </si>
  <si>
    <t xml:space="preserve">G.I. Strip / Plate / Wire (per K. G). </t>
  </si>
  <si>
    <t>Sundries.</t>
  </si>
  <si>
    <t>Supply and Run of  50mm x 6mm G.I Strip including cost of all accessories and labour charges etc., complete. (2.36 Kg / Mtr)</t>
  </si>
  <si>
    <t>Supply and Run of  25mm x 3mm copper strip (Cuurrent Carrying Capacity 270A) including cost of all accessories and labour charges etc., complete. (0.663Kgs/1Mtr)</t>
  </si>
  <si>
    <t>ELEC-9.3.1</t>
  </si>
  <si>
    <t xml:space="preserve">Copper plate / Copper strip (Per K.G). </t>
  </si>
  <si>
    <t xml:space="preserve">Supply and Run of  25mm x 6mm copper strip (Cuurrent Carrying Capacity 270A) including cost of all accessories and labour charges etc., complete. (1.34 Kg / Mtr) </t>
  </si>
  <si>
    <t xml:space="preserve">Supply and Run of  No.8 SWG G.I wire including cost of all accessories and labour charges etc., complete. (0.104Kgs/1Mtr) </t>
  </si>
  <si>
    <t xml:space="preserve">U Nails. </t>
  </si>
  <si>
    <t>VI</t>
  </si>
  <si>
    <t>FIXTURES</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</si>
  <si>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LED  MAKE  :  PHILIPS  LUMILEDS  /  CREE  /  NICHIA  / OSRAM / SAMSUNG / LG LEDs.</t>
  </si>
  <si>
    <t xml:space="preserve">a) Labour charges  </t>
  </si>
  <si>
    <t>ELEC-1.5.5</t>
  </si>
  <si>
    <t>Supply of 23 / 0060 twin core twisted / flat heavy Copper wire.</t>
  </si>
  <si>
    <t>Makes  :  Finolex  /  RR  Kabel  /  Havells  /  Polycab  /  GM  / Million  /  V-Guard  /  Gold  Medal  /  Kundancab  /  HPL  / RPG / Nandicab / Nakoda / Payal / Finecab / Gemini / Vimal / Suncab</t>
  </si>
  <si>
    <t>ELEC-1.4.4</t>
  </si>
  <si>
    <t xml:space="preserve">Supply of No.8 Screws of 35/38mm. </t>
  </si>
  <si>
    <t xml:space="preserve">Rawl Plugs. </t>
  </si>
  <si>
    <t xml:space="preserve">Fixing arrangements on wall with required support on wall </t>
  </si>
  <si>
    <t>Cost of Material for fixing luminaire</t>
  </si>
  <si>
    <t>ELEC-3.5.16</t>
  </si>
  <si>
    <t>22W, +/ 10% , &gt;/   2300    lumens, 1200mm length LED light</t>
  </si>
  <si>
    <t>Cost of Material</t>
  </si>
  <si>
    <t xml:space="preserve">36W, 2' x2'   (600mm x 600mm) Recessed / Surface mounted LED luminaire </t>
  </si>
  <si>
    <t>Supply, transportation and fixing 32-36W (&gt;=3240 Lumens)  Edge lit,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LED  MAKE  :  PHILIPS  LUMILEDS  /  CREE  /  NICHIA  / OSRAM / SAMSUNG / LG LEDs.</t>
  </si>
  <si>
    <t xml:space="preserve">Supply of 23 / 0060 twin core twisted / flat heavy Copper wire. </t>
  </si>
  <si>
    <t>Alluminium Flat (As per requirement)</t>
  </si>
  <si>
    <t>ELEC-3.5.17</t>
  </si>
  <si>
    <t xml:space="preserve">Supply and Transportation of  36W Edge lit,  2' x 2' (600mm x 600mm) slim panel LED luminaire  </t>
  </si>
  <si>
    <t>12W  Down lighter Recessed / Surface Mounting</t>
  </si>
  <si>
    <t>Supply, transportation and fixing 12 W +/-10% (&gt;= 1200 Lumens)  back lit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</si>
  <si>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1.5.5</t>
  </si>
  <si>
    <t>3.5.4</t>
  </si>
  <si>
    <t>12W  Down lighter with system lumens of  1000lm,  suitable  for    Recessed  /  Surface</t>
  </si>
  <si>
    <t>18W  Down lighter Recessed / Surface Mounting</t>
  </si>
  <si>
    <t>Supply, transportation and fixing of 18 W +/-10% (&gt;= 1800 Lumens)  back lit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</si>
  <si>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18 W +/-10% (&gt;= 1800 Lumens)</t>
  </si>
  <si>
    <t>Supply, Transportation and fixing of 60 W +/-10% (&gt;6000 Lumens) LED HIgh Bay Luminaire with high power COB LED made of pressure diecast alluminium housing with powder coated,Supply Input voltage 120 - 270 V AC, P.F &gt; 0.90, high power LED's, System efficacy &gt;100 lm / W
and junction temprature &lt; 70°C, with Ingrees protection IP65, IK05, Driver surge protection 4KV, external Surge protection ≥ 5KV with wide/ Narrow beam optics, THD&lt;10% at 110 Volts AC,
driver efficiency &gt;90%, CCT: 3000K - 5700K, minimum CRI&gt;70, etc., with required wiring complete
with BIS certification with warranty 5 years warranty. The contractor has to furnish the manufacturer warranty letter, LM 79 and LM 80 certificates.
LUMINAIRE MAKE:   Phillips / OSRAM / GE Venture / Wipro / Crompton / Bajaj / Havells / Jaquar /
Panasonic / Halonix / HPL.
LED  MAKE  :  PHILIPS  LUMILEDS  /  CREE  /  NICHIA  / OSRAM / SAMSUNG / LG LEDs.</t>
  </si>
  <si>
    <t>1.6.3</t>
  </si>
  <si>
    <t xml:space="preserve">Supply of 3 Core 2.5 Sqmm Flat Copper cable </t>
  </si>
  <si>
    <t>Spl. MS Clamps with required fixing arrangements as directed.</t>
  </si>
  <si>
    <t>M.S flat and welding charges</t>
  </si>
  <si>
    <t>3.7.7</t>
  </si>
  <si>
    <t>Supply of  60W LED energy saving envoironment friendly &amp; Robust open type vertical Highbay/ Mediumbay with high powerCOB LED as light source</t>
  </si>
  <si>
    <t xml:space="preserve">BH/SBH  </t>
  </si>
  <si>
    <t>Supply, transportation and fixing  ISI mark batten holder / slanting holder Makes : Anchor / Gold Medal Olive / Million Zoom in lieu of ceiling rose of light point complete with all connections and all labour charges with 5W LED Lamp 
LED Lamp MAKES: Phillips / OSRAM / Crompton / Eveready / Bajaj / Havells / Halonix / Jaquar /
C&amp;S / GM / / FIEM / Gold Medal / Million / Syska.</t>
  </si>
  <si>
    <t>n</t>
  </si>
  <si>
    <t>Supply of  BH / SBH of Makes : GM G Home / Gold Medal Olive / Million Zoom / Anchor Penta Cherry / Great white Omega / HPL / Vimal / CPL.</t>
  </si>
  <si>
    <t>3.6.1</t>
  </si>
  <si>
    <t xml:space="preserve">Supply of 5 W LED Lamp  </t>
  </si>
  <si>
    <t xml:space="preserve">Less Cost of 3 Plate Jumbo Ceiling Rose Makes : Anchor / Gold Medal Olive / Million Zoom. </t>
  </si>
  <si>
    <t>Supply and fixing of  Buzzer Calling Bell of  Makes : GM / Million / Gold Medal on 4"x7" decolam block including giving connections, cost of all accessories and labour charges etc., complete.</t>
  </si>
  <si>
    <t>1.4.2</t>
  </si>
  <si>
    <t xml:space="preserve">Supply of Decolam Board of Size 4" x 7". </t>
  </si>
  <si>
    <t>1.7.2</t>
  </si>
  <si>
    <t>Supply of Buzzer.  Makes : GM / Million / Gold Medal / Anchor / Great white.</t>
  </si>
  <si>
    <t>Supply and fixing of Electronic Musical bell Makes : GM / Million / Gold Medal on 4"x7" decolam block including giving connections, cost of all accessories and labour charges etc., complete.</t>
  </si>
  <si>
    <t>Supply of Decolam Board of Size 4" x 7"</t>
  </si>
  <si>
    <t>Supply of  Electronic Musical Bell.  Makes  :  GM  /  Million  /  Gold  Medal  /  Anchor  /  Great white.</t>
  </si>
  <si>
    <t>VII</t>
  </si>
  <si>
    <t>Ceiling Fans</t>
  </si>
  <si>
    <t>5.1.3</t>
  </si>
  <si>
    <t>Supply, Transportation of energy
efficient decorative fan, 1200 mm sweep, aluminium body, consuming 28 W, BEE 5 star rated, ceiling fan with Brush Less Direct Current(BLDC)motor, class of
insulation: B, 3 no's blades, 30 cm long down rod, 2 no's canopies, shackle kit, safety rope, copper winding, Power Factor greater than 0.90, Service Value (CMM/W) greater than 8.5, Air delivery minimum 235 CMM, 350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complete.Makes :
Atomberg (Efficio + ) / Havells / Orient / RR / Halonix</t>
  </si>
  <si>
    <t>5.1.4</t>
  </si>
  <si>
    <t xml:space="preserve">Supply, Transportation of energy
efficient decorative fan, 1400 mm sweep, aluminium body, consuming 35 W, BEE 5 star rated, ceiling fan with Brush Less Direct Current (BLDC) motor, class of insulation: B, 3 no's blades, 30 cm long down rod, 2 no's canopies, shackle kit, safety rope, copper winding, Power
Factor greater than 0.90, Service Value (CMM/W) greater than 7.8, Air delivery minimum 270 CMM, 275 RPM (tolerance as per IS:374-2019), THD less than 10%, remote or compatible to electronic step
type regulator unit for speed control and all remaining accessories including safety pin, nut bolts, washers, temperature rise
= 75 degree C (max), insulation resistance more than 2 mega ohm, suitable for 230V, 50 HZ, single phase AC supply, earthing etc., complete.
Makes : Atomberg (Efficio + ) / Havells / Orient / RR / Halonix
</t>
  </si>
  <si>
    <t xml:space="preserve">b) Material </t>
  </si>
  <si>
    <t>Electronic Fan Regulator</t>
  </si>
  <si>
    <t>Cost of Material for fixing fan</t>
  </si>
  <si>
    <t>9.1.21</t>
  </si>
  <si>
    <t>19/20mm steel tube down rod with bolts &amp; nuts for  fan with maching colour.</t>
  </si>
  <si>
    <t>Less cost of fan down rod supplied with new fan of about 9" in length equal to  0.23 Metre at above rate</t>
  </si>
  <si>
    <t>5.1.9</t>
  </si>
  <si>
    <t xml:space="preserve">Transportation </t>
  </si>
  <si>
    <t>5.1.11</t>
  </si>
  <si>
    <t>Supply of 12" (300mm) ISI, 900 RPM Heavy duty exhaust fan</t>
  </si>
  <si>
    <t xml:space="preserve">Labour charges for fixing the  exhaust fan in wall with necessary connections and masonary work of making hole, finishing etc., complete. 
Makes  :  Finolex  /  RR  Kabel  /  Havells  /  Polycab  /  GM  / Million  /  V-Guard  /  Gold  Medal  / HPL  / RPG.  </t>
  </si>
  <si>
    <t xml:space="preserve">Supply of 23 / 0060 twin core twisted / flat heavy Copper wire.  </t>
  </si>
  <si>
    <t>Cement.</t>
  </si>
  <si>
    <t>Sundries such as Sand, Bolt, Nuts etc.</t>
  </si>
  <si>
    <t>Job</t>
  </si>
  <si>
    <t>Supply and fixing of GI louver shutter including GI mesh to avoid birds entry with necessary materials suitable for 300mm(12 inches) Exhaust fan.</t>
  </si>
  <si>
    <t>5.1.12</t>
  </si>
  <si>
    <t xml:space="preserve"> louver shutter including GI mesh to avoid birds entry with necessary materials suitable for 300mm</t>
  </si>
  <si>
    <t>Mirror Lights</t>
  </si>
  <si>
    <t>Supply, transportation and fixing Supply of 1  x 11W Mirror light with all standard accessories diffuser in lieu of ceiling rose of light point complete with all connections and all labour charges 
Makes:G.E.  Venture  /  Phillips  /  Crompton  / Bajaj.</t>
  </si>
  <si>
    <t>ELEC-3.6.1</t>
  </si>
  <si>
    <t>Supply of 1  x 11W Mirror light with all standard accessories diffuser</t>
  </si>
  <si>
    <t>21-22 Rate</t>
  </si>
  <si>
    <t>2 feet Tube Lights</t>
  </si>
  <si>
    <t>Supply, transportation and fixing of 10W, 1000 lumens, 600mm length LED batten tube light, housing made with PC body, wide operating voltage with Single / double side connection, PF≥0.9, Surge protection: &gt; 2KV, THD&lt;15%, with inbuilt driver and frosted cover CCT: 3000K - 6500K as desired by the department and as per IS specifications, minimum CRI≥80,.etc complete with 5
years warranty with BIS Certification.  
LUMINAIRE MAKE:   Phillips / OSRAM / GE Venture / Wipro / Crompton / Bajaj / Havells / Jaquar /
Panasonic / Halonix / HPL.
LED  MAKE  :  PHILIPS  LUMILEDS  /  CREE  /  NICHIA  / OSRAM / SAMSUNG / LG LEDs.</t>
  </si>
  <si>
    <t>3.5.15</t>
  </si>
  <si>
    <t>10W, +/ 10% , &gt;/   1000    lumens, 600mm length LED light</t>
  </si>
  <si>
    <t>Sub power Panel-1 / Floor power panel</t>
  </si>
  <si>
    <r>
      <t>Supply installation testing and commissioning of 3 phase and neutral 415V free standing floor mounted</t>
    </r>
    <r>
      <rPr>
        <b/>
        <sz val="10"/>
        <color theme="1"/>
        <rFont val="Arial"/>
        <family val="2"/>
      </rPr>
      <t xml:space="preserve"> indoor</t>
    </r>
    <r>
      <rPr>
        <sz val="10"/>
        <color theme="1"/>
        <rFont val="Arial"/>
        <family val="2"/>
      </rPr>
      <t xml:space="preserve"> LT </t>
    </r>
    <r>
      <rPr>
        <b/>
        <sz val="10"/>
        <color theme="1"/>
        <rFont val="Arial"/>
        <family val="2"/>
      </rPr>
      <t xml:space="preserve">panel </t>
    </r>
    <r>
      <rPr>
        <sz val="10"/>
        <color theme="1"/>
        <rFont val="Arial"/>
        <family val="2"/>
      </rPr>
      <t xml:space="preserve">made out of No.16/14 gauge CRCA sheet steel after 7 tank process and painting with powder coating.  The panel shall consists of suitable rating TPN Aluminium  bus bar ( with rating of 0.8A/ Sqmm)supported with DMC /SMC barriers and colour coaded with heat shrinkable sleeves,  flexibility to accept the up four out going cables and necessary cable chamber  . The panel shall have comprised of following switch gear . Including supply and fixing the same and painting  with powder coating  including internal connections cost and conveyance of all materials &amp; labour charges. 
</t>
    </r>
  </si>
  <si>
    <t>Vertical sheets</t>
  </si>
  <si>
    <t>Horizontal sheets</t>
  </si>
  <si>
    <t>Supply of 250A 4Pole MCCB, Adjustable, Confirms to IS/IEC 60947-2 having Breaking Capacity 36 KA with thermal magnetic release Panel Mounted. Makes : L&amp;T- D sine / Schneider-NS NSX/Legrand -DP X3/ Siemens-3V / Hager-h3/C&amp;S -Winbreak.</t>
  </si>
  <si>
    <t>Supply of 125A 3Pole MCCB, Adjustable, Confirms to IS/IEC 60947-2 having Breaking Capacity 25 KA with thermal magnetic release Panel Mounted. Makes : L&amp;T- D sine / Schneider-NS NSX/Legrand -DP X3/ Siemens-3V / Hager-h3/C&amp;S -Winbreak.</t>
  </si>
  <si>
    <t>Supply of  63A / 60A 3 Pole MCCB, Adjustable, Confirms to IS/IEC 60947-2 having Breaking Capacity 16 KA with thermal magnetic release  Panel Mounted. Makes : L&amp;T- D sine / Schneider-NS NSX/Legrand -DP X3/ Siemens-3V / Hager-h3/C&amp;S -Winbreak.</t>
  </si>
  <si>
    <t xml:space="preserve">40-63A 10KA TP MCB, C/D Curve ISI Mark of Makes : Makes : Legrand-DX3 / Schneider-Acti9 /
Siemens / L&amp;T Exora / Cabtree </t>
  </si>
  <si>
    <t>Metering</t>
  </si>
  <si>
    <t>ELEC-7.14.1</t>
  </si>
  <si>
    <t>Supply and erection of 0-415V volt Digital meter of size 96x96mm on existing box / panel board including connections etc., complete of MAKES : CONZERVE / ELMEASURE / L&amp;T / SEIMENS</t>
  </si>
  <si>
    <t>ELEC-7.14.2</t>
  </si>
  <si>
    <t>Supply and erection of 0-100 / 200 / 400 / 600 /1000  CT Digital Ammeter of size 96x96mm on existing box / panel board including connections etc., complete MAKES : CONZERVE / ELMEASURE / L&amp;T / SEIMENS</t>
  </si>
  <si>
    <t>7.14.5</t>
  </si>
  <si>
    <t>Multifunction energy meter Class I RS 485 with LED display. MAKES : CONZERVE / ELMEASURE / L&amp;T /
SEIMENS.</t>
  </si>
  <si>
    <t>ELEC-7.14.6</t>
  </si>
  <si>
    <t>Supply and erection of Analog selector switch for voltmeter / Ammeter on the existing box / panel including connections etc., complete. Makes : L&amp;T / C&amp;S / SALZAR / HPL
/ Siemens.</t>
  </si>
  <si>
    <t>Supply and erection of Analog LED indicator lamps on the existing box / panel board.
Makes : L&amp;T / C&amp;S / SALZAR / HPL / Siemens</t>
  </si>
  <si>
    <t>2.6.1</t>
  </si>
  <si>
    <t xml:space="preserve">32A fuse bases with 2A control fuses. 
Makes : C&amp;S / GM / Million / Gold Medal. </t>
  </si>
  <si>
    <t>7.14.7</t>
  </si>
  <si>
    <t>Supply and erection of Analog LT current transformer with bar primary 100/5A to 1000 / 5A ratio in the existing box / panel including connections etc., complete. KAPPA MAKE. MAKE : KAPPA</t>
  </si>
  <si>
    <t>Control wiring with flexible wires and MCBs including commissioning and testing etc</t>
  </si>
  <si>
    <t>Sub Lighting Panel-1</t>
  </si>
  <si>
    <t>Supply of 160A 4Pole MCCB, Adjustable, Confirms to IS/IEC 60947-2 having Breaking Capacity 25 KA with thermal magnetic release Panel Mounted. Makes : L&amp;T- D sine / Schneider-NS NSX/Legrand -DP X3/ Siemens-3V / Hager-h3/C&amp;S -Winbreak.</t>
  </si>
  <si>
    <t>Supply of 125A 3Pole MCCB, Adjustable, Confirms to IS/IEC 60947-2 having Breaking Capacity 25 KA with thermal magnetic release Panel Mounted. MMakes : L&amp;T- D sine / Schneider-NS NSX/Legrand -DP X3/ Siemens-3V / Hager-h3/C&amp;S -Winbreak.</t>
  </si>
  <si>
    <t>40-63A 10KA TP MCB, C/D Curve ISI Mark of Makes : Legrand-DX3 / Schneider-Acti9.</t>
  </si>
  <si>
    <t>Utility Panel</t>
  </si>
  <si>
    <t>HVAC Panel</t>
  </si>
  <si>
    <t>Transformer</t>
  </si>
  <si>
    <t>Supply and Transportation of 500 KVA Copper Wound Transformer  with all test reports. The
Transformer shall be designed and manufactured as per IS:1180 OCTC with level - I with initial filling of oil as per IS 335-1993. The basic details of the Transformer are as under.
Makes: Kirloskar / PETE / Esennar / Voltamp / Crompton / ABB / Schneider.</t>
  </si>
  <si>
    <t>7.16.1</t>
  </si>
  <si>
    <t>500 KVA Copper Wound Transformer</t>
  </si>
  <si>
    <t xml:space="preserve">Supply, Transportation, erection and  commissioning (Excluding Foundation) of 250KVA, 3 Phase, 415, 50Hz, 310BHP, water cooled  multi cylinder diesel generator set with alternator of   250KVA    out put continous rating at 0.8 p.f, and   Batteries with alternator of 200 KW out put continuous rating directly coupled Engine and Alternator with guard and mounted on a common base plate of Robust construction and complete with AMF panel having IP-52 protection, Acoustic Enclosure as per CPCB norms , sound absorbing material to restrict sound level up to 75 dB up to 1 Mtr distance and as per CPCB norms etc as per following specifications mentioned below. </t>
  </si>
  <si>
    <t>11.1.2</t>
  </si>
  <si>
    <t>250 KVA DG Set  with AMF</t>
  </si>
  <si>
    <t>12.1.3</t>
  </si>
  <si>
    <t>Supply, Transportation and installation of 10KVA / 312VDCon line UPS system IGBT based rectifier with input power factor correction 32 bit microprocessor based with isolation transformers double conversion, SNMP controls, LCD display, Pure sine wave out put, with auto static switch three phase input / Three phase output and modular structure for better thermal technology / cooling facility, with warranty up to three years.
Makes: APC / Numeric / Emerson.</t>
  </si>
  <si>
    <t>12.2.1</t>
  </si>
  <si>
    <t xml:space="preserve">Supply and providing of UPS cum battery rack up to 20 batteries </t>
  </si>
  <si>
    <t>12.2.2</t>
  </si>
  <si>
    <t>Supply and fixing of 12V 65 AH SMF battery including wire leads of
Makes : Quanta / Racket / Exide.</t>
  </si>
  <si>
    <t>HT Cable</t>
  </si>
  <si>
    <t>4.2.1</t>
  </si>
  <si>
    <t>Supply of 3 Core 11 KV 95Sqmm HT XLPE (E) armoured Cable, as per IS specification confirming to IS 7098/II/85 with latest ammendments of
Makes : Torrent / Unicab / Universal / Polycab / Havells/ KEI / RPG / Gloster.</t>
  </si>
  <si>
    <t>RMS</t>
  </si>
  <si>
    <t>One Rmt</t>
  </si>
  <si>
    <t>4.7.2</t>
  </si>
  <si>
    <t>Supply,Providing and errecting heat shrinkable outdoor termination kit for 11 KV HT XLPE insulated armoured cable 11KV, 3core 95Sqmm with necessary materials etc., complete.
Makes : Raychem / Transeal / M Seal</t>
  </si>
  <si>
    <t>4.7.1</t>
  </si>
  <si>
    <t>Providing and errecting heat shrinkable indoor termination kit for 11 KV HT XLPE insulated armoured cable 11KV, 3core 95Sqmm with necessary materials etc., complete.
Makes : Raychem / Transeal / M Seal</t>
  </si>
  <si>
    <t xml:space="preserve">Supply , Fabrication, Transportation and fixing of Box type RS Joist pole made with 2 Nos 175X85 mm ( ISMB Modified ) or equivalent about 30'-0 length / 9.1 mtrs length poles welded together
including excavation of pit, coil earthing, Special T&amp;P, painting of Pole with 1 coat of Red oxide and 2 coats of alluminium paint, CC 1:3:6 upto ground and 1:2:4 for Couping work, 200A AB Switch, HG fuse sets, required angle iron channels, clamps, nuts and bolts, 11KV pin insulators, 2Nos GI pipe earthings as per the IS with brick massonry chamber including labour and transportation
charges etc., complete. </t>
  </si>
  <si>
    <t>7.16.5</t>
  </si>
  <si>
    <t xml:space="preserve">Box type RS Joist pole </t>
  </si>
  <si>
    <t>AR in PSA Works</t>
  </si>
  <si>
    <t>Providing of CC foundations suitable for the 250KVA DG se complete as directed and as per the norms with all required hard ware materials complete.</t>
  </si>
  <si>
    <t>ELEC-7.16.9</t>
  </si>
  <si>
    <t>Providing transformer plinth 1.2 x 1.2 x 1.5 mtr in size with necessary excavation in ground at the bottom with 150mm thick 1:2:4 cement concrete raft at the bottom and top and 225mm thick wall constructed in stone masonry and remaking hallow portion shall be filled with stone chips duly plastered 20mm thick outsides including watering etc.,
complete.</t>
  </si>
  <si>
    <r>
      <t>Hot dipped Galvanized Iron Chain link mesh 8 gauge - (4.0 mm) as per IS: 2721-1979: 2"x2"(50mm x 50 mm) - 8Gauge</t>
    </r>
    <r>
      <rPr>
        <sz val="10"/>
        <color rgb="FF000000"/>
        <rFont val="Times New Roman"/>
        <family val="1"/>
      </rPr>
      <t xml:space="preserve"> overheads and contractor profit etc., complete for finished item of work.</t>
    </r>
  </si>
  <si>
    <t>TBSC-E.II-04</t>
  </si>
  <si>
    <t>Rate as per SSR 2019-20, Sl. No.155, TBSC-E.II-04, Pg.No.22</t>
  </si>
  <si>
    <t xml:space="preserve">b) Labour charges  </t>
  </si>
  <si>
    <t>Rate per Sqm</t>
  </si>
  <si>
    <t>Supply and fixing of gate fixing frame with size 2.1M x 1.25M width fabricated with MS Angle 40x40x6mm fencing frame and the gate of size 1.8M x 1.25M with Angle 35x35x5mm four sides and 40x40x6mm 'T' Angle in middle &amp; M.S weld mesh 2"x2" including painting.</t>
  </si>
  <si>
    <t>Supply and fixing of gate</t>
  </si>
  <si>
    <t xml:space="preserve">Rate per each </t>
  </si>
  <si>
    <t>Supply &amp; laying of 40mm HBG metal 4" thick in sub-station including cost and conveyance of all material &amp; sand cushioning 2".</t>
  </si>
  <si>
    <t xml:space="preserve"> 40mm HBG metal</t>
  </si>
  <si>
    <t>Rate per One Cum</t>
  </si>
  <si>
    <t>U.G Cables</t>
  </si>
  <si>
    <t>4.1.1</t>
  </si>
  <si>
    <r>
      <t xml:space="preserve">Supply of 16 Sqmm 4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</si>
  <si>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35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</si>
  <si>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i</t>
  </si>
  <si>
    <r>
      <t xml:space="preserve">Supply of 50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</si>
  <si>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70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</si>
  <si>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k</t>
  </si>
  <si>
    <r>
      <t xml:space="preserve">Supply of 95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</si>
  <si>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l</t>
  </si>
  <si>
    <r>
      <t xml:space="preserve">Supply of 120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</si>
  <si>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r>
      <t xml:space="preserve">Supply of 185 Sqmm 3.5 Core XLPE insulated, 1100V grade armoured alluminium cable as per specification confirming to IS:7098 
</t>
    </r>
    <r>
      <rPr>
        <b/>
        <sz val="10"/>
        <color theme="1"/>
        <rFont val="Arial"/>
        <family val="2"/>
      </rPr>
      <t xml:space="preserve">Makes :Torrent / Unicab / Universal / Polycab / Havells / Gloster / KEI / Finolex / Payal / RR kable / Finecab / RPG / V - Guard. </t>
    </r>
  </si>
  <si>
    <t>o</t>
  </si>
  <si>
    <r>
      <t xml:space="preserve">Supply of 240 Sqmm 3.5 Core XLPE insulated, 1100V grade armoured alluminium cable as per specification confirming to IS:7098 
</t>
    </r>
    <r>
      <rPr>
        <b/>
        <sz val="10"/>
        <color theme="1"/>
        <rFont val="Arial"/>
        <family val="2"/>
      </rPr>
      <t xml:space="preserve">Makes :Torrent / Unicab / Universal / Polycab / Havells / Gloster / KEI / Finolex / Payal / RR kable / Finecab / RPG / V - Guard. </t>
    </r>
  </si>
  <si>
    <t>p</t>
  </si>
  <si>
    <r>
      <t xml:space="preserve">Supply of 300 Sqmm 3.5 Core XLPE insulated, 1100V grade armoured alluminium cable as per specification confirming to IS:7098 
</t>
    </r>
    <r>
      <rPr>
        <b/>
        <sz val="10"/>
        <color theme="1"/>
        <rFont val="Arial"/>
        <family val="2"/>
      </rPr>
      <t xml:space="preserve">Makes : Torrent / Unicab / Universal / Polycab / Havells / Gloster / KEI / Finolex / Payal / RR kable / Finecab / RPG / V - Guard. </t>
    </r>
  </si>
  <si>
    <t>Earth work excavation of Trench in hard ground soil and Sand filling shall be provided at the bottom of trench before laying the cable and laying of U.G cables from 95 Sqmm up to 400 sqmm covering the cable with bricks and back filling of Trench duly providing route indicator  at every 8 Mtrs distance embedded in C.C including  cost and conveyance of materials and labour charges etc., complete.</t>
  </si>
  <si>
    <t>Man Mazdoor for spreading the sand and back filling of the exacavated soils.</t>
  </si>
  <si>
    <t>Man Mazdoor for concreating and embedding of cable route indicators.</t>
  </si>
  <si>
    <t>Labour Charges for 100 Mtrs</t>
  </si>
  <si>
    <t>Labour Charges for 1 Mtr</t>
  </si>
  <si>
    <t>9.4.17</t>
  </si>
  <si>
    <t xml:space="preserve">Earth work excacvation </t>
  </si>
  <si>
    <t>9.4.12</t>
  </si>
  <si>
    <t xml:space="preserve">Cost of Sand. </t>
  </si>
  <si>
    <t>9.4.13</t>
  </si>
  <si>
    <t>Cost of Bricks.</t>
  </si>
  <si>
    <t>9.1.25</t>
  </si>
  <si>
    <t xml:space="preserve">Cable root Indicators. </t>
  </si>
  <si>
    <t>Cost of Material for laying of cable in trench for</t>
  </si>
  <si>
    <t>Earth work excavation of Trench in hard ground soil and Sand filling shall be provided at the bottom of trench before laying the cable and laying of U.G cables up to 70 sqmm covering the cable with back filling of Trench duly providing route indicator  embedded in C.C including  cost and conveyance of materials and labour charges etc., complete.</t>
  </si>
  <si>
    <t xml:space="preserve">Earth work excacvation including all soils for trench, </t>
  </si>
  <si>
    <t xml:space="preserve">Cost of Bricks. </t>
  </si>
  <si>
    <t>Laying of PVC armoured under ground cable from 95 Sq.mm to 400 Sqmm fixing on chromium plated metallic base saddles on wall  as per IS 1255 and as directed by the department including cost and conveyance of all materials and labour charges etc., complete.</t>
  </si>
  <si>
    <t>Rawl Plugs.</t>
  </si>
  <si>
    <t xml:space="preserve">Supply of No.8 Screws of 63/75mm. </t>
  </si>
  <si>
    <t>9.4.25</t>
  </si>
  <si>
    <t xml:space="preserve">Supply of Saddle / Clamps suitable for fixing 3.5 Core 300 Sqmm Cable. </t>
  </si>
  <si>
    <t>Laying of PVC armoured under ground cable up to 70 Sqmm fixing on chromium plated metallic base saddles on wall  as per IS 1255 and as directed by the department including cost and conveyance of all materials and labour charges etc., complete.</t>
  </si>
  <si>
    <t xml:space="preserve">Supply of Saddle / Clamps suitable for fixing 3.5 Core 50 Sqmm Cable. </t>
  </si>
  <si>
    <t xml:space="preserve">Cost of Material for Laying on wall for </t>
  </si>
  <si>
    <t>Cable Terminations:</t>
  </si>
  <si>
    <t>Termination of UG cables for 4 core 10 sq.mm &amp; 4 core 16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</si>
  <si>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Labour Charges for each</t>
  </si>
  <si>
    <t xml:space="preserve">Double compression weather proof type brass cable Glands for 4 core XLPE armoured  cable up to 16.0 Sq.mm  </t>
  </si>
  <si>
    <t>4.4.2</t>
  </si>
  <si>
    <t xml:space="preserve">aluminium lugs  for cable upto  16 Sq.mm </t>
  </si>
  <si>
    <t>Termination of UG cables for 3.5 core 35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</si>
  <si>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4.3.2</t>
  </si>
  <si>
    <t>Double compression weather proof type brass cable glands for 3.5 core XLPE armoured  cable from 35 Sqmm</t>
  </si>
  <si>
    <t>aluminium lugs  for cable upto  16 Sq.mm</t>
  </si>
  <si>
    <t>aluminium lugs  for cable of 35 Sq.mm</t>
  </si>
  <si>
    <t>Termination of UG cables for 3.5 core 50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</si>
  <si>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from  50.0 Sq.mm</t>
  </si>
  <si>
    <t>aluminium lugs  for cable of 25 Sq.mm</t>
  </si>
  <si>
    <t>aluminium lugs  for cable of 50 Sq.mm</t>
  </si>
  <si>
    <t>Termination of UG cables for 3.5 core 70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</si>
  <si>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70 Sqmm </t>
  </si>
  <si>
    <t xml:space="preserve">aluminium lugs confirming to I.S specifications for cable of 70 Sq.mm </t>
  </si>
  <si>
    <t>Termination of UG cables for 3.5 core 95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</si>
  <si>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 xml:space="preserve">Double compression weather proof type brass cable  glands  for 3.5 core XLPE armoured  cable from 95 Sqmm </t>
  </si>
  <si>
    <t>Termination of UG cables for 3.5 core 120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</si>
  <si>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from 120 Sqmm to 150.0 Sq.mm</t>
  </si>
  <si>
    <t>ELEC-4.4.2</t>
  </si>
  <si>
    <t>aluminium lugs  for cable of 70 Sq.mm</t>
  </si>
  <si>
    <t xml:space="preserve">aluminium lugs  for cable of 120 Sq.mm </t>
  </si>
  <si>
    <t>Termination of UG cables for 3.5 core 185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</si>
  <si>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185 Sqmm</t>
  </si>
  <si>
    <t>aluminium lugs confirming to I.S specifications for cable of 95 Sq.mm.</t>
  </si>
  <si>
    <t xml:space="preserve"> aluminium lugs confirming to I.S specifications for cable of 185 Sq.mm</t>
  </si>
  <si>
    <t>Termination of UG cables for 3.5 core 240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</si>
  <si>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for 3.5 core XLPE armoured  cable for 240 Sqmm</t>
  </si>
  <si>
    <t>aluminium lugs confirming to I.S specifications for cable of 120 Sq.mm.</t>
  </si>
  <si>
    <t xml:space="preserve"> aluminium lugs confirming to I.S specifications for cable of 240 Sq.mm</t>
  </si>
  <si>
    <t>Termination of UG cables for 3.5 Core 300 Sqmm  XLPE insulated armoured cable with fixing of heavy duty type double compression weather proof type brass cable glands duly nickel plated as per BS 6121 and IP66 complete with brass checknut, outer sheath sealing gasket, with required lugs  etc complete.
Makes: SMI / Commet / Dowels.</t>
  </si>
  <si>
    <t>Double compression weather proof type brass cable glands glands for 3.5 core XLPE armoured  cable for 300 Sqmm</t>
  </si>
  <si>
    <t>aluminium lugs confirming to I.S specifications for cable of 150 Sq.mm.</t>
  </si>
  <si>
    <t xml:space="preserve"> aluminium lugs confirming to I.S specifications for cable of 300 Sq.mm</t>
  </si>
  <si>
    <t>ELEC-4.10.1</t>
  </si>
  <si>
    <t>Supply and Installation of 100mm x 25mm x 2mm thick GI perforated cable tray with out cover along with required angle supports, with coupler plates, Anchor bolts and nuts etc complete and the tray should be fitted on the  wall / Ceiling etc. complete. Makes: DEC/MNR/ H FAB or equivalent</t>
  </si>
  <si>
    <t>Add 30% Extra for Perforated cable
tray with cover on below rates.</t>
  </si>
  <si>
    <t>Supply and Installation of 150mm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</si>
  <si>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300mm x 50mm x 2mm thick GI perforated cable tray with out cover along with required angle supports, with coupler plates, Anchor bolts and nuts etc complete and the tray should be fitted on the  wall / Ceiling etc. complete. Makes: DEC/MNR/ H FAB or equivalent</t>
  </si>
  <si>
    <t>Supply and Installation of 450mm x 50mm x 2mm thick GI perforated cable tray with out cover along with required angle supports, with coupler plates, Anchor bolts and nuts etc complete and the tray should be fitted on the  wall / Ceiling etc. complete. Makes: DEC/MNR/ H FAB or equivalent</t>
  </si>
  <si>
    <t>ELEC-4.10.2</t>
  </si>
  <si>
    <t>Supply, Transportation and Installation of 600mm x 75mm x 2mm thick GI Ladder type cable tray along with required coupler plates, T's, Bends, Reducers, Anchor bolts, nuts, washers and slotted channels / Angle Iron Channels etc complete and the tray should be fitted on the wall / Ceiling etc. complete for finished item of work. Makes: DEC/MNR/ H FAB or equivalent</t>
  </si>
  <si>
    <t>Supply , fabrication and  transportation of   MS channel iron/ angle iron /flats  including two coats of aluminium paint and one coat of red oxide paint including all labour charges etc complete.</t>
  </si>
  <si>
    <t>9.1.27</t>
  </si>
  <si>
    <t xml:space="preserve">Mild Steel Items </t>
  </si>
  <si>
    <t>Labour charges for fabricating steel works  TBSC-T.I-16</t>
  </si>
  <si>
    <t>TOTAL</t>
  </si>
  <si>
    <t>Rate per One Kg</t>
  </si>
  <si>
    <t>9.1.33</t>
  </si>
  <si>
    <t>Supply of Rubber hand gloves suitable for 11 KV.</t>
  </si>
  <si>
    <t>EACH</t>
  </si>
  <si>
    <t>Rate Per Pair</t>
  </si>
  <si>
    <t>9.4.26</t>
  </si>
  <si>
    <t>Supply and fixing of PVC synthetic elastomer electrically insulated mat with Class B insulation conforming to IS: 15652-2006 having 2.5mm thickness upto 11KV.</t>
  </si>
  <si>
    <t>Sqmtrs</t>
  </si>
  <si>
    <t>One Sqmtrs</t>
  </si>
  <si>
    <t>9.2.7</t>
  </si>
  <si>
    <t>Providing &amp; Fixing of Shock instrution chart in English / Hindi / Telugu duly framed with front glass</t>
  </si>
  <si>
    <t>9.2.1</t>
  </si>
  <si>
    <t xml:space="preserve">Providing &amp; Fixing of Danger Notice Plates of size 250x200mm, shall comply with IS:2551-1982.  </t>
  </si>
  <si>
    <t>9.4.28</t>
  </si>
  <si>
    <t>Providing floor mounting stand for keeping 4No of fire bucket 1500mm  length, 900mm  height made out of 40x40x6mm angle iron welded with 4 hooks and duly painted with one coat of red lead and two coats of enamel paint.</t>
  </si>
  <si>
    <t>9.4.27</t>
  </si>
  <si>
    <t xml:space="preserve">Providing &amp; Supply of  round bottom G.I sheet bucket of 9 Ltrs. Capacity as per IS:2546 made out of 24 gauge GI sheet with extra handle at bottom duly painted inside and red out side with printed with FIRE Mark  for stand and hook and filled with sand and arranged to existing stand or hook. </t>
  </si>
  <si>
    <t>9.1.32</t>
  </si>
  <si>
    <t xml:space="preserve">First Aid box 18" x 12" x 8" containing material as prescribed by St. John Ambulance brigade OR Indian Red Cross complete as required. </t>
  </si>
  <si>
    <t>Preparation of Drawings of existing or new installations and obtaining approval from the CEIG complete as per the requirement at site.(AR)</t>
  </si>
  <si>
    <t>Rate Per Job</t>
  </si>
  <si>
    <t>Supply,  Transportation and laying  of Outer dia 63mm and Inner dia 51mm double walled corrugated HDPE duct made as per specification BSEN - 500 86/IS 14930 Part-II etc., complete by making trench in all soils up to 0.90Mtr deep and back filling the exacavated earth without stones and making the surface proper with 15cm crown on the top and as directed by the department including cost and conveyance of all materials and labour charges etc., complete. 
Makes: DURA LINE (Dura Guard) / Bajaj / Gamson / Ultra Plus / CPE</t>
  </si>
  <si>
    <t>Labour Charges for 60 Mtrs</t>
  </si>
  <si>
    <t>Earth work excacvation including all soils
for trench</t>
  </si>
  <si>
    <t>Cost of Material for 100 Mtrs</t>
  </si>
  <si>
    <t>Cost of Material for 1 Mtr</t>
  </si>
  <si>
    <t>4.9.1</t>
  </si>
  <si>
    <t>Supply and Transportation of Outer dia 63mm and Inner dia 51mm double walled corrugated HDPE duct made as per specification BSEN - 500 86/IS 14930 Part-II with all accessories like couplers, bends, end caps, Ts etc., complete.</t>
  </si>
  <si>
    <t>Makes:  DURA  LINE  (Dura  Guard)  /  Bajaj  /  Gamson  / Ultra Plus</t>
  </si>
  <si>
    <t>VIII</t>
  </si>
  <si>
    <t>Telephone</t>
  </si>
  <si>
    <r>
      <t xml:space="preserve">Supply and fixing of Modular telephone Jack with connector on modular box with cover frame
 in existing  consealed pipe wiring including cost and coveyance of all material and all labour charges etc., complete in </t>
    </r>
    <r>
      <rPr>
        <b/>
        <sz val="10"/>
        <color theme="1"/>
        <rFont val="Arial"/>
        <family val="2"/>
      </rPr>
      <t>N.R.B. / R.B.  
Makes :</t>
    </r>
    <r>
      <rPr>
        <sz val="10"/>
        <color theme="1"/>
        <rFont val="Arial"/>
        <family val="2"/>
      </rPr>
      <t xml:space="preserve"> Legrand Arteor / Schneider Zen celo / Honeywell Blenge Plus / Cabtree Amare / Logus Platina / Gold Medal GIFA / GM-Zenova/ L&amp;T- Englaze</t>
    </r>
  </si>
  <si>
    <t>Supply of 1 or 2 Module box.</t>
  </si>
  <si>
    <t>Supply of  1 or 2 Modular Cover Frame</t>
  </si>
  <si>
    <t xml:space="preserve">Supply of Modular socket type Telephone jack with Connector. </t>
  </si>
  <si>
    <t>Supply, Transportation and Run of 1 of  2 Pair 0.5mm  telephone copper cable in the existing  conduit pipe and labour charges etc., complete.  
Makes : Finolex / Delton / Surabi / Polycab.</t>
  </si>
  <si>
    <t xml:space="preserve">b) Labour charges </t>
  </si>
  <si>
    <t>8.1.1</t>
  </si>
  <si>
    <t xml:space="preserve">Supply of 2 Pair, 0.5mm telephone copper </t>
  </si>
  <si>
    <t>Cost of Material for 1 Mtrs</t>
  </si>
  <si>
    <t xml:space="preserve">Supply, Transportation and Run of 5 Pair telephone copper cable in the existing conduit pipe and labour charges etc., complete. 
Makes :Finolex / Delton / Surabi / Polycab </t>
  </si>
  <si>
    <t>Supply of 5 Pair telephone copper wire</t>
  </si>
  <si>
    <t>Supply, Transportation and Run of 1 of  10 Pair  telephone copper cable in the existing cable tray/ conduit pipe and labour charges etc., complete.  
Makes :Finolex / Delton / Surabi / Polycab</t>
  </si>
  <si>
    <t>Supply of 10 Pair telephone Copper wire.</t>
  </si>
  <si>
    <t xml:space="preserve">Supply, Transportation and Run of 1 of  20 Pair telephone copper cable in the existing cable tray/ conduit pipe and labour charges etc., complete. 
Makes :Finolex / Delton / Surabi / Polycab </t>
  </si>
  <si>
    <t>Supply of 20 Pair telephone Copper wire .(ELEC-8.1.16)</t>
  </si>
  <si>
    <t>Supply, Transportation and Run of 1 of  50 Pair  telephone copper cable in the existing cable tray/ conduit pipe and labour charges etc., complete.  
Makes :Finolex / Delton / Surabi / Polycab</t>
  </si>
  <si>
    <t>Supply of 50 Pair telephone Copper wire .</t>
  </si>
  <si>
    <t>Supply, Transportation and Run of 1 of  100 Pair  telephone copper cable in the existing cable tray/ conduit pipe and labour charges etc., complete.  
Makes : Finolex / Delton / Surabi / Polycab</t>
  </si>
  <si>
    <t>F</t>
  </si>
  <si>
    <t xml:space="preserve">Supply of 100 Pair raiser cable for telephone of </t>
  </si>
  <si>
    <t>Supply, Transportation and Fixing of 10 pair  Telephone distribution box with back mount frame, krone connector, powder coated metal body of best quality and make as directed with lock and key arrangement including all accessories and labour charges etc., complete.</t>
  </si>
  <si>
    <t>8.1.2</t>
  </si>
  <si>
    <t>Supply of  10 pair Telephone distribution box with back mount frame, krone connector, powder coated metal body with lock and key arrangement.</t>
  </si>
  <si>
    <t>Supply, Transportation and Fixing of 20 pair Telephone distribution box with back mount frame, krone connector, powder coated metal body with lock and key arrangement including all accessories and labour charges etc., complete.</t>
  </si>
  <si>
    <t>Supply of  20 pair Telephone distribution box with back mount frame, krone connector, powder coated metal body with lock and key arrangement.</t>
  </si>
  <si>
    <t>Supply, Transportation and Fixing of 50 pair Telephone distribution box with back mount frame, krone connector, powder coated metal body with lock and key arrangement including all accessories and labour charges etc., complete.</t>
  </si>
  <si>
    <t>Supply of  50 pair Telephone distribution box with back mount frame, krone connector, powder coated metal body with lock and key arrangement.</t>
  </si>
  <si>
    <t>Supply, Transportation and Fixing of 100 pair Telephone distribution box with back mount frame, krone connector, powder coated metal body with lock and key arrangement including all accessories and labour charges etc., complete.</t>
  </si>
  <si>
    <t>100 pair Telephone distribution box</t>
  </si>
  <si>
    <t>sundries</t>
  </si>
  <si>
    <t>Large (EPABX) System</t>
  </si>
  <si>
    <t>Supply, Installation, Testing and Commissioning of IP Based digtal Telephone (EPABX) system--complied with following specifications:
&gt; IP @ Core, PCM/TDM switching, Non blocking,
&gt; Must Support PRI, E1, Analog Junctions
&gt; Must Support PC Console,
&gt; Must support Mobile SIP (Android and I O.S)
&gt; Must support Voice Mail
&gt; Must support Card based GSM
&gt; Inbuilt Call Details Software with search engine software
&gt; 8 Analog Trunks    
&gt; 8 Digital Extensions  
&gt; 96 Analog Extensions    
&gt; 1 Digital Key Phone with minimum 16 Keys   (Must work only on 2 wires)   &gt; Expandable to 220 Ports wired or more at extra cost
Approved Brands: NEC/ Alcatel/ Karel / Unify</t>
  </si>
  <si>
    <t>8.4.1</t>
  </si>
  <si>
    <t>&gt; 8 Analog Trunks
&gt; 8 Digital Extensions
&gt; 96 Analog Extensions
&gt; Expandable
to 220 Ports wired or more at extra cost</t>
  </si>
  <si>
    <t>IX</t>
  </si>
  <si>
    <t>LAN Networking System</t>
  </si>
  <si>
    <t>Supply, Transportation and Run of  Cat - 6 UTP cable for LAN   in the existing  conduit pipe and labour charges etc., complete.  Makes : D Link / AMP / Molex / Legrand / Krone.</t>
  </si>
  <si>
    <t>8.1.3</t>
  </si>
  <si>
    <t>Supply of LAN Cable cat - 6 UTP cable.</t>
  </si>
  <si>
    <t>Rate Per Meter</t>
  </si>
  <si>
    <t>Supply, Transportation and Fixing of Cat 6 RJ-45 information outlets including duel face plate with all accessories and labour charges etc., complete.  
Makes : D Link / AMP / Molex / Legrand / Krone.</t>
  </si>
  <si>
    <t>8.1.4</t>
  </si>
  <si>
    <t>Supply of Cat 6 RJ-45 information outlets including duel face plate.</t>
  </si>
  <si>
    <t>Supply of 7 feet length moulded patch cord. 
Makes : D Link / AMP / Molex / Legrand / Krone.</t>
  </si>
  <si>
    <t>8.1.7</t>
  </si>
  <si>
    <t>7 feet length moulded patch cord</t>
  </si>
  <si>
    <t>Supply of 3 feet length moulded patch cord. 
Makes : D Link / AMP / Molex / Legrand / Krone.</t>
  </si>
  <si>
    <t xml:space="preserve"> 3 feet length moulded patch cord. </t>
  </si>
  <si>
    <t>Supply, Transportation and Fixing of 24 Port manageble switches including all accessories and labour charges etc., complete.  Makes : CISCO / Net Gear / HP /  D link</t>
  </si>
  <si>
    <t>8.1.5</t>
  </si>
  <si>
    <t>Supply of 24 Port manageble switches.</t>
  </si>
  <si>
    <t>Cost of Material for 1</t>
  </si>
  <si>
    <t>Supply, Transportation and Fixing of 24 port patch panels including all accessories and labour charges etc., complete.  Makes : D Link / AMP / Molex / Legrand / Krone</t>
  </si>
  <si>
    <t>8.1.8</t>
  </si>
  <si>
    <t>Supply of 24 port patch panels.</t>
  </si>
  <si>
    <t>Makes : D Link / AMP / Molex / Legrand / Krone.</t>
  </si>
  <si>
    <t>Supply, Transportation and Fixing of 19" 9U  Wall mounting net work rack with power spike including all accessories and labour charges etc., complete.  Makes : HCL / VAL / Rittal / APW</t>
  </si>
  <si>
    <t>8.1.10</t>
  </si>
  <si>
    <t>Supply of 9U Wall mounting net work rack with power spike including all accessories.</t>
  </si>
  <si>
    <t>Supply, Transportation and Fixing of 19"  12U  Wall mounting net work rack with power spike including all accessories and labour charges etc., complete.  Makes : HCL / VAL / Rittal / APW</t>
  </si>
  <si>
    <t>Supply of 12U  Wall mounting net work rack with power spike including all accessories.</t>
  </si>
  <si>
    <t>Supply and installation of IP 20, IK 08 42U floor  Stand 600mm Width x 800mm Deep Floor mounting net work rack with all accessories like front and rear doors, fans, castors, cable manager, shelf,
power distribution unit, hardware packet. 
Mod cap floor stand : Modular construction of the rack made of 4 vertical , 4 Horizontal and 4 depth alloy extruded multi folded hallow profiles bolted and joined together with links and corner blocks. 3 Pairs of support channels to equate the load evenly and castor provision at bottom side.
Painting shade : Combination of RAL 7035 / 7037 fine texture - 60 to 80 microns. or
RAL 9005 fine texture - 60 to 80 microns complies with standards : UL 2416, Din 41494, IEC EN 60529, IEC EN 62262, IEC EN 60068-2-11, ISO 9001-2008.
Makes : HCL / VAL / Rittal / APW.</t>
  </si>
  <si>
    <t>8.1.13</t>
  </si>
  <si>
    <t>Supply of 42U floor Stand net work rack with power spike including all accessories.</t>
  </si>
  <si>
    <t>Street Lights</t>
  </si>
  <si>
    <t>7.3.1</t>
  </si>
  <si>
    <t>Fabrication, Transportation and supply of hot-dip galvanized Octogonal Pole with BSEN - 10025 grade S 355 JO steel plate for shaft, IS 2062 for base plate with door
opening arrangement, including chain for anti theft mechanism, supply of suitable boards with bakelite sheet, din channel for MCB's as per IS specification suitable to withstand the wind speed of 180 KMPH for 7.50 Mtrs height Pole having dimensions
Bottom 130mm, Top 70mm with 3mm
thick, base plate 220 x 220 x 12mm and 4 Nos of M20 x 700mm long 'J' bolts along with template or equivalent.
Makes: BAJAJ / VALMONT / TRANSRAIL / SKIPPER / LAASMA.</t>
  </si>
  <si>
    <t>ELEC-7.4.2</t>
  </si>
  <si>
    <t xml:space="preserve">Fabrication, Transportation and supply of  of 1.5mtrs sword type decorative Single arm bracket with dooms complete with all accessories with MS galvanized 50mm dia Pipe. </t>
  </si>
  <si>
    <t xml:space="preserve">Fabrication, Transportation and supply of  of 1.5mtrs sword type decorative double arm bracket with dooms either sides complete with all accessories with MS galvanized 50mm dia Pipe. </t>
  </si>
  <si>
    <t>ELEC-7.11.2</t>
  </si>
  <si>
    <t>Foundation and erection charges with
special T&amp;P, for 7.50 Mtrs long Octagonal / Conical pole duly erecting on base plate duly provided 4 Nos foundation bolts with nuts with providing of 0.45Mtrx0.45Mtrsx1.20 Mtr size M20 cc work vibrated concreting mixing with necessary steel (10kgs) reinforcement as
directed by the field engineers during
execution including centering,
decentering, water curing as required,
soil exacavation, back filling, muffing
removal and coil earthing including all
labour charges and cost and conveyance of materials etc. complete.</t>
  </si>
  <si>
    <t>ELEC-7.6.2</t>
  </si>
  <si>
    <t>Supply and fixing of suitable out door
feeder piller box of size made with 14
SWG CRCA sheet with double door arrangement, making powder coating
after processing of 7 Tank process, lock and key, hinges, rubber gasket, danger board,suitable angle iron stand for mounting the feeder pillar with cement concrete, including Supply and fixing of Legrand / Schnieder make 63A, 4 Pole MCB as incomer,  9 Nos 6-32A SP MCBs as out goings, indication lamps, din channel, 6 Sqmm 3 core copper cable for invidual light control, connectors, bus bars, shroudings, gland plates and provision for 3 phase energy meter etc., complete for finished item of work and suitable wiring provision for connecting the nature switch with following.</t>
  </si>
  <si>
    <t>3.2.2</t>
  </si>
  <si>
    <t>Supply and fixing of Automatic Street
Light Control System with Optical Sensor, Low volatage / High voltage trip and reset, operating voltage 380 - 450 V AC, 50 HZ with suitable SMC enclousure of IP 54 protection, MCBs of Legrand / Schneider / L&amp;T / Siemens of 10KA C/D curve and Contactor suitable to control
the load of 8 KW Three phase load
with necessary clamping arrangements.
Makes : Swadeep Nature Switch / Light Mate / L&amp;T / Siemens / Bajaj</t>
  </si>
  <si>
    <t>Supply and transportation &amp; fixing of 72 W +/-10% (&gt;=7200 Lumens) LED Street light Body made of high grade pressure die – cast Aluminium alloy with corrosion resistant powder coat, having
protective toughened glass cover, Suitable lens on LEDs, Less Glare, IP 66 (Silicon gasket ensures Optical &amp; Electrical compartments are IP 66) protected, wide operating voltage range, P.F &gt; 0.90, System having efficacy &gt;110 lumens/watt, with Ingress protection IP66, Potted driver, Driver surge
protection &gt;10KV, THD&lt;15%, CCT: 3000- 6500K as desired by the department and as per IS, CRI&gt;70, Inbuilt Electrical protections like Over voltage, short circuit, Over load, Open Circuit,
Miswiring, etc complete with BIS certification with 5 years warranty. The contractor has to furnish the
manufacturer warranty letter, LM 79 and LM 80 certificates. 
LUMINAIRE MAKE:  PHILIPS / OSRAM / GE Venture / CROMPTON / BAJAJ / Surya /
Wipro / Jaquar / HAVELLS / POLYCAB /Goldmedal / HPL
LED  MAKE  :  PHILIPS  LUMILEDS  /  CREE  /  NICHIA  / OSRAM / SAMSUNG / LG LEDs.</t>
  </si>
  <si>
    <t>3.7.1</t>
  </si>
  <si>
    <t>72 W +/-10% (&gt;=7200 Lumens)</t>
  </si>
  <si>
    <t>5.2.1</t>
  </si>
  <si>
    <t>Supply, Transportation, Installation,
Testing and commissioning of storage / Pressure type Vertical / Horizontal 230/250V single phase 2000 watts 5 Star rated water heater with ABS plastic body of 15 Ltrs capacity to withstand up to 8.0 bar of water pressure including al standard accessories and dead weight
pressure reducing valve on out let side, including cost of 2 Nos SS flexible braided hose pipe, testing and all labour charges etc., complete.
Makes : Crompton / Jaquar / Venus /
Racold / AO Smith / Havells / Bajaj or
equivalent as approved by the Dept.</t>
  </si>
  <si>
    <t xml:space="preserve"> Airconditioners</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</si>
  <si>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t>
  </si>
  <si>
    <t>( 1.5 TR 3 STAR)</t>
  </si>
  <si>
    <r>
      <t xml:space="preserve">1.5 TR 3 Star capable of delivering 18000 BTU/hr
</t>
    </r>
    <r>
      <rPr>
        <b/>
        <sz val="10"/>
        <color theme="1"/>
        <rFont val="Arial"/>
        <family val="2"/>
      </rPr>
      <t>Make: Carrier / Daikin / Blue Star / Hitachi</t>
    </r>
  </si>
  <si>
    <t>6.1.1</t>
  </si>
  <si>
    <t>1.5 Ton ( 3 star rates)</t>
  </si>
  <si>
    <t>6.7.28</t>
  </si>
  <si>
    <t>Installation charges</t>
  </si>
  <si>
    <t>LS for Hard ware etc.,</t>
  </si>
  <si>
    <t>( 1.8 / 2.0 TR 3 STAR)</t>
  </si>
  <si>
    <r>
      <t>2.0 / 1.8 TR 2-3 Star capable of
delivering 21600 BTU/hr and above
M</t>
    </r>
    <r>
      <rPr>
        <b/>
        <sz val="10"/>
        <color theme="1"/>
        <rFont val="Arial"/>
        <family val="2"/>
      </rPr>
      <t>akes : Daikin / Thoshiba / O General / Carrier / Blue Star / Hitachi</t>
    </r>
  </si>
  <si>
    <t>1.8 / 2.0 Ton ( 2-3 star rates)</t>
  </si>
  <si>
    <t>Transportation @ 2%</t>
  </si>
  <si>
    <t xml:space="preserve">Stabilizers </t>
  </si>
  <si>
    <r>
      <t xml:space="preserve">Supply and erecting fully automatic line voltage stabilizer for operation on input voltage 200 to 250V. rated  </t>
    </r>
    <r>
      <rPr>
        <b/>
        <sz val="10"/>
        <color theme="1"/>
        <rFont val="Arial"/>
        <family val="2"/>
      </rPr>
      <t>for 4 KVA</t>
    </r>
    <r>
      <rPr>
        <sz val="10"/>
        <color theme="1"/>
        <rFont val="Arial"/>
        <family val="2"/>
      </rPr>
      <t xml:space="preserve">  maximum load and time delay model with  Volt meter, selector switch, 6A / 16A flush type, 5 pin socket for out put and with 3 core flexible chord and 3 pin 6/16A plug top suitable for refrigerator for continuous operation including cost and conveyance of all mateials and all labour charges etc., complete. </t>
    </r>
    <r>
      <rPr>
        <b/>
        <sz val="10"/>
        <color theme="1"/>
        <rFont val="Arial"/>
        <family val="2"/>
      </rPr>
      <t xml:space="preserve">Makes : </t>
    </r>
    <r>
      <rPr>
        <sz val="10"/>
        <color theme="1"/>
        <rFont val="Arial"/>
        <family val="2"/>
      </rPr>
      <t>V-Guard / Real Guard / Uni Stab / ITL.</t>
    </r>
  </si>
  <si>
    <t>6.10.1</t>
  </si>
  <si>
    <t xml:space="preserve">4 KVA  Stabilizer </t>
  </si>
  <si>
    <t>b) Labour Charges</t>
  </si>
  <si>
    <t xml:space="preserve">Helper </t>
  </si>
  <si>
    <t>Transportation Charges on Unit Cost</t>
  </si>
  <si>
    <t xml:space="preserve">Rate per Each </t>
  </si>
  <si>
    <r>
      <t xml:space="preserve">Supply and erecting fully automatic line voltage stabilizer for operation on input voltage 200 to 250V. rated </t>
    </r>
    <r>
      <rPr>
        <b/>
        <sz val="10"/>
        <color theme="1"/>
        <rFont val="Arial"/>
        <family val="2"/>
      </rPr>
      <t xml:space="preserve"> for 5 KVA</t>
    </r>
    <r>
      <rPr>
        <sz val="10"/>
        <color theme="1"/>
        <rFont val="Arial"/>
        <family val="2"/>
      </rPr>
      <t xml:space="preserve"> maximum load and time delay model with  Volt meter, selector switch, 6A / 16A flush type, 5 pin socket for out put and with 3 core flexible chord and 3 pin 6/16A plug top suitable for refrigerator for continuous operation including cost and conveyance of all mateials and all labour charges etc., complete. </t>
    </r>
    <r>
      <rPr>
        <b/>
        <sz val="10"/>
        <color theme="1"/>
        <rFont val="Arial"/>
        <family val="2"/>
      </rPr>
      <t xml:space="preserve">Makes : </t>
    </r>
    <r>
      <rPr>
        <sz val="10"/>
        <color theme="1"/>
        <rFont val="Arial"/>
        <family val="2"/>
      </rPr>
      <t>V-Guard / Real Guard / Uni Stab / ITL.</t>
    </r>
  </si>
  <si>
    <t>6.8.1</t>
  </si>
  <si>
    <t xml:space="preserve">5 KVA  Stabilizer </t>
  </si>
  <si>
    <t>GENERAL ABSTRACT</t>
  </si>
  <si>
    <t>Description of Item</t>
  </si>
  <si>
    <t>Civil Works</t>
  </si>
  <si>
    <t>Sub Total</t>
  </si>
  <si>
    <t>DMF @30% on Seigniorage charges</t>
  </si>
  <si>
    <t>SMET @2% on Seigniorage charges</t>
  </si>
  <si>
    <t>Provision towards NAC @ 0.1%</t>
  </si>
  <si>
    <t>Provision towards GST @ 18%</t>
  </si>
  <si>
    <t>Provision towards Unforeseen items and rounding off</t>
  </si>
  <si>
    <t>Grand Total</t>
  </si>
  <si>
    <t>Provision towards Engineering Supervision charges @ 4%</t>
  </si>
  <si>
    <t>SSR 2022-23</t>
  </si>
  <si>
    <t>Rate as per SSR          TBSC-K.IV-13</t>
  </si>
  <si>
    <t>Rate as per SSR      TBSC-M.I-24</t>
  </si>
  <si>
    <t>Supply and Transportation of of INVERTER Model Cool type split AC unit with high wall mounted Single Split 100% copper indoor and outdoor condencing unit Hermetically sealed compressor suitable for operation on 230V, 50Hz, 1Phase AC supply capable of performing Heat cool dehumidifying air circulating and filtering with cooling and condensing units with 3.0 mts of copper piping, insulation kit and 4 mts of 4 core copper flexible chord (Voltage range 160- 264 volts) and
cordless remote control with with warranty of compressor for 5 years iand comprehensive maintenance for 2 years</t>
  </si>
  <si>
    <t>2.0 / 1.8 TR 4 Star capable of delivering 21600 BTU/hr and above with operating on refrigerant R-32 / R-410 Makes : Daikin / Toshibha / Carrier / Blue Star / Hitachi or equivalent</t>
  </si>
  <si>
    <t xml:space="preserve">2.0 / 1.8 TR 4 Star </t>
  </si>
  <si>
    <t>6.2.1</t>
  </si>
  <si>
    <r>
      <t xml:space="preserve">for cutting steel bars </t>
    </r>
    <r>
      <rPr>
        <b/>
        <sz val="10"/>
        <color theme="1"/>
        <rFont val="Arial"/>
        <family val="2"/>
        <charset val="1"/>
      </rPr>
      <t>(BLD-CSTN-14-10/300)</t>
    </r>
  </si>
  <si>
    <r>
      <t>Dismantling doors, windows and clear storey windows, Ventilators etc.,</t>
    </r>
    <r>
      <rPr>
        <sz val="10"/>
        <color theme="1"/>
        <rFont val="Arial"/>
        <family val="2"/>
        <charset val="1"/>
      </rPr>
      <t xml:space="preserve"> (wood or steel) shutters including Chowkhats, architraves,hold fasts and other attachments etc., and stacking them within 100m lead including labour charge etc., and overheads &amp; contractors profit complete for finished item of work. </t>
    </r>
  </si>
  <si>
    <r>
      <t>Earth work excavation for foundations</t>
    </r>
    <r>
      <rPr>
        <sz val="10"/>
        <color theme="1"/>
        <rFont val="Arial"/>
        <family val="2"/>
        <charset val="1"/>
      </rPr>
      <t xml:space="preserve"> </t>
    </r>
    <r>
      <rPr>
        <b/>
        <sz val="10"/>
        <color theme="1"/>
        <rFont val="Arial"/>
        <family val="2"/>
        <charset val="1"/>
      </rPr>
      <t xml:space="preserve">(Manual Means) of buildings,  septic tank, sump, compound wall in ordinary soils </t>
    </r>
    <r>
      <rPr>
        <sz val="10"/>
        <color theme="1"/>
        <rFont val="Arial"/>
        <family val="2"/>
        <charset val="1"/>
      </rPr>
      <t xml:space="preserve">and depositing on bank </t>
    </r>
    <r>
      <rPr>
        <b/>
        <sz val="10"/>
        <color theme="1"/>
        <rFont val="Arial"/>
        <family val="2"/>
        <charset val="1"/>
      </rPr>
      <t>with an initial lead of 10m and 1m additional lift charges over the initial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t>
    </r>
    <r>
      <rPr>
        <b/>
        <sz val="10"/>
        <color theme="1"/>
        <rFont val="Arial"/>
        <family val="2"/>
        <charset val="1"/>
      </rPr>
      <t xml:space="preserve"> </t>
    </r>
    <r>
      <rPr>
        <sz val="10"/>
        <color theme="1"/>
        <rFont val="Arial"/>
        <family val="2"/>
        <charset val="1"/>
      </rPr>
      <t>charges etc., as per SS 20 B(APSS 308)</t>
    </r>
  </si>
  <si>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soils </t>
    </r>
    <r>
      <rPr>
        <sz val="10"/>
        <color theme="1"/>
        <rFont val="Arial"/>
        <family val="2"/>
        <charset val="1"/>
      </rPr>
      <t xml:space="preserve">and depositing on bank for all lifts and with an </t>
    </r>
    <r>
      <rPr>
        <b/>
        <sz val="10"/>
        <color theme="1"/>
        <rFont val="Arial"/>
        <family val="2"/>
        <charset val="1"/>
      </rPr>
      <t>initial lead of 10m and 3m to 6m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</si>
  <si>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(a+b+c+d) / 210</t>
    </r>
  </si>
  <si>
    <r>
      <t>Earth work excavation for foundations</t>
    </r>
    <r>
      <rPr>
        <sz val="10"/>
        <color theme="1"/>
        <rFont val="Arial"/>
        <family val="2"/>
        <charset val="1"/>
      </rPr>
      <t xml:space="preserve"> </t>
    </r>
    <r>
      <rPr>
        <b/>
        <sz val="10"/>
        <color theme="1"/>
        <rFont val="Arial"/>
        <family val="2"/>
        <charset val="1"/>
      </rPr>
      <t xml:space="preserve">(Manual Means) of buildings in ordinary rock (not requiring blasting) </t>
    </r>
    <r>
      <rPr>
        <sz val="10"/>
        <color theme="1"/>
        <rFont val="Arial"/>
        <family val="2"/>
        <charset val="1"/>
      </rPr>
      <t xml:space="preserve">and depositing on bank </t>
    </r>
    <r>
      <rPr>
        <b/>
        <sz val="10"/>
        <color theme="1"/>
        <rFont val="Arial"/>
        <family val="2"/>
        <charset val="1"/>
      </rPr>
      <t>with an initial lead of 10m and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</si>
  <si>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 / 10</t>
    </r>
  </si>
  <si>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rock (not requiring blasting)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</si>
  <si>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Rate per 1 cum</t>
    </r>
    <r>
      <rPr>
        <sz val="10"/>
        <color theme="1"/>
        <rFont val="Arial"/>
        <family val="2"/>
        <charset val="1"/>
      </rPr>
      <t xml:space="preserve"> (a+b+c+d) / 180</t>
    </r>
  </si>
  <si>
    <r>
      <t xml:space="preserve">Earth work excavation for foundations for buildings in hard rock (requiring blasting)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</si>
  <si>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Rate per 1 cum</t>
    </r>
    <r>
      <rPr>
        <sz val="10"/>
        <color theme="1"/>
        <rFont val="Arial"/>
        <family val="2"/>
        <charset val="1"/>
      </rPr>
      <t xml:space="preserve"> (a+b+c+d) / 10</t>
    </r>
  </si>
  <si>
    <r>
      <t xml:space="preserve">Earth work excavation for foundations for buildings in hard rock (blasting prohibited)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t>
    </r>
    <r>
      <rPr>
        <b/>
        <sz val="10"/>
        <color theme="1"/>
        <rFont val="Arial"/>
        <family val="2"/>
        <charset val="1"/>
      </rPr>
      <t xml:space="preserve"> </t>
    </r>
  </si>
  <si>
    <r>
      <t>Conveyance of un-useful excavated earth to a distance of 5 KM for disposal</t>
    </r>
    <r>
      <rPr>
        <sz val="10"/>
        <color theme="1"/>
        <rFont val="Arial"/>
        <family val="2"/>
        <charset val="1"/>
      </rPr>
      <t xml:space="preserve"> including  hire charges of T &amp; P, labour charges etc., and overheads &amp; contractors profit complete for finished item of work.</t>
    </r>
  </si>
  <si>
    <r>
      <t xml:space="preserve">Pre construction Anti termite treatment is a process in which chemical toxic to sub terrain termites is apply/ inject </t>
    </r>
    <r>
      <rPr>
        <sz val="10"/>
        <color theme="1"/>
        <rFont val="Arial"/>
        <family val="2"/>
        <charset val="1"/>
      </rPr>
      <t>into soil during early stage of building Construction Treatment of soil Beneath the building and around the foundations conduct and chemical use as per BIS - IS 6313 (Part -2) 2013 code specification &amp; CIB RC registered termiticide which creates a continuous chemical barrier beneath the building which kills or repels terminates &amp; impervious to tremite entry Imidacloprid 30.5% SC (IS 63131) dissolve 2.1 Ml/1 liter of water and apply emulsion/solution @ 7.5 Litres/Square meter (Sqm) of internal, external vertical surface of the columns , plinth beams (Back filling) walls and floor junction, external perimeters, along retaining wall @ 5.0 Liters/Sqm of the horizontal surface of basement top surface of the basement filling below flooring bed (Plinth) &amp; @ 2.0 Litres/ Line meter at expansion joints. The substructure of a depth of 500mm around columns &amp; 300mm deep around plinth beams, basements &amp; floor filling area including excavation channel along the wall &amp; rodding etc. cost &amp; Conveyance of all materials to the site, cost of labour for spraying, rodding etc. complete for furnished item of work as per the approval of the Engineer-in-charge(Plinth area measurements will be taken for payment).</t>
    </r>
  </si>
  <si>
    <r>
      <t>Filling with carted coarse sand</t>
    </r>
    <r>
      <rPr>
        <sz val="10"/>
        <color theme="1"/>
        <rFont val="Arial"/>
        <family val="2"/>
        <charset val="1"/>
      </rPr>
      <t xml:space="preserve"> in trenches,sides of foundations and basement with initial lead in layers not exceeding 15cm thick,watering and ramming including cost and conveyance of water to work site and all peraitonal,incidental ,labour charges,hire charges of T&amp;P etc.,  and overheads &amp; contractors profit complete for fnished item of work   (APSS NO.309&amp;310) </t>
    </r>
  </si>
  <si>
    <r>
      <t xml:space="preserve">Filling with carted gravel </t>
    </r>
    <r>
      <rPr>
        <sz val="10"/>
        <color theme="1"/>
        <rFont val="Arial"/>
        <family val="2"/>
        <charset val="1"/>
      </rPr>
      <t>by manual means</t>
    </r>
    <r>
      <rPr>
        <b/>
        <sz val="10"/>
        <color theme="1"/>
        <rFont val="Arial"/>
        <family val="2"/>
        <charset val="1"/>
      </rPr>
      <t xml:space="preserve"> </t>
    </r>
    <r>
      <rPr>
        <sz val="10"/>
        <color theme="1"/>
        <rFont val="Arial"/>
        <family val="2"/>
        <charset val="1"/>
      </rPr>
      <t>in trenches, sides of foundations and basement with initial lead in layers not exceeding 15 cm thick, consolidating each deposited layer by watering and ramming including cost and conveyance of water to work site and all operational, incidental, labour charges, hire charges of T &amp; P etc., and overheads &amp; contractors profit complete for fnished item of work. (APSS NO. 309 &amp; 310)</t>
    </r>
  </si>
  <si>
    <r>
      <t>Filling with useful available excavated earth</t>
    </r>
    <r>
      <rPr>
        <sz val="10"/>
        <color theme="1"/>
        <rFont val="Arial"/>
        <family val="2"/>
        <charset val="1"/>
      </rPr>
      <t xml:space="preserve"> by manual means (excluding rock) in trenches, sides of foundations and basement with initial lead in layers not exceeding 15 cm thick, consolidating each deposited layer by watering and ramming including cost and conveyance of water to work site and all operational, incidental, labour charges, hire charges of T &amp; P etc., and overheads &amp; contractors profit complete for finished item of work. (APSS NO. 309 &amp; 310)</t>
    </r>
  </si>
  <si>
    <r>
      <t>Random Rubble stone masonry</t>
    </r>
    <r>
      <rPr>
        <sz val="10"/>
        <color theme="1"/>
        <rFont val="Arial"/>
        <family val="2"/>
        <charset val="1"/>
      </rPr>
      <t xml:space="preserve"> in CM (1:8) prop: (Cement: Screened sand) using hard </t>
    </r>
    <r>
      <rPr>
        <b/>
        <sz val="10"/>
        <color theme="1"/>
        <rFont val="Arial"/>
        <family val="2"/>
        <charset val="1"/>
      </rPr>
      <t xml:space="preserve">other than granite </t>
    </r>
    <r>
      <rPr>
        <sz val="10"/>
        <color theme="1"/>
        <rFont val="Arial"/>
        <family val="2"/>
        <charset val="1"/>
      </rPr>
      <t xml:space="preserve"> stones </t>
    </r>
    <r>
      <rPr>
        <b/>
        <sz val="10"/>
        <color theme="1"/>
        <rFont val="Arial"/>
        <family val="2"/>
        <charset val="1"/>
      </rPr>
      <t xml:space="preserve"> </t>
    </r>
    <r>
      <rPr>
        <sz val="10"/>
        <color theme="1"/>
        <rFont val="Arial"/>
        <family val="2"/>
        <charset val="1"/>
      </rPr>
      <t xml:space="preserve">carted from approved quarry including cost and conveyance of all materials like cement, screened sand, water, stones etc., from approved quarry, to site, sales &amp; other taxes on all materials  including labour for cutting stones to required size and shape, mixing, of cement, mortar, construction,  curing etc.,and overheads &amp; contractors profit  complete for finished item of work in </t>
    </r>
    <r>
      <rPr>
        <b/>
        <sz val="10"/>
        <color theme="1"/>
        <rFont val="Arial"/>
        <family val="2"/>
        <charset val="1"/>
      </rPr>
      <t>foundation and basement</t>
    </r>
    <r>
      <rPr>
        <sz val="10"/>
        <color theme="1"/>
        <rFont val="Arial"/>
        <family val="2"/>
        <charset val="1"/>
      </rPr>
      <t>.</t>
    </r>
    <r>
      <rPr>
        <b/>
        <sz val="10"/>
        <color theme="1"/>
        <rFont val="Arial"/>
        <family val="2"/>
        <charset val="1"/>
      </rPr>
      <t xml:space="preserve"> </t>
    </r>
    <r>
      <rPr>
        <sz val="10"/>
        <color theme="1"/>
        <rFont val="Arial"/>
        <family val="2"/>
        <charset val="1"/>
      </rPr>
      <t>(APSS No. 601 &amp; 615)</t>
    </r>
    <r>
      <rPr>
        <b/>
        <sz val="10"/>
        <color theme="1"/>
        <rFont val="Arial"/>
        <family val="2"/>
        <charset val="1"/>
      </rPr>
      <t xml:space="preserve">   </t>
    </r>
  </si>
  <si>
    <r>
      <t>Random Rubble stone masonry</t>
    </r>
    <r>
      <rPr>
        <sz val="10"/>
        <color theme="1"/>
        <rFont val="Arial"/>
        <family val="2"/>
        <charset val="1"/>
      </rPr>
      <t xml:space="preserve"> in CM (1:8) prop: (Cement: Screened sand) using </t>
    </r>
    <r>
      <rPr>
        <b/>
        <sz val="10"/>
        <color theme="1"/>
        <rFont val="Arial"/>
        <family val="2"/>
        <charset val="1"/>
      </rPr>
      <t xml:space="preserve">hard granite  stones  </t>
    </r>
    <r>
      <rPr>
        <sz val="10"/>
        <color theme="1"/>
        <rFont val="Arial"/>
        <family val="2"/>
        <charset val="1"/>
      </rPr>
      <t xml:space="preserve">carted from approved quarry including cost and conveyance of all materials like cement, screened sand, water, stones etc., from approved quarry, to site, sales &amp; other taxes on all materials  including labour for cutting stones to required size and shape, mixing, of cement, mortar, construction,  curing etc.,and overheads &amp; contractors profit  complete for finished item of work in </t>
    </r>
    <r>
      <rPr>
        <b/>
        <sz val="10"/>
        <color theme="1"/>
        <rFont val="Arial"/>
        <family val="2"/>
        <charset val="1"/>
      </rPr>
      <t>foundation and basement</t>
    </r>
    <r>
      <rPr>
        <sz val="10"/>
        <color theme="1"/>
        <rFont val="Arial"/>
        <family val="2"/>
        <charset val="1"/>
      </rPr>
      <t>.</t>
    </r>
    <r>
      <rPr>
        <b/>
        <sz val="10"/>
        <color theme="1"/>
        <rFont val="Arial"/>
        <family val="2"/>
        <charset val="1"/>
      </rPr>
      <t xml:space="preserve"> </t>
    </r>
    <r>
      <rPr>
        <sz val="10"/>
        <color theme="1"/>
        <rFont val="Arial"/>
        <family val="2"/>
        <charset val="1"/>
      </rPr>
      <t>(APSS No. 601 &amp; 615)</t>
    </r>
    <r>
      <rPr>
        <b/>
        <sz val="10"/>
        <color theme="1"/>
        <rFont val="Arial"/>
        <family val="2"/>
        <charset val="1"/>
      </rPr>
      <t xml:space="preserve">   </t>
    </r>
  </si>
  <si>
    <r>
      <t>Plain Cement Concrete (1:3:6) nominal mix using</t>
    </r>
    <r>
      <rPr>
        <sz val="10"/>
        <color theme="1"/>
        <rFont val="Arial"/>
        <family val="2"/>
        <charset val="1"/>
      </rPr>
      <t xml:space="preserve"> 40mm size machine crushed hard granite metal (coarse aggregate) in (2:1) ratio from approved quarry including cost and conveyance of all materials like cement, fine aggregate (sand), coarse aggregate, water etc. to site, sales &amp; other taxes on all materials, all charges for mixing, laying concrete in position,  curing charges, overheads &amp; contractors profit etc., for finished item of work.
 </t>
    </r>
    <r>
      <rPr>
        <b/>
        <sz val="10"/>
        <color theme="1"/>
        <rFont val="Arial"/>
        <family val="2"/>
        <charset val="1"/>
      </rPr>
      <t>for footings and basement.</t>
    </r>
  </si>
  <si>
    <r>
      <t>Plain Cement Concrete (1:3:6) nominal mix using</t>
    </r>
    <r>
      <rPr>
        <sz val="10"/>
        <color theme="1"/>
        <rFont val="Arial"/>
        <family val="2"/>
        <charset val="1"/>
      </rPr>
      <t xml:space="preserve"> 20mm size machine crushed hard granite metal (coarse aggregate) in (2:1) ratio from approved quarry including cost and conveyance of all materials like cement, fine aggregate (sand), coarse aggregate, water etc. to site, sales &amp; other taxes on all materials, all charges for mixing, laying concrete in position,  curing charges, overheads &amp; contractors profit etc., for finished item of work </t>
    </r>
    <r>
      <rPr>
        <b/>
        <sz val="10"/>
        <color theme="1"/>
        <rFont val="Arial"/>
        <family val="2"/>
        <charset val="1"/>
      </rPr>
      <t>for footings and basement.</t>
    </r>
  </si>
  <si>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centering using Casurina Ballies, Bamboos, Wooden Reapers, Runners, Wood Posts, Steel Plates etc.</t>
    </r>
    <r>
      <rPr>
        <sz val="10"/>
        <color theme="1"/>
        <rFont val="Arial"/>
        <family val="2"/>
        <charset val="1"/>
      </rPr>
      <t>,</t>
    </r>
    <r>
      <rPr>
        <b/>
        <sz val="10"/>
        <color theme="1"/>
        <rFont val="Arial"/>
        <family val="2"/>
        <charset val="1"/>
      </rPr>
      <t xml:space="preserve"> </t>
    </r>
    <r>
      <rPr>
        <sz val="10"/>
        <color theme="1"/>
        <rFont val="Arial"/>
        <family val="2"/>
        <charset val="1"/>
      </rPr>
      <t>including all operational, incidental and labour charges such as weigh batching, machine mixing, lifting of concrete manually, laying concrete, curing , overheads &amp; contractors profit etc.,  complete but excluding cost of steel and its fabrication charges for finished item of work (APSS No. 402)</t>
    </r>
    <r>
      <rPr>
        <b/>
        <sz val="10"/>
        <color theme="1"/>
        <rFont val="Arial"/>
        <family val="2"/>
        <charset val="1"/>
      </rPr>
      <t xml:space="preserve"> </t>
    </r>
  </si>
  <si>
    <r>
      <t xml:space="preserve">Lift charges of materials </t>
    </r>
    <r>
      <rPr>
        <b/>
        <sz val="10"/>
        <color theme="1"/>
        <rFont val="Arial"/>
        <family val="2"/>
        <charset val="1"/>
      </rPr>
      <t>(Manual)</t>
    </r>
  </si>
  <si>
    <r>
      <t>Supply and placing of the Design Mix Concrete M 25 grade</t>
    </r>
    <r>
      <rPr>
        <sz val="10"/>
        <color theme="1"/>
        <rFont val="Arial"/>
        <family val="2"/>
        <charset val="1"/>
      </rPr>
      <t xml:space="preserve"> corresponding to IS 456 </t>
    </r>
    <r>
      <rPr>
        <b/>
        <sz val="10"/>
        <color theme="1"/>
        <rFont val="Arial"/>
        <family val="2"/>
        <charset val="1"/>
      </rPr>
      <t>with minimum cement content of 380 kgs per 1 cum of concrete</t>
    </r>
    <r>
      <rPr>
        <sz val="10"/>
        <color theme="1"/>
        <rFont val="Arial"/>
        <family val="2"/>
        <charset val="1"/>
      </rPr>
      <t xml:space="preserve"> using Concrete Batching Plant with 20mm size graded machine crushed hard granite metal(coarse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centering using Casurina Ballies, Bamboos, Wooden Reapers, Runners, Wood Posts, Wall Plates etc., </t>
    </r>
    <r>
      <rPr>
        <sz val="10"/>
        <color theme="1"/>
        <rFont val="Arial"/>
        <family val="2"/>
        <charset val="1"/>
      </rPr>
      <t>including all operational, incidental and labour charges such as weigh batching, machine mixing, lifting of concrete manually / mechanically, laying concrete, curing, overheads &amp; contractors profit etc., complete but excluding cost of steel and its fabrication charges for finished item of work (APSS No. 402).</t>
    </r>
    <r>
      <rPr>
        <b/>
        <sz val="10"/>
        <color theme="1"/>
        <rFont val="Arial"/>
        <family val="2"/>
        <charset val="1"/>
      </rPr>
      <t xml:space="preserve"> </t>
    </r>
  </si>
  <si>
    <r>
      <t>Plain Cement concrete M25 design mix using concrete batching plant, 12 mm size hard granite machine crushed graded metal (coarse aggregate - as per IS 383 - 1970 and IS 2386 Part 1 to Part 8) from approved quarry, using a minimum quantity of 380 kgs. of cement per 1 cum of concrete including cost and conveyance of  all materials  like cement,  fine aggregate (Sand), coarse aggregate, water etc., to site  including steel centering, shuttering, machine mixing,  lift charges, laying concrete,vibrating, curing, overheads &amp; contrctors profit etc., complete  for finished item of work (APSS No. 402 &amp; 403)</t>
    </r>
    <r>
      <rPr>
        <b/>
        <sz val="10"/>
        <color theme="1"/>
        <rFont val="Arial"/>
        <family val="2"/>
        <charset val="1"/>
      </rPr>
      <t xml:space="preserve"> for Screed concrete 50mm average thick.</t>
    </r>
  </si>
  <si>
    <r>
      <t>Brick masonry for panel walls 340mm thick in superstructure with CM (1:8) prop: (Cement : Screened sand) using common burnt clay bricks</t>
    </r>
    <r>
      <rPr>
        <sz val="10"/>
        <color theme="1"/>
        <rFont val="Arial"/>
        <family val="2"/>
        <charset val="1"/>
      </rPr>
      <t xml:space="preserve"> of class as per Table- I of IS:1077-1992, Non- Modular or traditional </t>
    </r>
    <r>
      <rPr>
        <b/>
        <sz val="10"/>
        <color theme="1"/>
        <rFont val="Arial"/>
        <family val="2"/>
        <charset val="1"/>
      </rPr>
      <t>size 23 x 11 x 7 cms</t>
    </r>
    <r>
      <rPr>
        <sz val="10"/>
        <color theme="1"/>
        <rFont val="Arial"/>
        <family val="2"/>
        <charset val="1"/>
      </rPr>
      <t xml:space="preserve">  from approved source having minimum crushing strength of 40 Kg/Sqcm. including cost and conveyance of all materials like cement, screened sand, bricks, water etc., to site, including sales &amp; other taxes on all materials and such as labour charges, like mixing cement mortar, scaffolding charges, constructing masonry, lift charges, curing, etc.,and overheads &amp; contractors profit  complete for finished item of work. (APSS No. 501 &amp; 504).</t>
    </r>
  </si>
  <si>
    <r>
      <t>Reinforced  Masonry for partition walls</t>
    </r>
    <r>
      <rPr>
        <sz val="10"/>
        <color theme="1"/>
        <rFont val="Arial"/>
        <family val="2"/>
        <charset val="1"/>
      </rPr>
      <t xml:space="preserve"> (</t>
    </r>
    <r>
      <rPr>
        <b/>
        <sz val="10"/>
        <color theme="1"/>
        <rFont val="Arial"/>
        <family val="2"/>
        <charset val="1"/>
      </rPr>
      <t>100 mm</t>
    </r>
    <r>
      <rPr>
        <sz val="10"/>
        <color theme="1"/>
        <rFont val="Arial"/>
        <family val="2"/>
        <charset val="1"/>
      </rPr>
      <t xml:space="preserve"> </t>
    </r>
    <r>
      <rPr>
        <b/>
        <sz val="10"/>
        <color theme="1"/>
        <rFont val="Arial"/>
        <family val="2"/>
        <charset val="1"/>
      </rPr>
      <t>thick)</t>
    </r>
    <r>
      <rPr>
        <sz val="10"/>
        <color theme="1"/>
        <rFont val="Arial"/>
        <family val="2"/>
        <charset val="1"/>
      </rPr>
      <t xml:space="preserve"> in CM (1:4) prop.  (Cement : Screened sand) using </t>
    </r>
    <r>
      <rPr>
        <b/>
        <sz val="10"/>
        <color theme="1"/>
        <rFont val="Arial"/>
        <family val="2"/>
        <charset val="1"/>
      </rPr>
      <t>fly ash cement / lime solid blocks</t>
    </r>
    <r>
      <rPr>
        <sz val="10"/>
        <color theme="1"/>
        <rFont val="Arial"/>
        <family val="2"/>
        <charset val="1"/>
      </rPr>
      <t xml:space="preserve"> </t>
    </r>
    <r>
      <rPr>
        <b/>
        <sz val="10"/>
        <color theme="1"/>
        <rFont val="Arial"/>
        <family val="2"/>
        <charset val="1"/>
      </rPr>
      <t>of size 290mm x 100mm x 140mm</t>
    </r>
    <r>
      <rPr>
        <sz val="10"/>
        <color theme="1"/>
        <rFont val="Arial"/>
        <family val="2"/>
        <charset val="1"/>
      </rPr>
      <t xml:space="preserve"> having minimum compressive strength of 50 Kg/Sq.cmand placing 2 Nos. of 6mm M.S plain rods in every third layer with free ends of the reinforcement pegged into mortar joints of main brick walls where applicable including cost and conveyance of all materials like cement, steel, sand, bricks, water etc., to site, including sales &amp; other taxes on all materials, all operational, incidental charges such as labour charges for mixing cement mortar, scaffolding charges, constructing masonry, lift charges, curing, etc., and overheads &amp; contractors profit  but excluding cost of steel and its fabrication charges complete for finished item of work. (APSS No. of 509) </t>
    </r>
  </si>
  <si>
    <r>
      <t xml:space="preserve">Masonry work in CM (1:6) prop (cement: Screened sand) in super structure with </t>
    </r>
    <r>
      <rPr>
        <b/>
        <sz val="10"/>
        <color theme="1"/>
        <rFont val="Arial"/>
        <family val="2"/>
        <charset val="1"/>
      </rPr>
      <t>Aerated (Cellular)</t>
    </r>
    <r>
      <rPr>
        <sz val="10"/>
        <color theme="1"/>
        <rFont val="Arial"/>
        <family val="2"/>
        <charset val="1"/>
      </rPr>
      <t xml:space="preserve"> </t>
    </r>
    <r>
      <rPr>
        <b/>
        <sz val="10"/>
        <color theme="1"/>
        <rFont val="Arial"/>
        <family val="2"/>
        <charset val="1"/>
      </rPr>
      <t>Autoclaved Concrete Blocks</t>
    </r>
    <r>
      <rPr>
        <sz val="10"/>
        <color theme="1"/>
        <rFont val="Arial"/>
        <family val="2"/>
        <charset val="1"/>
      </rPr>
      <t xml:space="preserve"> conforming to IS:2185 (Part-3) - 1984 and IS:6441-1972 of Compressive strength 3 N/mm2  </t>
    </r>
    <r>
      <rPr>
        <b/>
        <sz val="10"/>
        <color theme="1"/>
        <rFont val="Arial"/>
        <family val="2"/>
        <charset val="1"/>
      </rPr>
      <t xml:space="preserve">600x 230 x 200 mm </t>
    </r>
    <r>
      <rPr>
        <sz val="10"/>
        <color theme="1"/>
        <rFont val="Arial"/>
        <family val="2"/>
        <charset val="1"/>
      </rPr>
      <t>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</si>
  <si>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 xml:space="preserve">Masonry work 100 mm thick in CM (1:4) prop (cement: Screened sand) in </t>
    </r>
    <r>
      <rPr>
        <b/>
        <sz val="10"/>
        <color theme="1"/>
        <rFont val="Arial"/>
        <family val="2"/>
        <charset val="1"/>
      </rPr>
      <t xml:space="preserve">super structure with Aerated (Cellular) Autoclaved Concrete Blocks </t>
    </r>
    <r>
      <rPr>
        <sz val="10"/>
        <color theme="1"/>
        <rFont val="Arial"/>
        <family val="2"/>
        <charset val="1"/>
      </rPr>
      <t xml:space="preserve">conforming to IS:2185 (Part-3) - 1984 and IS:6441-1972 of Compressive strength 3 N/mm2 </t>
    </r>
    <r>
      <rPr>
        <b/>
        <sz val="10"/>
        <color theme="1"/>
        <rFont val="Arial"/>
        <family val="2"/>
        <charset val="1"/>
      </rPr>
      <t xml:space="preserve"> 600x 200 x 100</t>
    </r>
    <r>
      <rPr>
        <sz val="10"/>
        <color theme="1"/>
        <rFont val="Arial"/>
        <family val="2"/>
        <charset val="1"/>
      </rPr>
      <t xml:space="preserve"> mm from approved source having minimum crushing strength of 3 N/Sq.m including cost and conveyance of all materials like cement, sand, bricks, water etc., to site, including  sales &amp; other taxes on all materials, all operational, incidental and labour charges such as mixing cement mortar, constructing masonry, scaffolding charges, lift charges, curing, etc., complete but excluding seigniorage charges for finished item of work. (APSS No. 501 &amp; 504).</t>
    </r>
  </si>
  <si>
    <r>
      <t xml:space="preserve">Plain Cement Concrete M 20 </t>
    </r>
    <r>
      <rPr>
        <sz val="10"/>
        <color theme="1"/>
        <rFont val="Arial"/>
        <family val="2"/>
        <charset val="1"/>
      </rPr>
      <t>nominal mix using WEIGH BATCHER / MIXER, 20mm size hard granite machine crushed graded metal (coarse aggregate - as per IS 383 - 1970 and IS 2386 Part 1 to Part 8) from approved quarry, using a minimum quantity of 300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t>
    </r>
    <r>
      <rPr>
        <b/>
        <sz val="10"/>
        <color theme="1"/>
        <rFont val="Arial"/>
        <family val="2"/>
        <charset val="1"/>
      </rPr>
      <t xml:space="preserve"> for coping on top of compound wall</t>
    </r>
    <r>
      <rPr>
        <sz val="10"/>
        <color theme="1"/>
        <rFont val="Arial"/>
        <family val="2"/>
        <charset val="1"/>
      </rPr>
      <t xml:space="preserve"> (APSS No. 402 &amp; 403). </t>
    </r>
  </si>
  <si>
    <r>
      <t xml:space="preserve">Plain Cement Concrete M 20 </t>
    </r>
    <r>
      <rPr>
        <sz val="10"/>
        <color theme="1"/>
        <rFont val="Arial"/>
        <family val="2"/>
        <charset val="1"/>
      </rPr>
      <t xml:space="preserve">design mix using Concrete Batching Plant, 20mm size hard granite machine crushed graded metal (coarse aggregate - as per IS 383 - 1970 and IS 2386 Part 1 to Part 8) from approved quarry, using a minimum quantity of 330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 (APSS No. 402 &amp; 403) </t>
    </r>
    <r>
      <rPr>
        <b/>
        <sz val="10"/>
        <color theme="1"/>
        <rFont val="Arial"/>
        <family val="2"/>
        <charset val="1"/>
      </rPr>
      <t xml:space="preserve">for steps. </t>
    </r>
  </si>
  <si>
    <r>
      <t xml:space="preserve">Reinforced Cement Concrete  M 20 design mix </t>
    </r>
    <r>
      <rPr>
        <sz val="10"/>
        <color theme="1"/>
        <rFont val="Arial"/>
        <family val="2"/>
        <charset val="1"/>
      </rPr>
      <t xml:space="preserve">using 12mm size hard granite machine crushed graded metal (coarse aggregate - as per IS 383 - 1970 and IS 2386 Part 1 to Part 8) from approved quarry, using a minimum quantity of 350 kgs. of cement per 1 cum of concrete using WEIGH BATCHER / MIXER including cost and conveyance of  all materials  like cement,  fine aggregate (Sand), coarse aggregate, water etc., to site including steel centering, shuttering,  labour charges such as weigh batching, machine mixing, laying concrete, lift charges, curing etc., and overheads &amp; contractors profit complete  for finished item of work (APSS No. 402 &amp; 403) </t>
    </r>
    <r>
      <rPr>
        <b/>
        <sz val="10"/>
        <color theme="1"/>
        <rFont val="Arial"/>
        <family val="2"/>
        <charset val="1"/>
      </rPr>
      <t>for  Platforms &amp; Shelves</t>
    </r>
  </si>
  <si>
    <r>
      <t xml:space="preserve">Providing Mild steel (MS) steel bars (Fe 250 grade as per IS 432) </t>
    </r>
    <r>
      <rPr>
        <sz val="10"/>
        <color theme="1"/>
        <rFont val="Arial"/>
        <family val="2"/>
        <charset val="1"/>
      </rPr>
      <t>of different diameters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No.126)</t>
    </r>
  </si>
  <si>
    <r>
      <t xml:space="preserve">Ornamental ceiling plastering 12mm thick in two coats </t>
    </r>
    <r>
      <rPr>
        <sz val="10"/>
        <color theme="1"/>
        <rFont val="Arial"/>
        <family val="2"/>
        <charset val="1"/>
      </rPr>
      <t xml:space="preserve">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 harge etc., and overheads &amp; contractors profit complete  for finished item of work. (SS 901,903 &amp; 904) </t>
    </r>
  </si>
  <si>
    <r>
      <t xml:space="preserve">Plastering 12mm thick single coat in CM(1:5) </t>
    </r>
    <r>
      <rPr>
        <sz val="10"/>
        <color theme="1"/>
        <rFont val="Arial"/>
        <family val="2"/>
        <charset val="1"/>
      </rPr>
      <t xml:space="preserve">using screened sand including cost and conveyance of all materials like cement, sand, water etc., to site, including sales &amp; other taxes on all materials, and all operational, incidental charges on materials and including cost of all labour charges for mixing mortar, finishing, curing as directed by Engineer-in-charge etc., and overheads &amp; contractors profit complete for finished item of work.(SS 901,903 &amp; 904) </t>
    </r>
  </si>
  <si>
    <r>
      <t xml:space="preserve">Plastering 20mm thick in two coats </t>
    </r>
    <r>
      <rPr>
        <sz val="10"/>
        <color theme="1"/>
        <rFont val="Arial"/>
        <family val="2"/>
        <charset val="1"/>
      </rPr>
      <t xml:space="preserve">using screened sand with base coat of 16mm thick in CM(1:6) and top coat of 4mm thick in CM(1:4)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for finished item of work .(SS 901,903 &amp; 904). </t>
    </r>
  </si>
  <si>
    <r>
      <t>Plastering 20mm thick single coat in CM(1:5)</t>
    </r>
    <r>
      <rPr>
        <sz val="10"/>
        <color theme="1"/>
        <rFont val="Arial"/>
        <family val="2"/>
        <charset val="1"/>
      </rPr>
      <t xml:space="preserve"> using screened sand including cost and conveyance of all materials like cement, sand, water etc., to site, including sales &amp; other taxes on all materials, and all operational, incidental charges on materials and including cost of all labour charges for mixing mortar, finishing, curing as directed by Engineer-in-charge etc., and overheads &amp; contractors profit complete for finished item of work .(SS 901,903 &amp; 904)</t>
    </r>
  </si>
  <si>
    <r>
      <t>Providing impervious coat</t>
    </r>
    <r>
      <rPr>
        <sz val="10"/>
        <color theme="1"/>
        <rFont val="Arial"/>
        <family val="2"/>
        <charset val="1"/>
      </rPr>
      <t xml:space="preserve"> to </t>
    </r>
    <r>
      <rPr>
        <b/>
        <sz val="10"/>
        <color theme="1"/>
        <rFont val="Arial"/>
        <family val="2"/>
        <charset val="1"/>
      </rPr>
      <t xml:space="preserve">exposed RCC roof slab surfaces </t>
    </r>
    <r>
      <rPr>
        <sz val="10"/>
        <color theme="1"/>
        <rFont val="Arial"/>
        <family val="2"/>
        <charset val="1"/>
      </rPr>
      <t xml:space="preserve">to required slopes with CM (1:3) prop. using screened sand </t>
    </r>
    <r>
      <rPr>
        <b/>
        <sz val="10"/>
        <color theme="1"/>
        <rFont val="Arial"/>
        <family val="2"/>
        <charset val="1"/>
      </rPr>
      <t xml:space="preserve">20mm thick </t>
    </r>
    <r>
      <rPr>
        <sz val="10"/>
        <color theme="1"/>
        <rFont val="Arial"/>
        <family val="2"/>
        <charset val="1"/>
      </rPr>
      <t>(average)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</si>
  <si>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r>
      <t>Providing impervious coat to exposed RCC roof slab surfaces  of sump, sump side wall,sump bottom slab, in side of septic tank, in sunken slabs etc.</t>
    </r>
    <r>
      <rPr>
        <sz val="10"/>
        <color theme="1"/>
        <rFont val="Arial"/>
        <family val="2"/>
        <charset val="1"/>
      </rPr>
      <t xml:space="preserve"> to required slopes with </t>
    </r>
    <r>
      <rPr>
        <b/>
        <sz val="10"/>
        <color theme="1"/>
        <rFont val="Arial"/>
        <family val="2"/>
        <charset val="1"/>
      </rPr>
      <t xml:space="preserve">CM (1:3) prop. </t>
    </r>
    <r>
      <rPr>
        <sz val="10"/>
        <color theme="1"/>
        <rFont val="Arial"/>
        <family val="2"/>
        <charset val="1"/>
      </rPr>
      <t>using screened sand</t>
    </r>
    <r>
      <rPr>
        <b/>
        <sz val="10"/>
        <color theme="1"/>
        <rFont val="Arial"/>
        <family val="2"/>
        <charset val="1"/>
      </rPr>
      <t xml:space="preserve"> 12mm thick</t>
    </r>
    <r>
      <rPr>
        <sz val="10"/>
        <color theme="1"/>
        <rFont val="Arial"/>
        <family val="2"/>
        <charset val="1"/>
      </rPr>
      <t xml:space="preserve">  mixed with integral cement water proofing liquid confirming to IS: 2645-2003 manufactured by reputed manufacturers as approved by Engineer-in-charge at 1 Kg per one bag of cement, laid over roof slab when it is green, finished smooth with a floating coat of neat cement and thread lining at regular intervals of 45cmx45cm where ever necessary including cost and conveyance of all materials like cement, sand, water proofing compound, water etc., to site, including sales &amp; other taxes on all materials and operational, incidental, and labour charges for mixing mortar, laying, lift charges, rendering smooth and thread lining, curing including rounding off junctions of wall and slab etc., and overheads &amp; contractors profit complete for finished item of work. (APSS No. 901 &amp; 903).</t>
    </r>
  </si>
  <si>
    <r>
      <t xml:space="preserve">RCM facia 50mm thick in CM (1:3) </t>
    </r>
    <r>
      <rPr>
        <sz val="10"/>
        <color theme="1"/>
        <rFont val="Arial"/>
        <family val="2"/>
        <charset val="1"/>
      </rPr>
      <t xml:space="preserve">using screened sand for drop walls, fins with rabbit wire mesh &amp; nomianl reinforcement  as directred by Engineer - In - Charge with dubara sponge finishing,including cost and conveyance of all materials to site, sales &amp; othertaxes on all materials,operationals &amp;incidental,cost and conveyance of cement,wire mesh,water to work site,centering,scaffolding and form work,lift charges etc., and overheads &amp; contractors profit complete for finished item of work but excluding cost of steel and its fabrication charges for finished item of work (APSS NO.403&amp;903). </t>
    </r>
  </si>
  <si>
    <r>
      <t>Flooring with</t>
    </r>
    <r>
      <rPr>
        <sz val="10"/>
        <color theme="1"/>
        <rFont val="Arial"/>
        <family val="2"/>
        <charset val="1"/>
      </rPr>
      <t xml:space="preserve"> </t>
    </r>
    <r>
      <rPr>
        <b/>
        <sz val="10"/>
        <color theme="1"/>
        <rFont val="Arial"/>
        <family val="2"/>
        <charset val="1"/>
      </rPr>
      <t xml:space="preserve">polished shahabad / Tandur stone slabs of 15mm to 18mm thick </t>
    </r>
    <r>
      <rPr>
        <sz val="10"/>
        <color theme="1"/>
        <rFont val="Arial"/>
        <family val="2"/>
        <charset val="1"/>
      </rPr>
      <t xml:space="preserve">set over a base coat of CM (1:8)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mixing of cement mortar, laying, lift charges , cost of base coat, water charges etc., and overheads &amp; contractors profit complete for finished item of work. (APSS No.703 &amp; 701) </t>
    </r>
  </si>
  <si>
    <r>
      <t>Flooring with</t>
    </r>
    <r>
      <rPr>
        <sz val="10"/>
        <color theme="1"/>
        <rFont val="Arial"/>
        <family val="2"/>
        <charset val="1"/>
      </rPr>
      <t xml:space="preserve"> </t>
    </r>
    <r>
      <rPr>
        <b/>
        <sz val="10"/>
        <color theme="1"/>
        <rFont val="Arial"/>
        <family val="2"/>
        <charset val="1"/>
      </rPr>
      <t xml:space="preserve">Polished black Kadapa slabs 15mm to 18mm thick </t>
    </r>
    <r>
      <rPr>
        <sz val="10"/>
        <color theme="1"/>
        <rFont val="Arial"/>
        <family val="2"/>
        <charset val="1"/>
      </rPr>
      <t xml:space="preserve">set over a base coat of CM (1:8)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mixing of cement mortar, laying, lift charges , cost of base coat, water charges etc., and overheads &amp; contractors profit complete for finished item of work. (APSS No.703 &amp; 701) </t>
    </r>
  </si>
  <si>
    <r>
      <t>Flooring with non-skid full body ceramic floor tiles</t>
    </r>
    <r>
      <rPr>
        <sz val="10"/>
        <color theme="1"/>
        <rFont val="Arial"/>
        <family val="2"/>
        <charset val="1"/>
      </rPr>
      <t xml:space="preserve"> </t>
    </r>
    <r>
      <rPr>
        <b/>
        <sz val="10"/>
        <color theme="1"/>
        <rFont val="Arial"/>
        <family val="2"/>
        <charset val="1"/>
      </rPr>
      <t>of size 300mm x 300mm</t>
    </r>
    <r>
      <rPr>
        <sz val="10"/>
        <color theme="1"/>
        <rFont val="Arial"/>
        <family val="2"/>
        <charset val="1"/>
      </rPr>
      <t xml:space="preserve"> and thickness between 7 - 8mm 1st quality conforming to IS: 13711, IS: 13712, IS: 13630(Part 1 to 15) of any colour and finish in all shades and designs as approved by  Engineer-in-charge, set over base coat of cement mortar (1:8), 12mm thick using screened sand over CC bed already laid or RCC roof slab, including neat cement slurry of honey like consistency spread @ 3.3 Kgs per Sqm &amp; jointed neatly with white cement paste to full depth mixed with pigment of matching shade, including cost of all materials like cement, screened sand , water and tiles etc., and overheads &amp; contractors profit complete for finished item of work. (APSS No.701 &amp; 707) </t>
    </r>
  </si>
  <si>
    <r>
      <t xml:space="preserve">Flooring with non-skid full body </t>
    </r>
    <r>
      <rPr>
        <b/>
        <sz val="10"/>
        <color theme="1"/>
        <rFont val="Arial"/>
        <family val="2"/>
        <charset val="1"/>
      </rPr>
      <t xml:space="preserve">ceramic floor tiles of size 300mm x 300mm and thickness between 7 - 8mm 1st quality </t>
    </r>
    <r>
      <rPr>
        <sz val="10"/>
        <color theme="1"/>
        <rFont val="Arial"/>
        <family val="2"/>
        <charset val="1"/>
      </rPr>
      <t xml:space="preserve">conforming to IS: 13711, IS: 13712, IS: 13630(Part 1 to 15) of any colour and finish in all shades and designs as approved by  Engineer-in-charge, set over base coat of cement mortar (1:8), 12mm thick using screened sandover CC bed already laid or RCC roof slab, including neat cement slurry of honey like consistency spread @ 3.3 Kgs per Sqm &amp; jointed epoxy emulsion grout/ synthetic /resin adhesive in width of 3-5 mm with Nylonspacers excluding cost of tiles neatly with to full depth mixed with pigment of matching shade, including cost of all materials like cement, screened sand , water and tiles etc., and overheads &amp; contractors profit complete for finished item of work. (In toilets) (APSS No.701 &amp; 707) . </t>
    </r>
  </si>
  <si>
    <r>
      <t xml:space="preserve">Flooring with non-skid full body ceramic floor tiles of size 400mm x 400mm </t>
    </r>
    <r>
      <rPr>
        <sz val="10"/>
        <color theme="1"/>
        <rFont val="Arial"/>
        <family val="2"/>
        <charset val="1"/>
      </rPr>
      <t>and thickness between 7 - 8mm 1st quality conforming to IS: 13711, IS: 13712, IS: 13630(Part 1 to 15) of any colour and finish in all shades and designs with borders and design as per the approved flooring pattern as directed by the Engineer-In -Charge, laying tiles using spacers of 2mm thick, set over base coat of cement mortar (1:8), 12mm thick using screened sand over CC bed already laid or RCC roof slab, including neat cement slurry of honey like consistency spread @ 3.3 Kgs per Sqm &amp; jointed neatly with white cement paste to full depth mixed with pigment of matching shade, including cost of all materials like cement, screened sand , water and tiles etc., and overheads &amp; contractors profit complete for finished item of work. (APSS No.701 &amp; 707)</t>
    </r>
  </si>
  <si>
    <r>
      <t>Flooring with</t>
    </r>
    <r>
      <rPr>
        <sz val="10"/>
        <color theme="1"/>
        <rFont val="Arial"/>
        <family val="2"/>
        <charset val="1"/>
      </rPr>
      <t xml:space="preserve"> </t>
    </r>
    <r>
      <rPr>
        <b/>
        <sz val="10"/>
        <color theme="1"/>
        <rFont val="Arial"/>
        <family val="2"/>
        <charset val="1"/>
      </rPr>
      <t xml:space="preserve">soluble salt porcelain vitrified tiles screen printed and polished of size 600 x 600 mm </t>
    </r>
    <r>
      <rPr>
        <sz val="10"/>
        <color theme="1"/>
        <rFont val="Arial"/>
        <family val="2"/>
        <charset val="1"/>
      </rPr>
      <t xml:space="preserve">and thickness between 8 to 10mm 1st quality conforming to IS: 13711, IS: 13712, IS: 13630(Parts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consistency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</si>
  <si>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Flooring with</t>
    </r>
    <r>
      <rPr>
        <sz val="10"/>
        <color theme="1"/>
        <rFont val="Arial"/>
        <family val="2"/>
        <charset val="1"/>
      </rPr>
      <t xml:space="preserve"> </t>
    </r>
    <r>
      <rPr>
        <b/>
        <sz val="10"/>
        <color theme="1"/>
        <rFont val="Arial"/>
        <family val="2"/>
        <charset val="1"/>
      </rPr>
      <t>Nano polished /stain free soluble salt porcelain vitrified tiles screen printed of size 600 x 600 mm and thickness between 8-10 mm 1st quality conforming to IS:13711, IS:13712, IS:13630 (Parts 1 to 15) of any colour and finish in all shades and designs</t>
    </r>
    <r>
      <rPr>
        <sz val="10"/>
        <color theme="1"/>
        <rFont val="Arial"/>
        <family val="2"/>
        <charset val="1"/>
      </rPr>
      <t xml:space="preserve">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</si>
  <si>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Flooring with</t>
    </r>
    <r>
      <rPr>
        <sz val="10"/>
        <color theme="1"/>
        <rFont val="Arial"/>
        <family val="2"/>
        <charset val="1"/>
      </rPr>
      <t xml:space="preserve"> digital / polished glazed full body porcelain vitrified tiles with any type of design texture such as marble finish, wooden, bamboo, stone finishes etc., scratch less, stain free and of size 900 x 900 mm and thickness between 9-11 mm 1st quality conforming to IS:13711, IS:13712, IS:13630 (Parts 1 to 15) of any colour and finish in all shades and designs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</si>
  <si>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 xml:space="preserve">Roofing with UV resistant multi-wall polycarbonate sheets of any colour 6mm thick  fixed with Aluminium universal glazing </t>
    </r>
    <r>
      <rPr>
        <sz val="10"/>
        <color theme="1"/>
        <rFont val="Arial"/>
        <family val="2"/>
        <charset val="1"/>
      </rPr>
      <t>set 40 mm wide and as per drawing etc., complete, excluding the cost of purlins, rafters, trusses, aluminium universal glazing set 40mm wide including cost and conveyance of all materials, labour charges, overheads and contractors profit etc., complete for finished item of work in all floors.</t>
    </r>
  </si>
  <si>
    <r>
      <t>Providing Plinth protection with a bed of 100mm thick PCC(1:5:10) using screened sand</t>
    </r>
    <r>
      <rPr>
        <b/>
        <sz val="10"/>
        <color theme="1"/>
        <rFont val="Arial"/>
        <family val="2"/>
        <charset val="1"/>
      </rPr>
      <t xml:space="preserve"> ,</t>
    </r>
    <r>
      <rPr>
        <sz val="10"/>
        <color theme="1"/>
        <rFont val="Arial"/>
        <family val="2"/>
        <charset val="1"/>
      </rPr>
      <t xml:space="preserve">40mm size HB Granite metal and on top of PCC, 20mm thick granolithic concrete flooring with CC(1:1:2) prop.using 6mm to 12mm size graded hard granite machine crushed metal laid monolithically already laid, in alternate panels of size not exceeding 1.5 x 1.5 Mts. and providing 5mm thick glass strips between the pannels and finishing the top surface to required smoothness and slopes including grooves, thread lining as directed by the Engineer - in - charge including cost and conveyance of all materials to site and operational &amp; incidental and labour charges like mixing of cement concrete, laying, curing, lift charges etc., and overheads &amp; contractors profit complete including cost of CC bed for finished item of work. (APSS No.701 &amp; 710). </t>
    </r>
  </si>
  <si>
    <r>
      <t>Flooring with</t>
    </r>
    <r>
      <rPr>
        <sz val="10"/>
        <color theme="1"/>
        <rFont val="Arial"/>
        <family val="2"/>
        <charset val="1"/>
      </rPr>
      <t xml:space="preserve"> </t>
    </r>
    <r>
      <rPr>
        <b/>
        <sz val="10"/>
        <color theme="1"/>
        <rFont val="Arial"/>
        <family val="2"/>
        <charset val="1"/>
      </rPr>
      <t>granite stone tiles 8mm thick</t>
    </r>
    <r>
      <rPr>
        <sz val="10"/>
        <color theme="1"/>
        <rFont val="Arial"/>
        <family val="2"/>
        <charset val="1"/>
      </rPr>
      <t xml:space="preserve"> (mirror polished of all shades) of 1st quality and of size as approved by  Engineer-in-charge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 and overheads &amp; contractors profit complete for finished item of work. (APSS No.701 &amp; 707) </t>
    </r>
  </si>
  <si>
    <r>
      <t xml:space="preserve">Flooring with 16 to 18mm thick high polished granite stone slabs other than black and regular colours </t>
    </r>
    <r>
      <rPr>
        <sz val="10"/>
        <color theme="1"/>
        <rFont val="Arial"/>
        <family val="2"/>
        <charset val="1"/>
      </rPr>
      <t xml:space="preserve">(i.e. of shades like paradiso / bala flower / copper silk / laka red / lavender blue) with borders and design as per the pattern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polishing charges  and all other taxes on all materials, cost of base coat and overheads &amp; contractors profit complete for finished item of work (S.S.701 &amp; special) </t>
    </r>
  </si>
  <si>
    <r>
      <t>Supplying and fixing of 16 to 18 mm  thick High Polished Granite stone slabs black colour as approved by the Engineer-in-Charge of length not less than 2.43 mts</t>
    </r>
    <r>
      <rPr>
        <sz val="10"/>
        <color theme="1"/>
        <rFont val="Arial"/>
        <family val="2"/>
        <charset val="1"/>
      </rPr>
      <t xml:space="preserve"> set over granite platform and fixing with polymer cementitious additive granite slabs etc., to work site and all operational, incidental labour &amp; lift charges, half rounding the edge , polishing charges and all other taxes exceluding GST on all materials, cost of base coat and overheads &amp; contractors profit complete for finished item of work for platforms (S.S.701 &amp; special)</t>
    </r>
    <r>
      <rPr>
        <b/>
        <sz val="10"/>
        <color theme="1"/>
        <rFont val="Arial"/>
        <family val="2"/>
        <charset val="1"/>
      </rPr>
      <t xml:space="preserve"> -kitchen granite patti</t>
    </r>
  </si>
  <si>
    <r>
      <t>Polymer cementitious additive for fixing tiles/stones etc</t>
    </r>
    <r>
      <rPr>
        <b/>
        <sz val="10"/>
        <color theme="1"/>
        <rFont val="Arial"/>
        <family val="2"/>
        <charset val="1"/>
      </rPr>
      <t>TBSC-Q.III-05</t>
    </r>
  </si>
  <si>
    <r>
      <t xml:space="preserve">Granolithic Concrete flooring 20 mm thick </t>
    </r>
    <r>
      <rPr>
        <sz val="10"/>
        <color theme="1"/>
        <rFont val="Arial"/>
        <family val="2"/>
        <charset val="1"/>
      </rPr>
      <t>with (1:1:2), using 6mm to 12 mm size hard granite machine crushed metal and screened sand laid over CC bed already laid or RCC roof slab, in alternate panels of size not exceeding 1.50 m x 1.50 m, using glass strips and finishing the top surface to required smoothness and slopes and thread lining including cost of all materials like cement, metal sand and water and overheads &amp; contractors profit complete for finished item of work.</t>
    </r>
    <r>
      <rPr>
        <b/>
        <sz val="10"/>
        <color theme="1"/>
        <rFont val="Arial"/>
        <family val="2"/>
        <charset val="1"/>
      </rPr>
      <t xml:space="preserve"> </t>
    </r>
    <r>
      <rPr>
        <sz val="10"/>
        <color theme="1"/>
        <rFont val="Arial"/>
        <family val="2"/>
        <charset val="1"/>
      </rPr>
      <t xml:space="preserve">(APSS No.701 &amp; 710) </t>
    </r>
    <r>
      <rPr>
        <b/>
        <sz val="10"/>
        <color theme="1"/>
        <rFont val="Arial"/>
        <family val="2"/>
        <charset val="1"/>
      </rPr>
      <t xml:space="preserve"> </t>
    </r>
  </si>
  <si>
    <r>
      <t xml:space="preserve">Flooring with chequered cement concrete heavy duty tiles </t>
    </r>
    <r>
      <rPr>
        <sz val="10"/>
        <color theme="1"/>
        <rFont val="Arial"/>
        <family val="2"/>
        <charset val="1"/>
      </rPr>
      <t xml:space="preserve">confirming to IS:13801 using aggregates, cement, pigments </t>
    </r>
    <r>
      <rPr>
        <b/>
        <sz val="10"/>
        <color theme="1"/>
        <rFont val="Arial"/>
        <family val="2"/>
        <charset val="1"/>
      </rPr>
      <t xml:space="preserve">of size 300mm x 300mm and thickness 25mm </t>
    </r>
    <r>
      <rPr>
        <sz val="10"/>
        <color theme="1"/>
        <rFont val="Arial"/>
        <family val="2"/>
        <charset val="1"/>
      </rPr>
      <t>of any shade as approved by Engineer - In - Charge set over base coat of cement mortar (1:6), 12 mm thick using screened sand over CC bed alredy laid or RCC roof slab including neat cement slurry of honey like consistency spread @ 3.3 kgs per sqm and jointed with neat white cement to full depth mixed with pigment of matching shade including cost and conveyance of all materials like cement, sand, water and tiles etc.,and overheads &amp; contractors profit complete for finished item of work.</t>
    </r>
    <r>
      <rPr>
        <b/>
        <sz val="10"/>
        <color theme="1"/>
        <rFont val="Arial"/>
        <family val="2"/>
        <charset val="1"/>
      </rPr>
      <t xml:space="preserve"> </t>
    </r>
  </si>
  <si>
    <r>
      <t xml:space="preserve">Flooring with Johnson EnduraTloor tiles-lvory &amp; Terracota </t>
    </r>
    <r>
      <rPr>
        <sz val="10"/>
        <color theme="1"/>
        <rFont val="Arial"/>
        <family val="2"/>
        <charset val="1"/>
      </rPr>
      <t xml:space="preserve">confirming to IS:13801 using aggregates, cement, pigments </t>
    </r>
    <r>
      <rPr>
        <b/>
        <sz val="10"/>
        <color theme="1"/>
        <rFont val="Arial"/>
        <family val="2"/>
        <charset val="1"/>
      </rPr>
      <t xml:space="preserve">of size 300mm x 300mm and thickness 10mm </t>
    </r>
    <r>
      <rPr>
        <sz val="10"/>
        <color theme="1"/>
        <rFont val="Arial"/>
        <family val="2"/>
        <charset val="1"/>
      </rPr>
      <t>of any shade as approved by Engineer-In-Charge set over base coat of cement mortar (1:6), 12 mm thick using screened sand over CC bed alredy laid or RCC roof slab including neat cement slurry of honey like consistency spread @ 3.3 kgs per sqm and jointed with neat white cement to full depth mixed with pigment of matching shade including cost and conveyance of all materials like cement, sand, water and tiles etc.,and overheads &amp; contractors profit complete for finished item of work.</t>
    </r>
    <r>
      <rPr>
        <b/>
        <sz val="10"/>
        <color theme="1"/>
        <rFont val="Arial"/>
        <family val="2"/>
        <charset val="1"/>
      </rPr>
      <t xml:space="preserve"> </t>
    </r>
  </si>
  <si>
    <r>
      <t xml:space="preserve">Providing polished shahabad / Tandur stone slabs of 15mm to 18mm thick </t>
    </r>
    <r>
      <rPr>
        <sz val="10"/>
        <color theme="1"/>
        <rFont val="Arial"/>
        <family val="2"/>
        <charset val="1"/>
      </rPr>
      <t>in single piece as specified</t>
    </r>
    <r>
      <rPr>
        <b/>
        <sz val="10"/>
        <color theme="1"/>
        <rFont val="Arial"/>
        <family val="2"/>
        <charset val="1"/>
      </rPr>
      <t xml:space="preserve"> </t>
    </r>
    <r>
      <rPr>
        <sz val="10"/>
        <color theme="1"/>
        <rFont val="Arial"/>
        <family val="2"/>
        <charset val="1"/>
      </rPr>
      <t xml:space="preserve">set over a base coat of CM (1:5)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flat nosing the edges, mixing of cement mortar, laying, lift charges , cost of base coat, water charges etc., and overheads &amp; contractors profit complete for finished item of work.  (APSS No.703 &amp; 701)  
</t>
    </r>
    <r>
      <rPr>
        <b/>
        <sz val="10"/>
        <color theme="1"/>
        <rFont val="Arial"/>
        <family val="2"/>
        <charset val="1"/>
      </rPr>
      <t>for treads and risers</t>
    </r>
    <r>
      <rPr>
        <sz val="10"/>
        <color theme="1"/>
        <rFont val="Arial"/>
        <family val="2"/>
        <charset val="1"/>
      </rPr>
      <t>.</t>
    </r>
  </si>
  <si>
    <r>
      <t xml:space="preserve">Providing Polished black Kadapa slabs 15mm to 18mm thick </t>
    </r>
    <r>
      <rPr>
        <sz val="10"/>
        <color theme="1"/>
        <rFont val="Arial"/>
        <family val="2"/>
        <charset val="1"/>
      </rPr>
      <t>in single piece as specified</t>
    </r>
    <r>
      <rPr>
        <b/>
        <sz val="10"/>
        <color theme="1"/>
        <rFont val="Arial"/>
        <family val="2"/>
        <charset val="1"/>
      </rPr>
      <t xml:space="preserve"> </t>
    </r>
    <r>
      <rPr>
        <sz val="10"/>
        <color theme="1"/>
        <rFont val="Arial"/>
        <family val="2"/>
        <charset val="1"/>
      </rPr>
      <t xml:space="preserve">set over a base coat of CM (1:5) , 12mm thick using screened sand over already laid CC bed / RCC roof slab including neat cement slurry of honey like consistency spread @ 3.3 Kgs  per Sqm  and jointed with neat cement to full depth including cost and conveyance of all materials like cement, sand, water, flooring stones etc. complete including sales &amp; other taxes on  all materials including all labour charges like dressing of flooring stones to the required size, flat nosing the edges, mixing of cement mortar, laying, lift charges , cost of base coat, water charges etc., and overheads &amp; contractors profit complete for finished item of work </t>
    </r>
    <r>
      <rPr>
        <b/>
        <sz val="10"/>
        <color theme="1"/>
        <rFont val="Arial"/>
        <family val="2"/>
        <charset val="1"/>
      </rPr>
      <t>for treads and risers</t>
    </r>
    <r>
      <rPr>
        <sz val="10"/>
        <color theme="1"/>
        <rFont val="Arial"/>
        <family val="2"/>
        <charset val="1"/>
      </rPr>
      <t xml:space="preserve">. (APSS No.703 &amp; 701) </t>
    </r>
  </si>
  <si>
    <r>
      <t xml:space="preserve">Providing 16 to 18mm thick high polished granite stone slabs other than black and regular colours </t>
    </r>
    <r>
      <rPr>
        <sz val="10"/>
        <color theme="1"/>
        <rFont val="Arial"/>
        <family val="2"/>
        <charset val="1"/>
      </rPr>
      <t xml:space="preserve">(i.e. of shades like paradiso / bala flower / copper silk / laka red / lavender blue) with borders and design as per the pattern approved by the Engineer-in-Charge of length not less than 2.43 mts set over base coat of cement mortar (1:5) , 12mm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edges of treads , polishing charges and all other taxes on all materials, cost of base coat and overheads &amp; contractors profit complete for finished item of work 
</t>
    </r>
    <r>
      <rPr>
        <b/>
        <sz val="10"/>
        <color theme="1"/>
        <rFont val="Arial"/>
        <family val="2"/>
        <charset val="1"/>
      </rPr>
      <t>for treads and risers</t>
    </r>
    <r>
      <rPr>
        <sz val="10"/>
        <color theme="1"/>
        <rFont val="Arial"/>
        <family val="2"/>
        <charset val="1"/>
      </rPr>
      <t xml:space="preserve"> (S.S.701 &amp; special) </t>
    </r>
  </si>
  <si>
    <r>
      <t>Providing</t>
    </r>
    <r>
      <rPr>
        <sz val="10"/>
        <color theme="1"/>
        <rFont val="Arial"/>
        <family val="2"/>
        <charset val="1"/>
      </rPr>
      <t xml:space="preserve"> </t>
    </r>
    <r>
      <rPr>
        <b/>
        <sz val="10"/>
        <color theme="1"/>
        <rFont val="Arial"/>
        <family val="2"/>
        <charset val="1"/>
      </rPr>
      <t>skirting to internal walls to 10.00 cm height with Polished Shahabad/Tandur stone slabs 15mm to 18mm thick,</t>
    </r>
    <r>
      <rPr>
        <sz val="10"/>
        <color theme="1"/>
        <rFont val="Arial"/>
        <family val="2"/>
        <charset val="1"/>
      </rPr>
      <t xml:space="preserve"> length equal to flooring stones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and overheads &amp; contractors profit complete for finished item of work.(APSS No.701 &amp;707) </t>
    </r>
  </si>
  <si>
    <r>
      <t>Providing</t>
    </r>
    <r>
      <rPr>
        <sz val="10"/>
        <color theme="1"/>
        <rFont val="Arial"/>
        <family val="2"/>
        <charset val="1"/>
      </rPr>
      <t xml:space="preserve"> </t>
    </r>
    <r>
      <rPr>
        <b/>
        <sz val="10"/>
        <color theme="1"/>
        <rFont val="Arial"/>
        <family val="2"/>
        <charset val="1"/>
      </rPr>
      <t>skirting to internal walls to 10.00 cm height with Polished Kadapa stone slabs 15mm to 18mm thick,</t>
    </r>
    <r>
      <rPr>
        <sz val="10"/>
        <color theme="1"/>
        <rFont val="Arial"/>
        <family val="2"/>
        <charset val="1"/>
      </rPr>
      <t xml:space="preserve"> length equal to flooring stones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and overheads &amp; contractors profit complete for finished item of work.(APSS No.701 &amp;707) </t>
    </r>
  </si>
  <si>
    <r>
      <t>Providing skirting to internal walls</t>
    </r>
    <r>
      <rPr>
        <sz val="10"/>
        <color theme="1"/>
        <rFont val="Arial"/>
        <family val="2"/>
        <charset val="1"/>
      </rPr>
      <t xml:space="preserve"> up </t>
    </r>
    <r>
      <rPr>
        <b/>
        <sz val="10"/>
        <color theme="1"/>
        <rFont val="Arial"/>
        <family val="2"/>
        <charset val="1"/>
      </rPr>
      <t xml:space="preserve">to 15 cm height with non-skid full body ceramic floor tiles </t>
    </r>
    <r>
      <rPr>
        <sz val="10"/>
        <color theme="1"/>
        <rFont val="Arial"/>
        <family val="2"/>
        <charset val="1"/>
      </rPr>
      <t>of thickness between 7 - 8mm 1st quality conforming to IS: 13711, IS: 13712, IS: 13630(Part 1 to 15) of any colour and finish in all shades and designs as approved by  Engineer-in-charge,</t>
    </r>
    <r>
      <rPr>
        <b/>
        <sz val="10"/>
        <color theme="1"/>
        <rFont val="Arial"/>
        <family val="2"/>
        <charset val="1"/>
      </rPr>
      <t xml:space="preserve">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overheads &amp; contractors profit complete for finished item of work. (APSS No.701 &amp;707).</t>
    </r>
  </si>
  <si>
    <r>
      <t>Providing</t>
    </r>
    <r>
      <rPr>
        <sz val="10"/>
        <color theme="1"/>
        <rFont val="Arial"/>
        <family val="2"/>
        <charset val="1"/>
      </rPr>
      <t xml:space="preserve"> </t>
    </r>
    <r>
      <rPr>
        <b/>
        <sz val="10"/>
        <color theme="1"/>
        <rFont val="Arial"/>
        <family val="2"/>
        <charset val="1"/>
      </rPr>
      <t xml:space="preserve">skirting to internal walls to 10 cm height  with 8mm thick mirror polished granite tiles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work.(APSS No.701 &amp;707)</t>
    </r>
  </si>
  <si>
    <r>
      <t xml:space="preserve">Cladding to internal walls  with 8mm thick mirror polished granite tiles </t>
    </r>
    <r>
      <rPr>
        <sz val="10"/>
        <color theme="1"/>
        <rFont val="Arial"/>
        <family val="2"/>
        <charset val="1"/>
      </rPr>
      <t>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 (APSS No.701 &amp;707)</t>
    </r>
  </si>
  <si>
    <r>
      <t>Providing</t>
    </r>
    <r>
      <rPr>
        <sz val="10"/>
        <color theme="1"/>
        <rFont val="Arial"/>
        <family val="2"/>
        <charset val="1"/>
      </rPr>
      <t xml:space="preserve"> </t>
    </r>
    <r>
      <rPr>
        <b/>
        <sz val="10"/>
        <color theme="1"/>
        <rFont val="Arial"/>
        <family val="2"/>
        <charset val="1"/>
      </rPr>
      <t>skirting to internal walls 15cm height with High Polished Granite  16 to 18 mm thick up to 8'-00 (2.43 M) other than black and regular colours,</t>
    </r>
    <r>
      <rPr>
        <sz val="10"/>
        <color theme="1"/>
        <rFont val="Arial"/>
        <family val="2"/>
        <charset val="1"/>
      </rPr>
      <t xml:space="preserve"> length equal to flooring slabs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t>
    </r>
  </si>
  <si>
    <r>
      <t>Providing cladding to walls with High Polished Granite  16 to 18 mm thick up to 8'-00 (2.43 M) other than black and regular colours,</t>
    </r>
    <r>
      <rPr>
        <sz val="10"/>
        <color theme="1"/>
        <rFont val="Arial"/>
        <family val="2"/>
        <charset val="1"/>
      </rPr>
      <t xml:space="preserve"> length equal to flooring slabs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t>
    </r>
  </si>
  <si>
    <r>
      <t>Filling with light weight concrete</t>
    </r>
    <r>
      <rPr>
        <sz val="10"/>
        <color theme="1"/>
        <rFont val="Arial"/>
        <family val="2"/>
        <charset val="1"/>
      </rPr>
      <t xml:space="preserve"> in Cement Concrete (1:5:10) proportion  using brick jelly for low roofs  including cost and conveyance of  all materials like cement, sand,  brick bats etc., to site including  cost of all labour charges for  laying concrete, ramming,   curing , overheads &amp; contractors profit  etc., complete for finished item of work. (APSS. No. 402)  </t>
    </r>
  </si>
  <si>
    <r>
      <t>Reinforced cement concrete (1:5:10) proportion</t>
    </r>
    <r>
      <rPr>
        <sz val="10"/>
        <color theme="1"/>
        <rFont val="Arial"/>
        <family val="2"/>
        <charset val="1"/>
      </rPr>
      <t xml:space="preserve"> (Cement: fine aggregates: coarse aggregate) using 40mm size (SS5) hard granite metal (coarse aggregate) from approved quarry  including cost and conveyance of all materials like cement, fine aggregate (sand), coarse aggregate, water etc., to site including centering using Casurina Ballies , Bamboos , Wooden Reapers , Runners , Wood Posts , Wall Plates etc.,</t>
    </r>
    <r>
      <rPr>
        <b/>
        <sz val="10"/>
        <color theme="1"/>
        <rFont val="Arial"/>
        <family val="2"/>
        <charset val="1"/>
      </rPr>
      <t xml:space="preserve"> </t>
    </r>
    <r>
      <rPr>
        <sz val="10"/>
        <color theme="1"/>
        <rFont val="Arial"/>
        <family val="2"/>
        <charset val="1"/>
      </rPr>
      <t>shuttering, machine mixing, laying concrete, lifting concrete manually , curing etc., and overheads &amp; contractors profit complete as per drawings but excluding cost of steel and it's fabrication charges for finished item of work  (APSS NO. 402 &amp; 403)</t>
    </r>
    <r>
      <rPr>
        <b/>
        <sz val="10"/>
        <color theme="1"/>
        <rFont val="Arial"/>
        <family val="2"/>
        <charset val="1"/>
      </rPr>
      <t xml:space="preserve"> for Dummy columns. </t>
    </r>
  </si>
  <si>
    <r>
      <t xml:space="preserve">Supplying and fixing of </t>
    </r>
    <r>
      <rPr>
        <b/>
        <sz val="10"/>
        <color theme="1"/>
        <rFont val="Arial"/>
        <family val="2"/>
        <charset val="1"/>
      </rPr>
      <t>stainless steel (grade 304) hand railing</t>
    </r>
    <r>
      <rPr>
        <sz val="10"/>
        <color theme="1"/>
        <rFont val="Arial"/>
        <family val="2"/>
        <charset val="1"/>
      </rPr>
      <t xml:space="preserve"> as per approved drawing with top rail of 50mm dia pipe and 2mm thick medium class and vertical posts of  25mm dia and 1.6mm thick medium class  2 Nos for each step fixed with base plate of  75mm dia using bonding agent and anchor fastner and welding,  drilling of 25mm dia holes with pneumatic compressor for fixing railing, buffing, polishing all members of the railing  thouroughly, lacquer finishing to present seamless finish including cost and conveyance of all materials, electrodes, welding charges, cost of all consumables, labour charges, overheads &amp; contractors profit etc., complete for finished item of work.</t>
    </r>
  </si>
  <si>
    <r>
      <t xml:space="preserve">Providing </t>
    </r>
    <r>
      <rPr>
        <b/>
        <sz val="10"/>
        <color theme="1"/>
        <rFont val="Arial"/>
        <family val="2"/>
        <charset val="1"/>
      </rPr>
      <t>110 mm Dia ISI marked PVC down water take pipes</t>
    </r>
    <r>
      <rPr>
        <sz val="10"/>
        <color theme="1"/>
        <rFont val="Arial"/>
        <family val="2"/>
        <charset val="1"/>
      </rPr>
      <t xml:space="preserve"> with socket ,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t>
    </r>
  </si>
  <si>
    <r>
      <t xml:space="preserve">Providing </t>
    </r>
    <r>
      <rPr>
        <b/>
        <sz val="10"/>
        <color theme="1"/>
        <rFont val="Arial"/>
        <family val="2"/>
        <charset val="1"/>
      </rPr>
      <t>160 mm Dia ISI marked PVC down water take pipes</t>
    </r>
    <r>
      <rPr>
        <sz val="10"/>
        <color theme="1"/>
        <rFont val="Arial"/>
        <family val="2"/>
        <charset val="1"/>
      </rPr>
      <t xml:space="preserve"> with socket , 2.5mm thick 4.0 kg/sq.cm pressure of ISI marked including cost of necessary PVC Bends, shoes, iron / PVC clamps and all other accessories and fixing in position including cost and conveyance of all materials, sales &amp; other taxes on materials to site, operational &amp; incidental charges including all labour charges for fixing at site etc., and overheads &amp; contractors profit complete for finished item of work. (APSS No. 1328)</t>
    </r>
  </si>
  <si>
    <r>
      <t>Supply and fixing pre-cast RCC grills of any design of 50mm thick</t>
    </r>
    <r>
      <rPr>
        <sz val="10"/>
        <color theme="1"/>
        <rFont val="Arial"/>
        <family val="2"/>
        <charset val="1"/>
      </rPr>
      <t xml:space="preserve"> manufactured with M 30 grade concrete using vibro compaction process using jointless FRP moulds to achieve shuttering finish and adequately reinforced as per the design approved by the Engineer-in-Charge  including cost and conveyance of materials to site and labour charges etc., overheads &amp; contractors profit complete for finished item of work.</t>
    </r>
  </si>
  <si>
    <r>
      <t>White washing two coats with white cement to ceiling</t>
    </r>
    <r>
      <rPr>
        <sz val="10"/>
        <color theme="1"/>
        <rFont val="Arial"/>
        <family val="2"/>
        <charset val="1"/>
      </rPr>
      <t xml:space="preserve"> to give an even shade after thouroughly brushing the surface to remove all dirt and remains of loose powdered materials including cost of all materials, labour charges and incidental such as scaffolding, lift charges etc., and overheads &amp; contractors profit complete for finished item of work in all floors.</t>
    </r>
  </si>
  <si>
    <r>
      <t>Providing and applying</t>
    </r>
    <r>
      <rPr>
        <b/>
        <sz val="10"/>
        <color theme="1"/>
        <rFont val="Arial"/>
        <family val="2"/>
        <charset val="1"/>
      </rPr>
      <t xml:space="preserve"> epoxy resin based self levelling Conductive Floor System</t>
    </r>
    <r>
      <rPr>
        <sz val="10"/>
        <color theme="1"/>
        <rFont val="Arial"/>
        <family val="2"/>
        <charset val="1"/>
      </rPr>
      <t xml:space="preserve"> of 2mm thick Antistatic (ESD) Flooring System comprising of 1 coat of Primer followed by Application of copper tape and 1 layer of SL Conductive Undercoatand 1 layer of SL Conductive Top coat with Compressive strength after 7 days at +30° C: 50  N/mm2 and Flexural strength after 7 days at +30° C: approx. 25N/mm2 and Tensile strength after 7 days at +30° C: 16 N/mm2 with aSurface resistance When measured for surfaceresistance in accordance with BS 2050: 1978 (A-1984) and DIN EN 1081, the static Conductive topping including under coats hall be less than 25kΩ. including overheads &amp;  contractors profit etc., design approved by the Engineer-in-Charge complete finished item of work.     </t>
    </r>
  </si>
  <si>
    <r>
      <t xml:space="preserve">Providing and applying Exterior grade Texture ready mixed paint with sand texture </t>
    </r>
    <r>
      <rPr>
        <sz val="10"/>
        <color theme="1"/>
        <rFont val="Arial"/>
        <family val="2"/>
        <charset val="1"/>
      </rPr>
      <t xml:space="preserve">added sand particles Acrylic copolymers and mineral compounds, bactericides and various additives of average 2 to 3 mm thickness over plastered surface to prepare the surface even and smooth after thoroughly brushing the surface to remove all dirt and remains of loose powdered materials, applying emery paper, Sand the surface, clean &amp; wipe off loose dust, applying putty/ texture paint filler by putty knife / muslin pad, air dry for      2 - 3 hrs for the surface preparation including cost and conveyance of all materials to work site and all operational, incidental, labour charges, scaffolding charges, overheads and contractors profit etc., complete for finished item of work in all floors </t>
    </r>
    <r>
      <rPr>
        <b/>
        <sz val="10"/>
        <color theme="1"/>
        <rFont val="Arial"/>
        <family val="2"/>
        <charset val="1"/>
      </rPr>
      <t>for external walls.</t>
    </r>
  </si>
  <si>
    <r>
      <t xml:space="preserve">Painting to new walls with 2 coats of Acrylic based Oil bound Washable Distemper having VOC content less than 50 grams/litre </t>
    </r>
    <r>
      <rPr>
        <sz val="10"/>
        <color theme="1"/>
        <rFont val="Arial"/>
        <family val="2"/>
        <charset val="1"/>
      </rPr>
      <t xml:space="preserve"> over promer coat using white cemnt as approved by Engineer-In-Charge, making 3 coats in all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APSS 911</t>
    </r>
    <r>
      <rPr>
        <b/>
        <sz val="10"/>
        <color theme="1"/>
        <rFont val="Arial"/>
        <family val="2"/>
        <charset val="1"/>
      </rPr>
      <t xml:space="preserve"> </t>
    </r>
    <r>
      <rPr>
        <sz val="10"/>
        <color theme="1"/>
        <rFont val="Arial"/>
        <family val="2"/>
        <charset val="1"/>
      </rPr>
      <t>for internal walls in all floors.</t>
    </r>
    <r>
      <rPr>
        <b/>
        <sz val="10"/>
        <color theme="1"/>
        <rFont val="Arial"/>
        <family val="2"/>
        <charset val="1"/>
      </rPr>
      <t xml:space="preserve"> </t>
    </r>
  </si>
  <si>
    <r>
      <t xml:space="preserve">Painting to new walls with 2 coats of water proof cement paint </t>
    </r>
    <r>
      <rPr>
        <sz val="10"/>
        <color theme="1"/>
        <rFont val="Arial"/>
        <family val="2"/>
        <charset val="1"/>
      </rPr>
      <t xml:space="preserve"> of shade as approved by the Engineer-In-Charge over a base coat of aproved  white cement base coat making 3 coats in all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SS 912</t>
    </r>
    <r>
      <rPr>
        <b/>
        <sz val="10"/>
        <color theme="1"/>
        <rFont val="Arial"/>
        <family val="2"/>
        <charset val="1"/>
      </rPr>
      <t xml:space="preserve"> </t>
    </r>
    <r>
      <rPr>
        <sz val="10"/>
        <color theme="1"/>
        <rFont val="Arial"/>
        <family val="2"/>
        <charset val="1"/>
      </rPr>
      <t>in all floors</t>
    </r>
  </si>
  <si>
    <r>
      <t xml:space="preserve">Painting to old walls with 2 coats of water proof cement paint </t>
    </r>
    <r>
      <rPr>
        <sz val="10"/>
        <color theme="1"/>
        <rFont val="Arial"/>
        <family val="2"/>
        <charset val="1"/>
      </rPr>
      <t>of shade as approved by the Engineer-In-Charge to give an even shade after thourughly brushing the surface to remove all dirt and remains of loose powdered materials, including cost and conveyance of all materials to work site and all operational, incidental, labour charges etc., and overheads &amp; contractors profit complete for finished item of work as per SS 912 in all floors.</t>
    </r>
  </si>
  <si>
    <r>
      <t>Painting to new wood work and flush shutters with lappam finish</t>
    </r>
    <r>
      <rPr>
        <sz val="10"/>
        <color theme="1"/>
        <rFont val="Arial"/>
        <family val="2"/>
        <charset val="1"/>
      </rPr>
      <t xml:space="preserve">, </t>
    </r>
    <r>
      <rPr>
        <b/>
        <sz val="10"/>
        <color theme="1"/>
        <rFont val="Arial"/>
        <family val="2"/>
        <charset val="1"/>
      </rPr>
      <t xml:space="preserve">over a primary coat  and painting two coats of synthetic enamel paint </t>
    </r>
    <r>
      <rPr>
        <sz val="10"/>
        <color theme="1"/>
        <rFont val="Arial"/>
        <family val="2"/>
        <charset val="1"/>
      </rPr>
      <t>Grade-II VOC (Volatile Organic Compound) content less than 50 grams/litre of approved shade including cost and conveyance of all materials to site cost of primer coat and all labour charges etc. complete including applying sand paper on lappam coats for neat finish including sales &amp; other taxes on cost of all materials etc., and overheads &amp; contractors profit complete  in all floors (APSS No.1200, 1207 &amp; 1211).</t>
    </r>
  </si>
  <si>
    <r>
      <t xml:space="preserve">Painting primer coat on new wood work using red oxide  Iron primer paint grade - 1 </t>
    </r>
    <r>
      <rPr>
        <sz val="10"/>
        <color theme="1"/>
        <rFont val="Arial"/>
        <family val="2"/>
        <charset val="1"/>
      </rPr>
      <t>of approved brand including cost and conveyance of all materials to site , all labour charges etc., and overheads &amp; contractors profit complete  in all floors.(APSS No. 1201, 1212 &amp; 1207).</t>
    </r>
  </si>
  <si>
    <r>
      <t>Painting</t>
    </r>
    <r>
      <rPr>
        <sz val="10"/>
        <color theme="1"/>
        <rFont val="Arial"/>
        <family val="2"/>
        <charset val="1"/>
      </rPr>
      <t xml:space="preserve"> </t>
    </r>
    <r>
      <rPr>
        <b/>
        <sz val="10"/>
        <color theme="1"/>
        <rFont val="Arial"/>
        <family val="2"/>
        <charset val="1"/>
      </rPr>
      <t>two coats with synthetic enamel paint Grade-II VOC (Volatile Organic Compound) content less than 30 grams/litre to new</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 (SS No. 1201, 1212 &amp; 1207).</t>
    </r>
  </si>
  <si>
    <r>
      <t>Painting</t>
    </r>
    <r>
      <rPr>
        <sz val="10"/>
        <color theme="1"/>
        <rFont val="Arial"/>
        <family val="2"/>
        <charset val="1"/>
      </rPr>
      <t xml:space="preserve"> </t>
    </r>
    <r>
      <rPr>
        <b/>
        <sz val="10"/>
        <color theme="1"/>
        <rFont val="Arial"/>
        <family val="2"/>
        <charset val="1"/>
      </rPr>
      <t>two coats with synthetic enamel paint Grade-II VOC (Volatile Organic Compound) content less than 50 grams/litre over primer coat of red oxide to new</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 (SS No. 1201, 1212 &amp; 1207).</t>
    </r>
  </si>
  <si>
    <r>
      <t>Polishing two coats to teak wood doors</t>
    </r>
    <r>
      <rPr>
        <sz val="10"/>
        <color theme="1"/>
        <rFont val="Arial"/>
        <family val="2"/>
        <charset val="1"/>
      </rPr>
      <t xml:space="preserve"> using </t>
    </r>
    <r>
      <rPr>
        <b/>
        <sz val="10"/>
        <color theme="1"/>
        <rFont val="Arial"/>
        <family val="2"/>
        <charset val="1"/>
      </rPr>
      <t>French spirit polish</t>
    </r>
    <r>
      <rPr>
        <sz val="10"/>
        <color theme="1"/>
        <rFont val="Arial"/>
        <family val="2"/>
        <charset val="1"/>
      </rPr>
      <t xml:space="preserve"> of approved brand for new wood work to teak wood frame and shutters including sand papering to smooth surfaces etc. including cost and  conveyance of all materials to site, all labour charges etc., complete for finished item of work  in all floors. </t>
    </r>
  </si>
  <si>
    <r>
      <t>Supply &amp; applying Melamine Polish Glossy/ Matt finish</t>
    </r>
    <r>
      <rPr>
        <sz val="10"/>
        <color theme="1"/>
        <rFont val="Arial"/>
        <family val="2"/>
        <charset val="1"/>
      </rPr>
      <t xml:space="preserve"> to the wood works duly cleaning the surface and applying emery paper, Sand the wood with 180 No., emery paper and then with 320 No., emery paper, clean &amp; wipe off loose dust, applying suitable knifing paste filler / wood filler by putty knife / muslin pad, air dry for 2 - 3 hrs, sand with 180 and 320 No., emery paper, apply two component wood sealer, air dry for 24 hrs, Sand with 320 No emery paper, applying one coat of approved spraying thinner (for spraying)/ applying one coat of approved brushing thinner or general purpose thinner (for brushing) and apply (either with spray or brush) two coats of approved brand melamine including cost &amp; labour charges, emery papers, cost of thinner &amp; melamine polish, over heads and contractors profit etc., complete for finished item of work</t>
    </r>
  </si>
  <si>
    <r>
      <t>Supply &amp; applying Poly-Urethane Water Proof Polish Glossy/ Matt finish to the wood works</t>
    </r>
    <r>
      <rPr>
        <sz val="10"/>
        <color theme="1"/>
        <rFont val="Arial"/>
        <family val="2"/>
        <charset val="1"/>
      </rPr>
      <t xml:space="preserve"> duly cleaning the surface and applying emery paper, Sand the wood with 180 No., emery paper and then with 320 No., emery paper, clean &amp; wipe off loose dust, applying suitable knifing paste filler / wood filler by putty knife / muslin pad, air dry for 2 - 3 hrs, sand with 180 and 320 No., emery paper, applying two component wood sealer, after the surface preparation applying one coat of approved spraying PU thinner (for spraying) / applying one coat of approved brushing PU thinner or general purpose thinner (for brushing) and apply one coat of PU by brush or spray, air-dry overnight, Sand again with 180 No. emery paper and removing dust, applying second coat of PU, air drying for 4 - 6 Hrs, Sand with 320 No emery paper, and applying (either with spray or brush) two coats of approved brand PU including cost &amp; labour charges, emery papers, cost of thinner &amp; Poly-Urethane Water Proof Polish, over heads and contracors profit etc., complete for finished item of work</t>
    </r>
  </si>
  <si>
    <r>
      <t xml:space="preserve">Supply &amp; fixing of Rolling shutter </t>
    </r>
    <r>
      <rPr>
        <sz val="10"/>
        <color theme="1"/>
        <rFont val="Arial"/>
        <family val="2"/>
        <charset val="1"/>
      </rPr>
      <t>made of 80 x 1.25</t>
    </r>
    <r>
      <rPr>
        <b/>
        <sz val="10"/>
        <color theme="1"/>
        <rFont val="Arial"/>
        <family val="2"/>
        <charset val="1"/>
      </rPr>
      <t xml:space="preserve"> </t>
    </r>
    <r>
      <rPr>
        <sz val="10"/>
        <color theme="1"/>
        <rFont val="Arial"/>
        <family val="2"/>
        <charset val="1"/>
      </rPr>
      <t>mm machine rolled CRCA  laths, interlocked together through their entire length and jointed together at the ends by end-locks, mounted on specially designed pipe shaft of 50mm dia nominal bore MS B class pipe with brackets, plates, guide channels, stoppers, bottom locking plates and arrangements for inside &amp; outside locking with push-pull operations including cost of hood cover and springs complete, painted with one coat of approved steel primer, locks, ball bearings, all accessories etc., overheads &amp; contractors profit complete for finished item of work as per special spn: 1108</t>
    </r>
  </si>
  <si>
    <r>
      <t>Supplying &amp; fixing collapsible steel shutters</t>
    </r>
    <r>
      <rPr>
        <sz val="10"/>
        <color theme="1"/>
        <rFont val="Arial"/>
        <family val="2"/>
        <charset val="1"/>
      </rPr>
      <t xml:space="preserve"> with vertical, double channel of 20 x10x2 mm of 100 mm centre ,Bracers with flat iron 40x40x6 mm with 38 mm dia steel pulleys, the top, bottom and side vertical frames of the collapsible gate with 65x65mmx8mm MS Angle and middle guide rail at site height with 65mmx8mm MS flat for the pulleys to guide and fixed with necessary hold fasts, bolts, nuts, rivets, locking arrangements, stoppers, handles, all accessories all fixtures and painted with one coat of approved steel primer etc., overheads &amp; contractors profit complete for finished item of work as per special spn 1105</t>
    </r>
  </si>
  <si>
    <r>
      <t xml:space="preserve">Providing and fixing of Expansion joint filler board for buildings, columns, beams and slabs 25 mm thick </t>
    </r>
    <r>
      <rPr>
        <sz val="10"/>
        <color theme="1"/>
        <rFont val="Arial"/>
        <family val="2"/>
        <charset val="1"/>
      </rPr>
      <t xml:space="preserve">including cost and conveyance of all materials to site, all incidental, operational, labour charges etc.overheads &amp; contractors profit complete for finished item of work as per approved drawing for all floors </t>
    </r>
  </si>
  <si>
    <r>
      <t xml:space="preserve">Providing and fixing of 24 gauge alluminium sheet over expansion joint </t>
    </r>
    <r>
      <rPr>
        <sz val="10"/>
        <color theme="1"/>
        <rFont val="Arial"/>
        <family val="2"/>
        <charset val="1"/>
      </rPr>
      <t>groove of width 15cm fixed to walls / columns at one edge and resting over the other block walls/columns concealing expansion joint with slotted holes for free edge of aluminium sheet to facilitate free movement of aluminium sheet over the finished surface of expansion joint and wall face using sheet metal screws with nylon receiver complete including cost and conveyance of all materials to site, all incidental, operational, labour charges , overheads &amp; contractors profit etc., complete for finished item of work as per approved drawing (for all floors for vertical joints and bottom of slab)</t>
    </r>
  </si>
  <si>
    <r>
      <t>Supplying and fixing aluminium composite cladding</t>
    </r>
    <r>
      <rPr>
        <sz val="10"/>
        <color theme="1"/>
        <rFont val="Arial"/>
        <family val="2"/>
        <charset val="1"/>
      </rPr>
      <t xml:space="preserve"> </t>
    </r>
    <r>
      <rPr>
        <b/>
        <sz val="10"/>
        <color theme="1"/>
        <rFont val="Arial"/>
        <family val="2"/>
        <charset val="1"/>
      </rPr>
      <t>4mm thick</t>
    </r>
    <r>
      <rPr>
        <sz val="10"/>
        <color theme="1"/>
        <rFont val="Arial"/>
        <family val="2"/>
        <charset val="1"/>
      </rPr>
      <t xml:space="preserve"> of approved make </t>
    </r>
    <r>
      <rPr>
        <b/>
        <sz val="10"/>
        <color theme="1"/>
        <rFont val="Arial"/>
        <family val="2"/>
        <charset val="1"/>
      </rPr>
      <t>with skin material 0.25 mm thick</t>
    </r>
    <r>
      <rPr>
        <sz val="10"/>
        <color theme="1"/>
        <rFont val="Arial"/>
        <family val="2"/>
        <charset val="1"/>
      </rPr>
      <t xml:space="preserve"> aluminium sheet cover material natural polyethylene aluminium cladding panel fixed with extruded aluminium basis frame (50x25x1.5mm) angle cleats, weather sealants, rivets, GI brackets all as approved, using suitable bolts on structural steel work including necessary accessories complete in all respects including all scaffolding and labour charges , overheads &amp; contractors profit complete for finished item of work but excluding cost of structural steel fabrication if any. </t>
    </r>
  </si>
  <si>
    <r>
      <t>Supplying and fixing aluminium composite cladding</t>
    </r>
    <r>
      <rPr>
        <sz val="10"/>
        <color theme="1"/>
        <rFont val="Arial"/>
        <family val="2"/>
        <charset val="1"/>
      </rPr>
      <t xml:space="preserve"> </t>
    </r>
    <r>
      <rPr>
        <b/>
        <sz val="10"/>
        <color theme="1"/>
        <rFont val="Arial"/>
        <family val="2"/>
        <charset val="1"/>
      </rPr>
      <t>4mm thick</t>
    </r>
    <r>
      <rPr>
        <sz val="10"/>
        <color theme="1"/>
        <rFont val="Arial"/>
        <family val="2"/>
        <charset val="1"/>
      </rPr>
      <t xml:space="preserve"> of approved make </t>
    </r>
    <r>
      <rPr>
        <b/>
        <sz val="10"/>
        <color theme="1"/>
        <rFont val="Arial"/>
        <family val="2"/>
        <charset val="1"/>
      </rPr>
      <t>with skin material 0.50 mm thick</t>
    </r>
    <r>
      <rPr>
        <sz val="10"/>
        <color theme="1"/>
        <rFont val="Arial"/>
        <family val="2"/>
        <charset val="1"/>
      </rPr>
      <t xml:space="preserve"> aluminium sheet cover material natural polyethylene aluminium cladding panel fixed with extruded aluminium basis frame (50x25x1.5mm) angle cleats, weather sealants, rivets, GI brackets all as approved, using suitable bolts on structural steel work including necessary accessories complete in all respects including all scaffolding and labour charges , overheads &amp; contractors profit etc., complete for finished item of work but excluding cost of structural steel fabrication if any.</t>
    </r>
  </si>
  <si>
    <r>
      <t>Providing and Fixing Top Hung shutters in Structural Glazing</t>
    </r>
    <r>
      <rPr>
        <sz val="10"/>
        <color theme="1"/>
        <rFont val="Arial"/>
        <family val="2"/>
        <charset val="1"/>
      </rPr>
      <t xml:space="preserve"> fabricated from Roll formed sections made of Pre-painted Steel / Powder coated (Base steel as per IS 513 of ‘D’ quality, galvanized as per IS 277 with Zinc of 120 Gm/Sqm) with total coated thickness of 0.72mm.  The glass holding section made of 304 grade stainless steel of 0.6mm thick.  Galvanized steel sections are to be used as stiffeners inside the colour coated steel/powder coated sections as per the design requirement.  Design calculations are made to suit wind pressures as given in IS 875.  Primer coat with epoxy primer of 5-7 microns thick and back coated with Alkyd backer of 5-7 microns or powder coated with pure polyester powder up to 50-60  microns  thick.  The outer frame should be of 20mm x 58mm x 0.6mm, Shutter section should be of 58mm x 33mm x 0.72 mm, stiffener section should be 56mm x 31mm x 1mm.  EARL Bihari Hinges – 2 Nos for each shutter and Aluminium Stays – 2 Nos. for each shutter, Aluminium Handle – 1 no. for each </t>
    </r>
  </si>
  <si>
    <r>
      <t>Supply and fixing of curtain Glazing made of pre painted steel</t>
    </r>
    <r>
      <rPr>
        <sz val="10"/>
        <color theme="1"/>
        <rFont val="Arial"/>
        <family val="2"/>
        <charset val="1"/>
      </rPr>
      <t xml:space="preserve"> (base steel as per IS 513 of 0.6 mm thick D   quality, galvanized as per IS 277 with Zinc of 120 GSM) Primer coated with epoxy primer of 5-7 microns thick, finish painted with a polyester paint of 12- 16 microns thick and back coated with 5-7 microns thick alkyd backer. Section for outer frame should be 46 x 52 mm, section for mullion should be 46 x 70 mm and section for beading should be 18 x 25 mm. The Glazing should be paneled with 5 mm thick plain float Glass with Ethyl Propylene diameine Monomer (EPDM) Gaskets. The sections are to be cut to length, mitre joined with corner bracket. Centre mullions are to be fixed suing mullion cap. Handle made of high grade Aluminium powder coated and nylon receiver. Gaskets made of Ethyl propylene Diamine Monomer (EPDM) Corner brackets made of CRCA with zinc phosphating. Mullion caps made of Glass filled nylon. The above frames should be fixed to the concrete / masonry wall be means of self expanding screws,overheads &amp; contractor profit etc., complete for finished item in all floors.</t>
    </r>
  </si>
  <si>
    <r>
      <t>Providing and fixing in true horizontal level 14 mm - Mineral Fiber sheet 595 x 595</t>
    </r>
    <r>
      <rPr>
        <sz val="10"/>
        <color theme="1"/>
        <rFont val="Arial"/>
        <family val="2"/>
        <charset val="1"/>
      </rPr>
      <t xml:space="preserve"> (Square / Tegular) Fissura fine model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</si>
  <si>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t>Supplying and fixing Gyp board  Fine line Grid false ceiling</t>
    </r>
    <r>
      <rPr>
        <sz val="10"/>
        <color theme="1"/>
        <rFont val="Arial"/>
        <family val="2"/>
        <charset val="1"/>
      </rPr>
      <t xml:space="preserve"> (GS-FLC-4.6)using </t>
    </r>
    <r>
      <rPr>
        <b/>
        <sz val="10"/>
        <color theme="1"/>
        <rFont val="Arial"/>
        <family val="2"/>
        <charset val="1"/>
      </rPr>
      <t>12.5mm thick Gyp Board</t>
    </r>
    <r>
      <rPr>
        <sz val="10"/>
        <color theme="1"/>
        <rFont val="Arial"/>
        <family val="2"/>
        <charset val="1"/>
      </rPr>
      <t xml:space="preserve"> sheet tiles of size 595mm x 595mm conforming to IS 2095 - 1992 fixing to Gyp steel precoated GI wall angle of size 25mm x 25mm x 0.70mm thick along the perimeter of ceiling screw fixed to brick work / partition at 610mm center to center and suspending the frame work using precoated GI Tee section (24mm x 38mm x 0.7mm) from soffit at 1220mm center to center fixed with GI Soffit Cleat, rawl plugs and steel expansion fasteners &amp; connecting clip to the GI Tee section with 4mm dia GI rod with galvanised spring steel level clip of PVC unversal holding clips system at 1200mm center to center and fixing the 12.5mm Gypboard sheet tiles of size 595mm x 595mm and finishing two coats of drywall top coat, overheads and contractor profit complete for finished item of work in all floors.</t>
    </r>
  </si>
  <si>
    <r>
      <t>Providing and fixing in true horizontal level 14 mm - Mineral Fiber</t>
    </r>
    <r>
      <rPr>
        <sz val="10"/>
        <color theme="1"/>
        <rFont val="Arial"/>
        <family val="2"/>
        <charset val="1"/>
      </rPr>
      <t xml:space="preserve"> sheet 600 x 600 (Square / Tegular) edge tiles with a Humidity Resistance of 90% RH,Average NRC 0.50, Light Reflectance &gt;80%, Thermal Conductivity λ= 0.052 to 0.057 w/mk, Fire Performance Class 0/Class 1 using hot dipped Galvanized Steel section exposed surface with pre-coated capping, main Tee of size 24 x 32 mm at every 1200 mm c/c maximum and rotary stitched cross tee of size 24 x 27 mm at every 600 mm c/c and sub-cross tee of size 24 mm x 25 mm at 1200 mm c/c and wall angle of size 19 x 19 mm fixed to periphery of the wall and the above grid is suspended at every 1200 mm c/c in both directions using 2.0 mm thick pre-straightened GI Wire including cost and conveyance of all materials and labour charges such as cutting , fixing of standing of frame work exposing roof making, overheads &amp; contractor profit etc., complete for finished item of work in all floor in all floors.</t>
    </r>
  </si>
  <si>
    <r>
      <t>Providing and fixing Thermocole False ceiling</t>
    </r>
    <r>
      <rPr>
        <sz val="10"/>
        <color theme="1"/>
        <rFont val="Arial"/>
        <family val="2"/>
        <charset val="1"/>
      </rPr>
      <t xml:space="preserve"> in true horizontal level 600mm x 600mm using 12mm thick Thermocole sheet, anodized Aluminium Tee sections of size 24.50mm x 24.0mm x 2.4mm in grid with cross tee of size 24mm x 24.5mm at every 600mm center to center and anodised aluminium wall angle of size 24mm x 24mm fixed to periphery of the wall and the above grid is suspended at every 1200mm center to center in both directions using 2.0mm thick GI wire for finished of size 600mm x 600mm including cost and conveyance of all materials and labour charges such as cutting , fixing of standing of frame work exposing roof complete for finished item of work in all floors. (The rate is inclusive of overheads &amp; contractor profit).</t>
    </r>
  </si>
  <si>
    <r>
      <t>Supplying and fixing 50mm dia nominal bore</t>
    </r>
    <r>
      <rPr>
        <sz val="10"/>
        <color theme="1"/>
        <rFont val="Arial"/>
        <family val="2"/>
        <charset val="1"/>
      </rPr>
      <t xml:space="preserve"> Medium Grade properties &amp; weight as per IS 1239 ISI mark </t>
    </r>
    <r>
      <rPr>
        <b/>
        <sz val="10"/>
        <color theme="1"/>
        <rFont val="Arial"/>
        <family val="2"/>
        <charset val="1"/>
      </rPr>
      <t>MS Tube</t>
    </r>
    <r>
      <rPr>
        <sz val="10"/>
        <color theme="1"/>
        <rFont val="Arial"/>
        <family val="2"/>
        <charset val="1"/>
      </rPr>
      <t xml:space="preserve">  for fixing of GI Sheet including cost and conveyance of all materials to work site and all operational, incidental, labour charges , overheads &amp; contractors profit for finished item of work.etc., complete for finished item of work in all floors for stair case head room roof.</t>
    </r>
  </si>
  <si>
    <r>
      <t>Roofing with corrugated G.I sheets 0.80mm thick</t>
    </r>
    <r>
      <rPr>
        <sz val="10"/>
        <color theme="1"/>
        <rFont val="Arial"/>
        <family val="2"/>
        <charset val="1"/>
      </rPr>
      <t xml:space="preserve"> fixed with G.I ‘J’ bolts &amp; nuts 8 mm dia with bitumen &amp; G.I limpet washers filled with white lead &amp; including a coat of approved steel primer and two coats of approved paint on over lapping of sheets complete (up to a pitch of 600) etc., complete, excluding the cost of purlins, rafters, trusses including cost and conveyance of all materials , labour charges , overheads and contractors profit etc., complete for finished item of work in all floors.</t>
    </r>
  </si>
  <si>
    <r>
      <t>Supply and delivery of encapsulated plastic steps</t>
    </r>
    <r>
      <rPr>
        <sz val="10"/>
        <color theme="1"/>
        <rFont val="Arial"/>
        <family val="2"/>
        <charset val="1"/>
      </rPr>
      <t xml:space="preserve"> manufactured as per companies standard specification including cost of materials packing as per companiess standards, loading, transportation, unloading and stacking at site of work , and taxes such as complete sales tax,C.E.D and others etc., as applicable  including  labour charges for fixing etc. complete for finished item of work.</t>
    </r>
  </si>
  <si>
    <r>
      <t>Supply and fixing ornamental</t>
    </r>
    <r>
      <rPr>
        <sz val="10"/>
        <color theme="1"/>
        <rFont val="Arial"/>
        <family val="2"/>
        <charset val="1"/>
      </rPr>
      <t xml:space="preserve"> </t>
    </r>
    <r>
      <rPr>
        <b/>
        <sz val="10"/>
        <color theme="1"/>
        <rFont val="Arial"/>
        <family val="2"/>
        <charset val="1"/>
      </rPr>
      <t>MS Main gate</t>
    </r>
    <r>
      <rPr>
        <sz val="10"/>
        <color theme="1"/>
        <rFont val="Arial"/>
        <family val="2"/>
        <charset val="1"/>
      </rPr>
      <t xml:space="preserve"> of size 9mts x 3.75 mts ( average height) i.e., varying from 3mts to 4.50 mts at centre as per the approved drawing using MS Angle of 75mm x 75mm x 6mm alround for frame and 63mm x 6mm MS Flats in 6 rows horizontally, 25mm MS Square bars at 125mm c/c and CI Spikes 9" long on top and 6" long CI spikes in the middle in two rows including 6 Nos of Pin clamps fixed in RCC Columns, 2 Nos of MS aldrops 450 mm Long ( special ) welded at the the centre on each side, 2 Nos of MS tower bolts 450mm Long ( special )and providing brass emblem on emboseed cover in the centre of the two leaves and fixing 2 Nos. of rollers per each leaf including  cost and conveyance of all materials,fabrication charges , welding charges, incidental charges and all labour charges, over heads and contractor profit etc., complete for finsihed item of work.</t>
    </r>
  </si>
  <si>
    <r>
      <t>Supply and fixing ornamental</t>
    </r>
    <r>
      <rPr>
        <sz val="10"/>
        <color theme="1"/>
        <rFont val="Arial"/>
        <family val="2"/>
        <charset val="1"/>
      </rPr>
      <t xml:space="preserve"> </t>
    </r>
    <r>
      <rPr>
        <b/>
        <sz val="10"/>
        <color theme="1"/>
        <rFont val="Arial"/>
        <family val="2"/>
        <charset val="1"/>
      </rPr>
      <t xml:space="preserve">MS Wicket gate </t>
    </r>
    <r>
      <rPr>
        <sz val="10"/>
        <color theme="1"/>
        <rFont val="Arial"/>
        <family val="2"/>
        <charset val="1"/>
      </rPr>
      <t>Size 1.50m x 3.00m as per the approved drawing using 75mm x 75mm x 6mm MS angle alround for frame and 63mm x 6mm MS flats in 6 rows horizontally, 25mm MS square vertical bars at 125mm c /c and CI spikes 9" long at the top and 6" long spikes in two rows in the middle, 3 Nos of Pin clamps fixed in RCC columns, providing 2 Nos.of MS powder coated aldrops 300mm long including  cost all taxes and conveyance of all materials,fabrication charges welding charges incidental charges all labour charges, overheads and contractor profit etc., complete for finsihed item of work.</t>
    </r>
  </si>
  <si>
    <r>
      <t xml:space="preserve">Providing cattle trap </t>
    </r>
    <r>
      <rPr>
        <sz val="10"/>
        <color theme="1"/>
        <rFont val="Arial"/>
        <family val="2"/>
        <charset val="1"/>
      </rPr>
      <t>including cost of excavation of trap pit and laying 100 mm hick PCC (1:5:10) prop bed in 1:50 slope using 40 mm HB Granite metal including constructing 230 mm thick walls alround and middle in PCC M20 Design mix using 20 mm HBG graded metal, 325 mm average height over the bed and duly fixing 7 nos of ISLB 125 x 75 @ 11.9 kg/mt at 470 mm centre to centre and welding 25 mm dia HYSD bars duly inserted in GI B class pipe 50 mm dia (13 nos in all) over ISLB @ 80 mm centre to centre  25 mm dia MS small pieces of 0.15 m length for pedestrains (76 nos in all) and including plastering the exposed faces of walls and base in CM 1:5 prop 20 mm thick in single coat duly  maintaining 1:50 slope including providing 200mm dia SWG drain pipe to be connected to the nearest valley to drain off the collected water inside the trap including cost and conveyance of all materials, to site, all labour charges including cutting, welding of bars to (ISLB) RS joists, curing centering, over heads and contractor profit etc., complete for finished item of work as per the approved drawing.</t>
    </r>
  </si>
  <si>
    <r>
      <t xml:space="preserve">Construction of  un-reinforced, plain cement concrete pavement, thickness as per design, over a prepared sub base, with 43 grade cement or any other type as per Clause 1501.2.2 M30 (Grade) Cement component not less than 350Kgs / cum, coarse and fine aggregates conforming to IS:383, maximum in a concrete mixer of not less than 0.2 cum capacity and appropriate weigh batcher using approved mix design, laid in approved fixed side form work (steel channel, laying and fixing of 125 micron thick polythene film, wedges, steel plates including levelling the form work as per drawing), spreading the concrete with shovels, rakes, compacted using needle, scareed and plate vibrators and finished in continuous operation including provision of contraction and expansion, construction joints, admixtures as approved, curing of concrete slabs for 14- days, curing compound (where specified) and water finishing to lines and grade as per drawing and Technical Specification Clause 1501 MORD. </t>
    </r>
    <r>
      <rPr>
        <b/>
        <sz val="10"/>
        <color theme="1"/>
        <rFont val="Arial"/>
        <family val="2"/>
        <charset val="1"/>
      </rPr>
      <t xml:space="preserve"> including cost &amp; conveyance of all material, labour, over heads and contractors profit complete as directed by the Engineer in Charge.</t>
    </r>
  </si>
  <si>
    <r>
      <t xml:space="preserve">Drilling holes in hard granite or sheet rock </t>
    </r>
    <r>
      <rPr>
        <sz val="10"/>
        <color theme="1"/>
        <rFont val="Arial"/>
        <family val="2"/>
        <charset val="1"/>
      </rPr>
      <t xml:space="preserve"> with uising Pneumatic Compressor 20mm dia as applicable  including  labour charges etc. complete for finished item of work  as directed by the Engineer-in-Charge .</t>
    </r>
  </si>
  <si>
    <r>
      <t>Grouting the holes with neat cement slurry excluding cost of steel</t>
    </r>
    <r>
      <rPr>
        <sz val="10"/>
        <color theme="1"/>
        <rFont val="Arial"/>
        <family val="2"/>
        <charset val="1"/>
      </rPr>
      <t xml:space="preserve"> 20mm dia as applicable  including  labour charges etc. complete for finished item of work  as directed by the Engineer-in-Charge .</t>
    </r>
  </si>
  <si>
    <r>
      <t xml:space="preserve">Supplying and fabricating, erecting and fixing in position trusses </t>
    </r>
    <r>
      <rPr>
        <sz val="10"/>
        <color theme="1"/>
        <rFont val="Arial"/>
        <family val="2"/>
        <charset val="1"/>
      </rPr>
      <t xml:space="preserve">of approved design with structural steel other than MS circular tubes including roof frame work consisting of rafters, 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 overheads and contractor profit etc., complete for finished item of work as directed by the Engineer-in-Charge </t>
    </r>
  </si>
  <si>
    <r>
      <t>Construction of</t>
    </r>
    <r>
      <rPr>
        <sz val="10"/>
        <color theme="1"/>
        <rFont val="Arial"/>
        <family val="2"/>
        <charset val="1"/>
      </rPr>
      <t xml:space="preserve"> </t>
    </r>
    <r>
      <rPr>
        <b/>
        <sz val="10"/>
        <color theme="1"/>
        <rFont val="Arial"/>
        <family val="2"/>
        <charset val="1"/>
      </rPr>
      <t>Granular sub-base by providing HBG material confirming to Grading - III of MORT &amp; H Table 400-2</t>
    </r>
    <r>
      <rPr>
        <sz val="10"/>
        <color theme="1"/>
        <rFont val="Arial"/>
        <family val="2"/>
        <charset val="1"/>
      </rPr>
      <t xml:space="preserve"> including cost, seigniorage charges and conveyance of all material to woek site and spreading in uniform layers with motor grader or by approved means, on prepared surface mixing by mix place method with Rotavator/ approved means, at OMC and compacting with vibratory roller to achieve the desired density etc., complete for finished item of work as per MoRT&amp; H specification 401 (4th revision) and as directed by the Engineer- in - charge (Payment will be made based on levels for finished item of work) </t>
    </r>
  </si>
  <si>
    <r>
      <t>a)</t>
    </r>
    <r>
      <rPr>
        <b/>
        <sz val="10"/>
        <color theme="1"/>
        <rFont val="Arial"/>
        <family val="2"/>
        <charset val="1"/>
      </rPr>
      <t>  Labour</t>
    </r>
  </si>
  <si>
    <r>
      <t xml:space="preserve">Crushed stone coarse aggregates, grading will be as per Clause 1501.2.4.1 (Table 1500.1) of specifications @ 0.90 cum/cum of concrete </t>
    </r>
    <r>
      <rPr>
        <b/>
        <sz val="10"/>
        <color theme="1"/>
        <rFont val="Arial"/>
        <family val="2"/>
        <charset val="1"/>
      </rPr>
      <t>(25 mm &amp; 12.5 mm blending)</t>
    </r>
  </si>
  <si>
    <r>
      <t xml:space="preserve">Supplying and fabricating, erecting and fixing in steel works like Window Grills, Compound Wall Grills, Iron Doors, Windows including cost of welding rods, power charges </t>
    </r>
    <r>
      <rPr>
        <sz val="10"/>
        <color theme="1"/>
        <rFont val="Arial"/>
        <family val="2"/>
        <charset val="1"/>
      </rPr>
      <t xml:space="preserve">of approved design and including  cost and conveyance of all materials, labour charges for erecting &amp; fixing all structural steel works  erecting in position and fixing etc., complete in position, labour charges for fabrication, all incidental charges, overheads and contractor profit etc., complete for finished item of work as directed by the Engineer-in-Charge </t>
    </r>
  </si>
  <si>
    <r>
      <t xml:space="preserve">Drilling holes of 25 mm dia and 800mm deep in hard rock or sheet rock </t>
    </r>
    <r>
      <rPr>
        <sz val="10"/>
        <color theme="1"/>
        <rFont val="Arial"/>
        <family val="2"/>
        <charset val="1"/>
      </rPr>
      <t>with pneumatic compressor and placing of 20mm dia Tor steel bars and grouting the holes in CM(1:2) prop. excluding cost of steel and its fabrication charges but including cost and conveyance of all materials and labour charges etc.,and overheads &amp; contractors profit  complete  for finished item of work.</t>
    </r>
  </si>
  <si>
    <r>
      <t xml:space="preserve">Grouting the holes with neat cement slurry </t>
    </r>
    <r>
      <rPr>
        <sz val="10"/>
        <color theme="1"/>
        <rFont val="Arial"/>
        <family val="2"/>
        <charset val="1"/>
      </rPr>
      <t>excluding cost of steel but including cost and conveyance of all materials and labour charges etc.,and overheads &amp; contractors profit  complete  for finished item of work</t>
    </r>
  </si>
  <si>
    <r>
      <t xml:space="preserve">Supply and application of epoxy flooring </t>
    </r>
    <r>
      <rPr>
        <sz val="10"/>
        <color theme="1"/>
        <rFont val="Arial"/>
        <family val="2"/>
        <charset val="1"/>
      </rPr>
      <t xml:space="preserve">of light green or light blue colour </t>
    </r>
    <r>
      <rPr>
        <b/>
        <sz val="10"/>
        <color theme="1"/>
        <rFont val="Arial"/>
        <family val="2"/>
        <charset val="1"/>
      </rPr>
      <t>in Operation Theatres</t>
    </r>
    <r>
      <rPr>
        <sz val="10"/>
        <color theme="1"/>
        <rFont val="Arial"/>
        <family val="2"/>
        <charset val="1"/>
      </rPr>
      <t xml:space="preserve"> </t>
    </r>
    <r>
      <rPr>
        <b/>
        <sz val="10"/>
        <color theme="1"/>
        <rFont val="Arial"/>
        <family val="2"/>
        <charset val="1"/>
      </rPr>
      <t>and labour rooms</t>
    </r>
    <r>
      <rPr>
        <sz val="10"/>
        <color theme="1"/>
        <rFont val="Arial"/>
        <family val="2"/>
        <charset val="1"/>
      </rPr>
      <t xml:space="preserve"> - SIKA Epoxy seamless joint free finish with 3mm thickness and anti slip &amp; water washable chemical resistance durable and non particle shedding with attractive  finishing including cost and conveyance of all materials and all labour charges, overheads and contractor profit etc., complete for finished item of work.</t>
    </r>
  </si>
  <si>
    <r>
      <t>Supply and application of epoxy coving</t>
    </r>
    <r>
      <rPr>
        <sz val="10"/>
        <color theme="1"/>
        <rFont val="Arial"/>
        <family val="2"/>
        <charset val="1"/>
      </rPr>
      <t xml:space="preserve"> with SIKA brand with 50mmx50mm width at the corners of the all walls </t>
    </r>
    <r>
      <rPr>
        <b/>
        <sz val="10"/>
        <color theme="1"/>
        <rFont val="Arial"/>
        <family val="2"/>
        <charset val="1"/>
      </rPr>
      <t xml:space="preserve">in  Operation Theatres, labour rooms  </t>
    </r>
    <r>
      <rPr>
        <sz val="10"/>
        <color theme="1"/>
        <rFont val="Arial"/>
        <family val="2"/>
        <charset val="1"/>
      </rPr>
      <t xml:space="preserve">including cost and conveyance of all materials and labour charges, overheads and contractor profit  etc., complete for finished item of work . </t>
    </r>
  </si>
  <si>
    <r>
      <t xml:space="preserve">Providing and applying water proof wall putty of white cement </t>
    </r>
    <r>
      <rPr>
        <sz val="10"/>
        <color theme="1"/>
        <rFont val="Arial"/>
        <family val="2"/>
        <charset val="1"/>
      </rPr>
      <t xml:space="preserve">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t>
    </r>
    <r>
      <rPr>
        <b/>
        <sz val="10"/>
        <color theme="1"/>
        <rFont val="Arial"/>
        <family val="2"/>
        <charset val="1"/>
      </rPr>
      <t>applying one coat of cement primer of interior grade-1 and two coats of poy-urethane paint (</t>
    </r>
    <r>
      <rPr>
        <sz val="10"/>
        <color theme="1"/>
        <rFont val="Arial"/>
        <family val="2"/>
        <charset val="1"/>
      </rPr>
      <t>MRF)</t>
    </r>
    <r>
      <rPr>
        <b/>
        <sz val="10"/>
        <color theme="1"/>
        <rFont val="Arial"/>
        <family val="2"/>
        <charset val="1"/>
      </rPr>
      <t xml:space="preserve"> of light green or light blue colour with 1mm thickness</t>
    </r>
    <r>
      <rPr>
        <sz val="10"/>
        <color theme="1"/>
        <rFont val="Arial"/>
        <family val="2"/>
        <charset val="1"/>
      </rPr>
      <t xml:space="preserve"> with anti fungal and anti bacterial chemical resistance durable and non particle shedding including cost and conveyance of all materials to work site and all operational, incidental, labour charges, over heads and contractors profit etc., complete for finished item of work in all floors</t>
    </r>
    <r>
      <rPr>
        <b/>
        <sz val="10"/>
        <color theme="1"/>
        <rFont val="Arial"/>
        <family val="2"/>
        <charset val="1"/>
      </rPr>
      <t xml:space="preserve"> for internal walls and ceiling of Operation Theatre and  labour rooms.</t>
    </r>
  </si>
  <si>
    <r>
      <t>Supplying and fixing of</t>
    </r>
    <r>
      <rPr>
        <sz val="10"/>
        <color theme="1"/>
        <rFont val="Arial"/>
        <family val="2"/>
        <charset val="1"/>
      </rPr>
      <t xml:space="preserve"> </t>
    </r>
    <r>
      <rPr>
        <b/>
        <sz val="10"/>
        <color theme="1"/>
        <rFont val="Arial"/>
        <family val="2"/>
        <charset val="1"/>
      </rPr>
      <t>stainless steel (grade 304) railing</t>
    </r>
    <r>
      <rPr>
        <sz val="10"/>
        <color theme="1"/>
        <rFont val="Arial"/>
        <family val="2"/>
        <charset val="1"/>
      </rPr>
      <t xml:space="preserve"> </t>
    </r>
    <r>
      <rPr>
        <b/>
        <sz val="10"/>
        <color theme="1"/>
        <rFont val="Arial"/>
        <family val="2"/>
        <charset val="1"/>
      </rPr>
      <t xml:space="preserve">for ramp </t>
    </r>
    <r>
      <rPr>
        <sz val="10"/>
        <color theme="1"/>
        <rFont val="Arial"/>
        <family val="2"/>
        <charset val="1"/>
      </rPr>
      <t>as per approved drawing with top rail of 50mm dia pipe and 2mm thick medium class fixed in to wall with 25mm dia pipe of 0.30m length @ 1m centre to centre and welding, buffing, polishing all members of the railing  thouroughly  , lacquer finishing to present seamless finish including cost and conveyance of all materials, electrodes, welding charges, cost of all consumables, labour charges , overheads &amp; contractors profit etc., complete for finished item of work.</t>
    </r>
  </si>
  <si>
    <r>
      <t>Providing 3.0 metre high chain link fencing</t>
    </r>
    <r>
      <rPr>
        <sz val="10"/>
        <color theme="1"/>
        <rFont val="Arial"/>
        <family val="2"/>
        <charset val="1"/>
      </rPr>
      <t xml:space="preserve"> with angle iron posts 60 mm x 40 mm x 5 mm at 3 metre center to center with 0.60 metre embedded in PCC 1:4:8 cement concrete, 0.15m gap above ground level, with corner- end and every 10th post to be strutted, provided with Hot dipped Galvanized Iron Chain link mesh 8 gauge and fixed to iron posts by unequal angle 45 x 30 x 5 mm at three levels with  nuts and bolts and welded consumables etc., painting with two coats of enamel paint over primer coat, making the required gate openings etc including cost and conveyance of all materials, over heads &amp; contractors profits complete in all respects. (MORTH Suggestive )</t>
    </r>
  </si>
  <si>
    <r>
      <t xml:space="preserve">Construction of embankment with approved materials deposited at site </t>
    </r>
    <r>
      <rPr>
        <sz val="10"/>
        <color theme="1"/>
        <rFont val="Arial"/>
        <family val="2"/>
        <charset val="1"/>
      </rPr>
      <t>from roadway cutting and excavation from drain and foundation of other structures depositing the soil on the embankment, spreading soil, breaking clods, sectioning, grading and consolidation with 8 to 10 Tonnes Vibratory Road Roller @ OMC to meet requirement of table 300-2 of MoRT&amp;H, including  all hire and operational charges of T&amp;P  , complete for finished item of work as per MoRT&amp;H specification 305 (5</t>
    </r>
    <r>
      <rPr>
        <vertAlign val="superscript"/>
        <sz val="10"/>
        <color theme="1"/>
        <rFont val="Arial"/>
        <family val="2"/>
        <charset val="1"/>
      </rPr>
      <t>th</t>
    </r>
    <r>
      <rPr>
        <sz val="10"/>
        <color theme="1"/>
        <rFont val="Arial"/>
        <family val="2"/>
        <charset val="1"/>
      </rPr>
      <t xml:space="preserve"> revision)  (Payment will be made based on level for finished item of work). </t>
    </r>
  </si>
  <si>
    <r>
      <t>Construction of embankment with material obtained from borrow pits</t>
    </r>
    <r>
      <rPr>
        <sz val="10"/>
        <color theme="1"/>
        <rFont val="Arial"/>
        <family val="2"/>
        <charset val="1"/>
      </rPr>
      <t xml:space="preserve"> depositing the soil on the embankment, spreading soil, breaking clods, sectioning, grading and consolidation with 8 to 10 Tonnes Vibratory Road Roller @ OMC to meet requirement of table 300-2 of MoRT&amp;H, including  all hire and operational charges of T&amp;P  , complete for finished item of work as per MoRT&amp;H specification 305 (5</t>
    </r>
    <r>
      <rPr>
        <vertAlign val="superscript"/>
        <sz val="10"/>
        <color theme="1"/>
        <rFont val="Arial"/>
        <family val="2"/>
        <charset val="1"/>
      </rPr>
      <t>th</t>
    </r>
    <r>
      <rPr>
        <sz val="10"/>
        <color theme="1"/>
        <rFont val="Arial"/>
        <family val="2"/>
        <charset val="1"/>
      </rPr>
      <t xml:space="preserve"> revision)  (Payment will be made based on level for finished item of work). </t>
    </r>
  </si>
  <si>
    <r>
      <t>Supply and fixing of ornamental grill made of 25mm x 5mm MS flats</t>
    </r>
    <r>
      <rPr>
        <sz val="10"/>
        <color theme="1"/>
        <rFont val="Arial"/>
        <family val="2"/>
        <charset val="1"/>
      </rPr>
      <t xml:space="preserve"> for fixing in fan light portion and side fixed panels for door cum window as per the approved drawing including cutting the flat to required length, welding,  including cost and conveyance of all materials, labour charges etc., complete for finished otem of work.</t>
    </r>
  </si>
  <si>
    <r>
      <t xml:space="preserve">Supply and fixing of two shutter main door cum fixed window </t>
    </r>
    <r>
      <rPr>
        <sz val="10"/>
        <color theme="1"/>
        <rFont val="Arial"/>
        <family val="2"/>
        <charset val="1"/>
      </rPr>
      <t>as per approved drawing with</t>
    </r>
    <r>
      <rPr>
        <b/>
        <sz val="10"/>
        <color theme="1"/>
        <rFont val="Arial"/>
        <family val="2"/>
        <charset val="1"/>
      </rPr>
      <t xml:space="preserve"> best teak wood</t>
    </r>
    <r>
      <rPr>
        <sz val="10"/>
        <color theme="1"/>
        <rFont val="Arial"/>
        <family val="2"/>
        <charset val="1"/>
      </rPr>
      <t xml:space="preserve"> frame of section 150mm x 100 mm with fixed fan light of 500mm at top and fixed panels of 600mm width at sides fixed with 12mm thick Tinted - Bronze/Green glass using 12mm x 12mm teak wood beading and fixing ornamental grill made of 25mm x 5mm MS flats as per the approved drawing in fan light portion and fixed panels and 1st class teak wood  top and middle rails &amp; styles of section 120mm x 35mm, bottom rail of size 150mm x 35mm and 12mm thick plain float glass for shutter  with ornamental etching including cost and conveyance to </t>
    </r>
  </si>
  <si>
    <r>
      <t xml:space="preserve">site of teak  wood frame,  shutters, glass including  supply and fixing  6 nos MS Zhold fasts of size 300 mm x 40 mm x 5mm including cost of ISI marked brass fixtures of 8 Nos butt hinges(IS:205) 250mm long ,  1 No. aldrop (IS:2681) 450mm long, 3 Nos tower bolts- 10mm (IS:204) of 200 mm long , 2 Nos 450 mm long fancy handles, 2 Nos door stoppers  including fixing the fixtures to door with required number of screws, bolt and nuts including labour charges for fixing the frame in position, fixing the shutters to the frame, fixing glass in fan light portion etc., including overheads &amp; contractors profit complete for finished item of work as per APSS 1001 &amp; 1002 (The vertical frame of door shall be embedded in flooring for a depth of not less than 40 mm) </t>
    </r>
    <r>
      <rPr>
        <b/>
        <sz val="10"/>
        <color theme="1"/>
        <rFont val="Arial"/>
        <family val="2"/>
        <charset val="1"/>
      </rPr>
      <t>(3000mmX2600mm)</t>
    </r>
  </si>
  <si>
    <r>
      <t xml:space="preserve">Supply and fixing of doors </t>
    </r>
    <r>
      <rPr>
        <sz val="10"/>
        <color theme="1"/>
        <rFont val="Arial"/>
        <family val="2"/>
        <charset val="1"/>
      </rPr>
      <t>as per approved drawings with</t>
    </r>
    <r>
      <rPr>
        <b/>
        <sz val="10"/>
        <color theme="1"/>
        <rFont val="Arial"/>
        <family val="2"/>
        <charset val="1"/>
      </rPr>
      <t xml:space="preserve"> best teak wood </t>
    </r>
    <r>
      <rPr>
        <sz val="10"/>
        <color theme="1"/>
        <rFont val="Arial"/>
        <family val="2"/>
        <charset val="1"/>
      </rPr>
      <t xml:space="preserve">frame of section 100mm x 65 mm with fixed fan light of 500mm at the top fixed with 4mm thick pin headed glass using 12mmx12mm Teak Wood beading and 2 Nos. of 10mm MS Square bars and ISI marked flush door shutter of </t>
    </r>
    <r>
      <rPr>
        <b/>
        <sz val="10"/>
        <color theme="1"/>
        <rFont val="Arial"/>
        <family val="2"/>
        <charset val="1"/>
      </rPr>
      <t>35mm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t>
    </r>
  </si>
  <si>
    <r>
      <t>all sides including cost and conveyance to site of teak  wood  frame, flush shutter including  supply and fixing 6 nos MS Z  hold fasts of size 300 mm x 40 mm x 5mm including cost of ISI marked  brass fixtures of 6 Nos butt hinges (IS:205) 150mm long ,  1 No. aldrop (IS:2681) 300mm long, 2 Nos tower bolts- 10mm  (IS:204) of 200 mm long at top, 1 No. tower bolt- 10mm bolt (IS:204) 150mm long at bottom, 2 Nos. 150mm long fancy handles (IS:208) , 2 Nos door stopper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2000mm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</si>
  <si>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 </t>
    </r>
    <r>
      <rPr>
        <sz val="10"/>
        <color theme="1"/>
        <rFont val="Arial"/>
        <family val="2"/>
        <charset val="1"/>
      </rPr>
      <t xml:space="preserve">frame of section 100mm x 65 mm with fixed fan light of 500mm at the top fixed with 4mm thick pin headed glass using 12mm x 12mm Teak Wood beading and 2 Nos. of 10mm MS Square bars and ISI marked flush door shutter of </t>
    </r>
    <r>
      <rPr>
        <b/>
        <sz val="10"/>
        <color theme="1"/>
        <rFont val="Arial"/>
        <family val="2"/>
        <charset val="1"/>
      </rPr>
      <t>35mm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</si>
  <si>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fixing 6 nos MS Z  hold fasts of size 300 mm x 40 mm x 5mm including cost of ISI marked  brass fixtures of 6 Nos butt hinges (IS:205) 150mm long , 1 No. aldrop (IS:2681) 300mm long, 2 Nos tower bolts- 10mm (IS:204) of 200 mm long at top, 1 No. tower bolt- 10mm bolt (IS:204) 150mm long at bottom, 2 Nos. 150mm long fancy handles (IS:208), 2 Nos door stopper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2000mm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</si>
  <si>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 </t>
    </r>
    <r>
      <rPr>
        <sz val="10"/>
        <color theme="1"/>
        <rFont val="Arial"/>
        <family val="2"/>
        <charset val="1"/>
      </rPr>
      <t>frame of section 100mm x 65 mm with</t>
    </r>
    <r>
      <rPr>
        <b/>
        <sz val="10"/>
        <color theme="1"/>
        <rFont val="Arial"/>
        <family val="2"/>
        <charset val="1"/>
      </rPr>
      <t xml:space="preserve"> fixed fan light </t>
    </r>
    <r>
      <rPr>
        <sz val="10"/>
        <color theme="1"/>
        <rFont val="Arial"/>
        <family val="2"/>
        <charset val="1"/>
      </rPr>
      <t xml:space="preserve">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t>
    </r>
  </si>
  <si>
    <r>
      <t>fixing 6 Nos. MS Z  hold fasts of size 300 mm x 40 mm x 5mm including cost of ISI marked Aluminium fixtures of 6 Nos. butt hinges (IS:205) 150mm long, 1 No. aldrop (IS:2681) 300mm long, 2 Nos. tower bolts - 10mm  (IS:204) of 200 mm long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(1800mm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</si>
  <si>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t>
    </r>
    <r>
      <rPr>
        <sz val="10"/>
        <color theme="1"/>
        <rFont val="Arial"/>
        <family val="2"/>
        <charset val="1"/>
      </rPr>
      <t xml:space="preserve"> frame of section 100mm x 65 mm with </t>
    </r>
    <r>
      <rPr>
        <b/>
        <sz val="10"/>
        <color theme="1"/>
        <rFont val="Arial"/>
        <family val="2"/>
        <charset val="1"/>
      </rPr>
      <t>split type fan light of 500mm at the top</t>
    </r>
    <r>
      <rPr>
        <sz val="10"/>
        <color theme="1"/>
        <rFont val="Arial"/>
        <family val="2"/>
        <charset val="1"/>
      </rPr>
      <t xml:space="preserve"> fixed with 4mm thick pin headed glass using 12mm x 12mm Teak Wood beading and 2 Nos. of 10mm MS Square bars and ISI marked flush door shutter of</t>
    </r>
    <r>
      <rPr>
        <b/>
        <sz val="10"/>
        <color theme="1"/>
        <rFont val="Arial"/>
        <family val="2"/>
        <charset val="1"/>
      </rPr>
      <t xml:space="preserve"> 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t>
    </r>
  </si>
  <si>
    <r>
      <t>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(1500mm x 2600mm) </t>
    </r>
  </si>
  <si>
    <r>
      <t xml:space="preserve">Supply and fixing of doors </t>
    </r>
    <r>
      <rPr>
        <sz val="10"/>
        <color theme="1"/>
        <rFont val="Arial"/>
        <family val="2"/>
        <charset val="1"/>
      </rPr>
      <t>as per approved drawings with</t>
    </r>
    <r>
      <rPr>
        <b/>
        <sz val="10"/>
        <color theme="1"/>
        <rFont val="Arial"/>
        <family val="2"/>
        <charset val="1"/>
      </rPr>
      <t xml:space="preserve"> medium teak wood</t>
    </r>
    <r>
      <rPr>
        <sz val="10"/>
        <color theme="1"/>
        <rFont val="Arial"/>
        <family val="2"/>
        <charset val="1"/>
      </rPr>
      <t xml:space="preserve"> frame of section 100mm x 65 mm with </t>
    </r>
    <r>
      <rPr>
        <b/>
        <sz val="10"/>
        <color theme="1"/>
        <rFont val="Arial"/>
        <family val="2"/>
        <charset val="1"/>
      </rPr>
      <t>split type fan light of 500mm at the top</t>
    </r>
    <r>
      <rPr>
        <sz val="10"/>
        <color theme="1"/>
        <rFont val="Arial"/>
        <family val="2"/>
        <charset val="1"/>
      </rPr>
      <t xml:space="preserve"> fixed with 4mm thick pin headed glass using 12mm x 12mm Teak Wood beading and 2 Nos. of 10mm MS Square bars and ISI marked flush door shutter of</t>
    </r>
    <r>
      <rPr>
        <b/>
        <sz val="10"/>
        <color theme="1"/>
        <rFont val="Arial"/>
        <family val="2"/>
        <charset val="1"/>
      </rPr>
      <t xml:space="preserve"> 30mm thick</t>
    </r>
    <r>
      <rPr>
        <sz val="10"/>
        <color theme="1"/>
        <rFont val="Arial"/>
        <family val="2"/>
        <charset val="1"/>
      </rPr>
      <t xml:space="preserve"> </t>
    </r>
    <r>
      <rPr>
        <b/>
        <sz val="10"/>
        <color theme="1"/>
        <rFont val="Arial"/>
        <family val="2"/>
        <charset val="1"/>
      </rPr>
      <t>double shutters</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t>
    </r>
  </si>
  <si>
    <r>
      <t xml:space="preserve">on 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(1500mm x 2400mm) </t>
    </r>
  </si>
  <si>
    <r>
      <t xml:space="preserve">on all sides, including cost and conveyance to site of teak  wood frame, flush shutter including  supply and fixing 6 Nos. MS Z hold fasts of size 300 mm x 40 mm x 5mm including cost of ISI marked Aluminium fixtures of 6 Nos. butt hinges (IS:205) 150mm long, 1 No. aldrop (IS:2681) 300mm long, 2 Nos. tower bolts (IS:204) of 200 mm x 10 mm dia at top,  2 Nos. 150mm long handles (IS:208), 2 Nos. door stoppers and 2 Nos. rubber bushes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(1200mm x 2600mm) </t>
    </r>
  </si>
  <si>
    <r>
      <t>Supply and fixing of</t>
    </r>
    <r>
      <rPr>
        <sz val="10"/>
        <color theme="1"/>
        <rFont val="Arial"/>
        <family val="2"/>
        <charset val="1"/>
      </rPr>
      <t xml:space="preserve"> </t>
    </r>
    <r>
      <rPr>
        <b/>
        <sz val="10"/>
        <color theme="1"/>
        <rFont val="Arial"/>
        <family val="2"/>
        <charset val="1"/>
      </rPr>
      <t>doors</t>
    </r>
    <r>
      <rPr>
        <sz val="10"/>
        <color theme="1"/>
        <rFont val="Arial"/>
        <family val="2"/>
        <charset val="1"/>
      </rPr>
      <t xml:space="preserve"> as per approved drawings with</t>
    </r>
    <r>
      <rPr>
        <b/>
        <sz val="10"/>
        <color theme="1"/>
        <rFont val="Arial"/>
        <family val="2"/>
        <charset val="1"/>
      </rPr>
      <t xml:space="preserve"> medium teak wood</t>
    </r>
    <r>
      <rPr>
        <sz val="10"/>
        <color theme="1"/>
        <rFont val="Arial"/>
        <family val="2"/>
        <charset val="1"/>
      </rPr>
      <t xml:space="preserve"> frame of section 100mm x 65 mm </t>
    </r>
    <r>
      <rPr>
        <b/>
        <sz val="10"/>
        <color theme="1"/>
        <rFont val="Arial"/>
        <family val="2"/>
        <charset val="1"/>
      </rPr>
      <t>with split type fan ligh</t>
    </r>
    <r>
      <rPr>
        <sz val="10"/>
        <color theme="1"/>
        <rFont val="Arial"/>
        <family val="2"/>
        <charset val="1"/>
      </rPr>
      <t xml:space="preserve">t 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t>
    </r>
  </si>
  <si>
    <r>
      <t xml:space="preserve">fixing 6 Nos. MS Z hold fasts of size 300 mm x 40 mm x 5mm including cost of ISI marked Aluminium fixtures of 3 Nos. butt hinges (IS:205) 150mm long,  1 No. aldrop (IS:2681) 300mm long, 1 No. tower bolt (IS:204) of 200 mm x 10 mm dia at top, 2 Nos. 150mm long handles (IS:208), 1 No. door stopper and 1 No. rubber bush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(1000mm x 2600mm). </t>
    </r>
  </si>
  <si>
    <r>
      <t>Supply and fixing of</t>
    </r>
    <r>
      <rPr>
        <sz val="10"/>
        <color theme="1"/>
        <rFont val="Arial"/>
        <family val="2"/>
        <charset val="1"/>
      </rPr>
      <t xml:space="preserve"> </t>
    </r>
    <r>
      <rPr>
        <b/>
        <sz val="10"/>
        <color theme="1"/>
        <rFont val="Arial"/>
        <family val="2"/>
        <charset val="1"/>
      </rPr>
      <t>doors</t>
    </r>
    <r>
      <rPr>
        <sz val="10"/>
        <color theme="1"/>
        <rFont val="Arial"/>
        <family val="2"/>
        <charset val="1"/>
      </rPr>
      <t xml:space="preserve"> as per approved drawings with</t>
    </r>
    <r>
      <rPr>
        <b/>
        <sz val="10"/>
        <color theme="1"/>
        <rFont val="Arial"/>
        <family val="2"/>
        <charset val="1"/>
      </rPr>
      <t xml:space="preserve"> medium teak wood</t>
    </r>
    <r>
      <rPr>
        <sz val="10"/>
        <color theme="1"/>
        <rFont val="Arial"/>
        <family val="2"/>
        <charset val="1"/>
      </rPr>
      <t xml:space="preserve"> frame of section 100mm x 65 mm </t>
    </r>
    <r>
      <rPr>
        <b/>
        <sz val="10"/>
        <color theme="1"/>
        <rFont val="Arial"/>
        <family val="2"/>
        <charset val="1"/>
      </rPr>
      <t>with split type fan ligh</t>
    </r>
    <r>
      <rPr>
        <sz val="10"/>
        <color theme="1"/>
        <rFont val="Arial"/>
        <family val="2"/>
        <charset val="1"/>
      </rPr>
      <t xml:space="preserve">t of 500mm at the top fixed with 4mm thick pin headed glass using 12mm x 12mm Teak Wood beading and 2 Nos. of 10mm MS Square bars and ISI marked flush door shutter of </t>
    </r>
    <r>
      <rPr>
        <b/>
        <sz val="10"/>
        <color theme="1"/>
        <rFont val="Arial"/>
        <family val="2"/>
        <charset val="1"/>
      </rPr>
      <t>30mm thick</t>
    </r>
    <r>
      <rPr>
        <sz val="10"/>
        <color theme="1"/>
        <rFont val="Arial"/>
        <family val="2"/>
        <charset val="1"/>
      </rPr>
      <t xml:space="preserve"> </t>
    </r>
    <r>
      <rPr>
        <b/>
        <sz val="10"/>
        <color theme="1"/>
        <rFont val="Arial"/>
        <family val="2"/>
        <charset val="1"/>
      </rPr>
      <t>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fixing 6 Nos. MS Z hold fasts of size 300 mm x 40 mm x 5mm including cost of ISI marked Aluminium </t>
    </r>
  </si>
  <si>
    <r>
      <t xml:space="preserve">fixtures of   3 Nos. butt hinges (IS:205) 150mm long , 1 No. aldrop (IS:2681) 300mm long, 1 No. tower bolt (IS:204) of 200 mm x 10 mm dia at top, 2 Nos. 150mm long handles (IS:208), 1 No. door stopper and 1 No. rubber bush including fixing the  fixtures to door with required number of screws, bolt and nuts including labour charges for fixing the frame in position, fixing the shutter to the frame, fixing glass in fan light portion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(900mm x 2600mm) </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</si>
  <si>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</si>
  <si>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 xml:space="preserve">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(2000mm x 2100mm)</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</si>
  <si>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t>
    </r>
  </si>
  <si>
    <r>
      <t>supply and fixing 6 Nos. MS Z hold fasts of size 300 mm x 40 mm x 5mm including cost of ISI marked Aluminium fixtures of 6 Nos. butt hinges (IS:205)150mm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(1800mm x 2100mm)</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</si>
  <si>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</si>
  <si>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 xml:space="preserve">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(1500mm x 2100mm) </t>
    </r>
  </si>
  <si>
    <r>
      <t xml:space="preserve">Supply and fixing doors </t>
    </r>
    <r>
      <rPr>
        <sz val="10"/>
        <color theme="1"/>
        <rFont val="Arial"/>
        <family val="2"/>
        <charset val="1"/>
      </rPr>
      <t xml:space="preserve">as per drawings with </t>
    </r>
    <r>
      <rPr>
        <b/>
        <sz val="10"/>
        <color theme="1"/>
        <rFont val="Arial"/>
        <family val="2"/>
        <charset val="1"/>
      </rPr>
      <t>medium teak wood</t>
    </r>
    <r>
      <rPr>
        <sz val="10"/>
        <color theme="1"/>
        <rFont val="Arial"/>
        <family val="2"/>
        <charset val="1"/>
      </rPr>
      <t xml:space="preserve"> frame of section 100mm x 65 mm and  ISI marked flush door shutters  of </t>
    </r>
    <r>
      <rPr>
        <b/>
        <sz val="10"/>
        <color theme="1"/>
        <rFont val="Arial"/>
        <family val="2"/>
        <charset val="1"/>
      </rPr>
      <t xml:space="preserve">30 mm thick double shutters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t>
    </r>
  </si>
  <si>
    <r>
      <t>shutter including  supply and fixing 6 Nos. MS Z hold fasts of size 300 mm x 40 mm x 5mm including cost of ISI marked Aluminium fixtures of 6 Nos. butt hinges (IS:205) 150mm long, 1 No. aldrop (IS:2681) 300mm long, 2 Nos. tower bolts (IS:204) of 200 mm x 10 mm dia at top, 2 Nos. 150 mm long handles (IS:208), 2 Nos. door stoppers and 2 Nos. rubber bushes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t>
    </r>
    <r>
      <rPr>
        <b/>
        <sz val="10"/>
        <color theme="1"/>
        <rFont val="Arial"/>
        <family val="2"/>
        <charset val="1"/>
      </rPr>
      <t xml:space="preserve"> (1200mm x 2100mm). </t>
    </r>
  </si>
  <si>
    <r>
      <t xml:space="preserve">Supply and fixing doors </t>
    </r>
    <r>
      <rPr>
        <sz val="10"/>
        <color theme="1"/>
        <rFont val="Arial"/>
        <family val="2"/>
        <charset val="1"/>
      </rPr>
      <t xml:space="preserve">as per drawings with </t>
    </r>
    <r>
      <rPr>
        <b/>
        <sz val="10"/>
        <color theme="1"/>
        <rFont val="Arial"/>
        <family val="2"/>
        <charset val="1"/>
      </rPr>
      <t xml:space="preserve">medium teak wood frame </t>
    </r>
    <r>
      <rPr>
        <sz val="10"/>
        <color theme="1"/>
        <rFont val="Arial"/>
        <family val="2"/>
        <charset val="1"/>
      </rPr>
      <t xml:space="preserve">of section 100mm x 65 mm and  ISI marked flush door shutters of </t>
    </r>
    <r>
      <rPr>
        <b/>
        <sz val="10"/>
        <color theme="1"/>
        <rFont val="Arial"/>
        <family val="2"/>
        <charset val="1"/>
      </rPr>
      <t xml:space="preserve">30 mm thick single shutter </t>
    </r>
    <r>
      <rPr>
        <sz val="10"/>
        <color theme="1"/>
        <rFont val="Arial"/>
        <family val="2"/>
        <charset val="1"/>
      </rPr>
      <t xml:space="preserve">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</si>
  <si>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 xml:space="preserve">fixing 6 Nos. MS Z hold fasts of size 300 mm x 40 mm x 5mm including cost of ISI marked Aluminium fixtures of 3 Nos. butt hinges (IS:205) 150mm long, 1 No. aldrop (IS:2681) 300mm long, 1 No. tower bolt (IS:204) of 200 mm x 10 mm dia at top, 2 Nos. 150 mm long handles (IS:208), 1 No. door stopper and 1 No. rubber bush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(1000mm x 2100mm) </t>
    </r>
  </si>
  <si>
    <r>
      <t xml:space="preserve">Supply and fixing doors </t>
    </r>
    <r>
      <rPr>
        <sz val="10"/>
        <color theme="1"/>
        <rFont val="Arial"/>
        <family val="2"/>
        <charset val="1"/>
      </rPr>
      <t xml:space="preserve">as per drawings with </t>
    </r>
    <r>
      <rPr>
        <b/>
        <sz val="10"/>
        <color theme="1"/>
        <rFont val="Arial"/>
        <family val="2"/>
        <charset val="1"/>
      </rPr>
      <t xml:space="preserve">medium teak wood frame </t>
    </r>
    <r>
      <rPr>
        <sz val="10"/>
        <color theme="1"/>
        <rFont val="Arial"/>
        <family val="2"/>
        <charset val="1"/>
      </rPr>
      <t xml:space="preserve">of section 100mm x 65 mm and  ISI marked flush door shutters of </t>
    </r>
    <r>
      <rPr>
        <b/>
        <sz val="10"/>
        <color theme="1"/>
        <rFont val="Arial"/>
        <family val="2"/>
        <charset val="1"/>
      </rPr>
      <t>30 mm thick 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teak  wood frame, flush shutter including  supply and </t>
    </r>
  </si>
  <si>
    <r>
      <t xml:space="preserve">fixing 6 Nos. MS Z hold fasts of size 300 mm x 40 mm x 5mm including cost of ISI marked Aluminium fixtures of 3 Nos. butt hinges (IS:205) 150mm long, 1 No. aldrop (IS:2681) 300mm long, 1 No. tower bolt (IS:204) of 200 mm x 10 mm dia at top, 2 Nos. 150 mm long handles (IS:208), 1 No. door stopper and 1 No. rubber bush  including fixing the  fixtures to door with required number of screws, bolt and nuts including labour charges for fixing the frame in position, fixing the shutter to the frame etc, including overheads &amp; contractors profit complete for finished item of work as per APSS 1001 &amp; 1002 (The vertical frame of door shall be embedded in flooring for a depth of not less than 10 mm) 
</t>
    </r>
    <r>
      <rPr>
        <b/>
        <sz val="10"/>
        <color theme="1"/>
        <rFont val="Arial"/>
        <family val="2"/>
        <charset val="1"/>
      </rPr>
      <t xml:space="preserve">(900mm x 2100mm). </t>
    </r>
  </si>
  <si>
    <r>
      <t>Supply and fixing doors</t>
    </r>
    <r>
      <rPr>
        <sz val="10"/>
        <color theme="1"/>
        <rFont val="Arial"/>
        <family val="2"/>
        <charset val="1"/>
      </rPr>
      <t xml:space="preserve"> as per drawings with</t>
    </r>
    <r>
      <rPr>
        <b/>
        <sz val="10"/>
        <color theme="1"/>
        <rFont val="Arial"/>
        <family val="2"/>
        <charset val="1"/>
      </rPr>
      <t xml:space="preserve"> medium teak wood</t>
    </r>
    <r>
      <rPr>
        <sz val="10"/>
        <color theme="1"/>
        <rFont val="Arial"/>
        <family val="2"/>
        <charset val="1"/>
      </rPr>
      <t xml:space="preserve"> frame of section 100mm x 65mm and ISI marked flush door shutter of </t>
    </r>
    <r>
      <rPr>
        <b/>
        <sz val="10"/>
        <color theme="1"/>
        <rFont val="Arial"/>
        <family val="2"/>
        <charset val="1"/>
      </rPr>
      <t>30mm thick single shutter</t>
    </r>
    <r>
      <rPr>
        <sz val="10"/>
        <color theme="1"/>
        <rFont val="Arial"/>
        <family val="2"/>
        <charset val="1"/>
      </rPr>
      <t xml:space="preserve"> with bond wood solid block board type  Core having cross bands and face veneers, hot pressed bonded with water proof phenol formaldehyde synthetic resin factory made conforming to IS 2202-1991 (Part-I) both sides commercial ply with internal lipping on all sides including cost and conveyance to site of medium teak wood door  frame, flush shutter, including suply and fixing 6 Nos. MS Z  hold fasts of size 300mm x 40mm x 5mm including ISI marked Aluminium fixtures 3 Nos. butt hinges (IS:205) of 150mm long, 1 No. aldrop (IS:2681) 250 mm long,  </t>
    </r>
  </si>
  <si>
    <r>
      <t xml:space="preserve">1 No. tower bolt (IS:204) of 150 mm x 10mm dia, 2 Nos. 125mm long handles (IS:208),1 No. rubber bush including supplying and fixing 1.20mm thick PVC sheet to full height of the shutter  inside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color theme="1"/>
        <rFont val="Arial"/>
        <family val="2"/>
        <charset val="1"/>
      </rPr>
      <t>(800mm x 2100mm).</t>
    </r>
  </si>
  <si>
    <r>
      <t xml:space="preserve">1 No. tower bolt (IS:204) of 150 mm x 10mm dia, 2 Nos. 125mm long handles (IS:208),1 No. rubber bush including supplying and fixing 1.20mm thick PVC sheet to full height of the shutter  inside including labour charges for fixing the frame in position, fixing the shutter to the frame etc., including overheads &amp; contractors profit complete for finished item of work as per APSS 1001 &amp; 1002. (The vertical frame of door shall be embedded in flooring  for deth of not less than 10mm) </t>
    </r>
    <r>
      <rPr>
        <b/>
        <sz val="10"/>
        <color theme="1"/>
        <rFont val="Arial"/>
        <family val="2"/>
        <charset val="1"/>
      </rPr>
      <t>(750mm x 2100mm).</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</si>
  <si>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mmm x 44.45mm , 3.18 mm thick for frame and door shutter made of styles , top and middle rail of 47.62mm  x 44.45mm , 3.18 mm thick and bottom rail of 114.30mm x 44.45 mm ,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as </t>
    </r>
  </si>
  <si>
    <r>
      <t xml:space="preserve">required , embedding in floors and SS cover plates with brass pivot and sigle piece MS Sheet outer box with slide plate etc.complete          (Weight Capacity up to 130 Kgs) as approved by Engineer-in-Charge  including supply and fixing  ISI marked  powder coated aluminium fixtures  of 4 Nos.tower bolts 10mm bolt (IS:204) 300mm long , 4 Nos.alluminium handles (IS:208) 150mm dia and 2  Nos. aldrops (IS:2681) 300mm long including labour charges for manufacturing door , fixing the door with required No. of screws  etc., including overheads &amp; contractors profit complete for finished  item of  work. (The Aluminium section used shall be standard make confirming to IS 1948 – 1961) and as approved  by the Engineer) </t>
    </r>
    <r>
      <rPr>
        <b/>
        <sz val="10"/>
        <color theme="1"/>
        <rFont val="Arial"/>
        <family val="2"/>
        <charset val="1"/>
      </rPr>
      <t xml:space="preserve">(2000mm x 2600mm). </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</si>
  <si>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mmm x 44.45mm , 3.18 mm thick for frame and door shutter made of styles , top and middle rail of 47.62mm  x 44.45mm , 3.18 mm thick and bottom rail of 114.30mm x 44.45 mm ,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as required, embedding in floors </t>
    </r>
  </si>
  <si>
    <r>
      <t xml:space="preserve">and SS cover plates with brass pivot and sigle piece MS Sheet outer box with slide plate etc.complete( Weight Capacity up to 130 Kgs )  as approved by Engineer-in-Charge  including supply and fixing  ISI marked  powder coated aluminium fixtures  of 4 Nos.tower bolts 10mm bolt (IS:204) 300mm long , 4 Nos.alluminium handles (IS:208) 150mm dia and 2  Nos. aldrops (IS:2681) 300mm long including labour charges for manufacturing door , fixing the door with required No. of screws  etc., including overheads &amp; contractors profit complete for finished  item of  work. (The Aluminium section used shall be standard make confirming to IS 1948 – 1961) and as approved  by the Engineer) </t>
    </r>
    <r>
      <rPr>
        <b/>
        <sz val="10"/>
        <color theme="1"/>
        <rFont val="Arial"/>
        <family val="2"/>
        <charset val="1"/>
      </rPr>
      <t xml:space="preserve">(1800mm x 2600mm). </t>
    </r>
  </si>
  <si>
    <r>
      <t>Supply and fixing</t>
    </r>
    <r>
      <rPr>
        <sz val="10"/>
        <color theme="1"/>
        <rFont val="Arial"/>
        <family val="2"/>
        <charset val="1"/>
      </rPr>
      <t xml:space="preserve">  </t>
    </r>
    <r>
      <rPr>
        <b/>
        <sz val="10"/>
        <color theme="1"/>
        <rFont val="Arial"/>
        <family val="2"/>
        <charset val="1"/>
      </rPr>
      <t>powder coated aluminium fully glazed swing door</t>
    </r>
    <r>
      <rPr>
        <sz val="10"/>
        <color theme="1"/>
        <rFont val="Arial"/>
        <family val="2"/>
        <charset val="1"/>
      </rPr>
      <t xml:space="preserve">  as per the approved drawing with fixed fan light of 500mm height at top  door using aluminium sections of 101.60 mm x 44.45mm, 3.18 mm thick for frame and door shutter made of styles, top and middle rail of 47.62mm  x 44.45mm, 3.18 mm thick and bottom rail of 114.30mm x 44.45 mm, 3.18mm thick,powder coating of alluminium sections 25mm microns thick, 5 mm thick plain float glass fitted with suitable aluminium glazing clips and rubber beading in fan light portion, </t>
    </r>
    <r>
      <rPr>
        <b/>
        <sz val="10"/>
        <color theme="1"/>
        <rFont val="Arial"/>
        <family val="2"/>
        <charset val="1"/>
      </rPr>
      <t>double shutters fitted with 5mm thick frosted / ground glass in the top half and 12mm thick prelaminated particle board</t>
    </r>
    <r>
      <rPr>
        <sz val="10"/>
        <color theme="1"/>
        <rFont val="Arial"/>
        <family val="2"/>
        <charset val="1"/>
      </rPr>
      <t xml:space="preserve"> </t>
    </r>
    <r>
      <rPr>
        <b/>
        <sz val="10"/>
        <color theme="1"/>
        <rFont val="Arial"/>
        <family val="2"/>
        <charset val="1"/>
      </rPr>
      <t xml:space="preserve">(One side choice colour and other side balancing white lamnation) in the bottom half </t>
    </r>
    <r>
      <rPr>
        <sz val="10"/>
        <color theme="1"/>
        <rFont val="Arial"/>
        <family val="2"/>
        <charset val="1"/>
      </rPr>
      <t xml:space="preserve"> fitted with suitable aluminium glazing clips and rubber beading,shutters mounted on double action hydraulic floor spring of approved brand manufacture IS : 6315 marked , Hardwyn make M-3000 for doors including cost of cutting floors </t>
    </r>
  </si>
  <si>
    <r>
      <t xml:space="preserve">as required, embedding in floors and SS cover plates with brass pivot and sigle piece MS Sheet outer box with slide plate etc.complete (Weight Capacity up to 130 Kgs)  as approved by Engineer-in-Charge  including supply and fixing  ISI marked  powder coated aluminium fixtures  of 4 Nos.tower bolts 10mm bolt (IS:204) 300mm long, 4 Nos. alluminium handles (IS:208) 150mm dia and 2  Nos. aldrops (IS:2681) 300mm long including labour charges for manufacturing door, fixing the door with required No. of screws  etc., including overheads &amp; contractors profit complete for finished  item of  work. (The Aluminium section used shall be standard make confirming to IS 1948–1961) and as approved  by the Engineer) </t>
    </r>
    <r>
      <rPr>
        <b/>
        <sz val="10"/>
        <color theme="1"/>
        <rFont val="Arial"/>
        <family val="2"/>
        <charset val="1"/>
      </rPr>
      <t>(1500mm x 2600mm).</t>
    </r>
  </si>
  <si>
    <r>
      <t>Providing &amp; Fixing of Scientific Doors with metal door frames and door shutters made of galvanize steel</t>
    </r>
    <r>
      <rPr>
        <sz val="10"/>
        <color theme="1"/>
        <rFont val="Arial"/>
        <family val="2"/>
        <charset val="1"/>
      </rPr>
      <t xml:space="preserve"> (base steel as per IS 513 of 0.58 mm thick D quality, galvanized as per IS 277 with Zinc of 120 GSM) coated with Zinc Phosphate Primer to receive any paint on site or finished with Thermosetting Polyurethane paint of Aliphatic Grade providing high levels of scratch resistance and durability/Epoxy polyester powder for powder coating paint thickness 50-60 microns (Dry film thickness) outer frame section of 100 x 58 mm x 1.2 mm thick, shutter section of 0.80 mm thick galvanized steel sheet pressed (roll formed) for 46mm thick fully flush, double skin door shell seam joints at stile edges, in-fill of honeycomb kraft paper used to give the required rigidity and effective acoustic insulation with 6” Tower bolt – 1 No., 6” D handles – 2 Nos., 10” Aldrop – 1 No., Butt Hinges – 3 Nos, Mortise Lock of approved quality – 1 No, frames fixed to the concrete/masonry wall by means of self expanding screws including overheads and contractor profit etc.,complete for finished item of work</t>
    </r>
    <r>
      <rPr>
        <b/>
        <sz val="10"/>
        <color theme="1"/>
        <rFont val="Arial"/>
        <family val="2"/>
        <charset val="1"/>
      </rPr>
      <t xml:space="preserve"> for Single leaf Door.
</t>
    </r>
  </si>
  <si>
    <r>
      <t xml:space="preserve">Providing &amp; Fixing of Scientific Doors with metal door frames and door shutters made of galvanize steel  </t>
    </r>
    <r>
      <rPr>
        <sz val="10"/>
        <color theme="1"/>
        <rFont val="Arial"/>
        <family val="2"/>
        <charset val="1"/>
      </rPr>
      <t xml:space="preserve">(base steel as per IS 513 of 0.58 mm thick D quality, galvanized as per IS 277 with Zinc of 120 GSM) coated with Zinc Phosphate Primer to receive any paint on site or finished with Thermosetting Polyurethane paint of Aliphatic Grade providing high levels of scratch resistance and durability/Epoxy polyester powder for powder coating paint thickness 50-60 microns (Dry film thickness) outer frame section of 100 x 58 mm x 1.2 mm thick, shutter section of 0.80 mm thick galvanized steel sheet pressed (roll formed) for 46mm thick fully flush, double skin door shell seam joints at stile edges, in-fill of honeycomb kraft paper used to give the required rigidity and effective acoustic insulation with 6” Tower bolt – 2 Nos., 6” D handles – 2 Nos., 10” Aldrop – 1 No., Butt Hinges – 6 Nos, Mortise Lock ofapproved quality – 1 No, frames fixed to the concrete/masonry wall by means of self expanding screws including overheads and contractor profit etc., complete for finished item of work </t>
    </r>
    <r>
      <rPr>
        <b/>
        <sz val="10"/>
        <color theme="1"/>
        <rFont val="Arial"/>
        <family val="2"/>
        <charset val="1"/>
      </rPr>
      <t xml:space="preserve">for Double leaf Door
</t>
    </r>
  </si>
  <si>
    <r>
      <t>Supplying and fixing of Unplasticised Poly Vinyl Chloride (UPVC) sliding doors three track</t>
    </r>
    <r>
      <rPr>
        <sz val="10"/>
        <color theme="1"/>
        <rFont val="Arial"/>
        <family val="2"/>
        <charset val="1"/>
      </rPr>
      <t xml:space="preserve"> - two glass shutters sliding and one mesh shutter sliding- 95 -Series duly manufactured using UPVC reinforced profiles of (108 mm x 45 mm)/(95.50 mm x 60 mm) x 2.0 mm for outer frames, (75 mm x 39 mm)/(66 mm x 42 mm) x 2.0 mm for sliding door shutter frames capable of mounting single glazing system, structurally reinforced with hot dip galvanized up to 50 microns of minimum thickness of 1.2 mm prefabricated &amp; welded through fusion welding the window sash shall be fitted with 5 mm thick clear float glass of reputed make and mesh shutter shall be made of (48.5 mm x 30 mm))/(50 mm x 26.5 mm) x 2.0 mm UPVC profile section and fitted with nylon/polymer mesh and rollers/pulley duly fixed with TPV Gaskets/ EPDM weathering seal resistant accessories like clipping locking system made of aluminium 1 No., per set of sashes and the system is to be installed at the site using anchor fasteners, silicon rubber sealant, easy glazing/ deglazing at site etc., including cost and conveyance of all materials, accessories, labour charges for transportation, erection at site with templates for casement sizing, overheads and contractors profit etc., complete for finished item of work</t>
    </r>
  </si>
  <si>
    <r>
      <t xml:space="preserve">Supplying and fixing of Unplasticised Poly Vinyl Chloride (UPVC) openable doors with openable shutters </t>
    </r>
    <r>
      <rPr>
        <sz val="10"/>
        <color theme="1"/>
        <rFont val="Arial"/>
        <family val="2"/>
        <charset val="1"/>
      </rPr>
      <t xml:space="preserve">duly manufactured using UPVC reinforced profiles (Composition of profile shall consists a minimum of 5.5 PHR of TiO2 and not more than 12PHR of CaCo3 for every 100 parts of PVC resin) of 60mm x 55 mm x 2.40 mm for outer frames, 74 mm x 60mm x 2.40 mm for mullion sections as per the need and 102 mm x 60 mm x 2.40 mm for openable shutter frame capable of mounting single glazing system structurally reinforced with hot dip galvanized up to 50 microns of minimum thickness of 1.2 mm prefabricated &amp; welded through fusion welding the door sash shall be fitted with 6 mm thick clear float glass of reputed make duly fixed with Grey colour TPV Gaskets for sash &amp; Glazing bead shall be coextruded with Grey colour soft PVC.System shall be provided with 4 no’s of 3D Hinges for each shutter and multipoint locking with keys.with raiser wedges for smooth operation and the system is to be installed at the site using anchor fasteners, silicon rubber sealant, easy glazing/ deglazing at site etc., including cost and conveyance of all materials, accessories, labour charges for transportation, erection at site including overheads and contractors profit etc., complete for finished item of work
 </t>
    </r>
  </si>
  <si>
    <r>
      <t xml:space="preserve">Providing &amp; Fixing of Open able Windows with Flymesh made of pre-painted steel </t>
    </r>
    <r>
      <rPr>
        <sz val="10"/>
        <color theme="1"/>
        <rFont val="Arial"/>
        <family val="2"/>
        <charset val="1"/>
      </rPr>
      <t>as per IS 513 of 0.58mm thick galvanized as per IS 277 finish painted with a polyester paint and the section for outer frame of 72 x 55mm, centre mullion of 72 x 50mm, section for fixed glass beading section of 12 x 12 mm and section for shutters of 48 x 25 mm and outer frame &amp; mullion sections with rebate for glazed shutters, fly mesh and a 20 mm provision for guard bars/grills and fly mesh shutter section of 20 x 40 mm, stay, handles, latch 2Nos of heavy duty stainless steel pivot hinges per shutter and panelled with 4mm thick pin headed glass and S.S. Mesh for fly mesh shutter (304 grade), fitted using rubber gaskets including fixing the windows in the concrete/masonry wall by means of self expanding screws, including 10mm Square guard bars with 6” (152.4mm) pitch , complete including overheads and contractor profit etc., complete for finished item of work.</t>
    </r>
  </si>
  <si>
    <r>
      <t xml:space="preserve">Supply and fixing of pre-painted steel casement/openable windows </t>
    </r>
    <r>
      <rPr>
        <sz val="10"/>
        <color theme="1"/>
        <rFont val="Arial"/>
        <family val="2"/>
        <charset val="1"/>
      </rPr>
      <t xml:space="preserve">base steel as per IS 513 of - 0.58mm thick 'D quality, galvanized as per IS 277, finish painted with a polyester paint, section for outer frame of 46 x 52 mm section for shutter of 46 x 46mm section for mullion 46 x 70 mm, and section for  beading 18 x 25 mm panelled with 5 mm thick plain float glass fitted with EPDM gaskets, handle made of high grade aluminium powder coated frames fixed to the concrete /masonry wall by means of self expanding screws including 10 mm square guard bars @ 150 mm pitch including overheads &amp;  contractors profit etc., complete for finished item of work.   </t>
    </r>
  </si>
  <si>
    <r>
      <t xml:space="preserve">Supply and fixing of pre-painted steel top hung ventilators </t>
    </r>
    <r>
      <rPr>
        <sz val="10"/>
        <color theme="1"/>
        <rFont val="Arial"/>
        <family val="2"/>
        <charset val="1"/>
      </rPr>
      <t>made of pre-painted steel as per IS 513 of-0.58 mm thick 'D quality, galvanized as per IS 277, finish painted with a polyester paint &amp; 4 mm pinhead glass for ventilators with EPDM Gasket with handle made of high grade aluminium powder coated and nylon receiver, corner brackets made of CRCA with Zinc Phosphate, Mullion caps made of glass filled nylon, frames fixed to the concrete /masonry wall by means of self expanding screws including 10 mm square guard bars with 6 pitch complete for finished item of work including overheads &amp;  contractors profit etc., complete for finished item of work</t>
    </r>
  </si>
  <si>
    <r>
      <t xml:space="preserve">Top Hung </t>
    </r>
    <r>
      <rPr>
        <sz val="10"/>
        <color theme="1"/>
        <rFont val="Arial"/>
        <family val="2"/>
        <charset val="1"/>
      </rPr>
      <t>2 '-0 x 2'-0 (609.6x609.6mm) outer frame section size of 46mm x 52 mm shutter frame section size of 46mm x 46 mm and (ii) Ventilators: Top Hung 4 '-0 x 2'-0 (1219.2x609.6mm) outer frame section size of 46 x 52 m shutter frame section size of 46 x 46 mm Mullion section size of 46 x 70 mm and (iii) Ventilators: Top Hung 4 '-0 x 3'-0 (1219.2x914.4mm) outer frame section size of 46 x 52m m shutter frame section size of 46 x 46 mm Mullion section size of 46 x 70 mm</t>
    </r>
  </si>
  <si>
    <r>
      <t xml:space="preserve">Rate as per SoR                                 </t>
    </r>
    <r>
      <rPr>
        <sz val="10"/>
        <color theme="1"/>
        <rFont val="Arial"/>
        <family val="2"/>
        <charset val="1"/>
      </rPr>
      <t xml:space="preserve"> TBSC-M.III-01</t>
    </r>
  </si>
  <si>
    <r>
      <t xml:space="preserve">Fixed louvers </t>
    </r>
    <r>
      <rPr>
        <sz val="10"/>
        <color theme="1"/>
        <rFont val="Arial"/>
        <family val="2"/>
        <charset val="1"/>
      </rPr>
      <t>2'-0 x 2'-0 (609.6 x 609.6mm) (Box section) outer frame section size of 33 x 56 mm and (ii) Ventilators: Fixed louvers 4'-0 x 2'-0 (1219.2 x 609.6 mm) (Box section) outer frame section size of 33 x 56 mm Mullion section size of 33 x 56 mm and (iii) Ventilators: Fixed louvers 4'-0 x 3'-0 (1219.2 x 914.4 mm) (Box section) outer frame section size of 33 x 56 mm Mullion section size of 33 x 56 mm</t>
    </r>
  </si>
  <si>
    <r>
      <t xml:space="preserve">Rate as per SoR                           </t>
    </r>
    <r>
      <rPr>
        <sz val="10"/>
        <color theme="1"/>
        <rFont val="Arial"/>
        <family val="2"/>
        <charset val="1"/>
      </rPr>
      <t xml:space="preserve"> TBSC-M.III-02</t>
    </r>
  </si>
  <si>
    <r>
      <t xml:space="preserve">SSupplying and fixing of Unplasticised Poly Vinyl Chloride (UPVC) 2 Track–2 Panel Sliding windows  </t>
    </r>
    <r>
      <rPr>
        <sz val="10"/>
        <color theme="1"/>
        <rFont val="Arial"/>
        <family val="2"/>
        <charset val="1"/>
      </rPr>
      <t>duly manufactured using UPVC reinforced profiles (Composition of profile shall consists a minimum of 5.5 PHR of TiO2 and not more than 12 PHR of CaCo3 for every 100 parts of PVC resin) of (62mm x 60 mm)/(60 mm x 45 mm) x 2.20 mm for outer frames, (66 mm x 38 mm)/(58 mm x 39 mm) x 2.20 mm for sliding shutter frames capable of mounting single glazing system, structurally reinforced with hot dip galvanized up to 50 microns of minimum thickness of 1.0/1.2 mm prefabricated &amp; welded through fusion welding. The window sash shall be fitted with 5 mm thick clear float glass of reputed make duly fixed with Grey colour TPV Gasket for sash &amp; Glazing bead shall be co-extruded with Grey colour soft PVC. System shall have single point locking with Touch Lock and the system is to be installed at the site using anchor fasteners, silicon rubber sealant, easy glazing/ deglazing at site etc., including cost and conveyance of all materials, accessories, labour charges for transportation, erection at site including overheads and contractors profit etc., complete for finished item of work.</t>
    </r>
  </si>
  <si>
    <r>
      <t xml:space="preserve">Supplying and fixing of Unplasticised Poly Vinyl Chloride (UPVC) casement windows openable shutters </t>
    </r>
    <r>
      <rPr>
        <sz val="10"/>
        <color theme="1"/>
        <rFont val="Arial"/>
        <family val="2"/>
        <charset val="1"/>
      </rPr>
      <t>duly manufactured using UPVC reinforced profiles (Composition of profile shall consists aminimum of 5.5 PHR of TiO2 and not more than 12PHR of CaCo3 for every 100 parts of PVC resin) of 60mm x 55 mm x 2.40 mm for outer frames, 74 mm x 60mm x 2.40 mm for mullion sections for two or more openable shutters 75 mm x 60 mm x 2.40 mm for openable shutter frame capable of mounting single glazing system structurally reinforced with hot dip galvanized up to 50 microns of minimum thickness of 1.0/1.2 mm prefabricated &amp; welded through fusion welding. The window sash shall be fitted with 5 mm thick clear float glass of reputed make duly fixed with Grey colour TPV Gasket for sash &amp; Glazing bead shall be co-extruded with Grey colour soft PVC and accessories for casement window – friction hinges of stainless steel grade 304/430- 2 Nos., per sash, handle with zamak alloy casting 1 No. per sash, multipoint locking system suitably concealed 1 No., per sash provided with raiser wedges for smooth operation and the system is to be installed at the site using anchor fasteners, silicon rubber sealant, easy glazing/ deglazing at site etc., including cost and conveyance of all materials, accessories, labour charges for transportation, erection at site including  overheads and contractor profit etc., complete for finished item of work</t>
    </r>
  </si>
  <si>
    <r>
      <t xml:space="preserve">Providing, supplying &amp; fixing of Fixed Louvered Ventilator made out of multi chambered uPVC sections </t>
    </r>
    <r>
      <rPr>
        <sz val="10"/>
        <color theme="1"/>
        <rFont val="Arial"/>
        <family val="2"/>
        <charset val="1"/>
      </rPr>
      <t>with Glazing bead shall be co-extruded with Grey colour soft PVC. having isolated drainage and reinforced with Galvanized Iron profiles throughout the window. The outer frame having an overall size of 60 mm x 55 mm x 2.40 with reinforcement of 1 mm thickness and Mullion with overall size of 74 mm x 60 mm x 2.40 mm with reinforcement of 1 mm thickness. (Composition of profile shall consists a minimum of 5.5 PHR of TiO2 and not more than 12 PHR of CaCo3 for every 100 parts of PVC resin). Ventilator shall be provided with 4.5 mm Pin Head glass, standard hardware. Wall thickness of frame &amp; Mullion shall be 2.4 mm., including cost and conveyance of all materials, accessories, labour charges for transportation, erection at site including</t>
    </r>
    <r>
      <rPr>
        <b/>
        <sz val="10"/>
        <color theme="1"/>
        <rFont val="Arial"/>
        <family val="2"/>
        <charset val="1"/>
      </rPr>
      <t xml:space="preserve"> </t>
    </r>
    <r>
      <rPr>
        <sz val="10"/>
        <color theme="1"/>
        <rFont val="Arial"/>
        <family val="2"/>
        <charset val="1"/>
      </rPr>
      <t>overheads and contractor profit etc., complete for finished item of work</t>
    </r>
  </si>
  <si>
    <r>
      <t xml:space="preserve">Providing, supplying &amp; fixing of Top hung Ventilator with Exhaust Fan provision </t>
    </r>
    <r>
      <rPr>
        <sz val="10"/>
        <color theme="1"/>
        <rFont val="Arial"/>
        <family val="2"/>
        <charset val="1"/>
      </rPr>
      <t>made out of multi chambered uPVC sections with TPV Gasket for sash &amp; Glazing bead shall be co-extruded with Grey colour soft PVC and reinforced with Galvanized Iron profiles throughout the window. The outer frame having a overall size of 60mm x 55 mm x 2.40 mm with reinforcement of 1 mm thickness, Mullion with overall size of 74 mm x 60 mm x 2.40 mm with reinforcement of 1 mm thickness and Sash with overall size of 75 mm x 60 mm x 2.40 mm with reinforcement of 1.0/1.2 mm thickness. (Composition of profile shall consists a minimum of 5.5 PHR of TiO2 and not more than 12 PHR of CaCo3 for every 100 parts of PVC resin).Glazing bead for fixing of glass shall be of size 34 x 20 mm coextruded with soft PVC gasket. Ventilator shall be provided with 4.5 mm Pin Head glass, standard hardware, single point locking using cockspur handle and friction stays. Wall thickness of frame, mullion and sash shall be 2.4mm.,including cost and conveyance of all materials,accessories, labour charges for transportation, erection at site including overheads and contractor profit etc., complete for finished item of work</t>
    </r>
  </si>
  <si>
    <r>
      <t>Supplying and fixing of 7.5mm thick Aluminium Grill (as approved by the department) 3.58 Kg/Sqm</t>
    </r>
    <r>
      <rPr>
        <sz val="10"/>
        <color theme="1"/>
        <rFont val="Arial"/>
        <family val="2"/>
        <charset val="1"/>
      </rPr>
      <t xml:space="preserve"> including cost and conveyance of all materials, accessories, labour charges for transportation, erection at site, overheads and contractor profit etc., complete for finished item of work</t>
    </r>
  </si>
  <si>
    <r>
      <t xml:space="preserve">Providing and Fixing Pre painted Steel Sliding Window 2 Track-2 Panel Sliding Window </t>
    </r>
    <r>
      <rPr>
        <sz val="10"/>
        <color theme="1"/>
        <rFont val="Arial"/>
        <family val="2"/>
        <charset val="1"/>
      </rPr>
      <t xml:space="preserve">fabricated from Roll formed sections made of galvanized Steel colour coated/powder coated (Base Steel as per IS 513 ‘D’ quality, galvanized as per IS 277 with zinc of 120 GM/Sq.mtr) with total coated thickness of 0.58mm. Primer coat with epoxy primer of 5-7microns thick, finish painted with a polyester paint of 12-16 microns thick and back coated with Alkydbacker of 5-7 microns or powder coated with purepolyester powder up to 50-60 microns thick. Sectionfor external frame should be of 59x44mm, Section for shutter should be of 35x50mm. The windows should be paneled with 5mm thick plain float glass. Corner bracket for internal and external frame made of glass filled nylon. Gaskets are to be made of EthylPropylene Diamine Monomer (EPDM).The sections are to be cut to length, joined and assembled by means of corner bracket. The above frames should be fixed to the concrete/masonry walls by means of self expanding brackets &amp; screws including 10mm square guard bars with 6” pitch (152.4mm) including overheads &amp;  contractors profit etc., complete finished item of work.      </t>
    </r>
  </si>
  <si>
    <r>
      <t>Supply and fixing</t>
    </r>
    <r>
      <rPr>
        <sz val="10"/>
        <color theme="1"/>
        <rFont val="Arial"/>
        <family val="2"/>
        <charset val="1"/>
      </rPr>
      <t xml:space="preserve"> </t>
    </r>
    <r>
      <rPr>
        <b/>
        <sz val="10"/>
        <color theme="1"/>
        <rFont val="Arial"/>
        <family val="2"/>
        <charset val="1"/>
      </rPr>
      <t>powder coated alimunium fully</t>
    </r>
    <r>
      <rPr>
        <sz val="10"/>
        <color theme="1"/>
        <rFont val="Arial"/>
        <family val="2"/>
        <charset val="1"/>
      </rPr>
      <t xml:space="preserve"> </t>
    </r>
    <r>
      <rPr>
        <b/>
        <sz val="10"/>
        <color theme="1"/>
        <rFont val="Arial"/>
        <family val="2"/>
        <charset val="1"/>
      </rPr>
      <t>glazed 2 shutter windows with fixed panel in between openable shutters</t>
    </r>
    <r>
      <rPr>
        <sz val="10"/>
        <color theme="1"/>
        <rFont val="Arial"/>
        <family val="2"/>
        <charset val="1"/>
      </rPr>
      <t xml:space="preserve"> as per approved drawings using anodized aluminium sections of 38.50mm x 33mm , 3mm thick for outer frame,  59mm(3mm) x 33mm(2.5mm) x 30mm(3mm) for  mullions and 38.5mm x 33mm , 3mm thick for shutter frame , powder coating of alluminium sections 25mm microns thick and fixing   5 mm thick plain glass fitted with suitable aluminium galzing clips and rubber beading including supplying and fixing powder coated aluminium adjustable frictional stay hinges (2 Nos. per shutter), handle with lock (1 No. per shutter) including cost and conveyance to site of powder coated aluminium sections,  glass, rubber beading, fixtures etc., including labour charges for manufacturing window, fixing in position using wooden blocks and sheet metal screws, etc., complete for finished item of work in all floors. (The aluminium sections used shall be standard make confirming to IS 1948-1961 and as approved by the Engineer and fixtures shall be of ISI marked) </t>
    </r>
    <r>
      <rPr>
        <b/>
        <sz val="10"/>
        <color theme="1"/>
        <rFont val="Arial"/>
        <family val="2"/>
        <charset val="1"/>
      </rPr>
      <t>(1800mm x 1300mm).</t>
    </r>
  </si>
  <si>
    <r>
      <t>Supply and fixing</t>
    </r>
    <r>
      <rPr>
        <sz val="10"/>
        <color theme="1"/>
        <rFont val="Arial"/>
        <family val="2"/>
        <charset val="1"/>
      </rPr>
      <t xml:space="preserve"> </t>
    </r>
    <r>
      <rPr>
        <b/>
        <sz val="10"/>
        <color theme="1"/>
        <rFont val="Arial"/>
        <family val="2"/>
        <charset val="1"/>
      </rPr>
      <t>powder coated alimunium fully</t>
    </r>
    <r>
      <rPr>
        <sz val="10"/>
        <color theme="1"/>
        <rFont val="Arial"/>
        <family val="2"/>
        <charset val="1"/>
      </rPr>
      <t xml:space="preserve"> </t>
    </r>
    <r>
      <rPr>
        <b/>
        <sz val="10"/>
        <color theme="1"/>
        <rFont val="Arial"/>
        <family val="2"/>
        <charset val="1"/>
      </rPr>
      <t xml:space="preserve">glazed top hung ventilators </t>
    </r>
    <r>
      <rPr>
        <sz val="10"/>
        <color theme="1"/>
        <rFont val="Arial"/>
        <family val="2"/>
        <charset val="1"/>
      </rPr>
      <t>fixed with 5mm thick plain glass using suitable alluminium glazing clips and rubber beading as per approved drawings using anodized aluminium sections of 38.50mm x 33mm , 3mm thick for outer frame,  59mm (3mm) x 33mm(2.5mm) x 30mm(3mm) for  mullions shutters z section of 38.50mmx33mm,3mm thick,powder coating of all alluminium sections 25mm microns thick, including cost and conveyance to site of powder coated aluminium sections,  glass, rubber beading, fixtures etc., including labour charges for manufacturing window, fixing in position using wooden blocks and sheet metal screws, etc., complete for finished item of work.  (The aluminium sections used shall be standard make confirming to IS 1948-1961 and as approved by the Engineer and fixtures shall be of ISI marked)</t>
    </r>
    <r>
      <rPr>
        <b/>
        <sz val="10"/>
        <color theme="1"/>
        <rFont val="Arial"/>
        <family val="2"/>
        <charset val="1"/>
      </rPr>
      <t xml:space="preserve"> 
(900mm x 500mm). </t>
    </r>
  </si>
  <si>
    <r>
      <t>Supply and fixing</t>
    </r>
    <r>
      <rPr>
        <sz val="10"/>
        <color theme="1"/>
        <rFont val="Arial"/>
        <family val="2"/>
        <charset val="1"/>
      </rPr>
      <t xml:space="preserve">  </t>
    </r>
    <r>
      <rPr>
        <b/>
        <sz val="10"/>
        <color theme="1"/>
        <rFont val="Arial"/>
        <family val="2"/>
        <charset val="1"/>
      </rPr>
      <t xml:space="preserve">powder coated alimunium sliding window </t>
    </r>
    <r>
      <rPr>
        <sz val="10"/>
        <color theme="1"/>
        <rFont val="Arial"/>
        <family val="2"/>
        <charset val="1"/>
      </rPr>
      <t xml:space="preserve"> with fixed fan light at top as per approved drawings with all required accessories such as stoppers,bolts,weather stripping etc. for all sizes and sections in accordance with approved drawings and as per IS 1948-1961 with top section of window of size 62mm x 32mm ,1.47mm thick, window side  frames of size 61.85mm x 31.75mm,1.50mm thick and bottom frame size 61.85mm x 31.75mm,1.50mm thick sloping outwards for drainage and fixed and sliding shutters with bottom,sides and top with section of 40mm x 18mm ,1.70mm thick,inter locking section 40mm x 28mm x 18mm,1.60mm thick inter locked for weather scaling and mounted on nylon rollers of lift type  and fan light top &amp;side</t>
    </r>
  </si>
  <si>
    <r>
      <t xml:space="preserve">ections of size 63.50mmx38.10mm,1.53mm thick, powder coating of all alluminium sections 25mm microns thick and fixing 5mm thick plain glass  in fan light and for shutters fitted with  alluminium glazing clips and rubber beading including cost and conveyance to site of powder coated aluminium sections,  glass, rubber beading, fixtures etc., including labour  charges for manufacturing window, fixing in position using wooden blocks and sheet metal screws, overheads &amp; contractors profit etc., complete for finished item of work.  (The aluminium sections used shall be standard make confirming to IS 1948-1961 and as approved by the Engineer and fixtures shall be of ISI marked)  </t>
    </r>
    <r>
      <rPr>
        <b/>
        <sz val="10"/>
        <color theme="1"/>
        <rFont val="Arial"/>
        <family val="2"/>
        <charset val="1"/>
      </rPr>
      <t>(1800mm x 1800mm).</t>
    </r>
  </si>
  <si>
    <r>
      <t>Supply and fixing</t>
    </r>
    <r>
      <rPr>
        <sz val="10"/>
        <color theme="1"/>
        <rFont val="Arial"/>
        <family val="2"/>
        <charset val="1"/>
      </rPr>
      <t xml:space="preserve"> </t>
    </r>
    <r>
      <rPr>
        <b/>
        <sz val="10"/>
        <color theme="1"/>
        <rFont val="Arial"/>
        <family val="2"/>
        <charset val="1"/>
      </rPr>
      <t xml:space="preserve">powder coated alimunium sliding window </t>
    </r>
    <r>
      <rPr>
        <sz val="10"/>
        <color theme="1"/>
        <rFont val="Arial"/>
        <family val="2"/>
        <charset val="1"/>
      </rPr>
      <t xml:space="preserve"> with fixed fan light at top as per approved drawings with all required accessories such as stoppers,bolts,weather stripping etc. for all sizes and sections in accordance with approved drawings and as per IS 1948-1961 with top section of window of size 62mm x 32mm ,1.47mm thick, window side  frames of size 61.85mm x 31.75mm,1.50mm thick and bottom frame size 61.85mm x 31.75mm,1.50mm thick sloping outwards for drainage and fixed and sliding shutters with bottom,sides and top with section of 40mm x 18mm ,1.70mm thick,inter locking section 40mm x 28mm x 18mm,1.60mm thick inter locked for weather scaling and mounted on nylon rollers of lift type and fan light top &amp;side sections of size 63.50mmx38.10mm,1.53mm thick, powder coating of all alluminium sections 25mm microns thick </t>
    </r>
  </si>
  <si>
    <r>
      <t xml:space="preserve">and fixing 5mm thick plain glass in fan light and 5mm thick ground glass for shutters fitted with alluminium glazing clips and rubber beading, powder coating of all alluminium sections 25mm microns thick including cost and conveyance to site of powder coated aluminium sections,  glass, rubber beading , fixtures etc., including labour charges for manufacturing window, fixing in position using wooden blocks and sheet metal screws, overheads &amp; contractors profit etc., complete for finished item of work.  (The aluminium sections used shall be standard make confirming to IS 1948-1961 and as approved by the Engineer and fixtures shall be of ISI marked) 
</t>
    </r>
    <r>
      <rPr>
        <b/>
        <sz val="10"/>
        <color theme="1"/>
        <rFont val="Arial"/>
        <family val="2"/>
        <charset val="1"/>
      </rPr>
      <t>(1200mm x 1800mm)</t>
    </r>
  </si>
  <si>
    <r>
      <t xml:space="preserve">Supply and fixing of Cement Bonded Prelaminated Particle Board aluminum glazed partitions </t>
    </r>
    <r>
      <rPr>
        <sz val="10"/>
        <color theme="1"/>
        <rFont val="Arial"/>
        <family val="2"/>
        <charset val="1"/>
      </rPr>
      <t>using 10mm Cement Bonded Prelaminated Particle Board and 5.00mm thick plain glass to full height. Using with Cement Bonded Prelaminated Particle Board to a height of 0.91 meter at bottom panel and remaining height with glass and aluminum sections anodized to 12 to 15 microns and of sections of size 37mm x 62mm and 1.5mm thickness with one meter centre to centre duly fixed with clip beading on both sides including fixing the frame to pillars by M.S. flats, bolts and nuts including cost and conveyance of all materials etc., complete as directed during execution  including overheads &amp; contractors profit etc., complete for finished item of work</t>
    </r>
  </si>
  <si>
    <t>Cost of medium teak wood frame  TBSC-D.I-01</t>
  </si>
  <si>
    <t>Teak wood beading 18mm x 12mm Non SSR items</t>
  </si>
  <si>
    <t>Cupboard locks       Non SSR items</t>
  </si>
  <si>
    <r>
      <t>Supplying and fixing of SWR PVC pipes</t>
    </r>
    <r>
      <rPr>
        <sz val="11"/>
        <color theme="1"/>
        <rFont val="Cambria"/>
        <family val="2"/>
        <charset val="1"/>
      </rPr>
      <t xml:space="preserve">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overheads &amp; contractors profit complete for finished item of work at all floor levels. (APSS No. 1302  1319 &amp; 1326)</t>
    </r>
  </si>
  <si>
    <r>
      <t xml:space="preserve">Cost of 75mm dia pipe         </t>
    </r>
    <r>
      <rPr>
        <sz val="10"/>
        <color theme="1"/>
        <rFont val="Cambria"/>
        <family val="2"/>
        <charset val="1"/>
      </rPr>
      <t xml:space="preserve"> </t>
    </r>
    <r>
      <rPr>
        <sz val="9"/>
        <color theme="1"/>
        <rFont val="Cambria"/>
        <family val="2"/>
        <charset val="1"/>
      </rPr>
      <t>TBSP-H.I-01</t>
    </r>
  </si>
  <si>
    <r>
      <t xml:space="preserve">Cost of PVC clamps  </t>
    </r>
    <r>
      <rPr>
        <sz val="9"/>
        <color theme="1"/>
        <rFont val="Cambria"/>
        <family val="2"/>
        <charset val="1"/>
      </rPr>
      <t xml:space="preserve">                   TBSP-H.II-59</t>
    </r>
  </si>
  <si>
    <r>
      <t xml:space="preserve">Labour charges                       </t>
    </r>
    <r>
      <rPr>
        <sz val="9"/>
        <color theme="1"/>
        <rFont val="Cambria"/>
        <family val="2"/>
        <charset val="1"/>
      </rPr>
      <t>TBSP-H.IV-01</t>
    </r>
  </si>
  <si>
    <r>
      <t>Cost of 90mm dia pipe</t>
    </r>
    <r>
      <rPr>
        <sz val="9"/>
        <color theme="1"/>
        <rFont val="Cambria"/>
        <family val="2"/>
        <charset val="1"/>
      </rPr>
      <t xml:space="preserve">         TBSP-H.I-02</t>
    </r>
  </si>
  <si>
    <r>
      <t xml:space="preserve">Cost of PVC clamps             </t>
    </r>
    <r>
      <rPr>
        <sz val="9"/>
        <color theme="1"/>
        <rFont val="Cambria"/>
        <family val="2"/>
        <charset val="1"/>
      </rPr>
      <t>TBSP-H.II-60</t>
    </r>
  </si>
  <si>
    <r>
      <t xml:space="preserve">Labour charges                    </t>
    </r>
    <r>
      <rPr>
        <sz val="9"/>
        <color theme="1"/>
        <rFont val="Cambria"/>
        <family val="2"/>
        <charset val="1"/>
      </rPr>
      <t>TBSP-H.IV-01</t>
    </r>
  </si>
  <si>
    <t>Rate as per SSR  TBSP-F.VII-18</t>
  </si>
  <si>
    <t>MEDICAL GAS PIPE LINE SYSTEM</t>
  </si>
  <si>
    <t>Amount
(in Rs.)</t>
  </si>
  <si>
    <t>Copper pipeline</t>
  </si>
  <si>
    <t>One RM</t>
  </si>
  <si>
    <r>
      <rPr>
        <b/>
        <sz val="10"/>
        <rFont val="Arial"/>
        <family val="2"/>
        <charset val="1"/>
      </rPr>
      <t xml:space="preserve">Supply and fixing of Medical grade Copper Pipe Lines of 15 mm dia. 0.9 mm thick </t>
    </r>
    <r>
      <rPr>
        <sz val="10"/>
        <rFont val="Arial"/>
        <family val="2"/>
        <charset val="1"/>
      </rPr>
      <t xml:space="preserve">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15mm O.D x 0.90mm thick copper pipe</t>
    </r>
  </si>
  <si>
    <r>
      <rPr>
        <b/>
        <sz val="10"/>
        <rFont val="Arial"/>
        <family val="2"/>
        <charset val="1"/>
      </rPr>
      <t>Supply and fixing of Medical grade Copper Pipe Lines of 22 mm dia. 0.9 mm thick</t>
    </r>
    <r>
      <rPr>
        <sz val="10"/>
        <rFont val="Arial"/>
        <family val="2"/>
        <charset val="1"/>
      </rPr>
      <t xml:space="preserve"> 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22mm O.D x 0.90mm thick copper pipe</t>
    </r>
  </si>
  <si>
    <t>Gas Outlets double lock with probe</t>
  </si>
  <si>
    <r>
      <rPr>
        <b/>
        <sz val="10"/>
        <rFont val="Arial"/>
        <family val="2"/>
        <charset val="1"/>
      </rPr>
      <t>Supply and fixing of BPC Flow meter with Humidifier bottle and probe</t>
    </r>
    <r>
      <rPr>
        <sz val="10"/>
        <rFont val="Arial"/>
        <family val="2"/>
        <charset val="1"/>
      </rPr>
      <t xml:space="preserve"> near out let point, flow meter body made of brass material and should be back pressure compensated suitable for accurate gas flow measurement and control within a range of 0-15 litres per minute, flow tube and components should be mae of clear impact resistant polycarbonate and Humidifier shuld have built in safety valve and should be made of unbreakable polycarbonate material and autoclavable at 134 degrees centigrade, including cost and conveyance of materials, errection chages, commissioning charges etc. for finished item of work</t>
    </r>
  </si>
  <si>
    <t xml:space="preserve"> Isolation Valves</t>
  </si>
  <si>
    <r>
      <rPr>
        <b/>
        <sz val="10"/>
        <rFont val="Arial"/>
        <family val="2"/>
        <charset val="1"/>
      </rPr>
      <t>Supply and fixing of 15 mm dia.  Isolation Valves</t>
    </r>
    <r>
      <rPr>
        <sz val="10"/>
        <rFont val="Arial"/>
        <family val="2"/>
        <charset val="1"/>
      </rPr>
      <t xml:space="preserve"> with necessary end fittings designed for a working pressure of 300 psi / 27 inc. Hg. Vaccum/Oxygen, Non Ferrous, Non Lubricated with 90 degrees turn, Hand lever operated  of standard make of valves including cost and conveyance of all mateials, taxes, transportation chrges, fixing charges and testing charges and all labour charges  etc. comlete for finished item of work. </t>
    </r>
    <r>
      <rPr>
        <b/>
        <sz val="10"/>
        <rFont val="Arial"/>
        <family val="2"/>
        <charset val="1"/>
      </rPr>
      <t xml:space="preserve">15 mm Valves </t>
    </r>
  </si>
  <si>
    <r>
      <rPr>
        <b/>
        <sz val="10"/>
        <rFont val="Arial"/>
        <family val="2"/>
        <charset val="1"/>
      </rPr>
      <t xml:space="preserve">Supply and fixing of 22 mm dia.  Isolation Valves </t>
    </r>
    <r>
      <rPr>
        <sz val="10"/>
        <rFont val="Arial"/>
        <family val="2"/>
        <charset val="1"/>
      </rPr>
      <t xml:space="preserve">with necessary end fittings designed for a working pressure of 300 psi / 27 inc. Hg. Vaccum/Oxygen, Non Ferrous, Non Lubricated with 90 degrees turn, Hand lever operated  of standard make of valves including cost and conveyance of all mateials, taxes, transportation chrges, fixing charges and testing charges and all labour charges  etc. comlete for finished item of work. </t>
    </r>
    <r>
      <rPr>
        <b/>
        <sz val="10"/>
        <rFont val="Arial"/>
        <family val="2"/>
        <charset val="1"/>
      </rPr>
      <t>22 mm Valves</t>
    </r>
    <r>
      <rPr>
        <sz val="10"/>
        <rFont val="Arial"/>
        <family val="2"/>
        <charset val="1"/>
      </rPr>
      <t xml:space="preserve"> </t>
    </r>
  </si>
  <si>
    <r>
      <t>Supply and fixing of Medical grade Copper Pipe Lines of 12 mm dia. 0.7 mm thick</t>
    </r>
    <r>
      <rPr>
        <sz val="10"/>
        <rFont val="Arial"/>
        <family val="2"/>
        <charset val="1"/>
      </rPr>
      <t xml:space="preserve"> for distribution, pipes shall be Solid drawn, seamless, deoxidezed, non-arsenical, half hard, tempered and degreased copper pipeconforming to EN 13348.  All copper pipes should be degreased &amp; delivered capped at both ends.  The pipes should be accompanied with manufactureres test certificate for the physical properties &amp; chemical composition.  Copper pipe should also have third party inspection certificate from Lloyds' Register services including cost and conveyance of pipes,  cost of necessary specials made of copper and suitable for a steam working pressure of 17 bar and should confirm to BS 864 with specially made for brazed socket type connections, including taxes, transportation charges including laying and jointing, testing, commissioning and all other labour charges etc. complete for finished item of work
</t>
    </r>
    <r>
      <rPr>
        <b/>
        <sz val="10"/>
        <rFont val="Arial"/>
        <family val="2"/>
        <charset val="1"/>
      </rPr>
      <t>12mm O.D x 0.7 mm thick copper pipe</t>
    </r>
  </si>
  <si>
    <t xml:space="preserve">Supply and fixing of Oxygen Outlet Points with probes  for Oxygen  with S Brackets,  self ceiling bross valves with  nut and cap  and it shuld be 100% self sealing type , so that at the time of removal of probe, it shuld stop gas flow automatically,  out let shuld be   single hand insertion, non inter changeable for specific gas, it should accept only correct medical gas adapter. with down tube  of the specific gas should be brazed with brass bracket of the outlet, there after brass bracket should be fixed in wall with the help of the steel screw, with self sealing valve which should be screwed with the front portion of brass bracket and there after it should be covered by plastic cover duly colour coded as per specific gas, design of outlet should be such that it can be installed vertically on wall, horizontally on ICCU panel and also vertical to fit in pendants   including cost and conveyance of all materials, errection charges, commissioning charges and all other labour charges  etc, complete for finished item of work. </t>
  </si>
  <si>
    <t>Perimeter channel - 20mm x 27mm x 30mm (web) of 0.55mm thick  TBSC-K.II-04</t>
  </si>
  <si>
    <t>1219mm x 1829mm size Boards TBSC-K.I-03</t>
  </si>
  <si>
    <r>
      <t>Brick masonry for panel walls in superstructure</t>
    </r>
    <r>
      <rPr>
        <sz val="10"/>
        <color theme="1"/>
        <rFont val="Arial"/>
        <family val="2"/>
        <charset val="1"/>
      </rPr>
      <t xml:space="preserve"> with CM (1:8) prop: (Cement : Screened sand) </t>
    </r>
    <r>
      <rPr>
        <b/>
        <sz val="10"/>
        <color theme="1"/>
        <rFont val="Arial"/>
        <family val="2"/>
        <charset val="1"/>
      </rPr>
      <t xml:space="preserve">using common burnt clay bricks </t>
    </r>
    <r>
      <rPr>
        <sz val="10"/>
        <color theme="1"/>
        <rFont val="Arial"/>
        <family val="2"/>
        <charset val="1"/>
      </rPr>
      <t>of class as per Table- I of IS:1077-1992, Non- Modular or traditional</t>
    </r>
    <r>
      <rPr>
        <b/>
        <sz val="10"/>
        <color theme="1"/>
        <rFont val="Arial"/>
        <family val="2"/>
        <charset val="1"/>
      </rPr>
      <t xml:space="preserve"> size 23 x 11 x 7 cms </t>
    </r>
    <r>
      <rPr>
        <sz val="10"/>
        <color theme="1"/>
        <rFont val="Arial"/>
        <family val="2"/>
        <charset val="1"/>
      </rPr>
      <t xml:space="preserve"> from approved source having minimum crushing strength of 40 Kg/Sqcm. including cost and conveyance of all materials like cement, screened sand, bricks, water etc., to site, including sales &amp; other taxes on all materials and such as labour charges, like mixing cement mortar, scaffolding charges, constructing masonry, lift charges, curing, etc.,and overheads &amp; contractors profit  complete for finished item of work. (APSS No. 501 &amp; 504).</t>
    </r>
  </si>
  <si>
    <r>
      <t>Reinforced Brick Masonry for partition walls</t>
    </r>
    <r>
      <rPr>
        <sz val="10"/>
        <color theme="1"/>
        <rFont val="Arial"/>
        <family val="2"/>
        <charset val="1"/>
      </rPr>
      <t xml:space="preserve"> </t>
    </r>
    <r>
      <rPr>
        <b/>
        <sz val="10"/>
        <color theme="1"/>
        <rFont val="Arial"/>
        <family val="2"/>
        <charset val="1"/>
      </rPr>
      <t>(11.0 cm thick)</t>
    </r>
    <r>
      <rPr>
        <sz val="10"/>
        <color theme="1"/>
        <rFont val="Arial"/>
        <family val="2"/>
        <charset val="1"/>
      </rPr>
      <t xml:space="preserve"> in CM (1:4) prop. (Cement : Screened sand) using</t>
    </r>
    <r>
      <rPr>
        <b/>
        <sz val="10"/>
        <color theme="1"/>
        <rFont val="Arial"/>
        <family val="2"/>
        <charset val="1"/>
      </rPr>
      <t xml:space="preserve"> common burnt clay bricks of </t>
    </r>
    <r>
      <rPr>
        <sz val="10"/>
        <color theme="1"/>
        <rFont val="Arial"/>
        <family val="2"/>
        <charset val="1"/>
      </rPr>
      <t>class as per Table- I of IS:1077-1992, Non- Modular or traditiona</t>
    </r>
    <r>
      <rPr>
        <b/>
        <sz val="10"/>
        <color theme="1"/>
        <rFont val="Arial"/>
        <family val="2"/>
        <charset val="1"/>
      </rPr>
      <t xml:space="preserve">l size    23 x 11 x 7 cms </t>
    </r>
    <r>
      <rPr>
        <sz val="10"/>
        <color theme="1"/>
        <rFont val="Arial"/>
        <family val="2"/>
        <charset val="1"/>
      </rPr>
      <t>from approved source having minimum crushing strength of 40 Kg/Sq.cm and placing 2 Nos. of 6mm M.S plain rods in every third layer with free ends of the reinforcement pegged into mortar joints of main brick walls where applicable including cost and conveyance of all materials like cement, steel, sand, bricks, water etc., to site, including sales &amp; other taxes on all materials, all operational, incidental charges such as labour charges for mixing cement mortar, scaffolding charges, constructing masonry, lift charges, curing, etc., and overheads &amp; contractors profit  but excluding cost of steel and its fabrication charges complete for finished item of work. (APSS No. of 501 &amp; 509).</t>
    </r>
  </si>
  <si>
    <r>
      <t>Plain Cement Concrete (1:3:6)</t>
    </r>
    <r>
      <rPr>
        <sz val="10"/>
        <color theme="1"/>
        <rFont val="Arial"/>
        <family val="2"/>
        <charset val="1"/>
      </rPr>
      <t xml:space="preserve"> </t>
    </r>
    <r>
      <rPr>
        <b/>
        <sz val="10"/>
        <color theme="1"/>
        <rFont val="Arial"/>
        <family val="2"/>
        <charset val="1"/>
      </rPr>
      <t>nominal mix</t>
    </r>
    <r>
      <rPr>
        <sz val="10"/>
        <color theme="1"/>
        <rFont val="Arial"/>
        <family val="2"/>
        <charset val="1"/>
      </rPr>
      <t xml:space="preserve"> using 20mm size graded machine crushed hard granite metal (coarse aggregate - as per IS 383 - 1970 and IS 2386 Part 1 to Part 8) from approved quarry including cost and conveyance of all materials like cement, fine aggregate(sand), coarse aggregate, water etc. to site, including sales &amp; other taxes on all materials and including all charges for mixing, laying concrete in position, curing etc., &amp; lift charges , and overheads &amp; contractors profit for </t>
    </r>
    <r>
      <rPr>
        <b/>
        <sz val="10"/>
        <color theme="1"/>
        <rFont val="Arial"/>
        <family val="2"/>
        <charset val="1"/>
      </rPr>
      <t xml:space="preserve">Bed Blocks &amp; Hold Fasts </t>
    </r>
    <r>
      <rPr>
        <sz val="10"/>
        <color theme="1"/>
        <rFont val="Arial"/>
        <family val="2"/>
        <charset val="1"/>
      </rPr>
      <t>for finished item of work. (APSS No. 402)</t>
    </r>
  </si>
  <si>
    <r>
      <t>Flooring with  16 to 18 mm  thick high polished granite stone slabs black colour</t>
    </r>
    <r>
      <rPr>
        <sz val="10"/>
        <color theme="1"/>
        <rFont val="Arial"/>
        <family val="2"/>
        <charset val="1"/>
      </rPr>
      <t xml:space="preserve"> as approved by the Engineer-in-Charge of length not less than 2.43 mts set over base coat of cement mortar (1:8) , 20mm thick using screened sand over CC bed already laid or RCC roof slab including neat grey cement slurry of honey like consistency spread @ 3.3 Kg per sqm and jointed neatly with white cement paste mixed with pigment of matching shade to full depth including cost and conveyance of all materials like cement , sand , water , granite slabs etc., to work site and all operational, incidental labour &amp; lift charges, half rounding the edge , polishing charges and all other taxes on all materials, cost of base coat and overheads &amp; contractors profit complete for finished item of work</t>
    </r>
    <r>
      <rPr>
        <b/>
        <sz val="10"/>
        <color theme="1"/>
        <rFont val="Arial"/>
        <family val="2"/>
        <charset val="1"/>
      </rPr>
      <t xml:space="preserve"> for platforms</t>
    </r>
    <r>
      <rPr>
        <sz val="10"/>
        <color theme="1"/>
        <rFont val="Arial"/>
        <family val="2"/>
        <charset val="1"/>
      </rPr>
      <t xml:space="preserve"> (S.S.701 &amp; special) </t>
    </r>
  </si>
  <si>
    <r>
      <t>Providing</t>
    </r>
    <r>
      <rPr>
        <sz val="10"/>
        <color theme="1"/>
        <rFont val="Arial"/>
        <family val="2"/>
        <charset val="1"/>
      </rPr>
      <t xml:space="preserve"> </t>
    </r>
    <r>
      <rPr>
        <b/>
        <sz val="10"/>
        <color theme="1"/>
        <rFont val="Arial"/>
        <family val="2"/>
        <charset val="1"/>
      </rPr>
      <t>skirting to internal walls to 10 cm height with Double charged / multi charged stain free full body porcelain vitrified tiles with double layer pigment of size 600 x 600 mm and thickness between 8-10 mm 1</t>
    </r>
    <r>
      <rPr>
        <b/>
        <vertAlign val="superscript"/>
        <sz val="10"/>
        <color theme="1"/>
        <rFont val="Arial"/>
        <family val="2"/>
        <charset val="1"/>
      </rPr>
      <t>st</t>
    </r>
    <r>
      <rPr>
        <b/>
        <sz val="10"/>
        <color theme="1"/>
        <rFont val="Arial"/>
        <family val="2"/>
        <charset val="1"/>
      </rPr>
      <t xml:space="preserve"> quality conforming to IS:15622 - 2017, IS:13630 (Parts 1 to 15) of any colour and finish in all shades and designs</t>
    </r>
    <r>
      <rPr>
        <sz val="10"/>
        <color theme="1"/>
        <rFont val="Arial"/>
        <family val="2"/>
        <charset val="1"/>
      </rPr>
      <t>,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</si>
  <si>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r>
      <t>Providing and applying Wall putty of White Cement or Polymer or Cement based</t>
    </r>
    <r>
      <rPr>
        <sz val="10"/>
        <color theme="1"/>
        <rFont val="Arial"/>
        <family val="2"/>
        <charset val="1"/>
      </rPr>
      <t xml:space="preserve">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over heads and contractors profit etc., complete for finished item of work in all floors </t>
    </r>
    <r>
      <rPr>
        <b/>
        <sz val="10"/>
        <color theme="1"/>
        <rFont val="Arial"/>
        <family val="2"/>
        <charset val="1"/>
      </rPr>
      <t>for Internal walls.</t>
    </r>
  </si>
  <si>
    <r>
      <t>Painting to old walls with 2 coats of Acrylic based Oil bound Washable Distemper having VOC content less than 50 grams/litre</t>
    </r>
    <r>
      <rPr>
        <sz val="10"/>
        <color theme="1"/>
        <rFont val="Arial"/>
        <family val="2"/>
        <charset val="1"/>
      </rPr>
      <t xml:space="preserve"> as approved by Engineer-In-Charge, to give an even shade after thourughly brushing the old surface to remove all dirt and remains of loose powdered materials, including cost and conveyance of all materials to work site and all operational, incidental, labour charges etc., and overheads &amp; contractors profit complete for finished item of work as per APSS 911</t>
    </r>
    <r>
      <rPr>
        <b/>
        <sz val="10"/>
        <color theme="1"/>
        <rFont val="Arial"/>
        <family val="2"/>
        <charset val="1"/>
      </rPr>
      <t xml:space="preserve"> for internal walls</t>
    </r>
    <r>
      <rPr>
        <sz val="10"/>
        <color theme="1"/>
        <rFont val="Arial"/>
        <family val="2"/>
        <charset val="1"/>
      </rPr>
      <t xml:space="preserve"> in all floors</t>
    </r>
    <r>
      <rPr>
        <b/>
        <sz val="10"/>
        <color theme="1"/>
        <rFont val="Arial"/>
        <family val="2"/>
        <charset val="1"/>
      </rPr>
      <t xml:space="preserve">. </t>
    </r>
  </si>
  <si>
    <r>
      <t>Painting to old wood work and flush shutters with two coats of synthetic enamel paint Grade-II</t>
    </r>
    <r>
      <rPr>
        <sz val="10"/>
        <color theme="1"/>
        <rFont val="Arial"/>
        <family val="2"/>
        <charset val="1"/>
      </rPr>
      <t xml:space="preserve"> VOC (Volatile Organic Compound) content less than 50 grams/litre of approved brand and shade including cost and conveyance of all materials to site and all labour charges etc. complete, sales &amp; other taxes on cost of all materials etc.and overheads &amp; contractors profit complete in all floors (APSS No.1200, 1207 &amp; 1211) .</t>
    </r>
  </si>
  <si>
    <r>
      <t>Painting</t>
    </r>
    <r>
      <rPr>
        <sz val="10"/>
        <color theme="1"/>
        <rFont val="Arial"/>
        <family val="2"/>
        <charset val="1"/>
      </rPr>
      <t xml:space="preserve"> </t>
    </r>
    <r>
      <rPr>
        <b/>
        <sz val="10"/>
        <color theme="1"/>
        <rFont val="Arial"/>
        <family val="2"/>
        <charset val="1"/>
      </rPr>
      <t xml:space="preserve">two coats with synthetic enamel paint Gr-I </t>
    </r>
    <r>
      <rPr>
        <sz val="10"/>
        <color theme="1"/>
        <rFont val="Arial"/>
        <family val="2"/>
        <charset val="1"/>
      </rPr>
      <t>having VOC (Volatile Organic Compound) content less than 50 grams/litre</t>
    </r>
    <r>
      <rPr>
        <b/>
        <sz val="10"/>
        <color theme="1"/>
        <rFont val="Arial"/>
        <family val="2"/>
        <charset val="1"/>
      </rPr>
      <t xml:space="preserve"> to old</t>
    </r>
    <r>
      <rPr>
        <sz val="10"/>
        <color theme="1"/>
        <rFont val="Arial"/>
        <family val="2"/>
        <charset val="1"/>
      </rPr>
      <t xml:space="preserve"> </t>
    </r>
    <r>
      <rPr>
        <b/>
        <sz val="10"/>
        <color theme="1"/>
        <rFont val="Arial"/>
        <family val="2"/>
        <charset val="1"/>
      </rPr>
      <t>iron work</t>
    </r>
    <r>
      <rPr>
        <sz val="10"/>
        <color theme="1"/>
        <rFont val="Arial"/>
        <family val="2"/>
        <charset val="1"/>
      </rPr>
      <t xml:space="preserve"> including cost and conveyance of all materials to site, sales &amp; other taxes, incidental, operational and all labour charges  and overheads &amp; contractors profit etc., complete for finished item of work in all floors. (SS No. 1201, 1212 &amp; 1207).</t>
    </r>
  </si>
  <si>
    <r>
      <t>Supplying and fixing Gyp Board Suspended regular single layer false ceiling</t>
    </r>
    <r>
      <rPr>
        <sz val="10"/>
        <color theme="1"/>
        <rFont val="Arial"/>
        <family val="2"/>
        <charset val="1"/>
      </rPr>
      <t xml:space="preserve"> (GS-MFSC-4.1) using 12.5 mm thick Gyp Board conforming to IS 2095 - 1993 fixing to Gyp steel GI perimeter channels of size 20 mm x 27 mm x 30 mm(web) of 0.55 mm thick along the perimeter of ceiling screw fixed to brick work/ partition at 610 mm c/c and suspending the frame work using Intermediate channels (45 mm x 15mm x 15mm x 0.9 mm) from soffit at 1220 mm c/c with ceiling angle (25 mm x 10 mm x 0.55 mm) fixed with GI Cleat and steel expansion fasteners &amp; connecting clip to the ceiling channels (with knurled web of 51.5 mm x 26 mm x 10.5 mm x 0.55 mm) fixed in direction perpendicular to the intermediate channel at 457 mm c/c and fixing the 12.5 mm tapered edge Gypboard with 25 mm drywall screws at 230 mm c/c &amp; jointing and finishing using joint compound and paper tape to have a flush look including filling the tapered &amp; square edges with jointing compound, two coats of drywall topcoa including overheads and contractor profit etc., complete for finished item of work</t>
    </r>
  </si>
  <si>
    <r>
      <t>Supplying and fixing of two shutter cupboards</t>
    </r>
    <r>
      <rPr>
        <sz val="10"/>
        <color theme="1"/>
        <rFont val="Arial"/>
        <family val="2"/>
        <charset val="1"/>
      </rPr>
      <t xml:space="preserve"> as per drawing with medium teak wood frames of size 75mm x 40mm and MDF Board Interior grade both sides laminated 18mm thick for shutters with 18mm x 12mm  teak wood beading alround and  supplying and fixing powder coated MS fixtures  3 Nos. butt hinges of size 100mm long(for each shutter), tower bolt 2 Nos. of 100mm x 10mm, 2 Nos of handles 100mm long and standard locking arrangements for shutters including cost and conveyance of all materials to site, labour charges, over heads and contractor profit etc., complete for finished item of work.</t>
    </r>
  </si>
  <si>
    <t>Cost of 30 mm thick flush shutter  TBSC-L.II-05</t>
  </si>
  <si>
    <t>Cost of Z hold fasts     TBSC-P.IX-08</t>
  </si>
  <si>
    <t>Cost of rubber bush    TBSC-P.IX-04</t>
  </si>
  <si>
    <t>Cost of Aluminium butt hinges 150mm long TBSC-P.II-08</t>
  </si>
  <si>
    <r>
      <t xml:space="preserve">Supplying and fixing European Water Closet </t>
    </r>
    <r>
      <rPr>
        <sz val="10"/>
        <color theme="1"/>
        <rFont val="Cambria"/>
        <family val="2"/>
        <charset val="1"/>
      </rPr>
      <t>of 1st quality conforming to IS:2556-Part-2-1973 of white glazed  with 'S' trap,supplying and fixing  best Indian make plastic seat and lid for European water closets with rubber or plastic Buffers as per IS 2548-1996  and 10 litres capacity single flush PVC  low level cistern with internal components and fixed using required size of nails and screws, 15 mm nominal size CP finish brass angled stop valve screw type with internal /external threaded conforming to IS 8931, 12mm PVC connections with brass union nuts CP coated including cost and conveyance of all materials to site, overheads &amp; contractors profit etc., complete  for finished item of work for all floors.</t>
    </r>
  </si>
  <si>
    <r>
      <t xml:space="preserve">Plastic seat and lid for European Water Closet and rubber buffers </t>
    </r>
    <r>
      <rPr>
        <sz val="10"/>
        <color theme="1"/>
        <rFont val="Cambria"/>
        <family val="2"/>
        <charset val="1"/>
      </rPr>
      <t>TBSP-E.V-01/TBSP-E.VIII-07</t>
    </r>
  </si>
  <si>
    <r>
      <t xml:space="preserve">15 mm nominal size CP finish brass angled stop valve </t>
    </r>
    <r>
      <rPr>
        <sz val="9"/>
        <color theme="1"/>
        <rFont val="Cambria"/>
        <family val="2"/>
        <charset val="1"/>
      </rPr>
      <t>TBSP-F.IV-03/TBSP-F.VIII-02</t>
    </r>
  </si>
  <si>
    <r>
      <t xml:space="preserve">Cutting holes in brick masonry    </t>
    </r>
    <r>
      <rPr>
        <sz val="9"/>
        <color theme="1"/>
        <rFont val="Cambria"/>
        <family val="2"/>
        <charset val="1"/>
      </rPr>
      <t>TBSP-J.I-22</t>
    </r>
  </si>
  <si>
    <r>
      <t>Supplying and fixing Indian make Flat Back Wash Hand Basin</t>
    </r>
    <r>
      <rPr>
        <sz val="11"/>
        <color theme="1"/>
        <rFont val="Cambria"/>
        <family val="2"/>
        <charset val="1"/>
      </rPr>
      <t xml:space="preserve"> 1st quality conforming to IS:2556-Part-4:1972 of size 550mm x 400mm with  32 mm nominal size C.P. Fitting with parallel pipe thread conforming to IS:2963-1979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 overheads &amp; contractors profit for finished item of work.</t>
    </r>
  </si>
  <si>
    <r>
      <t>Supplying and fixing CP finish brass soap dish</t>
    </r>
    <r>
      <rPr>
        <sz val="11"/>
        <color theme="1"/>
        <rFont val="Cambria"/>
        <family val="2"/>
        <charset val="1"/>
      </rPr>
      <t xml:space="preserve"> of approved make ISI quality including cost and conveyance of all materials, labour charges for fixing, overheads &amp; contractors profit for finished item of work in all floors</t>
    </r>
  </si>
  <si>
    <r>
      <t>Cost of NP soap dish</t>
    </r>
    <r>
      <rPr>
        <sz val="8"/>
        <color theme="1"/>
        <rFont val="Cambria"/>
        <family val="2"/>
        <charset val="1"/>
      </rPr>
      <t xml:space="preserve"> TBSP-F.VII-21/TBSP-F.VIII-04</t>
    </r>
  </si>
  <si>
    <r>
      <t>Supplying and fixing TV shape mirror with plastic frame of size 609.6mm x 457.2mm</t>
    </r>
    <r>
      <rPr>
        <sz val="11"/>
        <color theme="1"/>
        <rFont val="Cambria"/>
        <family val="2"/>
        <charset val="1"/>
      </rPr>
      <t xml:space="preserve"> , plywood back with NP screws 1st quality including cost and conveyance of all materials, labour charges , overheads &amp; contractors profit for finished item of work in all floors.</t>
    </r>
  </si>
  <si>
    <r>
      <t xml:space="preserve">Supplying and fixing of  CP finish steel towel rods 600mm long and 20mm dia </t>
    </r>
    <r>
      <rPr>
        <sz val="11"/>
        <color theme="1"/>
        <rFont val="Cambria"/>
        <family val="2"/>
        <charset val="1"/>
      </rPr>
      <t xml:space="preserve"> with brackets and aluminium screws including cost and conveyance of all materials, labour charges , overheads &amp; contractors profit for finished item of work.</t>
    </r>
  </si>
  <si>
    <r>
      <t xml:space="preserve">Supplying and fixing of  CP Finish brass metal body single coat hook with necessary screws </t>
    </r>
    <r>
      <rPr>
        <sz val="11"/>
        <color theme="1"/>
        <rFont val="Cambria"/>
        <family val="2"/>
        <charset val="1"/>
      </rPr>
      <t>including cost and conveyance of all materials, labour charges , overheads &amp; contractors profit for finished item of work.</t>
    </r>
  </si>
  <si>
    <r>
      <t xml:space="preserve">Supplying and fixing of  CP Finish brass wall mounted towel ring </t>
    </r>
    <r>
      <rPr>
        <sz val="11"/>
        <color theme="1"/>
        <rFont val="Cambria"/>
        <family val="2"/>
        <charset val="1"/>
      </rPr>
      <t>including cost and conveyance of all materials, labour charges , overheads &amp; contractors profit for finished item of work.</t>
    </r>
  </si>
  <si>
    <r>
      <t xml:space="preserve">Supplying and fixing 15 mm brass body CP finish bib tap of not less than 300 grams weight </t>
    </r>
    <r>
      <rPr>
        <sz val="11"/>
        <color theme="1"/>
        <rFont val="Cambria"/>
        <family val="2"/>
        <charset val="1"/>
      </rPr>
      <t>screw type (full turn) with internal / external threaded connection conforming to IS 8931 as approved by the Engineer-In-Charge including cost and conveyance of all materials, labour charges , overheads &amp; contractors profit complete for finished item of work in all floors.</t>
    </r>
  </si>
  <si>
    <r>
      <t xml:space="preserve">Rate as per SSR              </t>
    </r>
    <r>
      <rPr>
        <sz val="8"/>
        <color theme="1"/>
        <rFont val="Cambria"/>
        <family val="2"/>
        <charset val="1"/>
      </rPr>
      <t>TBSP-F.I-01 / TBSP-F.VIII-01</t>
    </r>
  </si>
  <si>
    <r>
      <t>Supplying and fixing Chromium plated finish brass body quarter turn Bibcock cum Health Faucet with 1m long tube and wall hook with 7 - 10 years warranty</t>
    </r>
    <r>
      <rPr>
        <sz val="11"/>
        <color theme="1"/>
        <rFont val="Cambria"/>
        <family val="2"/>
        <charset val="1"/>
      </rPr>
      <t xml:space="preserve"> with necessary fittings etc., complete including cost and conveyance of all materials, labour charges, overheads &amp; contractor profit complete for finished item of work in all floors. </t>
    </r>
  </si>
  <si>
    <r>
      <t xml:space="preserve">Rate as per SSR    </t>
    </r>
    <r>
      <rPr>
        <sz val="9"/>
        <color theme="1"/>
        <rFont val="Cambria"/>
        <family val="2"/>
        <charset val="1"/>
      </rPr>
      <t>TBSP-F.I-07/TBSP-F.VIII-01</t>
    </r>
  </si>
  <si>
    <r>
      <t>Supplying and fixing of stainless steel sink of size 508.00mm x 457.2mm x 203.20mm, 1mm thick</t>
    </r>
    <r>
      <rPr>
        <sz val="11"/>
        <color theme="1"/>
        <rFont val="Cambria"/>
        <family val="2"/>
        <charset val="1"/>
      </rPr>
      <t xml:space="preserve"> of Indian make fixed on cantilever brackets including supply and fixing 31.75mm C.P. waste coupling, 30mm dia PVC flexible waste pipe of 914.4 mm length of Ist quality ncluding chiselling brick masonry wall and making good &amp; restoring to original surfaces , overheads &amp; contractors profit complete for finished item of work in all floors</t>
    </r>
  </si>
  <si>
    <r>
      <t xml:space="preserve">Rate as per SSR         </t>
    </r>
    <r>
      <rPr>
        <sz val="9"/>
        <color theme="1"/>
        <rFont val="Cambria"/>
        <family val="2"/>
        <charset val="1"/>
      </rPr>
      <t xml:space="preserve"> TBSP-E.VI-15</t>
    </r>
  </si>
  <si>
    <t>2 x 2 Oxygen Emergency Manifold with 19 mm O.D x12 mm ID Copper Pipe mounted on Top Frame with brass blocks, NRVs/Cylinder Valves and Pigtail Pipes of 1 mtr long of size 8 mm O.D x 3 mm I.D, duly tested at 250 Kg/Cm2 pressure.</t>
  </si>
  <si>
    <r>
      <t xml:space="preserve">Plain Cement Concrete M 20 </t>
    </r>
    <r>
      <rPr>
        <sz val="10"/>
        <color theme="1"/>
        <rFont val="Arial"/>
        <family val="2"/>
        <charset val="1"/>
      </rPr>
      <t xml:space="preserve">nominal mix using WEIGH BATCHER / MIXER, 20mm size hard granite machine crushed graded metal (coarse aggregate - as per IS 383 - 1970 and IS 2386 Part 1 to Part 8) from approved quarry, using a minimum quantity of 300 kgs. of cement per 1 cum of concrete including cost and conveyance of  all materials  like cement,  fine aggregate (Sand), coarse aggregate, water etc., to site  including steel centering, shuttering, machine mixing,  lift charges, laying concrete,vibrating, curing, overheads &amp; Contractor's profit etc., complete  for finished item of work (APSS No. 402 &amp; 403). </t>
    </r>
  </si>
  <si>
    <t>Ded of Contractor Profit</t>
  </si>
  <si>
    <r>
      <t>Conveyance of un-useful excavated earth to a distance of 21 KM for disposal</t>
    </r>
    <r>
      <rPr>
        <sz val="10"/>
        <color theme="1"/>
        <rFont val="Arial"/>
        <family val="2"/>
        <charset val="1"/>
      </rPr>
      <t xml:space="preserve"> including  hire charges of T &amp; P, labour charges etc., and overheads &amp; contractors profit complete for finished item of work.</t>
    </r>
  </si>
  <si>
    <t>Supplying and fixing 15 mm brass body CP finish bib tap of not less than 300 grams weight with quarter turn spindle with either internal or external threaded connection conforming to IS 8931 as approved by the Engineer-In-Charge including cost and conveyance of all materials, labour charges , overheads &amp; contractors profit complete for finished item of work in all floors.</t>
  </si>
  <si>
    <r>
      <t xml:space="preserve">Rate as per SSR              </t>
    </r>
    <r>
      <rPr>
        <sz val="8"/>
        <color theme="1"/>
        <rFont val="Cambria"/>
        <family val="2"/>
        <charset val="1"/>
      </rPr>
      <t>TBSP-F.I-02 / TBSP-F.VIII-01</t>
    </r>
  </si>
  <si>
    <t>ABSTRACT ESTIMATE FOR CIVIL WORKS</t>
  </si>
  <si>
    <r>
      <t>Dismantling</t>
    </r>
    <r>
      <rPr>
        <sz val="10"/>
        <color theme="1"/>
        <rFont val="Arial"/>
        <family val="2"/>
        <charset val="1"/>
      </rPr>
      <t xml:space="preserve">, clearing away and carefully stacking useful materials for re-use and disposal of unserviceable materials with 100m lead as directed by Executive Engineer duly taking actual premeasurements before dismantling including all labour charges , overheads &amp; contractor profit etc., complete </t>
    </r>
  </si>
  <si>
    <r>
      <t>Earth work excavation for foundations</t>
    </r>
    <r>
      <rPr>
        <sz val="10"/>
        <color theme="1"/>
        <rFont val="Arial"/>
        <family val="2"/>
        <charset val="1"/>
      </rPr>
      <t xml:space="preserve"> </t>
    </r>
    <r>
      <rPr>
        <b/>
        <sz val="10"/>
        <color theme="1"/>
        <rFont val="Arial"/>
        <family val="2"/>
        <charset val="1"/>
      </rPr>
      <t xml:space="preserve">(Manual Means) of buildings,  septic tank, sump, compound wall  in ordinary soils </t>
    </r>
    <r>
      <rPr>
        <sz val="10"/>
        <color theme="1"/>
        <rFont val="Arial"/>
        <family val="2"/>
        <charset val="1"/>
      </rPr>
      <t xml:space="preserve">and depositing on bank </t>
    </r>
    <r>
      <rPr>
        <b/>
        <sz val="10"/>
        <color theme="1"/>
        <rFont val="Arial"/>
        <family val="2"/>
        <charset val="1"/>
      </rPr>
      <t>with an initial lead of 10m and depth up to 3m</t>
    </r>
    <r>
      <rPr>
        <sz val="10"/>
        <color theme="1"/>
        <rFont val="Arial"/>
        <family val="2"/>
        <charset val="1"/>
      </rPr>
      <t xml:space="preserve"> including all operational,incidental, labour charges such as shoring, sheeting, planking, strutting etc., and overheads &amp; contractors profit complete for finished item of work excluding dewatering charges etc., as per SS 20 B(APSS 308) </t>
    </r>
  </si>
  <si>
    <r>
      <t>Rate per cum</t>
    </r>
    <r>
      <rPr>
        <sz val="10"/>
        <color theme="1"/>
        <rFont val="Arial"/>
        <family val="2"/>
        <charset val="1"/>
      </rPr>
      <t xml:space="preserve"> (a+b+c) / 10</t>
    </r>
  </si>
  <si>
    <r>
      <t xml:space="preserve">Plain Cement Concrete  (1:4:8) </t>
    </r>
    <r>
      <rPr>
        <sz val="10"/>
        <color theme="1"/>
        <rFont val="Arial"/>
        <family val="2"/>
        <charset val="1"/>
      </rPr>
      <t>(cement: fine aggregate: Coarse aggregate)</t>
    </r>
    <r>
      <rPr>
        <b/>
        <sz val="10"/>
        <color theme="1"/>
        <rFont val="Arial"/>
        <family val="2"/>
        <charset val="1"/>
      </rPr>
      <t xml:space="preserve"> for foundations and under flooring bed </t>
    </r>
    <r>
      <rPr>
        <sz val="10"/>
        <color theme="1"/>
        <rFont val="Arial"/>
        <family val="2"/>
        <charset val="1"/>
      </rPr>
      <t xml:space="preserve">using </t>
    </r>
    <r>
      <rPr>
        <b/>
        <sz val="10"/>
        <color theme="1"/>
        <rFont val="Arial"/>
        <family val="2"/>
        <charset val="1"/>
      </rPr>
      <t>coarse aggregate 40mm size  hard , machine crushed  granite</t>
    </r>
    <r>
      <rPr>
        <sz val="10"/>
        <color theme="1"/>
        <rFont val="Arial"/>
        <family val="2"/>
        <charset val="1"/>
      </rPr>
      <t xml:space="preserve"> from approved quarry including cost and conveyance of all materials like cement, sand, coarse aggregate, water etc. to site, including sales &amp; other taxes on all materials and including all charges for machine mixing, laying concrete in foundations and under flooring bed, ramming in 15 cm layers finishing top surface to the required level curing etc., and overheads &amp; contractors profit complete for finished item of work. (APSS No. 402)</t>
    </r>
  </si>
  <si>
    <r>
      <t>Masonry work</t>
    </r>
    <r>
      <rPr>
        <sz val="10"/>
        <color theme="1"/>
        <rFont val="Arial"/>
        <family val="2"/>
        <charset val="1"/>
      </rPr>
      <t xml:space="preserve"> </t>
    </r>
    <r>
      <rPr>
        <b/>
        <sz val="10"/>
        <color theme="1"/>
        <rFont val="Arial"/>
        <family val="2"/>
        <charset val="1"/>
      </rPr>
      <t xml:space="preserve">in CM(1:6) </t>
    </r>
    <r>
      <rPr>
        <sz val="10"/>
        <color theme="1"/>
        <rFont val="Arial"/>
        <family val="2"/>
        <charset val="1"/>
      </rPr>
      <t>prop  (Cement : Screened sand) in superstructure with</t>
    </r>
    <r>
      <rPr>
        <b/>
        <sz val="10"/>
        <color theme="1"/>
        <rFont val="Arial"/>
        <family val="2"/>
        <charset val="1"/>
      </rPr>
      <t xml:space="preserve"> fly ash cement / lime solid blocks of size 290mm x 225mm x 140mm </t>
    </r>
    <r>
      <rPr>
        <sz val="10"/>
        <color theme="1"/>
        <rFont val="Arial"/>
        <family val="2"/>
        <charset val="1"/>
      </rPr>
      <t>from approved source having minimum crushing strength of 50 Kg/Sqcm. including cost and conveyance of all materials like cement, sand, bricks, water etc., to site, including sales &amp; other taxes on all materials and such as labour charges, like mixing cement mortar, scaffolding charges, constructing masonry, lift charges, curing, overheads and contractor profit etc., complete for finished item of work. (APSS No. 501 &amp; 504).</t>
    </r>
  </si>
  <si>
    <r>
      <t>Providing Thermo Mechanically Treated (TMT) (Fe -500/500D/550D from Primary producer TATA, SAIL, VSP, JSW &amp;Shyam Steel, Goel Steel, Jindal Panther, X-Vega &amp; Balaji Shakthi as per IS 1786-2008) of different diameters for RCC works</t>
    </r>
    <r>
      <rPr>
        <sz val="10"/>
        <color theme="1"/>
        <rFont val="Arial"/>
        <family val="2"/>
        <charset val="1"/>
      </rPr>
      <t xml:space="preserve"> , including labour charges for straightening, cutting, bending to required sizes and shapes, placing in position with cover blocks of approved materials and size and tying and lap-splicing with binding wire of 18 SWG, forming grills for reinforcement work as per approved designs and drawings, including cost and conveyance of steel bars, including all wastages such as overlaps, couplings, chairs, spacer bars including cost and conveyance of binding wire, cover blocks and all incidental, operational, labour charges such as cutting, bending, placing in position, tying including sales and other taxes on all materials etc. ,and overheads &amp; contractors profit complete for finished item of work.( APSS No.126)</t>
    </r>
  </si>
  <si>
    <r>
      <t xml:space="preserve">Labour </t>
    </r>
    <r>
      <rPr>
        <sz val="10"/>
        <color theme="1"/>
        <rFont val="Arial"/>
        <family val="2"/>
        <charset val="1"/>
      </rPr>
      <t>for cutting , bending , shifting to site , tying and placing in position</t>
    </r>
  </si>
  <si>
    <r>
      <t>Plastering 12mm thick in two coats</t>
    </r>
    <r>
      <rPr>
        <sz val="10"/>
        <color theme="1"/>
        <rFont val="Arial"/>
        <family val="2"/>
        <charset val="1"/>
      </rPr>
      <t xml:space="preserve">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overheads &amp; contractors profit complete </t>
    </r>
    <r>
      <rPr>
        <b/>
        <sz val="10"/>
        <color theme="1"/>
        <rFont val="Arial"/>
        <family val="2"/>
        <charset val="1"/>
      </rPr>
      <t xml:space="preserve"> </t>
    </r>
    <r>
      <rPr>
        <sz val="10"/>
        <color theme="1"/>
        <rFont val="Arial"/>
        <family val="2"/>
        <charset val="1"/>
      </rPr>
      <t>for</t>
    </r>
    <r>
      <rPr>
        <b/>
        <sz val="10"/>
        <color theme="1"/>
        <rFont val="Arial"/>
        <family val="2"/>
        <charset val="1"/>
      </rPr>
      <t xml:space="preserve"> </t>
    </r>
    <r>
      <rPr>
        <sz val="10"/>
        <color theme="1"/>
        <rFont val="Arial"/>
        <family val="2"/>
        <charset val="1"/>
      </rPr>
      <t xml:space="preserve">finished item of work. (SS 901,903 &amp; 904). </t>
    </r>
  </si>
  <si>
    <r>
      <t>Supply of Double charged / multi charged stain free full body porcelain vitrified tiles with double layer pigment of size 600 x 600 mm and thickness between 8-10 mm 1st quality conforming to IS:15622 - 2017, IS:13630 (Parts 1 to 15) of any colour and finish in all shades and designs</t>
    </r>
    <r>
      <rPr>
        <sz val="10"/>
        <color theme="1"/>
        <rFont val="Arial"/>
        <family val="2"/>
        <charset val="1"/>
      </rPr>
      <t xml:space="preserve">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consistancy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overheads &amp; contractors profit complete for finished item of work. (APSS No.701 &amp; 707). </t>
    </r>
  </si>
  <si>
    <r>
      <t>Providing dadooing to walls with  glazed full body porcelain wall tiles of size 300 x 600 mm with any type of design texture such as marble finish, wooden, bamboo, stone finishes etc</t>
    </r>
    <r>
      <rPr>
        <sz val="10"/>
        <color theme="1"/>
        <rFont val="Arial"/>
        <family val="2"/>
        <charset val="1"/>
      </rPr>
      <t>.,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overheads &amp; contractors profit complete for finished item of work.</t>
    </r>
  </si>
  <si>
    <r>
      <t>Providing</t>
    </r>
    <r>
      <rPr>
        <sz val="10"/>
        <color theme="1"/>
        <rFont val="Arial"/>
        <family val="2"/>
        <charset val="1"/>
      </rPr>
      <t xml:space="preserve"> </t>
    </r>
    <r>
      <rPr>
        <b/>
        <sz val="10"/>
        <color theme="1"/>
        <rFont val="Arial"/>
        <family val="2"/>
        <charset val="1"/>
      </rPr>
      <t xml:space="preserve">dadooing to walls with glazed full body ceramic tiles </t>
    </r>
    <r>
      <rPr>
        <sz val="10"/>
        <color theme="1"/>
        <rFont val="Arial"/>
        <family val="2"/>
        <charset val="1"/>
      </rPr>
      <t xml:space="preserve">of any size and thickness between 5 to 7mm 1st quality conforming to IS: 13711, IS: 13712, IS: 13630(Parts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and overheads &amp; contractors profit complete for finished item of work. </t>
    </r>
  </si>
  <si>
    <r>
      <t xml:space="preserve">Supply &amp; application of one coat water based cement primer of interior grade I and two coats of  acrylic emulsion paint </t>
    </r>
    <r>
      <rPr>
        <sz val="10"/>
        <color theme="1"/>
        <rFont val="Arial"/>
        <family val="2"/>
        <charset val="1"/>
      </rPr>
      <t>having VOC (Volatile Organic Compound) content less than 50 grams/litre</t>
    </r>
    <r>
      <rPr>
        <b/>
        <sz val="10"/>
        <color theme="1"/>
        <rFont val="Arial"/>
        <family val="2"/>
        <charset val="1"/>
      </rPr>
      <t xml:space="preserve"> for internal walls</t>
    </r>
    <r>
      <rPr>
        <sz val="10"/>
        <color theme="1"/>
        <rFont val="Arial"/>
        <family val="2"/>
        <charset val="1"/>
      </rPr>
      <t xml:space="preserve"> including cost and conveyance of all materials to site, sales &amp; other taxes, incidental, operational and all labour charges etc., and overheads &amp; contractors profit complete for finished item of work in all floors.</t>
    </r>
  </si>
  <si>
    <r>
      <t xml:space="preserve">Supplying and fabricating, erecting and fixing in position tabular trusses </t>
    </r>
    <r>
      <rPr>
        <sz val="10"/>
        <color theme="1"/>
        <rFont val="Arial"/>
        <family val="2"/>
        <charset val="1"/>
      </rPr>
      <t xml:space="preserve">of approved design with M.S tube conforming to I.S-1161 specifications including roof frame work consisting of rafters,ties struts and purlins including cost of foundations bolts, cleats, bearings plates,etc.,complete as per the sketch  enclosed and including cost of  primary coat with red oxide paint including cost and conveyance of all materials, labour charges for erecting &amp; fixing all structural steel works  erecting in position and fixing by using chain pulley blocks, Derek pole arrangements and cranes etc., complete in position, labour charges for fabrication, all incidental charges, overheads and contractor profit etc., complete for finished item of work as directed by the Engineer-in-Charge </t>
    </r>
  </si>
  <si>
    <r>
      <t xml:space="preserve">Supplying and fixing of Unplasticised Poly Vinyl Chloride (UPVC) 3 track sliding windows with mesh shutter – (2-glass shutters and 1-mesh shutter) </t>
    </r>
    <r>
      <rPr>
        <sz val="10"/>
        <color theme="1"/>
        <rFont val="Arial"/>
        <family val="2"/>
        <charset val="1"/>
      </rPr>
      <t>duly manufactured using UPVC reinforced profiles (Composition of profile shall consists a minimum of 5.5 PHR of TiO2 and not more than 12 PHR of CaCo3 for every 100 parts of PVC resin) of (94mm x 45 mm)/(80 mm x 52 mm) x 2.20 mm for outer frames, (58 mm x 39 mm)/(54 mm x 38 mm) x 2.20mm for sliding shutter frames capable of mounting single glazing system structurally reinforced with hot dip galvanized up to 50 microns of minimum thickness of 1.0/1.2 mm prefabricated &amp; welded through fusion welding. The window sash shall be fitted with 5 mm thick clear float glass of reputed make and mesh shutter frame shall be (42 mm x 25mm)/(52 mm x 21.5 mm) x 2.0 mm fitted with Vinyl Coated Fiber mesh- on rollers/ pulley duly fixed with Grey colour TPV Gasket for sash &amp; Glazing bead shall be co-extruded with Grey colour soft PVC. System shall have single point locking with Touch Lock and the system is to be installed at the site using anchor fasteners, silicon rubber sealant, easy glazing/deglazing at site etc., including cost and conveyance of all materials, accessories, labour charges for transportation, erection at site including  overheads and contractors profit etc.,  complete for finished item of work</t>
    </r>
  </si>
  <si>
    <r>
      <t xml:space="preserve">Supply and fixing of Sal Wood Window </t>
    </r>
    <r>
      <rPr>
        <sz val="10"/>
        <rFont val="Arial"/>
        <family val="2"/>
      </rPr>
      <t>as drawings with</t>
    </r>
    <r>
      <rPr>
        <b/>
        <sz val="10"/>
        <rFont val="Arial"/>
        <family val="2"/>
      </rPr>
      <t xml:space="preserve"> Sal wood</t>
    </r>
    <r>
      <rPr>
        <sz val="10"/>
        <rFont val="Arial"/>
        <family val="2"/>
      </rPr>
      <t xml:space="preserve"> frame of section 100mm x 65 mm fixed with Shutters made of sal wood frame with verticals 55mm x 25 mm thick and horizontals of 75mm x 25 mm thick and fixed with 4mm thick pin headed glass using 12mm x 12mm Teak Wood beading in the middel of the shutter,</t>
    </r>
  </si>
  <si>
    <r>
      <t>including cost and conveyance of sal wood and fixtures like, 4 Nos. MS Z hold fasts of size 300 mm x 40 mm x 5mm including cost of ISI marked MS powder coated fixtures of 9 Nos. butt hinges (each shutter 3 No's) (IS:205) 100mm long, 6 Nos. tower bolts (each shutter 2 no's) (IS:204) of 100 mm x 10 mm dia at top &amp; bottom,  3 Nos. 150mm long handles (each shutter 1 No's) (IS:208), &amp;  fixing the fixtures to shutters with required number of screws, bolt and nuts,10 mm M.S. Square Bars @ 125mm C/c Horizontally for safety bars, including labour charges for fixing the frame in position, fixing the shutter to the frame, etc, including overheads &amp; contractors profit complete for finished item of work as per APSS 1001 &amp; 1002 (</t>
    </r>
    <r>
      <rPr>
        <b/>
        <sz val="10"/>
        <rFont val="Arial"/>
        <family val="2"/>
      </rPr>
      <t xml:space="preserve">1200mm x 1200mm) </t>
    </r>
  </si>
  <si>
    <t>1.20m x 1.20m</t>
  </si>
  <si>
    <t>Window Frame</t>
  </si>
  <si>
    <t xml:space="preserve">(3 x 1.20) </t>
  </si>
  <si>
    <t xml:space="preserve">= 3.60 x 0.10 x 0.065 </t>
  </si>
  <si>
    <t>2 x 1.2</t>
  </si>
  <si>
    <t xml:space="preserve">= 2.40 x 0.10 x 0.065 </t>
  </si>
  <si>
    <t>Shutters 3 Nos</t>
  </si>
  <si>
    <t>Verticals</t>
  </si>
  <si>
    <t>2 x 3 x.055 x 1.09 x 0.025</t>
  </si>
  <si>
    <t xml:space="preserve">= 2 x 3x 0.055 x 1.09 x 0.025 </t>
  </si>
  <si>
    <t>horizontals</t>
  </si>
  <si>
    <t>2 x 3 x.075 x 0.33 x 0.025</t>
  </si>
  <si>
    <t xml:space="preserve">= 2 x 3 x 0.075 x 0.33 x 0.025 </t>
  </si>
  <si>
    <t>4 mm thick pin headded glass for each shutter</t>
  </si>
  <si>
    <t>3x0.23 x 0.96</t>
  </si>
  <si>
    <t>teak wood beading 12mm x 12mm thick</t>
  </si>
  <si>
    <t>3 x ( 0.23+.23+.96+.96)</t>
  </si>
  <si>
    <t>8 x 1.20 x 0.785</t>
  </si>
  <si>
    <t>Cost of Sal frame of any length</t>
  </si>
  <si>
    <t>Cost of MS Powder coated butt hinges 100mm long (TBSC-P.II-10)</t>
  </si>
  <si>
    <t>Labour charges for wrought and put up including fixing in position for Other than teakwood Windows glazed including outer frame and shutter frame, item code:TBSC-T.I-45</t>
  </si>
  <si>
    <t>Rate for 1.44 sqm</t>
  </si>
  <si>
    <t>Cost of 4mm thick pin headed glass</t>
  </si>
  <si>
    <t>Cost of Ms poder coated tower bolt 100mm long (TBSC-P.I-14)</t>
  </si>
  <si>
    <t>Cost of MS powder coated handle 150mm long (TBSC-P.III-06)</t>
  </si>
  <si>
    <t>Provision for Seigniorage Charges  1% on Civil works</t>
  </si>
  <si>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 xml:space="preserve">using </t>
    </r>
    <r>
      <rPr>
        <b/>
        <sz val="10"/>
        <color theme="1"/>
        <rFont val="Arial"/>
        <family val="2"/>
        <charset val="1"/>
      </rPr>
      <t>Weight Batcher/ Concrete Mixer</t>
    </r>
    <r>
      <rPr>
        <sz val="10"/>
        <color theme="1"/>
        <rFont val="Arial"/>
        <family val="2"/>
        <charset val="1"/>
      </rPr>
      <t xml:space="preserve">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 ,</t>
    </r>
    <r>
      <rPr>
        <b/>
        <sz val="10"/>
        <color theme="1"/>
        <rFont val="Arial"/>
        <family val="2"/>
        <charset val="1"/>
      </rPr>
      <t xml:space="preserve"> centering using Steel scaffolding pipes , jack props , wallers , Foot plates , brackets , steel centering plates etc., </t>
    </r>
    <r>
      <rPr>
        <sz val="10"/>
        <color theme="1"/>
        <rFont val="Arial"/>
        <family val="2"/>
        <charset val="1"/>
      </rPr>
      <t>including all operational, incidental and labour charges such as weigh batching, machine mixing, laying concrete, curing etc., and overheads &amp; contractors profit complete but excluding cost of steel and its fabrication charges for finished item of work (APSS No. 402).</t>
    </r>
    <r>
      <rPr>
        <b/>
        <sz val="10"/>
        <color theme="1"/>
        <rFont val="Arial"/>
        <family val="2"/>
        <charset val="1"/>
      </rPr>
      <t xml:space="preserve"> </t>
    </r>
  </si>
  <si>
    <r>
      <t>Supply and placing of the Design Mix Concrete M 25 grade</t>
    </r>
    <r>
      <rPr>
        <sz val="10"/>
        <color theme="1"/>
        <rFont val="Arial"/>
        <family val="2"/>
        <charset val="1"/>
      </rPr>
      <t xml:space="preserve"> corresponding to IS 456 </t>
    </r>
    <r>
      <rPr>
        <b/>
        <sz val="10"/>
        <color theme="1"/>
        <rFont val="Arial"/>
        <family val="2"/>
        <charset val="1"/>
      </rPr>
      <t xml:space="preserve">with minimum cement content of 380 kgs per 1 cum of concrete </t>
    </r>
    <r>
      <rPr>
        <sz val="10"/>
        <color theme="1"/>
        <rFont val="Arial"/>
        <family val="2"/>
        <charset val="1"/>
      </rPr>
      <t>using Weight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sales &amp; other taxes on all materials,</t>
    </r>
    <r>
      <rPr>
        <b/>
        <sz val="10"/>
        <color theme="1"/>
        <rFont val="Arial"/>
        <family val="2"/>
        <charset val="1"/>
      </rPr>
      <t xml:space="preserve"> Steel scaffolding pipes, jack Props, Steel Centering Plates,etc.,., </t>
    </r>
    <r>
      <rPr>
        <sz val="10"/>
        <color theme="1"/>
        <rFont val="Arial"/>
        <family val="2"/>
        <charset val="1"/>
      </rPr>
      <t>including all operational, incidental and labour charges such as weigh batching, machine mixing, lifting of concrete mechanically, laying concrete, curing , overheads &amp; contractors profit etc.,  complete but excluding cost of steel and its fabrication charges for finished item of work (APSS No. 402)</t>
    </r>
    <r>
      <rPr>
        <b/>
        <sz val="10"/>
        <color theme="1"/>
        <rFont val="Arial"/>
        <family val="2"/>
        <charset val="1"/>
      </rPr>
      <t xml:space="preserve"> </t>
    </r>
  </si>
  <si>
    <r>
      <t xml:space="preserve">Supply and placing of the Design Mix Concrete M 25 grade </t>
    </r>
    <r>
      <rPr>
        <sz val="10"/>
        <color theme="1"/>
        <rFont val="Arial"/>
        <family val="2"/>
        <charset val="1"/>
      </rPr>
      <t xml:space="preserve">corresponding to IS 456 with minimum cement content of 380 kgs per 1 cum of concrete using Wieght Batcher/ Concrete Mixer with 20mm size graded machine crushed hard granite metal(coarse aggregate - as per IS 383 - 1970 and IS 2386 Part 1 to Part 8) from approved quarry including cost and conveyance of all materials like cement, fine aggregate (sand) coarse aggregate, water etc., to site and sales &amp; other taxes on all materials, </t>
    </r>
    <r>
      <rPr>
        <b/>
        <sz val="10"/>
        <color theme="1"/>
        <rFont val="Arial"/>
        <family val="2"/>
        <charset val="1"/>
      </rPr>
      <t xml:space="preserve">centering using Steel scaffolding pipes, jack props, Steel centering Plates etc., </t>
    </r>
    <r>
      <rPr>
        <sz val="10"/>
        <color theme="1"/>
        <rFont val="Arial"/>
        <family val="2"/>
        <charset val="1"/>
      </rPr>
      <t xml:space="preserve">including all operational, incidental and labour charges such as weigh batching, machine mixing, lifting of concrete manually / mechanically, laying concrete, curing, overheads &amp; contractors profit etc., complete but excluding cost of steel and its fabrication charges for finished item of work (APSS No. 402). 
</t>
    </r>
  </si>
  <si>
    <r>
      <t xml:space="preserve">Supply and placing of the Design Mix Concrete M 25 grade </t>
    </r>
    <r>
      <rPr>
        <sz val="10"/>
        <color theme="1"/>
        <rFont val="Arial"/>
        <family val="2"/>
        <charset val="1"/>
      </rPr>
      <t xml:space="preserve">corresponding to IS 456 with minimum cement content of  </t>
    </r>
    <r>
      <rPr>
        <b/>
        <sz val="10"/>
        <color theme="1"/>
        <rFont val="Arial"/>
        <family val="2"/>
        <charset val="1"/>
      </rPr>
      <t>380 kgs</t>
    </r>
    <r>
      <rPr>
        <sz val="10"/>
        <color theme="1"/>
        <rFont val="Arial"/>
        <family val="2"/>
        <charset val="1"/>
      </rPr>
      <t xml:space="preserve"> per 1 cum of concrete using Concrete Wieght Batcher / Concrete Mixer with 20mm size graded machine crushed hard granite metal (coarse aggregate - as per IS 383 - 1970 and IS 2386 Part 1 to Part 8) from approved quarry including cost and conveyance of all materials like cement, fine aggregate (sand) coarse aggregate, water etc., to site and including sales &amp; other taxes on all materials ,</t>
    </r>
    <r>
      <rPr>
        <b/>
        <sz val="10"/>
        <color theme="1"/>
        <rFont val="Arial"/>
        <family val="2"/>
        <charset val="1"/>
      </rPr>
      <t xml:space="preserve"> </t>
    </r>
    <r>
      <rPr>
        <sz val="10"/>
        <color theme="1"/>
        <rFont val="Arial"/>
        <family val="2"/>
        <charset val="1"/>
      </rPr>
      <t>centering using Casurina Ballies , Bamboos , Wooden Reapers , Runners , Wood Posts , Wall Plates etc.,</t>
    </r>
    <r>
      <rPr>
        <b/>
        <sz val="10"/>
        <color theme="1"/>
        <rFont val="Arial"/>
        <family val="2"/>
        <charset val="1"/>
      </rPr>
      <t xml:space="preserve"> for 60cm wide sun-shades 7.5cm thick at fixed end and 5cm thick at free end</t>
    </r>
    <r>
      <rPr>
        <sz val="10"/>
        <color theme="1"/>
        <rFont val="Arial"/>
        <family val="2"/>
        <charset val="1"/>
      </rPr>
      <t xml:space="preserve"> with  an average  thickness of  6.25cm including all operational, incidental and labour charges such as weigh batching, machine mixing,  lifting of concrete manually, laying concrete, curing, overheads &amp; contractors profit  complete etc., but excluding cost of steel and its fabrication charges for finished item of work.   (APSS No. 402, 403 &amp; 903)</t>
    </r>
    <r>
      <rPr>
        <b/>
        <sz val="10"/>
        <color theme="1"/>
        <rFont val="Arial"/>
        <family val="2"/>
        <charset val="1"/>
      </rPr>
      <t xml:space="preserve"> </t>
    </r>
  </si>
  <si>
    <r>
      <t>Reinforced Cement Concrete  M 20 design mix</t>
    </r>
    <r>
      <rPr>
        <sz val="10"/>
        <color theme="1"/>
        <rFont val="Arial"/>
        <family val="2"/>
        <charset val="1"/>
      </rPr>
      <t xml:space="preserve"> using 12mm size hard granite machine crushed graded metal (coarse aggregate - as per IS 383 - 1970 and IS 2386 Part 1 to Part 8) from approved quarry, using a minimum quantity of 350 kgs. of cement per 1 cum of concrete using Concrete Weight Batcher / Concrete Mixer including cost and conveyance of  all materials  like cement,  fine aggregate (Sand), coarse aggregate, water etc., to site including steel centering, shuttering,  labour charges such as weigh batching, machine mixing, laying concrete, lift charges, curing etc., and overheads &amp; contractors profit complete  for finished item of work (APSS No. 402 &amp; 403) 
</t>
    </r>
    <r>
      <rPr>
        <b/>
        <sz val="10"/>
        <color theme="1"/>
        <rFont val="Arial"/>
        <family val="2"/>
        <charset val="1"/>
      </rPr>
      <t xml:space="preserve">for  platforms and shelves.  </t>
    </r>
  </si>
  <si>
    <r>
      <t>Reinforced Cement Concrete M 20 design mix</t>
    </r>
    <r>
      <rPr>
        <sz val="10"/>
        <color theme="1"/>
        <rFont val="Arial"/>
        <family val="2"/>
        <charset val="1"/>
      </rPr>
      <t xml:space="preserve"> using 12mm size hard granite machine crushed graded metal (coarse aggregate - as per IS 383 - 1970 and IS 2386 Part 1 to Part 8) from approved quarry, using a minimum quantity of 350 kgs. of cement per 1 cum of concrete using WEIGH BATCHER / MIXER including cost and conveyance of  all materials  like cement,  fine aggregate (Sand), coarse aggregate, water etc., to site including steel centering, shuttering, machine mixing, laying concrete, lift charges, curing etc., and overheads &amp; contractors profit complete  for finished item of work (APSS No. 402 &amp; 403) </t>
    </r>
    <r>
      <rPr>
        <b/>
        <sz val="10"/>
        <color theme="1"/>
        <rFont val="Arial"/>
        <family val="2"/>
        <charset val="1"/>
      </rPr>
      <t xml:space="preserve">for sill slabs.  </t>
    </r>
  </si>
  <si>
    <t>Koilkonda</t>
  </si>
  <si>
    <t>Ibrahimnagar 115/6 on Rajeev Rahariv</t>
  </si>
  <si>
    <t>Sub-Total (Civil)</t>
  </si>
  <si>
    <t xml:space="preserve">Amount </t>
  </si>
  <si>
    <t>Supply and transportation &amp; fixing of 180 W +/-10% (&gt;=18000 Lumens) LED Street light Body made of high grade pressure die – cast Aluminium alloy with corrosion resistant powder coat, having
protective toughened glass cover, Suitable lens on LEDs, Less Glare, IP 66 (Silicon gasket ensures Optical &amp; Electrical compartments are IP 66) protected, wide operating voltage range, P.F &gt; 0.90, System having efficacy &gt;110 lumens/watt, with Ingress protection IP66, Potted driver, Driver surge
protection &gt;10KV, THD&lt;15%, CCT: 3000- 6500K as desired by the department and as per IS, CRI&gt;70, Inbuilt Electrical protections like Over voltage, short circuit, Over load, Open Circuit,
Miswiring, etc complete with BIS certification with 5 years warranty. The contractor has to furnish the
manufacturer warranty letter, LM 79 and LM 80 certificates. 
LUMINAIRE MAKE:  PHILIPS / OSRAM / GE Venture / CROMPTON / BAJAJ / Surya /
Wipro / Jaquar / HAVELLS / POLYCAB /Goldmedal / HPL
LED  MAKE  :  PHILIPS  LUMILEDS  /  CREE  /  NICHIA  / OSRAM / SAMSUNG / LG LEDs.</t>
  </si>
  <si>
    <t>180 W +/-10% (&gt;=18000 Lumens)</t>
  </si>
  <si>
    <t>April, 2023</t>
  </si>
  <si>
    <r>
      <t>Earth work excavation for foundations</t>
    </r>
    <r>
      <rPr>
        <sz val="10"/>
        <color theme="1"/>
        <rFont val="Arial"/>
        <family val="2"/>
        <charset val="1"/>
      </rPr>
      <t xml:space="preserve"> </t>
    </r>
    <r>
      <rPr>
        <b/>
        <sz val="10"/>
        <color theme="1"/>
        <rFont val="Arial"/>
        <family val="2"/>
        <charset val="1"/>
      </rPr>
      <t xml:space="preserve">(Mechanical Means) for buildings in ordinary soils </t>
    </r>
    <r>
      <rPr>
        <sz val="10"/>
        <color theme="1"/>
        <rFont val="Arial"/>
        <family val="2"/>
        <charset val="1"/>
      </rPr>
      <t xml:space="preserve">and depositing on bank for all lifts and with an </t>
    </r>
    <r>
      <rPr>
        <b/>
        <sz val="10"/>
        <color theme="1"/>
        <rFont val="Arial"/>
        <family val="2"/>
        <charset val="1"/>
      </rPr>
      <t>initial lead of 10m and up to 3m depth</t>
    </r>
    <r>
      <rPr>
        <sz val="10"/>
        <color theme="1"/>
        <rFont val="Arial"/>
        <family val="2"/>
        <charset val="1"/>
      </rPr>
      <t xml:space="preserve">  including all operational, incidental, labour charges such as shoring, sheeting, planking, strutting etc., and overheads &amp; contractors profit complete for finished item of work excluding dewatering charges etc., as per SS 20 B(APSS 308).</t>
    </r>
  </si>
  <si>
    <r>
      <t>Rate per 1 cum</t>
    </r>
    <r>
      <rPr>
        <sz val="10"/>
        <color theme="1"/>
        <rFont val="Arial"/>
        <family val="2"/>
        <charset val="1"/>
      </rPr>
      <t xml:space="preserve"> (a+b+c+d) / 240</t>
    </r>
  </si>
  <si>
    <r>
      <t xml:space="preserve">Plain Cement Concrete  (1:5:10) </t>
    </r>
    <r>
      <rPr>
        <sz val="10"/>
        <color theme="1"/>
        <rFont val="Arial"/>
        <family val="2"/>
        <charset val="1"/>
      </rPr>
      <t>(cement: fine aggregate: Coarse aggregate)</t>
    </r>
    <r>
      <rPr>
        <b/>
        <sz val="10"/>
        <color theme="1"/>
        <rFont val="Arial"/>
        <family val="2"/>
        <charset val="1"/>
      </rPr>
      <t xml:space="preserve"> for foundations and under flooring bed </t>
    </r>
    <r>
      <rPr>
        <sz val="10"/>
        <color theme="1"/>
        <rFont val="Arial"/>
        <family val="2"/>
        <charset val="1"/>
      </rPr>
      <t xml:space="preserve">using </t>
    </r>
    <r>
      <rPr>
        <b/>
        <sz val="10"/>
        <color theme="1"/>
        <rFont val="Arial"/>
        <family val="2"/>
        <charset val="1"/>
      </rPr>
      <t>coarse aggregate 40mm size  hard , machine crushed  granite</t>
    </r>
    <r>
      <rPr>
        <sz val="10"/>
        <color theme="1"/>
        <rFont val="Arial"/>
        <family val="2"/>
        <charset val="1"/>
      </rPr>
      <t xml:space="preserv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overheads &amp; contractors profit  complete for finished item of work. (APSS No. 402)</t>
    </r>
  </si>
  <si>
    <t xml:space="preserve">Dismantling, clearing away and carefully stacking useful materials for re-use and disposal of unserviceable materials with 100m lead as directed by Executive Engineer duly taking actual premeasurements before dismantling including all labour charges ,etc., complete Brick masonry </t>
  </si>
  <si>
    <t>Conveyance of un-useful excavated earth to a distance of 21 KM for disposal including  hire charges of T &amp; P, labour charges etc., and complete for finished item of work.</t>
  </si>
  <si>
    <t>Rmt</t>
  </si>
  <si>
    <t>Internal Water Supply and Sanitary Items</t>
  </si>
  <si>
    <t>Supplying and fixing CP finish brass soap dish of approved make ISI quality including cost and conveyance of all materials, labour charges for fixing, for finished item of work in all floors</t>
  </si>
  <si>
    <t>Sub-Total (WS)</t>
  </si>
  <si>
    <t>Dismantling, clearing away and carefully stacking useful materials for re-use and disposal of unserviceable materials with 100m lead as directed by Executive Engineer duly taking actual premeasurements before dismantling including all labour charges ,etc., complete Kadapa slabs or shahabad stone slabs on sand bed</t>
  </si>
  <si>
    <t>Masonry work in CM(1:6) prop  (Cement : Screened sand) in superstructure with fly ash cement / lime solid blocks of size 290mm x 225mm x 140mm from approved source having minimum crushing strength of 50 Kg/Sqcm. including cost and conveyance of all materials like cement, sand, bricks, water etc., to site, including sales &amp; other taxes on all materials and such as labour charges, like mixing cement mortar, scaffolding charges, constructing masonry, lift charges, curing,etc., complete for finished item of work. (APSS No. 501 &amp; 504). First Floor</t>
  </si>
  <si>
    <t>Plastering 12mm thick in two coats using screened sand with base coat of 8mm thick in CM (1:6) and top coat of 4mm thick in CM (1:4) with dubara sponge finishing including cost and conveyance of all materials like cement, sand, water etc., to site, including sales &amp; other taxes on all materials, and all operational, incidental charges on materials and including cost of all labour charges for mixing mortar, finishing, scaffolding, lift charges, curing, including cutting grooves as directed by Engineer-in-charge etc., and complete  for finished item of work. (SS 901,903 &amp; 904). First Floor</t>
  </si>
  <si>
    <t>Supply and fixing of Cement Bonded Prelaminated Particle Board aluminum glazed partitions using 10mm Cement Bonded Prelaminated Particle Board and 5.00mm thick plain glass to full height. Using with Cement Bonded Prelaminated Particle Board to a height of 0.91 meter at bottom panel and remaining height with glass and aluminum sections anodized to 12 to 15 microns and of sections of size 37mm x 62mm and 1.5mm thickness with one meter centre to centre duly fixed with clip beading on both sides including fixing the frame to pillars by M.S. flats, bolts and nuts including cost and conveyance of all materials etc., complete as directed during execution etc., complete for finished item of work</t>
  </si>
  <si>
    <t>Flooring with soluble salt porcelain vitrified tiles screen printed and polished of size 600 x 600 mm and thickness between 8 to 10mm 1st quality conforming to IS: 13711, IS: 13712, IS: 13630(Parts 1 to 15) of any colour and finish in all shades and designs with borders and design as per the approved flooring pattern as directed by the Engineer-In -Charge, laying tiles using spacers of 2mm thick,  set over  a base coat  of CM  (1:8) prop. 12mm thick  using screened sand over CC bed already laid or RCC roof slab , including neat cement slurry   of honey  like consistency spread @ 3.3 kgs per  Sqm. and jointed neately with white cement paste to full depth  mixed with pigment of matching shade  including cost and conveyance  of all  materials  like cement,  sand, water, tiles, white cement etc., to  site (excluding cost  of C.C. bed) including cost  of  base coat  and all labour charges for  mixing of  cement mortar, laying tiles  to  required  slope  as directed  by  the  Engineer- in-charge  etc.,and complete for finished item of work. (APSS No.701 &amp; 707). First Floor</t>
  </si>
  <si>
    <t>Flooring with non-skid full body ceramic floor tiles of size 400mm x 400mm and thickness between 7 - 8mm 1st quality conforming to IS: 13711, IS: 13712, IS: 13630(Part 1 to 15) of any colour and finish in all shades and designs with borders and design as per the approved flooring pattern as directed by the Engineer-In -Charge, laying tiles using spacers of 2mm thick, set over base coat of cement mortar (1:8), 12mm thick using screened sand over CC bed already laid or RCC roof slab, including neat cement slurry of honey like consistency spread @ 3.3 Kgs per Sqm &amp; jointed neatly with white cement paste to full depth mixed with pigment of matching shade, including cost of all materials like cement, screened sand , water and tiles etc., and complete for finished item of work. (APSS No.701 &amp; 707).First Floor</t>
  </si>
  <si>
    <r>
      <t>Providing</t>
    </r>
    <r>
      <rPr>
        <sz val="10"/>
        <color theme="1"/>
        <rFont val="Arial"/>
        <family val="2"/>
        <charset val="1"/>
      </rPr>
      <t xml:space="preserve"> </t>
    </r>
    <r>
      <rPr>
        <b/>
        <sz val="10"/>
        <color theme="1"/>
        <rFont val="Arial"/>
        <family val="2"/>
        <charset val="1"/>
      </rPr>
      <t>skirting to internal walls up to 10 cm height with with Nano polished /stain free soluble salt porcelain vitrified tiles screen printed of size 600 x 600 mm and thickness between 8-10 mm 1st quality conforming to IS:13711, IS:13712, IS:13630 (Parts 1 to 15) of any colour and finish in all shades and designs</t>
    </r>
    <r>
      <rPr>
        <sz val="10"/>
        <color theme="1"/>
        <rFont val="Arial"/>
        <family val="2"/>
        <charset val="1"/>
      </rPr>
      <t>,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overheads &amp; contractors profit complete for finished item of work.(APSS No.701 &amp;707)</t>
    </r>
  </si>
  <si>
    <t>Providing skirting to internal walls up to 10 cm height with with Nano polished /stain free soluble salt porcelain vitrified tiles screen printed of size 600 x 600 mm and thickness between 8-10 mm 1st quality conforming to IS:13711, IS:13712, IS:13630 (Parts 1 to 15) of any colour and finish in all shades and designs, length equal to flooring tiles,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etc.,and complete for finished item of work.(APSS No.701 &amp;707). First Floor</t>
  </si>
  <si>
    <t>Providing dadooing to walls with  glazed full body porcelain wall tiles of size 300 x 600 mm with any type of design texture such as marble finish, wooden, bamboo, stone finishes etc., scratch less, stain free and thickness between 6-8 mm 1st quality conforming to IS:13711, IS:13712, IS:13630 (Parts 1 to 15) of any colour and finish in all shades and designs with borders as approved by Engineer-in-Charge  set over base coat of CM(1:5) 12 mm thick using screened sand with cement slurry of honey like consistency spread at the rate of 3.30 kgs per sqm and jointing with white cement paste mixed with pigment of matching shade to full depth, including cost of all materials like tiles, cement, sand and water etc., complete for finished item of work.</t>
  </si>
  <si>
    <t>Supplying and fixing Gyp Board Suspended regular single layer false ceiling (GS-MFSC-4.1) using 12.5 mm thick Gyp Board conforming to IS 2095 - 1993 fixing to Gyp steel GI perimeter channels of size 20 mm x 27 mm x 30 mm(web) of 0.55 mm thick along the perimeter of ceiling screw fixed to brick work/ partition at 610 mm c/c and suspending the frame work using Intermediate channels (45 mm x 15mm x 15mm x 0.9 mm) from soffit at 1220 mm c/c with ceiling angle (25 mm x 10 mm x 0.55 mm) fixed with GI Cleat and steel expansion fasteners &amp; connecting clip to the ceiling channels (with knurled web of 51.5 mm x 26 mm x 10.5 mm x 0.55 mm) fixed in direction perpendicular to the intermediate channel at 457 mm c/c and fixing the 12.5 mm tapered edge Gypboard with 25 mm drywall screws at 230 mm c/c &amp; jointing and finishing using joint compound and paper tape to have a flush look including filling the tapered &amp; square edges with jointing compound, two coats of drywall topcoa etc., complete for finished item of work</t>
  </si>
  <si>
    <t>Providing and applying Wall putty of White Cement or Polymer or Cement based of average 1 to 2 mm thickness over plastered surface to prepare the surface even and smooth after thoroughly brushing the surface to remove all dirt and remains of loose powdered materials, applying emery paper, Sand the surface, clean &amp; wipe off loose dust, applying knifing paste filler by putty knife / muslin pad, air dry for 2 - 3 hrs, sand with 180 and 320 No., emery paper for the surface preparation including cost and conveyance of all materials to work site and all operational, incidental, labour charges, etc., complete for finished item of work in all floors for Internal walls.</t>
  </si>
  <si>
    <t>Supply &amp; application of one coat water based cement primer of interior grade I and two coats of  acrylic emulsion paint having VOC (Volatile Organic Compound) content less than 50 grams/litre for internal walls including cost and conveyance of all materials to site, sales &amp; other taxes, incidental, operational and all labour charges etc., and complete for finished item of work in all floors.</t>
  </si>
  <si>
    <t>Supply &amp; application of one coat water based cement primer of exterior grade II and two coats of asemi glossy acrylic emulsion paint exterior premium grade with silicon additives having VOC content less than 50gm/lit for exterior walls including cost and conveyance of all materials to site, sales &amp; other taxes, incidental, operational and all labour charges etc., and complete for finished item of work in all floors.</t>
  </si>
  <si>
    <t>Painting two coats with synthetic enamel paint Grade-II VOC (Volatile Organic Compound) content less than 30 grams/litre to new iron work including cost and conveyance of all materials to site, sales &amp; other taxes, incidental, operational and all labour charges etc., and complete for finished item of work in all floors. (SS No. 1201, 1212 &amp; 1207).</t>
  </si>
  <si>
    <t xml:space="preserve">Supply  and fixing of Venetian blinds Vertical blinds 100 mm wide with all accessories including cost and conveynace of materials, labour charges  and  etc., for complete finished item of work. </t>
  </si>
  <si>
    <t>Supply and fixing of Ashirvad/ Ajay/ Astral Flowguard or equivalent CPVC Pipes and Fittings SDR 13.5 to meet the requirement of ASTM-D 2846 and are produced in CTS (Copper Tube Sizes 1/2" to 2") for hot and cold water (IS 15778:2007) including cost and conveyance of all materials to site, labour charges for fixing, complete for finished item of work at all floor levels.22.20mm OD pipe</t>
  </si>
  <si>
    <t>Supplying and fixing Indian make Flat Back Wash Hand Basin 1st quality conforming to IS:2556-Part-4:1972 of size 550mm x 400mm with  32 mm nominal size C.P. Fitting with parallel pipe thread conforming to IS:2963-1979 and fitted with 15 mm nominal bore Chromium Plated Pillar Tap of 1st quality Indian make heavy duty complete with standard CI brackets including wooden blocks ,1 No.12.70mm PVC connection with brass union nuts CP coated , angle stop cock 12.70mm dia. first quality Indian make heavy duty, 30mm dia. PVC flexible waste pipe 914.4mm length of 1st quality including cost and conveyance of all materials to site, labour charges , for finished item of work.</t>
  </si>
  <si>
    <t>Supplying and fixing 15 mm brass body CP finish bib tap of not less than 300 grams weight screw type (full turn) with internal / external threaded connection conforming to IS 8931 as approved by the Engineer-In-Charge including cost and conveyance of all materials, labour charges , complete for finished item of work in all floors.</t>
  </si>
  <si>
    <t>Supplying and fixing of 4" (101.6mm) multi floor trap with jali - UPVC/SWR pipe fittings as per site requirements with standard practice  for all floors including cost and conveyance of all materials to site, labour charges , etc., complete for finished item of work.</t>
  </si>
  <si>
    <t xml:space="preserve">Supplying and fixing of SWR PVC pipes (Prince/Sudhakar/Kisan/Supreme or any ISI brand) 4 Kg/Sq.cm. and fixing all special such as plain bends, off sets, door bends, single junctions, double junctions as per site requirement, fixing with PVC clamps if necessary with required number of Bombay nails including cost and conveyance of all materials to site, labour charges, complete for finished item of work at all floor levels. (APSS No. 1302  1319 &amp; 1326). 110mm dia </t>
  </si>
  <si>
    <t>Internal Electrical Items</t>
  </si>
  <si>
    <t>Wiring with run of 2 of 1.5 Sqmm FRLSH / HFFR PVC insulated 1100V grade as per IS:694/1990, IS 17048 specification for Copper cable. in existing PVC conduit pipe including Supply and fixing of Jumbo Ceiling rose and 6A/10A ISI Mark 1way Modular switch with required modular box and cover frame  in existing Surface or Concealed pipe wiring including cost and conveyance of all material and all labour charges etc., complete for light, Fan, Exhaust fan and bell  points in N.R.B.   Makes of wires : Finolex / RR kabel / Havells / Polycab / Finecab Gold (HFFR) / GM(HFFR) / Gold Medal(HFFR) / Million (HFFR) / KEI (HFFR) / V-Guard (HFFR)./ DEC (HFFR).
Makes of switches : Legrand Arteor / Schneider Zen celo / Honeywell Blenge Plus / Cabtree Amare / Logus Platina / Gold Medal GIFA / GM-Zenova/ L&amp;T- Englaze.</t>
  </si>
  <si>
    <t>Each Pts</t>
  </si>
  <si>
    <t>Supply and fixing of 10A 3/2 Pin 2 Module Modular Socket with shutter with 6 / 10A 1 Way 1 Module Modular Switch, 3 Module box with cover frame  in Common switch board including cost and conveyance of all materials and all labour charges etc., complete in N.R.B. / R.B. 
Makes of switches : Legrand Arteor / Schneider Zen celo / Honeywell Blenge Plus / Cabtree Amare / Logus Platina / Gold Medal GIFA / GM-Zenova/ L&amp;T- Englaze.</t>
  </si>
  <si>
    <t>Supply and fixing of 16A / 6A 2 Module Combi Socket Modular Socket with shutter with 16A/20A 1 Way 1 Module Modular Switch  fixed on suitable size Modular box with required cover frame including with connections, cost and conveyance of all material and all labour charges etc., complete in N.R.B. / R.B.  
Makes of switches : Legrand Arteor / Schneider Zen celo / Honeywell Blenge Plus / Cabtree Amare / Logus Platina / Gold Medal GIFA / GM-Zenova/ L&amp;T- Englaze.</t>
  </si>
  <si>
    <t>Supply, transportation and fixing of  22W +/ 10% , &gt;/ 2300 lumens, 1200mm length LED light housing made with alluminium anodised body, wide operating voltage with PF≥0.9, Surge protection: &gt; 2KV, THD&lt;10%, with inbuilt driver and frosted cover CCT: 3000K - 6500K as desired by the department as per IS, minimum CRI≥80 etc., complete with 5 years warranty with BIS Certification with BIS Certification LUMINAIRE MAKE:   Phillips / OSRAM / GE Venture / Wipro / Crompton / Bajaj / Havells / Jaquar / Panasonic / Halonix / HPL. LED  MAKE  :  PHILIPS  LUMILEDS  /  CREE  /  NICHIA  / OSRAM / SAMSUNG / LG LEDs.</t>
  </si>
  <si>
    <t>No's</t>
  </si>
  <si>
    <t>Supply, transportation and fixing of 18 W +/-10% (&gt;= 1800 Lumens)  back lit LED Down Light Recessed / Surface mounting round / square with housing made of Powder coated Pressure die cast aluminium housing with extended heat sink, with Protruded high efficiency diffuser, IP20, with wide operating voltage range, Power factor &gt; 0.9, Surge protection: &gt; 2KV, System efficacy of &gt;100 lumens/watt, CCT: 3000K - 6500K as desired by the department and as per IS, CRI &gt;80, and THD is less than 15% etc., complete with 5 years warranty with BIS Certification.
LUMINAIRE MAKE:   Phillips / OSRAM / GE Venture / Wipro / Crompton / Bajaj / Havells / Jaquar / Panasonic / Halonix / HPL. LED  MAKE  :  PHILIPS  LUMILEDS  /  CREE  /  NICHIA  / OSRAM / SAMSUNG / LG LEDs.</t>
  </si>
  <si>
    <t>Supply, transportation and fixing 32-36W (&gt;=3240 Lumens)  Edge lit, 2' x2' (600mm x 600mm) slim panel Recessed / Surface LED luminaire Square Housing Made of Aluminum alloy with corrosion resistant powder coat, with high efficiency acrylic wide diffuser, with wide operating voltage range, Power factor &gt; 0.9, Surge protection &gt;2KV, System efficacy of &gt;90 lumens/watt, CCT: 3000K - 6500K as desired by the department, CRI &gt;80, and THD is less than 15% with non integrated driver etc., complete with 2 years warranty with BIS Certification. 
LUMINAIRE MAKE:   Phillips / OSRAM / GE Venture / Wipro / Crompton / Bajaj / Havells / Jaquar / Panasonic / Halonix / HPL.
LED  MAKE  :  PHILIPS  LUMILEDS  /  CREE  /  NICHIA  / OSRAM / SAMSUNG / LG LEDs.</t>
  </si>
  <si>
    <t>Supply of 48" (1200mm) 5 star rated Sweep Ceiling Fan with all accessories etc., complete.
Makes : Crompton HS Plus / Havells ES NEO / Orient Energy Star</t>
  </si>
  <si>
    <t>Supply, transportation and installation  of split AC unit with high wall mounted 100% copper indoor unit and outdoor condencing unit Hermetically sealed compressor suitable for operation on 230V, 50Hz, 1Phase AC supply capable of performing cooling dehumidifying air circulating and filtering with cooling and condensing units with 3.0 mts of copper piping, insulation kit and 4 mts of 3 core copper flexible chord (Voltage range 160- 264 volts) and cordless remote control with 5 years warranty compressor and comprehensive maintenance for 2 years.2.0 / 1.8 TR 2-3 Star capable of delivering 21600 BTU/hr and above
Makes : Daikin / Thoshiba / O General / Carrier / Blue Star / Hitachi</t>
  </si>
  <si>
    <t>Supply and erecting fully automatic line voltage stabilizer for operation on input voltage 200 to 250V. rated  for 5 KVA maximum load and time delay model with  Volt meter, selector switch, 6A / 16A flush type, 5 pin socket for out put and with 3 core flexible chord and 3 pin 6/16A plug top suitable for refrigerator for continuous operation including cost and conveyance of all mateials and all labour charges etc., complete. Makes : V-Guard / Real Guard / Uni Stab / ITL.</t>
  </si>
  <si>
    <t xml:space="preserve">Supply and fixing of DP/FP Metal Enclosure with IP 20 Protection DB Make with 1 No 20A, 10 KA DP MCB   including internal connection and labour charges for Flush Mounting etc.,complete. 
Makes of Enclousure : Legrand / Schneider / Siemens / L&amp;T / Crabtree Xpro / ABB / C&amp;S  
MCB Makes : Legrand-DX3 / Schneider-Acti9 / Siemens / L&amp;T Exora. </t>
  </si>
  <si>
    <t>Name of Work:  Creation of Infrastructure Facilities for skill Dvelopment lab at 6th Floor OPD Block-3 in Gandhi Hospital, Secunderabad (Balance Work)</t>
  </si>
  <si>
    <t>REVISED ESTIMATE</t>
  </si>
  <si>
    <t>As per Sanctioned Estimate</t>
  </si>
  <si>
    <t>Excess</t>
  </si>
  <si>
    <t>Less</t>
  </si>
  <si>
    <t>Remarks</t>
  </si>
  <si>
    <t>QTY</t>
  </si>
  <si>
    <t xml:space="preserve">Unit 
</t>
  </si>
  <si>
    <t>Amount 
(Rs.)</t>
  </si>
  <si>
    <t>CIVIL WORKS</t>
  </si>
  <si>
    <t>Civil  Total :-</t>
  </si>
  <si>
    <t>Water Supply &amp; Sanitary work Total:-</t>
  </si>
  <si>
    <t>Electrical Total:-</t>
  </si>
  <si>
    <t>Grand Total:-</t>
  </si>
  <si>
    <t xml:space="preserve">GENERAL ABSTRACT </t>
  </si>
  <si>
    <t>As per Sanction Estimate</t>
  </si>
  <si>
    <t>As per Workdone Estimate</t>
  </si>
  <si>
    <t>Civil Work</t>
  </si>
  <si>
    <t>Sub Total:</t>
  </si>
  <si>
    <t>Provision towards Seniorgae Charges 1.00%</t>
  </si>
  <si>
    <t>Provision towards DMF Charges 30%</t>
  </si>
  <si>
    <t>Provision towards SMFT Charges 2%</t>
  </si>
  <si>
    <t>Provision towards NAC Charges 0.1%</t>
  </si>
  <si>
    <t>Provision towards GST 18%</t>
  </si>
  <si>
    <t>Provision towards unforeseen items and rounding off</t>
  </si>
  <si>
    <t>Civil Supplimental work</t>
  </si>
  <si>
    <t>Water Supply &amp; Sanitary Work</t>
  </si>
  <si>
    <t>Water Supply &amp; Sanitary Supplimnetal</t>
  </si>
  <si>
    <t>Electrical Work</t>
  </si>
  <si>
    <t>Deduct T.P@ 5.3% Less</t>
  </si>
  <si>
    <t>Saving for T.P 5.3% Less (-)</t>
  </si>
  <si>
    <t>PROFORMA ESTIMATE</t>
  </si>
  <si>
    <t xml:space="preserve">           Description of Work</t>
  </si>
  <si>
    <t>No.s</t>
  </si>
  <si>
    <t>Plain Cement Concrete  (1:5:10) (cement: fine aggregate: Coarse aggregate) for foundations and under flooring bed using coarse aggregate 40mm size  hard , machine crushed  granite from approved quarry including cost and conveyance of all materials like cement, sand, coarse aggregate, water etc. to site, sales &amp; other taxes on all materials and including all charges for machine mixing, laying concrete in foundations and under flooring bed, ramming in 15 cm layers finishing top surface to the required level curing etc.,and complete for finished item of work. (APSS No. 402)</t>
  </si>
  <si>
    <t>Skill station-4 Selfs</t>
  </si>
  <si>
    <t>Bottom</t>
  </si>
  <si>
    <t>Skill station-5 Selfs</t>
  </si>
  <si>
    <t>Ladies Toilet</t>
  </si>
  <si>
    <t>Gen. Toilet</t>
  </si>
  <si>
    <t>Kitechen Wash area</t>
  </si>
  <si>
    <t>Dining hall</t>
  </si>
  <si>
    <t>Dining hall long wall</t>
  </si>
  <si>
    <t>Short wall</t>
  </si>
  <si>
    <t>Long wall</t>
  </si>
  <si>
    <t>Selfs</t>
  </si>
  <si>
    <t>Kitechen selfs</t>
  </si>
  <si>
    <t>side walls</t>
  </si>
  <si>
    <t>Back side</t>
  </si>
  <si>
    <t>Deduct W (-)</t>
  </si>
  <si>
    <t>Deduct Granite(-)</t>
  </si>
  <si>
    <t>Toilet front</t>
  </si>
  <si>
    <t>Deduct Grill(-)</t>
  </si>
  <si>
    <t>Wall</t>
  </si>
  <si>
    <t>Deduct Door(-)</t>
  </si>
  <si>
    <t>Short wall out side</t>
  </si>
  <si>
    <t>Out side</t>
  </si>
  <si>
    <t>Kichen</t>
  </si>
  <si>
    <t>Deduct Wash area (-)</t>
  </si>
  <si>
    <t>Deduct Wash Toilet (-)</t>
  </si>
  <si>
    <t>Kitchen Wash area</t>
  </si>
  <si>
    <t>Kitchen room</t>
  </si>
  <si>
    <t>Skill station -4</t>
  </si>
  <si>
    <t>Skill station -5</t>
  </si>
  <si>
    <t>Corridor area</t>
  </si>
  <si>
    <t>Top</t>
  </si>
  <si>
    <t>Kitchen</t>
  </si>
  <si>
    <t>Skill station-4</t>
  </si>
  <si>
    <t>Skill station-5</t>
  </si>
  <si>
    <t>Deduct W(-)</t>
  </si>
  <si>
    <t>Deduct door(-)</t>
  </si>
  <si>
    <t>Column</t>
  </si>
  <si>
    <t>Deduct V(-)</t>
  </si>
  <si>
    <t>Wash area</t>
  </si>
  <si>
    <t>Beams sides</t>
  </si>
  <si>
    <t>Toilet</t>
  </si>
  <si>
    <t>Front side</t>
  </si>
  <si>
    <t>Deduct Grill</t>
  </si>
  <si>
    <t>Malevage room</t>
  </si>
  <si>
    <t>Kitchen W</t>
  </si>
  <si>
    <t>Store</t>
  </si>
  <si>
    <t>Civil Supplimnetal Work</t>
  </si>
  <si>
    <t>Front beam</t>
  </si>
  <si>
    <t>Steps near</t>
  </si>
  <si>
    <t>Civil Supplimnetal Total:-</t>
  </si>
  <si>
    <t>Water Supply &amp; Sanitary Supplimnetal Item:-</t>
  </si>
  <si>
    <t>Water Supply &amp; Sanitary Supplimnetal Total:-:-</t>
  </si>
  <si>
    <t>Electrical Supplimnetal Item:-</t>
  </si>
  <si>
    <t>Supply, Fabrication of 1set MS bracket 
suitable for fixing out door unit of split 
AC unitProviding 2 runs of Copper tubes for 
suction and liquid between indoor and 
outdoor unit for split/Casseete Air Conditioner including foaming etc., 
complete.</t>
  </si>
  <si>
    <t>Copper pipe</t>
  </si>
  <si>
    <t>Electrical Supplimnetal Total:-</t>
  </si>
  <si>
    <t xml:space="preserve">Electrical Supplimental </t>
  </si>
  <si>
    <r>
      <t>Supplying and fixing of 16mm to 20 mm thick  partitioins of size 4' 0" x 2' 0" for urinals</t>
    </r>
    <r>
      <rPr>
        <sz val="11"/>
        <color theme="1"/>
        <rFont val="Cambria"/>
        <family val="2"/>
        <charset val="1"/>
      </rPr>
      <t xml:space="preserve"> including full rounding the edges, fixing in position, polishing, including cost and conveyance of all materials and labour charges, overheads &amp; contractors profit complete for finished item of work for all  floors.</t>
    </r>
  </si>
  <si>
    <t>Face</t>
  </si>
  <si>
    <t xml:space="preserve">Supply, of suitable for fixing out door unit of split 
AC unitProviding 2 runs of Copper tubes for 
suction and liquid between indoor and 
outdoor unit for split/Casseete Air Conditioner including foaming etc., 
complete.
</t>
  </si>
  <si>
    <t>Brick work</t>
  </si>
  <si>
    <t>Deduction Door(-)</t>
  </si>
  <si>
    <t>Front face</t>
  </si>
  <si>
    <t>2.3m x 2.80m</t>
  </si>
  <si>
    <t>1x1x2.3x2.8</t>
  </si>
  <si>
    <t>Top &amp; Bottom face</t>
  </si>
  <si>
    <t>2x2.3x0.2</t>
  </si>
  <si>
    <t>Sides vertical</t>
  </si>
  <si>
    <t>2x2.8</t>
  </si>
  <si>
    <t>Ply wood Board Total Qty</t>
  </si>
  <si>
    <t>Add 5%</t>
  </si>
  <si>
    <t>Melamine Laminate Sheet Mat finish 1mm/0.8mm thick S.L.NO.338.SSR2021-2022</t>
  </si>
  <si>
    <t>1x2.3*2.8</t>
  </si>
  <si>
    <t xml:space="preserve">one </t>
  </si>
  <si>
    <t>Supply, Transportation, Installation, 
Testing and commissioning of storage / 
Pressure type Vertical / Horizontal 
230/250V single phase 2000 watts 5 Star 
rated water heater with ABS plastic body 
of -------------- capacity to withstand up 
to 8.0 bar of water pressure including all 
standard accessories and dead weight 
pressure reducing valve on out let side, 
including cost of 2 Nos SS flexible braided 
hose pipe, testing and all labour charges 
etc., complete. 
Makes : Crompton / Jaquar / Venus / 
Racold / AO Smith / Havells / Bajaj or 
equivalent as approved by the Dept</t>
  </si>
  <si>
    <t xml:space="preserve">10 Ltrs </t>
  </si>
  <si>
    <t>a) Material ELEC-5.2.1 s.No 1040</t>
  </si>
  <si>
    <t xml:space="preserve">As per Workdone </t>
  </si>
  <si>
    <t>AE</t>
  </si>
  <si>
    <t>Inside Box</t>
  </si>
  <si>
    <t>S.No.384TBSC-J.IV-04 elamine Laminate Sheets - Mat Finish: 1.00 mm thick  Grade-1mm</t>
  </si>
  <si>
    <t>S.NO 367 TBSC-J.I-07 9 Ply - 18 mm thick Plywood conforming to IS:303 MR 
Grade</t>
  </si>
  <si>
    <t>s.No 241 Supply of wood adhesive compound TBSC-G.I-18</t>
  </si>
  <si>
    <t>B.Labour charges abour charges for making, fabricating office racks, cup board shutters etc with ply-wood/ MDF sheets, decolam/ 
veneer laminations including fixing cutting, making, 
assembling, fixing hinges, fixing fixtures, fixing locks, 
pasting sheets/ laminations fixing in position with 
necessary screws excluding cost of materials, 
accessories, fittingsTBSC-T.I-07 S.No 999</t>
  </si>
  <si>
    <t>Add for MA @ 40%</t>
  </si>
  <si>
    <t xml:space="preserve">Add for 63 to 100 mm 0 Gauge Nails ELEC-9.1.9 </t>
  </si>
  <si>
    <t xml:space="preserve">Rate per 6.44Sqm: </t>
  </si>
  <si>
    <r>
      <t xml:space="preserve">Providing of fixing of wall panel  wood work required size made by 18mm thick BMR plywood exterior grade of approved brand as per Is 710 and of makes and laminated with 1mm thick laminated of approved brand and of approved makes paste  on the eteriie surface &amp; inteoir surface with adhesive likes Marins favicol or equivalent the by ply wood shall be approved with (Note.The rate shall including the cost of matirieal and labour for all </t>
    </r>
    <r>
      <rPr>
        <sz val="10"/>
        <color theme="1"/>
        <rFont val="Arial"/>
        <family val="2"/>
        <charset val="1"/>
      </rPr>
      <t xml:space="preserve"> arrangements for shutters including cost and conveyance of all materials to site, labour charges, over heads and contractor profit etc., complete for finished item of work.</t>
    </r>
  </si>
  <si>
    <t>4x1.2x0.2</t>
  </si>
  <si>
    <t>Skill station-3</t>
  </si>
  <si>
    <r>
      <t>Pre construction Anti termite treatment is a process in which chemical toxic to sub terrain termites is apply/ inject into soil during early stage of building Construction Treatment of soil Beneath the building and around the foundations conduct and chemical use as per BIS - IS 6313 (Part -2) 2013 code specification &amp; CIB RC registered termiticide which creates a continuous chemical barrier beneath the building which kills or repels terminates &amp; impervious to tremite entry Imidacloprid 30.5% SC (IS 63131) dissolve 2.1 Ml/1 liter of water and apply emulsion/solution @ 7.5 Litres/Square meter (Sqm) of internal, external vertical surface of the columns , plinth beams (Back filling) walls and floor junction, external perimeters, along retaining wall @ 5.0 Liters/Sqm of the horizontal surface of basement top surface of the basement filling below flooring bed (Plinth) &amp; @ 2.0 Litres/ Line meter at expansion joints. The substructure of a depth of 500mm around columns &amp; 300mm deep around plinth beams, basements &amp; floor filling area including excavation channel along the wall &amp; rodding etc. cost &amp; Conveyance of all materials to the site, cost of labour for spraying, rodding etc. complete for furnished item of work as per the approval of the Engineer-in-charge(Plinth area measurements will be taken for payment).</t>
    </r>
    <r>
      <rPr>
        <sz val="10"/>
        <color theme="1"/>
        <rFont val="Arial"/>
        <family val="2"/>
        <charset val="1"/>
      </rPr>
      <t xml:space="preserve"> .</t>
    </r>
  </si>
  <si>
    <t>The work taken up brick erailer was mow proposed for plastering</t>
  </si>
  <si>
    <t xml:space="preserve">The work taken up  Daining hall and kichen room hence it is exceed Qty </t>
  </si>
  <si>
    <t>As per site condition debries materiel shifted hence it is exceed</t>
  </si>
  <si>
    <t>As per site required to Daining hall , kichen room provid  hence it is Supplimnetal</t>
  </si>
  <si>
    <t>As per site required to hence it is Supplimnetal</t>
  </si>
  <si>
    <t>As per site required to Skill station 4-kill station-5 not used for some days anti termite treatment used   hence it is Supplimnetal</t>
  </si>
  <si>
    <t>As per sanction</t>
  </si>
  <si>
    <t>As per work done</t>
  </si>
  <si>
    <t>Difference</t>
  </si>
  <si>
    <t>Diff</t>
  </si>
  <si>
    <t>VP 1 OF MB 949</t>
  </si>
  <si>
    <t>VP 2 OF MB 949</t>
  </si>
  <si>
    <t>VP 3 OF MB 949</t>
  </si>
  <si>
    <t>VP 4 OF MB 949</t>
  </si>
  <si>
    <t>VP 5 OF MB 949</t>
  </si>
  <si>
    <t>VP 6 OF MB 949</t>
  </si>
  <si>
    <t>VP 7 OF MB 949</t>
  </si>
  <si>
    <t>VP 8 OF MB 949</t>
  </si>
  <si>
    <t>VP 9OF MB 949</t>
  </si>
  <si>
    <t>VP 10 OF MB 949</t>
  </si>
  <si>
    <t>VP 10OF MB 949</t>
  </si>
  <si>
    <t>VP 11OF MB 949</t>
  </si>
  <si>
    <t>VP 12 OF MB 949</t>
  </si>
  <si>
    <t>VP 13OF MB 949</t>
  </si>
  <si>
    <t>VP 13 OF MB 949</t>
  </si>
  <si>
    <t>VP 14 OF MB 949</t>
  </si>
  <si>
    <t>VP 15OF MB 949</t>
  </si>
  <si>
    <t>VP 16 OF MB 949</t>
  </si>
  <si>
    <t>VP 17 OF MB 949</t>
  </si>
  <si>
    <t>VP 17OF MB 949</t>
  </si>
  <si>
    <t>VP  18 OF MB 949</t>
  </si>
  <si>
    <t>VP  19 OF MB 949</t>
  </si>
  <si>
    <t>VP 19 OF MB 949</t>
  </si>
  <si>
    <t>VP 20 OF MB 949</t>
  </si>
  <si>
    <t>VP 21  OF MB 949</t>
  </si>
  <si>
    <t>VP 22  OF MB 949</t>
  </si>
  <si>
    <t>VP 22 OF MB 949</t>
  </si>
  <si>
    <t>VP 23 OF MB 949</t>
  </si>
  <si>
    <t>VP 24 OF MB 949</t>
  </si>
  <si>
    <t>VP 25 OF MB 949</t>
  </si>
  <si>
    <t>VP 25  OF MB 949</t>
  </si>
  <si>
    <t>VP 26 OF MB 949</t>
  </si>
  <si>
    <t>VP 27  OF MB 949</t>
  </si>
  <si>
    <t>VP 28 OF MB 949</t>
  </si>
  <si>
    <t xml:space="preserve">Supply, Transportation, Installation, 
Testing and commissioning of storage / 
Pressure type Vertical / Horizontal 
230/250V single phase 2000 watts 5 Star 
rated water heater with ABS plastic body 
of 10 Litres capacity to withstand up 
to 8.0 bar of water pressure including all 
standard accessories and dead weight 
pressure reducing valve on out let side, 
including cost of 2 Nos SS flexible braided 
hose pipe, testing and all labour charges 
etc., complete. 
Makes : Crompton / Jaquar / Venus / 
Racold / AO Smith / Havells / Bajaj or 
equivalent as approved by the Dept.10 Ltrs
</t>
  </si>
  <si>
    <t>Doors</t>
  </si>
  <si>
    <t>Deduct T.P  5.3%(-)</t>
  </si>
  <si>
    <t xml:space="preserve"> Total:-</t>
  </si>
  <si>
    <t>Add GST 18%</t>
  </si>
  <si>
    <t>***</t>
  </si>
  <si>
    <t>SPECIFICATION REPORT</t>
  </si>
  <si>
    <t>Estimate Cost:Rs. 12.75Lakhs</t>
  </si>
  <si>
    <t xml:space="preserve">   The estimate for the work of “ Creation of Infrastructure Facilities for skill Dvelopment lab at 6th Floor OPD Block-3 in Gandhi Hospital, Secunderabad (Balance Work) was awarded to M/S Shabnam Constructions,, vide agreement No. 38/SE/TSMSIDC/Cir-cle/Hyd/2022-23  dated: 19.06.2023 for Rs. 10,28,692/- @ 5.3% Less than estimate contract value of Rs. 9,74,171/- (SSR 2022-23) with stipulated period of 1 months for completion of work. </t>
  </si>
  <si>
    <t xml:space="preserve">     Hence the estimate is prepared as per the current SSR 2022-23 for an amount of Rs. 12.75 Lakhs for Technical sanction to call the tenders as early as possible. To ground the work.</t>
  </si>
  <si>
    <t>Providing of fixing of wall panel  wood work required size made by 18mm thick BMR plywood exterior grade of approved brand as per Is 710 and of makes and laminated with 1mm thick laminated of approved brand and of approved makes paste  on the eteriie surface &amp; inteoir surface with adhesive likes Marins favicol or equivalent the by ply wood shall be approved with (Note.The rate shall including the cost of matirieal and labour for all  arrangements for shutters including cost and conveyance of all materials to site, labour charges, over heads and contractor profit etc., complete for finished item of work.</t>
  </si>
  <si>
    <t>Suuplying and fixing of Rooms sign boards with 5mm  thickness in the front shape and cutting Mounting and fixing as per the contents providing by the department with complete finish item and overheads &amp; contratores profit complete for finished item of work.</t>
  </si>
  <si>
    <t>Constructing 457.2 mm x 457.2 mm (1'6"x1'6") brick in CM 1:6 prop. Masonry. Inspection chamber upto 914.4 mm (3'0") and fitted with light weight 457.2 mm x 457.2 mm (1'6"x1'6") C.I frame and  cover of 20 Kg including cost and conveyance of all materials like cement, sand, bricks, water etc., to site, cost of seigniorage charges on all materials and all incidental and  operational, labour charges like mixing cement mortar, constructing masonry, lift charges, curing , overheads &amp; contractors profit etc., complete for finished item of work as per Standard specification.</t>
  </si>
  <si>
    <t>Agreement-1</t>
  </si>
  <si>
    <t>Agreement-2</t>
  </si>
  <si>
    <t>Agreement-3</t>
  </si>
  <si>
    <t>Total Value to date</t>
  </si>
  <si>
    <t>Deduct/previous measurrement</t>
  </si>
  <si>
    <t>Since last measurement</t>
  </si>
  <si>
    <t>CC2nd &amp; Final Bill</t>
  </si>
  <si>
    <t>For1.80mx1.80m size</t>
  </si>
  <si>
    <t>2 ( 1.80+ 1.80 )</t>
  </si>
  <si>
    <t>7.2 RM @ 1.80 Kgs/RM</t>
  </si>
  <si>
    <t xml:space="preserve">Vertical bars  </t>
  </si>
  <si>
    <t xml:space="preserve">Horizontal bars    </t>
  </si>
  <si>
    <t>16 x 1.80</t>
  </si>
  <si>
    <t>2 x 1.80</t>
  </si>
  <si>
    <t>Rate per 3.24Sqm</t>
  </si>
</sst>
</file>

<file path=xl/styles.xml><?xml version="1.0" encoding="utf-8"?>
<styleSheet xmlns="http://schemas.openxmlformats.org/spreadsheetml/2006/main">
  <numFmts count="27">
    <numFmt numFmtId="164" formatCode="\\#,##0.00"/>
    <numFmt numFmtId="165" formatCode="\\#,##0"/>
    <numFmt numFmtId="166" formatCode="#,##0.0\%_);\(#,##0.0&quot;%)&quot;"/>
    <numFmt numFmtId="167" formatCode="0%;\(0%\)"/>
    <numFmt numFmtId="168" formatCode="0.0%"/>
    <numFmt numFmtId="169" formatCode="0.000000"/>
    <numFmt numFmtId="170" formatCode="_(* #,##0_);_(* \(#,##0\);_(* \-?????_);_(@_)"/>
    <numFmt numFmtId="171" formatCode="mm/yy"/>
    <numFmt numFmtId="172" formatCode="&quot;Add for MA @&quot;0"/>
    <numFmt numFmtId="173" formatCode="0.000%"/>
    <numFmt numFmtId="174" formatCode="\(0\)"/>
    <numFmt numFmtId="175" formatCode="0.000"/>
    <numFmt numFmtId="176" formatCode="0.00000"/>
    <numFmt numFmtId="177" formatCode="0.00&quot;  &quot;"/>
    <numFmt numFmtId="178" formatCode="0.0000"/>
    <numFmt numFmtId="179" formatCode="0.0"/>
    <numFmt numFmtId="180" formatCode="0.00;[Red]0.00"/>
    <numFmt numFmtId="181" formatCode="0.00\ ;\(0.00\)"/>
    <numFmt numFmtId="182" formatCode="&quot;x  &quot;0.00"/>
    <numFmt numFmtId="183" formatCode="&quot;= &quot;0.00"/>
    <numFmt numFmtId="184" formatCode="0\ ;\(0\)"/>
    <numFmt numFmtId="185" formatCode="0.000\ ;\(0.000\)"/>
    <numFmt numFmtId="186" formatCode="0.00;[Red]\-0.00"/>
    <numFmt numFmtId="187" formatCode="0;[Red]0"/>
    <numFmt numFmtId="188" formatCode="0.00\ \ "/>
    <numFmt numFmtId="189" formatCode="0.00\ "/>
    <numFmt numFmtId="190" formatCode="0\ "/>
  </numFmts>
  <fonts count="107">
    <font>
      <sz val="10"/>
      <name val="Arial"/>
      <family val="2"/>
    </font>
    <font>
      <sz val="11"/>
      <color theme="1"/>
      <name val="Calibri"/>
      <family val="2"/>
      <scheme val="minor"/>
    </font>
    <font>
      <sz val="11"/>
      <color theme="1"/>
      <name val="Calibri"/>
      <family val="2"/>
      <scheme val="minor"/>
    </font>
    <font>
      <sz val="11"/>
      <color indexed="8"/>
      <name val="Calibri"/>
      <family val="2"/>
      <charset val="1"/>
    </font>
    <font>
      <sz val="11"/>
      <color indexed="8"/>
      <name val="-3 fg"/>
      <charset val="1"/>
    </font>
    <font>
      <sz val="10"/>
      <name val="Arial"/>
      <family val="2"/>
      <charset val="1"/>
    </font>
    <font>
      <sz val="10"/>
      <color indexed="8"/>
      <name val="Arial"/>
      <family val="2"/>
      <charset val="1"/>
    </font>
    <font>
      <sz val="12"/>
      <color indexed="12"/>
      <name val="Times New Roman"/>
      <family val="1"/>
      <charset val="1"/>
    </font>
    <font>
      <sz val="11"/>
      <name val="Times New Roman"/>
      <family val="1"/>
      <charset val="1"/>
    </font>
    <font>
      <sz val="10"/>
      <name val="Times New Roman"/>
      <family val="1"/>
      <charset val="1"/>
    </font>
    <font>
      <sz val="12"/>
      <name val="Times New Roman"/>
      <family val="1"/>
      <charset val="1"/>
    </font>
    <font>
      <sz val="11"/>
      <name val="Cambria"/>
      <family val="1"/>
      <charset val="1"/>
    </font>
    <font>
      <b/>
      <sz val="10"/>
      <name val="Cambria"/>
      <family val="1"/>
      <charset val="1"/>
    </font>
    <font>
      <sz val="10"/>
      <name val="Cambria"/>
      <family val="1"/>
      <charset val="1"/>
    </font>
    <font>
      <sz val="10"/>
      <name val="Cambria"/>
      <family val="2"/>
      <charset val="1"/>
    </font>
    <font>
      <sz val="11"/>
      <name val="Cambria"/>
      <family val="2"/>
      <charset val="1"/>
    </font>
    <font>
      <sz val="10"/>
      <color indexed="12"/>
      <name val="Cambria"/>
      <family val="1"/>
      <charset val="1"/>
    </font>
    <font>
      <sz val="11"/>
      <color indexed="12"/>
      <name val="Cambria"/>
      <family val="1"/>
      <charset val="1"/>
    </font>
    <font>
      <sz val="11"/>
      <name val="Calibri"/>
      <family val="2"/>
      <charset val="1"/>
    </font>
    <font>
      <sz val="11"/>
      <color indexed="10"/>
      <name val="Calibri"/>
      <family val="2"/>
      <charset val="1"/>
    </font>
    <font>
      <b/>
      <sz val="10"/>
      <name val="Arial"/>
      <family val="2"/>
      <charset val="1"/>
    </font>
    <font>
      <sz val="10"/>
      <color indexed="17"/>
      <name val="Arial"/>
      <family val="2"/>
      <charset val="1"/>
    </font>
    <font>
      <b/>
      <sz val="10"/>
      <color indexed="17"/>
      <name val="Arial"/>
      <family val="2"/>
      <charset val="1"/>
    </font>
    <font>
      <sz val="10"/>
      <color indexed="10"/>
      <name val="Arial"/>
      <family val="2"/>
      <charset val="1"/>
    </font>
    <font>
      <vertAlign val="superscript"/>
      <sz val="10"/>
      <color indexed="17"/>
      <name val="Arial"/>
      <family val="2"/>
      <charset val="1"/>
    </font>
    <font>
      <sz val="11"/>
      <color indexed="17"/>
      <name val="Calibri"/>
      <family val="2"/>
      <charset val="1"/>
    </font>
    <font>
      <sz val="9.5"/>
      <color indexed="10"/>
      <name val="CIDFont+F1"/>
      <charset val="129"/>
    </font>
    <font>
      <sz val="10"/>
      <color indexed="57"/>
      <name val="Arial"/>
      <family val="2"/>
      <charset val="1"/>
    </font>
    <font>
      <u/>
      <sz val="10"/>
      <name val="Arial"/>
      <family val="2"/>
      <charset val="1"/>
    </font>
    <font>
      <b/>
      <vertAlign val="superscript"/>
      <sz val="10"/>
      <color indexed="17"/>
      <name val="Arial"/>
      <family val="2"/>
      <charset val="1"/>
    </font>
    <font>
      <b/>
      <sz val="10"/>
      <color indexed="10"/>
      <name val="Arial"/>
      <family val="2"/>
      <charset val="1"/>
    </font>
    <font>
      <sz val="10"/>
      <color indexed="62"/>
      <name val="Arial"/>
      <family val="2"/>
      <charset val="1"/>
    </font>
    <font>
      <b/>
      <sz val="10"/>
      <color indexed="62"/>
      <name val="Arial"/>
      <family val="2"/>
      <charset val="1"/>
    </font>
    <font>
      <b/>
      <sz val="10"/>
      <color indexed="57"/>
      <name val="Arial"/>
      <family val="2"/>
      <charset val="1"/>
    </font>
    <font>
      <sz val="11"/>
      <color indexed="12"/>
      <name val="Times New Roman"/>
      <family val="1"/>
      <charset val="1"/>
    </font>
    <font>
      <sz val="11"/>
      <color indexed="40"/>
      <name val="Times New Roman"/>
      <family val="1"/>
      <charset val="1"/>
    </font>
    <font>
      <b/>
      <sz val="12"/>
      <name val="Arial"/>
      <family val="2"/>
      <charset val="1"/>
    </font>
    <font>
      <sz val="11"/>
      <color indexed="17"/>
      <name val="Times New Roman"/>
      <family val="1"/>
      <charset val="1"/>
    </font>
    <font>
      <b/>
      <sz val="10"/>
      <color indexed="10"/>
      <name val="Cambria"/>
      <family val="1"/>
      <charset val="1"/>
    </font>
    <font>
      <b/>
      <sz val="12"/>
      <name val="Cambria"/>
      <family val="1"/>
      <charset val="1"/>
    </font>
    <font>
      <b/>
      <sz val="10"/>
      <color indexed="40"/>
      <name val="Cambria"/>
      <family val="1"/>
      <charset val="1"/>
    </font>
    <font>
      <sz val="10"/>
      <color indexed="10"/>
      <name val="Cambria"/>
      <family val="1"/>
      <charset val="1"/>
    </font>
    <font>
      <b/>
      <sz val="10"/>
      <color indexed="49"/>
      <name val="Cambria"/>
      <family val="1"/>
      <charset val="1"/>
    </font>
    <font>
      <sz val="10"/>
      <color indexed="10"/>
      <name val="Cambria"/>
      <family val="2"/>
      <charset val="1"/>
    </font>
    <font>
      <b/>
      <sz val="10"/>
      <color indexed="60"/>
      <name val="Cambria"/>
      <family val="1"/>
      <charset val="1"/>
    </font>
    <font>
      <b/>
      <sz val="10"/>
      <color indexed="57"/>
      <name val="Cambria"/>
      <family val="1"/>
      <charset val="1"/>
    </font>
    <font>
      <sz val="10"/>
      <color indexed="17"/>
      <name val="Cambria"/>
      <family val="1"/>
      <charset val="1"/>
    </font>
    <font>
      <b/>
      <sz val="8"/>
      <name val="Cambria"/>
      <family val="1"/>
      <charset val="1"/>
    </font>
    <font>
      <b/>
      <sz val="9"/>
      <name val="Cambria"/>
      <family val="1"/>
      <charset val="1"/>
    </font>
    <font>
      <sz val="10"/>
      <color indexed="9"/>
      <name val="Cambria"/>
      <family val="1"/>
      <charset val="1"/>
    </font>
    <font>
      <sz val="10"/>
      <color indexed="8"/>
      <name val="Cambria"/>
      <family val="1"/>
      <charset val="1"/>
    </font>
    <font>
      <sz val="8"/>
      <name val="Cambria"/>
      <family val="1"/>
      <charset val="1"/>
    </font>
    <font>
      <sz val="9"/>
      <name val="Cambria"/>
      <family val="1"/>
      <charset val="1"/>
    </font>
    <font>
      <b/>
      <sz val="10"/>
      <color indexed="8"/>
      <name val="Arial"/>
      <family val="2"/>
      <charset val="1"/>
    </font>
    <font>
      <sz val="12"/>
      <name val="Calibri"/>
      <family val="2"/>
      <charset val="1"/>
    </font>
    <font>
      <sz val="10"/>
      <name val="Arial"/>
      <family val="2"/>
    </font>
    <font>
      <sz val="10"/>
      <color rgb="FFFF0000"/>
      <name val="Arial"/>
      <family val="2"/>
    </font>
    <font>
      <b/>
      <sz val="12"/>
      <name val="Arial"/>
      <family val="2"/>
    </font>
    <font>
      <sz val="12"/>
      <name val="Arial"/>
      <family val="2"/>
    </font>
    <font>
      <b/>
      <sz val="11"/>
      <color theme="1"/>
      <name val="Calibri"/>
      <family val="2"/>
      <charset val="1"/>
    </font>
    <font>
      <sz val="11"/>
      <color theme="1"/>
      <name val="Calibri"/>
      <family val="2"/>
      <charset val="1"/>
    </font>
    <font>
      <b/>
      <sz val="11"/>
      <color theme="1"/>
      <name val="Cambria"/>
      <family val="2"/>
      <charset val="1"/>
    </font>
    <font>
      <sz val="11"/>
      <color theme="1"/>
      <name val="Cambria"/>
      <family val="2"/>
      <charset val="1"/>
    </font>
    <font>
      <sz val="9"/>
      <color theme="1"/>
      <name val="Cambria"/>
      <family val="2"/>
      <charset val="1"/>
    </font>
    <font>
      <sz val="10"/>
      <color theme="1"/>
      <name val="Cambria"/>
      <family val="2"/>
      <charset val="1"/>
    </font>
    <font>
      <sz val="8"/>
      <color theme="1"/>
      <name val="Cambria"/>
      <family val="2"/>
      <charset val="1"/>
    </font>
    <font>
      <b/>
      <sz val="10"/>
      <color theme="1"/>
      <name val="Arial"/>
      <family val="2"/>
    </font>
    <font>
      <sz val="10"/>
      <color theme="1"/>
      <name val="Arial"/>
      <family val="2"/>
    </font>
    <font>
      <b/>
      <u/>
      <sz val="10"/>
      <color theme="1"/>
      <name val="Arial"/>
      <family val="2"/>
    </font>
    <font>
      <sz val="10"/>
      <color rgb="FF000000"/>
      <name val="Times New Roman"/>
      <family val="1"/>
    </font>
    <font>
      <b/>
      <sz val="10"/>
      <color rgb="FF000000"/>
      <name val="Arial"/>
      <family val="2"/>
    </font>
    <font>
      <sz val="10"/>
      <color rgb="FF000000"/>
      <name val="Arial"/>
      <family val="2"/>
    </font>
    <font>
      <b/>
      <u/>
      <sz val="10"/>
      <color rgb="FF000000"/>
      <name val="Arial"/>
      <family val="2"/>
    </font>
    <font>
      <b/>
      <sz val="10"/>
      <color rgb="FFFF0000"/>
      <name val="Arial"/>
      <family val="2"/>
    </font>
    <font>
      <b/>
      <sz val="10"/>
      <name val="Arial"/>
      <family val="2"/>
    </font>
    <font>
      <b/>
      <u/>
      <sz val="10"/>
      <name val="Arial"/>
      <family val="2"/>
    </font>
    <font>
      <b/>
      <u/>
      <sz val="10"/>
      <color rgb="FFFF0000"/>
      <name val="Arial"/>
      <family val="2"/>
    </font>
    <font>
      <sz val="10"/>
      <color indexed="8"/>
      <name val="Arial"/>
      <family val="2"/>
    </font>
    <font>
      <b/>
      <sz val="10"/>
      <color indexed="8"/>
      <name val="Arial"/>
      <family val="2"/>
    </font>
    <font>
      <b/>
      <sz val="9"/>
      <color theme="1"/>
      <name val="Arial"/>
      <family val="2"/>
    </font>
    <font>
      <b/>
      <u/>
      <sz val="10"/>
      <color indexed="8"/>
      <name val="Arial"/>
      <family val="2"/>
    </font>
    <font>
      <sz val="9"/>
      <name val="Arial"/>
      <family val="2"/>
    </font>
    <font>
      <b/>
      <sz val="9"/>
      <name val="Arial"/>
      <family val="2"/>
    </font>
    <font>
      <sz val="9"/>
      <color indexed="16"/>
      <name val="Arial"/>
      <family val="2"/>
    </font>
    <font>
      <b/>
      <u/>
      <sz val="12"/>
      <name val="Arial"/>
      <family val="2"/>
    </font>
    <font>
      <b/>
      <sz val="10"/>
      <color theme="1"/>
      <name val="Arial"/>
      <family val="2"/>
      <charset val="1"/>
    </font>
    <font>
      <sz val="10"/>
      <color theme="1"/>
      <name val="Arial"/>
      <family val="2"/>
      <charset val="1"/>
    </font>
    <font>
      <b/>
      <u/>
      <sz val="10"/>
      <color theme="1"/>
      <name val="Arial"/>
      <family val="2"/>
      <charset val="1"/>
    </font>
    <font>
      <vertAlign val="superscript"/>
      <sz val="10"/>
      <color theme="1"/>
      <name val="Arial"/>
      <family val="2"/>
      <charset val="1"/>
    </font>
    <font>
      <b/>
      <vertAlign val="superscript"/>
      <sz val="10"/>
      <color theme="1"/>
      <name val="Arial"/>
      <family val="2"/>
      <charset val="1"/>
    </font>
    <font>
      <b/>
      <sz val="10"/>
      <color theme="1"/>
      <name val="Cambria"/>
      <family val="2"/>
      <charset val="1"/>
    </font>
    <font>
      <sz val="10"/>
      <name val="Helv"/>
      <charset val="204"/>
    </font>
    <font>
      <sz val="11"/>
      <name val="Times New Roman"/>
      <family val="1"/>
    </font>
    <font>
      <sz val="11"/>
      <color theme="1"/>
      <name val="Cambria"/>
      <family val="1"/>
    </font>
    <font>
      <sz val="10"/>
      <name val="Calibri Light"/>
      <family val="1"/>
      <scheme val="major"/>
    </font>
    <font>
      <sz val="10"/>
      <name val="Times New Roman"/>
      <family val="1"/>
    </font>
    <font>
      <b/>
      <sz val="11"/>
      <name val="Arial"/>
      <family val="2"/>
    </font>
    <font>
      <b/>
      <sz val="12"/>
      <name val="Cambria"/>
      <family val="1"/>
    </font>
    <font>
      <sz val="11"/>
      <name val="Cambria"/>
      <family val="1"/>
    </font>
    <font>
      <b/>
      <sz val="11"/>
      <name val="Cambria"/>
      <family val="1"/>
    </font>
    <font>
      <b/>
      <sz val="10"/>
      <name val="Cambria"/>
      <family val="1"/>
    </font>
    <font>
      <sz val="11"/>
      <name val="Arial"/>
      <family val="2"/>
    </font>
    <font>
      <b/>
      <sz val="11"/>
      <name val="Times New Roman"/>
      <family val="1"/>
    </font>
    <font>
      <sz val="12"/>
      <name val="Times New Roman"/>
      <family val="1"/>
    </font>
    <font>
      <b/>
      <sz val="12"/>
      <name val="Times New Roman"/>
      <family val="1"/>
    </font>
    <font>
      <b/>
      <u/>
      <sz val="14"/>
      <name val="Arial"/>
      <family val="2"/>
    </font>
    <font>
      <sz val="12"/>
      <name val="Cambria"/>
      <family val="1"/>
    </font>
  </fonts>
  <fills count="36">
    <fill>
      <patternFill patternType="none"/>
    </fill>
    <fill>
      <patternFill patternType="gray125"/>
    </fill>
    <fill>
      <patternFill patternType="solid">
        <fgColor indexed="31"/>
        <bgColor indexed="19"/>
      </patternFill>
    </fill>
    <fill>
      <patternFill patternType="solid">
        <fgColor indexed="22"/>
        <bgColor indexed="19"/>
      </patternFill>
    </fill>
    <fill>
      <patternFill patternType="solid">
        <fgColor indexed="48"/>
        <bgColor indexed="41"/>
      </patternFill>
    </fill>
    <fill>
      <patternFill patternType="solid">
        <fgColor indexed="45"/>
        <bgColor indexed="29"/>
      </patternFill>
    </fill>
    <fill>
      <patternFill patternType="solid">
        <fgColor indexed="38"/>
        <bgColor indexed="21"/>
      </patternFill>
    </fill>
    <fill>
      <patternFill patternType="solid">
        <fgColor indexed="42"/>
        <bgColor indexed="27"/>
      </patternFill>
    </fill>
    <fill>
      <patternFill patternType="solid">
        <fgColor indexed="26"/>
        <bgColor indexed="33"/>
      </patternFill>
    </fill>
    <fill>
      <patternFill patternType="solid">
        <fgColor indexed="46"/>
        <bgColor indexed="24"/>
      </patternFill>
    </fill>
    <fill>
      <patternFill patternType="solid">
        <fgColor indexed="21"/>
        <bgColor indexed="48"/>
      </patternFill>
    </fill>
    <fill>
      <patternFill patternType="solid">
        <fgColor indexed="47"/>
        <bgColor indexed="30"/>
      </patternFill>
    </fill>
    <fill>
      <patternFill patternType="solid">
        <fgColor indexed="27"/>
        <bgColor indexed="41"/>
      </patternFill>
    </fill>
    <fill>
      <patternFill patternType="solid">
        <fgColor indexed="41"/>
        <bgColor indexed="48"/>
      </patternFill>
    </fill>
    <fill>
      <patternFill patternType="solid">
        <fgColor indexed="14"/>
        <bgColor indexed="33"/>
      </patternFill>
    </fill>
    <fill>
      <patternFill patternType="solid">
        <fgColor indexed="13"/>
        <bgColor indexed="51"/>
      </patternFill>
    </fill>
    <fill>
      <patternFill patternType="solid">
        <fgColor indexed="9"/>
        <bgColor indexed="33"/>
      </patternFill>
    </fill>
    <fill>
      <patternFill patternType="solid">
        <fgColor indexed="50"/>
        <bgColor indexed="22"/>
      </patternFill>
    </fill>
    <fill>
      <patternFill patternType="solid">
        <fgColor indexed="62"/>
        <bgColor indexed="36"/>
      </patternFill>
    </fill>
    <fill>
      <patternFill patternType="solid">
        <fgColor indexed="51"/>
        <bgColor indexed="34"/>
      </patternFill>
    </fill>
    <fill>
      <patternFill patternType="solid">
        <fgColor indexed="44"/>
        <bgColor indexed="24"/>
      </patternFill>
    </fill>
    <fill>
      <patternFill patternType="solid">
        <fgColor indexed="24"/>
        <bgColor indexed="55"/>
      </patternFill>
    </fill>
    <fill>
      <patternFill patternType="solid">
        <fgColor indexed="23"/>
        <bgColor indexed="55"/>
      </patternFill>
    </fill>
    <fill>
      <patternFill patternType="solid">
        <fgColor indexed="34"/>
        <bgColor indexed="51"/>
      </patternFill>
    </fill>
    <fill>
      <patternFill patternType="solid">
        <fgColor indexed="10"/>
        <bgColor indexed="60"/>
      </patternFill>
    </fill>
    <fill>
      <patternFill patternType="solid">
        <fgColor indexed="55"/>
        <bgColor indexed="24"/>
      </patternFill>
    </fill>
    <fill>
      <patternFill patternType="solid">
        <fgColor theme="0"/>
        <bgColor indexed="64"/>
      </patternFill>
    </fill>
    <fill>
      <patternFill patternType="solid">
        <fgColor theme="0"/>
        <bgColor indexed="34"/>
      </patternFill>
    </fill>
    <fill>
      <patternFill patternType="solid">
        <fgColor theme="0"/>
        <bgColor indexed="60"/>
      </patternFill>
    </fill>
    <fill>
      <patternFill patternType="solid">
        <fgColor theme="0"/>
        <bgColor indexed="33"/>
      </patternFill>
    </fill>
    <fill>
      <patternFill patternType="solid">
        <fgColor theme="0"/>
        <bgColor indexed="51"/>
      </patternFill>
    </fill>
    <fill>
      <patternFill patternType="solid">
        <fgColor theme="0"/>
        <bgColor indexed="17"/>
      </patternFill>
    </fill>
    <fill>
      <patternFill patternType="solid">
        <fgColor theme="0"/>
        <bgColor indexed="53"/>
      </patternFill>
    </fill>
    <fill>
      <patternFill patternType="solid">
        <fgColor theme="0"/>
        <bgColor indexed="35"/>
      </patternFill>
    </fill>
    <fill>
      <patternFill patternType="solid">
        <fgColor indexed="9"/>
        <bgColor indexed="64"/>
      </patternFill>
    </fill>
    <fill>
      <patternFill patternType="solid">
        <fgColor rgb="FFFFFF00"/>
        <bgColor indexed="64"/>
      </patternFill>
    </fill>
  </fills>
  <borders count="40">
    <border>
      <left/>
      <right/>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bottom/>
      <diagonal/>
    </border>
    <border>
      <left/>
      <right/>
      <top style="thin">
        <color indexed="8"/>
      </top>
      <bottom style="thin">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hair">
        <color indexed="8"/>
      </top>
      <bottom style="hair">
        <color indexed="8"/>
      </bottom>
      <diagonal/>
    </border>
    <border>
      <left/>
      <right/>
      <top/>
      <bottom style="hair">
        <color indexed="8"/>
      </bottom>
      <diagonal/>
    </border>
    <border>
      <left/>
      <right/>
      <top style="hair">
        <color indexed="8"/>
      </top>
      <bottom/>
      <diagonal/>
    </border>
    <border>
      <left/>
      <right style="thin">
        <color indexed="8"/>
      </right>
      <top style="hair">
        <color indexed="8"/>
      </top>
      <bottom style="hair">
        <color indexed="8"/>
      </bottom>
      <diagonal/>
    </border>
    <border>
      <left/>
      <right style="thin">
        <color indexed="8"/>
      </right>
      <top style="hair">
        <color indexed="8"/>
      </top>
      <bottom style="thin">
        <color indexed="8"/>
      </bottom>
      <diagonal/>
    </border>
    <border>
      <left style="thin">
        <color indexed="8"/>
      </left>
      <right style="thin">
        <color indexed="8"/>
      </right>
      <top style="hair">
        <color indexed="8"/>
      </top>
      <bottom style="thin">
        <color indexed="8"/>
      </bottom>
      <diagonal/>
    </border>
    <border>
      <left style="hair">
        <color indexed="8"/>
      </left>
      <right style="hair">
        <color indexed="8"/>
      </right>
      <top/>
      <bottom style="hair">
        <color indexed="8"/>
      </bottom>
      <diagonal/>
    </border>
    <border>
      <left style="thin">
        <color indexed="8"/>
      </left>
      <right/>
      <top style="double">
        <color indexed="8"/>
      </top>
      <bottom/>
      <diagonal/>
    </border>
    <border>
      <left/>
      <right style="hair">
        <color indexed="8"/>
      </right>
      <top style="hair">
        <color indexed="8"/>
      </top>
      <bottom style="hair">
        <color indexed="8"/>
      </bottom>
      <diagonal/>
    </border>
    <border>
      <left style="thin">
        <color indexed="8"/>
      </left>
      <right/>
      <top/>
      <bottom style="thin">
        <color indexed="8"/>
      </bottom>
      <diagonal/>
    </border>
    <border>
      <left style="thin">
        <color indexed="64"/>
      </left>
      <right style="thin">
        <color indexed="64"/>
      </right>
      <top style="thin">
        <color indexed="64"/>
      </top>
      <bottom style="thin">
        <color indexed="64"/>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thin">
        <color indexed="64"/>
      </right>
      <top style="hair">
        <color indexed="64"/>
      </top>
      <bottom style="hair">
        <color indexed="64"/>
      </bottom>
      <diagonal/>
    </border>
    <border>
      <left/>
      <right/>
      <top/>
      <bottom style="thin">
        <color auto="1"/>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auto="1"/>
      </top>
      <bottom style="thin">
        <color auto="1"/>
      </bottom>
      <diagonal/>
    </border>
  </borders>
  <cellStyleXfs count="30887">
    <xf numFmtId="0" fontId="0" fillId="0" borderId="0"/>
    <xf numFmtId="9" fontId="8" fillId="0" borderId="0"/>
    <xf numFmtId="0" fontId="3" fillId="0" borderId="0"/>
    <xf numFmtId="164" fontId="3" fillId="0" borderId="0"/>
    <xf numFmtId="164" fontId="4" fillId="0" borderId="0"/>
    <xf numFmtId="164" fontId="4" fillId="0" borderId="0"/>
    <xf numFmtId="164" fontId="4" fillId="0" borderId="0"/>
    <xf numFmtId="164" fontId="4" fillId="0" borderId="0"/>
    <xf numFmtId="164" fontId="4" fillId="0" borderId="0"/>
    <xf numFmtId="164" fontId="4" fillId="0" borderId="0"/>
    <xf numFmtId="164" fontId="4" fillId="0" borderId="0"/>
    <xf numFmtId="165" fontId="4" fillId="0" borderId="0"/>
    <xf numFmtId="0" fontId="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166" fontId="5" fillId="0" borderId="0"/>
    <xf numFmtId="10" fontId="7" fillId="0" borderId="0"/>
    <xf numFmtId="0" fontId="8" fillId="0" borderId="0"/>
    <xf numFmtId="0" fontId="9" fillId="0" borderId="0">
      <alignment horizontal="center"/>
    </xf>
    <xf numFmtId="0" fontId="10" fillId="0" borderId="0"/>
    <xf numFmtId="167" fontId="8" fillId="0" borderId="0"/>
    <xf numFmtId="0" fontId="10" fillId="0" borderId="0"/>
    <xf numFmtId="0" fontId="5" fillId="0" borderId="0"/>
    <xf numFmtId="0" fontId="5" fillId="0" borderId="0"/>
    <xf numFmtId="168" fontId="8" fillId="0" borderId="0"/>
    <xf numFmtId="10" fontId="8" fillId="0" borderId="0"/>
    <xf numFmtId="169" fontId="5" fillId="0" borderId="0"/>
    <xf numFmtId="170" fontId="8" fillId="0" borderId="0"/>
    <xf numFmtId="0" fontId="5" fillId="0"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4" borderId="0"/>
    <xf numFmtId="0" fontId="3" fillId="4" borderId="0"/>
    <xf numFmtId="0" fontId="3" fillId="4" borderId="0"/>
    <xf numFmtId="0" fontId="3" fillId="4" borderId="0"/>
    <xf numFmtId="0" fontId="3" fillId="4"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2"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6" borderId="0"/>
    <xf numFmtId="0" fontId="3" fillId="6" borderId="0"/>
    <xf numFmtId="0" fontId="3" fillId="6" borderId="0"/>
    <xf numFmtId="0" fontId="3" fillId="6" borderId="0"/>
    <xf numFmtId="0" fontId="3" fillId="6"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5"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8" borderId="0"/>
    <xf numFmtId="0" fontId="3" fillId="8" borderId="0"/>
    <xf numFmtId="0" fontId="3" fillId="8" borderId="0"/>
    <xf numFmtId="0" fontId="3" fillId="8" borderId="0"/>
    <xf numFmtId="0" fontId="3" fillId="8"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7"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3"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10" borderId="0"/>
    <xf numFmtId="0" fontId="3" fillId="10" borderId="0"/>
    <xf numFmtId="0" fontId="3" fillId="10" borderId="0"/>
    <xf numFmtId="0" fontId="3" fillId="10" borderId="0"/>
    <xf numFmtId="0" fontId="3" fillId="10"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9" borderId="0"/>
    <xf numFmtId="0" fontId="3" fillId="3" borderId="0"/>
    <xf numFmtId="0" fontId="3" fillId="11" borderId="0"/>
    <xf numFmtId="0" fontId="3" fillId="11" borderId="0"/>
    <xf numFmtId="0" fontId="3" fillId="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1"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3" borderId="0"/>
    <xf numFmtId="0" fontId="3" fillId="13" borderId="0"/>
    <xf numFmtId="0" fontId="3" fillId="13" borderId="0"/>
    <xf numFmtId="0" fontId="3" fillId="13" borderId="0"/>
    <xf numFmtId="0" fontId="3" fillId="13"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2" borderId="0"/>
    <xf numFmtId="0" fontId="3" fillId="11" borderId="0"/>
    <xf numFmtId="0" fontId="3" fillId="12" borderId="0"/>
    <xf numFmtId="0" fontId="3" fillId="12"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2"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3" fillId="14" borderId="0"/>
    <xf numFmtId="0" fontId="3" fillId="11" borderId="0"/>
    <xf numFmtId="0" fontId="3" fillId="14" borderId="0"/>
    <xf numFmtId="0" fontId="3" fillId="14" borderId="0"/>
    <xf numFmtId="0" fontId="3" fillId="14" borderId="0"/>
    <xf numFmtId="0" fontId="3" fillId="14"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91" fillId="0" borderId="0"/>
    <xf numFmtId="0" fontId="92" fillId="0" borderId="0"/>
    <xf numFmtId="0" fontId="2" fillId="0" borderId="0"/>
    <xf numFmtId="0" fontId="1" fillId="0" borderId="0"/>
    <xf numFmtId="0" fontId="92" fillId="0" borderId="0"/>
    <xf numFmtId="0" fontId="92" fillId="0" borderId="0"/>
    <xf numFmtId="0" fontId="1" fillId="0" borderId="0"/>
    <xf numFmtId="0" fontId="55" fillId="0" borderId="0"/>
  </cellStyleXfs>
  <cellXfs count="2216">
    <xf numFmtId="0" fontId="0" fillId="0" borderId="0" xfId="0"/>
    <xf numFmtId="0" fontId="11" fillId="0" borderId="0" xfId="1538" applyFont="1"/>
    <xf numFmtId="0" fontId="5" fillId="0" borderId="0" xfId="1538" applyFont="1"/>
    <xf numFmtId="0" fontId="12" fillId="0" borderId="0" xfId="1538" applyFont="1" applyAlignment="1">
      <alignment horizontal="left"/>
    </xf>
    <xf numFmtId="0" fontId="13" fillId="0" borderId="1" xfId="1538" applyFont="1" applyBorder="1" applyAlignment="1">
      <alignment horizontal="center" vertical="center"/>
    </xf>
    <xf numFmtId="0" fontId="14" fillId="0" borderId="1" xfId="1538" applyFont="1" applyBorder="1" applyAlignment="1">
      <alignment horizontal="center" vertical="center" wrapText="1"/>
    </xf>
    <xf numFmtId="0" fontId="13" fillId="0" borderId="1" xfId="1538" applyFont="1" applyBorder="1" applyAlignment="1">
      <alignment horizontal="center" vertical="center" wrapText="1"/>
    </xf>
    <xf numFmtId="0" fontId="12" fillId="0" borderId="1" xfId="1538" applyFont="1" applyBorder="1" applyAlignment="1">
      <alignment horizontal="center"/>
    </xf>
    <xf numFmtId="0" fontId="13" fillId="0" borderId="1" xfId="1538" applyFont="1" applyBorder="1" applyAlignment="1">
      <alignment horizontal="center"/>
    </xf>
    <xf numFmtId="2" fontId="16" fillId="0" borderId="1" xfId="1538" applyNumberFormat="1" applyFont="1" applyBorder="1" applyAlignment="1">
      <alignment horizontal="center"/>
    </xf>
    <xf numFmtId="2" fontId="16" fillId="15" borderId="1" xfId="1538" applyNumberFormat="1" applyFont="1" applyFill="1" applyBorder="1" applyAlignment="1">
      <alignment horizontal="center"/>
    </xf>
    <xf numFmtId="0" fontId="13" fillId="0" borderId="0" xfId="1538" applyFont="1" applyAlignment="1">
      <alignment horizontal="center"/>
    </xf>
    <xf numFmtId="0" fontId="13" fillId="0" borderId="0" xfId="1538" applyFont="1"/>
    <xf numFmtId="0" fontId="16" fillId="0" borderId="1" xfId="1538" applyFont="1" applyBorder="1" applyAlignment="1">
      <alignment horizontal="center"/>
    </xf>
    <xf numFmtId="0" fontId="16" fillId="0" borderId="0" xfId="1538" applyFont="1"/>
    <xf numFmtId="0" fontId="17" fillId="0" borderId="0" xfId="1538" applyFont="1"/>
    <xf numFmtId="0" fontId="3" fillId="0" borderId="0" xfId="1538" applyFont="1" applyProtection="1">
      <protection hidden="1"/>
    </xf>
    <xf numFmtId="0" fontId="18" fillId="0" borderId="0" xfId="1538" applyFont="1" applyProtection="1">
      <protection hidden="1"/>
    </xf>
    <xf numFmtId="0" fontId="19" fillId="0" borderId="0" xfId="1538" applyFont="1" applyProtection="1">
      <protection hidden="1"/>
    </xf>
    <xf numFmtId="0" fontId="8" fillId="0" borderId="0" xfId="1538" applyFont="1" applyProtection="1">
      <protection hidden="1"/>
    </xf>
    <xf numFmtId="0" fontId="20" fillId="0" borderId="1" xfId="1538" applyFont="1" applyBorder="1" applyAlignment="1" applyProtection="1">
      <alignment horizontal="center" vertical="center" wrapText="1"/>
      <protection hidden="1"/>
    </xf>
    <xf numFmtId="2" fontId="20" fillId="0" borderId="1" xfId="1538" applyNumberFormat="1" applyFont="1" applyBorder="1" applyAlignment="1" applyProtection="1">
      <alignment horizontal="center" vertical="center" wrapText="1"/>
      <protection hidden="1"/>
    </xf>
    <xf numFmtId="2" fontId="5" fillId="0" borderId="1" xfId="1538" applyNumberFormat="1" applyFont="1" applyBorder="1" applyAlignment="1" applyProtection="1">
      <alignment horizontal="center" vertical="center"/>
      <protection hidden="1"/>
    </xf>
    <xf numFmtId="0" fontId="5" fillId="0" borderId="0" xfId="1538" applyFont="1" applyProtection="1">
      <protection hidden="1"/>
    </xf>
    <xf numFmtId="0" fontId="21" fillId="0" borderId="1" xfId="1538" applyFont="1" applyBorder="1" applyAlignment="1" applyProtection="1">
      <alignment horizontal="center" vertical="center" wrapText="1"/>
      <protection hidden="1"/>
    </xf>
    <xf numFmtId="0" fontId="22" fillId="0" borderId="1" xfId="1538" applyFont="1" applyBorder="1" applyAlignment="1" applyProtection="1">
      <alignment horizontal="center" vertical="center" wrapText="1"/>
      <protection hidden="1"/>
    </xf>
    <xf numFmtId="0" fontId="21" fillId="0" borderId="1" xfId="1538" applyFont="1" applyBorder="1" applyAlignment="1" applyProtection="1">
      <alignment vertical="center" shrinkToFit="1"/>
      <protection hidden="1"/>
    </xf>
    <xf numFmtId="0" fontId="22" fillId="0" borderId="1" xfId="1538" applyFont="1" applyBorder="1" applyAlignment="1" applyProtection="1">
      <alignment horizontal="center" vertical="center" shrinkToFit="1"/>
      <protection hidden="1"/>
    </xf>
    <xf numFmtId="1" fontId="21" fillId="0" borderId="1" xfId="1538" applyNumberFormat="1" applyFont="1" applyBorder="1" applyAlignment="1" applyProtection="1">
      <alignment horizontal="center" vertical="center" wrapText="1"/>
      <protection hidden="1"/>
    </xf>
    <xf numFmtId="0" fontId="23" fillId="0" borderId="1" xfId="1538" applyFont="1" applyBorder="1" applyAlignment="1" applyProtection="1">
      <alignment horizontal="center" vertical="center" shrinkToFit="1"/>
      <protection hidden="1"/>
    </xf>
    <xf numFmtId="2" fontId="5" fillId="0" borderId="1" xfId="1538" applyNumberFormat="1" applyFont="1" applyBorder="1" applyAlignment="1" applyProtection="1">
      <alignment horizontal="right" vertical="center" shrinkToFit="1"/>
      <protection hidden="1"/>
    </xf>
    <xf numFmtId="1" fontId="21" fillId="0" borderId="1" xfId="1538" applyNumberFormat="1" applyFont="1" applyBorder="1" applyAlignment="1" applyProtection="1">
      <alignment horizontal="right" vertical="center"/>
      <protection hidden="1"/>
    </xf>
    <xf numFmtId="0" fontId="21" fillId="0" borderId="1" xfId="1538" applyFont="1" applyBorder="1" applyAlignment="1" applyProtection="1">
      <alignment horizontal="left" vertical="center"/>
      <protection hidden="1"/>
    </xf>
    <xf numFmtId="2" fontId="21" fillId="0" borderId="1" xfId="1538" applyNumberFormat="1" applyFont="1" applyBorder="1" applyAlignment="1" applyProtection="1">
      <alignment horizontal="center" vertical="center"/>
      <protection hidden="1"/>
    </xf>
    <xf numFmtId="0" fontId="21" fillId="0" borderId="1" xfId="1538" applyFont="1" applyBorder="1" applyAlignment="1" applyProtection="1">
      <alignment vertical="center" wrapText="1"/>
      <protection hidden="1"/>
    </xf>
    <xf numFmtId="0" fontId="23" fillId="0" borderId="1" xfId="1538" applyFont="1" applyBorder="1" applyAlignment="1" applyProtection="1">
      <alignment horizontal="center" vertical="center" wrapText="1" shrinkToFit="1"/>
      <protection hidden="1"/>
    </xf>
    <xf numFmtId="0" fontId="5" fillId="0" borderId="1" xfId="1538" applyFont="1" applyBorder="1" applyAlignment="1" applyProtection="1">
      <alignment horizontal="center" vertical="center" wrapText="1"/>
      <protection hidden="1"/>
    </xf>
    <xf numFmtId="0" fontId="5" fillId="0" borderId="1" xfId="1538" applyFont="1" applyBorder="1" applyAlignment="1" applyProtection="1">
      <alignment vertical="center" wrapText="1"/>
      <protection hidden="1"/>
    </xf>
    <xf numFmtId="1" fontId="6" fillId="0" borderId="1" xfId="1538" applyNumberFormat="1" applyFont="1" applyBorder="1" applyAlignment="1" applyProtection="1">
      <alignment horizontal="center" vertical="center" wrapText="1"/>
      <protection hidden="1"/>
    </xf>
    <xf numFmtId="0" fontId="6" fillId="0" borderId="1" xfId="1538" applyFont="1" applyBorder="1" applyAlignment="1" applyProtection="1">
      <alignment horizontal="center" vertical="center" shrinkToFit="1"/>
      <protection hidden="1"/>
    </xf>
    <xf numFmtId="1" fontId="5" fillId="0" borderId="1" xfId="1538" applyNumberFormat="1" applyFont="1" applyBorder="1" applyAlignment="1" applyProtection="1">
      <alignment horizontal="right" vertical="center"/>
      <protection hidden="1"/>
    </xf>
    <xf numFmtId="0" fontId="5" fillId="0" borderId="1" xfId="1538" applyFont="1" applyBorder="1" applyAlignment="1" applyProtection="1">
      <alignment horizontal="left" vertical="center"/>
      <protection hidden="1"/>
    </xf>
    <xf numFmtId="2" fontId="5" fillId="0" borderId="0" xfId="1538" applyNumberFormat="1" applyFont="1" applyProtection="1">
      <protection hidden="1"/>
    </xf>
    <xf numFmtId="0" fontId="21" fillId="0" borderId="1" xfId="1538" applyFont="1" applyBorder="1" applyAlignment="1" applyProtection="1">
      <alignment horizontal="justify" vertical="center"/>
      <protection hidden="1"/>
    </xf>
    <xf numFmtId="0" fontId="23" fillId="0" borderId="0" xfId="1538" applyFont="1" applyProtection="1">
      <protection hidden="1"/>
    </xf>
    <xf numFmtId="0" fontId="5" fillId="0" borderId="1" xfId="1538" applyFont="1" applyBorder="1" applyAlignment="1" applyProtection="1">
      <alignment horizontal="justify" vertical="center"/>
      <protection hidden="1"/>
    </xf>
    <xf numFmtId="0" fontId="21" fillId="0" borderId="1" xfId="1538" applyFont="1" applyBorder="1" applyAlignment="1" applyProtection="1">
      <alignment horizontal="center" vertical="center"/>
      <protection hidden="1"/>
    </xf>
    <xf numFmtId="0" fontId="21" fillId="0" borderId="1" xfId="1538" applyFont="1" applyBorder="1" applyAlignment="1" applyProtection="1">
      <alignment horizontal="right" vertical="center"/>
      <protection hidden="1"/>
    </xf>
    <xf numFmtId="0" fontId="21" fillId="0" borderId="1" xfId="1538" applyFont="1" applyBorder="1" applyAlignment="1" applyProtection="1">
      <alignment horizontal="justify" vertical="center" wrapText="1"/>
      <protection hidden="1"/>
    </xf>
    <xf numFmtId="2" fontId="21" fillId="0" borderId="1" xfId="1538" applyNumberFormat="1" applyFont="1" applyBorder="1" applyAlignment="1" applyProtection="1">
      <alignment vertical="center"/>
      <protection hidden="1"/>
    </xf>
    <xf numFmtId="2" fontId="20" fillId="0" borderId="1" xfId="1538" applyNumberFormat="1" applyFont="1" applyBorder="1" applyAlignment="1" applyProtection="1">
      <alignment vertical="center"/>
      <protection hidden="1"/>
    </xf>
    <xf numFmtId="2" fontId="5" fillId="0" borderId="1" xfId="1538" applyNumberFormat="1" applyFont="1" applyBorder="1" applyAlignment="1" applyProtection="1">
      <alignment vertical="center"/>
      <protection hidden="1"/>
    </xf>
    <xf numFmtId="2" fontId="23" fillId="0" borderId="0" xfId="1538" applyNumberFormat="1" applyFont="1" applyProtection="1">
      <protection hidden="1"/>
    </xf>
    <xf numFmtId="0" fontId="5" fillId="0" borderId="1" xfId="1538" applyFont="1" applyBorder="1" applyAlignment="1" applyProtection="1">
      <alignment horizontal="center" vertical="center"/>
      <protection hidden="1"/>
    </xf>
    <xf numFmtId="0" fontId="5" fillId="0" borderId="1" xfId="1538" applyFont="1" applyBorder="1" applyAlignment="1" applyProtection="1">
      <alignment horizontal="right" vertical="center"/>
      <protection hidden="1"/>
    </xf>
    <xf numFmtId="0" fontId="5" fillId="0" borderId="1" xfId="1538" applyFont="1" applyBorder="1" applyAlignment="1" applyProtection="1">
      <alignment horizontal="justify" vertical="center" wrapText="1"/>
      <protection hidden="1"/>
    </xf>
    <xf numFmtId="0" fontId="6" fillId="0" borderId="1" xfId="1538" applyFont="1" applyBorder="1" applyAlignment="1" applyProtection="1">
      <alignment horizontal="center" vertical="center" wrapText="1"/>
      <protection hidden="1"/>
    </xf>
    <xf numFmtId="0" fontId="6" fillId="0" borderId="1" xfId="1538" applyFont="1" applyBorder="1" applyAlignment="1" applyProtection="1">
      <alignment horizontal="center" vertical="center"/>
      <protection hidden="1"/>
    </xf>
    <xf numFmtId="0" fontId="23" fillId="0" borderId="1" xfId="1538" applyFont="1" applyBorder="1" applyAlignment="1" applyProtection="1">
      <alignment horizontal="center" vertical="center"/>
      <protection hidden="1"/>
    </xf>
    <xf numFmtId="0" fontId="21" fillId="16" borderId="1" xfId="1538" applyFont="1" applyFill="1" applyBorder="1" applyAlignment="1" applyProtection="1">
      <alignment vertical="center" wrapText="1"/>
      <protection hidden="1"/>
    </xf>
    <xf numFmtId="0" fontId="21" fillId="16" borderId="1" xfId="1538" applyFont="1" applyFill="1" applyBorder="1" applyAlignment="1" applyProtection="1">
      <alignment horizontal="justify" vertical="center" wrapText="1"/>
      <protection hidden="1"/>
    </xf>
    <xf numFmtId="0" fontId="5" fillId="16" borderId="1" xfId="1538" applyFont="1" applyFill="1" applyBorder="1" applyAlignment="1" applyProtection="1">
      <alignment vertical="center" wrapText="1"/>
      <protection hidden="1"/>
    </xf>
    <xf numFmtId="2" fontId="5" fillId="15" borderId="1" xfId="1538" applyNumberFormat="1" applyFont="1" applyFill="1" applyBorder="1" applyAlignment="1" applyProtection="1">
      <alignment horizontal="right" vertical="center" shrinkToFit="1"/>
      <protection hidden="1"/>
    </xf>
    <xf numFmtId="0" fontId="21" fillId="0" borderId="3" xfId="1538" applyFont="1" applyBorder="1" applyAlignment="1" applyProtection="1">
      <alignment horizontal="center" vertical="center" wrapText="1"/>
      <protection hidden="1"/>
    </xf>
    <xf numFmtId="1" fontId="23" fillId="0" borderId="1" xfId="1538" applyNumberFormat="1" applyFont="1" applyBorder="1" applyAlignment="1" applyProtection="1">
      <alignment horizontal="center" vertical="center" wrapText="1"/>
      <protection hidden="1"/>
    </xf>
    <xf numFmtId="0" fontId="21" fillId="0" borderId="1" xfId="1538" applyFont="1" applyBorder="1" applyAlignment="1" applyProtection="1">
      <alignment vertical="center"/>
      <protection hidden="1"/>
    </xf>
    <xf numFmtId="0" fontId="5" fillId="0" borderId="0" xfId="1538" applyFont="1" applyAlignment="1" applyProtection="1">
      <alignment horizontal="justify" vertical="center" wrapText="1"/>
      <protection hidden="1"/>
    </xf>
    <xf numFmtId="0" fontId="6" fillId="0" borderId="0" xfId="1538" applyFont="1" applyAlignment="1" applyProtection="1">
      <alignment horizontal="center" vertical="center" wrapText="1"/>
      <protection hidden="1"/>
    </xf>
    <xf numFmtId="0" fontId="6" fillId="0" borderId="0" xfId="1538" applyFont="1" applyAlignment="1" applyProtection="1">
      <alignment horizontal="center" vertical="center"/>
      <protection hidden="1"/>
    </xf>
    <xf numFmtId="2" fontId="5" fillId="0" borderId="0" xfId="1538" applyNumberFormat="1" applyFont="1" applyAlignment="1" applyProtection="1">
      <alignment horizontal="right" vertical="center" shrinkToFit="1"/>
      <protection hidden="1"/>
    </xf>
    <xf numFmtId="1" fontId="5" fillId="0" borderId="0" xfId="1538" applyNumberFormat="1" applyFont="1" applyAlignment="1" applyProtection="1">
      <alignment horizontal="right" vertical="center"/>
      <protection hidden="1"/>
    </xf>
    <xf numFmtId="0" fontId="5" fillId="0" borderId="0" xfId="1538" applyFont="1" applyAlignment="1" applyProtection="1">
      <alignment horizontal="left" vertical="center"/>
      <protection hidden="1"/>
    </xf>
    <xf numFmtId="2" fontId="5" fillId="0" borderId="1" xfId="1538" applyNumberFormat="1" applyFont="1" applyBorder="1" applyAlignment="1" applyProtection="1">
      <alignment horizontal="right" vertical="center"/>
      <protection hidden="1"/>
    </xf>
    <xf numFmtId="0" fontId="21" fillId="0" borderId="0" xfId="1538" applyFont="1" applyAlignment="1" applyProtection="1">
      <alignment horizontal="justify" vertical="top" wrapText="1"/>
      <protection hidden="1"/>
    </xf>
    <xf numFmtId="0" fontId="23" fillId="15" borderId="1" xfId="1538" applyFont="1" applyFill="1" applyBorder="1" applyAlignment="1" applyProtection="1">
      <alignment horizontal="center" vertical="center"/>
      <protection hidden="1"/>
    </xf>
    <xf numFmtId="2" fontId="5" fillId="15" borderId="1" xfId="1538" applyNumberFormat="1" applyFont="1" applyFill="1" applyBorder="1" applyAlignment="1" applyProtection="1">
      <alignment vertical="center"/>
      <protection hidden="1"/>
    </xf>
    <xf numFmtId="0" fontId="21" fillId="15" borderId="1" xfId="1538" applyFont="1" applyFill="1" applyBorder="1" applyAlignment="1" applyProtection="1">
      <alignment horizontal="center" vertical="center"/>
      <protection hidden="1"/>
    </xf>
    <xf numFmtId="2" fontId="23" fillId="15" borderId="1" xfId="1538" applyNumberFormat="1" applyFont="1" applyFill="1" applyBorder="1" applyAlignment="1" applyProtection="1">
      <alignment vertical="center"/>
      <protection hidden="1"/>
    </xf>
    <xf numFmtId="1" fontId="21" fillId="0" borderId="1" xfId="1538" applyNumberFormat="1" applyFont="1" applyBorder="1" applyAlignment="1" applyProtection="1">
      <alignment vertical="center"/>
      <protection hidden="1"/>
    </xf>
    <xf numFmtId="0" fontId="5" fillId="15" borderId="0" xfId="1538" applyFont="1" applyFill="1" applyProtection="1">
      <protection hidden="1"/>
    </xf>
    <xf numFmtId="0" fontId="23" fillId="0" borderId="1" xfId="1538" applyFont="1" applyBorder="1" applyAlignment="1" applyProtection="1">
      <alignment horizontal="center" vertical="center" wrapText="1"/>
      <protection hidden="1"/>
    </xf>
    <xf numFmtId="2" fontId="5" fillId="0" borderId="4" xfId="1538" applyNumberFormat="1" applyFont="1" applyBorder="1" applyAlignment="1" applyProtection="1">
      <alignment vertical="center"/>
      <protection hidden="1"/>
    </xf>
    <xf numFmtId="2" fontId="23" fillId="0" borderId="1" xfId="1538" applyNumberFormat="1" applyFont="1" applyBorder="1" applyAlignment="1" applyProtection="1">
      <alignment vertical="center"/>
      <protection hidden="1"/>
    </xf>
    <xf numFmtId="2" fontId="5" fillId="0" borderId="0" xfId="1538" applyNumberFormat="1" applyFont="1" applyAlignment="1" applyProtection="1">
      <alignment horizontal="right" vertical="center"/>
      <protection hidden="1"/>
    </xf>
    <xf numFmtId="2" fontId="23" fillId="0" borderId="1" xfId="1538" applyNumberFormat="1" applyFont="1" applyBorder="1" applyAlignment="1" applyProtection="1">
      <alignment horizontal="right" vertical="center"/>
      <protection hidden="1"/>
    </xf>
    <xf numFmtId="2" fontId="23" fillId="0" borderId="1" xfId="1538" applyNumberFormat="1" applyFont="1" applyBorder="1" applyAlignment="1" applyProtection="1">
      <alignment horizontal="right" vertical="center" shrinkToFit="1"/>
      <protection hidden="1"/>
    </xf>
    <xf numFmtId="0" fontId="22" fillId="0" borderId="1" xfId="1538" applyFont="1" applyBorder="1" applyAlignment="1" applyProtection="1">
      <alignment horizontal="justify" vertical="center" wrapText="1"/>
      <protection hidden="1"/>
    </xf>
    <xf numFmtId="0" fontId="23" fillId="16" borderId="1" xfId="1538" applyFont="1" applyFill="1" applyBorder="1" applyAlignment="1" applyProtection="1">
      <alignment horizontal="center" vertical="center"/>
      <protection hidden="1"/>
    </xf>
    <xf numFmtId="1" fontId="21" fillId="16" borderId="1" xfId="1538" applyNumberFormat="1" applyFont="1" applyFill="1" applyBorder="1" applyAlignment="1" applyProtection="1">
      <alignment horizontal="right" vertical="center"/>
      <protection hidden="1"/>
    </xf>
    <xf numFmtId="0" fontId="21" fillId="16" borderId="1" xfId="1538" applyFont="1" applyFill="1" applyBorder="1" applyAlignment="1" applyProtection="1">
      <alignment horizontal="left" vertical="center"/>
      <protection hidden="1"/>
    </xf>
    <xf numFmtId="0" fontId="21" fillId="0" borderId="5" xfId="1538" applyFont="1" applyBorder="1" applyAlignment="1">
      <alignment horizontal="justify" vertical="center" wrapText="1"/>
    </xf>
    <xf numFmtId="0" fontId="21" fillId="0" borderId="5" xfId="1538" applyFont="1" applyBorder="1" applyAlignment="1">
      <alignment horizontal="right" vertical="center"/>
    </xf>
    <xf numFmtId="0" fontId="25" fillId="0" borderId="0" xfId="1538" applyFont="1" applyProtection="1">
      <protection hidden="1"/>
    </xf>
    <xf numFmtId="0" fontId="21" fillId="0" borderId="5" xfId="1538" applyFont="1" applyBorder="1" applyAlignment="1">
      <alignment horizontal="center" vertical="center" wrapText="1"/>
    </xf>
    <xf numFmtId="0" fontId="23" fillId="0" borderId="5" xfId="1538" applyFont="1" applyBorder="1" applyAlignment="1">
      <alignment horizontal="center" vertical="center"/>
    </xf>
    <xf numFmtId="2" fontId="23" fillId="0" borderId="5" xfId="1538" applyNumberFormat="1" applyFont="1" applyBorder="1" applyAlignment="1">
      <alignment horizontal="right" vertical="center" shrinkToFit="1"/>
    </xf>
    <xf numFmtId="1" fontId="21" fillId="0" borderId="5" xfId="1538" applyNumberFormat="1" applyFont="1" applyBorder="1" applyAlignment="1">
      <alignment horizontal="right" vertical="center"/>
    </xf>
    <xf numFmtId="0" fontId="21" fillId="0" borderId="5" xfId="1538" applyFont="1" applyBorder="1" applyAlignment="1">
      <alignment horizontal="left" vertical="center"/>
    </xf>
    <xf numFmtId="0" fontId="21" fillId="0" borderId="0" xfId="1538" applyFont="1" applyProtection="1">
      <protection hidden="1"/>
    </xf>
    <xf numFmtId="0" fontId="21" fillId="15" borderId="1" xfId="1538" applyFont="1" applyFill="1" applyBorder="1" applyAlignment="1" applyProtection="1">
      <alignment horizontal="justify" vertical="center" wrapText="1"/>
      <protection hidden="1"/>
    </xf>
    <xf numFmtId="0" fontId="21" fillId="15" borderId="0" xfId="1538" applyFont="1" applyFill="1" applyProtection="1">
      <protection hidden="1"/>
    </xf>
    <xf numFmtId="0" fontId="21" fillId="15" borderId="1" xfId="1538" applyFont="1" applyFill="1" applyBorder="1" applyAlignment="1" applyProtection="1">
      <alignment vertical="center" wrapText="1"/>
      <protection hidden="1"/>
    </xf>
    <xf numFmtId="0" fontId="5" fillId="0" borderId="1" xfId="1538" applyFont="1" applyBorder="1" applyAlignment="1" applyProtection="1">
      <alignment vertical="center"/>
      <protection hidden="1"/>
    </xf>
    <xf numFmtId="2" fontId="5" fillId="0" borderId="0" xfId="1538" applyNumberFormat="1" applyFont="1" applyAlignment="1" applyProtection="1">
      <alignment vertical="center"/>
      <protection hidden="1"/>
    </xf>
    <xf numFmtId="0" fontId="21" fillId="0" borderId="3" xfId="1538" applyFont="1" applyBorder="1" applyAlignment="1" applyProtection="1">
      <alignment horizontal="justify" vertical="center"/>
      <protection hidden="1"/>
    </xf>
    <xf numFmtId="0" fontId="23" fillId="15" borderId="1" xfId="1538" applyFont="1" applyFill="1" applyBorder="1" applyAlignment="1" applyProtection="1">
      <alignment horizontal="right" vertical="center"/>
      <protection hidden="1"/>
    </xf>
    <xf numFmtId="0" fontId="26" fillId="15" borderId="1" xfId="1538" applyFont="1" applyFill="1" applyBorder="1" applyAlignment="1" applyProtection="1">
      <alignment horizontal="justify" vertical="center" wrapText="1"/>
      <protection hidden="1"/>
    </xf>
    <xf numFmtId="0" fontId="23" fillId="15" borderId="1" xfId="1538" applyFont="1" applyFill="1" applyBorder="1" applyAlignment="1" applyProtection="1">
      <alignment horizontal="justify" vertical="center" wrapText="1"/>
      <protection hidden="1"/>
    </xf>
    <xf numFmtId="0" fontId="23" fillId="15" borderId="1" xfId="1538" applyFont="1" applyFill="1" applyBorder="1" applyAlignment="1" applyProtection="1">
      <alignment horizontal="center" vertical="center" wrapText="1"/>
      <protection hidden="1"/>
    </xf>
    <xf numFmtId="2" fontId="23" fillId="15" borderId="1" xfId="1538" applyNumberFormat="1" applyFont="1" applyFill="1" applyBorder="1" applyAlignment="1" applyProtection="1">
      <alignment horizontal="right" vertical="center" shrinkToFit="1"/>
      <protection hidden="1"/>
    </xf>
    <xf numFmtId="1" fontId="23" fillId="15" borderId="1" xfId="1538" applyNumberFormat="1" applyFont="1" applyFill="1" applyBorder="1" applyAlignment="1" applyProtection="1">
      <alignment horizontal="right" vertical="center"/>
      <protection hidden="1"/>
    </xf>
    <xf numFmtId="0" fontId="23" fillId="15" borderId="1" xfId="1538" applyFont="1" applyFill="1" applyBorder="1" applyAlignment="1" applyProtection="1">
      <alignment horizontal="left" vertical="center"/>
      <protection hidden="1"/>
    </xf>
    <xf numFmtId="0" fontId="23" fillId="0" borderId="1" xfId="1538" applyFont="1" applyBorder="1" applyAlignment="1" applyProtection="1">
      <alignment horizontal="right" vertical="center"/>
      <protection hidden="1"/>
    </xf>
    <xf numFmtId="0" fontId="27" fillId="0" borderId="1" xfId="1538" applyFont="1" applyBorder="1" applyAlignment="1" applyProtection="1">
      <alignment horizontal="justify" vertical="center" wrapText="1"/>
      <protection hidden="1"/>
    </xf>
    <xf numFmtId="0" fontId="27" fillId="0" borderId="1" xfId="1538" applyFont="1" applyBorder="1" applyAlignment="1" applyProtection="1">
      <alignment horizontal="center" vertical="center" wrapText="1"/>
      <protection hidden="1"/>
    </xf>
    <xf numFmtId="0" fontId="27" fillId="0" borderId="1" xfId="1538" applyFont="1" applyBorder="1" applyAlignment="1" applyProtection="1">
      <alignment horizontal="left" vertical="center" wrapText="1"/>
      <protection hidden="1"/>
    </xf>
    <xf numFmtId="1" fontId="27" fillId="0" borderId="1" xfId="1538" applyNumberFormat="1" applyFont="1" applyBorder="1" applyAlignment="1" applyProtection="1">
      <alignment horizontal="right" vertical="center"/>
      <protection hidden="1"/>
    </xf>
    <xf numFmtId="0" fontId="27" fillId="0" borderId="1" xfId="1538" applyFont="1" applyBorder="1" applyAlignment="1" applyProtection="1">
      <alignment horizontal="left" vertical="center"/>
      <protection hidden="1"/>
    </xf>
    <xf numFmtId="2" fontId="23" fillId="0" borderId="0" xfId="1538" applyNumberFormat="1" applyFont="1" applyAlignment="1" applyProtection="1">
      <alignment horizontal="right" vertical="center" shrinkToFit="1"/>
      <protection hidden="1"/>
    </xf>
    <xf numFmtId="0" fontId="25" fillId="0" borderId="0" xfId="1538" applyFont="1" applyAlignment="1" applyProtection="1">
      <alignment horizontal="center"/>
      <protection hidden="1"/>
    </xf>
    <xf numFmtId="2" fontId="23" fillId="0" borderId="1" xfId="1538" applyNumberFormat="1" applyFont="1" applyBorder="1" applyAlignment="1" applyProtection="1">
      <alignment horizontal="center" vertical="center"/>
      <protection hidden="1"/>
    </xf>
    <xf numFmtId="2" fontId="5" fillId="0" borderId="1" xfId="1538" applyNumberFormat="1" applyFont="1" applyBorder="1" applyAlignment="1" applyProtection="1">
      <alignment vertical="center" shrinkToFit="1"/>
      <protection hidden="1"/>
    </xf>
    <xf numFmtId="0" fontId="21" fillId="0" borderId="1" xfId="1538" applyFont="1" applyBorder="1" applyAlignment="1" applyProtection="1">
      <alignment horizontal="center" vertical="center" shrinkToFit="1"/>
      <protection hidden="1"/>
    </xf>
    <xf numFmtId="2" fontId="5" fillId="0" borderId="0" xfId="1538" applyNumberFormat="1" applyFont="1" applyAlignment="1" applyProtection="1">
      <alignment vertical="center" shrinkToFit="1"/>
      <protection hidden="1"/>
    </xf>
    <xf numFmtId="2" fontId="5" fillId="16" borderId="1" xfId="1538" applyNumberFormat="1" applyFont="1" applyFill="1" applyBorder="1" applyAlignment="1" applyProtection="1">
      <alignment horizontal="right" vertical="center" shrinkToFit="1"/>
      <protection hidden="1"/>
    </xf>
    <xf numFmtId="2" fontId="5" fillId="16" borderId="0" xfId="1538" applyNumberFormat="1" applyFont="1" applyFill="1" applyAlignment="1" applyProtection="1">
      <alignment horizontal="right" vertical="center" shrinkToFit="1"/>
      <protection hidden="1"/>
    </xf>
    <xf numFmtId="2" fontId="21" fillId="0" borderId="1" xfId="1538" applyNumberFormat="1" applyFont="1" applyBorder="1" applyAlignment="1" applyProtection="1">
      <alignment vertical="center" shrinkToFit="1"/>
      <protection hidden="1"/>
    </xf>
    <xf numFmtId="1" fontId="23" fillId="0" borderId="1" xfId="1538" applyNumberFormat="1" applyFont="1" applyBorder="1" applyAlignment="1" applyProtection="1">
      <alignment horizontal="center" vertical="center" shrinkToFit="1"/>
      <protection hidden="1"/>
    </xf>
    <xf numFmtId="0" fontId="21" fillId="0" borderId="1" xfId="1538" applyFont="1" applyBorder="1" applyAlignment="1" applyProtection="1">
      <alignment horizontal="left" vertical="center" wrapText="1"/>
      <protection hidden="1"/>
    </xf>
    <xf numFmtId="0" fontId="6" fillId="0" borderId="1" xfId="1538" applyFont="1" applyBorder="1" applyAlignment="1" applyProtection="1">
      <alignment horizontal="justify" vertical="center" wrapText="1"/>
      <protection hidden="1"/>
    </xf>
    <xf numFmtId="1" fontId="5" fillId="0" borderId="1" xfId="1538" applyNumberFormat="1" applyFont="1" applyBorder="1" applyAlignment="1" applyProtection="1">
      <alignment horizontal="center" vertical="center" shrinkToFit="1"/>
      <protection hidden="1"/>
    </xf>
    <xf numFmtId="0" fontId="22" fillId="0" borderId="1" xfId="1538" applyFont="1" applyBorder="1" applyAlignment="1" applyProtection="1">
      <alignment horizontal="justify" vertical="top" wrapText="1"/>
      <protection hidden="1"/>
    </xf>
    <xf numFmtId="0" fontId="22" fillId="0" borderId="1" xfId="1538" applyFont="1" applyBorder="1" applyAlignment="1" applyProtection="1">
      <alignment horizontal="center" vertical="center" wrapText="1" shrinkToFit="1"/>
      <protection hidden="1"/>
    </xf>
    <xf numFmtId="0" fontId="20" fillId="0" borderId="1" xfId="1538" applyFont="1" applyBorder="1" applyAlignment="1" applyProtection="1">
      <alignment horizontal="center" vertical="center" wrapText="1" shrinkToFit="1"/>
      <protection hidden="1"/>
    </xf>
    <xf numFmtId="1" fontId="22" fillId="0" borderId="1" xfId="1538" applyNumberFormat="1" applyFont="1" applyBorder="1" applyAlignment="1" applyProtection="1">
      <alignment horizontal="center" vertical="center" wrapText="1"/>
      <protection hidden="1"/>
    </xf>
    <xf numFmtId="2" fontId="5" fillId="0" borderId="1" xfId="1538" applyNumberFormat="1" applyFont="1" applyBorder="1" applyAlignment="1" applyProtection="1">
      <alignment horizontal="center" vertical="center" wrapText="1"/>
      <protection hidden="1"/>
    </xf>
    <xf numFmtId="0" fontId="22" fillId="0" borderId="1" xfId="1538" applyFont="1" applyBorder="1" applyAlignment="1" applyProtection="1">
      <alignment horizontal="right" vertical="center"/>
      <protection hidden="1"/>
    </xf>
    <xf numFmtId="0" fontId="22" fillId="0" borderId="1" xfId="1538" applyFont="1" applyBorder="1" applyAlignment="1" applyProtection="1">
      <alignment horizontal="justify" vertical="center"/>
      <protection hidden="1"/>
    </xf>
    <xf numFmtId="0" fontId="28" fillId="0" borderId="0" xfId="1538" applyFont="1" applyAlignment="1" applyProtection="1">
      <alignment horizontal="center"/>
      <protection hidden="1"/>
    </xf>
    <xf numFmtId="1" fontId="23" fillId="0" borderId="1" xfId="1538" applyNumberFormat="1" applyFont="1" applyBorder="1" applyAlignment="1" applyProtection="1">
      <alignment horizontal="right" vertical="center"/>
      <protection hidden="1"/>
    </xf>
    <xf numFmtId="0" fontId="23" fillId="0" borderId="1" xfId="1538" applyFont="1" applyBorder="1" applyAlignment="1" applyProtection="1">
      <alignment horizontal="left" vertical="center"/>
      <protection hidden="1"/>
    </xf>
    <xf numFmtId="2" fontId="21" fillId="0" borderId="1" xfId="1538" applyNumberFormat="1" applyFont="1" applyBorder="1" applyAlignment="1" applyProtection="1">
      <alignment horizontal="center" vertical="center" shrinkToFit="1"/>
      <protection hidden="1"/>
    </xf>
    <xf numFmtId="2" fontId="23" fillId="0" borderId="1" xfId="1538" applyNumberFormat="1" applyFont="1" applyBorder="1" applyAlignment="1" applyProtection="1">
      <alignment horizontal="center" vertical="center" shrinkToFit="1"/>
      <protection hidden="1"/>
    </xf>
    <xf numFmtId="2" fontId="6" fillId="0" borderId="1" xfId="1538" applyNumberFormat="1" applyFont="1" applyBorder="1" applyAlignment="1" applyProtection="1">
      <alignment horizontal="center" vertical="center" shrinkToFit="1"/>
      <protection hidden="1"/>
    </xf>
    <xf numFmtId="0" fontId="21" fillId="0" borderId="6" xfId="1538" applyFont="1" applyBorder="1" applyAlignment="1" applyProtection="1">
      <alignment horizontal="center" vertical="top"/>
      <protection hidden="1"/>
    </xf>
    <xf numFmtId="0" fontId="22" fillId="0" borderId="6" xfId="1538" applyFont="1" applyBorder="1" applyAlignment="1" applyProtection="1">
      <alignment horizontal="right" vertical="top"/>
      <protection hidden="1"/>
    </xf>
    <xf numFmtId="0" fontId="22" fillId="0" borderId="1" xfId="1538" applyFont="1" applyBorder="1" applyAlignment="1" applyProtection="1">
      <alignment horizontal="center" vertical="top" wrapText="1"/>
      <protection hidden="1"/>
    </xf>
    <xf numFmtId="0" fontId="21" fillId="0" borderId="1" xfId="1538" applyFont="1" applyBorder="1" applyAlignment="1" applyProtection="1">
      <alignment horizontal="center" vertical="top"/>
      <protection hidden="1"/>
    </xf>
    <xf numFmtId="0" fontId="22" fillId="0" borderId="1" xfId="1538" applyFont="1" applyBorder="1" applyAlignment="1" applyProtection="1">
      <alignment horizontal="right" vertical="top"/>
      <protection hidden="1"/>
    </xf>
    <xf numFmtId="2" fontId="22" fillId="0" borderId="1" xfId="1538" applyNumberFormat="1" applyFont="1" applyBorder="1" applyAlignment="1" applyProtection="1">
      <alignment horizontal="center" vertical="top" wrapText="1"/>
      <protection hidden="1"/>
    </xf>
    <xf numFmtId="0" fontId="25" fillId="0" borderId="1" xfId="1538" applyFont="1" applyBorder="1" applyAlignment="1" applyProtection="1">
      <alignment horizontal="center" vertical="center"/>
      <protection hidden="1"/>
    </xf>
    <xf numFmtId="2" fontId="22" fillId="0" borderId="1" xfId="1538" applyNumberFormat="1" applyFont="1" applyBorder="1" applyAlignment="1" applyProtection="1">
      <alignment horizontal="justify" vertical="top" wrapText="1"/>
      <protection hidden="1"/>
    </xf>
    <xf numFmtId="0" fontId="21" fillId="0" borderId="1" xfId="1538" applyFont="1" applyBorder="1" applyAlignment="1" applyProtection="1">
      <alignment horizontal="right" vertical="top"/>
      <protection hidden="1"/>
    </xf>
    <xf numFmtId="0" fontId="21" fillId="0" borderId="1" xfId="1538" applyFont="1" applyBorder="1" applyAlignment="1" applyProtection="1">
      <alignment horizontal="justify" wrapText="1"/>
      <protection hidden="1"/>
    </xf>
    <xf numFmtId="0" fontId="21" fillId="0" borderId="1" xfId="1538" applyFont="1" applyBorder="1" applyAlignment="1" applyProtection="1">
      <alignment horizontal="center" wrapText="1"/>
      <protection hidden="1"/>
    </xf>
    <xf numFmtId="2" fontId="21" fillId="0" borderId="1" xfId="1538" applyNumberFormat="1" applyFont="1" applyBorder="1" applyAlignment="1" applyProtection="1">
      <alignment horizontal="center" wrapText="1"/>
      <protection hidden="1"/>
    </xf>
    <xf numFmtId="2" fontId="5" fillId="0" borderId="1" xfId="1538" applyNumberFormat="1" applyFont="1" applyBorder="1" applyAlignment="1" applyProtection="1">
      <alignment horizontal="center" wrapText="1"/>
      <protection hidden="1"/>
    </xf>
    <xf numFmtId="0" fontId="21" fillId="0" borderId="1" xfId="1538" applyFont="1" applyBorder="1" applyProtection="1">
      <protection hidden="1"/>
    </xf>
    <xf numFmtId="1" fontId="23" fillId="0" borderId="1" xfId="1538" applyNumberFormat="1" applyFont="1" applyBorder="1" applyAlignment="1" applyProtection="1">
      <alignment horizontal="right" vertical="top"/>
      <protection hidden="1"/>
    </xf>
    <xf numFmtId="0" fontId="23" fillId="0" borderId="1" xfId="1538" applyFont="1" applyBorder="1" applyAlignment="1" applyProtection="1">
      <alignment horizontal="left" vertical="top"/>
      <protection hidden="1"/>
    </xf>
    <xf numFmtId="0" fontId="5" fillId="0" borderId="1" xfId="1538" applyFont="1" applyBorder="1" applyAlignment="1" applyProtection="1">
      <alignment horizontal="center" vertical="top"/>
      <protection hidden="1"/>
    </xf>
    <xf numFmtId="2" fontId="21" fillId="0" borderId="1" xfId="1538" applyNumberFormat="1" applyFont="1" applyBorder="1" applyAlignment="1" applyProtection="1">
      <alignment horizontal="center"/>
      <protection hidden="1"/>
    </xf>
    <xf numFmtId="1" fontId="5" fillId="0" borderId="1" xfId="1538" applyNumberFormat="1" applyFont="1" applyBorder="1" applyAlignment="1" applyProtection="1">
      <alignment horizontal="center" wrapText="1"/>
      <protection hidden="1"/>
    </xf>
    <xf numFmtId="0" fontId="5" fillId="0" borderId="1" xfId="1538" applyFont="1" applyBorder="1" applyAlignment="1" applyProtection="1">
      <alignment horizontal="center" wrapText="1"/>
      <protection hidden="1"/>
    </xf>
    <xf numFmtId="0" fontId="5" fillId="0" borderId="1" xfId="1538" applyFont="1" applyBorder="1" applyProtection="1">
      <protection hidden="1"/>
    </xf>
    <xf numFmtId="0" fontId="5" fillId="0" borderId="1" xfId="1538" applyFont="1" applyBorder="1" applyAlignment="1" applyProtection="1">
      <alignment horizontal="justify" vertical="top" wrapText="1"/>
      <protection hidden="1"/>
    </xf>
    <xf numFmtId="2" fontId="23" fillId="0" borderId="1" xfId="1538" applyNumberFormat="1" applyFont="1" applyBorder="1" applyAlignment="1" applyProtection="1">
      <alignment horizontal="center" vertical="top" shrinkToFit="1"/>
      <protection hidden="1"/>
    </xf>
    <xf numFmtId="2" fontId="5" fillId="0" borderId="1" xfId="1538" applyNumberFormat="1" applyFont="1" applyBorder="1" applyAlignment="1" applyProtection="1">
      <alignment horizontal="right" vertical="top"/>
      <protection hidden="1"/>
    </xf>
    <xf numFmtId="1" fontId="5" fillId="0" borderId="1" xfId="1538" applyNumberFormat="1" applyFont="1" applyBorder="1" applyAlignment="1" applyProtection="1">
      <alignment vertical="top"/>
      <protection hidden="1"/>
    </xf>
    <xf numFmtId="0" fontId="5" fillId="0" borderId="1" xfId="1538" applyFont="1" applyBorder="1" applyAlignment="1" applyProtection="1">
      <alignment vertical="top"/>
      <protection hidden="1"/>
    </xf>
    <xf numFmtId="1" fontId="5" fillId="0" borderId="1" xfId="1538" applyNumberFormat="1" applyFont="1" applyBorder="1" applyAlignment="1" applyProtection="1">
      <alignment horizontal="right" vertical="top"/>
      <protection hidden="1"/>
    </xf>
    <xf numFmtId="0" fontId="5" fillId="0" borderId="1" xfId="1538" applyFont="1" applyBorder="1" applyAlignment="1" applyProtection="1">
      <alignment horizontal="left" vertical="top"/>
      <protection hidden="1"/>
    </xf>
    <xf numFmtId="0" fontId="25" fillId="0" borderId="4" xfId="1538" applyFont="1" applyBorder="1" applyProtection="1">
      <protection hidden="1"/>
    </xf>
    <xf numFmtId="0" fontId="21" fillId="0" borderId="1" xfId="1538" applyFont="1" applyBorder="1" applyAlignment="1" applyProtection="1">
      <alignment horizontal="center" vertical="top" wrapText="1"/>
      <protection hidden="1"/>
    </xf>
    <xf numFmtId="2" fontId="21" fillId="0" borderId="1" xfId="1538" applyNumberFormat="1" applyFont="1" applyBorder="1" applyAlignment="1" applyProtection="1">
      <alignment horizontal="right" vertical="top"/>
      <protection hidden="1"/>
    </xf>
    <xf numFmtId="2" fontId="5" fillId="0" borderId="1" xfId="1538" applyNumberFormat="1" applyFont="1" applyBorder="1" applyAlignment="1" applyProtection="1">
      <alignment horizontal="center" vertical="top"/>
      <protection hidden="1"/>
    </xf>
    <xf numFmtId="2" fontId="21" fillId="0" borderId="1" xfId="1538" applyNumberFormat="1" applyFont="1" applyBorder="1" applyAlignment="1" applyProtection="1">
      <alignment horizontal="center" vertical="top" shrinkToFit="1"/>
      <protection hidden="1"/>
    </xf>
    <xf numFmtId="0" fontId="5" fillId="0" borderId="7" xfId="1538" applyFont="1" applyBorder="1" applyAlignment="1" applyProtection="1">
      <alignment horizontal="justify" vertical="top" wrapText="1"/>
      <protection hidden="1"/>
    </xf>
    <xf numFmtId="0" fontId="5" fillId="0" borderId="4" xfId="1538" applyFont="1" applyBorder="1" applyAlignment="1" applyProtection="1">
      <alignment horizontal="justify" vertical="top" wrapText="1"/>
      <protection hidden="1"/>
    </xf>
    <xf numFmtId="2" fontId="23" fillId="0" borderId="4" xfId="1538" applyNumberFormat="1" applyFont="1" applyBorder="1" applyAlignment="1" applyProtection="1">
      <alignment horizontal="center" vertical="top" shrinkToFit="1"/>
      <protection hidden="1"/>
    </xf>
    <xf numFmtId="2" fontId="5" fillId="0" borderId="4" xfId="1538" applyNumberFormat="1" applyFont="1" applyBorder="1" applyAlignment="1" applyProtection="1">
      <alignment horizontal="right" vertical="top"/>
      <protection hidden="1"/>
    </xf>
    <xf numFmtId="1" fontId="5" fillId="0" borderId="4" xfId="1538" applyNumberFormat="1" applyFont="1" applyBorder="1" applyAlignment="1" applyProtection="1">
      <alignment vertical="top"/>
      <protection hidden="1"/>
    </xf>
    <xf numFmtId="0" fontId="5" fillId="0" borderId="4" xfId="1538" applyFont="1" applyBorder="1" applyAlignment="1" applyProtection="1">
      <alignment vertical="top"/>
      <protection hidden="1"/>
    </xf>
    <xf numFmtId="0" fontId="5" fillId="0" borderId="4" xfId="1538" applyFont="1" applyBorder="1" applyProtection="1">
      <protection hidden="1"/>
    </xf>
    <xf numFmtId="1" fontId="5" fillId="0" borderId="4" xfId="1538" applyNumberFormat="1" applyFont="1" applyBorder="1" applyAlignment="1" applyProtection="1">
      <alignment horizontal="right" vertical="top"/>
      <protection hidden="1"/>
    </xf>
    <xf numFmtId="0" fontId="5" fillId="0" borderId="8" xfId="1538" applyFont="1" applyBorder="1" applyAlignment="1" applyProtection="1">
      <alignment horizontal="left" vertical="top"/>
      <protection hidden="1"/>
    </xf>
    <xf numFmtId="0" fontId="5" fillId="0" borderId="1" xfId="1538" applyFont="1" applyBorder="1" applyAlignment="1" applyProtection="1">
      <alignment horizontal="right" vertical="top"/>
      <protection hidden="1"/>
    </xf>
    <xf numFmtId="0" fontId="5" fillId="0" borderId="1" xfId="1538" applyFont="1" applyBorder="1" applyAlignment="1" applyProtection="1">
      <alignment horizontal="justify" wrapText="1"/>
      <protection hidden="1"/>
    </xf>
    <xf numFmtId="0" fontId="5" fillId="0" borderId="1" xfId="1538" applyFont="1" applyBorder="1" applyAlignment="1" applyProtection="1">
      <alignment horizontal="center" vertical="top" wrapText="1"/>
      <protection hidden="1"/>
    </xf>
    <xf numFmtId="0" fontId="18" fillId="0" borderId="0" xfId="1538" applyFont="1" applyAlignment="1" applyProtection="1">
      <alignment horizontal="center"/>
      <protection hidden="1"/>
    </xf>
    <xf numFmtId="2" fontId="5" fillId="0" borderId="1" xfId="1538" applyNumberFormat="1" applyFont="1" applyBorder="1" applyAlignment="1" applyProtection="1">
      <alignment horizontal="center" vertical="top" shrinkToFit="1"/>
      <protection hidden="1"/>
    </xf>
    <xf numFmtId="2" fontId="5" fillId="16" borderId="1" xfId="1538" applyNumberFormat="1" applyFont="1" applyFill="1" applyBorder="1" applyAlignment="1" applyProtection="1">
      <alignment horizontal="center" vertical="top"/>
      <protection hidden="1"/>
    </xf>
    <xf numFmtId="0" fontId="30" fillId="0" borderId="1" xfId="1538" applyFont="1" applyBorder="1" applyAlignment="1" applyProtection="1">
      <alignment horizontal="center" vertical="center" wrapText="1"/>
      <protection hidden="1"/>
    </xf>
    <xf numFmtId="1" fontId="21" fillId="0" borderId="1" xfId="1538" applyNumberFormat="1" applyFont="1" applyBorder="1" applyAlignment="1" applyProtection="1">
      <alignment horizontal="center" vertical="center" shrinkToFit="1"/>
      <protection hidden="1"/>
    </xf>
    <xf numFmtId="2" fontId="23" fillId="0" borderId="1" xfId="1538" applyNumberFormat="1" applyFont="1" applyBorder="1" applyAlignment="1" applyProtection="1">
      <alignment horizontal="right" vertical="top"/>
      <protection hidden="1"/>
    </xf>
    <xf numFmtId="2" fontId="5" fillId="16" borderId="1" xfId="1538" applyNumberFormat="1" applyFont="1" applyFill="1" applyBorder="1" applyAlignment="1" applyProtection="1">
      <alignment horizontal="right" vertical="top"/>
      <protection hidden="1"/>
    </xf>
    <xf numFmtId="0" fontId="5" fillId="0" borderId="1" xfId="1538" applyFont="1" applyBorder="1" applyAlignment="1" applyProtection="1">
      <alignment horizontal="right"/>
      <protection hidden="1"/>
    </xf>
    <xf numFmtId="0" fontId="20" fillId="0" borderId="1" xfId="1538" applyFont="1" applyBorder="1" applyAlignment="1" applyProtection="1">
      <alignment horizontal="justify" wrapText="1"/>
      <protection hidden="1"/>
    </xf>
    <xf numFmtId="0" fontId="5" fillId="0" borderId="1" xfId="1538" applyFont="1" applyBorder="1" applyAlignment="1" applyProtection="1">
      <alignment horizontal="center" shrinkToFit="1"/>
      <protection hidden="1"/>
    </xf>
    <xf numFmtId="2" fontId="5" fillId="0" borderId="1" xfId="1538" applyNumberFormat="1" applyFont="1" applyBorder="1" applyAlignment="1" applyProtection="1">
      <alignment horizontal="right" shrinkToFit="1"/>
      <protection hidden="1"/>
    </xf>
    <xf numFmtId="1" fontId="5" fillId="0" borderId="1" xfId="1538" applyNumberFormat="1" applyFont="1" applyBorder="1" applyAlignment="1" applyProtection="1">
      <alignment horizontal="right"/>
      <protection hidden="1"/>
    </xf>
    <xf numFmtId="0" fontId="5" fillId="0" borderId="1" xfId="1538" applyFont="1" applyBorder="1" applyAlignment="1" applyProtection="1">
      <alignment horizontal="left"/>
      <protection hidden="1"/>
    </xf>
    <xf numFmtId="2" fontId="5" fillId="0" borderId="1" xfId="1538" applyNumberFormat="1" applyFont="1" applyBorder="1" applyProtection="1">
      <protection hidden="1"/>
    </xf>
    <xf numFmtId="0" fontId="31" fillId="0" borderId="1" xfId="1538" applyFont="1" applyBorder="1" applyAlignment="1" applyProtection="1">
      <alignment horizontal="justify" wrapText="1"/>
      <protection hidden="1"/>
    </xf>
    <xf numFmtId="0" fontId="32" fillId="0" borderId="1" xfId="1538" applyFont="1" applyBorder="1" applyAlignment="1" applyProtection="1">
      <alignment horizontal="justify" wrapText="1"/>
      <protection hidden="1"/>
    </xf>
    <xf numFmtId="1" fontId="31" fillId="0" borderId="1" xfId="1538" applyNumberFormat="1" applyFont="1" applyBorder="1" applyAlignment="1" applyProtection="1">
      <alignment horizontal="center" wrapText="1"/>
      <protection hidden="1"/>
    </xf>
    <xf numFmtId="0" fontId="31" fillId="0" borderId="1" xfId="1538" applyFont="1" applyBorder="1" applyAlignment="1" applyProtection="1">
      <alignment horizontal="center" shrinkToFit="1"/>
      <protection hidden="1"/>
    </xf>
    <xf numFmtId="2" fontId="31" fillId="0" borderId="1" xfId="1538" applyNumberFormat="1" applyFont="1" applyBorder="1" applyAlignment="1" applyProtection="1">
      <alignment horizontal="right" shrinkToFit="1"/>
      <protection hidden="1"/>
    </xf>
    <xf numFmtId="1" fontId="31" fillId="0" borderId="1" xfId="1538" applyNumberFormat="1" applyFont="1" applyBorder="1" applyAlignment="1" applyProtection="1">
      <alignment horizontal="right"/>
      <protection hidden="1"/>
    </xf>
    <xf numFmtId="0" fontId="31" fillId="0" borderId="1" xfId="1538" applyFont="1" applyBorder="1" applyAlignment="1" applyProtection="1">
      <alignment horizontal="left"/>
      <protection hidden="1"/>
    </xf>
    <xf numFmtId="1" fontId="6" fillId="0" borderId="1" xfId="1538" applyNumberFormat="1" applyFont="1" applyBorder="1" applyAlignment="1" applyProtection="1">
      <alignment horizontal="center" wrapText="1"/>
      <protection hidden="1"/>
    </xf>
    <xf numFmtId="0" fontId="6" fillId="0" borderId="1" xfId="1538" applyFont="1" applyBorder="1" applyAlignment="1" applyProtection="1">
      <alignment horizontal="center" shrinkToFit="1"/>
      <protection hidden="1"/>
    </xf>
    <xf numFmtId="0" fontId="21" fillId="0" borderId="1" xfId="1538" applyFont="1" applyBorder="1" applyAlignment="1" applyProtection="1">
      <alignment vertical="top"/>
      <protection hidden="1"/>
    </xf>
    <xf numFmtId="0" fontId="22" fillId="0" borderId="1" xfId="1538" applyFont="1" applyBorder="1" applyAlignment="1" applyProtection="1">
      <alignment horizontal="justify" wrapText="1"/>
      <protection hidden="1"/>
    </xf>
    <xf numFmtId="2" fontId="5" fillId="0" borderId="1" xfId="1538" applyNumberFormat="1" applyFont="1" applyBorder="1" applyAlignment="1" applyProtection="1">
      <alignment vertical="top" shrinkToFit="1"/>
      <protection hidden="1"/>
    </xf>
    <xf numFmtId="2" fontId="5" fillId="0" borderId="1" xfId="1538" applyNumberFormat="1" applyFont="1" applyBorder="1" applyAlignment="1" applyProtection="1">
      <alignment vertical="top"/>
      <protection hidden="1"/>
    </xf>
    <xf numFmtId="1" fontId="21" fillId="0" borderId="1" xfId="1538" applyNumberFormat="1" applyFont="1" applyBorder="1" applyAlignment="1" applyProtection="1">
      <alignment horizontal="center" wrapText="1"/>
      <protection hidden="1"/>
    </xf>
    <xf numFmtId="0" fontId="21" fillId="0" borderId="1" xfId="1538" applyFont="1" applyBorder="1" applyAlignment="1" applyProtection="1">
      <alignment horizontal="center"/>
      <protection hidden="1"/>
    </xf>
    <xf numFmtId="2" fontId="23" fillId="0" borderId="1" xfId="1538" applyNumberFormat="1" applyFont="1" applyBorder="1" applyAlignment="1" applyProtection="1">
      <alignment shrinkToFit="1"/>
      <protection hidden="1"/>
    </xf>
    <xf numFmtId="1" fontId="23" fillId="0" borderId="1" xfId="1538" applyNumberFormat="1" applyFont="1" applyBorder="1" applyProtection="1">
      <protection hidden="1"/>
    </xf>
    <xf numFmtId="0" fontId="23" fillId="0" borderId="1" xfId="1538" applyFont="1" applyBorder="1" applyAlignment="1" applyProtection="1">
      <alignment horizontal="left"/>
      <protection hidden="1"/>
    </xf>
    <xf numFmtId="0" fontId="21" fillId="0" borderId="1" xfId="1538" applyFont="1" applyBorder="1" applyAlignment="1" applyProtection="1">
      <alignment horizontal="justify" vertical="top" wrapText="1"/>
      <protection hidden="1"/>
    </xf>
    <xf numFmtId="1" fontId="21" fillId="0" borderId="1" xfId="1538" applyNumberFormat="1" applyFont="1" applyBorder="1" applyAlignment="1" applyProtection="1">
      <alignment horizontal="center" vertical="top" shrinkToFit="1"/>
      <protection hidden="1"/>
    </xf>
    <xf numFmtId="0" fontId="21" fillId="0" borderId="1" xfId="1538" applyFont="1" applyBorder="1" applyAlignment="1" applyProtection="1">
      <alignment horizontal="center" vertical="top" shrinkToFit="1"/>
      <protection hidden="1"/>
    </xf>
    <xf numFmtId="2" fontId="23" fillId="0" borderId="1" xfId="1538" applyNumberFormat="1" applyFont="1" applyBorder="1" applyAlignment="1" applyProtection="1">
      <alignment vertical="top" shrinkToFit="1"/>
      <protection hidden="1"/>
    </xf>
    <xf numFmtId="1" fontId="23" fillId="0" borderId="1" xfId="1538" applyNumberFormat="1" applyFont="1" applyBorder="1" applyAlignment="1" applyProtection="1">
      <alignment horizontal="right" vertical="top" shrinkToFit="1"/>
      <protection hidden="1"/>
    </xf>
    <xf numFmtId="0" fontId="23" fillId="0" borderId="1" xfId="1538" applyFont="1" applyBorder="1" applyAlignment="1" applyProtection="1">
      <alignment horizontal="left" vertical="top" shrinkToFit="1"/>
      <protection hidden="1"/>
    </xf>
    <xf numFmtId="2" fontId="5" fillId="0" borderId="1" xfId="1538" applyNumberFormat="1" applyFont="1" applyBorder="1" applyAlignment="1" applyProtection="1">
      <alignment shrinkToFit="1"/>
      <protection hidden="1"/>
    </xf>
    <xf numFmtId="1" fontId="21" fillId="0" borderId="1" xfId="1538" applyNumberFormat="1" applyFont="1" applyBorder="1" applyProtection="1">
      <protection hidden="1"/>
    </xf>
    <xf numFmtId="0" fontId="21" fillId="0" borderId="1" xfId="1538" applyFont="1" applyBorder="1" applyAlignment="1" applyProtection="1">
      <alignment horizontal="left"/>
      <protection hidden="1"/>
    </xf>
    <xf numFmtId="1" fontId="27" fillId="0" borderId="1" xfId="1538" applyNumberFormat="1" applyFont="1" applyBorder="1" applyAlignment="1" applyProtection="1">
      <alignment horizontal="center" wrapText="1"/>
      <protection hidden="1"/>
    </xf>
    <xf numFmtId="0" fontId="27" fillId="0" borderId="1" xfId="1538" applyFont="1" applyBorder="1" applyAlignment="1" applyProtection="1">
      <alignment horizontal="center"/>
      <protection hidden="1"/>
    </xf>
    <xf numFmtId="0" fontId="27" fillId="0" borderId="1" xfId="1538" applyFont="1" applyBorder="1" applyAlignment="1" applyProtection="1">
      <alignment horizontal="justify" wrapText="1"/>
      <protection hidden="1"/>
    </xf>
    <xf numFmtId="2" fontId="21" fillId="0" borderId="1" xfId="1538" applyNumberFormat="1" applyFont="1" applyBorder="1" applyAlignment="1" applyProtection="1">
      <alignment vertical="top"/>
      <protection hidden="1"/>
    </xf>
    <xf numFmtId="0" fontId="5" fillId="0" borderId="0" xfId="1538" applyFont="1" applyAlignment="1" applyProtection="1">
      <alignment horizontal="center"/>
      <protection hidden="1"/>
    </xf>
    <xf numFmtId="0" fontId="21" fillId="0" borderId="1" xfId="1538" applyFont="1" applyBorder="1" applyAlignment="1" applyProtection="1">
      <alignment horizontal="right"/>
      <protection hidden="1"/>
    </xf>
    <xf numFmtId="2" fontId="23" fillId="0" borderId="1" xfId="1538" applyNumberFormat="1" applyFont="1" applyBorder="1" applyAlignment="1" applyProtection="1">
      <alignment horizontal="right" shrinkToFit="1"/>
      <protection hidden="1"/>
    </xf>
    <xf numFmtId="1" fontId="23" fillId="0" borderId="1" xfId="1538" applyNumberFormat="1" applyFont="1" applyBorder="1" applyAlignment="1" applyProtection="1">
      <alignment horizontal="right"/>
      <protection hidden="1"/>
    </xf>
    <xf numFmtId="2" fontId="21" fillId="0" borderId="1" xfId="1538" applyNumberFormat="1" applyFont="1" applyBorder="1" applyProtection="1">
      <protection hidden="1"/>
    </xf>
    <xf numFmtId="0" fontId="21" fillId="16" borderId="1" xfId="1538" applyFont="1" applyFill="1" applyBorder="1" applyAlignment="1" applyProtection="1">
      <alignment horizontal="center" vertical="center" wrapText="1"/>
      <protection hidden="1"/>
    </xf>
    <xf numFmtId="2" fontId="23" fillId="16" borderId="1" xfId="1538" applyNumberFormat="1" applyFont="1" applyFill="1" applyBorder="1" applyAlignment="1" applyProtection="1">
      <alignment horizontal="right" vertical="center" shrinkToFit="1"/>
      <protection hidden="1"/>
    </xf>
    <xf numFmtId="0" fontId="30" fillId="0" borderId="1" xfId="1538" applyFont="1" applyBorder="1" applyAlignment="1" applyProtection="1">
      <alignment horizontal="justify" wrapText="1"/>
      <protection hidden="1"/>
    </xf>
    <xf numFmtId="0" fontId="6" fillId="0" borderId="1" xfId="1538" applyFont="1" applyBorder="1" applyAlignment="1" applyProtection="1">
      <alignment horizontal="center" wrapText="1"/>
      <protection hidden="1"/>
    </xf>
    <xf numFmtId="2" fontId="5" fillId="0" borderId="0" xfId="1538" applyNumberFormat="1" applyFont="1" applyProtection="1">
      <protection hidden="1"/>
    </xf>
    <xf numFmtId="0" fontId="30" fillId="0" borderId="6" xfId="1538" applyFont="1" applyBorder="1" applyAlignment="1" applyProtection="1">
      <alignment vertical="center" wrapText="1"/>
      <protection hidden="1"/>
    </xf>
    <xf numFmtId="0" fontId="21" fillId="0" borderId="3" xfId="1538" applyFont="1" applyBorder="1" applyAlignment="1" applyProtection="1">
      <alignment vertical="center" wrapText="1"/>
      <protection hidden="1"/>
    </xf>
    <xf numFmtId="0" fontId="21" fillId="0" borderId="1" xfId="1538" applyFont="1" applyBorder="1" applyAlignment="1" applyProtection="1">
      <alignment horizontal="center" shrinkToFit="1"/>
      <protection hidden="1"/>
    </xf>
    <xf numFmtId="1" fontId="23" fillId="0" borderId="1" xfId="1538" applyNumberFormat="1" applyFont="1" applyBorder="1" applyAlignment="1" applyProtection="1">
      <alignment horizontal="right" shrinkToFit="1"/>
      <protection hidden="1"/>
    </xf>
    <xf numFmtId="0" fontId="21" fillId="0" borderId="9" xfId="1538" applyFont="1" applyBorder="1" applyAlignment="1" applyProtection="1">
      <alignment vertical="center" wrapText="1"/>
      <protection hidden="1"/>
    </xf>
    <xf numFmtId="0" fontId="23" fillId="0" borderId="1" xfId="1538" applyFont="1" applyBorder="1" applyAlignment="1" applyProtection="1">
      <alignment horizontal="center" vertical="top"/>
      <protection hidden="1"/>
    </xf>
    <xf numFmtId="0" fontId="5" fillId="0" borderId="1" xfId="1538" applyFont="1" applyBorder="1" applyAlignment="1" applyProtection="1">
      <alignment horizontal="left" wrapText="1"/>
      <protection hidden="1"/>
    </xf>
    <xf numFmtId="0" fontId="5" fillId="16" borderId="1" xfId="1538" applyFont="1" applyFill="1" applyBorder="1" applyAlignment="1" applyProtection="1">
      <alignment horizontal="center" wrapText="1" shrinkToFit="1"/>
      <protection hidden="1"/>
    </xf>
    <xf numFmtId="2" fontId="20" fillId="0" borderId="1" xfId="1538" applyNumberFormat="1" applyFont="1" applyBorder="1" applyAlignment="1" applyProtection="1">
      <alignment horizontal="center" vertical="top" wrapText="1"/>
      <protection hidden="1"/>
    </xf>
    <xf numFmtId="0" fontId="23" fillId="0" borderId="1" xfId="1538" applyFont="1" applyBorder="1" applyAlignment="1" applyProtection="1">
      <alignment vertical="center"/>
      <protection hidden="1"/>
    </xf>
    <xf numFmtId="1" fontId="20" fillId="0" borderId="1" xfId="1538" applyNumberFormat="1" applyFont="1" applyBorder="1" applyAlignment="1" applyProtection="1">
      <alignment vertical="center"/>
      <protection hidden="1"/>
    </xf>
    <xf numFmtId="0" fontId="20" fillId="0" borderId="1" xfId="1538" applyFont="1" applyBorder="1" applyAlignment="1" applyProtection="1">
      <alignment horizontal="right" vertical="center"/>
      <protection hidden="1"/>
    </xf>
    <xf numFmtId="0" fontId="21" fillId="0" borderId="1" xfId="1538" applyFont="1" applyBorder="1" applyAlignment="1" applyProtection="1">
      <alignment horizontal="center" shrinkToFit="1"/>
      <protection hidden="1"/>
    </xf>
    <xf numFmtId="0" fontId="23" fillId="0" borderId="1" xfId="1538" applyFont="1" applyBorder="1" applyAlignment="1" applyProtection="1">
      <alignment horizontal="center" shrinkToFit="1"/>
      <protection hidden="1"/>
    </xf>
    <xf numFmtId="2" fontId="5" fillId="0" borderId="1" xfId="1538" applyNumberFormat="1" applyFont="1" applyBorder="1" applyAlignment="1" applyProtection="1">
      <alignment horizontal="right"/>
      <protection hidden="1"/>
    </xf>
    <xf numFmtId="1" fontId="21" fillId="0" borderId="1" xfId="1538" applyNumberFormat="1" applyFont="1" applyBorder="1" applyAlignment="1" applyProtection="1">
      <alignment horizontal="right"/>
      <protection hidden="1"/>
    </xf>
    <xf numFmtId="2" fontId="23" fillId="0" borderId="1" xfId="1538" applyNumberFormat="1" applyFont="1" applyBorder="1" applyProtection="1">
      <protection hidden="1"/>
    </xf>
    <xf numFmtId="2" fontId="23" fillId="0" borderId="1" xfId="1538" applyNumberFormat="1" applyFont="1" applyBorder="1" applyAlignment="1" applyProtection="1">
      <alignment horizontal="right"/>
      <protection hidden="1"/>
    </xf>
    <xf numFmtId="0" fontId="23" fillId="0" borderId="3" xfId="1538" applyFont="1" applyBorder="1" applyAlignment="1" applyProtection="1">
      <alignment horizontal="center" shrinkToFit="1"/>
      <protection hidden="1"/>
    </xf>
    <xf numFmtId="2" fontId="5" fillId="0" borderId="1" xfId="1538" applyNumberFormat="1" applyFont="1" applyBorder="1" applyAlignment="1" applyProtection="1">
      <alignment horizontal="right"/>
      <protection hidden="1"/>
    </xf>
    <xf numFmtId="0" fontId="5" fillId="15" borderId="1" xfId="1538" applyFont="1" applyFill="1" applyBorder="1" applyAlignment="1" applyProtection="1">
      <alignment horizontal="center" vertical="top"/>
      <protection hidden="1"/>
    </xf>
    <xf numFmtId="0" fontId="5" fillId="15" borderId="1" xfId="1538" applyFont="1" applyFill="1" applyBorder="1" applyAlignment="1" applyProtection="1">
      <alignment horizontal="right" vertical="top"/>
      <protection hidden="1"/>
    </xf>
    <xf numFmtId="0" fontId="20" fillId="15" borderId="1" xfId="1538" applyFont="1" applyFill="1" applyBorder="1" applyAlignment="1" applyProtection="1">
      <alignment horizontal="justify" wrapText="1"/>
      <protection hidden="1"/>
    </xf>
    <xf numFmtId="0" fontId="5" fillId="15" borderId="1" xfId="1538" applyFont="1" applyFill="1" applyBorder="1" applyAlignment="1" applyProtection="1">
      <alignment horizontal="justify" wrapText="1"/>
      <protection hidden="1"/>
    </xf>
    <xf numFmtId="1" fontId="5" fillId="15" borderId="1" xfId="1538" applyNumberFormat="1" applyFont="1" applyFill="1" applyBorder="1" applyAlignment="1" applyProtection="1">
      <alignment horizontal="center" shrinkToFit="1"/>
      <protection hidden="1"/>
    </xf>
    <xf numFmtId="0" fontId="5" fillId="15" borderId="1" xfId="1538" applyFont="1" applyFill="1" applyBorder="1" applyProtection="1">
      <protection hidden="1"/>
    </xf>
    <xf numFmtId="2" fontId="5" fillId="15" borderId="1" xfId="1538" applyNumberFormat="1" applyFont="1" applyFill="1" applyBorder="1" applyAlignment="1" applyProtection="1">
      <alignment horizontal="center" shrinkToFit="1"/>
      <protection hidden="1"/>
    </xf>
    <xf numFmtId="1" fontId="5" fillId="15" borderId="1" xfId="1538" applyNumberFormat="1" applyFont="1" applyFill="1" applyBorder="1" applyAlignment="1" applyProtection="1">
      <alignment horizontal="right"/>
      <protection hidden="1"/>
    </xf>
    <xf numFmtId="0" fontId="5" fillId="15" borderId="1" xfId="1538" applyFont="1" applyFill="1" applyBorder="1" applyAlignment="1" applyProtection="1">
      <alignment horizontal="left"/>
      <protection hidden="1"/>
    </xf>
    <xf numFmtId="2" fontId="5" fillId="15" borderId="1" xfId="1538" applyNumberFormat="1" applyFont="1" applyFill="1" applyBorder="1" applyProtection="1">
      <protection hidden="1"/>
    </xf>
    <xf numFmtId="1" fontId="5" fillId="0" borderId="1" xfId="1538" applyNumberFormat="1" applyFont="1" applyBorder="1" applyAlignment="1" applyProtection="1">
      <alignment horizontal="center" vertical="top" shrinkToFit="1"/>
      <protection hidden="1"/>
    </xf>
    <xf numFmtId="1" fontId="21" fillId="0" borderId="1" xfId="1538" applyNumberFormat="1" applyFont="1" applyBorder="1" applyAlignment="1" applyProtection="1">
      <alignment horizontal="center" shrinkToFit="1"/>
      <protection hidden="1"/>
    </xf>
    <xf numFmtId="0" fontId="21" fillId="16" borderId="1" xfId="1538" applyFont="1" applyFill="1" applyBorder="1" applyAlignment="1" applyProtection="1">
      <alignment horizontal="center"/>
      <protection hidden="1"/>
    </xf>
    <xf numFmtId="2" fontId="5" fillId="0" borderId="1" xfId="1538" applyNumberFormat="1" applyFont="1" applyBorder="1" applyAlignment="1" applyProtection="1">
      <alignment horizontal="center" shrinkToFit="1"/>
      <protection hidden="1"/>
    </xf>
    <xf numFmtId="0" fontId="21" fillId="16" borderId="1" xfId="1538" applyFont="1" applyFill="1" applyBorder="1" applyAlignment="1" applyProtection="1">
      <alignment horizontal="justify" vertical="top" wrapText="1"/>
      <protection hidden="1"/>
    </xf>
    <xf numFmtId="1" fontId="23" fillId="16" borderId="1" xfId="1538" applyNumberFormat="1" applyFont="1" applyFill="1" applyBorder="1" applyAlignment="1" applyProtection="1">
      <alignment horizontal="right"/>
      <protection hidden="1"/>
    </xf>
    <xf numFmtId="0" fontId="23" fillId="16" borderId="1" xfId="1538" applyFont="1" applyFill="1" applyBorder="1" applyAlignment="1" applyProtection="1">
      <alignment horizontal="left"/>
      <protection hidden="1"/>
    </xf>
    <xf numFmtId="2" fontId="5" fillId="16" borderId="1" xfId="1538" applyNumberFormat="1" applyFont="1" applyFill="1" applyBorder="1" applyProtection="1">
      <protection hidden="1"/>
    </xf>
    <xf numFmtId="0" fontId="27" fillId="0" borderId="1" xfId="1538" applyFont="1" applyBorder="1" applyAlignment="1" applyProtection="1">
      <alignment horizontal="center" vertical="top"/>
      <protection hidden="1"/>
    </xf>
    <xf numFmtId="0" fontId="27" fillId="0" borderId="1" xfId="1538" applyFont="1" applyBorder="1" applyAlignment="1" applyProtection="1">
      <alignment horizontal="right"/>
      <protection hidden="1"/>
    </xf>
    <xf numFmtId="0" fontId="27" fillId="16" borderId="1" xfId="1538" applyFont="1" applyFill="1" applyBorder="1" applyAlignment="1" applyProtection="1">
      <alignment horizontal="justify" vertical="top" wrapText="1"/>
      <protection hidden="1"/>
    </xf>
    <xf numFmtId="0" fontId="33" fillId="0" borderId="9" xfId="1538" applyFont="1" applyBorder="1" applyAlignment="1" applyProtection="1">
      <alignment horizontal="center" wrapText="1"/>
      <protection hidden="1"/>
    </xf>
    <xf numFmtId="1" fontId="27" fillId="0" borderId="1" xfId="1538" applyNumberFormat="1" applyFont="1" applyBorder="1" applyAlignment="1" applyProtection="1">
      <alignment horizontal="center" shrinkToFit="1"/>
      <protection hidden="1"/>
    </xf>
    <xf numFmtId="0" fontId="27" fillId="16" borderId="1" xfId="1538" applyFont="1" applyFill="1" applyBorder="1" applyAlignment="1" applyProtection="1">
      <alignment horizontal="center"/>
      <protection hidden="1"/>
    </xf>
    <xf numFmtId="0" fontId="31" fillId="0" borderId="5" xfId="1538" applyFont="1" applyBorder="1" applyAlignment="1">
      <alignment horizontal="center" vertical="top"/>
    </xf>
    <xf numFmtId="0" fontId="31" fillId="0" borderId="5" xfId="1538" applyFont="1" applyBorder="1" applyAlignment="1">
      <alignment horizontal="right"/>
    </xf>
    <xf numFmtId="0" fontId="32" fillId="0" borderId="1" xfId="1538" applyFont="1" applyBorder="1" applyAlignment="1">
      <alignment horizontal="justify" wrapText="1"/>
    </xf>
    <xf numFmtId="1" fontId="31" fillId="0" borderId="5" xfId="1538" applyNumberFormat="1" applyFont="1" applyBorder="1" applyAlignment="1">
      <alignment horizontal="center" vertical="top" shrinkToFit="1"/>
    </xf>
    <xf numFmtId="2" fontId="31" fillId="0" borderId="5" xfId="1538" applyNumberFormat="1" applyFont="1" applyBorder="1" applyAlignment="1">
      <alignment horizontal="center" vertical="top" shrinkToFit="1"/>
    </xf>
    <xf numFmtId="2" fontId="31" fillId="0" borderId="5" xfId="1538" applyNumberFormat="1" applyFont="1" applyBorder="1" applyAlignment="1">
      <alignment shrinkToFit="1"/>
    </xf>
    <xf numFmtId="1" fontId="31" fillId="0" borderId="5" xfId="1538" applyNumberFormat="1" applyFont="1" applyBorder="1" applyAlignment="1">
      <alignment horizontal="right"/>
    </xf>
    <xf numFmtId="0" fontId="31" fillId="0" borderId="5" xfId="1538" applyFont="1" applyBorder="1" applyAlignment="1">
      <alignment horizontal="left"/>
    </xf>
    <xf numFmtId="2" fontId="31" fillId="0" borderId="5" xfId="1538" applyNumberFormat="1" applyFont="1" applyBorder="1"/>
    <xf numFmtId="0" fontId="31" fillId="0" borderId="0" xfId="1538" applyFont="1"/>
    <xf numFmtId="0" fontId="31" fillId="0" borderId="5" xfId="1538" applyFont="1" applyBorder="1" applyAlignment="1">
      <alignment horizontal="justify" wrapText="1"/>
    </xf>
    <xf numFmtId="0" fontId="5" fillId="0" borderId="5" xfId="1538" applyFont="1" applyBorder="1" applyAlignment="1">
      <alignment horizontal="center" vertical="center" wrapText="1"/>
    </xf>
    <xf numFmtId="0" fontId="31" fillId="0" borderId="5" xfId="1538" applyFont="1" applyBorder="1" applyAlignment="1">
      <alignment horizontal="center"/>
    </xf>
    <xf numFmtId="2" fontId="31" fillId="0" borderId="1" xfId="1538" applyNumberFormat="1" applyFont="1" applyBorder="1" applyAlignment="1">
      <alignment horizontal="center" shrinkToFit="1"/>
    </xf>
    <xf numFmtId="2" fontId="31" fillId="0" borderId="0" xfId="1538" applyNumberFormat="1" applyFont="1"/>
    <xf numFmtId="0" fontId="31" fillId="0" borderId="5" xfId="1538" applyFont="1" applyBorder="1" applyAlignment="1">
      <alignment horizontal="justify" vertical="top" wrapText="1"/>
    </xf>
    <xf numFmtId="0" fontId="5" fillId="0" borderId="5" xfId="1538" applyFont="1" applyBorder="1" applyAlignment="1">
      <alignment horizontal="center" vertical="top"/>
    </xf>
    <xf numFmtId="0" fontId="5" fillId="0" borderId="5" xfId="1538" applyFont="1" applyBorder="1" applyAlignment="1">
      <alignment horizontal="right"/>
    </xf>
    <xf numFmtId="0" fontId="5" fillId="0" borderId="5" xfId="1538" applyFont="1" applyBorder="1" applyAlignment="1">
      <alignment horizontal="justify" vertical="top" wrapText="1"/>
    </xf>
    <xf numFmtId="0" fontId="31" fillId="0" borderId="5" xfId="1538" applyFont="1" applyBorder="1" applyAlignment="1">
      <alignment horizontal="center" vertical="center" wrapText="1"/>
    </xf>
    <xf numFmtId="2" fontId="5" fillId="0" borderId="5" xfId="1538" applyNumberFormat="1" applyFont="1" applyBorder="1" applyAlignment="1">
      <alignment horizontal="center" shrinkToFit="1"/>
    </xf>
    <xf numFmtId="1" fontId="5" fillId="0" borderId="5" xfId="1538" applyNumberFormat="1" applyFont="1" applyBorder="1" applyAlignment="1">
      <alignment horizontal="right"/>
    </xf>
    <xf numFmtId="0" fontId="5" fillId="0" borderId="3" xfId="1538" applyFont="1" applyBorder="1" applyAlignment="1">
      <alignment horizontal="left"/>
    </xf>
    <xf numFmtId="2" fontId="5" fillId="0" borderId="5" xfId="1538" applyNumberFormat="1" applyFont="1" applyBorder="1"/>
    <xf numFmtId="2" fontId="31" fillId="0" borderId="5" xfId="1538" applyNumberFormat="1" applyFont="1" applyBorder="1" applyAlignment="1">
      <alignment horizontal="center" shrinkToFit="1"/>
    </xf>
    <xf numFmtId="0" fontId="31" fillId="0" borderId="5" xfId="1538" applyFont="1" applyBorder="1" applyAlignment="1">
      <alignment horizontal="left" wrapText="1"/>
    </xf>
    <xf numFmtId="0" fontId="31" fillId="0" borderId="5" xfId="1538" applyFont="1" applyBorder="1"/>
    <xf numFmtId="0" fontId="31" fillId="0" borderId="10" xfId="1538" applyFont="1" applyBorder="1" applyAlignment="1">
      <alignment horizontal="justify" vertical="top" wrapText="1"/>
    </xf>
    <xf numFmtId="0" fontId="23" fillId="0" borderId="1" xfId="1538" applyFont="1" applyBorder="1" applyProtection="1">
      <protection hidden="1"/>
    </xf>
    <xf numFmtId="0" fontId="30" fillId="0" borderId="1" xfId="1538" applyFont="1" applyBorder="1" applyProtection="1">
      <protection hidden="1"/>
    </xf>
    <xf numFmtId="0" fontId="23" fillId="0" borderId="1" xfId="1538" applyFont="1" applyBorder="1" applyAlignment="1" applyProtection="1">
      <alignment horizontal="justify"/>
      <protection hidden="1"/>
    </xf>
    <xf numFmtId="2" fontId="23" fillId="0" borderId="1" xfId="1538" applyNumberFormat="1" applyFont="1" applyBorder="1" applyAlignment="1" applyProtection="1">
      <alignment horizontal="center"/>
      <protection hidden="1"/>
    </xf>
    <xf numFmtId="0" fontId="23" fillId="0" borderId="1" xfId="1538" applyFont="1" applyBorder="1" applyAlignment="1" applyProtection="1">
      <alignment horizontal="justify" vertical="top" wrapText="1"/>
      <protection hidden="1"/>
    </xf>
    <xf numFmtId="0" fontId="23" fillId="0" borderId="1" xfId="1538" applyFont="1" applyBorder="1" applyAlignment="1" applyProtection="1">
      <alignment horizontal="justify" wrapText="1"/>
      <protection hidden="1"/>
    </xf>
    <xf numFmtId="0" fontId="23" fillId="0" borderId="1" xfId="1538" applyFont="1" applyBorder="1" applyAlignment="1" applyProtection="1">
      <alignment horizontal="center"/>
      <protection hidden="1"/>
    </xf>
    <xf numFmtId="0" fontId="23" fillId="0" borderId="1" xfId="1538" applyFont="1" applyBorder="1" applyAlignment="1" applyProtection="1">
      <alignment vertical="top" wrapText="1"/>
      <protection hidden="1"/>
    </xf>
    <xf numFmtId="0" fontId="23" fillId="0" borderId="1" xfId="1538" applyFont="1" applyBorder="1" applyAlignment="1" applyProtection="1">
      <alignment horizontal="center" vertical="top" wrapText="1"/>
      <protection hidden="1"/>
    </xf>
    <xf numFmtId="0" fontId="23" fillId="0" borderId="1" xfId="1538" applyFont="1" applyBorder="1" applyAlignment="1" applyProtection="1">
      <alignment horizontal="left" vertical="top" wrapText="1"/>
      <protection hidden="1"/>
    </xf>
    <xf numFmtId="0" fontId="19" fillId="0" borderId="1" xfId="1538" applyFont="1" applyBorder="1" applyProtection="1">
      <protection hidden="1"/>
    </xf>
    <xf numFmtId="0" fontId="19" fillId="0" borderId="1" xfId="1538" applyFont="1" applyBorder="1" applyAlignment="1" applyProtection="1">
      <alignment horizontal="center"/>
      <protection hidden="1"/>
    </xf>
    <xf numFmtId="0" fontId="8" fillId="0" borderId="0" xfId="1538" applyFont="1"/>
    <xf numFmtId="0" fontId="34" fillId="0" borderId="0" xfId="1538" applyFont="1"/>
    <xf numFmtId="0" fontId="35" fillId="0" borderId="0" xfId="1538" applyFont="1"/>
    <xf numFmtId="0" fontId="20" fillId="0" borderId="0" xfId="1538" applyFont="1" applyAlignment="1">
      <alignment horizontal="center" vertical="center"/>
    </xf>
    <xf numFmtId="0" fontId="20" fillId="0" borderId="1" xfId="1538" applyFont="1" applyBorder="1" applyAlignment="1">
      <alignment horizontal="center" vertical="center" wrapText="1"/>
    </xf>
    <xf numFmtId="0" fontId="20" fillId="0" borderId="1" xfId="1538" applyFont="1" applyBorder="1" applyAlignment="1">
      <alignment horizontal="center" vertical="center"/>
    </xf>
    <xf numFmtId="0" fontId="30" fillId="0" borderId="1" xfId="1538" applyFont="1" applyBorder="1" applyAlignment="1">
      <alignment horizontal="center" vertical="center" wrapText="1"/>
    </xf>
    <xf numFmtId="0" fontId="21" fillId="0" borderId="1" xfId="1538" applyFont="1" applyBorder="1" applyAlignment="1">
      <alignment horizontal="center" vertical="center"/>
    </xf>
    <xf numFmtId="0" fontId="21" fillId="0" borderId="1" xfId="1538" applyFont="1" applyBorder="1" applyAlignment="1">
      <alignment horizontal="justify" vertical="center" wrapText="1"/>
    </xf>
    <xf numFmtId="0" fontId="21" fillId="0" borderId="1" xfId="1538" applyFont="1" applyBorder="1" applyAlignment="1">
      <alignment vertical="center"/>
    </xf>
    <xf numFmtId="0" fontId="21" fillId="0" borderId="1" xfId="1538" applyFont="1" applyBorder="1" applyAlignment="1">
      <alignment horizontal="center" vertical="center" wrapText="1"/>
    </xf>
    <xf numFmtId="2" fontId="23" fillId="0" borderId="1" xfId="1538" applyNumberFormat="1" applyFont="1" applyBorder="1" applyAlignment="1">
      <alignment vertical="center"/>
    </xf>
    <xf numFmtId="2" fontId="21" fillId="0" borderId="1" xfId="1538" applyNumberFormat="1" applyFont="1" applyBorder="1" applyAlignment="1">
      <alignment vertical="center"/>
    </xf>
    <xf numFmtId="1" fontId="21" fillId="0" borderId="1" xfId="1538" applyNumberFormat="1" applyFont="1" applyBorder="1" applyAlignment="1">
      <alignment vertical="center"/>
    </xf>
    <xf numFmtId="0" fontId="5" fillId="0" borderId="1" xfId="1538" applyFont="1" applyBorder="1" applyAlignment="1">
      <alignment horizontal="center" vertical="center"/>
    </xf>
    <xf numFmtId="0" fontId="5" fillId="0" borderId="1" xfId="1538" applyFont="1" applyBorder="1" applyAlignment="1">
      <alignment vertical="center"/>
    </xf>
    <xf numFmtId="2" fontId="23" fillId="16" borderId="1" xfId="1538" applyNumberFormat="1" applyFont="1" applyFill="1" applyBorder="1" applyAlignment="1">
      <alignment vertical="center"/>
    </xf>
    <xf numFmtId="2" fontId="21" fillId="16" borderId="1" xfId="1538" applyNumberFormat="1" applyFont="1" applyFill="1" applyBorder="1" applyAlignment="1">
      <alignment vertical="center"/>
    </xf>
    <xf numFmtId="0" fontId="5" fillId="0" borderId="1" xfId="1538" applyFont="1" applyBorder="1" applyAlignment="1">
      <alignment horizontal="justify" vertical="center" wrapText="1"/>
    </xf>
    <xf numFmtId="0" fontId="5" fillId="0" borderId="1" xfId="1538" applyFont="1" applyBorder="1" applyAlignment="1">
      <alignment horizontal="center" vertical="center" wrapText="1"/>
    </xf>
    <xf numFmtId="2" fontId="5" fillId="0" borderId="1" xfId="1538" applyNumberFormat="1" applyFont="1" applyBorder="1" applyAlignment="1">
      <alignment vertical="center"/>
    </xf>
    <xf numFmtId="1" fontId="5" fillId="0" borderId="1" xfId="1538" applyNumberFormat="1" applyFont="1" applyBorder="1" applyAlignment="1">
      <alignment vertical="center"/>
    </xf>
    <xf numFmtId="3" fontId="21" fillId="0" borderId="1" xfId="1538" applyNumberFormat="1" applyFont="1" applyBorder="1" applyAlignment="1">
      <alignment horizontal="center" vertical="center" wrapText="1"/>
    </xf>
    <xf numFmtId="2" fontId="23" fillId="0" borderId="1" xfId="1538" applyNumberFormat="1" applyFont="1" applyBorder="1" applyAlignment="1">
      <alignment horizontal="right" vertical="center"/>
    </xf>
    <xf numFmtId="0" fontId="21" fillId="0" borderId="1" xfId="1538" applyFont="1" applyBorder="1" applyAlignment="1">
      <alignment horizontal="left" vertical="center"/>
    </xf>
    <xf numFmtId="0" fontId="21" fillId="0" borderId="0" xfId="1538" applyFont="1" applyAlignment="1">
      <alignment horizontal="center" vertical="center"/>
    </xf>
    <xf numFmtId="0" fontId="5" fillId="0" borderId="0" xfId="1538" applyFont="1" applyAlignment="1">
      <alignment horizontal="center" vertical="center"/>
    </xf>
    <xf numFmtId="0" fontId="22" fillId="0" borderId="1" xfId="1538" applyFont="1" applyBorder="1" applyAlignment="1">
      <alignment horizontal="justify" vertical="center" wrapText="1"/>
    </xf>
    <xf numFmtId="1" fontId="23" fillId="15" borderId="1" xfId="1538" applyNumberFormat="1" applyFont="1" applyFill="1" applyBorder="1" applyAlignment="1">
      <alignment vertical="center"/>
    </xf>
    <xf numFmtId="2" fontId="23" fillId="15" borderId="1" xfId="1538" applyNumberFormat="1" applyFont="1" applyFill="1" applyBorder="1" applyAlignment="1">
      <alignment vertical="center"/>
    </xf>
    <xf numFmtId="1" fontId="21" fillId="15" borderId="1" xfId="1538" applyNumberFormat="1" applyFont="1" applyFill="1" applyBorder="1" applyAlignment="1">
      <alignment vertical="center"/>
    </xf>
    <xf numFmtId="0" fontId="37" fillId="0" borderId="0" xfId="1538" applyFont="1"/>
    <xf numFmtId="2" fontId="23" fillId="0" borderId="1" xfId="1538" applyNumberFormat="1" applyFont="1" applyBorder="1" applyAlignment="1">
      <alignment horizontal="right" vertical="center" shrinkToFit="1"/>
    </xf>
    <xf numFmtId="1" fontId="21" fillId="0" borderId="1" xfId="1538" applyNumberFormat="1" applyFont="1" applyBorder="1" applyAlignment="1">
      <alignment horizontal="right" vertical="center"/>
    </xf>
    <xf numFmtId="2" fontId="21" fillId="0" borderId="1" xfId="1538" applyNumberFormat="1" applyFont="1" applyBorder="1" applyAlignment="1">
      <alignment horizontal="right" vertical="center"/>
    </xf>
    <xf numFmtId="2" fontId="5" fillId="0" borderId="1" xfId="1538" applyNumberFormat="1" applyFont="1" applyBorder="1" applyAlignment="1">
      <alignment horizontal="right" vertical="center"/>
    </xf>
    <xf numFmtId="0" fontId="5" fillId="0" borderId="1" xfId="1538" applyFont="1" applyBorder="1" applyAlignment="1">
      <alignment horizontal="left" vertical="center"/>
    </xf>
    <xf numFmtId="2" fontId="21" fillId="15" borderId="1" xfId="1538" applyNumberFormat="1" applyFont="1" applyFill="1" applyBorder="1" applyAlignment="1">
      <alignment horizontal="right" vertical="center"/>
    </xf>
    <xf numFmtId="0" fontId="12" fillId="0" borderId="0" xfId="1538" applyFont="1" applyAlignment="1">
      <alignment horizontal="center" vertical="top"/>
    </xf>
    <xf numFmtId="0" fontId="12" fillId="0" borderId="0" xfId="1538" applyFont="1" applyAlignment="1">
      <alignment horizontal="center"/>
    </xf>
    <xf numFmtId="0" fontId="13" fillId="0" borderId="0" xfId="1538" applyFont="1" applyAlignment="1">
      <alignment horizontal="center" vertical="top" wrapText="1"/>
    </xf>
    <xf numFmtId="0" fontId="13" fillId="0" borderId="0" xfId="1538" applyFont="1" applyAlignment="1">
      <alignment vertical="top" wrapText="1"/>
    </xf>
    <xf numFmtId="2" fontId="13" fillId="0" borderId="0" xfId="1538" applyNumberFormat="1" applyFont="1"/>
    <xf numFmtId="0" fontId="41" fillId="0" borderId="0" xfId="1538" applyFont="1"/>
    <xf numFmtId="0" fontId="11" fillId="0" borderId="0" xfId="1538" applyFont="1" applyAlignment="1">
      <alignment horizontal="center" vertical="center" wrapText="1"/>
    </xf>
    <xf numFmtId="0" fontId="39" fillId="0" borderId="0" xfId="1538" applyFont="1" applyAlignment="1">
      <alignment horizontal="center" vertical="center"/>
    </xf>
    <xf numFmtId="0" fontId="12" fillId="0" borderId="10" xfId="1538" applyFont="1" applyBorder="1" applyAlignment="1">
      <alignment horizontal="center" vertical="center" wrapText="1"/>
    </xf>
    <xf numFmtId="0" fontId="12" fillId="0" borderId="0" xfId="1538" applyFont="1" applyAlignment="1">
      <alignment horizontal="center" vertical="center" wrapText="1"/>
    </xf>
    <xf numFmtId="9" fontId="12" fillId="0" borderId="10" xfId="1538" applyNumberFormat="1" applyFont="1" applyBorder="1" applyAlignment="1">
      <alignment horizontal="center" vertical="center" wrapText="1"/>
    </xf>
    <xf numFmtId="174" fontId="13" fillId="0" borderId="10" xfId="1538" applyNumberFormat="1" applyFont="1" applyBorder="1" applyAlignment="1">
      <alignment horizontal="center" vertical="top" wrapText="1"/>
    </xf>
    <xf numFmtId="174" fontId="13" fillId="0" borderId="10" xfId="1538" applyNumberFormat="1" applyFont="1" applyBorder="1" applyAlignment="1" applyProtection="1">
      <alignment horizontal="center" vertical="top" wrapText="1"/>
      <protection locked="0"/>
    </xf>
    <xf numFmtId="174" fontId="13" fillId="0" borderId="0" xfId="1538" applyNumberFormat="1" applyFont="1" applyAlignment="1">
      <alignment horizontal="center" vertical="top" wrapText="1"/>
    </xf>
    <xf numFmtId="0" fontId="13" fillId="0" borderId="10" xfId="1538" applyFont="1" applyBorder="1" applyAlignment="1">
      <alignment horizontal="center" vertical="top" wrapText="1"/>
    </xf>
    <xf numFmtId="0" fontId="13" fillId="0" borderId="10" xfId="1538" applyFont="1" applyBorder="1" applyAlignment="1">
      <alignment vertical="top" wrapText="1"/>
    </xf>
    <xf numFmtId="9" fontId="49" fillId="0" borderId="10" xfId="1538" applyNumberFormat="1" applyFont="1" applyBorder="1" applyAlignment="1">
      <alignment horizontal="center" vertical="top" wrapText="1"/>
    </xf>
    <xf numFmtId="0" fontId="13" fillId="0" borderId="10" xfId="1538" applyFont="1" applyBorder="1" applyAlignment="1" applyProtection="1">
      <alignment vertical="top" wrapText="1"/>
      <protection locked="0"/>
    </xf>
    <xf numFmtId="0" fontId="13" fillId="0" borderId="10" xfId="1538" applyFont="1" applyBorder="1" applyAlignment="1" applyProtection="1">
      <alignment horizontal="center" vertical="top" wrapText="1" shrinkToFit="1"/>
      <protection locked="0"/>
    </xf>
    <xf numFmtId="0" fontId="13" fillId="0" borderId="10" xfId="1538" applyFont="1" applyBorder="1" applyAlignment="1">
      <alignment horizontal="right" vertical="top" wrapText="1" shrinkToFit="1"/>
    </xf>
    <xf numFmtId="0" fontId="13" fillId="0" borderId="10" xfId="1538" applyFont="1" applyBorder="1" applyAlignment="1">
      <alignment horizontal="left" vertical="top" wrapText="1" shrinkToFit="1"/>
    </xf>
    <xf numFmtId="2" fontId="13" fillId="0" borderId="10" xfId="1538" applyNumberFormat="1" applyFont="1" applyBorder="1" applyAlignment="1">
      <alignment horizontal="center" vertical="top" wrapText="1" shrinkToFit="1"/>
    </xf>
    <xf numFmtId="2" fontId="13" fillId="0" borderId="10" xfId="1538" applyNumberFormat="1" applyFont="1" applyBorder="1" applyAlignment="1">
      <alignment horizontal="right" vertical="top" wrapText="1" shrinkToFit="1"/>
    </xf>
    <xf numFmtId="2" fontId="13" fillId="0" borderId="11" xfId="1538" applyNumberFormat="1" applyFont="1" applyBorder="1" applyAlignment="1">
      <alignment horizontal="right" vertical="top" wrapText="1" shrinkToFit="1"/>
    </xf>
    <xf numFmtId="9" fontId="13" fillId="0" borderId="11" xfId="1538" applyNumberFormat="1" applyFont="1" applyBorder="1" applyAlignment="1">
      <alignment vertical="top" wrapText="1"/>
    </xf>
    <xf numFmtId="0" fontId="13" fillId="0" borderId="11" xfId="1538" applyFont="1" applyBorder="1" applyAlignment="1" applyProtection="1">
      <alignment vertical="top" wrapText="1"/>
      <protection locked="0"/>
    </xf>
    <xf numFmtId="0" fontId="13" fillId="0" borderId="11" xfId="1538" applyFont="1" applyBorder="1" applyAlignment="1" applyProtection="1">
      <alignment horizontal="center" vertical="top" wrapText="1" shrinkToFit="1"/>
      <protection locked="0"/>
    </xf>
    <xf numFmtId="0" fontId="13" fillId="0" borderId="11" xfId="1538" applyFont="1" applyBorder="1" applyAlignment="1">
      <alignment horizontal="right" vertical="top" wrapText="1" shrinkToFit="1"/>
    </xf>
    <xf numFmtId="0" fontId="13" fillId="0" borderId="11" xfId="1538" applyFont="1" applyBorder="1" applyAlignment="1">
      <alignment horizontal="left" vertical="top" wrapText="1" shrinkToFit="1"/>
    </xf>
    <xf numFmtId="2" fontId="13" fillId="0" borderId="11" xfId="1538" applyNumberFormat="1" applyFont="1" applyBorder="1" applyAlignment="1">
      <alignment horizontal="center" vertical="top" wrapText="1" shrinkToFit="1"/>
    </xf>
    <xf numFmtId="0" fontId="13" fillId="0" borderId="11" xfId="1538" applyFont="1" applyBorder="1" applyAlignment="1">
      <alignment vertical="top" wrapText="1"/>
    </xf>
    <xf numFmtId="2" fontId="13" fillId="0" borderId="11" xfId="1538" applyNumberFormat="1" applyFont="1" applyBorder="1" applyAlignment="1">
      <alignment vertical="top" wrapText="1"/>
    </xf>
    <xf numFmtId="0" fontId="13" fillId="0" borderId="10" xfId="1538" applyFont="1" applyBorder="1" applyAlignment="1">
      <alignment vertical="top" wrapText="1" shrinkToFit="1"/>
    </xf>
    <xf numFmtId="0" fontId="13" fillId="0" borderId="10" xfId="1538" applyFont="1" applyBorder="1" applyAlignment="1">
      <alignment horizontal="center" vertical="top" wrapText="1" shrinkToFit="1"/>
    </xf>
    <xf numFmtId="2" fontId="13" fillId="0" borderId="12" xfId="1538" applyNumberFormat="1" applyFont="1" applyBorder="1" applyAlignment="1">
      <alignment horizontal="right" vertical="top" wrapText="1" shrinkToFit="1"/>
    </xf>
    <xf numFmtId="0" fontId="13" fillId="0" borderId="12" xfId="1538" applyFont="1" applyBorder="1" applyAlignment="1">
      <alignment horizontal="center" vertical="top" wrapText="1" shrinkToFit="1"/>
    </xf>
    <xf numFmtId="0" fontId="13" fillId="0" borderId="12" xfId="1538" applyFont="1" applyBorder="1" applyAlignment="1" applyProtection="1">
      <alignment horizontal="center" vertical="top" wrapText="1" shrinkToFit="1"/>
      <protection locked="0"/>
    </xf>
    <xf numFmtId="0" fontId="13" fillId="0" borderId="12" xfId="1538" applyFont="1" applyBorder="1" applyAlignment="1">
      <alignment horizontal="right" vertical="top" wrapText="1" shrinkToFit="1"/>
    </xf>
    <xf numFmtId="0" fontId="13" fillId="0" borderId="12" xfId="1538" applyFont="1" applyBorder="1" applyAlignment="1">
      <alignment horizontal="left" vertical="top" wrapText="1" shrinkToFit="1"/>
    </xf>
    <xf numFmtId="2" fontId="13" fillId="0" borderId="12" xfId="1538" applyNumberFormat="1" applyFont="1" applyBorder="1" applyAlignment="1">
      <alignment horizontal="center" vertical="top" wrapText="1" shrinkToFit="1"/>
    </xf>
    <xf numFmtId="0" fontId="13" fillId="0" borderId="12" xfId="1538" applyFont="1" applyBorder="1" applyAlignment="1">
      <alignment vertical="top" wrapText="1"/>
    </xf>
    <xf numFmtId="2" fontId="13" fillId="0" borderId="12" xfId="1538" applyNumberFormat="1" applyFont="1" applyBorder="1" applyAlignment="1">
      <alignment vertical="top" wrapText="1"/>
    </xf>
    <xf numFmtId="2" fontId="13" fillId="0" borderId="0" xfId="1538" applyNumberFormat="1" applyFont="1" applyAlignment="1">
      <alignment horizontal="right" vertical="top" wrapText="1" shrinkToFit="1"/>
    </xf>
    <xf numFmtId="0" fontId="13" fillId="0" borderId="0" xfId="1538" applyFont="1" applyAlignment="1">
      <alignment horizontal="center" vertical="top" wrapText="1" shrinkToFit="1"/>
    </xf>
    <xf numFmtId="0" fontId="13" fillId="0" borderId="0" xfId="1538" applyFont="1" applyAlignment="1" applyProtection="1">
      <alignment horizontal="center" vertical="top" wrapText="1" shrinkToFit="1"/>
      <protection locked="0"/>
    </xf>
    <xf numFmtId="0" fontId="13" fillId="0" borderId="0" xfId="1538" applyFont="1" applyAlignment="1">
      <alignment horizontal="right" vertical="top" wrapText="1" shrinkToFit="1"/>
    </xf>
    <xf numFmtId="0" fontId="13" fillId="0" borderId="0" xfId="1538" applyFont="1" applyAlignment="1">
      <alignment horizontal="left" vertical="top" wrapText="1" shrinkToFit="1"/>
    </xf>
    <xf numFmtId="2" fontId="13" fillId="0" borderId="0" xfId="1538" applyNumberFormat="1" applyFont="1" applyAlignment="1">
      <alignment horizontal="center" vertical="top" wrapText="1" shrinkToFit="1"/>
    </xf>
    <xf numFmtId="2" fontId="13" fillId="0" borderId="0" xfId="1538" applyNumberFormat="1" applyFont="1" applyAlignment="1">
      <alignment vertical="top" wrapText="1"/>
    </xf>
    <xf numFmtId="0" fontId="50" fillId="0" borderId="10" xfId="1538" applyFont="1" applyBorder="1" applyAlignment="1">
      <alignment horizontal="center" vertical="top" wrapText="1"/>
    </xf>
    <xf numFmtId="0" fontId="13" fillId="0" borderId="10" xfId="1538" applyFont="1" applyBorder="1" applyAlignment="1" applyProtection="1">
      <alignment horizontal="center" vertical="top" wrapText="1"/>
      <protection locked="0"/>
    </xf>
    <xf numFmtId="2" fontId="13" fillId="16" borderId="10" xfId="1538" applyNumberFormat="1" applyFont="1" applyFill="1" applyBorder="1" applyAlignment="1">
      <alignment horizontal="right" vertical="top" wrapText="1" shrinkToFit="1"/>
    </xf>
    <xf numFmtId="0" fontId="13" fillId="0" borderId="0" xfId="1538" applyFont="1" applyAlignment="1" applyProtection="1">
      <alignment horizontal="center" vertical="top" wrapText="1"/>
      <protection locked="0"/>
    </xf>
    <xf numFmtId="2" fontId="13" fillId="16" borderId="0" xfId="1538" applyNumberFormat="1" applyFont="1" applyFill="1" applyAlignment="1">
      <alignment horizontal="right" vertical="top" wrapText="1" shrinkToFit="1"/>
    </xf>
    <xf numFmtId="1" fontId="13" fillId="0" borderId="10" xfId="1538" applyNumberFormat="1" applyFont="1" applyBorder="1" applyAlignment="1" applyProtection="1">
      <alignment horizontal="center" vertical="top" wrapText="1" shrinkToFit="1"/>
      <protection locked="0"/>
    </xf>
    <xf numFmtId="2" fontId="41" fillId="16" borderId="10" xfId="1538" applyNumberFormat="1" applyFont="1" applyFill="1" applyBorder="1" applyAlignment="1">
      <alignment horizontal="center" vertical="top" wrapText="1" shrinkToFit="1"/>
    </xf>
    <xf numFmtId="1" fontId="13" fillId="0" borderId="0" xfId="1538" applyNumberFormat="1" applyFont="1" applyAlignment="1" applyProtection="1">
      <alignment horizontal="center" vertical="top" wrapText="1" shrinkToFit="1"/>
      <protection locked="0"/>
    </xf>
    <xf numFmtId="2" fontId="41" fillId="16" borderId="10" xfId="1538" applyNumberFormat="1" applyFont="1" applyFill="1" applyBorder="1" applyAlignment="1">
      <alignment horizontal="right" vertical="top" wrapText="1" shrinkToFit="1"/>
    </xf>
    <xf numFmtId="0" fontId="49" fillId="0" borderId="10" xfId="1538" applyFont="1" applyBorder="1" applyAlignment="1">
      <alignment horizontal="center" vertical="top" wrapText="1"/>
    </xf>
    <xf numFmtId="0" fontId="51" fillId="0" borderId="10" xfId="1538" applyFont="1" applyBorder="1" applyAlignment="1" applyProtection="1">
      <alignment horizontal="center" vertical="top" wrapText="1" shrinkToFit="1"/>
      <protection locked="0"/>
    </xf>
    <xf numFmtId="175" fontId="13" fillId="0" borderId="0" xfId="1538" applyNumberFormat="1" applyFont="1" applyAlignment="1">
      <alignment horizontal="right" vertical="top" wrapText="1" shrinkToFit="1"/>
    </xf>
    <xf numFmtId="0" fontId="51" fillId="0" borderId="10" xfId="1538" applyFont="1" applyBorder="1" applyAlignment="1" applyProtection="1">
      <alignment horizontal="center" vertical="top" wrapText="1"/>
      <protection locked="0"/>
    </xf>
    <xf numFmtId="0" fontId="52" fillId="0" borderId="10" xfId="1538" applyFont="1" applyBorder="1" applyAlignment="1" applyProtection="1">
      <alignment horizontal="center" vertical="top" wrapText="1" shrinkToFit="1"/>
      <protection locked="0"/>
    </xf>
    <xf numFmtId="0" fontId="31" fillId="15" borderId="1" xfId="1538" applyFont="1" applyFill="1" applyBorder="1"/>
    <xf numFmtId="0" fontId="32" fillId="15" borderId="1" xfId="1538" applyFont="1" applyFill="1" applyBorder="1" applyAlignment="1">
      <alignment vertical="center"/>
    </xf>
    <xf numFmtId="0" fontId="31" fillId="15" borderId="1" xfId="1538" applyFont="1" applyFill="1" applyBorder="1" applyAlignment="1">
      <alignment wrapText="1"/>
    </xf>
    <xf numFmtId="0" fontId="31" fillId="15" borderId="1" xfId="1538" applyFont="1" applyFill="1" applyBorder="1" applyAlignment="1">
      <alignment horizontal="center" vertical="center" wrapText="1"/>
    </xf>
    <xf numFmtId="0" fontId="31" fillId="15" borderId="1" xfId="1538" applyFont="1" applyFill="1" applyBorder="1" applyAlignment="1">
      <alignment horizontal="center"/>
    </xf>
    <xf numFmtId="0" fontId="31" fillId="15" borderId="13" xfId="1538" applyFont="1" applyFill="1" applyBorder="1"/>
    <xf numFmtId="0" fontId="31" fillId="15" borderId="5" xfId="1538" applyFont="1" applyFill="1" applyBorder="1"/>
    <xf numFmtId="2" fontId="31" fillId="15" borderId="11" xfId="1538" applyNumberFormat="1" applyFont="1" applyFill="1" applyBorder="1" applyAlignment="1">
      <alignment horizontal="right" vertical="top" wrapText="1" shrinkToFit="1"/>
    </xf>
    <xf numFmtId="2" fontId="31" fillId="15" borderId="0" xfId="1538" applyNumberFormat="1" applyFont="1" applyFill="1"/>
    <xf numFmtId="0" fontId="31" fillId="15" borderId="0" xfId="1538" applyFont="1" applyFill="1"/>
    <xf numFmtId="0" fontId="31" fillId="15" borderId="1" xfId="1538" applyFont="1" applyFill="1" applyBorder="1" applyAlignment="1">
      <alignment horizontal="center" vertical="top"/>
    </xf>
    <xf numFmtId="0" fontId="31" fillId="15" borderId="1" xfId="1538" applyFont="1" applyFill="1" applyBorder="1" applyAlignment="1">
      <alignment vertical="center" wrapText="1"/>
    </xf>
    <xf numFmtId="0" fontId="31" fillId="15" borderId="1" xfId="1538" applyFont="1" applyFill="1" applyBorder="1" applyAlignment="1" applyProtection="1">
      <alignment horizontal="center" vertical="center" wrapText="1" shrinkToFit="1"/>
      <protection locked="0"/>
    </xf>
    <xf numFmtId="0" fontId="31" fillId="15" borderId="1" xfId="1538" applyFont="1" applyFill="1" applyBorder="1" applyAlignment="1">
      <alignment horizontal="right" vertical="center" shrinkToFit="1"/>
    </xf>
    <xf numFmtId="0" fontId="31" fillId="15" borderId="1" xfId="1538" applyFont="1" applyFill="1" applyBorder="1" applyAlignment="1">
      <alignment horizontal="left" vertical="center" shrinkToFit="1"/>
    </xf>
    <xf numFmtId="2" fontId="31" fillId="15" borderId="1" xfId="1538" applyNumberFormat="1" applyFont="1" applyFill="1" applyBorder="1" applyAlignment="1">
      <alignment horizontal="right" vertical="center" shrinkToFit="1"/>
    </xf>
    <xf numFmtId="2" fontId="31" fillId="15" borderId="1" xfId="1538" applyNumberFormat="1" applyFont="1" applyFill="1" applyBorder="1" applyAlignment="1">
      <alignment horizontal="right" vertical="center"/>
    </xf>
    <xf numFmtId="0" fontId="31" fillId="15" borderId="1" xfId="1538" applyFont="1" applyFill="1" applyBorder="1" applyAlignment="1">
      <alignment vertical="top"/>
    </xf>
    <xf numFmtId="2" fontId="31" fillId="15" borderId="13" xfId="1538" applyNumberFormat="1" applyFont="1" applyFill="1" applyBorder="1" applyAlignment="1">
      <alignment horizontal="right" vertical="center" shrinkToFit="1"/>
    </xf>
    <xf numFmtId="2" fontId="31" fillId="15" borderId="5" xfId="1538" applyNumberFormat="1" applyFont="1" applyFill="1" applyBorder="1" applyAlignment="1">
      <alignment horizontal="right" vertical="center" shrinkToFit="1"/>
    </xf>
    <xf numFmtId="0" fontId="31" fillId="15" borderId="1" xfId="1538" applyFont="1" applyFill="1" applyBorder="1" applyAlignment="1">
      <alignment horizontal="left" vertical="top"/>
    </xf>
    <xf numFmtId="0" fontId="23" fillId="15" borderId="1" xfId="1538" applyFont="1" applyFill="1" applyBorder="1" applyAlignment="1">
      <alignment horizontal="center" vertical="top"/>
    </xf>
    <xf numFmtId="0" fontId="23" fillId="15" borderId="1" xfId="1538" applyFont="1" applyFill="1" applyBorder="1" applyAlignment="1">
      <alignment vertical="center" wrapText="1"/>
    </xf>
    <xf numFmtId="0" fontId="23" fillId="15" borderId="1" xfId="1538" applyFont="1" applyFill="1" applyBorder="1" applyAlignment="1">
      <alignment horizontal="center" vertical="center" wrapText="1"/>
    </xf>
    <xf numFmtId="1" fontId="23" fillId="15" borderId="1" xfId="1538" applyNumberFormat="1" applyFont="1" applyFill="1" applyBorder="1" applyAlignment="1" applyProtection="1">
      <alignment horizontal="center" vertical="center" shrinkToFit="1"/>
      <protection locked="0"/>
    </xf>
    <xf numFmtId="0" fontId="23" fillId="15" borderId="1" xfId="1538" applyFont="1" applyFill="1" applyBorder="1" applyAlignment="1" applyProtection="1">
      <alignment horizontal="center" vertical="center" wrapText="1" shrinkToFit="1"/>
      <protection locked="0"/>
    </xf>
    <xf numFmtId="0" fontId="23" fillId="15" borderId="1" xfId="1538" applyFont="1" applyFill="1" applyBorder="1" applyAlignment="1">
      <alignment horizontal="right" vertical="center" shrinkToFit="1"/>
    </xf>
    <xf numFmtId="0" fontId="23" fillId="15" borderId="1" xfId="1538" applyFont="1" applyFill="1" applyBorder="1" applyAlignment="1">
      <alignment horizontal="left" vertical="center" shrinkToFit="1"/>
    </xf>
    <xf numFmtId="2" fontId="23" fillId="15" borderId="1" xfId="1538" applyNumberFormat="1" applyFont="1" applyFill="1" applyBorder="1" applyAlignment="1">
      <alignment horizontal="right" vertical="center" shrinkToFit="1"/>
    </xf>
    <xf numFmtId="0" fontId="23" fillId="15" borderId="1" xfId="1538" applyFont="1" applyFill="1" applyBorder="1"/>
    <xf numFmtId="2" fontId="23" fillId="15" borderId="13" xfId="1538" applyNumberFormat="1" applyFont="1" applyFill="1" applyBorder="1"/>
    <xf numFmtId="2" fontId="23" fillId="15" borderId="5" xfId="1538" applyNumberFormat="1" applyFont="1" applyFill="1" applyBorder="1" applyAlignment="1">
      <alignment horizontal="right" vertical="center" shrinkToFit="1"/>
    </xf>
    <xf numFmtId="2" fontId="5" fillId="15" borderId="11" xfId="1538" applyNumberFormat="1" applyFont="1" applyFill="1" applyBorder="1" applyAlignment="1">
      <alignment horizontal="right" vertical="top" wrapText="1" shrinkToFit="1"/>
    </xf>
    <xf numFmtId="0" fontId="23" fillId="15" borderId="0" xfId="1538" applyFont="1" applyFill="1"/>
    <xf numFmtId="0" fontId="23" fillId="15" borderId="1" xfId="1538" applyFont="1" applyFill="1" applyBorder="1" applyAlignment="1">
      <alignment vertical="center"/>
    </xf>
    <xf numFmtId="0" fontId="23" fillId="15" borderId="1" xfId="1538" applyFont="1" applyFill="1" applyBorder="1" applyAlignment="1">
      <alignment wrapText="1"/>
    </xf>
    <xf numFmtId="0" fontId="23" fillId="15" borderId="1" xfId="1538" applyFont="1" applyFill="1" applyBorder="1" applyAlignment="1">
      <alignment horizontal="center"/>
    </xf>
    <xf numFmtId="0" fontId="23" fillId="15" borderId="14" xfId="1538" applyFont="1" applyFill="1" applyBorder="1"/>
    <xf numFmtId="2" fontId="23" fillId="15" borderId="15" xfId="1538" applyNumberFormat="1" applyFont="1" applyFill="1" applyBorder="1" applyAlignment="1">
      <alignment horizontal="right" vertical="center" shrinkToFit="1"/>
    </xf>
    <xf numFmtId="0" fontId="13" fillId="0" borderId="0" xfId="1538" applyFont="1" applyAlignment="1">
      <alignment horizontal="center" vertical="top"/>
    </xf>
    <xf numFmtId="0" fontId="13" fillId="0" borderId="0" xfId="1538" applyFont="1" applyAlignment="1">
      <alignment vertical="top"/>
    </xf>
    <xf numFmtId="0" fontId="5" fillId="0" borderId="1" xfId="1538" applyFont="1" applyBorder="1"/>
    <xf numFmtId="2" fontId="5" fillId="0" borderId="1" xfId="1538" applyNumberFormat="1" applyFont="1" applyBorder="1" applyAlignment="1">
      <alignment horizontal="center" vertical="center"/>
    </xf>
    <xf numFmtId="0" fontId="5" fillId="0" borderId="1" xfId="1538" applyFont="1" applyBorder="1" applyAlignment="1">
      <alignment horizontal="justify" vertical="top" wrapText="1"/>
    </xf>
    <xf numFmtId="2" fontId="5" fillId="0" borderId="1" xfId="1538" applyNumberFormat="1" applyFont="1" applyBorder="1" applyAlignment="1">
      <alignment vertical="top" shrinkToFit="1"/>
    </xf>
    <xf numFmtId="2" fontId="5" fillId="0" borderId="1" xfId="1538" applyNumberFormat="1" applyFont="1" applyBorder="1" applyAlignment="1">
      <alignment horizontal="center" vertical="top" shrinkToFit="1"/>
    </xf>
    <xf numFmtId="0" fontId="5" fillId="0" borderId="1" xfId="1538" applyFont="1" applyBorder="1" applyAlignment="1">
      <alignment vertical="top"/>
    </xf>
    <xf numFmtId="2" fontId="20" fillId="0" borderId="1" xfId="1538" applyNumberFormat="1" applyFont="1" applyBorder="1" applyAlignment="1">
      <alignment horizontal="center" vertical="center" wrapText="1"/>
    </xf>
    <xf numFmtId="0" fontId="5" fillId="0" borderId="1" xfId="1538" applyFont="1" applyBorder="1" applyAlignment="1">
      <alignment vertical="center" wrapText="1"/>
    </xf>
    <xf numFmtId="0" fontId="5" fillId="0" borderId="1" xfId="1538" applyFont="1" applyBorder="1" applyAlignment="1">
      <alignment horizontal="center" vertical="top"/>
    </xf>
    <xf numFmtId="0" fontId="5" fillId="0" borderId="1" xfId="1538" applyFont="1" applyBorder="1" applyAlignment="1">
      <alignment horizontal="right" vertical="top"/>
    </xf>
    <xf numFmtId="0" fontId="20" fillId="0" borderId="1" xfId="1538" applyFont="1" applyBorder="1" applyAlignment="1">
      <alignment horizontal="justify" vertical="top" wrapText="1"/>
    </xf>
    <xf numFmtId="2" fontId="5" fillId="0" borderId="1" xfId="1538" applyNumberFormat="1" applyFont="1" applyBorder="1" applyAlignment="1">
      <alignment horizontal="center" vertical="center" wrapText="1"/>
    </xf>
    <xf numFmtId="0" fontId="20" fillId="0" borderId="1" xfId="1538" applyFont="1" applyBorder="1" applyAlignment="1">
      <alignment horizontal="justify" wrapText="1"/>
    </xf>
    <xf numFmtId="2" fontId="5" fillId="0" borderId="1" xfId="1538" applyNumberFormat="1" applyFont="1" applyBorder="1" applyAlignment="1">
      <alignment vertical="top"/>
    </xf>
    <xf numFmtId="1" fontId="5" fillId="0" borderId="1" xfId="1538" applyNumberFormat="1" applyFont="1" applyBorder="1" applyAlignment="1">
      <alignment vertical="top"/>
    </xf>
    <xf numFmtId="2" fontId="5" fillId="0" borderId="1" xfId="1538" applyNumberFormat="1" applyFont="1" applyBorder="1" applyAlignment="1">
      <alignment horizontal="center"/>
    </xf>
    <xf numFmtId="0" fontId="5" fillId="0" borderId="1" xfId="1538" applyFont="1" applyBorder="1" applyAlignment="1">
      <alignment vertical="top" wrapText="1"/>
    </xf>
    <xf numFmtId="0" fontId="30" fillId="0" borderId="1" xfId="1538" applyFont="1" applyBorder="1" applyAlignment="1">
      <alignment horizontal="justify" wrapText="1"/>
    </xf>
    <xf numFmtId="2" fontId="23" fillId="0" borderId="1" xfId="1538" applyNumberFormat="1" applyFont="1" applyBorder="1" applyAlignment="1">
      <alignment horizontal="center" wrapText="1"/>
    </xf>
    <xf numFmtId="0" fontId="23" fillId="0" borderId="1" xfId="1538" applyFont="1" applyBorder="1" applyAlignment="1">
      <alignment horizontal="center" vertical="center"/>
    </xf>
    <xf numFmtId="2" fontId="23" fillId="0" borderId="1" xfId="1538" applyNumberFormat="1" applyFont="1" applyBorder="1" applyAlignment="1">
      <alignment horizontal="center" vertical="top" shrinkToFit="1"/>
    </xf>
    <xf numFmtId="0" fontId="30" fillId="0" borderId="1" xfId="1538" applyFont="1" applyBorder="1" applyAlignment="1">
      <alignment horizontal="center" vertical="top" wrapText="1"/>
    </xf>
    <xf numFmtId="0" fontId="30" fillId="0" borderId="1" xfId="1538" applyFont="1" applyBorder="1" applyAlignment="1">
      <alignment horizontal="justify" vertical="top" wrapText="1"/>
    </xf>
    <xf numFmtId="0" fontId="30" fillId="0" borderId="1" xfId="1538" applyFont="1" applyBorder="1"/>
    <xf numFmtId="0" fontId="23" fillId="0" borderId="1" xfId="1538" applyFont="1" applyBorder="1" applyAlignment="1">
      <alignment horizontal="center"/>
    </xf>
    <xf numFmtId="1" fontId="6" fillId="0" borderId="1" xfId="1538" applyNumberFormat="1" applyFont="1" applyBorder="1" applyAlignment="1">
      <alignment horizontal="center" vertical="top" shrinkToFit="1"/>
    </xf>
    <xf numFmtId="0" fontId="53" fillId="0" borderId="1" xfId="1538" applyFont="1" applyBorder="1" applyAlignment="1">
      <alignment horizontal="justify" vertical="top" wrapText="1"/>
    </xf>
    <xf numFmtId="2" fontId="6" fillId="0" borderId="1" xfId="1538" applyNumberFormat="1" applyFont="1" applyBorder="1" applyAlignment="1">
      <alignment horizontal="center" vertical="top" shrinkToFit="1"/>
    </xf>
    <xf numFmtId="2" fontId="6" fillId="0" borderId="1" xfId="1538" applyNumberFormat="1" applyFont="1" applyBorder="1" applyAlignment="1">
      <alignment horizontal="right" shrinkToFit="1"/>
    </xf>
    <xf numFmtId="0" fontId="6" fillId="0" borderId="1" xfId="1538" applyFont="1" applyBorder="1" applyAlignment="1">
      <alignment horizontal="center"/>
    </xf>
    <xf numFmtId="0" fontId="5" fillId="0" borderId="0" xfId="1538" applyFont="1" applyAlignment="1">
      <alignment vertical="top"/>
    </xf>
    <xf numFmtId="0" fontId="6" fillId="0" borderId="1" xfId="1538" applyFont="1" applyBorder="1" applyAlignment="1">
      <alignment horizontal="center" vertical="top" wrapText="1"/>
    </xf>
    <xf numFmtId="0" fontId="6" fillId="0" borderId="1" xfId="1538" applyFont="1" applyBorder="1" applyAlignment="1">
      <alignment horizontal="center" vertical="center" shrinkToFit="1"/>
    </xf>
    <xf numFmtId="2" fontId="6" fillId="0" borderId="1" xfId="1538" applyNumberFormat="1" applyFont="1" applyBorder="1" applyAlignment="1">
      <alignment vertical="center" shrinkToFit="1"/>
    </xf>
    <xf numFmtId="2" fontId="6" fillId="0" borderId="1" xfId="1538" applyNumberFormat="1" applyFont="1" applyBorder="1" applyAlignment="1">
      <alignment horizontal="center" vertical="center" shrinkToFit="1"/>
    </xf>
    <xf numFmtId="0" fontId="20" fillId="0" borderId="1" xfId="1538" applyFont="1" applyBorder="1"/>
    <xf numFmtId="2" fontId="5" fillId="0" borderId="1" xfId="1538" applyNumberFormat="1" applyFont="1" applyBorder="1"/>
    <xf numFmtId="0" fontId="6" fillId="0" borderId="1" xfId="1538" applyFont="1" applyBorder="1" applyAlignment="1">
      <alignment horizontal="center" vertical="center"/>
    </xf>
    <xf numFmtId="0" fontId="6" fillId="0" borderId="1" xfId="1538" applyFont="1" applyBorder="1" applyAlignment="1">
      <alignment vertical="center"/>
    </xf>
    <xf numFmtId="2" fontId="23" fillId="0" borderId="1" xfId="1538" applyNumberFormat="1" applyFont="1" applyBorder="1" applyAlignment="1">
      <alignment vertical="top"/>
    </xf>
    <xf numFmtId="0" fontId="23" fillId="0" borderId="1" xfId="1538" applyFont="1" applyBorder="1" applyAlignment="1">
      <alignment vertical="center"/>
    </xf>
    <xf numFmtId="0" fontId="23" fillId="0" borderId="1" xfId="1538" applyFont="1" applyBorder="1" applyAlignment="1">
      <alignment horizontal="center" vertical="center" shrinkToFit="1"/>
    </xf>
    <xf numFmtId="2" fontId="6" fillId="0" borderId="1" xfId="1538" applyNumberFormat="1" applyFont="1" applyBorder="1" applyAlignment="1">
      <alignment horizontal="center" vertical="center"/>
    </xf>
    <xf numFmtId="0" fontId="6" fillId="0" borderId="0" xfId="1538" applyFont="1" applyAlignment="1">
      <alignment horizontal="center" vertical="center"/>
    </xf>
    <xf numFmtId="2" fontId="6" fillId="0" borderId="1" xfId="1538" applyNumberFormat="1" applyFont="1" applyBorder="1" applyAlignment="1">
      <alignment vertical="center"/>
    </xf>
    <xf numFmtId="1" fontId="5" fillId="0" borderId="1" xfId="1538" applyNumberFormat="1" applyFont="1" applyBorder="1"/>
    <xf numFmtId="0" fontId="5" fillId="0" borderId="0" xfId="1538" applyFont="1" applyAlignment="1">
      <alignment vertical="center"/>
    </xf>
    <xf numFmtId="2" fontId="20" fillId="0" borderId="1" xfId="1538" applyNumberFormat="1" applyFont="1" applyBorder="1" applyAlignment="1">
      <alignment horizontal="justify" vertical="top" wrapText="1"/>
    </xf>
    <xf numFmtId="0" fontId="20" fillId="0" borderId="1" xfId="1538" applyFont="1" applyBorder="1" applyAlignment="1">
      <alignment horizontal="center" vertical="top" wrapText="1"/>
    </xf>
    <xf numFmtId="2" fontId="5" fillId="0" borderId="1" xfId="1538" applyNumberFormat="1" applyFont="1" applyBorder="1" applyAlignment="1">
      <alignment horizontal="center" vertical="top"/>
    </xf>
    <xf numFmtId="2" fontId="20" fillId="0" borderId="1" xfId="1538" applyNumberFormat="1" applyFont="1" applyBorder="1" applyAlignment="1">
      <alignment horizontal="center" vertical="top" wrapText="1"/>
    </xf>
    <xf numFmtId="0" fontId="6" fillId="0" borderId="1" xfId="1538" applyFont="1" applyBorder="1" applyAlignment="1">
      <alignment horizontal="center" vertical="center" wrapText="1"/>
    </xf>
    <xf numFmtId="2" fontId="23" fillId="0" borderId="1" xfId="1538" applyNumberFormat="1" applyFont="1" applyBorder="1" applyAlignment="1">
      <alignment horizontal="center" vertical="center" shrinkToFit="1"/>
    </xf>
    <xf numFmtId="2" fontId="23" fillId="0" borderId="1" xfId="1538" applyNumberFormat="1" applyFont="1" applyBorder="1" applyAlignment="1">
      <alignment vertical="center" shrinkToFit="1"/>
    </xf>
    <xf numFmtId="0" fontId="30" fillId="0" borderId="1" xfId="1538" applyFont="1" applyBorder="1" applyAlignment="1">
      <alignment horizontal="center" vertical="center" shrinkToFit="1"/>
    </xf>
    <xf numFmtId="2" fontId="6" fillId="0" borderId="1" xfId="1538" applyNumberFormat="1" applyFont="1" applyBorder="1" applyAlignment="1">
      <alignment shrinkToFit="1"/>
    </xf>
    <xf numFmtId="2" fontId="6" fillId="0" borderId="1" xfId="1538" applyNumberFormat="1" applyFont="1" applyBorder="1" applyAlignment="1">
      <alignment horizontal="right" vertical="center" shrinkToFit="1"/>
    </xf>
    <xf numFmtId="0" fontId="53" fillId="0" borderId="1" xfId="1538" applyFont="1" applyBorder="1" applyAlignment="1">
      <alignment horizontal="center" vertical="center" wrapText="1" shrinkToFit="1"/>
    </xf>
    <xf numFmtId="0" fontId="6" fillId="0" borderId="1" xfId="1538" applyFont="1" applyBorder="1" applyAlignment="1">
      <alignment horizontal="left" vertical="center"/>
    </xf>
    <xf numFmtId="2" fontId="5" fillId="0" borderId="1" xfId="1538" applyNumberFormat="1" applyFont="1" applyBorder="1" applyAlignment="1">
      <alignment horizontal="center" shrinkToFit="1"/>
    </xf>
    <xf numFmtId="0" fontId="5" fillId="0" borderId="0" xfId="1538" applyFont="1" applyAlignment="1">
      <alignment horizontal="justify" vertical="top" wrapText="1"/>
    </xf>
    <xf numFmtId="0" fontId="6" fillId="0" borderId="1" xfId="1538" applyFont="1" applyBorder="1" applyAlignment="1">
      <alignment horizontal="justify" vertical="center" wrapText="1"/>
    </xf>
    <xf numFmtId="0" fontId="5" fillId="0" borderId="0" xfId="1538" applyFont="1" applyAlignment="1">
      <alignment horizontal="justify" vertical="center" wrapText="1"/>
    </xf>
    <xf numFmtId="0" fontId="6" fillId="0" borderId="1" xfId="1538" applyFont="1" applyBorder="1" applyAlignment="1">
      <alignment horizontal="center" shrinkToFit="1"/>
    </xf>
    <xf numFmtId="0" fontId="5" fillId="0" borderId="1" xfId="1538" applyFont="1" applyBorder="1" applyAlignment="1">
      <alignment horizontal="left" vertical="top"/>
    </xf>
    <xf numFmtId="0" fontId="5" fillId="0" borderId="1" xfId="1538" applyFont="1" applyBorder="1" applyAlignment="1">
      <alignment horizontal="justify" wrapText="1"/>
    </xf>
    <xf numFmtId="2" fontId="5" fillId="0" borderId="1" xfId="1538" applyNumberFormat="1" applyFont="1" applyBorder="1" applyAlignment="1">
      <alignment horizontal="center" wrapText="1"/>
    </xf>
    <xf numFmtId="2" fontId="5" fillId="0" borderId="1" xfId="1538" applyNumberFormat="1" applyFont="1" applyBorder="1" applyAlignment="1">
      <alignment horizontal="right" vertical="top"/>
    </xf>
    <xf numFmtId="2" fontId="5" fillId="0" borderId="1" xfId="1538" applyNumberFormat="1" applyFont="1" applyBorder="1" applyAlignment="1">
      <alignment vertical="center" shrinkToFit="1"/>
    </xf>
    <xf numFmtId="2" fontId="5" fillId="0" borderId="1" xfId="1538" applyNumberFormat="1" applyFont="1" applyBorder="1" applyAlignment="1">
      <alignment horizontal="right" vertical="center" shrinkToFit="1"/>
    </xf>
    <xf numFmtId="0" fontId="20" fillId="0" borderId="1" xfId="1538" applyFont="1" applyBorder="1" applyAlignment="1">
      <alignment horizontal="justify" vertical="center" wrapText="1"/>
    </xf>
    <xf numFmtId="0" fontId="5" fillId="0" borderId="1" xfId="1538" applyFont="1" applyBorder="1" applyAlignment="1">
      <alignment horizontal="left" vertical="top" wrapText="1"/>
    </xf>
    <xf numFmtId="0" fontId="8" fillId="0" borderId="0" xfId="1538" applyFont="1" applyAlignment="1">
      <alignment horizontal="center"/>
    </xf>
    <xf numFmtId="2" fontId="5" fillId="0" borderId="0" xfId="1538" applyNumberFormat="1" applyFont="1"/>
    <xf numFmtId="0" fontId="54" fillId="0" borderId="0" xfId="1538" applyFont="1"/>
    <xf numFmtId="1" fontId="20" fillId="0" borderId="1" xfId="1538" applyNumberFormat="1" applyFont="1" applyBorder="1" applyAlignment="1">
      <alignment horizontal="center" vertical="center" wrapText="1"/>
    </xf>
    <xf numFmtId="0" fontId="5" fillId="0" borderId="1" xfId="1538" applyFont="1" applyBorder="1" applyAlignment="1">
      <alignment vertical="center" shrinkToFit="1"/>
    </xf>
    <xf numFmtId="1" fontId="6" fillId="0" borderId="1" xfId="1538" applyNumberFormat="1" applyFont="1" applyBorder="1" applyAlignment="1">
      <alignment horizontal="center" vertical="center" wrapText="1"/>
    </xf>
    <xf numFmtId="1" fontId="5" fillId="0" borderId="1" xfId="1538" applyNumberFormat="1" applyFont="1" applyBorder="1" applyAlignment="1">
      <alignment horizontal="right" vertical="center"/>
    </xf>
    <xf numFmtId="0" fontId="5" fillId="0" borderId="1" xfId="1538" applyFont="1" applyBorder="1" applyAlignment="1">
      <alignment horizontal="justify" vertical="center"/>
    </xf>
    <xf numFmtId="0" fontId="5" fillId="0" borderId="1" xfId="1538" applyFont="1" applyBorder="1" applyAlignment="1">
      <alignment horizontal="right" vertical="center"/>
    </xf>
    <xf numFmtId="2" fontId="20" fillId="15" borderId="1" xfId="1538" applyNumberFormat="1" applyFont="1" applyFill="1" applyBorder="1" applyAlignment="1">
      <alignment vertical="center"/>
    </xf>
    <xf numFmtId="2" fontId="5" fillId="15" borderId="1" xfId="1538" applyNumberFormat="1" applyFont="1" applyFill="1" applyBorder="1" applyAlignment="1">
      <alignment vertical="center"/>
    </xf>
    <xf numFmtId="0" fontId="5" fillId="16" borderId="1" xfId="1538" applyFont="1" applyFill="1" applyBorder="1" applyAlignment="1">
      <alignment vertical="center" wrapText="1"/>
    </xf>
    <xf numFmtId="0" fontId="5" fillId="16" borderId="1" xfId="1538" applyFont="1" applyFill="1" applyBorder="1" applyAlignment="1">
      <alignment horizontal="justify" vertical="center" wrapText="1"/>
    </xf>
    <xf numFmtId="0" fontId="6" fillId="0" borderId="3" xfId="1538" applyFont="1" applyBorder="1" applyAlignment="1">
      <alignment horizontal="center" vertical="center" wrapText="1"/>
    </xf>
    <xf numFmtId="0" fontId="6" fillId="0" borderId="0" xfId="1538" applyFont="1" applyAlignment="1">
      <alignment horizontal="center" vertical="center" wrapText="1"/>
    </xf>
    <xf numFmtId="2" fontId="5" fillId="0" borderId="0" xfId="1538" applyNumberFormat="1" applyFont="1" applyAlignment="1">
      <alignment horizontal="right" vertical="center" shrinkToFit="1"/>
    </xf>
    <xf numFmtId="1" fontId="5" fillId="0" borderId="0" xfId="1538" applyNumberFormat="1" applyFont="1" applyAlignment="1">
      <alignment horizontal="right" vertical="center"/>
    </xf>
    <xf numFmtId="0" fontId="5" fillId="0" borderId="0" xfId="1538" applyFont="1" applyAlignment="1">
      <alignment horizontal="left" vertical="center"/>
    </xf>
    <xf numFmtId="2" fontId="5" fillId="0" borderId="0" xfId="1538" applyNumberFormat="1" applyFont="1" applyAlignment="1">
      <alignment vertical="center"/>
    </xf>
    <xf numFmtId="0" fontId="5" fillId="16" borderId="1" xfId="1538" applyFont="1" applyFill="1" applyBorder="1" applyAlignment="1">
      <alignment horizontal="center" vertical="center"/>
    </xf>
    <xf numFmtId="2" fontId="5" fillId="16" borderId="1" xfId="1538" applyNumberFormat="1" applyFont="1" applyFill="1" applyBorder="1" applyAlignment="1">
      <alignment horizontal="right" vertical="center" shrinkToFit="1"/>
    </xf>
    <xf numFmtId="1" fontId="5" fillId="16" borderId="1" xfId="1538" applyNumberFormat="1" applyFont="1" applyFill="1" applyBorder="1" applyAlignment="1">
      <alignment horizontal="right" vertical="center"/>
    </xf>
    <xf numFmtId="0" fontId="5" fillId="16" borderId="1" xfId="1538" applyFont="1" applyFill="1" applyBorder="1" applyAlignment="1">
      <alignment horizontal="left" vertical="center"/>
    </xf>
    <xf numFmtId="0" fontId="5" fillId="0" borderId="3" xfId="1538" applyFont="1" applyBorder="1" applyAlignment="1">
      <alignment horizontal="justify" vertical="center"/>
    </xf>
    <xf numFmtId="1" fontId="5" fillId="0" borderId="1" xfId="1538" applyNumberFormat="1" applyFont="1" applyBorder="1" applyAlignment="1">
      <alignment horizontal="center" vertical="center" shrinkToFit="1"/>
    </xf>
    <xf numFmtId="0" fontId="6" fillId="0" borderId="1" xfId="1538" applyFont="1" applyBorder="1" applyAlignment="1">
      <alignment horizontal="left" vertical="center" wrapText="1"/>
    </xf>
    <xf numFmtId="0" fontId="20" fillId="0" borderId="1" xfId="1538" applyFont="1" applyBorder="1" applyAlignment="1">
      <alignment horizontal="center" vertical="center" wrapText="1" shrinkToFit="1"/>
    </xf>
    <xf numFmtId="0" fontId="20" fillId="0" borderId="1" xfId="1538" applyFont="1" applyBorder="1" applyAlignment="1">
      <alignment horizontal="right" vertical="center"/>
    </xf>
    <xf numFmtId="0" fontId="5" fillId="0" borderId="6" xfId="1538" applyFont="1" applyBorder="1" applyAlignment="1">
      <alignment horizontal="center" vertical="top"/>
    </xf>
    <xf numFmtId="0" fontId="20" fillId="0" borderId="6" xfId="1538" applyFont="1" applyBorder="1" applyAlignment="1">
      <alignment horizontal="right" vertical="top"/>
    </xf>
    <xf numFmtId="0" fontId="20" fillId="0" borderId="1" xfId="1538" applyFont="1" applyBorder="1" applyAlignment="1">
      <alignment horizontal="right" vertical="top"/>
    </xf>
    <xf numFmtId="0" fontId="6" fillId="0" borderId="1" xfId="1538" applyFont="1" applyBorder="1" applyAlignment="1">
      <alignment horizontal="center" wrapText="1"/>
    </xf>
    <xf numFmtId="1" fontId="5" fillId="0" borderId="1" xfId="1538" applyNumberFormat="1" applyFont="1" applyBorder="1" applyAlignment="1">
      <alignment horizontal="right" vertical="top"/>
    </xf>
    <xf numFmtId="1" fontId="5" fillId="0" borderId="1" xfId="1538" applyNumberFormat="1" applyFont="1" applyBorder="1" applyAlignment="1">
      <alignment horizontal="center" wrapText="1"/>
    </xf>
    <xf numFmtId="0" fontId="5" fillId="0" borderId="1" xfId="1538" applyFont="1" applyBorder="1" applyAlignment="1">
      <alignment horizontal="center" wrapText="1"/>
    </xf>
    <xf numFmtId="0" fontId="5" fillId="0" borderId="7" xfId="1538" applyFont="1" applyBorder="1" applyAlignment="1">
      <alignment horizontal="justify" vertical="top" wrapText="1"/>
    </xf>
    <xf numFmtId="0" fontId="5" fillId="0" borderId="4" xfId="1538" applyFont="1" applyBorder="1" applyAlignment="1">
      <alignment horizontal="justify" vertical="top" wrapText="1"/>
    </xf>
    <xf numFmtId="2" fontId="23" fillId="0" borderId="4" xfId="1538" applyNumberFormat="1" applyFont="1" applyBorder="1" applyAlignment="1">
      <alignment horizontal="center" vertical="top" shrinkToFit="1"/>
    </xf>
    <xf numFmtId="2" fontId="5" fillId="0" borderId="4" xfId="1538" applyNumberFormat="1" applyFont="1" applyBorder="1" applyAlignment="1">
      <alignment horizontal="right" vertical="top"/>
    </xf>
    <xf numFmtId="1" fontId="5" fillId="0" borderId="4" xfId="1538" applyNumberFormat="1" applyFont="1" applyBorder="1" applyAlignment="1">
      <alignment vertical="top"/>
    </xf>
    <xf numFmtId="0" fontId="5" fillId="0" borderId="4" xfId="1538" applyFont="1" applyBorder="1" applyAlignment="1">
      <alignment vertical="top"/>
    </xf>
    <xf numFmtId="0" fontId="5" fillId="0" borderId="4" xfId="1538" applyFont="1" applyBorder="1"/>
    <xf numFmtId="1" fontId="5" fillId="0" borderId="4" xfId="1538" applyNumberFormat="1" applyFont="1" applyBorder="1" applyAlignment="1">
      <alignment horizontal="right" vertical="top"/>
    </xf>
    <xf numFmtId="0" fontId="5" fillId="0" borderId="8" xfId="1538" applyFont="1" applyBorder="1" applyAlignment="1">
      <alignment horizontal="left" vertical="top"/>
    </xf>
    <xf numFmtId="2" fontId="5" fillId="16" borderId="1" xfId="1538" applyNumberFormat="1" applyFont="1" applyFill="1" applyBorder="1" applyAlignment="1">
      <alignment horizontal="right" vertical="top"/>
    </xf>
    <xf numFmtId="2" fontId="5" fillId="16" borderId="1" xfId="1538" applyNumberFormat="1" applyFont="1" applyFill="1" applyBorder="1" applyAlignment="1">
      <alignment horizontal="center" vertical="top"/>
    </xf>
    <xf numFmtId="0" fontId="20" fillId="0" borderId="9" xfId="1538" applyFont="1" applyBorder="1" applyAlignment="1">
      <alignment horizontal="center" vertical="center" wrapText="1"/>
    </xf>
    <xf numFmtId="0" fontId="5" fillId="0" borderId="9" xfId="1538" applyFont="1" applyBorder="1" applyAlignment="1">
      <alignment horizontal="right" vertical="top"/>
    </xf>
    <xf numFmtId="2" fontId="20" fillId="0" borderId="9" xfId="1538" applyNumberFormat="1" applyFont="1" applyBorder="1" applyAlignment="1">
      <alignment horizontal="center" vertical="center" wrapText="1"/>
    </xf>
    <xf numFmtId="1" fontId="20" fillId="0" borderId="9" xfId="1538" applyNumberFormat="1" applyFont="1" applyBorder="1" applyAlignment="1">
      <alignment horizontal="center" vertical="center" wrapText="1"/>
    </xf>
    <xf numFmtId="2" fontId="5" fillId="0" borderId="9" xfId="1538" applyNumberFormat="1" applyFont="1" applyBorder="1" applyAlignment="1">
      <alignment horizontal="center" vertical="center"/>
    </xf>
    <xf numFmtId="0" fontId="5" fillId="0" borderId="1" xfId="1538" applyFont="1" applyBorder="1" applyAlignment="1">
      <alignment horizontal="right"/>
    </xf>
    <xf numFmtId="1" fontId="6" fillId="0" borderId="1" xfId="1538" applyNumberFormat="1" applyFont="1" applyBorder="1" applyAlignment="1">
      <alignment horizontal="center" wrapText="1"/>
    </xf>
    <xf numFmtId="2" fontId="5" fillId="0" borderId="1" xfId="1538" applyNumberFormat="1" applyFont="1" applyBorder="1" applyAlignment="1">
      <alignment horizontal="right" shrinkToFit="1"/>
    </xf>
    <xf numFmtId="1" fontId="5" fillId="0" borderId="1" xfId="1538" applyNumberFormat="1" applyFont="1" applyBorder="1" applyAlignment="1">
      <alignment horizontal="right"/>
    </xf>
    <xf numFmtId="0" fontId="5" fillId="0" borderId="1" xfId="1538" applyFont="1" applyBorder="1" applyAlignment="1">
      <alignment horizontal="left"/>
    </xf>
    <xf numFmtId="2" fontId="5" fillId="0" borderId="1" xfId="1538" applyNumberFormat="1" applyFont="1" applyBorder="1" applyAlignment="1">
      <alignment shrinkToFit="1"/>
    </xf>
    <xf numFmtId="0" fontId="6" fillId="16" borderId="1" xfId="1538" applyFont="1" applyFill="1" applyBorder="1" applyAlignment="1">
      <alignment horizontal="center" vertical="center" wrapText="1"/>
    </xf>
    <xf numFmtId="1" fontId="5" fillId="0" borderId="1" xfId="1538" applyNumberFormat="1" applyFont="1" applyBorder="1" applyAlignment="1">
      <alignment horizontal="right" shrinkToFit="1"/>
    </xf>
    <xf numFmtId="0" fontId="5" fillId="0" borderId="1" xfId="1538" applyFont="1" applyBorder="1" applyAlignment="1">
      <alignment horizontal="left" wrapText="1"/>
    </xf>
    <xf numFmtId="0" fontId="30" fillId="0" borderId="1" xfId="1538" applyFont="1" applyBorder="1" applyAlignment="1">
      <alignment horizontal="center" wrapText="1"/>
    </xf>
    <xf numFmtId="0" fontId="5" fillId="0" borderId="1" xfId="1538" applyFont="1" applyBorder="1" applyAlignment="1">
      <alignment horizontal="center" wrapText="1" shrinkToFit="1"/>
    </xf>
    <xf numFmtId="0" fontId="5" fillId="16" borderId="1" xfId="1538" applyFont="1" applyFill="1" applyBorder="1" applyAlignment="1">
      <alignment horizontal="center" wrapText="1" shrinkToFit="1"/>
    </xf>
    <xf numFmtId="1" fontId="20" fillId="0" borderId="1" xfId="1538" applyNumberFormat="1" applyFont="1" applyBorder="1" applyAlignment="1">
      <alignment vertical="center"/>
    </xf>
    <xf numFmtId="2" fontId="5" fillId="0" borderId="1" xfId="1538" applyNumberFormat="1" applyFont="1" applyBorder="1" applyAlignment="1">
      <alignment horizontal="right"/>
    </xf>
    <xf numFmtId="0" fontId="6" fillId="0" borderId="3" xfId="1538" applyFont="1" applyBorder="1" applyAlignment="1">
      <alignment horizontal="center" shrinkToFit="1"/>
    </xf>
    <xf numFmtId="1" fontId="5" fillId="0" borderId="1" xfId="1538" applyNumberFormat="1" applyFont="1" applyBorder="1" applyAlignment="1">
      <alignment horizontal="center" shrinkToFit="1"/>
    </xf>
    <xf numFmtId="1" fontId="5" fillId="0" borderId="1" xfId="1538" applyNumberFormat="1" applyFont="1" applyBorder="1" applyAlignment="1">
      <alignment horizontal="center" vertical="top" shrinkToFit="1"/>
    </xf>
    <xf numFmtId="0" fontId="6" fillId="16" borderId="1" xfId="1538" applyFont="1" applyFill="1" applyBorder="1" applyAlignment="1">
      <alignment horizontal="center"/>
    </xf>
    <xf numFmtId="0" fontId="5" fillId="16" borderId="1" xfId="1538" applyFont="1" applyFill="1" applyBorder="1" applyAlignment="1">
      <alignment horizontal="justify" vertical="top" wrapText="1"/>
    </xf>
    <xf numFmtId="1" fontId="5" fillId="16" borderId="1" xfId="1538" applyNumberFormat="1" applyFont="1" applyFill="1" applyBorder="1" applyAlignment="1">
      <alignment horizontal="right"/>
    </xf>
    <xf numFmtId="0" fontId="5" fillId="16" borderId="1" xfId="1538" applyFont="1" applyFill="1" applyBorder="1" applyAlignment="1">
      <alignment horizontal="left"/>
    </xf>
    <xf numFmtId="2" fontId="5" fillId="16" borderId="1" xfId="1538" applyNumberFormat="1" applyFont="1" applyFill="1" applyBorder="1"/>
    <xf numFmtId="0" fontId="5" fillId="0" borderId="1" xfId="1538" applyFont="1" applyBorder="1" applyAlignment="1">
      <alignment horizontal="justify"/>
    </xf>
    <xf numFmtId="2" fontId="5" fillId="15" borderId="1" xfId="1538" applyNumberFormat="1" applyFont="1" applyFill="1" applyBorder="1" applyAlignment="1">
      <alignment horizontal="center"/>
    </xf>
    <xf numFmtId="2" fontId="5" fillId="16" borderId="1" xfId="1538" applyNumberFormat="1" applyFont="1" applyFill="1" applyBorder="1" applyAlignment="1">
      <alignment vertical="center"/>
    </xf>
    <xf numFmtId="3" fontId="5" fillId="0" borderId="1" xfId="1538" applyNumberFormat="1" applyFont="1" applyBorder="1" applyAlignment="1">
      <alignment horizontal="center" vertical="center" wrapText="1"/>
    </xf>
    <xf numFmtId="0" fontId="5" fillId="0" borderId="0" xfId="1538" applyFont="1" applyAlignment="1">
      <alignment wrapText="1"/>
    </xf>
    <xf numFmtId="0" fontId="30" fillId="0" borderId="1" xfId="1538" applyFont="1" applyBorder="1" applyAlignment="1" applyProtection="1">
      <alignment horizontal="center" vertical="center" wrapText="1"/>
      <protection hidden="1"/>
    </xf>
    <xf numFmtId="0" fontId="23" fillId="0" borderId="1" xfId="1538" applyFont="1" applyBorder="1" applyAlignment="1" applyProtection="1">
      <alignment horizontal="left" vertical="center" wrapText="1"/>
      <protection hidden="1"/>
    </xf>
    <xf numFmtId="0" fontId="5" fillId="0" borderId="0" xfId="1538" applyFont="1" applyAlignment="1" applyProtection="1">
      <alignment vertical="center"/>
      <protection hidden="1"/>
    </xf>
    <xf numFmtId="0" fontId="19" fillId="0" borderId="0" xfId="1538" applyFont="1" applyAlignment="1" applyProtection="1">
      <alignment vertical="center"/>
      <protection hidden="1"/>
    </xf>
    <xf numFmtId="0" fontId="3" fillId="0" borderId="0" xfId="1538" applyFont="1" applyAlignment="1" applyProtection="1">
      <alignment vertical="center"/>
      <protection hidden="1"/>
    </xf>
    <xf numFmtId="0" fontId="8" fillId="0" borderId="0" xfId="1538" applyFont="1" applyAlignment="1" applyProtection="1">
      <alignment vertical="center"/>
      <protection hidden="1"/>
    </xf>
    <xf numFmtId="0" fontId="6" fillId="0" borderId="1" xfId="1538" applyFont="1" applyBorder="1" applyAlignment="1" applyProtection="1">
      <alignment vertical="center"/>
      <protection hidden="1"/>
    </xf>
    <xf numFmtId="2" fontId="5" fillId="15" borderId="1" xfId="1538" applyNumberFormat="1" applyFont="1" applyFill="1" applyBorder="1" applyAlignment="1" applyProtection="1">
      <alignment vertical="center" shrinkToFit="1"/>
      <protection hidden="1"/>
    </xf>
    <xf numFmtId="1" fontId="5" fillId="0" borderId="1" xfId="1538" applyNumberFormat="1" applyFont="1" applyBorder="1" applyAlignment="1" applyProtection="1">
      <alignment vertical="center"/>
      <protection hidden="1"/>
    </xf>
    <xf numFmtId="0" fontId="60" fillId="0" borderId="0" xfId="1538" applyFont="1"/>
    <xf numFmtId="1" fontId="60" fillId="0" borderId="0" xfId="1538" applyNumberFormat="1" applyFont="1"/>
    <xf numFmtId="0" fontId="59" fillId="0" borderId="10" xfId="1538" applyFont="1" applyBorder="1" applyAlignment="1">
      <alignment horizontal="center"/>
    </xf>
    <xf numFmtId="2" fontId="59" fillId="0" borderId="10" xfId="1538" applyNumberFormat="1" applyFont="1" applyBorder="1" applyAlignment="1">
      <alignment horizontal="center"/>
    </xf>
    <xf numFmtId="2" fontId="60" fillId="0" borderId="10" xfId="1538" applyNumberFormat="1" applyFont="1" applyBorder="1"/>
    <xf numFmtId="0" fontId="60" fillId="0" borderId="10" xfId="1538" applyFont="1" applyBorder="1" applyAlignment="1">
      <alignment wrapText="1"/>
    </xf>
    <xf numFmtId="2" fontId="59" fillId="0" borderId="10" xfId="1538" applyNumberFormat="1" applyFont="1" applyBorder="1"/>
    <xf numFmtId="0" fontId="62" fillId="0" borderId="10" xfId="1538" applyFont="1" applyBorder="1"/>
    <xf numFmtId="0" fontId="62" fillId="0" borderId="10" xfId="1538" applyFont="1" applyBorder="1" applyAlignment="1">
      <alignment wrapText="1"/>
    </xf>
    <xf numFmtId="0" fontId="60" fillId="0" borderId="0" xfId="1538" applyFont="1" applyAlignment="1">
      <alignment horizontal="center" vertical="top"/>
    </xf>
    <xf numFmtId="2" fontId="60" fillId="0" borderId="0" xfId="1538" applyNumberFormat="1" applyFont="1"/>
    <xf numFmtId="0" fontId="66" fillId="0" borderId="0" xfId="0" applyFont="1" applyFill="1" applyBorder="1" applyAlignment="1">
      <alignment horizontal="center" vertical="top"/>
    </xf>
    <xf numFmtId="0" fontId="67" fillId="0" borderId="0" xfId="0" applyFont="1" applyFill="1" applyBorder="1" applyAlignment="1">
      <alignment horizontal="center"/>
    </xf>
    <xf numFmtId="0" fontId="67" fillId="0" borderId="0" xfId="0" applyFont="1" applyFill="1" applyBorder="1"/>
    <xf numFmtId="2" fontId="67" fillId="0" borderId="0" xfId="0" applyNumberFormat="1" applyFont="1" applyFill="1" applyBorder="1" applyAlignment="1">
      <alignment horizontal="right"/>
    </xf>
    <xf numFmtId="0" fontId="67" fillId="0" borderId="0" xfId="0" applyFont="1" applyFill="1"/>
    <xf numFmtId="0" fontId="67" fillId="0" borderId="23" xfId="0" applyFont="1" applyFill="1" applyBorder="1" applyAlignment="1">
      <alignment horizontal="left" vertical="top" wrapText="1"/>
    </xf>
    <xf numFmtId="0" fontId="67" fillId="0" borderId="23" xfId="0" applyFont="1" applyFill="1" applyBorder="1" applyAlignment="1">
      <alignment horizontal="left" vertical="center" wrapText="1"/>
    </xf>
    <xf numFmtId="173" fontId="67" fillId="0" borderId="0" xfId="0" applyNumberFormat="1" applyFont="1" applyFill="1" applyBorder="1" applyAlignment="1">
      <alignment horizontal="center"/>
    </xf>
    <xf numFmtId="0" fontId="66" fillId="0" borderId="20" xfId="0" applyFont="1" applyFill="1" applyBorder="1" applyAlignment="1">
      <alignment horizontal="center" vertical="top" wrapText="1"/>
    </xf>
    <xf numFmtId="0" fontId="66" fillId="0" borderId="20" xfId="0" applyFont="1" applyFill="1" applyBorder="1" applyAlignment="1">
      <alignment horizontal="center" vertical="center" wrapText="1"/>
    </xf>
    <xf numFmtId="2" fontId="66" fillId="0" borderId="20" xfId="0" applyNumberFormat="1" applyFont="1" applyFill="1" applyBorder="1" applyAlignment="1">
      <alignment horizontal="right" vertical="center"/>
    </xf>
    <xf numFmtId="0" fontId="66" fillId="0" borderId="25" xfId="0" applyFont="1" applyFill="1" applyBorder="1" applyAlignment="1">
      <alignment horizontal="center" vertical="top" wrapText="1"/>
    </xf>
    <xf numFmtId="0" fontId="66" fillId="0" borderId="25" xfId="0" applyFont="1" applyFill="1" applyBorder="1" applyAlignment="1">
      <alignment horizontal="center" vertical="center" wrapText="1"/>
    </xf>
    <xf numFmtId="1" fontId="66" fillId="0" borderId="23" xfId="0" applyNumberFormat="1" applyFont="1" applyFill="1" applyBorder="1" applyAlignment="1">
      <alignment horizontal="center" vertical="top"/>
    </xf>
    <xf numFmtId="0" fontId="67" fillId="0" borderId="23" xfId="0" applyFont="1" applyFill="1" applyBorder="1" applyAlignment="1">
      <alignment horizontal="center" vertical="top" wrapText="1"/>
    </xf>
    <xf numFmtId="2" fontId="66" fillId="0" borderId="23" xfId="0" applyNumberFormat="1" applyFont="1" applyFill="1" applyBorder="1" applyAlignment="1">
      <alignment horizontal="center" vertical="top"/>
    </xf>
    <xf numFmtId="0" fontId="66" fillId="0" borderId="23" xfId="0" applyFont="1" applyFill="1" applyBorder="1" applyAlignment="1">
      <alignment horizontal="justify" vertical="top" wrapText="1"/>
    </xf>
    <xf numFmtId="2" fontId="67" fillId="0" borderId="23" xfId="0" applyNumberFormat="1" applyFont="1" applyFill="1" applyBorder="1" applyAlignment="1">
      <alignment horizontal="right" vertical="top"/>
    </xf>
    <xf numFmtId="2" fontId="67" fillId="0" borderId="23" xfId="0" applyNumberFormat="1" applyFont="1" applyFill="1" applyBorder="1" applyAlignment="1">
      <alignment horizontal="center" vertical="top"/>
    </xf>
    <xf numFmtId="2" fontId="67" fillId="0" borderId="23" xfId="0" applyNumberFormat="1" applyFont="1" applyFill="1" applyBorder="1" applyAlignment="1">
      <alignment horizontal="center" vertical="top" wrapText="1"/>
    </xf>
    <xf numFmtId="4" fontId="67" fillId="0" borderId="23" xfId="0" applyNumberFormat="1" applyFont="1" applyFill="1" applyBorder="1" applyAlignment="1">
      <alignment horizontal="center" vertical="top" wrapText="1"/>
    </xf>
    <xf numFmtId="1" fontId="67" fillId="0" borderId="23" xfId="0" applyNumberFormat="1" applyFont="1" applyFill="1" applyBorder="1" applyAlignment="1">
      <alignment horizontal="center" vertical="top" wrapText="1"/>
    </xf>
    <xf numFmtId="0" fontId="67" fillId="0" borderId="23" xfId="0" applyFont="1" applyFill="1" applyBorder="1" applyAlignment="1">
      <alignment vertical="top" wrapText="1"/>
    </xf>
    <xf numFmtId="1" fontId="66" fillId="0" borderId="23" xfId="0" applyNumberFormat="1" applyFont="1" applyFill="1" applyBorder="1" applyAlignment="1">
      <alignment horizontal="center"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center" vertical="top"/>
    </xf>
    <xf numFmtId="0" fontId="66" fillId="0" borderId="23" xfId="0" applyNumberFormat="1" applyFont="1" applyFill="1" applyBorder="1" applyAlignment="1">
      <alignment horizontal="justify" vertical="top" wrapText="1"/>
    </xf>
    <xf numFmtId="0" fontId="66" fillId="0" borderId="0" xfId="0" applyFont="1" applyFill="1"/>
    <xf numFmtId="0" fontId="66" fillId="0" borderId="23" xfId="0" applyFont="1" applyFill="1" applyBorder="1" applyAlignment="1">
      <alignment horizontal="center" vertical="top"/>
    </xf>
    <xf numFmtId="0" fontId="66" fillId="0" borderId="23" xfId="0" applyFont="1" applyFill="1" applyBorder="1" applyAlignment="1">
      <alignment horizontal="right" vertical="top" wrapText="1"/>
    </xf>
    <xf numFmtId="173" fontId="66" fillId="0" borderId="23" xfId="0" applyNumberFormat="1" applyFont="1" applyFill="1" applyBorder="1" applyAlignment="1">
      <alignment horizontal="center" vertical="top"/>
    </xf>
    <xf numFmtId="4" fontId="66" fillId="0" borderId="23" xfId="0" applyNumberFormat="1" applyFont="1" applyFill="1" applyBorder="1" applyAlignment="1">
      <alignment horizontal="center" vertical="top" wrapText="1"/>
    </xf>
    <xf numFmtId="2" fontId="66" fillId="0" borderId="23" xfId="0" applyNumberFormat="1" applyFont="1" applyFill="1" applyBorder="1" applyAlignment="1">
      <alignment horizontal="right" vertical="top"/>
    </xf>
    <xf numFmtId="0" fontId="66" fillId="0" borderId="23" xfId="0" applyFont="1" applyFill="1" applyBorder="1" applyAlignment="1">
      <alignment vertical="top"/>
    </xf>
    <xf numFmtId="2" fontId="66" fillId="0" borderId="23" xfId="0" applyNumberFormat="1" applyFont="1" applyFill="1" applyBorder="1" applyAlignment="1">
      <alignment horizontal="center" vertical="top" wrapText="1"/>
    </xf>
    <xf numFmtId="2" fontId="67" fillId="0" borderId="23" xfId="0" applyNumberFormat="1" applyFont="1" applyFill="1" applyBorder="1" applyAlignment="1">
      <alignment horizontal="right"/>
    </xf>
    <xf numFmtId="2" fontId="66" fillId="0" borderId="23" xfId="0" applyNumberFormat="1" applyFont="1" applyFill="1" applyBorder="1" applyAlignment="1">
      <alignment vertical="top"/>
    </xf>
    <xf numFmtId="0" fontId="67" fillId="0" borderId="23" xfId="0" applyFont="1" applyFill="1" applyBorder="1" applyAlignment="1">
      <alignment horizontal="center"/>
    </xf>
    <xf numFmtId="0" fontId="67" fillId="0" borderId="23" xfId="0" applyFont="1" applyFill="1" applyBorder="1"/>
    <xf numFmtId="2" fontId="67" fillId="0" borderId="23" xfId="0" applyNumberFormat="1" applyFont="1" applyFill="1" applyBorder="1" applyAlignment="1">
      <alignment horizontal="right" vertical="top" wrapText="1"/>
    </xf>
    <xf numFmtId="4" fontId="67" fillId="0" borderId="23" xfId="0" applyNumberFormat="1" applyFont="1" applyFill="1" applyBorder="1" applyAlignment="1">
      <alignment horizontal="left" vertical="top" wrapText="1"/>
    </xf>
    <xf numFmtId="0" fontId="67" fillId="0" borderId="23" xfId="0" applyFont="1" applyFill="1" applyBorder="1" applyAlignment="1">
      <alignment vertical="top"/>
    </xf>
    <xf numFmtId="0" fontId="67" fillId="0" borderId="23" xfId="0" applyFont="1" applyFill="1" applyBorder="1" applyAlignment="1">
      <alignment horizontal="justify" vertical="top" wrapText="1"/>
    </xf>
    <xf numFmtId="0" fontId="66" fillId="0" borderId="23" xfId="0" applyFont="1" applyFill="1" applyBorder="1" applyAlignment="1">
      <alignment vertical="top" wrapText="1"/>
    </xf>
    <xf numFmtId="4" fontId="66" fillId="0" borderId="23" xfId="0" applyNumberFormat="1" applyFont="1" applyFill="1" applyBorder="1" applyAlignment="1">
      <alignment horizontal="left" vertical="top" wrapText="1"/>
    </xf>
    <xf numFmtId="2" fontId="66" fillId="0" borderId="23" xfId="0" applyNumberFormat="1" applyFont="1" applyFill="1" applyBorder="1" applyAlignment="1">
      <alignment horizontal="right" vertical="top" wrapText="1"/>
    </xf>
    <xf numFmtId="2" fontId="68" fillId="0" borderId="23" xfId="0" applyNumberFormat="1" applyFont="1" applyFill="1" applyBorder="1" applyAlignment="1">
      <alignment horizontal="right" vertical="top"/>
    </xf>
    <xf numFmtId="0" fontId="67" fillId="0" borderId="23" xfId="0" applyFont="1" applyFill="1" applyBorder="1" applyAlignment="1">
      <alignment horizontal="center" vertical="center" wrapText="1"/>
    </xf>
    <xf numFmtId="180" fontId="67" fillId="0" borderId="23" xfId="0" applyNumberFormat="1" applyFont="1" applyFill="1" applyBorder="1" applyAlignment="1">
      <alignment horizontal="center" vertical="top"/>
    </xf>
    <xf numFmtId="0" fontId="66" fillId="0" borderId="23" xfId="26680" applyFont="1" applyFill="1" applyBorder="1" applyAlignment="1">
      <alignment horizontal="center" vertical="top" wrapText="1"/>
    </xf>
    <xf numFmtId="180" fontId="55" fillId="0" borderId="23" xfId="0" applyNumberFormat="1" applyFont="1" applyFill="1" applyBorder="1" applyAlignment="1">
      <alignment horizontal="center" vertical="top"/>
    </xf>
    <xf numFmtId="0" fontId="66" fillId="0" borderId="23" xfId="0" applyFont="1" applyFill="1" applyBorder="1" applyAlignment="1">
      <alignment horizontal="right"/>
    </xf>
    <xf numFmtId="2" fontId="68" fillId="0" borderId="23" xfId="0" applyNumberFormat="1" applyFont="1" applyFill="1" applyBorder="1" applyAlignment="1">
      <alignment horizontal="center"/>
    </xf>
    <xf numFmtId="2" fontId="68" fillId="0" borderId="23" xfId="0" applyNumberFormat="1" applyFont="1" applyFill="1" applyBorder="1" applyAlignment="1">
      <alignment horizontal="center" vertical="top"/>
    </xf>
    <xf numFmtId="2" fontId="67" fillId="0" borderId="23" xfId="0" applyNumberFormat="1" applyFont="1" applyFill="1" applyBorder="1" applyAlignment="1">
      <alignment vertical="top"/>
    </xf>
    <xf numFmtId="1" fontId="67" fillId="0" borderId="23" xfId="0" applyNumberFormat="1" applyFont="1" applyFill="1" applyBorder="1" applyAlignment="1">
      <alignment horizontal="right" vertical="top" wrapText="1"/>
    </xf>
    <xf numFmtId="0" fontId="67" fillId="0" borderId="23" xfId="0" applyNumberFormat="1" applyFont="1" applyFill="1" applyBorder="1" applyAlignment="1">
      <alignment horizontal="justify" vertical="top" wrapText="1"/>
    </xf>
    <xf numFmtId="0" fontId="66" fillId="0" borderId="23" xfId="0" applyFont="1" applyFill="1" applyBorder="1" applyAlignment="1">
      <alignment horizontal="left" vertical="top" wrapText="1"/>
    </xf>
    <xf numFmtId="0" fontId="66" fillId="0" borderId="23" xfId="0" applyFont="1" applyFill="1" applyBorder="1" applyAlignment="1">
      <alignment horizontal="left"/>
    </xf>
    <xf numFmtId="175" fontId="67" fillId="0" borderId="23" xfId="0" applyNumberFormat="1" applyFont="1" applyFill="1" applyBorder="1" applyAlignment="1">
      <alignment horizontal="right" vertical="top" wrapText="1"/>
    </xf>
    <xf numFmtId="0" fontId="67" fillId="0" borderId="23" xfId="0" applyFont="1" applyFill="1" applyBorder="1" applyAlignment="1">
      <alignment horizontal="right" vertical="top" wrapText="1"/>
    </xf>
    <xf numFmtId="0" fontId="70" fillId="0" borderId="23" xfId="0" applyFont="1" applyFill="1" applyBorder="1" applyAlignment="1">
      <alignment horizontal="justify" vertical="top" wrapText="1"/>
    </xf>
    <xf numFmtId="2" fontId="71" fillId="0" borderId="23" xfId="0" applyNumberFormat="1" applyFont="1" applyFill="1" applyBorder="1" applyAlignment="1">
      <alignment horizontal="right" vertical="top" wrapText="1"/>
    </xf>
    <xf numFmtId="0" fontId="71" fillId="0" borderId="23" xfId="0" applyFont="1" applyFill="1" applyBorder="1" applyAlignment="1">
      <alignment horizontal="left" vertical="top" wrapText="1"/>
    </xf>
    <xf numFmtId="1" fontId="71" fillId="0" borderId="23" xfId="0" applyNumberFormat="1" applyFont="1" applyFill="1" applyBorder="1" applyAlignment="1">
      <alignment horizontal="center" vertical="top" wrapText="1"/>
    </xf>
    <xf numFmtId="2" fontId="71" fillId="0" borderId="23" xfId="0" applyNumberFormat="1" applyFont="1" applyFill="1" applyBorder="1" applyAlignment="1">
      <alignment horizontal="center" vertical="top"/>
    </xf>
    <xf numFmtId="2" fontId="71" fillId="0" borderId="23" xfId="0" applyNumberFormat="1" applyFont="1" applyFill="1" applyBorder="1" applyAlignment="1">
      <alignment vertical="top"/>
    </xf>
    <xf numFmtId="4" fontId="71" fillId="0" borderId="23" xfId="0" applyNumberFormat="1" applyFont="1" applyFill="1" applyBorder="1" applyAlignment="1">
      <alignment horizontal="left" vertical="top" wrapText="1"/>
    </xf>
    <xf numFmtId="2" fontId="71" fillId="0" borderId="23" xfId="0" applyNumberFormat="1" applyFont="1" applyFill="1" applyBorder="1" applyAlignment="1">
      <alignment horizontal="right" vertical="top"/>
    </xf>
    <xf numFmtId="0" fontId="71" fillId="0" borderId="23" xfId="0" applyFont="1" applyFill="1" applyBorder="1" applyAlignment="1">
      <alignment horizontal="right" vertical="top" wrapText="1"/>
    </xf>
    <xf numFmtId="0" fontId="71" fillId="0" borderId="23" xfId="0" applyFont="1" applyFill="1" applyBorder="1" applyAlignment="1">
      <alignment horizontal="justify" vertical="top" wrapText="1"/>
    </xf>
    <xf numFmtId="1" fontId="71" fillId="0" borderId="23" xfId="0" applyNumberFormat="1" applyFont="1" applyFill="1" applyBorder="1" applyAlignment="1">
      <alignment horizontal="right" vertical="top" wrapText="1"/>
    </xf>
    <xf numFmtId="2" fontId="71" fillId="0" borderId="23" xfId="0" applyNumberFormat="1" applyFont="1" applyFill="1" applyBorder="1" applyAlignment="1">
      <alignment horizontal="center" vertical="top" wrapText="1"/>
    </xf>
    <xf numFmtId="0" fontId="71" fillId="0" borderId="23" xfId="0" applyFont="1" applyFill="1" applyBorder="1" applyAlignment="1">
      <alignment vertical="top"/>
    </xf>
    <xf numFmtId="2" fontId="70" fillId="0" borderId="23" xfId="0" applyNumberFormat="1" applyFont="1" applyFill="1" applyBorder="1" applyAlignment="1">
      <alignment horizontal="center" vertical="top" wrapText="1"/>
    </xf>
    <xf numFmtId="0" fontId="70" fillId="0" borderId="23" xfId="0" applyFont="1" applyFill="1" applyBorder="1" applyAlignment="1">
      <alignment horizontal="left" vertical="top" wrapText="1"/>
    </xf>
    <xf numFmtId="2" fontId="70" fillId="0" borderId="23" xfId="0" applyNumberFormat="1" applyFont="1" applyFill="1" applyBorder="1" applyAlignment="1">
      <alignment horizontal="center" vertical="top"/>
    </xf>
    <xf numFmtId="0" fontId="70" fillId="0" borderId="23" xfId="0" applyFont="1" applyFill="1" applyBorder="1" applyAlignment="1">
      <alignment horizontal="right" vertical="top" wrapText="1"/>
    </xf>
    <xf numFmtId="4" fontId="70" fillId="0" borderId="23" xfId="0" applyNumberFormat="1" applyFont="1" applyFill="1" applyBorder="1" applyAlignment="1">
      <alignment horizontal="left" vertical="top" wrapText="1"/>
    </xf>
    <xf numFmtId="1" fontId="70" fillId="0" borderId="23" xfId="0" applyNumberFormat="1" applyFont="1" applyFill="1" applyBorder="1" applyAlignment="1">
      <alignment horizontal="center" vertical="top" wrapText="1"/>
    </xf>
    <xf numFmtId="2" fontId="70" fillId="0" borderId="23" xfId="0" applyNumberFormat="1" applyFont="1" applyFill="1" applyBorder="1" applyAlignment="1">
      <alignment vertical="top"/>
    </xf>
    <xf numFmtId="0" fontId="70" fillId="0" borderId="23" xfId="0" applyFont="1" applyFill="1" applyBorder="1" applyAlignment="1">
      <alignment vertical="top" wrapText="1"/>
    </xf>
    <xf numFmtId="2" fontId="70" fillId="0" borderId="23" xfId="0" applyNumberFormat="1" applyFont="1" applyFill="1" applyBorder="1" applyAlignment="1">
      <alignment horizontal="right" vertical="top" wrapText="1"/>
    </xf>
    <xf numFmtId="0" fontId="70" fillId="0" borderId="23" xfId="0" applyFont="1" applyFill="1" applyBorder="1" applyAlignment="1">
      <alignment horizontal="right" wrapText="1"/>
    </xf>
    <xf numFmtId="2" fontId="71" fillId="0" borderId="23" xfId="0" applyNumberFormat="1" applyFont="1" applyFill="1" applyBorder="1" applyAlignment="1">
      <alignment horizontal="center"/>
    </xf>
    <xf numFmtId="2" fontId="72" fillId="0" borderId="23" xfId="0" applyNumberFormat="1" applyFont="1" applyFill="1" applyBorder="1" applyAlignment="1">
      <alignment horizontal="center" vertical="top"/>
    </xf>
    <xf numFmtId="1" fontId="71" fillId="0" borderId="23" xfId="0" applyNumberFormat="1" applyFont="1" applyFill="1" applyBorder="1" applyAlignment="1">
      <alignment vertical="top" wrapText="1"/>
    </xf>
    <xf numFmtId="2" fontId="70" fillId="0" borderId="23" xfId="0" applyNumberFormat="1" applyFont="1" applyFill="1" applyBorder="1" applyAlignment="1">
      <alignment vertical="top" wrapText="1"/>
    </xf>
    <xf numFmtId="0" fontId="71" fillId="0" borderId="23" xfId="0" applyFont="1" applyFill="1" applyBorder="1" applyAlignment="1">
      <alignment horizontal="center" vertical="top"/>
    </xf>
    <xf numFmtId="173" fontId="70" fillId="0" borderId="23" xfId="0" applyNumberFormat="1" applyFont="1" applyFill="1" applyBorder="1" applyAlignment="1">
      <alignment horizontal="center" vertical="top"/>
    </xf>
    <xf numFmtId="1" fontId="70" fillId="0" borderId="23" xfId="0" applyNumberFormat="1" applyFont="1" applyFill="1" applyBorder="1" applyAlignment="1">
      <alignment vertical="top" wrapText="1"/>
    </xf>
    <xf numFmtId="0" fontId="71" fillId="0" borderId="23" xfId="0" applyFont="1" applyFill="1" applyBorder="1" applyAlignment="1">
      <alignment horizontal="center"/>
    </xf>
    <xf numFmtId="0" fontId="67" fillId="0" borderId="23" xfId="0" applyFont="1" applyFill="1" applyBorder="1" applyAlignment="1">
      <alignment horizontal="center" vertical="center"/>
    </xf>
    <xf numFmtId="0" fontId="67" fillId="0" borderId="0" xfId="0" applyFont="1" applyFill="1" applyAlignment="1">
      <alignment vertical="center"/>
    </xf>
    <xf numFmtId="2" fontId="66" fillId="0" borderId="23" xfId="0" applyNumberFormat="1" applyFont="1" applyFill="1" applyBorder="1" applyAlignment="1">
      <alignment horizontal="justify" vertical="top" wrapText="1"/>
    </xf>
    <xf numFmtId="1" fontId="67" fillId="0" borderId="23" xfId="0" applyNumberFormat="1" applyFont="1" applyFill="1" applyBorder="1" applyAlignment="1">
      <alignment horizontal="center" vertical="top"/>
    </xf>
    <xf numFmtId="0" fontId="66" fillId="0" borderId="23" xfId="0" applyFont="1" applyFill="1" applyBorder="1" applyAlignment="1">
      <alignment horizontal="center" vertical="center" wrapText="1"/>
    </xf>
    <xf numFmtId="2" fontId="66" fillId="0" borderId="23" xfId="0" applyNumberFormat="1" applyFont="1" applyFill="1" applyBorder="1" applyAlignment="1">
      <alignment horizontal="left" vertical="top"/>
    </xf>
    <xf numFmtId="1" fontId="67" fillId="0" borderId="23" xfId="0" applyNumberFormat="1" applyFont="1" applyFill="1" applyBorder="1" applyAlignment="1">
      <alignment horizontal="center" vertical="center" wrapText="1"/>
    </xf>
    <xf numFmtId="0" fontId="67" fillId="0" borderId="23" xfId="0" applyFont="1" applyFill="1" applyBorder="1" applyAlignment="1">
      <alignment horizontal="justify" vertical="center" wrapText="1"/>
    </xf>
    <xf numFmtId="2" fontId="66" fillId="0" borderId="23" xfId="0" applyNumberFormat="1" applyFont="1" applyFill="1" applyBorder="1" applyAlignment="1">
      <alignment horizontal="justify" vertical="center" wrapText="1"/>
    </xf>
    <xf numFmtId="1" fontId="66" fillId="0" borderId="23" xfId="0" applyNumberFormat="1" applyFont="1" applyFill="1" applyBorder="1" applyAlignment="1">
      <alignment horizontal="right" vertical="center" wrapText="1"/>
    </xf>
    <xf numFmtId="0" fontId="66" fillId="0" borderId="23" xfId="0" applyFont="1" applyFill="1" applyBorder="1" applyAlignment="1">
      <alignment horizontal="left" vertical="center" wrapText="1"/>
    </xf>
    <xf numFmtId="1" fontId="66" fillId="0" borderId="23" xfId="0" applyNumberFormat="1" applyFont="1" applyFill="1" applyBorder="1" applyAlignment="1">
      <alignment horizontal="center" vertical="center" wrapText="1"/>
    </xf>
    <xf numFmtId="2" fontId="66" fillId="0" borderId="23" xfId="0" applyNumberFormat="1" applyFont="1" applyFill="1" applyBorder="1" applyAlignment="1">
      <alignment horizontal="right" vertical="center"/>
    </xf>
    <xf numFmtId="2" fontId="66" fillId="0" borderId="23" xfId="0" applyNumberFormat="1" applyFont="1" applyFill="1" applyBorder="1" applyAlignment="1">
      <alignment vertical="center"/>
    </xf>
    <xf numFmtId="0" fontId="67" fillId="0" borderId="0" xfId="0" applyFont="1" applyFill="1" applyBorder="1" applyAlignment="1">
      <alignment vertical="top"/>
    </xf>
    <xf numFmtId="2" fontId="66" fillId="0" borderId="23" xfId="0" applyNumberFormat="1" applyFont="1" applyFill="1" applyBorder="1" applyAlignment="1">
      <alignment horizontal="right" vertical="center" wrapText="1"/>
    </xf>
    <xf numFmtId="4" fontId="66" fillId="0" borderId="23" xfId="0" applyNumberFormat="1" applyFont="1" applyFill="1" applyBorder="1" applyAlignment="1">
      <alignment horizontal="left" vertical="center" wrapText="1"/>
    </xf>
    <xf numFmtId="2" fontId="67" fillId="0" borderId="23" xfId="0" applyNumberFormat="1" applyFont="1" applyFill="1" applyBorder="1" applyAlignment="1">
      <alignment horizontal="right" vertical="center"/>
    </xf>
    <xf numFmtId="2" fontId="68" fillId="0" borderId="23" xfId="0" applyNumberFormat="1" applyFont="1" applyFill="1" applyBorder="1" applyAlignment="1">
      <alignment horizontal="center" vertical="center"/>
    </xf>
    <xf numFmtId="1" fontId="66" fillId="0" borderId="23" xfId="0" applyNumberFormat="1" applyFont="1" applyFill="1" applyBorder="1" applyAlignment="1">
      <alignment horizontal="right" vertical="top" wrapText="1"/>
    </xf>
    <xf numFmtId="0" fontId="66" fillId="0" borderId="23" xfId="0" applyFont="1" applyFill="1" applyBorder="1" applyAlignment="1">
      <alignment horizontal="right" vertical="center"/>
    </xf>
    <xf numFmtId="0" fontId="67" fillId="0" borderId="23" xfId="0" applyNumberFormat="1" applyFont="1" applyFill="1" applyBorder="1" applyAlignment="1">
      <alignment horizontal="right" vertical="top" wrapText="1"/>
    </xf>
    <xf numFmtId="0" fontId="67" fillId="0" borderId="23" xfId="0" applyNumberFormat="1" applyFont="1" applyFill="1" applyBorder="1" applyAlignment="1">
      <alignment horizontal="center" vertical="top" wrapText="1"/>
    </xf>
    <xf numFmtId="2" fontId="67" fillId="0" borderId="23" xfId="0" applyNumberFormat="1" applyFont="1" applyFill="1" applyBorder="1" applyAlignment="1">
      <alignment horizontal="center" vertical="center" wrapText="1"/>
    </xf>
    <xf numFmtId="0" fontId="68" fillId="0" borderId="23" xfId="0" applyFont="1" applyFill="1" applyBorder="1" applyAlignment="1">
      <alignment horizontal="left" vertical="center" wrapText="1"/>
    </xf>
    <xf numFmtId="1" fontId="67" fillId="0" borderId="23" xfId="0" applyNumberFormat="1" applyFont="1" applyFill="1" applyBorder="1" applyAlignment="1">
      <alignment horizontal="right" vertical="top"/>
    </xf>
    <xf numFmtId="2" fontId="66" fillId="0" borderId="23" xfId="0" applyNumberFormat="1" applyFont="1" applyFill="1" applyBorder="1" applyAlignment="1">
      <alignment horizontal="center" vertical="center"/>
    </xf>
    <xf numFmtId="9" fontId="67" fillId="0" borderId="23" xfId="0" applyNumberFormat="1" applyFont="1" applyFill="1" applyBorder="1" applyAlignment="1">
      <alignment vertical="top"/>
    </xf>
    <xf numFmtId="10" fontId="67" fillId="0" borderId="23" xfId="0" applyNumberFormat="1" applyFont="1" applyFill="1" applyBorder="1" applyAlignment="1">
      <alignment vertical="top"/>
    </xf>
    <xf numFmtId="179" fontId="66" fillId="0" borderId="23" xfId="0" applyNumberFormat="1" applyFont="1" applyFill="1" applyBorder="1" applyAlignment="1">
      <alignment vertical="top"/>
    </xf>
    <xf numFmtId="0" fontId="67" fillId="0" borderId="23" xfId="0" applyFont="1" applyFill="1" applyBorder="1" applyAlignment="1">
      <alignment horizontal="right"/>
    </xf>
    <xf numFmtId="2" fontId="68" fillId="0" borderId="23" xfId="0" applyNumberFormat="1" applyFont="1" applyFill="1" applyBorder="1" applyAlignment="1">
      <alignment horizontal="right" vertical="center"/>
    </xf>
    <xf numFmtId="2" fontId="67" fillId="0" borderId="23" xfId="0" applyNumberFormat="1" applyFont="1" applyFill="1" applyBorder="1" applyAlignment="1">
      <alignment horizontal="right" vertical="center" wrapText="1"/>
    </xf>
    <xf numFmtId="2" fontId="67" fillId="0" borderId="23" xfId="0" applyNumberFormat="1" applyFont="1" applyFill="1" applyBorder="1" applyAlignment="1">
      <alignment vertical="center"/>
    </xf>
    <xf numFmtId="4" fontId="67" fillId="0" borderId="23" xfId="0" applyNumberFormat="1" applyFont="1" applyFill="1" applyBorder="1" applyAlignment="1">
      <alignment horizontal="left" vertical="center" wrapText="1"/>
    </xf>
    <xf numFmtId="1" fontId="67" fillId="0" borderId="23" xfId="0" applyNumberFormat="1" applyFont="1" applyFill="1" applyBorder="1" applyAlignment="1">
      <alignment horizontal="right" vertical="center" wrapText="1"/>
    </xf>
    <xf numFmtId="0" fontId="67" fillId="0" borderId="23" xfId="0" applyNumberFormat="1" applyFont="1" applyFill="1" applyBorder="1" applyAlignment="1">
      <alignment horizontal="justify" vertical="center" wrapText="1"/>
    </xf>
    <xf numFmtId="2" fontId="67" fillId="0" borderId="23" xfId="0" applyNumberFormat="1" applyFont="1" applyFill="1" applyBorder="1" applyAlignment="1">
      <alignment horizontal="center" vertical="center"/>
    </xf>
    <xf numFmtId="1" fontId="67" fillId="0" borderId="23" xfId="0" applyNumberFormat="1" applyFont="1" applyFill="1" applyBorder="1" applyAlignment="1">
      <alignment vertical="top" wrapText="1"/>
    </xf>
    <xf numFmtId="2" fontId="67" fillId="0" borderId="23" xfId="0" applyNumberFormat="1" applyFont="1" applyFill="1" applyBorder="1" applyAlignment="1">
      <alignment vertical="top" wrapText="1"/>
    </xf>
    <xf numFmtId="0" fontId="66" fillId="0" borderId="23" xfId="0" applyFont="1" applyFill="1" applyBorder="1" applyAlignment="1">
      <alignment horizontal="right" vertical="top"/>
    </xf>
    <xf numFmtId="0" fontId="67" fillId="0" borderId="23" xfId="0" applyFont="1" applyFill="1" applyBorder="1" applyAlignment="1">
      <alignment horizontal="justify" vertical="top"/>
    </xf>
    <xf numFmtId="0" fontId="66" fillId="0" borderId="23" xfId="0" applyFont="1" applyFill="1" applyBorder="1"/>
    <xf numFmtId="1" fontId="67" fillId="0" borderId="23" xfId="0" applyNumberFormat="1" applyFont="1" applyFill="1" applyBorder="1" applyAlignment="1">
      <alignment horizontal="justify" vertical="top" wrapText="1"/>
    </xf>
    <xf numFmtId="2" fontId="67" fillId="0" borderId="23" xfId="0" applyNumberFormat="1" applyFont="1" applyFill="1" applyBorder="1" applyAlignment="1">
      <alignment horizontal="left" vertical="top"/>
    </xf>
    <xf numFmtId="0" fontId="74" fillId="0" borderId="23" xfId="0" applyFont="1" applyFill="1" applyBorder="1" applyAlignment="1">
      <alignment horizontal="center" vertical="top" wrapText="1"/>
    </xf>
    <xf numFmtId="0" fontId="55" fillId="0" borderId="0" xfId="0" applyFont="1" applyFill="1"/>
    <xf numFmtId="1" fontId="74" fillId="0" borderId="23" xfId="0" applyNumberFormat="1" applyFont="1" applyFill="1" applyBorder="1" applyAlignment="1">
      <alignment horizontal="center" vertical="top"/>
    </xf>
    <xf numFmtId="0" fontId="55" fillId="0" borderId="23" xfId="0" applyNumberFormat="1" applyFont="1" applyFill="1" applyBorder="1" applyAlignment="1">
      <alignment horizontal="justify" vertical="top" wrapText="1"/>
    </xf>
    <xf numFmtId="0" fontId="74" fillId="0" borderId="23" xfId="0" applyFont="1" applyFill="1" applyBorder="1" applyAlignment="1">
      <alignment horizontal="center" vertical="justify"/>
    </xf>
    <xf numFmtId="0" fontId="74" fillId="0" borderId="23" xfId="0" applyFont="1" applyFill="1" applyBorder="1" applyAlignment="1">
      <alignment horizontal="center" vertical="top"/>
    </xf>
    <xf numFmtId="1" fontId="55" fillId="0" borderId="23" xfId="0" applyNumberFormat="1" applyFont="1" applyFill="1" applyBorder="1" applyAlignment="1">
      <alignment horizontal="center" vertical="top" wrapText="1"/>
    </xf>
    <xf numFmtId="0" fontId="55" fillId="0" borderId="23" xfId="0" applyFont="1" applyFill="1" applyBorder="1" applyAlignment="1">
      <alignment horizontal="left" vertical="top" wrapText="1"/>
    </xf>
    <xf numFmtId="2" fontId="55" fillId="0" borderId="23" xfId="0" applyNumberFormat="1" applyFont="1" applyFill="1" applyBorder="1" applyAlignment="1">
      <alignment horizontal="right" vertical="top"/>
    </xf>
    <xf numFmtId="2" fontId="74" fillId="0" borderId="23" xfId="0" applyNumberFormat="1" applyFont="1" applyFill="1" applyBorder="1" applyAlignment="1">
      <alignment horizontal="center" vertical="top"/>
    </xf>
    <xf numFmtId="0" fontId="74" fillId="0" borderId="23" xfId="0" applyFont="1" applyFill="1" applyBorder="1" applyAlignment="1">
      <alignment horizontal="right" vertical="top" wrapText="1"/>
    </xf>
    <xf numFmtId="173" fontId="74" fillId="0" borderId="23" xfId="0" applyNumberFormat="1" applyFont="1" applyFill="1" applyBorder="1" applyAlignment="1">
      <alignment horizontal="center" vertical="top"/>
    </xf>
    <xf numFmtId="4" fontId="74" fillId="0" borderId="23" xfId="0" applyNumberFormat="1" applyFont="1" applyFill="1" applyBorder="1" applyAlignment="1">
      <alignment horizontal="left" vertical="top" wrapText="1"/>
    </xf>
    <xf numFmtId="1" fontId="74" fillId="0" borderId="23" xfId="0" applyNumberFormat="1" applyFont="1" applyFill="1" applyBorder="1" applyAlignment="1">
      <alignment horizontal="center" vertical="top" wrapText="1"/>
    </xf>
    <xf numFmtId="2" fontId="55" fillId="0" borderId="23" xfId="0" applyNumberFormat="1" applyFont="1" applyFill="1" applyBorder="1" applyAlignment="1">
      <alignment horizontal="right"/>
    </xf>
    <xf numFmtId="2" fontId="74" fillId="0" borderId="23" xfId="0" applyNumberFormat="1" applyFont="1" applyFill="1" applyBorder="1" applyAlignment="1">
      <alignment vertical="top"/>
    </xf>
    <xf numFmtId="0" fontId="74" fillId="0" borderId="23" xfId="0" applyFont="1" applyFill="1" applyBorder="1" applyAlignment="1">
      <alignment vertical="top"/>
    </xf>
    <xf numFmtId="2" fontId="74" fillId="0" borderId="23" xfId="0" applyNumberFormat="1" applyFont="1" applyFill="1" applyBorder="1" applyAlignment="1">
      <alignment horizontal="right" vertical="top" wrapText="1"/>
    </xf>
    <xf numFmtId="0" fontId="74" fillId="0" borderId="23" xfId="0" applyFont="1" applyFill="1" applyBorder="1" applyAlignment="1">
      <alignment horizontal="right"/>
    </xf>
    <xf numFmtId="2" fontId="75" fillId="0" borderId="23" xfId="0" applyNumberFormat="1" applyFont="1" applyFill="1" applyBorder="1" applyAlignment="1">
      <alignment horizontal="center" vertical="top"/>
    </xf>
    <xf numFmtId="0" fontId="74" fillId="0" borderId="23" xfId="0" applyFont="1" applyFill="1" applyBorder="1" applyAlignment="1">
      <alignment vertical="top" wrapText="1"/>
    </xf>
    <xf numFmtId="0" fontId="55" fillId="0" borderId="23" xfId="0" applyFont="1" applyFill="1" applyBorder="1" applyAlignment="1">
      <alignment horizontal="center"/>
    </xf>
    <xf numFmtId="0" fontId="55" fillId="0" borderId="23" xfId="0" applyFont="1" applyFill="1" applyBorder="1"/>
    <xf numFmtId="0" fontId="55" fillId="0" borderId="23" xfId="0" applyFont="1" applyFill="1" applyBorder="1" applyAlignment="1">
      <alignment horizontal="center" vertical="top"/>
    </xf>
    <xf numFmtId="0" fontId="55" fillId="0" borderId="0" xfId="0" applyFont="1" applyFill="1" applyBorder="1"/>
    <xf numFmtId="0" fontId="67" fillId="0" borderId="23" xfId="0" applyFont="1" applyFill="1" applyBorder="1" applyAlignment="1">
      <alignment horizontal="left" vertical="top"/>
    </xf>
    <xf numFmtId="0" fontId="66" fillId="0" borderId="23" xfId="0" applyFont="1" applyFill="1" applyBorder="1" applyAlignment="1">
      <alignment horizontal="center" vertical="justify"/>
    </xf>
    <xf numFmtId="9" fontId="66" fillId="0" borderId="23" xfId="0" applyNumberFormat="1" applyFont="1" applyFill="1" applyBorder="1" applyAlignment="1">
      <alignment horizontal="center" vertical="justify"/>
    </xf>
    <xf numFmtId="0" fontId="67" fillId="0" borderId="23" xfId="0" applyFont="1" applyFill="1" applyBorder="1" applyAlignment="1">
      <alignment horizontal="right" vertical="center" wrapText="1"/>
    </xf>
    <xf numFmtId="0" fontId="67" fillId="0" borderId="23" xfId="0" applyFont="1" applyFill="1" applyBorder="1" applyAlignment="1">
      <alignment horizontal="center" vertical="justify"/>
    </xf>
    <xf numFmtId="0" fontId="73" fillId="0" borderId="23" xfId="0" applyFont="1" applyFill="1" applyBorder="1" applyAlignment="1">
      <alignment vertical="top"/>
    </xf>
    <xf numFmtId="0" fontId="56" fillId="0" borderId="23" xfId="0" applyFont="1" applyFill="1" applyBorder="1" applyAlignment="1">
      <alignment horizontal="center"/>
    </xf>
    <xf numFmtId="0" fontId="73" fillId="0" borderId="23" xfId="0" applyFont="1" applyFill="1" applyBorder="1"/>
    <xf numFmtId="2" fontId="56" fillId="0" borderId="23" xfId="0" applyNumberFormat="1" applyFont="1" applyFill="1" applyBorder="1" applyAlignment="1">
      <alignment horizontal="right"/>
    </xf>
    <xf numFmtId="0" fontId="56" fillId="0" borderId="0" xfId="0" applyFont="1" applyFill="1"/>
    <xf numFmtId="1" fontId="73" fillId="0" borderId="23" xfId="0" applyNumberFormat="1" applyFont="1" applyFill="1" applyBorder="1" applyAlignment="1">
      <alignment horizontal="center" vertical="top"/>
    </xf>
    <xf numFmtId="0" fontId="73" fillId="0" borderId="23" xfId="0" applyFont="1" applyFill="1" applyBorder="1" applyAlignment="1">
      <alignment horizontal="center" vertical="top" wrapText="1"/>
    </xf>
    <xf numFmtId="0" fontId="56" fillId="0" borderId="23" xfId="0" applyFont="1" applyFill="1" applyBorder="1" applyAlignment="1">
      <alignment horizontal="justify" vertical="top" wrapText="1"/>
    </xf>
    <xf numFmtId="2" fontId="56" fillId="0" borderId="23" xfId="0" applyNumberFormat="1" applyFont="1" applyFill="1" applyBorder="1" applyAlignment="1">
      <alignment horizontal="right" vertical="top" wrapText="1"/>
    </xf>
    <xf numFmtId="0" fontId="56" fillId="0" borderId="23" xfId="0" applyFont="1" applyFill="1" applyBorder="1" applyAlignment="1">
      <alignment horizontal="left" vertical="top" wrapText="1"/>
    </xf>
    <xf numFmtId="1" fontId="56" fillId="0" borderId="23" xfId="0" applyNumberFormat="1" applyFont="1" applyFill="1" applyBorder="1" applyAlignment="1">
      <alignment horizontal="center" vertical="top" wrapText="1"/>
    </xf>
    <xf numFmtId="2" fontId="56" fillId="0" borderId="23" xfId="0" applyNumberFormat="1" applyFont="1" applyFill="1" applyBorder="1" applyAlignment="1">
      <alignment horizontal="right" vertical="top"/>
    </xf>
    <xf numFmtId="2" fontId="56" fillId="0" borderId="23" xfId="0" applyNumberFormat="1" applyFont="1" applyFill="1" applyBorder="1" applyAlignment="1">
      <alignment vertical="top"/>
    </xf>
    <xf numFmtId="4" fontId="56" fillId="0" borderId="23" xfId="0" applyNumberFormat="1" applyFont="1" applyFill="1" applyBorder="1" applyAlignment="1">
      <alignment horizontal="left" vertical="top" wrapText="1"/>
    </xf>
    <xf numFmtId="2" fontId="73" fillId="0" borderId="23" xfId="0" applyNumberFormat="1" applyFont="1" applyFill="1" applyBorder="1" applyAlignment="1">
      <alignment vertical="top"/>
    </xf>
    <xf numFmtId="0" fontId="56" fillId="0" borderId="23" xfId="0" applyNumberFormat="1" applyFont="1" applyFill="1" applyBorder="1" applyAlignment="1">
      <alignment horizontal="justify" vertical="top" wrapText="1"/>
    </xf>
    <xf numFmtId="1" fontId="73" fillId="0" borderId="23" xfId="0" applyNumberFormat="1" applyFont="1" applyFill="1" applyBorder="1" applyAlignment="1">
      <alignment horizontal="center" vertical="top" wrapText="1"/>
    </xf>
    <xf numFmtId="1" fontId="56" fillId="0" borderId="23" xfId="0" applyNumberFormat="1" applyFont="1" applyFill="1" applyBorder="1" applyAlignment="1">
      <alignment horizontal="right" vertical="top" wrapText="1"/>
    </xf>
    <xf numFmtId="2" fontId="73" fillId="0" borderId="23" xfId="0" applyNumberFormat="1" applyFont="1" applyFill="1" applyBorder="1" applyAlignment="1">
      <alignment horizontal="right" vertical="top" wrapText="1"/>
    </xf>
    <xf numFmtId="0" fontId="73" fillId="0" borderId="23" xfId="0" applyFont="1" applyFill="1" applyBorder="1" applyAlignment="1">
      <alignment horizontal="justify" vertical="top" wrapText="1"/>
    </xf>
    <xf numFmtId="2" fontId="73" fillId="0" borderId="23" xfId="0" applyNumberFormat="1" applyFont="1" applyFill="1" applyBorder="1" applyAlignment="1">
      <alignment horizontal="center" vertical="top" wrapText="1"/>
    </xf>
    <xf numFmtId="0" fontId="73" fillId="0" borderId="23" xfId="0" applyFont="1" applyFill="1" applyBorder="1" applyAlignment="1">
      <alignment horizontal="left" vertical="top" wrapText="1"/>
    </xf>
    <xf numFmtId="2" fontId="73" fillId="0" borderId="23" xfId="0" applyNumberFormat="1" applyFont="1" applyFill="1" applyBorder="1" applyAlignment="1">
      <alignment horizontal="center" vertical="top"/>
    </xf>
    <xf numFmtId="0" fontId="73" fillId="0" borderId="23" xfId="0" applyFont="1" applyFill="1" applyBorder="1" applyAlignment="1">
      <alignment horizontal="right" vertical="top" wrapText="1"/>
    </xf>
    <xf numFmtId="173" fontId="73" fillId="0" borderId="23" xfId="0" applyNumberFormat="1" applyFont="1" applyFill="1" applyBorder="1" applyAlignment="1">
      <alignment horizontal="center" vertical="top"/>
    </xf>
    <xf numFmtId="4" fontId="73" fillId="0" borderId="23" xfId="0" applyNumberFormat="1" applyFont="1" applyFill="1" applyBorder="1" applyAlignment="1">
      <alignment horizontal="left" vertical="top" wrapText="1"/>
    </xf>
    <xf numFmtId="2" fontId="73" fillId="0" borderId="23" xfId="0" applyNumberFormat="1" applyFont="1" applyFill="1" applyBorder="1" applyAlignment="1">
      <alignment horizontal="right" vertical="top"/>
    </xf>
    <xf numFmtId="2" fontId="76" fillId="0" borderId="23" xfId="0" applyNumberFormat="1" applyFont="1" applyFill="1" applyBorder="1" applyAlignment="1">
      <alignment horizontal="center" vertical="top"/>
    </xf>
    <xf numFmtId="4" fontId="67" fillId="0" borderId="23" xfId="0" applyNumberFormat="1" applyFont="1" applyFill="1" applyBorder="1" applyAlignment="1">
      <alignment horizontal="center" vertical="center" wrapText="1"/>
    </xf>
    <xf numFmtId="0" fontId="67" fillId="0" borderId="23" xfId="0" applyFont="1" applyFill="1" applyBorder="1" applyAlignment="1">
      <alignment horizontal="right" vertical="top"/>
    </xf>
    <xf numFmtId="0" fontId="68" fillId="0" borderId="23" xfId="0" applyFont="1" applyFill="1" applyBorder="1" applyAlignment="1">
      <alignment horizontal="center" vertical="center" wrapText="1"/>
    </xf>
    <xf numFmtId="180" fontId="66" fillId="0" borderId="23" xfId="0" applyNumberFormat="1" applyFont="1" applyFill="1" applyBorder="1" applyAlignment="1">
      <alignment horizontal="center" vertical="top" wrapText="1"/>
    </xf>
    <xf numFmtId="180" fontId="67" fillId="0" borderId="23" xfId="0" applyNumberFormat="1" applyFont="1" applyFill="1" applyBorder="1" applyAlignment="1">
      <alignment horizontal="center" vertical="center"/>
    </xf>
    <xf numFmtId="187" fontId="67" fillId="0" borderId="23" xfId="0" applyNumberFormat="1" applyFont="1" applyFill="1" applyBorder="1" applyAlignment="1">
      <alignment horizontal="center" vertical="center" wrapText="1"/>
    </xf>
    <xf numFmtId="187" fontId="67" fillId="0" borderId="23" xfId="0" applyNumberFormat="1" applyFont="1" applyFill="1" applyBorder="1" applyAlignment="1">
      <alignment horizontal="center" vertical="top" wrapText="1"/>
    </xf>
    <xf numFmtId="0" fontId="55" fillId="0" borderId="23" xfId="15675" applyFont="1" applyFill="1" applyBorder="1" applyAlignment="1">
      <alignment horizontal="center"/>
    </xf>
    <xf numFmtId="0" fontId="74" fillId="0" borderId="23" xfId="15675" applyFont="1" applyFill="1" applyBorder="1" applyAlignment="1">
      <alignment vertical="top" wrapText="1"/>
    </xf>
    <xf numFmtId="0" fontId="55" fillId="0" borderId="0" xfId="15675" applyFont="1" applyFill="1" applyBorder="1" applyAlignment="1">
      <alignment horizontal="left"/>
    </xf>
    <xf numFmtId="0" fontId="55" fillId="0" borderId="0" xfId="15675" applyFont="1" applyFill="1" applyBorder="1"/>
    <xf numFmtId="0" fontId="74" fillId="0" borderId="23" xfId="15675" applyFont="1" applyFill="1" applyBorder="1" applyAlignment="1">
      <alignment horizontal="center" vertical="top"/>
    </xf>
    <xf numFmtId="0" fontId="55" fillId="0" borderId="23" xfId="15675" applyFill="1" applyBorder="1" applyAlignment="1">
      <alignment horizontal="center" wrapText="1"/>
    </xf>
    <xf numFmtId="0" fontId="55" fillId="0" borderId="23" xfId="15675" applyFont="1" applyFill="1" applyBorder="1" applyAlignment="1">
      <alignment horizontal="justify" vertical="center" wrapText="1"/>
    </xf>
    <xf numFmtId="2" fontId="55" fillId="0" borderId="23" xfId="15675" applyNumberFormat="1" applyFont="1" applyFill="1" applyBorder="1" applyAlignment="1">
      <alignment horizontal="center" vertical="center" shrinkToFit="1"/>
    </xf>
    <xf numFmtId="0" fontId="55" fillId="0" borderId="23" xfId="15675" applyFont="1" applyFill="1" applyBorder="1" applyAlignment="1">
      <alignment horizontal="center" vertical="center" shrinkToFit="1"/>
    </xf>
    <xf numFmtId="0" fontId="55" fillId="0" borderId="23" xfId="15675" applyFont="1" applyFill="1" applyBorder="1"/>
    <xf numFmtId="188" fontId="55" fillId="0" borderId="23" xfId="15675" applyNumberFormat="1" applyFont="1" applyFill="1" applyBorder="1" applyAlignment="1">
      <alignment horizontal="center" vertical="center" shrinkToFit="1"/>
    </xf>
    <xf numFmtId="2" fontId="67" fillId="0" borderId="23" xfId="15675" applyNumberFormat="1" applyFont="1" applyBorder="1" applyAlignment="1">
      <alignment vertical="center"/>
    </xf>
    <xf numFmtId="0" fontId="66" fillId="0" borderId="23" xfId="15675" applyFont="1" applyBorder="1" applyAlignment="1">
      <alignment horizontal="center" vertical="top"/>
    </xf>
    <xf numFmtId="0" fontId="67" fillId="0" borderId="23" xfId="15675" applyFont="1" applyBorder="1" applyAlignment="1">
      <alignment horizontal="center" vertical="center" wrapText="1"/>
    </xf>
    <xf numFmtId="0" fontId="67" fillId="0" borderId="23" xfId="15675" applyFont="1" applyBorder="1" applyAlignment="1">
      <alignment horizontal="left" vertical="center"/>
    </xf>
    <xf numFmtId="2" fontId="67" fillId="0" borderId="23" xfId="15675" applyNumberFormat="1" applyFont="1" applyBorder="1" applyAlignment="1">
      <alignment horizontal="right" vertical="center" wrapText="1"/>
    </xf>
    <xf numFmtId="0" fontId="67" fillId="0" borderId="23" xfId="15675" applyFont="1" applyBorder="1" applyAlignment="1">
      <alignment horizontal="left" vertical="center" wrapText="1"/>
    </xf>
    <xf numFmtId="0" fontId="55" fillId="0" borderId="23" xfId="15675" applyBorder="1" applyAlignment="1">
      <alignment vertical="center"/>
    </xf>
    <xf numFmtId="2" fontId="67" fillId="0" borderId="23" xfId="15675" applyNumberFormat="1" applyFont="1" applyBorder="1" applyAlignment="1">
      <alignment horizontal="center" vertical="center"/>
    </xf>
    <xf numFmtId="0" fontId="55" fillId="0" borderId="0" xfId="15675" applyAlignment="1">
      <alignment vertical="center"/>
    </xf>
    <xf numFmtId="0" fontId="67" fillId="0" borderId="23" xfId="15675" applyFont="1" applyFill="1" applyBorder="1" applyAlignment="1">
      <alignment horizontal="left" vertical="center" wrapText="1"/>
    </xf>
    <xf numFmtId="175" fontId="67" fillId="0" borderId="23" xfId="15675" applyNumberFormat="1" applyFont="1" applyBorder="1" applyAlignment="1">
      <alignment horizontal="right" vertical="center" wrapText="1"/>
    </xf>
    <xf numFmtId="4" fontId="67" fillId="0" borderId="23" xfId="15675" applyNumberFormat="1" applyFont="1" applyBorder="1" applyAlignment="1">
      <alignment horizontal="left" vertical="center" wrapText="1"/>
    </xf>
    <xf numFmtId="0" fontId="77" fillId="0" borderId="23" xfId="15675" applyFont="1" applyBorder="1" applyAlignment="1">
      <alignment horizontal="center" vertical="center" wrapText="1"/>
    </xf>
    <xf numFmtId="4" fontId="77" fillId="0" borderId="23" xfId="15675" applyNumberFormat="1" applyFont="1" applyBorder="1" applyAlignment="1">
      <alignment horizontal="left" vertical="center" wrapText="1"/>
    </xf>
    <xf numFmtId="2" fontId="77" fillId="0" borderId="23" xfId="15675" applyNumberFormat="1" applyFont="1" applyBorder="1" applyAlignment="1">
      <alignment horizontal="center" vertical="center"/>
    </xf>
    <xf numFmtId="0" fontId="74" fillId="0" borderId="23" xfId="15675" applyFont="1" applyFill="1" applyBorder="1"/>
    <xf numFmtId="2" fontId="67" fillId="0" borderId="23" xfId="15675" applyNumberFormat="1" applyFont="1" applyBorder="1" applyAlignment="1">
      <alignment horizontal="right" vertical="top" wrapText="1"/>
    </xf>
    <xf numFmtId="4" fontId="67" fillId="0" borderId="23" xfId="15675" applyNumberFormat="1" applyFont="1" applyBorder="1" applyAlignment="1">
      <alignment horizontal="left" vertical="top" wrapText="1"/>
    </xf>
    <xf numFmtId="0" fontId="55" fillId="0" borderId="23" xfId="15675" applyBorder="1"/>
    <xf numFmtId="2" fontId="67" fillId="0" borderId="23" xfId="15675" applyNumberFormat="1" applyFont="1" applyBorder="1" applyAlignment="1">
      <alignment horizontal="center" vertical="top"/>
    </xf>
    <xf numFmtId="2" fontId="66" fillId="0" borderId="23" xfId="15675" applyNumberFormat="1" applyFont="1" applyBorder="1" applyAlignment="1">
      <alignment vertical="top"/>
    </xf>
    <xf numFmtId="0" fontId="55" fillId="0" borderId="0" xfId="15675"/>
    <xf numFmtId="0" fontId="78" fillId="0" borderId="23" xfId="15675" applyFont="1" applyBorder="1" applyAlignment="1">
      <alignment horizontal="center" vertical="top" wrapText="1"/>
    </xf>
    <xf numFmtId="0" fontId="78" fillId="0" borderId="23" xfId="15675" applyFont="1" applyBorder="1" applyAlignment="1">
      <alignment horizontal="right" vertical="top" wrapText="1"/>
    </xf>
    <xf numFmtId="173" fontId="79" fillId="0" borderId="23" xfId="16461" applyNumberFormat="1" applyFont="1" applyBorder="1"/>
    <xf numFmtId="4" fontId="78" fillId="0" borderId="23" xfId="15675" applyNumberFormat="1" applyFont="1" applyBorder="1" applyAlignment="1">
      <alignment horizontal="left" vertical="top" wrapText="1"/>
    </xf>
    <xf numFmtId="0" fontId="67" fillId="0" borderId="23" xfId="15675" applyFont="1" applyBorder="1"/>
    <xf numFmtId="0" fontId="67" fillId="0" borderId="23" xfId="15675" applyFont="1" applyBorder="1" applyAlignment="1">
      <alignment horizontal="center"/>
    </xf>
    <xf numFmtId="2" fontId="78" fillId="0" borderId="23" xfId="15675" applyNumberFormat="1" applyFont="1" applyBorder="1" applyAlignment="1">
      <alignment vertical="top"/>
    </xf>
    <xf numFmtId="0" fontId="67" fillId="0" borderId="0" xfId="15675" applyFont="1"/>
    <xf numFmtId="0" fontId="78" fillId="0" borderId="23" xfId="15675" applyFont="1" applyBorder="1" applyAlignment="1">
      <alignment vertical="top"/>
    </xf>
    <xf numFmtId="2" fontId="78" fillId="0" borderId="23" xfId="15675" applyNumberFormat="1" applyFont="1" applyBorder="1" applyAlignment="1">
      <alignment horizontal="right" vertical="top" wrapText="1"/>
    </xf>
    <xf numFmtId="0" fontId="78" fillId="0" borderId="23" xfId="15675" applyFont="1" applyBorder="1" applyAlignment="1">
      <alignment horizontal="center" vertical="center" wrapText="1"/>
    </xf>
    <xf numFmtId="0" fontId="66" fillId="0" borderId="23" xfId="15675" applyFont="1" applyBorder="1" applyAlignment="1">
      <alignment horizontal="right" vertical="center"/>
    </xf>
    <xf numFmtId="2" fontId="78" fillId="0" borderId="23" xfId="15675" applyNumberFormat="1" applyFont="1" applyBorder="1" applyAlignment="1">
      <alignment horizontal="right" vertical="center" wrapText="1"/>
    </xf>
    <xf numFmtId="4" fontId="78" fillId="0" borderId="23" xfId="15675" applyNumberFormat="1" applyFont="1" applyBorder="1" applyAlignment="1">
      <alignment horizontal="left" vertical="center" wrapText="1"/>
    </xf>
    <xf numFmtId="0" fontId="67" fillId="0" borderId="23" xfId="15675" applyFont="1" applyBorder="1" applyAlignment="1">
      <alignment vertical="center"/>
    </xf>
    <xf numFmtId="0" fontId="67" fillId="0" borderId="23" xfId="15675" applyFont="1" applyBorder="1" applyAlignment="1">
      <alignment horizontal="center" vertical="center"/>
    </xf>
    <xf numFmtId="2" fontId="80" fillId="0" borderId="23" xfId="15675" applyNumberFormat="1" applyFont="1" applyBorder="1" applyAlignment="1">
      <alignment horizontal="center" vertical="center"/>
    </xf>
    <xf numFmtId="0" fontId="67" fillId="0" borderId="0" xfId="15675" applyFont="1" applyAlignment="1">
      <alignment vertical="center"/>
    </xf>
    <xf numFmtId="0" fontId="81" fillId="34" borderId="23" xfId="15675" applyFont="1" applyFill="1" applyBorder="1" applyAlignment="1">
      <alignment vertical="top" wrapText="1"/>
    </xf>
    <xf numFmtId="0" fontId="82" fillId="34" borderId="23" xfId="15675" applyFont="1" applyFill="1" applyBorder="1" applyAlignment="1">
      <alignment vertical="top" wrapText="1"/>
    </xf>
    <xf numFmtId="0" fontId="81" fillId="34" borderId="23" xfId="15675" applyFont="1" applyFill="1" applyBorder="1" applyAlignment="1">
      <alignment horizontal="center" vertical="center" wrapText="1"/>
    </xf>
    <xf numFmtId="0" fontId="81" fillId="34" borderId="23" xfId="15675" applyFont="1" applyFill="1" applyBorder="1" applyAlignment="1">
      <alignment vertical="center" wrapText="1"/>
    </xf>
    <xf numFmtId="187" fontId="82" fillId="34" borderId="23" xfId="15675" applyNumberFormat="1" applyFont="1" applyFill="1" applyBorder="1" applyAlignment="1">
      <alignment horizontal="right" vertical="center" wrapText="1"/>
    </xf>
    <xf numFmtId="187" fontId="82" fillId="34" borderId="23" xfId="15675" applyNumberFormat="1" applyFont="1" applyFill="1" applyBorder="1" applyAlignment="1">
      <alignment vertical="center" wrapText="1"/>
    </xf>
    <xf numFmtId="0" fontId="83" fillId="34" borderId="23" xfId="15675" applyFont="1" applyFill="1" applyBorder="1" applyAlignment="1">
      <alignment vertical="top" wrapText="1"/>
    </xf>
    <xf numFmtId="180" fontId="82" fillId="34" borderId="23" xfId="15675" applyNumberFormat="1" applyFont="1" applyFill="1" applyBorder="1" applyAlignment="1">
      <alignment horizontal="center" vertical="center"/>
    </xf>
    <xf numFmtId="1" fontId="78" fillId="0" borderId="23" xfId="15675" applyNumberFormat="1" applyFont="1" applyBorder="1" applyAlignment="1">
      <alignment vertical="center" wrapText="1"/>
    </xf>
    <xf numFmtId="1" fontId="66" fillId="26" borderId="23" xfId="0" applyNumberFormat="1" applyFont="1" applyFill="1" applyBorder="1" applyAlignment="1">
      <alignment horizontal="center" vertical="top"/>
    </xf>
    <xf numFmtId="0" fontId="81" fillId="26" borderId="23" xfId="15675" applyFont="1" applyFill="1" applyBorder="1" applyAlignment="1">
      <alignment vertical="top" wrapText="1"/>
    </xf>
    <xf numFmtId="0" fontId="55" fillId="26" borderId="0" xfId="15675" applyFill="1"/>
    <xf numFmtId="0" fontId="82" fillId="26" borderId="23" xfId="15675" applyFont="1" applyFill="1" applyBorder="1" applyAlignment="1">
      <alignment vertical="top" wrapText="1"/>
    </xf>
    <xf numFmtId="0" fontId="81" fillId="26" borderId="23" xfId="15675" applyFont="1" applyFill="1" applyBorder="1" applyAlignment="1">
      <alignment horizontal="center" vertical="center" wrapText="1"/>
    </xf>
    <xf numFmtId="0" fontId="81" fillId="26" borderId="23" xfId="15675" applyFont="1" applyFill="1" applyBorder="1" applyAlignment="1">
      <alignment vertical="center" wrapText="1"/>
    </xf>
    <xf numFmtId="2" fontId="55" fillId="26" borderId="23" xfId="15675" applyNumberFormat="1" applyFont="1" applyFill="1" applyBorder="1" applyAlignment="1">
      <alignment horizontal="center" vertical="center" shrinkToFit="1"/>
    </xf>
    <xf numFmtId="0" fontId="55" fillId="26" borderId="23" xfId="15675" applyFont="1" applyFill="1" applyBorder="1" applyAlignment="1">
      <alignment horizontal="center" vertical="center" shrinkToFit="1"/>
    </xf>
    <xf numFmtId="0" fontId="55" fillId="26" borderId="23" xfId="15675" applyFill="1" applyBorder="1" applyAlignment="1">
      <alignment vertical="center"/>
    </xf>
    <xf numFmtId="188" fontId="55" fillId="26" borderId="23" xfId="15675" applyNumberFormat="1" applyFont="1" applyFill="1" applyBorder="1" applyAlignment="1">
      <alignment horizontal="center" vertical="center" shrinkToFit="1"/>
    </xf>
    <xf numFmtId="0" fontId="55" fillId="26" borderId="0" xfId="15675" applyFill="1" applyAlignment="1">
      <alignment vertical="center"/>
    </xf>
    <xf numFmtId="187" fontId="82" fillId="26" borderId="23" xfId="15675" applyNumberFormat="1" applyFont="1" applyFill="1" applyBorder="1" applyAlignment="1">
      <alignment horizontal="right" vertical="center" wrapText="1"/>
    </xf>
    <xf numFmtId="187" fontId="82" fillId="26" borderId="23" xfId="15675" applyNumberFormat="1" applyFont="1" applyFill="1" applyBorder="1" applyAlignment="1">
      <alignment vertical="center" wrapText="1"/>
    </xf>
    <xf numFmtId="0" fontId="83" fillId="26" borderId="23" xfId="15675" applyFont="1" applyFill="1" applyBorder="1" applyAlignment="1">
      <alignment vertical="top" wrapText="1"/>
    </xf>
    <xf numFmtId="0" fontId="55" fillId="26" borderId="23" xfId="15675" applyFill="1" applyBorder="1"/>
    <xf numFmtId="180" fontId="82" fillId="26" borderId="23" xfId="15675" applyNumberFormat="1" applyFont="1" applyFill="1" applyBorder="1" applyAlignment="1">
      <alignment horizontal="center" vertical="center"/>
    </xf>
    <xf numFmtId="2" fontId="67" fillId="0" borderId="0" xfId="0" applyNumberFormat="1" applyFont="1" applyFill="1"/>
    <xf numFmtId="2" fontId="67" fillId="0" borderId="23" xfId="0" applyNumberFormat="1" applyFont="1" applyFill="1" applyBorder="1" applyAlignment="1">
      <alignment horizontal="justify" vertical="top" wrapText="1"/>
    </xf>
    <xf numFmtId="10" fontId="66" fillId="0" borderId="23" xfId="0" applyNumberFormat="1" applyFont="1" applyFill="1" applyBorder="1" applyAlignment="1">
      <alignment vertical="top"/>
    </xf>
    <xf numFmtId="1" fontId="66" fillId="0" borderId="23" xfId="0" applyNumberFormat="1" applyFont="1" applyFill="1" applyBorder="1" applyAlignment="1">
      <alignment vertical="top" wrapText="1"/>
    </xf>
    <xf numFmtId="0" fontId="67" fillId="0" borderId="23" xfId="0" applyNumberFormat="1" applyFont="1" applyFill="1" applyBorder="1" applyAlignment="1">
      <alignment horizontal="left" vertical="top" wrapText="1"/>
    </xf>
    <xf numFmtId="1" fontId="67" fillId="0" borderId="23" xfId="0" applyNumberFormat="1" applyFont="1" applyFill="1" applyBorder="1" applyAlignment="1">
      <alignment horizontal="center" vertical="center"/>
    </xf>
    <xf numFmtId="180" fontId="66" fillId="0" borderId="23" xfId="0" applyNumberFormat="1" applyFont="1" applyFill="1" applyBorder="1" applyAlignment="1">
      <alignment horizontal="center" vertical="center" wrapText="1"/>
    </xf>
    <xf numFmtId="0" fontId="66" fillId="0" borderId="23" xfId="0" applyFont="1" applyFill="1" applyBorder="1" applyAlignment="1">
      <alignment vertical="center" wrapText="1"/>
    </xf>
    <xf numFmtId="1" fontId="67" fillId="0" borderId="23" xfId="0" applyNumberFormat="1" applyFont="1" applyFill="1" applyBorder="1" applyAlignment="1">
      <alignment horizontal="left" vertical="top" wrapText="1"/>
    </xf>
    <xf numFmtId="0" fontId="66" fillId="0" borderId="23" xfId="0" applyFont="1" applyFill="1" applyBorder="1" applyAlignment="1">
      <alignment horizontal="left" vertical="top"/>
    </xf>
    <xf numFmtId="180" fontId="67" fillId="0" borderId="23" xfId="0" applyNumberFormat="1" applyFont="1" applyFill="1" applyBorder="1" applyAlignment="1">
      <alignment horizontal="center"/>
    </xf>
    <xf numFmtId="0" fontId="66" fillId="0" borderId="23" xfId="25003" applyFont="1" applyFill="1" applyBorder="1" applyAlignment="1">
      <alignment vertical="top" wrapText="1"/>
    </xf>
    <xf numFmtId="0" fontId="67" fillId="0" borderId="23" xfId="15700" applyFont="1" applyFill="1" applyBorder="1" applyAlignment="1">
      <alignment horizontal="right"/>
    </xf>
    <xf numFmtId="0" fontId="67" fillId="0" borderId="23" xfId="15700" applyFont="1" applyFill="1" applyBorder="1" applyAlignment="1">
      <alignment horizontal="center"/>
    </xf>
    <xf numFmtId="0" fontId="66" fillId="0" borderId="23" xfId="25003" applyNumberFormat="1" applyFont="1" applyFill="1" applyBorder="1" applyAlignment="1">
      <alignment horizontal="justify" vertical="top" wrapText="1"/>
    </xf>
    <xf numFmtId="0" fontId="67" fillId="0" borderId="23" xfId="25003" applyFont="1" applyFill="1" applyBorder="1" applyAlignment="1">
      <alignment horizontal="center" vertical="top" wrapText="1"/>
    </xf>
    <xf numFmtId="0" fontId="67" fillId="0" borderId="23" xfId="25003" applyFont="1" applyFill="1" applyBorder="1" applyAlignment="1">
      <alignment horizontal="right"/>
    </xf>
    <xf numFmtId="0" fontId="67" fillId="0" borderId="23" xfId="25003" applyFont="1" applyFill="1" applyBorder="1"/>
    <xf numFmtId="0" fontId="66" fillId="0" borderId="23" xfId="0" applyFont="1" applyFill="1" applyBorder="1" applyAlignment="1">
      <alignment horizontal="center"/>
    </xf>
    <xf numFmtId="0" fontId="67" fillId="0" borderId="23" xfId="25003" applyFont="1" applyFill="1" applyBorder="1" applyAlignment="1">
      <alignment horizontal="justify" vertical="center" wrapText="1"/>
    </xf>
    <xf numFmtId="0" fontId="67" fillId="0" borderId="23" xfId="25003" applyFont="1" applyFill="1" applyBorder="1" applyAlignment="1">
      <alignment horizontal="center" vertical="center" wrapText="1"/>
    </xf>
    <xf numFmtId="0" fontId="67" fillId="0" borderId="23" xfId="15700" applyFont="1" applyFill="1" applyBorder="1" applyAlignment="1">
      <alignment horizontal="center" vertical="center"/>
    </xf>
    <xf numFmtId="1" fontId="67" fillId="0" borderId="23" xfId="25003" applyNumberFormat="1" applyFont="1" applyFill="1" applyBorder="1" applyAlignment="1">
      <alignment horizontal="right" vertical="center"/>
    </xf>
    <xf numFmtId="2" fontId="67" fillId="0" borderId="23" xfId="15700" applyNumberFormat="1" applyFont="1" applyFill="1" applyBorder="1" applyAlignment="1">
      <alignment horizontal="center" vertical="center"/>
    </xf>
    <xf numFmtId="0" fontId="66" fillId="0" borderId="23" xfId="25003" applyFont="1" applyFill="1" applyBorder="1" applyAlignment="1">
      <alignment horizontal="justify" vertical="top" wrapText="1"/>
    </xf>
    <xf numFmtId="0" fontId="67" fillId="0" borderId="23" xfId="25003" applyFont="1" applyFill="1" applyBorder="1" applyAlignment="1">
      <alignment horizontal="justify" vertical="top" wrapText="1"/>
    </xf>
    <xf numFmtId="1" fontId="67" fillId="0" borderId="23" xfId="25003" applyNumberFormat="1" applyFont="1" applyFill="1" applyBorder="1" applyAlignment="1">
      <alignment horizontal="right" vertical="top"/>
    </xf>
    <xf numFmtId="2" fontId="67" fillId="0" borderId="23" xfId="15700" applyNumberFormat="1" applyFont="1" applyFill="1" applyBorder="1" applyAlignment="1">
      <alignment horizontal="center" vertical="top"/>
    </xf>
    <xf numFmtId="9" fontId="67" fillId="0" borderId="23" xfId="29567" applyNumberFormat="1" applyFont="1" applyFill="1" applyBorder="1" applyAlignment="1">
      <alignment horizontal="center" vertical="center" wrapText="1"/>
    </xf>
    <xf numFmtId="180" fontId="67" fillId="0" borderId="23" xfId="25003" applyNumberFormat="1" applyFont="1" applyFill="1" applyBorder="1" applyAlignment="1">
      <alignment horizontal="center" vertical="center"/>
    </xf>
    <xf numFmtId="0" fontId="66" fillId="0" borderId="23" xfId="25003" applyFont="1" applyFill="1" applyBorder="1" applyAlignment="1">
      <alignment horizontal="left" vertical="top" wrapText="1"/>
    </xf>
    <xf numFmtId="0" fontId="66" fillId="0" borderId="23" xfId="25003" applyFont="1" applyFill="1" applyBorder="1" applyAlignment="1">
      <alignment horizontal="center" vertical="top" wrapText="1"/>
    </xf>
    <xf numFmtId="0" fontId="67" fillId="0" borderId="23" xfId="25003" applyFont="1" applyFill="1" applyBorder="1" applyAlignment="1">
      <alignment horizontal="right" vertical="top"/>
    </xf>
    <xf numFmtId="2" fontId="66" fillId="0" borderId="23" xfId="25003" applyNumberFormat="1" applyFont="1" applyFill="1" applyBorder="1" applyAlignment="1">
      <alignment horizontal="center" vertical="top"/>
    </xf>
    <xf numFmtId="0" fontId="66" fillId="0" borderId="23" xfId="15700" applyFont="1" applyFill="1" applyBorder="1" applyAlignment="1">
      <alignment horizontal="right" vertical="top" wrapText="1"/>
    </xf>
    <xf numFmtId="173" fontId="66" fillId="0" borderId="23" xfId="15700" applyNumberFormat="1" applyFont="1" applyFill="1" applyBorder="1" applyAlignment="1">
      <alignment vertical="top"/>
    </xf>
    <xf numFmtId="4" fontId="66" fillId="0" borderId="23" xfId="15700" applyNumberFormat="1" applyFont="1" applyFill="1" applyBorder="1" applyAlignment="1">
      <alignment horizontal="left" vertical="top" wrapText="1"/>
    </xf>
    <xf numFmtId="1" fontId="66" fillId="0" borderId="23" xfId="15700" applyNumberFormat="1" applyFont="1" applyFill="1" applyBorder="1" applyAlignment="1">
      <alignment vertical="top" wrapText="1"/>
    </xf>
    <xf numFmtId="2" fontId="66" fillId="0" borderId="23" xfId="15700" applyNumberFormat="1" applyFont="1" applyFill="1" applyBorder="1" applyAlignment="1">
      <alignment horizontal="center" vertical="top"/>
    </xf>
    <xf numFmtId="0" fontId="66" fillId="0" borderId="23" xfId="15700" applyFont="1" applyFill="1" applyBorder="1" applyAlignment="1">
      <alignment vertical="top"/>
    </xf>
    <xf numFmtId="2" fontId="66" fillId="0" borderId="23" xfId="15700" applyNumberFormat="1" applyFont="1" applyFill="1" applyBorder="1" applyAlignment="1">
      <alignment horizontal="right" vertical="top" wrapText="1"/>
    </xf>
    <xf numFmtId="2" fontId="68" fillId="0" borderId="23" xfId="15700" applyNumberFormat="1" applyFont="1" applyFill="1" applyBorder="1" applyAlignment="1">
      <alignment horizontal="center" vertical="top"/>
    </xf>
    <xf numFmtId="0" fontId="0" fillId="0" borderId="23" xfId="0" applyNumberFormat="1" applyFill="1" applyBorder="1" applyAlignment="1">
      <alignment horizontal="justify" vertical="top" wrapText="1"/>
    </xf>
    <xf numFmtId="0" fontId="58" fillId="0" borderId="0" xfId="0" applyFont="1" applyFill="1" applyBorder="1"/>
    <xf numFmtId="0" fontId="57" fillId="0" borderId="20" xfId="0" applyFont="1" applyFill="1" applyBorder="1" applyAlignment="1">
      <alignment horizontal="center" vertical="center" wrapText="1"/>
    </xf>
    <xf numFmtId="1" fontId="57" fillId="0" borderId="20" xfId="0" applyNumberFormat="1" applyFont="1" applyFill="1" applyBorder="1" applyAlignment="1">
      <alignment horizontal="center" vertical="center"/>
    </xf>
    <xf numFmtId="0" fontId="57" fillId="0" borderId="0" xfId="0" applyFont="1" applyFill="1" applyBorder="1" applyAlignment="1">
      <alignment horizontal="center" vertical="center"/>
    </xf>
    <xf numFmtId="0" fontId="58" fillId="0" borderId="20" xfId="0" applyFont="1" applyFill="1" applyBorder="1" applyAlignment="1">
      <alignment horizontal="center" vertical="center"/>
    </xf>
    <xf numFmtId="0" fontId="58" fillId="0" borderId="20" xfId="0" applyFont="1" applyFill="1" applyBorder="1" applyAlignment="1">
      <alignment vertical="center" wrapText="1"/>
    </xf>
    <xf numFmtId="1" fontId="58" fillId="0" borderId="20" xfId="0" applyNumberFormat="1" applyFont="1" applyFill="1" applyBorder="1" applyAlignment="1">
      <alignment horizontal="right" vertical="center"/>
    </xf>
    <xf numFmtId="1" fontId="58" fillId="0" borderId="0" xfId="0" applyNumberFormat="1" applyFont="1" applyFill="1" applyBorder="1" applyAlignment="1">
      <alignment vertical="center"/>
    </xf>
    <xf numFmtId="0" fontId="58" fillId="0" borderId="0" xfId="0" applyFont="1" applyFill="1" applyBorder="1" applyAlignment="1">
      <alignment vertical="center"/>
    </xf>
    <xf numFmtId="0" fontId="57" fillId="0" borderId="20" xfId="0" applyFont="1" applyFill="1" applyBorder="1" applyAlignment="1">
      <alignment horizontal="right" vertical="center" wrapText="1"/>
    </xf>
    <xf numFmtId="1" fontId="57" fillId="0" borderId="20" xfId="0" applyNumberFormat="1" applyFont="1" applyFill="1" applyBorder="1" applyAlignment="1">
      <alignment horizontal="right" vertical="center"/>
    </xf>
    <xf numFmtId="0" fontId="58" fillId="0" borderId="20" xfId="0" applyFont="1" applyFill="1" applyBorder="1" applyAlignment="1">
      <alignment horizontal="left" vertical="center" wrapText="1"/>
    </xf>
    <xf numFmtId="1" fontId="58" fillId="0" borderId="20" xfId="0" applyNumberFormat="1" applyFont="1" applyFill="1" applyBorder="1" applyAlignment="1">
      <alignment vertical="center"/>
    </xf>
    <xf numFmtId="1" fontId="57" fillId="0" borderId="20" xfId="0" applyNumberFormat="1" applyFont="1" applyFill="1" applyBorder="1" applyAlignment="1">
      <alignment vertical="center"/>
    </xf>
    <xf numFmtId="9" fontId="58" fillId="0" borderId="0" xfId="0" applyNumberFormat="1" applyFont="1" applyFill="1" applyBorder="1" applyAlignment="1">
      <alignment vertical="center"/>
    </xf>
    <xf numFmtId="0" fontId="57" fillId="0" borderId="20" xfId="0" applyFont="1" applyFill="1" applyBorder="1" applyAlignment="1">
      <alignment vertical="center"/>
    </xf>
    <xf numFmtId="0" fontId="57" fillId="0" borderId="20" xfId="0" applyFont="1" applyFill="1" applyBorder="1" applyAlignment="1">
      <alignment horizontal="right" vertical="justify" wrapText="1"/>
    </xf>
    <xf numFmtId="0" fontId="57" fillId="0" borderId="0" xfId="0" applyFont="1" applyFill="1" applyBorder="1" applyAlignment="1">
      <alignment vertical="center"/>
    </xf>
    <xf numFmtId="0" fontId="57" fillId="0" borderId="0" xfId="0" applyFont="1" applyFill="1" applyBorder="1" applyAlignment="1">
      <alignment horizontal="right" vertical="center" wrapText="1"/>
    </xf>
    <xf numFmtId="1" fontId="57" fillId="0" borderId="0" xfId="0" applyNumberFormat="1" applyFont="1" applyFill="1" applyBorder="1" applyAlignment="1">
      <alignment vertical="center"/>
    </xf>
    <xf numFmtId="0" fontId="57" fillId="0" borderId="0" xfId="0" applyFont="1" applyFill="1" applyBorder="1" applyAlignment="1">
      <alignment horizontal="left" vertical="center" wrapText="1"/>
    </xf>
    <xf numFmtId="0" fontId="57" fillId="0" borderId="0" xfId="0" applyFont="1" applyFill="1" applyBorder="1" applyAlignment="1">
      <alignment horizontal="center" vertical="top"/>
    </xf>
    <xf numFmtId="0" fontId="58" fillId="0" borderId="0" xfId="0" applyFont="1" applyFill="1" applyBorder="1" applyAlignment="1">
      <alignment vertical="top" wrapText="1"/>
    </xf>
    <xf numFmtId="1" fontId="58" fillId="0" borderId="0" xfId="0" applyNumberFormat="1" applyFont="1" applyFill="1" applyBorder="1" applyAlignment="1">
      <alignment horizontal="right" vertical="top"/>
    </xf>
    <xf numFmtId="0" fontId="66" fillId="0" borderId="23" xfId="0" applyFont="1" applyFill="1" applyBorder="1" applyAlignment="1">
      <alignment horizontal="left"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justify" vertical="top" wrapText="1"/>
    </xf>
    <xf numFmtId="0" fontId="67" fillId="0" borderId="23" xfId="0" applyFont="1" applyFill="1" applyBorder="1" applyAlignment="1">
      <alignment horizontal="center"/>
    </xf>
    <xf numFmtId="1" fontId="66" fillId="0" borderId="23" xfId="0" applyNumberFormat="1" applyFont="1" applyFill="1" applyBorder="1" applyAlignment="1">
      <alignment horizontal="center" vertical="top" wrapText="1"/>
    </xf>
    <xf numFmtId="0" fontId="5" fillId="0" borderId="0" xfId="1538" applyFont="1" applyAlignment="1">
      <alignment horizontal="center" vertical="top"/>
    </xf>
    <xf numFmtId="2" fontId="5" fillId="0" borderId="0" xfId="1538" applyNumberFormat="1" applyFont="1" applyAlignment="1">
      <alignment vertical="top"/>
    </xf>
    <xf numFmtId="0" fontId="5" fillId="0" borderId="0" xfId="1538" applyFont="1"/>
    <xf numFmtId="1" fontId="86" fillId="0" borderId="0" xfId="1538" applyNumberFormat="1" applyFont="1"/>
    <xf numFmtId="2" fontId="86" fillId="0" borderId="1" xfId="1538" applyNumberFormat="1" applyFont="1" applyBorder="1" applyAlignment="1">
      <alignment horizontal="center" vertical="center" shrinkToFit="1"/>
    </xf>
    <xf numFmtId="1" fontId="86" fillId="0" borderId="1" xfId="1538" applyNumberFormat="1" applyFont="1" applyBorder="1" applyAlignment="1">
      <alignment horizontal="center" vertical="center"/>
    </xf>
    <xf numFmtId="0" fontId="86" fillId="0" borderId="1" xfId="1538" applyFont="1" applyBorder="1" applyAlignment="1">
      <alignment vertical="center"/>
    </xf>
    <xf numFmtId="0" fontId="86" fillId="0" borderId="0" xfId="1538" applyFont="1" applyAlignment="1">
      <alignment vertical="center"/>
    </xf>
    <xf numFmtId="0" fontId="85" fillId="0" borderId="1" xfId="1538" applyFont="1" applyBorder="1" applyAlignment="1">
      <alignment horizontal="center" vertical="center" shrinkToFit="1"/>
    </xf>
    <xf numFmtId="1" fontId="85" fillId="0" borderId="1" xfId="1538" applyNumberFormat="1" applyFont="1" applyBorder="1" applyAlignment="1">
      <alignment horizontal="center" vertical="center" shrinkToFit="1"/>
    </xf>
    <xf numFmtId="2" fontId="86" fillId="0" borderId="1" xfId="1538" applyNumberFormat="1" applyFont="1" applyBorder="1" applyAlignment="1">
      <alignment vertical="top" shrinkToFit="1"/>
    </xf>
    <xf numFmtId="2" fontId="86" fillId="0" borderId="1" xfId="1538" applyNumberFormat="1" applyFont="1" applyBorder="1" applyAlignment="1">
      <alignment horizontal="center" vertical="top" shrinkToFit="1"/>
    </xf>
    <xf numFmtId="0" fontId="86" fillId="0" borderId="1" xfId="1538" applyFont="1" applyBorder="1" applyAlignment="1">
      <alignment vertical="top"/>
    </xf>
    <xf numFmtId="0" fontId="86" fillId="0" borderId="0" xfId="1538" applyFont="1" applyAlignment="1">
      <alignment vertical="top"/>
    </xf>
    <xf numFmtId="2" fontId="85" fillId="0" borderId="1" xfId="1538" applyNumberFormat="1" applyFont="1" applyBorder="1" applyAlignment="1">
      <alignment vertical="center" wrapText="1"/>
    </xf>
    <xf numFmtId="0" fontId="86" fillId="0" borderId="1" xfId="1538" applyFont="1" applyBorder="1" applyAlignment="1">
      <alignment vertical="center" wrapText="1"/>
    </xf>
    <xf numFmtId="0" fontId="86" fillId="0" borderId="0" xfId="1538" applyFont="1" applyAlignment="1">
      <alignment vertical="center" wrapText="1"/>
    </xf>
    <xf numFmtId="0" fontId="86" fillId="0" borderId="1" xfId="1538" applyFont="1" applyBorder="1" applyAlignment="1">
      <alignment horizontal="right" vertical="top"/>
    </xf>
    <xf numFmtId="2" fontId="85" fillId="0" borderId="1" xfId="1538" applyNumberFormat="1" applyFont="1" applyBorder="1" applyAlignment="1">
      <alignment vertical="top" shrinkToFit="1"/>
    </xf>
    <xf numFmtId="2" fontId="85" fillId="0" borderId="1" xfId="1538" applyNumberFormat="1" applyFont="1" applyBorder="1" applyAlignment="1">
      <alignment horizontal="center" vertical="top" shrinkToFit="1"/>
    </xf>
    <xf numFmtId="1" fontId="85" fillId="0" borderId="1" xfId="1538" applyNumberFormat="1" applyFont="1" applyBorder="1" applyAlignment="1">
      <alignment vertical="top" shrinkToFit="1"/>
    </xf>
    <xf numFmtId="2" fontId="85" fillId="0" borderId="1" xfId="1538" applyNumberFormat="1" applyFont="1" applyBorder="1" applyAlignment="1">
      <alignment horizontal="center" shrinkToFit="1"/>
    </xf>
    <xf numFmtId="0" fontId="86" fillId="0" borderId="1" xfId="1538" applyFont="1" applyBorder="1" applyAlignment="1">
      <alignment horizontal="right" vertical="center" wrapText="1"/>
    </xf>
    <xf numFmtId="0" fontId="87" fillId="0" borderId="1" xfId="1538" applyFont="1" applyBorder="1" applyAlignment="1">
      <alignment vertical="center" wrapText="1"/>
    </xf>
    <xf numFmtId="0" fontId="86" fillId="0" borderId="1" xfId="1538" applyFont="1" applyBorder="1" applyAlignment="1">
      <alignment horizontal="left" vertical="center" wrapText="1"/>
    </xf>
    <xf numFmtId="1" fontId="86" fillId="0" borderId="1" xfId="1538" applyNumberFormat="1" applyFont="1" applyBorder="1" applyAlignment="1">
      <alignment vertical="top" shrinkToFit="1"/>
    </xf>
    <xf numFmtId="1" fontId="86" fillId="0" borderId="1" xfId="1538" applyNumberFormat="1" applyFont="1" applyBorder="1" applyAlignment="1">
      <alignment vertical="center" wrapText="1"/>
    </xf>
    <xf numFmtId="2" fontId="86" fillId="0" borderId="1" xfId="1538" applyNumberFormat="1" applyFont="1" applyBorder="1" applyAlignment="1">
      <alignment horizontal="center" vertical="center" wrapText="1"/>
    </xf>
    <xf numFmtId="2" fontId="86" fillId="0" borderId="1" xfId="1538" applyNumberFormat="1" applyFont="1" applyBorder="1" applyAlignment="1">
      <alignment vertical="top"/>
    </xf>
    <xf numFmtId="2" fontId="85" fillId="0" borderId="1" xfId="1538" applyNumberFormat="1" applyFont="1" applyBorder="1" applyAlignment="1">
      <alignment horizontal="center" vertical="top"/>
    </xf>
    <xf numFmtId="1" fontId="86" fillId="0" borderId="1" xfId="1538" applyNumberFormat="1" applyFont="1" applyBorder="1" applyAlignment="1">
      <alignment vertical="top"/>
    </xf>
    <xf numFmtId="2" fontId="86" fillId="0" borderId="1" xfId="1538" applyNumberFormat="1" applyFont="1" applyBorder="1" applyAlignment="1">
      <alignment horizontal="center"/>
    </xf>
    <xf numFmtId="0" fontId="86" fillId="0" borderId="1" xfId="1538" applyFont="1" applyBorder="1" applyAlignment="1">
      <alignment vertical="top" wrapText="1"/>
    </xf>
    <xf numFmtId="0" fontId="86" fillId="0" borderId="1" xfId="1538" applyFont="1" applyBorder="1" applyAlignment="1">
      <alignment horizontal="center" vertical="center"/>
    </xf>
    <xf numFmtId="0" fontId="86" fillId="0" borderId="0" xfId="1538" applyFont="1" applyAlignment="1">
      <alignment horizontal="center" vertical="center"/>
    </xf>
    <xf numFmtId="1" fontId="86" fillId="0" borderId="1" xfId="1538" applyNumberFormat="1" applyFont="1" applyBorder="1" applyAlignment="1">
      <alignment horizontal="center" vertical="top" wrapText="1"/>
    </xf>
    <xf numFmtId="175" fontId="86" fillId="0" borderId="1" xfId="1538" applyNumberFormat="1" applyFont="1" applyBorder="1" applyAlignment="1">
      <alignment horizontal="center" vertical="center" wrapText="1"/>
    </xf>
    <xf numFmtId="1" fontId="86" fillId="0" borderId="1" xfId="1538" applyNumberFormat="1" applyFont="1" applyBorder="1" applyAlignment="1">
      <alignment horizontal="center" vertical="center" wrapText="1"/>
    </xf>
    <xf numFmtId="175" fontId="86" fillId="0" borderId="1" xfId="1538" applyNumberFormat="1" applyFont="1" applyBorder="1" applyAlignment="1">
      <alignment horizontal="left" vertical="center" wrapText="1"/>
    </xf>
    <xf numFmtId="1" fontId="86" fillId="0" borderId="1" xfId="1538" applyNumberFormat="1" applyFont="1" applyBorder="1" applyAlignment="1">
      <alignment horizontal="right" vertical="center" wrapText="1"/>
    </xf>
    <xf numFmtId="2" fontId="86" fillId="0" borderId="1" xfId="1538" applyNumberFormat="1" applyFont="1" applyBorder="1" applyAlignment="1">
      <alignment horizontal="center" shrinkToFit="1"/>
    </xf>
    <xf numFmtId="2" fontId="86" fillId="0" borderId="1" xfId="1538" applyNumberFormat="1" applyFont="1" applyBorder="1" applyAlignment="1">
      <alignment horizontal="right" vertical="center" wrapText="1"/>
    </xf>
    <xf numFmtId="175" fontId="85" fillId="0" borderId="1" xfId="1538" applyNumberFormat="1" applyFont="1" applyBorder="1" applyAlignment="1">
      <alignment horizontal="center" vertical="center" wrapText="1"/>
    </xf>
    <xf numFmtId="176" fontId="86" fillId="0" borderId="1" xfId="1538" applyNumberFormat="1" applyFont="1" applyBorder="1" applyAlignment="1">
      <alignment horizontal="right" wrapText="1"/>
    </xf>
    <xf numFmtId="2" fontId="86" fillId="0" borderId="1" xfId="1538" applyNumberFormat="1" applyFont="1" applyBorder="1" applyAlignment="1">
      <alignment horizontal="right" vertical="top" shrinkToFit="1"/>
    </xf>
    <xf numFmtId="2" fontId="85" fillId="0" borderId="1" xfId="1538" applyNumberFormat="1" applyFont="1" applyBorder="1" applyAlignment="1">
      <alignment horizontal="center" vertical="top" wrapText="1"/>
    </xf>
    <xf numFmtId="175" fontId="86" fillId="0" borderId="1" xfId="1538" applyNumberFormat="1" applyFont="1" applyBorder="1" applyAlignment="1">
      <alignment horizontal="right" vertical="top" wrapText="1"/>
    </xf>
    <xf numFmtId="0" fontId="86" fillId="0" borderId="0" xfId="1538" applyFont="1" applyAlignment="1">
      <alignment horizontal="center" vertical="top"/>
    </xf>
    <xf numFmtId="2" fontId="86" fillId="0" borderId="1" xfId="1538" applyNumberFormat="1" applyFont="1" applyBorder="1" applyAlignment="1">
      <alignment horizontal="left" vertical="center" wrapText="1"/>
    </xf>
    <xf numFmtId="175" fontId="86" fillId="0" borderId="1" xfId="1538" applyNumberFormat="1" applyFont="1" applyBorder="1" applyAlignment="1">
      <alignment horizontal="center" vertical="top" wrapText="1"/>
    </xf>
    <xf numFmtId="1" fontId="85" fillId="0" borderId="1" xfId="1538" applyNumberFormat="1" applyFont="1" applyBorder="1" applyAlignment="1">
      <alignment horizontal="center" vertical="top" wrapText="1"/>
    </xf>
    <xf numFmtId="2" fontId="86" fillId="0" borderId="1" xfId="1538" applyNumberFormat="1" applyFont="1" applyBorder="1" applyAlignment="1">
      <alignment horizontal="right" vertical="top" wrapText="1"/>
    </xf>
    <xf numFmtId="1" fontId="86" fillId="0" borderId="1" xfId="1538" applyNumberFormat="1" applyFont="1" applyBorder="1" applyAlignment="1">
      <alignment horizontal="right" vertical="top" wrapText="1"/>
    </xf>
    <xf numFmtId="175" fontId="85" fillId="0" borderId="1" xfId="1538" applyNumberFormat="1" applyFont="1" applyBorder="1" applyAlignment="1">
      <alignment horizontal="center" vertical="top" wrapText="1"/>
    </xf>
    <xf numFmtId="2" fontId="86" fillId="0" borderId="1" xfId="1538" applyNumberFormat="1" applyFont="1" applyBorder="1" applyAlignment="1">
      <alignment horizontal="left" vertical="top" shrinkToFit="1"/>
    </xf>
    <xf numFmtId="1" fontId="86" fillId="0" borderId="1" xfId="1538" applyNumberFormat="1" applyFont="1" applyBorder="1" applyAlignment="1">
      <alignment horizontal="right" vertical="top" shrinkToFit="1"/>
    </xf>
    <xf numFmtId="0" fontId="85" fillId="0" borderId="1" xfId="1538" applyFont="1" applyBorder="1" applyAlignment="1">
      <alignment horizontal="right" vertical="top" shrinkToFit="1"/>
    </xf>
    <xf numFmtId="0" fontId="85" fillId="0" borderId="1" xfId="1538" applyFont="1" applyBorder="1" applyAlignment="1">
      <alignment horizontal="left" vertical="top" shrinkToFit="1"/>
    </xf>
    <xf numFmtId="0" fontId="86" fillId="0" borderId="1" xfId="1538" applyFont="1" applyBorder="1" applyAlignment="1">
      <alignment horizontal="right" vertical="top" shrinkToFit="1"/>
    </xf>
    <xf numFmtId="0" fontId="85" fillId="0" borderId="1" xfId="1538" applyFont="1" applyBorder="1"/>
    <xf numFmtId="177" fontId="86" fillId="0" borderId="1" xfId="1538" applyNumberFormat="1" applyFont="1" applyBorder="1" applyAlignment="1">
      <alignment horizontal="left" vertical="center" shrinkToFit="1"/>
    </xf>
    <xf numFmtId="2" fontId="86" fillId="0" borderId="1" xfId="1538" applyNumberFormat="1" applyFont="1" applyBorder="1" applyAlignment="1">
      <alignment horizontal="right" shrinkToFit="1"/>
    </xf>
    <xf numFmtId="2" fontId="86" fillId="0" borderId="1" xfId="1538" applyNumberFormat="1" applyFont="1" applyBorder="1" applyAlignment="1">
      <alignment horizontal="left" shrinkToFit="1"/>
    </xf>
    <xf numFmtId="1" fontId="86" fillId="0" borderId="1" xfId="1538" applyNumberFormat="1" applyFont="1" applyBorder="1" applyAlignment="1">
      <alignment horizontal="right" shrinkToFit="1"/>
    </xf>
    <xf numFmtId="177" fontId="86" fillId="0" borderId="1" xfId="1538" applyNumberFormat="1" applyFont="1" applyBorder="1" applyAlignment="1">
      <alignment horizontal="left" shrinkToFit="1"/>
    </xf>
    <xf numFmtId="2" fontId="85" fillId="0" borderId="1" xfId="1" applyNumberFormat="1" applyFont="1" applyBorder="1" applyAlignment="1" applyProtection="1">
      <alignment horizontal="right" vertical="top" shrinkToFit="1"/>
    </xf>
    <xf numFmtId="0" fontId="85" fillId="0" borderId="1" xfId="1538" applyFont="1" applyBorder="1" applyAlignment="1">
      <alignment vertical="top" shrinkToFit="1"/>
    </xf>
    <xf numFmtId="0" fontId="86" fillId="0" borderId="1" xfId="1538" applyFont="1" applyBorder="1" applyAlignment="1">
      <alignment horizontal="left" vertical="top"/>
    </xf>
    <xf numFmtId="0" fontId="86" fillId="0" borderId="1" xfId="1538" applyFont="1" applyBorder="1" applyAlignment="1">
      <alignment horizontal="center" vertical="top" wrapText="1" shrinkToFit="1"/>
    </xf>
    <xf numFmtId="0" fontId="86" fillId="0" borderId="1" xfId="1538" applyFont="1" applyBorder="1" applyAlignment="1">
      <alignment horizontal="right" vertical="top" wrapText="1" shrinkToFit="1"/>
    </xf>
    <xf numFmtId="2" fontId="86" fillId="0" borderId="1" xfId="1538" applyNumberFormat="1" applyFont="1" applyBorder="1" applyAlignment="1">
      <alignment horizontal="right" vertical="top" wrapText="1" shrinkToFit="1"/>
    </xf>
    <xf numFmtId="2" fontId="86" fillId="0" borderId="1" xfId="1538" applyNumberFormat="1" applyFont="1" applyBorder="1" applyAlignment="1">
      <alignment horizontal="left" vertical="top" wrapText="1" shrinkToFit="1"/>
    </xf>
    <xf numFmtId="2" fontId="86" fillId="0" borderId="1" xfId="1538" applyNumberFormat="1" applyFont="1" applyBorder="1" applyAlignment="1">
      <alignment horizontal="center" vertical="top" wrapText="1" shrinkToFit="1"/>
    </xf>
    <xf numFmtId="1" fontId="86" fillId="0" borderId="1" xfId="1538" applyNumberFormat="1" applyFont="1" applyBorder="1" applyAlignment="1">
      <alignment horizontal="right" vertical="top" wrapText="1" shrinkToFit="1"/>
    </xf>
    <xf numFmtId="2" fontId="85" fillId="0" borderId="1" xfId="1538" applyNumberFormat="1" applyFont="1" applyBorder="1" applyAlignment="1">
      <alignment horizontal="left" vertical="top" wrapText="1" shrinkToFit="1"/>
    </xf>
    <xf numFmtId="2" fontId="85" fillId="0" borderId="1" xfId="1538" applyNumberFormat="1" applyFont="1" applyBorder="1" applyAlignment="1">
      <alignment horizontal="center" vertical="top" wrapText="1" shrinkToFit="1"/>
    </xf>
    <xf numFmtId="0" fontId="86" fillId="0" borderId="0" xfId="1538" applyFont="1" applyAlignment="1">
      <alignment vertical="top" wrapText="1"/>
    </xf>
    <xf numFmtId="176" fontId="86" fillId="0" borderId="1" xfId="1538" applyNumberFormat="1" applyFont="1" applyBorder="1" applyAlignment="1">
      <alignment horizontal="right" vertical="top" wrapText="1" shrinkToFit="1"/>
    </xf>
    <xf numFmtId="0" fontId="86" fillId="0" borderId="1" xfId="1538" applyFont="1" applyBorder="1" applyAlignment="1">
      <alignment horizontal="center"/>
    </xf>
    <xf numFmtId="0" fontId="86" fillId="0" borderId="1" xfId="1538" applyFont="1" applyBorder="1" applyAlignment="1">
      <alignment horizontal="left" vertical="top" shrinkToFit="1"/>
    </xf>
    <xf numFmtId="176" fontId="86" fillId="0" borderId="1" xfId="1538" applyNumberFormat="1" applyFont="1" applyBorder="1" applyAlignment="1">
      <alignment horizontal="right" vertical="top" shrinkToFit="1"/>
    </xf>
    <xf numFmtId="2" fontId="85" fillId="0" borderId="1" xfId="1538" applyNumberFormat="1" applyFont="1" applyBorder="1" applyAlignment="1">
      <alignment horizontal="left" vertical="top" shrinkToFit="1"/>
    </xf>
    <xf numFmtId="0" fontId="86" fillId="0" borderId="1" xfId="1538" applyFont="1" applyBorder="1" applyAlignment="1">
      <alignment wrapText="1"/>
    </xf>
    <xf numFmtId="176" fontId="86" fillId="0" borderId="1" xfId="1538" applyNumberFormat="1" applyFont="1" applyBorder="1" applyAlignment="1">
      <alignment horizontal="right" shrinkToFit="1"/>
    </xf>
    <xf numFmtId="2" fontId="85" fillId="0" borderId="1" xfId="1" applyNumberFormat="1" applyFont="1" applyBorder="1" applyAlignment="1" applyProtection="1">
      <alignment horizontal="right" vertical="top" wrapText="1" shrinkToFit="1"/>
    </xf>
    <xf numFmtId="0" fontId="85" fillId="0" borderId="1" xfId="1538" applyFont="1" applyBorder="1" applyAlignment="1">
      <alignment vertical="top" wrapText="1" shrinkToFit="1"/>
    </xf>
    <xf numFmtId="1" fontId="86" fillId="0" borderId="1" xfId="1538" applyNumberFormat="1" applyFont="1" applyBorder="1" applyAlignment="1">
      <alignment vertical="top" wrapText="1"/>
    </xf>
    <xf numFmtId="2" fontId="85" fillId="0" borderId="1" xfId="1538" applyNumberFormat="1" applyFont="1" applyBorder="1" applyAlignment="1">
      <alignment horizontal="right" vertical="top" shrinkToFit="1"/>
    </xf>
    <xf numFmtId="0" fontId="85" fillId="0" borderId="1" xfId="1538" applyFont="1" applyBorder="1" applyAlignment="1">
      <alignment vertical="top" wrapText="1"/>
    </xf>
    <xf numFmtId="2" fontId="85" fillId="0" borderId="1" xfId="1538" applyNumberFormat="1" applyFont="1" applyBorder="1"/>
    <xf numFmtId="2" fontId="85" fillId="0" borderId="1" xfId="1538" applyNumberFormat="1" applyFont="1" applyBorder="1" applyAlignment="1">
      <alignment horizontal="center"/>
    </xf>
    <xf numFmtId="1" fontId="86" fillId="0" borderId="1" xfId="1538" applyNumberFormat="1" applyFont="1" applyBorder="1" applyAlignment="1">
      <alignment vertical="top" wrapText="1" shrinkToFit="1"/>
    </xf>
    <xf numFmtId="0" fontId="85" fillId="0" borderId="1" xfId="1538" applyFont="1" applyBorder="1" applyAlignment="1">
      <alignment horizontal="right"/>
    </xf>
    <xf numFmtId="0" fontId="85" fillId="0" borderId="1" xfId="1538" applyFont="1" applyBorder="1" applyAlignment="1">
      <alignment vertical="top"/>
    </xf>
    <xf numFmtId="0" fontId="85" fillId="0" borderId="0" xfId="1538" applyFont="1" applyAlignment="1">
      <alignment vertical="top"/>
    </xf>
    <xf numFmtId="177" fontId="86" fillId="0" borderId="1" xfId="1538" applyNumberFormat="1" applyFont="1" applyBorder="1" applyAlignment="1">
      <alignment horizontal="left" vertical="top" shrinkToFit="1"/>
    </xf>
    <xf numFmtId="0" fontId="86" fillId="0" borderId="1" xfId="1538" applyFont="1" applyBorder="1" applyAlignment="1">
      <alignment horizontal="center" vertical="center" shrinkToFit="1"/>
    </xf>
    <xf numFmtId="0" fontId="86" fillId="0" borderId="1" xfId="1538" applyFont="1" applyBorder="1" applyAlignment="1">
      <alignment horizontal="right" vertical="center" shrinkToFit="1"/>
    </xf>
    <xf numFmtId="0" fontId="85" fillId="0" borderId="1" xfId="1538" applyFont="1" applyBorder="1" applyAlignment="1">
      <alignment horizontal="justify" vertical="center" wrapText="1"/>
    </xf>
    <xf numFmtId="2" fontId="86" fillId="0" borderId="1" xfId="1538" applyNumberFormat="1" applyFont="1" applyBorder="1" applyAlignment="1">
      <alignment vertical="center" shrinkToFit="1"/>
    </xf>
    <xf numFmtId="2" fontId="86" fillId="0" borderId="1" xfId="1538" applyNumberFormat="1" applyFont="1" applyBorder="1" applyAlignment="1">
      <alignment horizontal="left" vertical="center" shrinkToFit="1"/>
    </xf>
    <xf numFmtId="1" fontId="86" fillId="0" borderId="1" xfId="1538" applyNumberFormat="1" applyFont="1" applyBorder="1" applyAlignment="1">
      <alignment vertical="center" shrinkToFit="1"/>
    </xf>
    <xf numFmtId="0" fontId="85" fillId="0" borderId="1" xfId="1538" applyFont="1" applyBorder="1" applyAlignment="1">
      <alignment horizontal="right" vertical="center" shrinkToFit="1"/>
    </xf>
    <xf numFmtId="2" fontId="86" fillId="0" borderId="1" xfId="1538" applyNumberFormat="1" applyFont="1" applyBorder="1" applyAlignment="1">
      <alignment horizontal="center" vertical="top"/>
    </xf>
    <xf numFmtId="0" fontId="86" fillId="0" borderId="1" xfId="1538" applyFont="1" applyBorder="1" applyAlignment="1">
      <alignment vertical="top" shrinkToFit="1"/>
    </xf>
    <xf numFmtId="176" fontId="86" fillId="0" borderId="1" xfId="1538" applyNumberFormat="1" applyFont="1" applyBorder="1" applyAlignment="1">
      <alignment vertical="top" shrinkToFit="1"/>
    </xf>
    <xf numFmtId="2" fontId="86" fillId="0" borderId="1" xfId="1538" applyNumberFormat="1" applyFont="1" applyBorder="1"/>
    <xf numFmtId="0" fontId="85" fillId="0" borderId="1" xfId="1538" applyFont="1" applyBorder="1" applyAlignment="1">
      <alignment horizontal="left" vertical="top" wrapText="1" shrinkToFit="1"/>
    </xf>
    <xf numFmtId="0" fontId="85" fillId="0" borderId="1" xfId="1538" applyFont="1" applyBorder="1" applyAlignment="1">
      <alignment horizontal="center"/>
    </xf>
    <xf numFmtId="175" fontId="86" fillId="0" borderId="1" xfId="1538" applyNumberFormat="1" applyFont="1" applyBorder="1" applyAlignment="1">
      <alignment vertical="top"/>
    </xf>
    <xf numFmtId="1" fontId="85" fillId="0" borderId="1" xfId="1538" applyNumberFormat="1" applyFont="1" applyBorder="1" applyAlignment="1">
      <alignment vertical="center"/>
    </xf>
    <xf numFmtId="1" fontId="85" fillId="0" borderId="1" xfId="1538" applyNumberFormat="1" applyFont="1" applyBorder="1"/>
    <xf numFmtId="1" fontId="85" fillId="0" borderId="1" xfId="1538" applyNumberFormat="1" applyFont="1" applyBorder="1" applyAlignment="1">
      <alignment horizontal="center"/>
    </xf>
    <xf numFmtId="176" fontId="86" fillId="0" borderId="1" xfId="1538" applyNumberFormat="1" applyFont="1" applyBorder="1" applyAlignment="1">
      <alignment vertical="top"/>
    </xf>
    <xf numFmtId="2" fontId="85" fillId="0" borderId="1" xfId="1538" applyNumberFormat="1" applyFont="1" applyBorder="1" applyAlignment="1">
      <alignment vertical="top"/>
    </xf>
    <xf numFmtId="1" fontId="86" fillId="0" borderId="1" xfId="1538" applyNumberFormat="1" applyFont="1" applyBorder="1"/>
    <xf numFmtId="0" fontId="85" fillId="0" borderId="1" xfId="1538" applyFont="1" applyBorder="1" applyAlignment="1">
      <alignment horizontal="center" vertical="top" shrinkToFit="1"/>
    </xf>
    <xf numFmtId="0" fontId="86" fillId="0" borderId="1" xfId="1538" applyFont="1" applyBorder="1" applyAlignment="1">
      <alignment vertical="center" shrinkToFit="1"/>
    </xf>
    <xf numFmtId="1" fontId="86" fillId="0" borderId="1" xfId="1538" applyNumberFormat="1" applyFont="1" applyBorder="1" applyAlignment="1">
      <alignment vertical="center"/>
    </xf>
    <xf numFmtId="2" fontId="85" fillId="0" borderId="1" xfId="1538" applyNumberFormat="1" applyFont="1" applyBorder="1" applyAlignment="1">
      <alignment horizontal="right" vertical="center" shrinkToFit="1"/>
    </xf>
    <xf numFmtId="0" fontId="86" fillId="0" borderId="1" xfId="1538" applyFont="1" applyBorder="1" applyAlignment="1">
      <alignment horizontal="justify" vertical="center" wrapText="1"/>
    </xf>
    <xf numFmtId="0" fontId="85" fillId="0" borderId="1" xfId="1538" applyFont="1" applyBorder="1" applyAlignment="1">
      <alignment horizontal="center" vertical="top" wrapText="1" shrinkToFit="1"/>
    </xf>
    <xf numFmtId="0" fontId="86" fillId="0" borderId="1" xfId="1538" applyFont="1" applyBorder="1" applyAlignment="1">
      <alignment vertical="top" wrapText="1" shrinkToFit="1"/>
    </xf>
    <xf numFmtId="176" fontId="86" fillId="0" borderId="1" xfId="1538" applyNumberFormat="1" applyFont="1" applyBorder="1"/>
    <xf numFmtId="1" fontId="85" fillId="0" borderId="1" xfId="1538" applyNumberFormat="1" applyFont="1" applyBorder="1" applyAlignment="1">
      <alignment horizontal="center" vertical="top" shrinkToFit="1"/>
    </xf>
    <xf numFmtId="1" fontId="86" fillId="0" borderId="0" xfId="1538" applyNumberFormat="1" applyFont="1" applyAlignment="1">
      <alignment horizontal="center" vertical="center"/>
    </xf>
    <xf numFmtId="0" fontId="85" fillId="0" borderId="1" xfId="1538" applyFont="1" applyBorder="1" applyAlignment="1">
      <alignment horizontal="left" vertical="top"/>
    </xf>
    <xf numFmtId="2" fontId="86" fillId="0" borderId="1" xfId="1538" applyNumberFormat="1" applyFont="1" applyBorder="1" applyAlignment="1">
      <alignment vertical="center"/>
    </xf>
    <xf numFmtId="2" fontId="85" fillId="0" borderId="1" xfId="1538" applyNumberFormat="1" applyFont="1" applyBorder="1" applyAlignment="1">
      <alignment horizontal="right" vertical="center" wrapText="1"/>
    </xf>
    <xf numFmtId="175" fontId="86" fillId="0" borderId="0" xfId="1538" applyNumberFormat="1" applyFont="1" applyAlignment="1">
      <alignment horizontal="center" vertical="center"/>
    </xf>
    <xf numFmtId="2" fontId="86" fillId="0" borderId="0" xfId="1538" applyNumberFormat="1" applyFont="1" applyAlignment="1">
      <alignment horizontal="center" vertical="center"/>
    </xf>
    <xf numFmtId="0" fontId="86" fillId="0" borderId="10" xfId="1538" applyFont="1" applyBorder="1" applyAlignment="1">
      <alignment horizontal="center" vertical="center"/>
    </xf>
    <xf numFmtId="2" fontId="85" fillId="0" borderId="10" xfId="1538" applyNumberFormat="1" applyFont="1" applyBorder="1" applyAlignment="1">
      <alignment horizontal="right" vertical="top" wrapText="1"/>
    </xf>
    <xf numFmtId="1" fontId="85" fillId="0" borderId="10" xfId="1538" applyNumberFormat="1" applyFont="1" applyBorder="1" applyAlignment="1">
      <alignment horizontal="center" vertical="center" shrinkToFit="1"/>
    </xf>
    <xf numFmtId="0" fontId="87" fillId="0" borderId="1" xfId="1538" applyFont="1" applyBorder="1" applyAlignment="1">
      <alignment horizontal="justify" vertical="top" wrapText="1"/>
    </xf>
    <xf numFmtId="1" fontId="86" fillId="0" borderId="1" xfId="1538" applyNumberFormat="1" applyFont="1" applyBorder="1" applyAlignment="1">
      <alignment horizontal="left" vertical="top" shrinkToFit="1"/>
    </xf>
    <xf numFmtId="2" fontId="86" fillId="0" borderId="0" xfId="1538" applyNumberFormat="1" applyFont="1"/>
    <xf numFmtId="175" fontId="86" fillId="0" borderId="1" xfId="1538" applyNumberFormat="1" applyFont="1" applyBorder="1" applyAlignment="1">
      <alignment horizontal="right" vertical="top" shrinkToFit="1"/>
    </xf>
    <xf numFmtId="0" fontId="86" fillId="0" borderId="0" xfId="1538" applyFont="1" applyAlignment="1">
      <alignment horizontal="center" vertical="center" wrapText="1"/>
    </xf>
    <xf numFmtId="2" fontId="85" fillId="0" borderId="1" xfId="1538" applyNumberFormat="1" applyFont="1" applyBorder="1" applyAlignment="1">
      <alignment horizontal="justify" vertical="top" wrapText="1"/>
    </xf>
    <xf numFmtId="0" fontId="87" fillId="0" borderId="1" xfId="1538" applyFont="1" applyBorder="1" applyAlignment="1">
      <alignment vertical="top" wrapText="1"/>
    </xf>
    <xf numFmtId="175" fontId="85" fillId="0" borderId="1" xfId="1538" applyNumberFormat="1" applyFont="1" applyBorder="1" applyAlignment="1">
      <alignment horizontal="center" vertical="top" shrinkToFit="1"/>
    </xf>
    <xf numFmtId="175" fontId="86" fillId="0" borderId="1" xfId="1538" applyNumberFormat="1" applyFont="1" applyBorder="1"/>
    <xf numFmtId="1" fontId="85" fillId="0" borderId="1" xfId="1538" applyNumberFormat="1" applyFont="1" applyBorder="1" applyAlignment="1">
      <alignment horizontal="left" vertical="top" shrinkToFit="1"/>
    </xf>
    <xf numFmtId="1" fontId="85" fillId="0" borderId="1" xfId="1538" applyNumberFormat="1" applyFont="1" applyBorder="1" applyAlignment="1">
      <alignment horizontal="center" vertical="center" wrapText="1" shrinkToFit="1"/>
    </xf>
    <xf numFmtId="2" fontId="87" fillId="0" borderId="1" xfId="1538" applyNumberFormat="1" applyFont="1" applyBorder="1" applyAlignment="1">
      <alignment horizontal="justify" vertical="top" wrapText="1"/>
    </xf>
    <xf numFmtId="2" fontId="86" fillId="0" borderId="1" xfId="1538" applyNumberFormat="1" applyFont="1" applyBorder="1" applyAlignment="1">
      <alignment vertical="center" wrapText="1"/>
    </xf>
    <xf numFmtId="2" fontId="86" fillId="0" borderId="1" xfId="1538" applyNumberFormat="1" applyFont="1" applyBorder="1" applyAlignment="1">
      <alignment vertical="top" wrapText="1"/>
    </xf>
    <xf numFmtId="175" fontId="86" fillId="0" borderId="1" xfId="1538" applyNumberFormat="1" applyFont="1" applyBorder="1" applyAlignment="1">
      <alignment vertical="top" wrapText="1"/>
    </xf>
    <xf numFmtId="2" fontId="86" fillId="0" borderId="1" xfId="1538" applyNumberFormat="1" applyFont="1" applyBorder="1" applyAlignment="1">
      <alignment vertical="top" wrapText="1" shrinkToFit="1"/>
    </xf>
    <xf numFmtId="177" fontId="86" fillId="0" borderId="1" xfId="1538" applyNumberFormat="1" applyFont="1" applyBorder="1" applyAlignment="1">
      <alignment horizontal="left" vertical="top" wrapText="1" shrinkToFit="1"/>
    </xf>
    <xf numFmtId="2" fontId="85" fillId="0" borderId="1" xfId="1538" applyNumberFormat="1" applyFont="1" applyBorder="1" applyAlignment="1">
      <alignment horizontal="center" vertical="center" wrapText="1" shrinkToFit="1"/>
    </xf>
    <xf numFmtId="0" fontId="85" fillId="16" borderId="1" xfId="1538" applyFont="1" applyFill="1" applyBorder="1"/>
    <xf numFmtId="0" fontId="86" fillId="16" borderId="1" xfId="1538" applyFont="1" applyFill="1" applyBorder="1" applyAlignment="1">
      <alignment horizontal="justify" wrapText="1"/>
    </xf>
    <xf numFmtId="1" fontId="86" fillId="0" borderId="1" xfId="1538" applyNumberFormat="1" applyFont="1" applyBorder="1" applyAlignment="1">
      <alignment shrinkToFit="1"/>
    </xf>
    <xf numFmtId="0" fontId="86" fillId="16" borderId="1" xfId="1538" applyFont="1" applyFill="1" applyBorder="1" applyAlignment="1">
      <alignment horizontal="center" vertical="top"/>
    </xf>
    <xf numFmtId="0" fontId="86" fillId="16" borderId="1" xfId="1538" applyFont="1" applyFill="1" applyBorder="1" applyAlignment="1">
      <alignment horizontal="center"/>
    </xf>
    <xf numFmtId="0" fontId="85" fillId="16" borderId="1" xfId="1538" applyFont="1" applyFill="1" applyBorder="1" applyAlignment="1">
      <alignment horizontal="left" vertical="top"/>
    </xf>
    <xf numFmtId="0" fontId="86" fillId="16" borderId="1" xfId="1538" applyFont="1" applyFill="1" applyBorder="1"/>
    <xf numFmtId="1" fontId="86" fillId="16" borderId="1" xfId="1538" applyNumberFormat="1" applyFont="1" applyFill="1" applyBorder="1"/>
    <xf numFmtId="0" fontId="85" fillId="16" borderId="1" xfId="1538" applyFont="1" applyFill="1" applyBorder="1" applyAlignment="1">
      <alignment horizontal="center"/>
    </xf>
    <xf numFmtId="2" fontId="85" fillId="16" borderId="1" xfId="1538" applyNumberFormat="1" applyFont="1" applyFill="1" applyBorder="1" applyAlignment="1">
      <alignment horizontal="center"/>
    </xf>
    <xf numFmtId="0" fontId="86" fillId="16" borderId="0" xfId="1538" applyFont="1" applyFill="1"/>
    <xf numFmtId="175" fontId="86" fillId="16" borderId="1" xfId="1538" applyNumberFormat="1" applyFont="1" applyFill="1" applyBorder="1"/>
    <xf numFmtId="2" fontId="86" fillId="16" borderId="1" xfId="1538" applyNumberFormat="1" applyFont="1" applyFill="1" applyBorder="1"/>
    <xf numFmtId="2" fontId="85" fillId="16" borderId="1" xfId="1538" applyNumberFormat="1" applyFont="1" applyFill="1" applyBorder="1" applyAlignment="1">
      <alignment shrinkToFit="1"/>
    </xf>
    <xf numFmtId="0" fontId="85" fillId="16" borderId="1" xfId="1538" applyFont="1" applyFill="1" applyBorder="1" applyAlignment="1">
      <alignment horizontal="justify" vertical="top" wrapText="1"/>
    </xf>
    <xf numFmtId="178" fontId="86" fillId="0" borderId="1" xfId="1538" applyNumberFormat="1" applyFont="1" applyBorder="1" applyAlignment="1">
      <alignment vertical="top" shrinkToFit="1"/>
    </xf>
    <xf numFmtId="2" fontId="86" fillId="0" borderId="1" xfId="1" applyNumberFormat="1" applyFont="1" applyBorder="1" applyAlignment="1" applyProtection="1">
      <alignment horizontal="right" vertical="top" shrinkToFit="1"/>
    </xf>
    <xf numFmtId="0" fontId="85" fillId="0" borderId="1" xfId="1538" applyFont="1" applyBorder="1" applyAlignment="1">
      <alignment horizontal="left" vertical="center" shrinkToFit="1"/>
    </xf>
    <xf numFmtId="2" fontId="86" fillId="0" borderId="1" xfId="1" applyNumberFormat="1" applyFont="1" applyBorder="1" applyAlignment="1" applyProtection="1">
      <alignment horizontal="right" vertical="top" wrapText="1" shrinkToFit="1"/>
    </xf>
    <xf numFmtId="179" fontId="85" fillId="0" borderId="1" xfId="1538" applyNumberFormat="1" applyFont="1" applyBorder="1"/>
    <xf numFmtId="179" fontId="85" fillId="0" borderId="1" xfId="1538" applyNumberFormat="1" applyFont="1" applyBorder="1" applyAlignment="1">
      <alignment horizontal="center"/>
    </xf>
    <xf numFmtId="1" fontId="85" fillId="0" borderId="1" xfId="1538" applyNumberFormat="1" applyFont="1" applyBorder="1" applyAlignment="1">
      <alignment horizontal="center" vertical="top" wrapText="1" shrinkToFit="1"/>
    </xf>
    <xf numFmtId="169" fontId="86" fillId="0" borderId="1" xfId="1538" applyNumberFormat="1" applyFont="1" applyBorder="1" applyAlignment="1">
      <alignment horizontal="right" vertical="top" shrinkToFit="1"/>
    </xf>
    <xf numFmtId="2" fontId="85" fillId="0" borderId="1" xfId="1538" applyNumberFormat="1" applyFont="1" applyBorder="1" applyAlignment="1">
      <alignment vertical="center" shrinkToFit="1"/>
    </xf>
    <xf numFmtId="2" fontId="86" fillId="15" borderId="1" xfId="1538" applyNumberFormat="1" applyFont="1" applyFill="1" applyBorder="1" applyAlignment="1">
      <alignment horizontal="center" vertical="top" wrapText="1" shrinkToFit="1"/>
    </xf>
    <xf numFmtId="175" fontId="86" fillId="0" borderId="1" xfId="1538" applyNumberFormat="1" applyFont="1" applyBorder="1" applyAlignment="1">
      <alignment horizontal="right" vertical="top" wrapText="1" shrinkToFit="1"/>
    </xf>
    <xf numFmtId="175" fontId="86" fillId="0" borderId="1" xfId="1538" applyNumberFormat="1" applyFont="1" applyBorder="1" applyAlignment="1">
      <alignment vertical="top" wrapText="1" shrinkToFit="1"/>
    </xf>
    <xf numFmtId="2" fontId="86" fillId="15" borderId="1" xfId="1538" applyNumberFormat="1" applyFont="1" applyFill="1" applyBorder="1" applyAlignment="1">
      <alignment horizontal="center" vertical="top" shrinkToFit="1"/>
    </xf>
    <xf numFmtId="2" fontId="86" fillId="0" borderId="1" xfId="1538" applyNumberFormat="1" applyFont="1" applyBorder="1" applyAlignment="1">
      <alignment shrinkToFit="1"/>
    </xf>
    <xf numFmtId="2" fontId="86" fillId="0" borderId="1" xfId="1538" applyNumberFormat="1" applyFont="1" applyBorder="1" applyAlignment="1">
      <alignment horizontal="right" vertical="center" shrinkToFit="1"/>
    </xf>
    <xf numFmtId="0" fontId="86" fillId="0" borderId="1" xfId="1538" applyFont="1" applyBorder="1" applyAlignment="1">
      <alignment horizontal="center" vertical="center" wrapText="1" shrinkToFit="1"/>
    </xf>
    <xf numFmtId="0" fontId="86" fillId="16" borderId="1" xfId="1538" applyFont="1" applyFill="1" applyBorder="1" applyAlignment="1">
      <alignment horizontal="center" vertical="top" shrinkToFit="1"/>
    </xf>
    <xf numFmtId="2" fontId="86" fillId="0" borderId="1" xfId="1538" applyNumberFormat="1" applyFont="1" applyBorder="1" applyAlignment="1">
      <alignment horizontal="center" vertical="center" wrapText="1" shrinkToFit="1"/>
    </xf>
    <xf numFmtId="179" fontId="86" fillId="0" borderId="1" xfId="1538" applyNumberFormat="1" applyFont="1" applyBorder="1"/>
    <xf numFmtId="0" fontId="86" fillId="23" borderId="0" xfId="1538" applyFont="1" applyFill="1" applyAlignment="1">
      <alignment vertical="center"/>
    </xf>
    <xf numFmtId="0" fontId="86" fillId="23" borderId="0" xfId="1538" applyFont="1" applyFill="1"/>
    <xf numFmtId="0" fontId="86" fillId="0" borderId="1" xfId="1538" applyFont="1" applyBorder="1" applyAlignment="1">
      <alignment horizontal="left" vertical="top" wrapText="1" shrinkToFit="1"/>
    </xf>
    <xf numFmtId="2" fontId="86" fillId="0" borderId="0" xfId="1538" applyNumberFormat="1" applyFont="1" applyAlignment="1">
      <alignment vertical="center"/>
    </xf>
    <xf numFmtId="2" fontId="86" fillId="0" borderId="1" xfId="1" applyNumberFormat="1" applyFont="1" applyBorder="1" applyAlignment="1" applyProtection="1">
      <alignment horizontal="right" vertical="center" shrinkToFit="1"/>
    </xf>
    <xf numFmtId="0" fontId="86" fillId="0" borderId="1" xfId="1538" applyFont="1" applyBorder="1" applyAlignment="1">
      <alignment horizontal="left" vertical="center" shrinkToFit="1"/>
    </xf>
    <xf numFmtId="2" fontId="86" fillId="0" borderId="0" xfId="1538" applyNumberFormat="1" applyFont="1" applyAlignment="1">
      <alignment vertical="top"/>
    </xf>
    <xf numFmtId="0" fontId="85" fillId="0" borderId="1" xfId="1538" applyFont="1" applyBorder="1" applyAlignment="1">
      <alignment horizontal="justify" vertical="center"/>
    </xf>
    <xf numFmtId="0" fontId="86" fillId="0" borderId="1" xfId="1538" applyFont="1" applyBorder="1" applyAlignment="1">
      <alignment horizontal="justify" vertical="top"/>
    </xf>
    <xf numFmtId="2" fontId="86" fillId="15" borderId="1" xfId="1538" applyNumberFormat="1" applyFont="1" applyFill="1" applyBorder="1" applyAlignment="1">
      <alignment horizontal="center" vertical="top" wrapText="1"/>
    </xf>
    <xf numFmtId="2" fontId="86" fillId="24" borderId="1" xfId="1538" applyNumberFormat="1" applyFont="1" applyFill="1" applyBorder="1" applyAlignment="1">
      <alignment vertical="top" shrinkToFit="1"/>
    </xf>
    <xf numFmtId="49" fontId="86" fillId="0" borderId="1" xfId="1538" applyNumberFormat="1" applyFont="1" applyBorder="1" applyAlignment="1">
      <alignment horizontal="justify" vertical="top" wrapText="1"/>
    </xf>
    <xf numFmtId="49" fontId="85" fillId="0" borderId="1" xfId="1538" applyNumberFormat="1" applyFont="1" applyBorder="1" applyAlignment="1">
      <alignment horizontal="justify" vertical="top" wrapText="1"/>
    </xf>
    <xf numFmtId="49" fontId="85" fillId="0" borderId="1" xfId="1538" applyNumberFormat="1" applyFont="1" applyBorder="1" applyAlignment="1">
      <alignment horizontal="left" vertical="top" wrapText="1"/>
    </xf>
    <xf numFmtId="4" fontId="86" fillId="0" borderId="1" xfId="1538" applyNumberFormat="1" applyFont="1" applyBorder="1" applyAlignment="1">
      <alignment horizontal="right" wrapText="1"/>
    </xf>
    <xf numFmtId="0" fontId="86" fillId="0" borderId="1" xfId="1538" applyFont="1" applyBorder="1" applyAlignment="1">
      <alignment horizontal="left" shrinkToFit="1"/>
    </xf>
    <xf numFmtId="2" fontId="86" fillId="24" borderId="1" xfId="1538" applyNumberFormat="1" applyFont="1" applyFill="1" applyBorder="1" applyAlignment="1">
      <alignment shrinkToFit="1"/>
    </xf>
    <xf numFmtId="0" fontId="86" fillId="0" borderId="1" xfId="1538" applyFont="1" applyBorder="1" applyAlignment="1">
      <alignment shrinkToFit="1"/>
    </xf>
    <xf numFmtId="178" fontId="86" fillId="0" borderId="1" xfId="1538" applyNumberFormat="1" applyFont="1" applyBorder="1" applyAlignment="1">
      <alignment vertical="top" wrapText="1"/>
    </xf>
    <xf numFmtId="1" fontId="85" fillId="0" borderId="1" xfId="1538" applyNumberFormat="1" applyFont="1" applyBorder="1" applyAlignment="1">
      <alignment vertical="top"/>
    </xf>
    <xf numFmtId="178" fontId="86" fillId="0" borderId="1" xfId="1538" applyNumberFormat="1" applyFont="1" applyBorder="1" applyAlignment="1">
      <alignment horizontal="right" vertical="top" wrapText="1"/>
    </xf>
    <xf numFmtId="0" fontId="86" fillId="26" borderId="1" xfId="1538" applyFont="1" applyFill="1" applyBorder="1" applyAlignment="1">
      <alignment horizontal="center" vertical="top" shrinkToFit="1"/>
    </xf>
    <xf numFmtId="0" fontId="85" fillId="26" borderId="1" xfId="1538" applyFont="1" applyFill="1" applyBorder="1"/>
    <xf numFmtId="0" fontId="86" fillId="26" borderId="1" xfId="1538" applyFont="1" applyFill="1" applyBorder="1"/>
    <xf numFmtId="0" fontId="86" fillId="26" borderId="1" xfId="1538" applyFont="1" applyFill="1" applyBorder="1" applyAlignment="1">
      <alignment horizontal="center"/>
    </xf>
    <xf numFmtId="2" fontId="86" fillId="26" borderId="1" xfId="1538" applyNumberFormat="1" applyFont="1" applyFill="1" applyBorder="1" applyAlignment="1">
      <alignment horizontal="center"/>
    </xf>
    <xf numFmtId="0" fontId="86" fillId="26" borderId="1" xfId="1538" applyFont="1" applyFill="1" applyBorder="1" applyAlignment="1">
      <alignment horizontal="justify" wrapText="1"/>
    </xf>
    <xf numFmtId="2" fontId="86" fillId="26" borderId="1" xfId="1538" applyNumberFormat="1" applyFont="1" applyFill="1" applyBorder="1"/>
    <xf numFmtId="1" fontId="86" fillId="26" borderId="1" xfId="1538" applyNumberFormat="1" applyFont="1" applyFill="1" applyBorder="1"/>
    <xf numFmtId="2" fontId="86" fillId="26" borderId="1" xfId="1538" applyNumberFormat="1" applyFont="1" applyFill="1" applyBorder="1" applyAlignment="1">
      <alignment horizontal="center" shrinkToFit="1"/>
    </xf>
    <xf numFmtId="0" fontId="86" fillId="26" borderId="1" xfId="1538" applyFont="1" applyFill="1" applyBorder="1" applyAlignment="1">
      <alignment horizontal="center" vertical="top" wrapText="1" shrinkToFit="1"/>
    </xf>
    <xf numFmtId="2" fontId="86" fillId="26" borderId="1" xfId="1538" applyNumberFormat="1" applyFont="1" applyFill="1" applyBorder="1" applyAlignment="1">
      <alignment vertical="top" wrapText="1"/>
    </xf>
    <xf numFmtId="0" fontId="86" fillId="26" borderId="1" xfId="1538" applyFont="1" applyFill="1" applyBorder="1" applyAlignment="1">
      <alignment vertical="top" wrapText="1"/>
    </xf>
    <xf numFmtId="2" fontId="86" fillId="26" borderId="1" xfId="1538" applyNumberFormat="1" applyFont="1" applyFill="1" applyBorder="1" applyAlignment="1">
      <alignment horizontal="center" vertical="top" wrapText="1"/>
    </xf>
    <xf numFmtId="1" fontId="86" fillId="26" borderId="1" xfId="1538" applyNumberFormat="1" applyFont="1" applyFill="1" applyBorder="1" applyAlignment="1">
      <alignment vertical="top" wrapText="1"/>
    </xf>
    <xf numFmtId="2" fontId="86" fillId="26" borderId="1" xfId="1538" applyNumberFormat="1" applyFont="1" applyFill="1" applyBorder="1" applyAlignment="1">
      <alignment horizontal="center" vertical="top" wrapText="1" shrinkToFit="1"/>
    </xf>
    <xf numFmtId="2" fontId="86" fillId="26" borderId="1" xfId="1" applyNumberFormat="1" applyFont="1" applyFill="1" applyBorder="1" applyAlignment="1" applyProtection="1">
      <alignment horizontal="right" vertical="top" wrapText="1" shrinkToFit="1"/>
    </xf>
    <xf numFmtId="0" fontId="85" fillId="26" borderId="1" xfId="1538" applyFont="1" applyFill="1" applyBorder="1" applyAlignment="1">
      <alignment horizontal="justify" vertical="center"/>
    </xf>
    <xf numFmtId="2" fontId="86" fillId="26" borderId="1" xfId="1538" applyNumberFormat="1" applyFont="1" applyFill="1" applyBorder="1" applyAlignment="1">
      <alignment vertical="center"/>
    </xf>
    <xf numFmtId="0" fontId="86" fillId="26" borderId="1" xfId="1538" applyFont="1" applyFill="1" applyBorder="1" applyAlignment="1">
      <alignment vertical="center"/>
    </xf>
    <xf numFmtId="2" fontId="86" fillId="26" borderId="1" xfId="1538" applyNumberFormat="1" applyFont="1" applyFill="1" applyBorder="1" applyAlignment="1">
      <alignment horizontal="center" vertical="center"/>
    </xf>
    <xf numFmtId="1" fontId="86" fillId="26" borderId="1" xfId="1538" applyNumberFormat="1" applyFont="1" applyFill="1" applyBorder="1" applyAlignment="1">
      <alignment vertical="center"/>
    </xf>
    <xf numFmtId="2" fontId="85" fillId="26" borderId="1" xfId="1538" applyNumberFormat="1" applyFont="1" applyFill="1" applyBorder="1" applyAlignment="1">
      <alignment horizontal="center" vertical="center" shrinkToFit="1"/>
    </xf>
    <xf numFmtId="2" fontId="85" fillId="26" borderId="1" xfId="1538" applyNumberFormat="1" applyFont="1" applyFill="1" applyBorder="1" applyAlignment="1">
      <alignment horizontal="center" shrinkToFit="1"/>
    </xf>
    <xf numFmtId="2" fontId="85" fillId="26" borderId="1" xfId="1538" applyNumberFormat="1" applyFont="1" applyFill="1" applyBorder="1" applyAlignment="1">
      <alignment horizontal="center" vertical="top" shrinkToFit="1"/>
    </xf>
    <xf numFmtId="1" fontId="85" fillId="26" borderId="1" xfId="1538" applyNumberFormat="1" applyFont="1" applyFill="1" applyBorder="1" applyAlignment="1">
      <alignment horizontal="center" vertical="top" shrinkToFit="1"/>
    </xf>
    <xf numFmtId="0" fontId="85" fillId="26" borderId="1" xfId="1538" applyFont="1" applyFill="1" applyBorder="1" applyAlignment="1">
      <alignment horizontal="center" vertical="top" shrinkToFit="1"/>
    </xf>
    <xf numFmtId="2" fontId="86" fillId="26" borderId="1" xfId="1538" applyNumberFormat="1" applyFont="1" applyFill="1" applyBorder="1" applyAlignment="1">
      <alignment horizontal="center" vertical="top" shrinkToFit="1"/>
    </xf>
    <xf numFmtId="2" fontId="85" fillId="26" borderId="1" xfId="1538" applyNumberFormat="1" applyFont="1" applyFill="1" applyBorder="1" applyAlignment="1">
      <alignment horizontal="right" vertical="center" wrapText="1"/>
    </xf>
    <xf numFmtId="1" fontId="85" fillId="26" borderId="1" xfId="1538" applyNumberFormat="1" applyFont="1" applyFill="1" applyBorder="1" applyAlignment="1">
      <alignment horizontal="center" vertical="center" shrinkToFit="1"/>
    </xf>
    <xf numFmtId="0" fontId="85" fillId="26" borderId="1" xfId="1538" applyFont="1" applyFill="1" applyBorder="1" applyAlignment="1">
      <alignment horizontal="left" vertical="top"/>
    </xf>
    <xf numFmtId="2" fontId="86" fillId="26" borderId="1" xfId="1538" applyNumberFormat="1" applyFont="1" applyFill="1" applyBorder="1" applyAlignment="1">
      <alignment shrinkToFit="1"/>
    </xf>
    <xf numFmtId="2" fontId="86" fillId="26" borderId="1" xfId="1538" applyNumberFormat="1" applyFont="1" applyFill="1" applyBorder="1" applyAlignment="1">
      <alignment vertical="top" shrinkToFit="1"/>
    </xf>
    <xf numFmtId="1" fontId="85" fillId="26" borderId="1" xfId="1538" applyNumberFormat="1" applyFont="1" applyFill="1" applyBorder="1"/>
    <xf numFmtId="2" fontId="85" fillId="26" borderId="1" xfId="1538" applyNumberFormat="1" applyFont="1" applyFill="1" applyBorder="1" applyAlignment="1">
      <alignment horizontal="center"/>
    </xf>
    <xf numFmtId="2" fontId="85" fillId="26" borderId="1" xfId="1538" applyNumberFormat="1" applyFont="1" applyFill="1" applyBorder="1" applyAlignment="1">
      <alignment horizontal="right" vertical="top" wrapText="1"/>
    </xf>
    <xf numFmtId="1" fontId="86" fillId="27" borderId="1" xfId="1538" applyNumberFormat="1" applyFont="1" applyFill="1" applyBorder="1" applyAlignment="1">
      <alignment horizontal="center" vertical="top" shrinkToFit="1"/>
    </xf>
    <xf numFmtId="0" fontId="86" fillId="27" borderId="1" xfId="1538" applyFont="1" applyFill="1" applyBorder="1" applyAlignment="1">
      <alignment horizontal="center" vertical="top" shrinkToFit="1"/>
    </xf>
    <xf numFmtId="0" fontId="86" fillId="19" borderId="1" xfId="1538" applyFont="1" applyFill="1" applyBorder="1"/>
    <xf numFmtId="0" fontId="85" fillId="27" borderId="1" xfId="1538" applyFont="1" applyFill="1" applyBorder="1" applyAlignment="1">
      <alignment vertical="top" wrapText="1"/>
    </xf>
    <xf numFmtId="0" fontId="86" fillId="27" borderId="1" xfId="1538" applyFont="1" applyFill="1" applyBorder="1"/>
    <xf numFmtId="0" fontId="86" fillId="27" borderId="1" xfId="1538" applyFont="1" applyFill="1" applyBorder="1" applyAlignment="1">
      <alignment horizontal="center"/>
    </xf>
    <xf numFmtId="2" fontId="86" fillId="27" borderId="1" xfId="1538" applyNumberFormat="1" applyFont="1" applyFill="1" applyBorder="1" applyAlignment="1">
      <alignment horizontal="center"/>
    </xf>
    <xf numFmtId="2" fontId="86" fillId="27" borderId="1" xfId="1538" applyNumberFormat="1" applyFont="1" applyFill="1" applyBorder="1"/>
    <xf numFmtId="1" fontId="86" fillId="27" borderId="1" xfId="1538" applyNumberFormat="1" applyFont="1" applyFill="1" applyBorder="1"/>
    <xf numFmtId="2" fontId="86" fillId="27" borderId="1" xfId="1538" applyNumberFormat="1" applyFont="1" applyFill="1" applyBorder="1" applyAlignment="1">
      <alignment horizontal="center" shrinkToFit="1"/>
    </xf>
    <xf numFmtId="0" fontId="86" fillId="27" borderId="1" xfId="1538" applyFont="1" applyFill="1" applyBorder="1" applyAlignment="1">
      <alignment horizontal="center" vertical="top" wrapText="1" shrinkToFit="1"/>
    </xf>
    <xf numFmtId="2" fontId="86" fillId="27" borderId="1" xfId="1538" applyNumberFormat="1" applyFont="1" applyFill="1" applyBorder="1" applyAlignment="1">
      <alignment vertical="top" wrapText="1"/>
    </xf>
    <xf numFmtId="0" fontId="86" fillId="27" borderId="1" xfId="1538" applyFont="1" applyFill="1" applyBorder="1" applyAlignment="1">
      <alignment vertical="top" wrapText="1"/>
    </xf>
    <xf numFmtId="2" fontId="86" fillId="27" borderId="1" xfId="1538" applyNumberFormat="1" applyFont="1" applyFill="1" applyBorder="1" applyAlignment="1">
      <alignment horizontal="center" vertical="top" wrapText="1"/>
    </xf>
    <xf numFmtId="1" fontId="86" fillId="27" borderId="1" xfId="1538" applyNumberFormat="1" applyFont="1" applyFill="1" applyBorder="1" applyAlignment="1">
      <alignment vertical="top" wrapText="1"/>
    </xf>
    <xf numFmtId="2" fontId="86" fillId="27" borderId="1" xfId="1538" applyNumberFormat="1" applyFont="1" applyFill="1" applyBorder="1" applyAlignment="1">
      <alignment horizontal="center" vertical="top" wrapText="1" shrinkToFit="1"/>
    </xf>
    <xf numFmtId="0" fontId="86" fillId="19" borderId="1" xfId="1538" applyFont="1" applyFill="1" applyBorder="1" applyAlignment="1">
      <alignment vertical="top" wrapText="1"/>
    </xf>
    <xf numFmtId="2" fontId="86" fillId="27" borderId="1" xfId="1538" applyNumberFormat="1" applyFont="1" applyFill="1" applyBorder="1" applyAlignment="1">
      <alignment vertical="top"/>
    </xf>
    <xf numFmtId="0" fontId="86" fillId="27" borderId="1" xfId="1538" applyFont="1" applyFill="1" applyBorder="1" applyAlignment="1">
      <alignment vertical="top"/>
    </xf>
    <xf numFmtId="1" fontId="86" fillId="27" borderId="1" xfId="1538" applyNumberFormat="1" applyFont="1" applyFill="1" applyBorder="1" applyAlignment="1">
      <alignment vertical="top"/>
    </xf>
    <xf numFmtId="2" fontId="86" fillId="27" borderId="1" xfId="1538" applyNumberFormat="1" applyFont="1" applyFill="1" applyBorder="1" applyAlignment="1">
      <alignment vertical="top" shrinkToFit="1"/>
    </xf>
    <xf numFmtId="2" fontId="86" fillId="27" borderId="1" xfId="1" applyNumberFormat="1" applyFont="1" applyFill="1" applyBorder="1" applyAlignment="1" applyProtection="1">
      <alignment horizontal="right" vertical="top" wrapText="1" shrinkToFit="1"/>
    </xf>
    <xf numFmtId="0" fontId="86" fillId="27" borderId="1" xfId="1538" applyFont="1" applyFill="1" applyBorder="1" applyAlignment="1">
      <alignment horizontal="center" vertical="center" shrinkToFit="1"/>
    </xf>
    <xf numFmtId="2" fontId="86" fillId="27" borderId="1" xfId="1538" applyNumberFormat="1" applyFont="1" applyFill="1" applyBorder="1" applyAlignment="1">
      <alignment vertical="center"/>
    </xf>
    <xf numFmtId="0" fontId="86" fillId="27" borderId="1" xfId="1538" applyFont="1" applyFill="1" applyBorder="1" applyAlignment="1">
      <alignment vertical="center"/>
    </xf>
    <xf numFmtId="2" fontId="86" fillId="27" borderId="1" xfId="1538" applyNumberFormat="1" applyFont="1" applyFill="1" applyBorder="1" applyAlignment="1">
      <alignment horizontal="center" vertical="center"/>
    </xf>
    <xf numFmtId="1" fontId="86" fillId="27" borderId="1" xfId="1538" applyNumberFormat="1" applyFont="1" applyFill="1" applyBorder="1" applyAlignment="1">
      <alignment vertical="center"/>
    </xf>
    <xf numFmtId="2" fontId="85" fillId="27" borderId="1" xfId="1538" applyNumberFormat="1" applyFont="1" applyFill="1" applyBorder="1" applyAlignment="1">
      <alignment horizontal="center" vertical="center" shrinkToFit="1"/>
    </xf>
    <xf numFmtId="0" fontId="86" fillId="19" borderId="1" xfId="1538" applyFont="1" applyFill="1" applyBorder="1" applyAlignment="1">
      <alignment vertical="center"/>
    </xf>
    <xf numFmtId="2" fontId="85" fillId="27" borderId="1" xfId="1538" applyNumberFormat="1" applyFont="1" applyFill="1" applyBorder="1" applyAlignment="1">
      <alignment horizontal="center" shrinkToFit="1"/>
    </xf>
    <xf numFmtId="2" fontId="85" fillId="27" borderId="1" xfId="1538" applyNumberFormat="1" applyFont="1" applyFill="1" applyBorder="1" applyAlignment="1">
      <alignment horizontal="center" vertical="top" shrinkToFit="1"/>
    </xf>
    <xf numFmtId="1" fontId="85" fillId="27" borderId="1" xfId="1538" applyNumberFormat="1" applyFont="1" applyFill="1" applyBorder="1" applyAlignment="1">
      <alignment horizontal="center" vertical="top" shrinkToFit="1"/>
    </xf>
    <xf numFmtId="0" fontId="85" fillId="27" borderId="1" xfId="1538" applyFont="1" applyFill="1" applyBorder="1" applyAlignment="1">
      <alignment horizontal="center" vertical="top" shrinkToFit="1"/>
    </xf>
    <xf numFmtId="2" fontId="86" fillId="27" borderId="1" xfId="1538" applyNumberFormat="1" applyFont="1" applyFill="1" applyBorder="1" applyAlignment="1">
      <alignment horizontal="center" vertical="top" shrinkToFit="1"/>
    </xf>
    <xf numFmtId="2" fontId="85" fillId="27" borderId="1" xfId="1538" applyNumberFormat="1" applyFont="1" applyFill="1" applyBorder="1" applyAlignment="1">
      <alignment horizontal="right" vertical="top" wrapText="1"/>
    </xf>
    <xf numFmtId="1" fontId="85" fillId="27" borderId="1" xfId="1538" applyNumberFormat="1" applyFont="1" applyFill="1" applyBorder="1" applyAlignment="1">
      <alignment horizontal="center" vertical="center" shrinkToFit="1"/>
    </xf>
    <xf numFmtId="0" fontId="86" fillId="26" borderId="1" xfId="1538" applyFont="1" applyFill="1" applyBorder="1" applyAlignment="1">
      <alignment horizontal="left" shrinkToFit="1"/>
    </xf>
    <xf numFmtId="1" fontId="86" fillId="26" borderId="1" xfId="1538" applyNumberFormat="1" applyFont="1" applyFill="1" applyBorder="1" applyAlignment="1">
      <alignment shrinkToFit="1"/>
    </xf>
    <xf numFmtId="177" fontId="86" fillId="26" borderId="1" xfId="1538" applyNumberFormat="1" applyFont="1" applyFill="1" applyBorder="1" applyAlignment="1">
      <alignment horizontal="left" shrinkToFit="1"/>
    </xf>
    <xf numFmtId="0" fontId="86" fillId="26" borderId="1" xfId="1538" applyFont="1" applyFill="1" applyBorder="1" applyAlignment="1">
      <alignment horizontal="left" vertical="top" shrinkToFit="1"/>
    </xf>
    <xf numFmtId="1" fontId="86" fillId="26" borderId="1" xfId="1538" applyNumberFormat="1" applyFont="1" applyFill="1" applyBorder="1" applyAlignment="1">
      <alignment vertical="top" shrinkToFit="1"/>
    </xf>
    <xf numFmtId="177" fontId="86" fillId="26" borderId="1" xfId="1538" applyNumberFormat="1" applyFont="1" applyFill="1" applyBorder="1" applyAlignment="1">
      <alignment horizontal="left" vertical="center" shrinkToFit="1"/>
    </xf>
    <xf numFmtId="175" fontId="86" fillId="26" borderId="1" xfId="1538" applyNumberFormat="1" applyFont="1" applyFill="1" applyBorder="1" applyAlignment="1">
      <alignment vertical="top" shrinkToFit="1"/>
    </xf>
    <xf numFmtId="2" fontId="86" fillId="15" borderId="1" xfId="1538" applyNumberFormat="1" applyFont="1" applyFill="1" applyBorder="1"/>
    <xf numFmtId="0" fontId="86" fillId="26" borderId="1" xfId="1538" applyFont="1" applyFill="1" applyBorder="1" applyAlignment="1">
      <alignment vertical="top" shrinkToFit="1"/>
    </xf>
    <xf numFmtId="2" fontId="86" fillId="26" borderId="1" xfId="1" applyNumberFormat="1" applyFont="1" applyFill="1" applyBorder="1" applyAlignment="1" applyProtection="1">
      <alignment horizontal="right" vertical="top" shrinkToFit="1"/>
    </xf>
    <xf numFmtId="1" fontId="86" fillId="26" borderId="1" xfId="1538" applyNumberFormat="1" applyFont="1" applyFill="1" applyBorder="1" applyAlignment="1">
      <alignment vertical="top"/>
    </xf>
    <xf numFmtId="0" fontId="86" fillId="26" borderId="1" xfId="1538" applyFont="1" applyFill="1" applyBorder="1" applyAlignment="1">
      <alignment horizontal="left" vertical="top"/>
    </xf>
    <xf numFmtId="9" fontId="86" fillId="26" borderId="1" xfId="1" applyFont="1" applyFill="1" applyBorder="1" applyAlignment="1" applyProtection="1">
      <alignment vertical="top" shrinkToFit="1"/>
    </xf>
    <xf numFmtId="2" fontId="86" fillId="26" borderId="1" xfId="1538" applyNumberFormat="1" applyFont="1" applyFill="1" applyBorder="1" applyAlignment="1">
      <alignment vertical="center" shrinkToFit="1"/>
    </xf>
    <xf numFmtId="0" fontId="86" fillId="26" borderId="1" xfId="1538" applyFont="1" applyFill="1" applyBorder="1" applyAlignment="1">
      <alignment horizontal="left" vertical="center" shrinkToFit="1"/>
    </xf>
    <xf numFmtId="2" fontId="86" fillId="26" borderId="1" xfId="1538" applyNumberFormat="1" applyFont="1" applyFill="1" applyBorder="1" applyAlignment="1">
      <alignment horizontal="center" vertical="center" shrinkToFit="1"/>
    </xf>
    <xf numFmtId="1" fontId="86" fillId="26" borderId="1" xfId="1538" applyNumberFormat="1" applyFont="1" applyFill="1" applyBorder="1" applyAlignment="1">
      <alignment vertical="center" shrinkToFit="1"/>
    </xf>
    <xf numFmtId="2" fontId="85" fillId="26" borderId="1" xfId="1538" applyNumberFormat="1" applyFont="1" applyFill="1" applyBorder="1" applyAlignment="1">
      <alignment horizontal="center" vertical="center"/>
    </xf>
    <xf numFmtId="49" fontId="85" fillId="26" borderId="1" xfId="1538" applyNumberFormat="1" applyFont="1" applyFill="1" applyBorder="1" applyAlignment="1">
      <alignment horizontal="justify" wrapText="1"/>
    </xf>
    <xf numFmtId="2" fontId="86" fillId="26" borderId="1" xfId="1538" applyNumberFormat="1" applyFont="1" applyFill="1" applyBorder="1" applyAlignment="1">
      <alignment vertical="top" wrapText="1" shrinkToFit="1"/>
    </xf>
    <xf numFmtId="0" fontId="86" fillId="26" borderId="1" xfId="1538" applyFont="1" applyFill="1" applyBorder="1" applyAlignment="1">
      <alignment horizontal="left" vertical="top" wrapText="1" shrinkToFit="1"/>
    </xf>
    <xf numFmtId="1" fontId="86" fillId="26" borderId="1" xfId="1538" applyNumberFormat="1" applyFont="1" applyFill="1" applyBorder="1" applyAlignment="1">
      <alignment vertical="top" wrapText="1" shrinkToFit="1"/>
    </xf>
    <xf numFmtId="177" fontId="86" fillId="26" borderId="1" xfId="1538" applyNumberFormat="1" applyFont="1" applyFill="1" applyBorder="1" applyAlignment="1">
      <alignment horizontal="left" vertical="top" wrapText="1" shrinkToFit="1"/>
    </xf>
    <xf numFmtId="2" fontId="86" fillId="0" borderId="0" xfId="1538" applyNumberFormat="1" applyFont="1" applyAlignment="1">
      <alignment vertical="top" wrapText="1"/>
    </xf>
    <xf numFmtId="1" fontId="86" fillId="26" borderId="1" xfId="1538" applyNumberFormat="1" applyFont="1" applyFill="1" applyBorder="1" applyAlignment="1">
      <alignment horizontal="center" vertical="top" shrinkToFit="1"/>
    </xf>
    <xf numFmtId="0" fontId="86" fillId="25" borderId="0" xfId="1538" applyFont="1" applyFill="1"/>
    <xf numFmtId="0" fontId="85" fillId="26" borderId="1" xfId="1538" applyFont="1" applyFill="1" applyBorder="1" applyAlignment="1">
      <alignment vertical="top" wrapText="1"/>
    </xf>
    <xf numFmtId="2" fontId="86" fillId="28" borderId="1" xfId="1538" applyNumberFormat="1" applyFont="1" applyFill="1" applyBorder="1" applyAlignment="1">
      <alignment horizontal="center" vertical="top" wrapText="1" shrinkToFit="1"/>
    </xf>
    <xf numFmtId="49" fontId="85" fillId="26" borderId="1" xfId="1538" applyNumberFormat="1" applyFont="1" applyFill="1" applyBorder="1" applyAlignment="1">
      <alignment horizontal="justify" vertical="top" wrapText="1"/>
    </xf>
    <xf numFmtId="2" fontId="86" fillId="26" borderId="1" xfId="1538" applyNumberFormat="1" applyFont="1" applyFill="1" applyBorder="1" applyAlignment="1">
      <alignment horizontal="left" vertical="top" shrinkToFit="1"/>
    </xf>
    <xf numFmtId="0" fontId="85" fillId="26" borderId="1" xfId="1538" applyFont="1" applyFill="1" applyBorder="1" applyAlignment="1">
      <alignment horizontal="left" vertical="top" shrinkToFit="1"/>
    </xf>
    <xf numFmtId="0" fontId="85" fillId="26" borderId="1" xfId="1538" applyFont="1" applyFill="1" applyBorder="1" applyAlignment="1">
      <alignment horizontal="center" vertical="center" shrinkToFit="1"/>
    </xf>
    <xf numFmtId="2" fontId="86" fillId="29" borderId="1" xfId="1538" applyNumberFormat="1" applyFont="1" applyFill="1" applyBorder="1" applyAlignment="1">
      <alignment horizontal="center" vertical="top" wrapText="1"/>
    </xf>
    <xf numFmtId="0" fontId="86" fillId="16" borderId="1" xfId="1538" applyFont="1" applyFill="1" applyBorder="1" applyAlignment="1">
      <alignment vertical="top" wrapText="1"/>
    </xf>
    <xf numFmtId="2" fontId="85" fillId="26" borderId="1" xfId="1538" applyNumberFormat="1" applyFont="1" applyFill="1" applyBorder="1" applyAlignment="1">
      <alignment vertical="top" shrinkToFit="1"/>
    </xf>
    <xf numFmtId="2" fontId="86" fillId="26" borderId="1" xfId="1538" applyNumberFormat="1" applyFont="1" applyFill="1" applyBorder="1" applyAlignment="1">
      <alignment horizontal="left" shrinkToFit="1"/>
    </xf>
    <xf numFmtId="2" fontId="86" fillId="26" borderId="1" xfId="1538" applyNumberFormat="1" applyFont="1" applyFill="1" applyBorder="1" applyAlignment="1">
      <alignment horizontal="left" vertical="top" wrapText="1" shrinkToFit="1"/>
    </xf>
    <xf numFmtId="2" fontId="86" fillId="29" borderId="1" xfId="1538" applyNumberFormat="1" applyFont="1" applyFill="1" applyBorder="1" applyAlignment="1">
      <alignment horizontal="center" vertical="top" wrapText="1" shrinkToFit="1"/>
    </xf>
    <xf numFmtId="0" fontId="85" fillId="26" borderId="1" xfId="1538" applyFont="1" applyFill="1" applyBorder="1" applyAlignment="1">
      <alignment horizontal="left" vertical="top" wrapText="1" shrinkToFit="1"/>
    </xf>
    <xf numFmtId="2" fontId="85" fillId="26" borderId="1" xfId="1538" applyNumberFormat="1" applyFont="1" applyFill="1" applyBorder="1" applyAlignment="1">
      <alignment horizontal="center" vertical="top" wrapText="1" shrinkToFit="1"/>
    </xf>
    <xf numFmtId="0" fontId="86" fillId="26" borderId="1" xfId="1538" applyFont="1" applyFill="1" applyBorder="1" applyAlignment="1">
      <alignment vertical="top" wrapText="1" shrinkToFit="1"/>
    </xf>
    <xf numFmtId="1" fontId="85" fillId="26" borderId="1" xfId="1538" applyNumberFormat="1" applyFont="1" applyFill="1" applyBorder="1" applyAlignment="1">
      <alignment vertical="center"/>
    </xf>
    <xf numFmtId="49" fontId="86" fillId="26" borderId="1" xfId="1538" applyNumberFormat="1" applyFont="1" applyFill="1" applyBorder="1" applyAlignment="1">
      <alignment horizontal="justify" wrapText="1"/>
    </xf>
    <xf numFmtId="0" fontId="85" fillId="26" borderId="1" xfId="1538" applyFont="1" applyFill="1" applyBorder="1" applyAlignment="1">
      <alignment horizontal="right" vertical="top" shrinkToFit="1"/>
    </xf>
    <xf numFmtId="0" fontId="86" fillId="16" borderId="1" xfId="1538" applyFont="1" applyFill="1" applyBorder="1" applyAlignment="1">
      <alignment horizontal="left" vertical="top"/>
    </xf>
    <xf numFmtId="2" fontId="86" fillId="26" borderId="1" xfId="1538" applyNumberFormat="1" applyFont="1" applyFill="1" applyBorder="1" applyAlignment="1">
      <alignment horizontal="right" vertical="top" wrapText="1"/>
    </xf>
    <xf numFmtId="0" fontId="86" fillId="15" borderId="1" xfId="1538" applyFont="1" applyFill="1" applyBorder="1"/>
    <xf numFmtId="0" fontId="86" fillId="0" borderId="0" xfId="1538" applyFont="1" applyAlignment="1">
      <alignment horizontal="justify" vertical="top" wrapText="1"/>
    </xf>
    <xf numFmtId="2" fontId="86" fillId="26" borderId="1" xfId="1538" applyNumberFormat="1" applyFont="1" applyFill="1" applyBorder="1" applyAlignment="1">
      <alignment horizontal="right" vertical="top" wrapText="1" shrinkToFit="1"/>
    </xf>
    <xf numFmtId="1" fontId="86" fillId="26" borderId="1" xfId="1538" applyNumberFormat="1" applyFont="1" applyFill="1" applyBorder="1" applyAlignment="1">
      <alignment horizontal="right" vertical="top" wrapText="1"/>
    </xf>
    <xf numFmtId="1" fontId="86" fillId="26" borderId="1" xfId="1538" applyNumberFormat="1" applyFont="1" applyFill="1" applyBorder="1" applyAlignment="1">
      <alignment horizontal="right" vertical="top" wrapText="1" shrinkToFit="1"/>
    </xf>
    <xf numFmtId="0" fontId="86" fillId="26" borderId="1" xfId="1538" applyFont="1" applyFill="1" applyBorder="1" applyAlignment="1">
      <alignment horizontal="center" vertical="center" wrapText="1"/>
    </xf>
    <xf numFmtId="2" fontId="86" fillId="26" borderId="1" xfId="1538" applyNumberFormat="1" applyFont="1" applyFill="1" applyBorder="1" applyAlignment="1">
      <alignment horizontal="left" vertical="center" shrinkToFit="1"/>
    </xf>
    <xf numFmtId="0" fontId="85" fillId="26" borderId="1" xfId="1538" applyFont="1" applyFill="1" applyBorder="1" applyAlignment="1">
      <alignment horizontal="left" vertical="center" shrinkToFit="1"/>
    </xf>
    <xf numFmtId="0" fontId="86" fillId="0" borderId="0" xfId="1538" applyFont="1" applyAlignment="1">
      <alignment horizontal="justify" vertical="center" wrapText="1"/>
    </xf>
    <xf numFmtId="0" fontId="85" fillId="26" borderId="1" xfId="1538" applyFont="1" applyFill="1" applyBorder="1" applyAlignment="1">
      <alignment horizontal="center" vertical="center"/>
    </xf>
    <xf numFmtId="1" fontId="85" fillId="26" borderId="1" xfId="1538" applyNumberFormat="1" applyFont="1" applyFill="1" applyBorder="1" applyAlignment="1">
      <alignment horizontal="center" vertical="center"/>
    </xf>
    <xf numFmtId="1" fontId="86" fillId="26" borderId="1" xfId="1538" applyNumberFormat="1" applyFont="1" applyFill="1" applyBorder="1" applyAlignment="1">
      <alignment horizontal="right"/>
    </xf>
    <xf numFmtId="2" fontId="85" fillId="26" borderId="1" xfId="1538" applyNumberFormat="1" applyFont="1" applyFill="1" applyBorder="1" applyAlignment="1">
      <alignment horizontal="justify" vertical="top" wrapText="1"/>
    </xf>
    <xf numFmtId="175" fontId="86" fillId="26" borderId="1" xfId="1538" applyNumberFormat="1" applyFont="1" applyFill="1" applyBorder="1"/>
    <xf numFmtId="2" fontId="86" fillId="26" borderId="1" xfId="1538" applyNumberFormat="1" applyFont="1" applyFill="1" applyBorder="1" applyAlignment="1">
      <alignment horizontal="right" shrinkToFit="1"/>
    </xf>
    <xf numFmtId="1" fontId="86" fillId="26" borderId="1" xfId="1538" applyNumberFormat="1" applyFont="1" applyFill="1" applyBorder="1" applyAlignment="1">
      <alignment horizontal="right" shrinkToFit="1"/>
    </xf>
    <xf numFmtId="0" fontId="85" fillId="26" borderId="1" xfId="1538" applyFont="1" applyFill="1" applyBorder="1" applyAlignment="1">
      <alignment horizontal="center"/>
    </xf>
    <xf numFmtId="2" fontId="86" fillId="26" borderId="1" xfId="1538" applyNumberFormat="1" applyFont="1" applyFill="1" applyBorder="1" applyAlignment="1">
      <alignment horizontal="justify" vertical="top" wrapText="1"/>
    </xf>
    <xf numFmtId="0" fontId="86" fillId="26" borderId="1" xfId="1538" applyFont="1" applyFill="1" applyBorder="1" applyAlignment="1">
      <alignment vertical="top"/>
    </xf>
    <xf numFmtId="2" fontId="86" fillId="26" borderId="1" xfId="1538" applyNumberFormat="1" applyFont="1" applyFill="1" applyBorder="1" applyAlignment="1">
      <alignment horizontal="right" vertical="top" shrinkToFit="1"/>
    </xf>
    <xf numFmtId="1" fontId="86" fillId="26" borderId="1" xfId="1538" applyNumberFormat="1" applyFont="1" applyFill="1" applyBorder="1" applyAlignment="1">
      <alignment horizontal="right" vertical="top" shrinkToFit="1"/>
    </xf>
    <xf numFmtId="0" fontId="85" fillId="26" borderId="1" xfId="1538" applyFont="1" applyFill="1" applyBorder="1" applyAlignment="1">
      <alignment horizontal="left"/>
    </xf>
    <xf numFmtId="0" fontId="86" fillId="26" borderId="1" xfId="1538" applyFont="1" applyFill="1" applyBorder="1" applyAlignment="1">
      <alignment horizontal="left"/>
    </xf>
    <xf numFmtId="176" fontId="86" fillId="26" borderId="1" xfId="1538" applyNumberFormat="1" applyFont="1" applyFill="1" applyBorder="1" applyAlignment="1">
      <alignment horizontal="right"/>
    </xf>
    <xf numFmtId="0" fontId="86" fillId="26" borderId="1" xfId="1538" applyFont="1" applyFill="1" applyBorder="1" applyAlignment="1">
      <alignment horizontal="justify" vertical="top"/>
    </xf>
    <xf numFmtId="0" fontId="86" fillId="26" borderId="1" xfId="1538" applyFont="1" applyFill="1" applyBorder="1" applyAlignment="1">
      <alignment horizontal="center" shrinkToFit="1"/>
    </xf>
    <xf numFmtId="1" fontId="86" fillId="26" borderId="1" xfId="1538" applyNumberFormat="1" applyFont="1" applyFill="1" applyBorder="1" applyAlignment="1">
      <alignment horizontal="center" shrinkToFit="1"/>
    </xf>
    <xf numFmtId="177" fontId="86" fillId="26" borderId="1" xfId="1538" applyNumberFormat="1" applyFont="1" applyFill="1" applyBorder="1" applyAlignment="1">
      <alignment shrinkToFit="1"/>
    </xf>
    <xf numFmtId="1" fontId="86" fillId="26" borderId="1" xfId="1538" applyNumberFormat="1" applyFont="1" applyFill="1" applyBorder="1" applyAlignment="1">
      <alignment horizontal="center" vertical="center" shrinkToFit="1"/>
    </xf>
    <xf numFmtId="177" fontId="86" fillId="26" borderId="1" xfId="1538" applyNumberFormat="1" applyFont="1" applyFill="1" applyBorder="1" applyAlignment="1">
      <alignment vertical="center" shrinkToFit="1"/>
    </xf>
    <xf numFmtId="176" fontId="86" fillId="26" borderId="1" xfId="1538" applyNumberFormat="1" applyFont="1" applyFill="1" applyBorder="1" applyAlignment="1">
      <alignment vertical="top" shrinkToFit="1"/>
    </xf>
    <xf numFmtId="177" fontId="86" fillId="26" borderId="1" xfId="1538" applyNumberFormat="1" applyFont="1" applyFill="1" applyBorder="1" applyAlignment="1">
      <alignment horizontal="left" vertical="top" shrinkToFit="1"/>
    </xf>
    <xf numFmtId="9" fontId="86" fillId="26" borderId="1" xfId="1538" applyNumberFormat="1" applyFont="1" applyFill="1" applyBorder="1" applyAlignment="1">
      <alignment vertical="top" shrinkToFit="1"/>
    </xf>
    <xf numFmtId="2" fontId="86" fillId="26" borderId="1" xfId="1538" applyNumberFormat="1" applyFont="1" applyFill="1" applyBorder="1" applyAlignment="1">
      <alignment horizontal="center" vertical="top"/>
    </xf>
    <xf numFmtId="0" fontId="86" fillId="26" borderId="1" xfId="1538" applyFont="1" applyFill="1" applyBorder="1" applyAlignment="1">
      <alignment vertical="center" shrinkToFit="1"/>
    </xf>
    <xf numFmtId="0" fontId="85" fillId="26" borderId="1" xfId="1538" applyFont="1" applyFill="1" applyBorder="1" applyAlignment="1">
      <alignment vertical="center" shrinkToFit="1"/>
    </xf>
    <xf numFmtId="178" fontId="86" fillId="26" borderId="1" xfId="1538" applyNumberFormat="1" applyFont="1" applyFill="1" applyBorder="1" applyAlignment="1">
      <alignment vertical="top" wrapText="1"/>
    </xf>
    <xf numFmtId="175" fontId="86" fillId="26" borderId="1" xfId="1538" applyNumberFormat="1" applyFont="1" applyFill="1" applyBorder="1" applyAlignment="1">
      <alignment horizontal="right" vertical="top" wrapText="1"/>
    </xf>
    <xf numFmtId="0" fontId="86" fillId="26" borderId="1" xfId="1538" applyFont="1" applyFill="1" applyBorder="1" applyAlignment="1">
      <alignment horizontal="right" vertical="top" wrapText="1"/>
    </xf>
    <xf numFmtId="2" fontId="86" fillId="26" borderId="1" xfId="1538" applyNumberFormat="1" applyFont="1" applyFill="1" applyBorder="1" applyAlignment="1">
      <alignment horizontal="center" wrapText="1"/>
    </xf>
    <xf numFmtId="0" fontId="86" fillId="26" borderId="1" xfId="1538" applyFont="1" applyFill="1" applyBorder="1" applyAlignment="1">
      <alignment horizontal="right" wrapText="1"/>
    </xf>
    <xf numFmtId="176" fontId="86" fillId="26" borderId="1" xfId="1538" applyNumberFormat="1" applyFont="1" applyFill="1" applyBorder="1" applyAlignment="1">
      <alignment vertical="top" wrapText="1" shrinkToFit="1"/>
    </xf>
    <xf numFmtId="176" fontId="86" fillId="26" borderId="1" xfId="1538" applyNumberFormat="1" applyFont="1" applyFill="1" applyBorder="1" applyAlignment="1">
      <alignment shrinkToFit="1"/>
    </xf>
    <xf numFmtId="2" fontId="85" fillId="26" borderId="1" xfId="1538" applyNumberFormat="1" applyFont="1" applyFill="1" applyBorder="1" applyAlignment="1">
      <alignment horizontal="center" vertical="top" wrapText="1"/>
    </xf>
    <xf numFmtId="175" fontId="86" fillId="26" borderId="1" xfId="1538" applyNumberFormat="1" applyFont="1" applyFill="1" applyBorder="1" applyAlignment="1">
      <alignment horizontal="right" vertical="top" wrapText="1" shrinkToFit="1"/>
    </xf>
    <xf numFmtId="1" fontId="86" fillId="26" borderId="1" xfId="1538" applyNumberFormat="1" applyFont="1" applyFill="1" applyBorder="1" applyAlignment="1">
      <alignment horizontal="center" vertical="top" wrapText="1" shrinkToFit="1"/>
    </xf>
    <xf numFmtId="177" fontId="86" fillId="26" borderId="1" xfId="1538" applyNumberFormat="1" applyFont="1" applyFill="1" applyBorder="1" applyAlignment="1">
      <alignment horizontal="center" vertical="top" wrapText="1" shrinkToFit="1"/>
    </xf>
    <xf numFmtId="176" fontId="86" fillId="26" borderId="1" xfId="1" applyNumberFormat="1" applyFont="1" applyFill="1" applyBorder="1" applyAlignment="1" applyProtection="1">
      <alignment horizontal="right" vertical="top" wrapText="1" shrinkToFit="1"/>
    </xf>
    <xf numFmtId="175" fontId="86" fillId="26" borderId="1" xfId="1538" applyNumberFormat="1" applyFont="1" applyFill="1" applyBorder="1" applyAlignment="1">
      <alignment horizontal="right" vertical="center" shrinkToFit="1"/>
    </xf>
    <xf numFmtId="1" fontId="86" fillId="26" borderId="1" xfId="1538" applyNumberFormat="1" applyFont="1" applyFill="1" applyBorder="1" applyAlignment="1">
      <alignment horizontal="right" vertical="center" shrinkToFit="1"/>
    </xf>
    <xf numFmtId="2" fontId="86" fillId="26" borderId="1" xfId="1538" applyNumberFormat="1" applyFont="1" applyFill="1" applyBorder="1" applyAlignment="1">
      <alignment horizontal="right" vertical="center" shrinkToFit="1"/>
    </xf>
    <xf numFmtId="2" fontId="86" fillId="26" borderId="1" xfId="1" applyNumberFormat="1" applyFont="1" applyFill="1" applyBorder="1" applyAlignment="1" applyProtection="1">
      <alignment horizontal="right" vertical="center" shrinkToFit="1"/>
    </xf>
    <xf numFmtId="177" fontId="86" fillId="26" borderId="1" xfId="1538" applyNumberFormat="1" applyFont="1" applyFill="1" applyBorder="1" applyAlignment="1">
      <alignment horizontal="center" vertical="center" shrinkToFit="1"/>
    </xf>
    <xf numFmtId="176" fontId="86" fillId="26" borderId="1" xfId="1" applyNumberFormat="1" applyFont="1" applyFill="1" applyBorder="1" applyAlignment="1" applyProtection="1">
      <alignment horizontal="right" vertical="center" shrinkToFit="1"/>
    </xf>
    <xf numFmtId="0" fontId="86" fillId="26" borderId="1" xfId="1538" applyFont="1" applyFill="1" applyBorder="1" applyAlignment="1">
      <alignment horizontal="center" vertical="center" wrapText="1" shrinkToFit="1"/>
    </xf>
    <xf numFmtId="0" fontId="86" fillId="26" borderId="1" xfId="1538" applyFont="1" applyFill="1" applyBorder="1" applyAlignment="1">
      <alignment vertical="center" wrapText="1"/>
    </xf>
    <xf numFmtId="2" fontId="86" fillId="26" borderId="1" xfId="1538" applyNumberFormat="1" applyFont="1" applyFill="1" applyBorder="1" applyAlignment="1">
      <alignment vertical="center" wrapText="1" shrinkToFit="1"/>
    </xf>
    <xf numFmtId="0" fontId="86" fillId="26" borderId="1" xfId="1538" applyFont="1" applyFill="1" applyBorder="1" applyAlignment="1">
      <alignment horizontal="left" vertical="center" wrapText="1" shrinkToFit="1"/>
    </xf>
    <xf numFmtId="2" fontId="86" fillId="26" borderId="1" xfId="1538" applyNumberFormat="1" applyFont="1" applyFill="1" applyBorder="1" applyAlignment="1">
      <alignment horizontal="center" vertical="center" wrapText="1" shrinkToFit="1"/>
    </xf>
    <xf numFmtId="1" fontId="86" fillId="26" borderId="1" xfId="1538" applyNumberFormat="1" applyFont="1" applyFill="1" applyBorder="1" applyAlignment="1">
      <alignment vertical="center" wrapText="1" shrinkToFit="1"/>
    </xf>
    <xf numFmtId="0" fontId="85" fillId="26" borderId="1" xfId="1538" applyFont="1" applyFill="1" applyBorder="1" applyAlignment="1">
      <alignment horizontal="center" vertical="center" wrapText="1" shrinkToFit="1"/>
    </xf>
    <xf numFmtId="2" fontId="85" fillId="26" borderId="1" xfId="1538" applyNumberFormat="1" applyFont="1" applyFill="1" applyBorder="1" applyAlignment="1">
      <alignment horizontal="center" vertical="center" wrapText="1" shrinkToFit="1"/>
    </xf>
    <xf numFmtId="2" fontId="86" fillId="26" borderId="1" xfId="1538" applyNumberFormat="1" applyFont="1" applyFill="1" applyBorder="1" applyAlignment="1">
      <alignment vertical="top"/>
    </xf>
    <xf numFmtId="0" fontId="85" fillId="26" borderId="1" xfId="1538" applyFont="1" applyFill="1" applyBorder="1" applyAlignment="1">
      <alignment horizontal="justify"/>
    </xf>
    <xf numFmtId="2" fontId="86" fillId="26" borderId="1" xfId="1538" applyNumberFormat="1" applyFont="1" applyFill="1" applyBorder="1" applyAlignment="1">
      <alignment wrapText="1"/>
    </xf>
    <xf numFmtId="178" fontId="86" fillId="26" borderId="1" xfId="1538" applyNumberFormat="1" applyFont="1" applyFill="1" applyBorder="1" applyAlignment="1">
      <alignment wrapText="1"/>
    </xf>
    <xf numFmtId="1" fontId="86" fillId="26" borderId="1" xfId="1538" applyNumberFormat="1" applyFont="1" applyFill="1" applyBorder="1" applyAlignment="1">
      <alignment horizontal="center" vertical="top" wrapText="1"/>
    </xf>
    <xf numFmtId="178" fontId="85" fillId="26" borderId="1" xfId="1538" applyNumberFormat="1" applyFont="1" applyFill="1" applyBorder="1" applyAlignment="1">
      <alignment wrapText="1"/>
    </xf>
    <xf numFmtId="178" fontId="85" fillId="26" borderId="1" xfId="1538" applyNumberFormat="1" applyFont="1" applyFill="1" applyBorder="1" applyAlignment="1">
      <alignment vertical="center" wrapText="1"/>
    </xf>
    <xf numFmtId="175" fontId="86" fillId="26" borderId="1" xfId="1538" applyNumberFormat="1" applyFont="1" applyFill="1" applyBorder="1" applyAlignment="1">
      <alignment vertical="top" wrapText="1"/>
    </xf>
    <xf numFmtId="0" fontId="85" fillId="26" borderId="1" xfId="1538" applyFont="1" applyFill="1" applyBorder="1" applyAlignment="1">
      <alignment vertical="center"/>
    </xf>
    <xf numFmtId="176" fontId="86" fillId="26" borderId="1" xfId="1538" applyNumberFormat="1" applyFont="1" applyFill="1" applyBorder="1" applyAlignment="1">
      <alignment vertical="top" wrapText="1"/>
    </xf>
    <xf numFmtId="175" fontId="86" fillId="26" borderId="1" xfId="1538" applyNumberFormat="1" applyFont="1" applyFill="1" applyBorder="1" applyAlignment="1">
      <alignment vertical="top"/>
    </xf>
    <xf numFmtId="2" fontId="85" fillId="26" borderId="1" xfId="1538" applyNumberFormat="1" applyFont="1" applyFill="1" applyBorder="1" applyAlignment="1">
      <alignment vertical="top"/>
    </xf>
    <xf numFmtId="0" fontId="85" fillId="26" borderId="1" xfId="1538" applyFont="1" applyFill="1" applyBorder="1" applyAlignment="1">
      <alignment vertical="top"/>
    </xf>
    <xf numFmtId="1" fontId="85" fillId="26" borderId="1" xfId="1538" applyNumberFormat="1" applyFont="1" applyFill="1" applyBorder="1" applyAlignment="1">
      <alignment vertical="top"/>
    </xf>
    <xf numFmtId="0" fontId="85" fillId="26" borderId="1" xfId="1538" applyFont="1" applyFill="1" applyBorder="1" applyAlignment="1">
      <alignment vertical="top" wrapText="1" shrinkToFit="1"/>
    </xf>
    <xf numFmtId="0" fontId="85" fillId="26" borderId="1" xfId="1538" applyFont="1" applyFill="1" applyBorder="1" applyAlignment="1">
      <alignment horizontal="right" vertical="top" wrapText="1"/>
    </xf>
    <xf numFmtId="176" fontId="86" fillId="26" borderId="1" xfId="1538" applyNumberFormat="1" applyFont="1" applyFill="1" applyBorder="1" applyAlignment="1">
      <alignment horizontal="right" vertical="top" wrapText="1" shrinkToFit="1"/>
    </xf>
    <xf numFmtId="0" fontId="85" fillId="26" borderId="1" xfId="1538" applyFont="1" applyFill="1" applyBorder="1" applyAlignment="1">
      <alignment shrinkToFit="1"/>
    </xf>
    <xf numFmtId="0" fontId="86" fillId="26" borderId="1" xfId="1538" applyFont="1" applyFill="1" applyBorder="1" applyAlignment="1">
      <alignment shrinkToFit="1"/>
    </xf>
    <xf numFmtId="2" fontId="86" fillId="26" borderId="1" xfId="1538" applyNumberFormat="1" applyFont="1" applyFill="1" applyBorder="1" applyAlignment="1">
      <alignment vertical="center" wrapText="1"/>
    </xf>
    <xf numFmtId="2" fontId="86" fillId="26" borderId="1" xfId="1538" applyNumberFormat="1" applyFont="1" applyFill="1" applyBorder="1" applyAlignment="1">
      <alignment horizontal="center" vertical="center" wrapText="1"/>
    </xf>
    <xf numFmtId="2" fontId="85" fillId="26" borderId="1" xfId="1538" applyNumberFormat="1" applyFont="1" applyFill="1" applyBorder="1"/>
    <xf numFmtId="0" fontId="86" fillId="26" borderId="1" xfId="1538" applyFont="1" applyFill="1" applyBorder="1" applyAlignment="1">
      <alignment wrapText="1"/>
    </xf>
    <xf numFmtId="2" fontId="86" fillId="30" borderId="1" xfId="1538" applyNumberFormat="1" applyFont="1" applyFill="1" applyBorder="1" applyAlignment="1">
      <alignment horizontal="center"/>
    </xf>
    <xf numFmtId="176" fontId="86" fillId="26" borderId="1" xfId="1538" applyNumberFormat="1" applyFont="1" applyFill="1" applyBorder="1"/>
    <xf numFmtId="0" fontId="86" fillId="26" borderId="1" xfId="1538" applyFont="1" applyFill="1" applyBorder="1" applyAlignment="1">
      <alignment horizontal="justify"/>
    </xf>
    <xf numFmtId="0" fontId="86" fillId="26" borderId="1" xfId="1538" applyFont="1" applyFill="1" applyBorder="1" applyAlignment="1">
      <alignment horizontal="left" wrapText="1"/>
    </xf>
    <xf numFmtId="178" fontId="85" fillId="26" borderId="1" xfId="1538" applyNumberFormat="1" applyFont="1" applyFill="1" applyBorder="1" applyAlignment="1">
      <alignment vertical="top" wrapText="1"/>
    </xf>
    <xf numFmtId="9" fontId="86" fillId="26" borderId="1" xfId="1538" applyNumberFormat="1" applyFont="1" applyFill="1" applyBorder="1" applyAlignment="1">
      <alignment horizontal="right" vertical="top" wrapText="1"/>
    </xf>
    <xf numFmtId="2" fontId="85" fillId="26" borderId="1" xfId="1538" applyNumberFormat="1" applyFont="1" applyFill="1" applyBorder="1" applyAlignment="1">
      <alignment horizontal="right"/>
    </xf>
    <xf numFmtId="0" fontId="86" fillId="26" borderId="1" xfId="1538" applyFont="1" applyFill="1" applyBorder="1" applyAlignment="1">
      <alignment horizontal="right" vertical="top" shrinkToFit="1"/>
    </xf>
    <xf numFmtId="2" fontId="85" fillId="26" borderId="1" xfId="1538" applyNumberFormat="1" applyFont="1" applyFill="1" applyBorder="1" applyAlignment="1">
      <alignment horizontal="left" vertical="top" shrinkToFit="1"/>
    </xf>
    <xf numFmtId="2" fontId="85" fillId="26" borderId="1" xfId="1538" applyNumberFormat="1" applyFont="1" applyFill="1" applyBorder="1" applyAlignment="1">
      <alignment horizontal="right" shrinkToFit="1"/>
    </xf>
    <xf numFmtId="0" fontId="86" fillId="26" borderId="1" xfId="1538" applyFont="1" applyFill="1" applyBorder="1" applyAlignment="1">
      <alignment horizontal="right" vertical="center" wrapText="1"/>
    </xf>
    <xf numFmtId="2" fontId="86" fillId="28" borderId="1" xfId="1538" applyNumberFormat="1" applyFont="1" applyFill="1" applyBorder="1" applyAlignment="1">
      <alignment horizontal="right" shrinkToFit="1"/>
    </xf>
    <xf numFmtId="2" fontId="86" fillId="26" borderId="1" xfId="1538" applyNumberFormat="1" applyFont="1" applyFill="1" applyBorder="1" applyAlignment="1">
      <alignment horizontal="right" vertical="center" wrapText="1"/>
    </xf>
    <xf numFmtId="0" fontId="85" fillId="26" borderId="1" xfId="1538" applyFont="1" applyFill="1" applyBorder="1" applyAlignment="1">
      <alignment wrapText="1"/>
    </xf>
    <xf numFmtId="2" fontId="85" fillId="26" borderId="1" xfId="1" applyNumberFormat="1" applyFont="1" applyFill="1" applyBorder="1" applyAlignment="1" applyProtection="1">
      <alignment horizontal="right" vertical="top" shrinkToFit="1"/>
    </xf>
    <xf numFmtId="0" fontId="85" fillId="26" borderId="1" xfId="1538" applyFont="1" applyFill="1" applyBorder="1" applyAlignment="1">
      <alignment vertical="top" shrinkToFit="1"/>
    </xf>
    <xf numFmtId="2" fontId="85" fillId="26" borderId="1" xfId="1538" applyNumberFormat="1" applyFont="1" applyFill="1" applyBorder="1" applyAlignment="1">
      <alignment horizontal="right" vertical="top" shrinkToFit="1"/>
    </xf>
    <xf numFmtId="2" fontId="86" fillId="26" borderId="1" xfId="1538" applyNumberFormat="1" applyFont="1" applyFill="1" applyBorder="1" applyAlignment="1">
      <alignment horizontal="right" vertical="top"/>
    </xf>
    <xf numFmtId="1" fontId="85" fillId="26" borderId="1" xfId="1538" applyNumberFormat="1" applyFont="1" applyFill="1" applyBorder="1" applyAlignment="1">
      <alignment horizontal="right" vertical="top" shrinkToFit="1"/>
    </xf>
    <xf numFmtId="2" fontId="86" fillId="28" borderId="1" xfId="1538" applyNumberFormat="1" applyFont="1" applyFill="1" applyBorder="1" applyAlignment="1">
      <alignment horizontal="right" vertical="top" wrapText="1"/>
    </xf>
    <xf numFmtId="0" fontId="86" fillId="28" borderId="1" xfId="1538" applyFont="1" applyFill="1" applyBorder="1" applyAlignment="1">
      <alignment horizontal="right" vertical="top" wrapText="1"/>
    </xf>
    <xf numFmtId="173" fontId="86" fillId="26" borderId="1" xfId="1538" applyNumberFormat="1" applyFont="1" applyFill="1" applyBorder="1" applyAlignment="1">
      <alignment horizontal="right" vertical="top" wrapText="1"/>
    </xf>
    <xf numFmtId="175" fontId="86" fillId="26" borderId="1" xfId="1538" applyNumberFormat="1" applyFont="1" applyFill="1" applyBorder="1" applyAlignment="1">
      <alignment horizontal="right" vertical="top" shrinkToFit="1"/>
    </xf>
    <xf numFmtId="180" fontId="86" fillId="28" borderId="1" xfId="1538" applyNumberFormat="1" applyFont="1" applyFill="1" applyBorder="1" applyAlignment="1">
      <alignment horizontal="center" wrapText="1"/>
    </xf>
    <xf numFmtId="2" fontId="86" fillId="28" borderId="1" xfId="1538" applyNumberFormat="1" applyFont="1" applyFill="1" applyBorder="1" applyAlignment="1">
      <alignment horizontal="center" wrapText="1"/>
    </xf>
    <xf numFmtId="2" fontId="86" fillId="28" borderId="1" xfId="1538" applyNumberFormat="1" applyFont="1" applyFill="1" applyBorder="1"/>
    <xf numFmtId="2" fontId="86" fillId="28" borderId="1" xfId="1538" applyNumberFormat="1" applyFont="1" applyFill="1" applyBorder="1" applyAlignment="1">
      <alignment vertical="top"/>
    </xf>
    <xf numFmtId="179" fontId="86" fillId="26" borderId="1" xfId="1538" applyNumberFormat="1" applyFont="1" applyFill="1" applyBorder="1"/>
    <xf numFmtId="0" fontId="85" fillId="27" borderId="1" xfId="1538" applyFont="1" applyFill="1" applyBorder="1" applyAlignment="1">
      <alignment horizontal="justify" wrapText="1"/>
    </xf>
    <xf numFmtId="0" fontId="86" fillId="27" borderId="1" xfId="1538" applyFont="1" applyFill="1" applyBorder="1" applyAlignment="1">
      <alignment horizontal="center" vertical="top" wrapText="1"/>
    </xf>
    <xf numFmtId="2" fontId="86" fillId="27" borderId="1" xfId="1538" applyNumberFormat="1" applyFont="1" applyFill="1" applyBorder="1" applyAlignment="1">
      <alignment horizontal="justify" vertical="top" wrapText="1"/>
    </xf>
    <xf numFmtId="0" fontId="86" fillId="27" borderId="1" xfId="1538" applyFont="1" applyFill="1" applyBorder="1" applyAlignment="1">
      <alignment vertical="center" wrapText="1"/>
    </xf>
    <xf numFmtId="2" fontId="86" fillId="27" borderId="1" xfId="1538" applyNumberFormat="1" applyFont="1" applyFill="1" applyBorder="1" applyAlignment="1">
      <alignment horizontal="right" vertical="top" wrapText="1" shrinkToFit="1"/>
    </xf>
    <xf numFmtId="0" fontId="86" fillId="27" borderId="1" xfId="1538" applyFont="1" applyFill="1" applyBorder="1" applyAlignment="1">
      <alignment vertical="top" wrapText="1" shrinkToFit="1"/>
    </xf>
    <xf numFmtId="177" fontId="86" fillId="27" borderId="1" xfId="1538" applyNumberFormat="1" applyFont="1" applyFill="1" applyBorder="1" applyAlignment="1">
      <alignment horizontal="left" vertical="top" wrapText="1" shrinkToFit="1"/>
    </xf>
    <xf numFmtId="176" fontId="86" fillId="27" borderId="1" xfId="1538" applyNumberFormat="1" applyFont="1" applyFill="1" applyBorder="1" applyAlignment="1">
      <alignment vertical="top" wrapText="1"/>
    </xf>
    <xf numFmtId="0" fontId="85" fillId="27" borderId="1" xfId="1538" applyFont="1" applyFill="1" applyBorder="1" applyAlignment="1">
      <alignment vertical="top" wrapText="1" shrinkToFit="1"/>
    </xf>
    <xf numFmtId="0" fontId="85" fillId="27" borderId="1" xfId="1538" applyFont="1" applyFill="1" applyBorder="1" applyAlignment="1">
      <alignment horizontal="right" vertical="top" wrapText="1"/>
    </xf>
    <xf numFmtId="2" fontId="86" fillId="27" borderId="1" xfId="1538" applyNumberFormat="1" applyFont="1" applyFill="1" applyBorder="1" applyAlignment="1">
      <alignment horizontal="right" vertical="top" shrinkToFit="1"/>
    </xf>
    <xf numFmtId="0" fontId="85" fillId="27" borderId="1" xfId="1538" applyFont="1" applyFill="1" applyBorder="1" applyAlignment="1">
      <alignment shrinkToFit="1"/>
    </xf>
    <xf numFmtId="0" fontId="86" fillId="27" borderId="1" xfId="1538" applyFont="1" applyFill="1" applyBorder="1" applyAlignment="1">
      <alignment horizontal="center" shrinkToFit="1"/>
    </xf>
    <xf numFmtId="0" fontId="86" fillId="27" borderId="1" xfId="1538" applyFont="1" applyFill="1" applyBorder="1" applyAlignment="1">
      <alignment shrinkToFit="1"/>
    </xf>
    <xf numFmtId="0" fontId="85" fillId="27" borderId="1" xfId="1538" applyFont="1" applyFill="1" applyBorder="1" applyAlignment="1">
      <alignment horizontal="right"/>
    </xf>
    <xf numFmtId="0" fontId="86" fillId="27" borderId="1" xfId="1538" applyFont="1" applyFill="1" applyBorder="1" applyAlignment="1">
      <alignment horizontal="center" vertical="center"/>
    </xf>
    <xf numFmtId="0" fontId="86" fillId="27" borderId="1" xfId="1538" applyFont="1" applyFill="1" applyBorder="1" applyAlignment="1">
      <alignment wrapText="1"/>
    </xf>
    <xf numFmtId="0" fontId="86" fillId="27" borderId="1" xfId="1538" applyFont="1" applyFill="1" applyBorder="1" applyAlignment="1">
      <alignment horizontal="right"/>
    </xf>
    <xf numFmtId="9" fontId="86" fillId="27" borderId="1" xfId="1538" applyNumberFormat="1" applyFont="1" applyFill="1" applyBorder="1" applyAlignment="1">
      <alignment horizontal="right" vertical="top" wrapText="1"/>
    </xf>
    <xf numFmtId="0" fontId="86" fillId="27" borderId="1" xfId="1538" applyFont="1" applyFill="1" applyBorder="1" applyAlignment="1">
      <alignment horizontal="left" vertical="top" wrapText="1"/>
    </xf>
    <xf numFmtId="2" fontId="86" fillId="27" borderId="1" xfId="1538" applyNumberFormat="1" applyFont="1" applyFill="1" applyBorder="1" applyAlignment="1">
      <alignment horizontal="right" vertical="center" shrinkToFit="1"/>
    </xf>
    <xf numFmtId="0" fontId="85" fillId="27" borderId="1" xfId="1538" applyFont="1" applyFill="1" applyBorder="1" applyAlignment="1">
      <alignment vertical="center" shrinkToFit="1"/>
    </xf>
    <xf numFmtId="0" fontId="86" fillId="27" borderId="1" xfId="1538" applyFont="1" applyFill="1" applyBorder="1" applyAlignment="1">
      <alignment vertical="center" shrinkToFit="1"/>
    </xf>
    <xf numFmtId="2" fontId="86" fillId="27" borderId="1" xfId="1538" applyNumberFormat="1" applyFont="1" applyFill="1" applyBorder="1" applyAlignment="1">
      <alignment vertical="center" shrinkToFit="1"/>
    </xf>
    <xf numFmtId="2" fontId="86" fillId="27" borderId="1" xfId="1538" applyNumberFormat="1" applyFont="1" applyFill="1" applyBorder="1" applyAlignment="1">
      <alignment horizontal="left" vertical="center" shrinkToFit="1"/>
    </xf>
    <xf numFmtId="2" fontId="86" fillId="27" borderId="1" xfId="1538" applyNumberFormat="1" applyFont="1" applyFill="1" applyBorder="1" applyAlignment="1">
      <alignment horizontal="center" vertical="center" shrinkToFit="1"/>
    </xf>
    <xf numFmtId="175" fontId="85" fillId="26" borderId="1" xfId="1538" applyNumberFormat="1" applyFont="1" applyFill="1" applyBorder="1" applyAlignment="1">
      <alignment horizontal="right" vertical="top" shrinkToFit="1"/>
    </xf>
    <xf numFmtId="0" fontId="85" fillId="31" borderId="1" xfId="1538" applyFont="1" applyFill="1" applyBorder="1" applyAlignment="1">
      <alignment horizontal="justify" wrapText="1"/>
    </xf>
    <xf numFmtId="0" fontId="86" fillId="31" borderId="1" xfId="1538" applyFont="1" applyFill="1" applyBorder="1" applyAlignment="1">
      <alignment horizontal="center" vertical="top" wrapText="1"/>
    </xf>
    <xf numFmtId="2" fontId="86" fillId="31" borderId="1" xfId="1538" applyNumberFormat="1" applyFont="1" applyFill="1" applyBorder="1" applyAlignment="1">
      <alignment horizontal="right" vertical="top" wrapText="1" shrinkToFit="1"/>
    </xf>
    <xf numFmtId="2" fontId="86" fillId="31" borderId="1" xfId="1538" applyNumberFormat="1" applyFont="1" applyFill="1" applyBorder="1" applyAlignment="1">
      <alignment horizontal="left" vertical="top" shrinkToFit="1"/>
    </xf>
    <xf numFmtId="0" fontId="86" fillId="31" borderId="1" xfId="1538" applyFont="1" applyFill="1" applyBorder="1" applyAlignment="1">
      <alignment vertical="top" wrapText="1" shrinkToFit="1"/>
    </xf>
    <xf numFmtId="177" fontId="86" fillId="31" borderId="1" xfId="1538" applyNumberFormat="1" applyFont="1" applyFill="1" applyBorder="1" applyAlignment="1">
      <alignment horizontal="left" vertical="top" wrapText="1" shrinkToFit="1"/>
    </xf>
    <xf numFmtId="2" fontId="86" fillId="31" borderId="1" xfId="1538" applyNumberFormat="1" applyFont="1" applyFill="1" applyBorder="1" applyAlignment="1">
      <alignment horizontal="center" vertical="top" wrapText="1" shrinkToFit="1"/>
    </xf>
    <xf numFmtId="0" fontId="86" fillId="31" borderId="1" xfId="1538" applyFont="1" applyFill="1" applyBorder="1" applyAlignment="1">
      <alignment horizontal="justify" vertical="top" wrapText="1"/>
    </xf>
    <xf numFmtId="176" fontId="86" fillId="31" borderId="1" xfId="1538" applyNumberFormat="1" applyFont="1" applyFill="1" applyBorder="1" applyAlignment="1">
      <alignment vertical="top" wrapText="1"/>
    </xf>
    <xf numFmtId="0" fontId="85" fillId="31" borderId="1" xfId="1538" applyFont="1" applyFill="1" applyBorder="1" applyAlignment="1">
      <alignment vertical="top" wrapText="1" shrinkToFit="1"/>
    </xf>
    <xf numFmtId="0" fontId="85" fillId="31" borderId="1" xfId="1538" applyFont="1" applyFill="1" applyBorder="1" applyAlignment="1">
      <alignment horizontal="right" vertical="top" wrapText="1"/>
    </xf>
    <xf numFmtId="0" fontId="86" fillId="31" borderId="1" xfId="1538" applyFont="1" applyFill="1" applyBorder="1" applyAlignment="1">
      <alignment horizontal="center"/>
    </xf>
    <xf numFmtId="0" fontId="85" fillId="31" borderId="1" xfId="1538" applyFont="1" applyFill="1" applyBorder="1" applyAlignment="1">
      <alignment vertical="top" wrapText="1"/>
    </xf>
    <xf numFmtId="2" fontId="86" fillId="31" borderId="1" xfId="1538" applyNumberFormat="1" applyFont="1" applyFill="1" applyBorder="1" applyAlignment="1">
      <alignment horizontal="right" vertical="top" shrinkToFit="1"/>
    </xf>
    <xf numFmtId="0" fontId="85" fillId="31" borderId="1" xfId="1538" applyFont="1" applyFill="1" applyBorder="1" applyAlignment="1">
      <alignment shrinkToFit="1"/>
    </xf>
    <xf numFmtId="0" fontId="86" fillId="31" borderId="1" xfId="1538" applyFont="1" applyFill="1" applyBorder="1" applyAlignment="1">
      <alignment horizontal="center" shrinkToFit="1"/>
    </xf>
    <xf numFmtId="0" fontId="86" fillId="31" borderId="1" xfId="1538" applyFont="1" applyFill="1" applyBorder="1" applyAlignment="1">
      <alignment shrinkToFit="1"/>
    </xf>
    <xf numFmtId="0" fontId="85" fillId="31" borderId="1" xfId="1538" applyFont="1" applyFill="1" applyBorder="1" applyAlignment="1">
      <alignment horizontal="right"/>
    </xf>
    <xf numFmtId="2" fontId="85" fillId="31" borderId="1" xfId="1538" applyNumberFormat="1" applyFont="1" applyFill="1" applyBorder="1" applyAlignment="1">
      <alignment horizontal="center" shrinkToFit="1"/>
    </xf>
    <xf numFmtId="2" fontId="86" fillId="31" borderId="1" xfId="1538" applyNumberFormat="1" applyFont="1" applyFill="1" applyBorder="1"/>
    <xf numFmtId="0" fontId="86" fillId="31" borderId="1" xfId="1538" applyFont="1" applyFill="1" applyBorder="1"/>
    <xf numFmtId="2" fontId="86" fillId="31" borderId="1" xfId="1538" applyNumberFormat="1" applyFont="1" applyFill="1" applyBorder="1" applyAlignment="1">
      <alignment horizontal="center"/>
    </xf>
    <xf numFmtId="1" fontId="86" fillId="31" borderId="1" xfId="1538" applyNumberFormat="1" applyFont="1" applyFill="1" applyBorder="1"/>
    <xf numFmtId="0" fontId="85" fillId="31" borderId="1" xfId="1538" applyFont="1" applyFill="1" applyBorder="1" applyAlignment="1">
      <alignment horizontal="left" vertical="top" shrinkToFit="1"/>
    </xf>
    <xf numFmtId="1" fontId="85" fillId="31" borderId="1" xfId="1538" applyNumberFormat="1" applyFont="1" applyFill="1" applyBorder="1" applyAlignment="1">
      <alignment horizontal="right" vertical="top" shrinkToFit="1"/>
    </xf>
    <xf numFmtId="0" fontId="85" fillId="29" borderId="1" xfId="1538" applyFont="1" applyFill="1" applyBorder="1" applyAlignment="1">
      <alignment horizontal="justify" vertical="top" wrapText="1"/>
    </xf>
    <xf numFmtId="2" fontId="86" fillId="28" borderId="1" xfId="1538" applyNumberFormat="1" applyFont="1" applyFill="1" applyBorder="1" applyAlignment="1">
      <alignment horizontal="center" vertical="top" wrapText="1"/>
    </xf>
    <xf numFmtId="2" fontId="85" fillId="26" borderId="1" xfId="1538" applyNumberFormat="1" applyFont="1" applyFill="1" applyBorder="1" applyAlignment="1">
      <alignment shrinkToFit="1"/>
    </xf>
    <xf numFmtId="2" fontId="86" fillId="29" borderId="1" xfId="1538" applyNumberFormat="1" applyFont="1" applyFill="1" applyBorder="1" applyAlignment="1">
      <alignment horizontal="right" vertical="top" wrapText="1"/>
    </xf>
    <xf numFmtId="2" fontId="86" fillId="26" borderId="1" xfId="1538" applyNumberFormat="1" applyFont="1" applyFill="1" applyBorder="1" applyAlignment="1">
      <alignment horizontal="right" wrapText="1"/>
    </xf>
    <xf numFmtId="2" fontId="86" fillId="32" borderId="1" xfId="1538" applyNumberFormat="1" applyFont="1" applyFill="1" applyBorder="1" applyAlignment="1">
      <alignment vertical="top" shrinkToFit="1"/>
    </xf>
    <xf numFmtId="1" fontId="85" fillId="26" borderId="1" xfId="1538" applyNumberFormat="1" applyFont="1" applyFill="1" applyBorder="1" applyAlignment="1">
      <alignment horizontal="right" shrinkToFit="1"/>
    </xf>
    <xf numFmtId="0" fontId="86" fillId="26" borderId="1" xfId="1538" applyFont="1" applyFill="1" applyBorder="1" applyAlignment="1">
      <alignment horizontal="center" wrapText="1"/>
    </xf>
    <xf numFmtId="181" fontId="86" fillId="26" borderId="1" xfId="1538" applyNumberFormat="1" applyFont="1" applyFill="1" applyBorder="1" applyAlignment="1">
      <alignment horizontal="justify" vertical="top" wrapText="1"/>
    </xf>
    <xf numFmtId="182" fontId="86" fillId="26" borderId="1" xfId="1538" applyNumberFormat="1" applyFont="1" applyFill="1" applyBorder="1" applyAlignment="1">
      <alignment horizontal="justify" vertical="top" wrapText="1"/>
    </xf>
    <xf numFmtId="183" fontId="86" fillId="26" borderId="1" xfId="1538" applyNumberFormat="1" applyFont="1" applyFill="1" applyBorder="1" applyAlignment="1">
      <alignment horizontal="justify" vertical="top" wrapText="1"/>
    </xf>
    <xf numFmtId="4" fontId="86" fillId="26" borderId="1" xfId="1538" applyNumberFormat="1" applyFont="1" applyFill="1" applyBorder="1" applyAlignment="1">
      <alignment horizontal="center" vertical="top" wrapText="1"/>
    </xf>
    <xf numFmtId="181" fontId="86" fillId="26" borderId="1" xfId="1538" applyNumberFormat="1" applyFont="1" applyFill="1" applyBorder="1" applyAlignment="1">
      <alignment horizontal="center" vertical="top" wrapText="1"/>
    </xf>
    <xf numFmtId="180" fontId="86" fillId="26" borderId="1" xfId="1538" applyNumberFormat="1" applyFont="1" applyFill="1" applyBorder="1" applyAlignment="1">
      <alignment horizontal="center" vertical="top" wrapText="1"/>
    </xf>
    <xf numFmtId="184" fontId="86" fillId="26" borderId="1" xfId="1538" applyNumberFormat="1" applyFont="1" applyFill="1" applyBorder="1" applyAlignment="1">
      <alignment horizontal="center" vertical="top" wrapText="1"/>
    </xf>
    <xf numFmtId="185" fontId="86" fillId="26" borderId="1" xfId="1538" applyNumberFormat="1" applyFont="1" applyFill="1" applyBorder="1" applyAlignment="1">
      <alignment horizontal="justify" vertical="top" wrapText="1"/>
    </xf>
    <xf numFmtId="184" fontId="86" fillId="26" borderId="1" xfId="1538" applyNumberFormat="1" applyFont="1" applyFill="1" applyBorder="1" applyAlignment="1">
      <alignment horizontal="justify" vertical="top" wrapText="1"/>
    </xf>
    <xf numFmtId="4" fontId="86" fillId="26" borderId="1" xfId="1538" applyNumberFormat="1" applyFont="1" applyFill="1" applyBorder="1" applyAlignment="1">
      <alignment horizontal="center" wrapText="1"/>
    </xf>
    <xf numFmtId="181" fontId="86" fillId="26" borderId="1" xfId="1538" applyNumberFormat="1" applyFont="1" applyFill="1" applyBorder="1" applyAlignment="1">
      <alignment horizontal="center" wrapText="1"/>
    </xf>
    <xf numFmtId="184" fontId="86" fillId="26" borderId="1" xfId="1538" applyNumberFormat="1" applyFont="1" applyFill="1" applyBorder="1" applyAlignment="1">
      <alignment horizontal="center" wrapText="1"/>
    </xf>
    <xf numFmtId="0" fontId="86" fillId="26" borderId="1" xfId="1538" applyFont="1" applyFill="1" applyBorder="1" applyAlignment="1">
      <alignment horizontal="left" wrapText="1" shrinkToFit="1"/>
    </xf>
    <xf numFmtId="10" fontId="86" fillId="26" borderId="1" xfId="1538" applyNumberFormat="1" applyFont="1" applyFill="1" applyBorder="1" applyAlignment="1">
      <alignment horizontal="center" wrapText="1"/>
    </xf>
    <xf numFmtId="186" fontId="86" fillId="26" borderId="1" xfId="1538" applyNumberFormat="1" applyFont="1" applyFill="1" applyBorder="1" applyAlignment="1">
      <alignment horizontal="center" wrapText="1"/>
    </xf>
    <xf numFmtId="0" fontId="85" fillId="26" borderId="1" xfId="1538" applyFont="1" applyFill="1" applyBorder="1" applyAlignment="1">
      <alignment horizontal="center" vertical="center" wrapText="1"/>
    </xf>
    <xf numFmtId="180" fontId="86" fillId="26" borderId="1" xfId="1538" applyNumberFormat="1" applyFont="1" applyFill="1" applyBorder="1" applyAlignment="1">
      <alignment horizontal="center" vertical="center" wrapText="1"/>
    </xf>
    <xf numFmtId="2" fontId="85" fillId="30" borderId="1" xfId="1538" applyNumberFormat="1" applyFont="1" applyFill="1" applyBorder="1" applyAlignment="1">
      <alignment horizontal="right" shrinkToFit="1"/>
    </xf>
    <xf numFmtId="2" fontId="86" fillId="26" borderId="1" xfId="1538" applyNumberFormat="1" applyFont="1" applyFill="1" applyBorder="1" applyAlignment="1">
      <alignment horizontal="right"/>
    </xf>
    <xf numFmtId="0" fontId="86" fillId="26" borderId="1" xfId="1538" applyFont="1" applyFill="1" applyBorder="1" applyAlignment="1">
      <alignment horizontal="right"/>
    </xf>
    <xf numFmtId="0" fontId="86" fillId="26" borderId="16" xfId="1538" applyFont="1" applyFill="1" applyBorder="1" applyAlignment="1">
      <alignment horizontal="center" vertical="top" wrapText="1" shrinkToFit="1"/>
    </xf>
    <xf numFmtId="0" fontId="86" fillId="0" borderId="16" xfId="1538" applyFont="1" applyBorder="1" applyAlignment="1">
      <alignment vertical="top" wrapText="1"/>
    </xf>
    <xf numFmtId="0" fontId="86" fillId="26" borderId="10" xfId="1538" applyFont="1" applyFill="1" applyBorder="1" applyAlignment="1">
      <alignment horizontal="center" vertical="top" wrapText="1" shrinkToFit="1"/>
    </xf>
    <xf numFmtId="0" fontId="86" fillId="26" borderId="10" xfId="1538" applyFont="1" applyFill="1" applyBorder="1" applyAlignment="1">
      <alignment horizontal="justify" vertical="top" wrapText="1"/>
    </xf>
    <xf numFmtId="2" fontId="86" fillId="26" borderId="10" xfId="1538" applyNumberFormat="1" applyFont="1" applyFill="1" applyBorder="1" applyAlignment="1">
      <alignment horizontal="right" shrinkToFit="1"/>
    </xf>
    <xf numFmtId="2" fontId="86" fillId="26" borderId="10" xfId="1538" applyNumberFormat="1" applyFont="1" applyFill="1" applyBorder="1" applyAlignment="1">
      <alignment horizontal="left" shrinkToFit="1"/>
    </xf>
    <xf numFmtId="1" fontId="86" fillId="26" borderId="10" xfId="1538" applyNumberFormat="1" applyFont="1" applyFill="1" applyBorder="1" applyAlignment="1">
      <alignment horizontal="right" shrinkToFit="1"/>
    </xf>
    <xf numFmtId="177" fontId="86" fillId="26" borderId="10" xfId="1538" applyNumberFormat="1" applyFont="1" applyFill="1" applyBorder="1" applyAlignment="1">
      <alignment horizontal="left" shrinkToFit="1"/>
    </xf>
    <xf numFmtId="2" fontId="86" fillId="26" borderId="10" xfId="1538" applyNumberFormat="1" applyFont="1" applyFill="1" applyBorder="1" applyAlignment="1">
      <alignment shrinkToFit="1"/>
    </xf>
    <xf numFmtId="0" fontId="86" fillId="0" borderId="10" xfId="1538" applyFont="1" applyBorder="1" applyAlignment="1">
      <alignment vertical="top" wrapText="1"/>
    </xf>
    <xf numFmtId="2" fontId="86" fillId="26" borderId="10" xfId="1" applyNumberFormat="1" applyFont="1" applyFill="1" applyBorder="1" applyAlignment="1" applyProtection="1">
      <alignment horizontal="right" vertical="top" shrinkToFit="1"/>
    </xf>
    <xf numFmtId="0" fontId="86" fillId="26" borderId="10" xfId="1538" applyFont="1" applyFill="1" applyBorder="1" applyAlignment="1">
      <alignment vertical="top" shrinkToFit="1"/>
    </xf>
    <xf numFmtId="2" fontId="86" fillId="26" borderId="10" xfId="1538" applyNumberFormat="1" applyFont="1" applyFill="1" applyBorder="1" applyAlignment="1">
      <alignment vertical="top" shrinkToFit="1"/>
    </xf>
    <xf numFmtId="1" fontId="86" fillId="26" borderId="10" xfId="1538" applyNumberFormat="1" applyFont="1" applyFill="1" applyBorder="1" applyAlignment="1">
      <alignment vertical="top"/>
    </xf>
    <xf numFmtId="0" fontId="86" fillId="26" borderId="10" xfId="1538" applyFont="1" applyFill="1" applyBorder="1" applyAlignment="1">
      <alignment horizontal="left" vertical="top"/>
    </xf>
    <xf numFmtId="2" fontId="86" fillId="26" borderId="10" xfId="1538" applyNumberFormat="1" applyFont="1" applyFill="1" applyBorder="1" applyAlignment="1">
      <alignment horizontal="right" vertical="top" shrinkToFit="1"/>
    </xf>
    <xf numFmtId="2" fontId="86" fillId="26" borderId="10" xfId="1538" applyNumberFormat="1" applyFont="1" applyFill="1" applyBorder="1" applyAlignment="1">
      <alignment horizontal="left" vertical="top" shrinkToFit="1"/>
    </xf>
    <xf numFmtId="1" fontId="86" fillId="26" borderId="10" xfId="1538" applyNumberFormat="1" applyFont="1" applyFill="1" applyBorder="1" applyAlignment="1">
      <alignment horizontal="right" vertical="top" shrinkToFit="1"/>
    </xf>
    <xf numFmtId="2" fontId="85" fillId="26" borderId="10" xfId="1538" applyNumberFormat="1" applyFont="1" applyFill="1" applyBorder="1" applyAlignment="1">
      <alignment horizontal="left" vertical="top" shrinkToFit="1"/>
    </xf>
    <xf numFmtId="2" fontId="85" fillId="26" borderId="10" xfId="1538" applyNumberFormat="1" applyFont="1" applyFill="1" applyBorder="1" applyAlignment="1">
      <alignment horizontal="right" shrinkToFit="1"/>
    </xf>
    <xf numFmtId="9" fontId="86" fillId="26" borderId="10" xfId="1538" applyNumberFormat="1" applyFont="1" applyFill="1" applyBorder="1" applyAlignment="1">
      <alignment horizontal="right" vertical="top" wrapText="1"/>
    </xf>
    <xf numFmtId="0" fontId="86" fillId="26" borderId="10" xfId="1538" applyFont="1" applyFill="1" applyBorder="1" applyAlignment="1">
      <alignment vertical="top" wrapText="1"/>
    </xf>
    <xf numFmtId="2" fontId="86" fillId="26" borderId="10" xfId="1538" applyNumberFormat="1" applyFont="1" applyFill="1" applyBorder="1" applyAlignment="1">
      <alignment horizontal="center" shrinkToFit="1"/>
    </xf>
    <xf numFmtId="0" fontId="85" fillId="26" borderId="10" xfId="1538" applyFont="1" applyFill="1" applyBorder="1" applyAlignment="1">
      <alignment vertical="top"/>
    </xf>
    <xf numFmtId="176" fontId="86" fillId="26" borderId="10" xfId="1538" applyNumberFormat="1" applyFont="1" applyFill="1" applyBorder="1" applyAlignment="1">
      <alignment horizontal="right"/>
    </xf>
    <xf numFmtId="0" fontId="85" fillId="26" borderId="10" xfId="1538" applyFont="1" applyFill="1" applyBorder="1" applyAlignment="1">
      <alignment horizontal="justify" vertical="top" wrapText="1"/>
    </xf>
    <xf numFmtId="0" fontId="86" fillId="26" borderId="10" xfId="1538" applyFont="1" applyFill="1" applyBorder="1"/>
    <xf numFmtId="2" fontId="86" fillId="26" borderId="10" xfId="1538" applyNumberFormat="1" applyFont="1" applyFill="1" applyBorder="1"/>
    <xf numFmtId="0" fontId="85" fillId="26" borderId="10" xfId="1538" applyFont="1" applyFill="1" applyBorder="1" applyAlignment="1">
      <alignment horizontal="left" vertical="top" shrinkToFit="1"/>
    </xf>
    <xf numFmtId="2" fontId="85" fillId="30" borderId="10" xfId="1538" applyNumberFormat="1" applyFont="1" applyFill="1" applyBorder="1" applyAlignment="1">
      <alignment horizontal="right" shrinkToFit="1"/>
    </xf>
    <xf numFmtId="0" fontId="86" fillId="26" borderId="0" xfId="1538" applyFont="1" applyFill="1" applyAlignment="1">
      <alignment horizontal="center" vertical="top"/>
    </xf>
    <xf numFmtId="0" fontId="86" fillId="26" borderId="0" xfId="1538" applyFont="1" applyFill="1" applyAlignment="1">
      <alignment horizontal="center"/>
    </xf>
    <xf numFmtId="0" fontId="86" fillId="26" borderId="0" xfId="1538" applyFont="1" applyFill="1" applyAlignment="1">
      <alignment horizontal="justify" vertical="top" wrapText="1"/>
    </xf>
    <xf numFmtId="2" fontId="86" fillId="26" borderId="0" xfId="1538" applyNumberFormat="1" applyFont="1" applyFill="1"/>
    <xf numFmtId="0" fontId="86" fillId="26" borderId="0" xfId="1538" applyFont="1" applyFill="1"/>
    <xf numFmtId="2" fontId="86" fillId="26" borderId="0" xfId="1538" applyNumberFormat="1" applyFont="1" applyFill="1" applyAlignment="1">
      <alignment horizontal="center"/>
    </xf>
    <xf numFmtId="1" fontId="86" fillId="26" borderId="0" xfId="1538" applyNumberFormat="1" applyFont="1" applyFill="1"/>
    <xf numFmtId="0" fontId="86" fillId="0" borderId="0" xfId="1538" applyFont="1" applyAlignment="1">
      <alignment horizontal="center"/>
    </xf>
    <xf numFmtId="2" fontId="86" fillId="0" borderId="0" xfId="1538" applyNumberFormat="1" applyFont="1" applyAlignment="1">
      <alignment horizontal="center"/>
    </xf>
    <xf numFmtId="2" fontId="86" fillId="0" borderId="1" xfId="1538" applyNumberFormat="1" applyFont="1" applyBorder="1" applyAlignment="1">
      <alignment horizontal="right" vertical="top"/>
    </xf>
    <xf numFmtId="2" fontId="86" fillId="0" borderId="1" xfId="1538" applyNumberFormat="1" applyFont="1" applyBorder="1" applyAlignment="1">
      <alignment horizontal="right" vertical="center"/>
    </xf>
    <xf numFmtId="2" fontId="86" fillId="0" borderId="1" xfId="1538" applyNumberFormat="1" applyFont="1" applyBorder="1" applyAlignment="1">
      <alignment horizontal="right" vertical="center" wrapText="1" shrinkToFit="1"/>
    </xf>
    <xf numFmtId="0" fontId="86" fillId="0" borderId="1" xfId="1538" applyFont="1" applyBorder="1" applyAlignment="1">
      <alignment horizontal="left" vertical="center" wrapText="1" shrinkToFit="1"/>
    </xf>
    <xf numFmtId="0" fontId="85" fillId="0" borderId="1" xfId="1538" applyFont="1" applyBorder="1" applyAlignment="1">
      <alignment vertical="center" wrapText="1"/>
    </xf>
    <xf numFmtId="1" fontId="86" fillId="0" borderId="1" xfId="1538" applyNumberFormat="1" applyFont="1" applyBorder="1" applyAlignment="1">
      <alignment horizontal="right" vertical="center" wrapText="1" shrinkToFit="1"/>
    </xf>
    <xf numFmtId="2" fontId="87" fillId="0" borderId="1" xfId="1538" applyNumberFormat="1" applyFont="1" applyBorder="1" applyAlignment="1">
      <alignment horizontal="right" vertical="top" wrapText="1"/>
    </xf>
    <xf numFmtId="2" fontId="85" fillId="0" borderId="1" xfId="1538" applyNumberFormat="1" applyFont="1" applyBorder="1" applyAlignment="1">
      <alignment horizontal="left" vertical="top" wrapText="1"/>
    </xf>
    <xf numFmtId="175" fontId="85" fillId="0" borderId="1" xfId="1538" applyNumberFormat="1" applyFont="1" applyBorder="1" applyAlignment="1">
      <alignment vertical="top" wrapText="1"/>
    </xf>
    <xf numFmtId="178" fontId="85" fillId="0" borderId="1" xfId="1538" applyNumberFormat="1" applyFont="1" applyBorder="1" applyAlignment="1">
      <alignment vertical="top" wrapText="1"/>
    </xf>
    <xf numFmtId="2" fontId="85" fillId="0" borderId="1" xfId="1538" applyNumberFormat="1" applyFont="1" applyBorder="1" applyAlignment="1">
      <alignment vertical="top" wrapText="1"/>
    </xf>
    <xf numFmtId="176" fontId="86" fillId="0" borderId="1" xfId="1538" applyNumberFormat="1" applyFont="1" applyBorder="1" applyAlignment="1">
      <alignment vertical="top" wrapText="1"/>
    </xf>
    <xf numFmtId="176" fontId="86" fillId="0" borderId="0" xfId="1538" applyNumberFormat="1" applyFont="1" applyAlignment="1">
      <alignment vertical="top" wrapText="1"/>
    </xf>
    <xf numFmtId="2" fontId="86" fillId="16" borderId="1" xfId="1538" applyNumberFormat="1" applyFont="1" applyFill="1" applyBorder="1" applyAlignment="1">
      <alignment vertical="top" wrapText="1"/>
    </xf>
    <xf numFmtId="0" fontId="86" fillId="0" borderId="6" xfId="1538" applyFont="1" applyBorder="1" applyAlignment="1">
      <alignment horizontal="center" vertical="top" wrapText="1"/>
    </xf>
    <xf numFmtId="0" fontId="85" fillId="0" borderId="6" xfId="1538" applyFont="1" applyBorder="1" applyAlignment="1">
      <alignment horizontal="center" vertical="top" wrapText="1"/>
    </xf>
    <xf numFmtId="0" fontId="86" fillId="0" borderId="6" xfId="1538" applyFont="1" applyBorder="1" applyAlignment="1">
      <alignment horizontal="justify" vertical="top" wrapText="1"/>
    </xf>
    <xf numFmtId="2" fontId="86" fillId="0" borderId="6" xfId="1538" applyNumberFormat="1" applyFont="1" applyBorder="1" applyAlignment="1">
      <alignment vertical="top" wrapText="1"/>
    </xf>
    <xf numFmtId="0" fontId="86" fillId="0" borderId="6" xfId="1538" applyFont="1" applyBorder="1" applyAlignment="1">
      <alignment vertical="top" wrapText="1"/>
    </xf>
    <xf numFmtId="2" fontId="86" fillId="0" borderId="6" xfId="1538" applyNumberFormat="1" applyFont="1" applyBorder="1" applyAlignment="1">
      <alignment horizontal="center" vertical="top" wrapText="1"/>
    </xf>
    <xf numFmtId="0" fontId="86" fillId="0" borderId="20" xfId="1538" applyFont="1" applyBorder="1" applyAlignment="1">
      <alignment horizontal="center" vertical="top" wrapText="1"/>
    </xf>
    <xf numFmtId="0" fontId="85" fillId="0" borderId="20" xfId="1538" applyFont="1" applyBorder="1" applyAlignment="1">
      <alignment horizontal="center" vertical="top" wrapText="1"/>
    </xf>
    <xf numFmtId="0" fontId="86" fillId="0" borderId="20" xfId="1538" applyFont="1" applyBorder="1" applyAlignment="1">
      <alignment horizontal="justify" vertical="top" wrapText="1"/>
    </xf>
    <xf numFmtId="2" fontId="86" fillId="0" borderId="20" xfId="1538" applyNumberFormat="1" applyFont="1" applyBorder="1" applyAlignment="1">
      <alignment vertical="top" wrapText="1"/>
    </xf>
    <xf numFmtId="0" fontId="86" fillId="0" borderId="20" xfId="1538" applyFont="1" applyBorder="1" applyAlignment="1">
      <alignment vertical="top" wrapText="1"/>
    </xf>
    <xf numFmtId="2" fontId="86" fillId="0" borderId="20" xfId="1538" applyNumberFormat="1" applyFont="1" applyBorder="1" applyAlignment="1">
      <alignment horizontal="center" vertical="top" wrapText="1" shrinkToFit="1"/>
    </xf>
    <xf numFmtId="176" fontId="86" fillId="0" borderId="20" xfId="1538" applyNumberFormat="1" applyFont="1" applyBorder="1" applyAlignment="1">
      <alignment vertical="top" wrapText="1"/>
    </xf>
    <xf numFmtId="0" fontId="86" fillId="0" borderId="9" xfId="1538" applyFont="1" applyBorder="1" applyAlignment="1">
      <alignment horizontal="center" vertical="top" wrapText="1"/>
    </xf>
    <xf numFmtId="0" fontId="85" fillId="0" borderId="9" xfId="1538" applyFont="1" applyBorder="1" applyAlignment="1">
      <alignment horizontal="center" vertical="top" wrapText="1"/>
    </xf>
    <xf numFmtId="0" fontId="86" fillId="0" borderId="9" xfId="1538" applyFont="1" applyBorder="1" applyAlignment="1">
      <alignment horizontal="justify" vertical="top" wrapText="1"/>
    </xf>
    <xf numFmtId="2" fontId="86" fillId="0" borderId="9" xfId="1538" applyNumberFormat="1" applyFont="1" applyBorder="1" applyAlignment="1">
      <alignment vertical="top" wrapText="1"/>
    </xf>
    <xf numFmtId="0" fontId="86" fillId="0" borderId="9" xfId="1538" applyFont="1" applyBorder="1" applyAlignment="1">
      <alignment vertical="top" wrapText="1"/>
    </xf>
    <xf numFmtId="2" fontId="86" fillId="0" borderId="9" xfId="1538" applyNumberFormat="1" applyFont="1" applyBorder="1" applyAlignment="1">
      <alignment horizontal="center" vertical="top" wrapText="1"/>
    </xf>
    <xf numFmtId="176" fontId="86" fillId="0" borderId="1" xfId="1" applyNumberFormat="1" applyFont="1" applyBorder="1" applyAlignment="1" applyProtection="1">
      <alignment horizontal="right" vertical="top" wrapText="1" shrinkToFit="1"/>
    </xf>
    <xf numFmtId="0" fontId="86" fillId="0" borderId="16" xfId="1538" applyFont="1" applyBorder="1" applyAlignment="1">
      <alignment horizontal="center" vertical="top" wrapText="1"/>
    </xf>
    <xf numFmtId="0" fontId="85" fillId="0" borderId="16" xfId="1538" applyFont="1" applyBorder="1" applyAlignment="1">
      <alignment horizontal="center" vertical="top" wrapText="1"/>
    </xf>
    <xf numFmtId="0" fontId="86" fillId="0" borderId="16" xfId="1538" applyFont="1" applyBorder="1" applyAlignment="1">
      <alignment horizontal="justify" vertical="top" wrapText="1"/>
    </xf>
    <xf numFmtId="2" fontId="86" fillId="0" borderId="16" xfId="1538" applyNumberFormat="1" applyFont="1" applyBorder="1" applyAlignment="1">
      <alignment vertical="top" wrapText="1"/>
    </xf>
    <xf numFmtId="1" fontId="85" fillId="0" borderId="16" xfId="1538" applyNumberFormat="1" applyFont="1" applyBorder="1" applyAlignment="1">
      <alignment horizontal="center" vertical="top" wrapText="1"/>
    </xf>
    <xf numFmtId="0" fontId="86" fillId="0" borderId="10" xfId="1538" applyFont="1" applyBorder="1" applyAlignment="1">
      <alignment horizontal="center" vertical="top" wrapText="1"/>
    </xf>
    <xf numFmtId="0" fontId="85" fillId="0" borderId="10" xfId="1538" applyFont="1" applyBorder="1" applyAlignment="1">
      <alignment vertical="top" wrapText="1"/>
    </xf>
    <xf numFmtId="0" fontId="86" fillId="0" borderId="10" xfId="1538" applyFont="1" applyBorder="1" applyAlignment="1">
      <alignment horizontal="justify" vertical="top" wrapText="1"/>
    </xf>
    <xf numFmtId="2" fontId="86" fillId="0" borderId="10" xfId="1538" applyNumberFormat="1" applyFont="1" applyBorder="1" applyAlignment="1">
      <alignment vertical="top" wrapText="1"/>
    </xf>
    <xf numFmtId="2" fontId="86" fillId="0" borderId="10" xfId="1538" applyNumberFormat="1" applyFont="1" applyBorder="1" applyAlignment="1">
      <alignment horizontal="center" vertical="top" wrapText="1" shrinkToFit="1"/>
    </xf>
    <xf numFmtId="176" fontId="86" fillId="0" borderId="10" xfId="1538" applyNumberFormat="1" applyFont="1" applyBorder="1" applyAlignment="1">
      <alignment vertical="top" wrapText="1"/>
    </xf>
    <xf numFmtId="0" fontId="86" fillId="0" borderId="10" xfId="1538" applyFont="1" applyBorder="1" applyAlignment="1">
      <alignment horizontal="center" vertical="center" wrapText="1"/>
    </xf>
    <xf numFmtId="0" fontId="85" fillId="0" borderId="10" xfId="1538" applyFont="1" applyBorder="1" applyAlignment="1">
      <alignment vertical="center" wrapText="1"/>
    </xf>
    <xf numFmtId="0" fontId="86" fillId="0" borderId="10" xfId="1538" applyFont="1" applyBorder="1" applyAlignment="1">
      <alignment horizontal="justify" vertical="center" wrapText="1"/>
    </xf>
    <xf numFmtId="2" fontId="86" fillId="0" borderId="10" xfId="1538" applyNumberFormat="1" applyFont="1" applyBorder="1" applyAlignment="1">
      <alignment vertical="center" wrapText="1"/>
    </xf>
    <xf numFmtId="0" fontId="86" fillId="0" borderId="10" xfId="1538" applyFont="1" applyBorder="1" applyAlignment="1">
      <alignment vertical="center" wrapText="1"/>
    </xf>
    <xf numFmtId="1" fontId="85" fillId="0" borderId="10" xfId="1538" applyNumberFormat="1" applyFont="1" applyBorder="1" applyAlignment="1">
      <alignment horizontal="center" vertical="center" wrapText="1"/>
    </xf>
    <xf numFmtId="2" fontId="85" fillId="0" borderId="10" xfId="1538" applyNumberFormat="1" applyFont="1" applyBorder="1" applyAlignment="1">
      <alignment horizontal="left" vertical="top" wrapText="1"/>
    </xf>
    <xf numFmtId="0" fontId="86" fillId="0" borderId="10" xfId="1538" applyFont="1" applyBorder="1"/>
    <xf numFmtId="1" fontId="86" fillId="0" borderId="10" xfId="1538" applyNumberFormat="1" applyFont="1" applyBorder="1" applyAlignment="1">
      <alignment vertical="top" wrapText="1"/>
    </xf>
    <xf numFmtId="0" fontId="85" fillId="0" borderId="10" xfId="1538" applyFont="1" applyBorder="1" applyAlignment="1">
      <alignment horizontal="justify" vertical="center" wrapText="1"/>
    </xf>
    <xf numFmtId="2" fontId="86" fillId="0" borderId="10" xfId="1538" applyNumberFormat="1" applyFont="1" applyBorder="1" applyAlignment="1">
      <alignment horizontal="center" vertical="center" wrapText="1"/>
    </xf>
    <xf numFmtId="2" fontId="85" fillId="0" borderId="10" xfId="1538" applyNumberFormat="1" applyFont="1" applyBorder="1" applyAlignment="1">
      <alignment vertical="top" wrapText="1"/>
    </xf>
    <xf numFmtId="2" fontId="85" fillId="0" borderId="10" xfId="1538" applyNumberFormat="1" applyFont="1" applyBorder="1" applyAlignment="1">
      <alignment horizontal="center" vertical="top" wrapText="1"/>
    </xf>
    <xf numFmtId="175" fontId="86" fillId="0" borderId="10" xfId="1538" applyNumberFormat="1" applyFont="1" applyBorder="1" applyAlignment="1">
      <alignment vertical="top" wrapText="1"/>
    </xf>
    <xf numFmtId="2" fontId="86" fillId="0" borderId="10" xfId="1538" applyNumberFormat="1" applyFont="1" applyBorder="1" applyAlignment="1">
      <alignment horizontal="right" vertical="top" wrapText="1"/>
    </xf>
    <xf numFmtId="1" fontId="85" fillId="0" borderId="10" xfId="1538" applyNumberFormat="1" applyFont="1" applyBorder="1" applyAlignment="1">
      <alignment horizontal="center" vertical="top" wrapText="1"/>
    </xf>
    <xf numFmtId="0" fontId="86" fillId="0" borderId="10" xfId="1538" applyFont="1" applyBorder="1" applyAlignment="1">
      <alignment horizontal="right" vertical="top" wrapText="1"/>
    </xf>
    <xf numFmtId="178" fontId="86" fillId="0" borderId="10" xfId="1538" applyNumberFormat="1" applyFont="1" applyBorder="1" applyAlignment="1">
      <alignment vertical="top" wrapText="1"/>
    </xf>
    <xf numFmtId="0" fontId="85" fillId="0" borderId="10" xfId="1538" applyFont="1" applyBorder="1" applyAlignment="1">
      <alignment horizontal="center" vertical="top" wrapText="1"/>
    </xf>
    <xf numFmtId="0" fontId="86" fillId="0" borderId="0" xfId="1538" applyFont="1" applyAlignment="1">
      <alignment horizontal="justify"/>
    </xf>
    <xf numFmtId="0" fontId="20" fillId="0" borderId="20" xfId="1538" applyFont="1" applyBorder="1" applyAlignment="1">
      <alignment horizontal="center" vertical="center" wrapText="1"/>
    </xf>
    <xf numFmtId="2" fontId="20" fillId="0" borderId="20" xfId="1538" applyNumberFormat="1" applyFont="1" applyBorder="1" applyAlignment="1">
      <alignment horizontal="center" vertical="center" wrapText="1"/>
    </xf>
    <xf numFmtId="1" fontId="20" fillId="0" borderId="20" xfId="1538" applyNumberFormat="1" applyFont="1" applyBorder="1" applyAlignment="1">
      <alignment horizontal="center" vertical="center" wrapText="1"/>
    </xf>
    <xf numFmtId="0" fontId="5" fillId="0" borderId="20" xfId="1538" applyFont="1" applyBorder="1" applyAlignment="1">
      <alignment horizontal="center" vertical="top" wrapText="1"/>
    </xf>
    <xf numFmtId="0" fontId="20" fillId="0" borderId="20" xfId="1538" applyFont="1" applyBorder="1" applyAlignment="1">
      <alignment horizontal="center" vertical="top" wrapText="1"/>
    </xf>
    <xf numFmtId="2" fontId="20" fillId="0" borderId="20" xfId="1538" applyNumberFormat="1" applyFont="1" applyBorder="1" applyAlignment="1">
      <alignment horizontal="center" vertical="top" wrapText="1"/>
    </xf>
    <xf numFmtId="2" fontId="5" fillId="0" borderId="20" xfId="1538" applyNumberFormat="1" applyFont="1" applyBorder="1" applyAlignment="1">
      <alignment horizontal="center" vertical="top" wrapText="1"/>
    </xf>
    <xf numFmtId="1" fontId="5" fillId="0" borderId="20" xfId="1538" applyNumberFormat="1" applyFont="1" applyBorder="1" applyAlignment="1">
      <alignment horizontal="center" vertical="top" wrapText="1"/>
    </xf>
    <xf numFmtId="0" fontId="20" fillId="0" borderId="20" xfId="1538" applyFont="1" applyBorder="1" applyAlignment="1">
      <alignment horizontal="justify" vertical="top" wrapText="1"/>
    </xf>
    <xf numFmtId="2" fontId="5" fillId="0" borderId="20" xfId="1538" applyNumberFormat="1" applyFont="1" applyBorder="1" applyAlignment="1">
      <alignment horizontal="center" vertical="top"/>
    </xf>
    <xf numFmtId="0" fontId="5" fillId="0" borderId="20" xfId="1538" applyFont="1" applyBorder="1" applyAlignment="1">
      <alignment horizontal="justify" vertical="top" wrapText="1"/>
    </xf>
    <xf numFmtId="0" fontId="5" fillId="0" borderId="20" xfId="1538" applyFont="1" applyBorder="1" applyAlignment="1">
      <alignment horizontal="left" vertical="center" wrapText="1"/>
    </xf>
    <xf numFmtId="0" fontId="5" fillId="0" borderId="20" xfId="1538" applyFont="1" applyBorder="1" applyAlignment="1">
      <alignment horizontal="center" vertical="top"/>
    </xf>
    <xf numFmtId="2" fontId="5" fillId="0" borderId="20" xfId="1538" applyNumberFormat="1" applyFont="1" applyBorder="1" applyAlignment="1">
      <alignment vertical="top"/>
    </xf>
    <xf numFmtId="0" fontId="5" fillId="0" borderId="0" xfId="1538" applyFont="1" applyAlignment="1">
      <alignment horizontal="right" vertical="top"/>
    </xf>
    <xf numFmtId="1" fontId="5" fillId="0" borderId="0" xfId="1538" applyNumberFormat="1" applyFont="1" applyAlignment="1">
      <alignment horizontal="right" vertical="top"/>
    </xf>
    <xf numFmtId="0" fontId="20" fillId="0" borderId="20" xfId="1538" applyFont="1" applyBorder="1" applyAlignment="1">
      <alignment horizontal="right" vertical="top" wrapText="1"/>
    </xf>
    <xf numFmtId="1" fontId="74" fillId="0" borderId="20" xfId="1538" applyNumberFormat="1" applyFont="1" applyBorder="1" applyAlignment="1">
      <alignment horizontal="center" vertical="top" wrapText="1"/>
    </xf>
    <xf numFmtId="0" fontId="60" fillId="0" borderId="10" xfId="1538" applyFont="1" applyBorder="1" applyAlignment="1">
      <alignment horizontal="center" vertical="top"/>
    </xf>
    <xf numFmtId="0" fontId="60" fillId="0" borderId="10" xfId="1538" applyFont="1" applyBorder="1"/>
    <xf numFmtId="175" fontId="86" fillId="0" borderId="1" xfId="1538" applyNumberFormat="1" applyFont="1" applyBorder="1" applyAlignment="1">
      <alignment horizontal="right" vertical="center" wrapText="1"/>
    </xf>
    <xf numFmtId="0" fontId="86" fillId="0" borderId="1" xfId="1538" applyFont="1" applyBorder="1" applyAlignment="1">
      <alignment horizontal="left" wrapText="1"/>
    </xf>
    <xf numFmtId="175" fontId="86" fillId="0" borderId="1" xfId="1538" applyNumberFormat="1" applyFont="1" applyBorder="1" applyAlignment="1">
      <alignment horizontal="right" wrapText="1"/>
    </xf>
    <xf numFmtId="2" fontId="86" fillId="0" borderId="1" xfId="1538" applyNumberFormat="1" applyFont="1" applyBorder="1" applyAlignment="1">
      <alignment horizontal="center" wrapText="1"/>
    </xf>
    <xf numFmtId="1" fontId="86" fillId="0" borderId="1" xfId="1538" applyNumberFormat="1" applyFont="1" applyBorder="1" applyAlignment="1">
      <alignment horizontal="center" wrapText="1"/>
    </xf>
    <xf numFmtId="0" fontId="86" fillId="0" borderId="1" xfId="1538" applyFont="1" applyBorder="1" applyAlignment="1">
      <alignment horizontal="center" wrapText="1"/>
    </xf>
    <xf numFmtId="0" fontId="85" fillId="0" borderId="1" xfId="1538" applyFont="1" applyBorder="1" applyAlignment="1">
      <alignment horizontal="left" shrinkToFit="1"/>
    </xf>
    <xf numFmtId="1" fontId="86" fillId="0" borderId="1" xfId="1538" applyNumberFormat="1" applyFont="1" applyBorder="1" applyAlignment="1">
      <alignment horizontal="right" vertical="center" shrinkToFit="1"/>
    </xf>
    <xf numFmtId="0" fontId="85" fillId="0" borderId="1" xfId="1538" applyFont="1" applyBorder="1" applyAlignment="1">
      <alignment horizontal="center" vertical="center" wrapText="1" shrinkToFit="1"/>
    </xf>
    <xf numFmtId="0" fontId="0" fillId="0" borderId="20" xfId="1538" applyFont="1" applyBorder="1" applyAlignment="1">
      <alignment horizontal="justify" vertical="top" wrapText="1"/>
    </xf>
    <xf numFmtId="0" fontId="60" fillId="0" borderId="10" xfId="1538" applyFont="1" applyBorder="1"/>
    <xf numFmtId="0" fontId="60" fillId="0" borderId="10" xfId="1538" applyFont="1" applyBorder="1" applyAlignment="1">
      <alignment horizontal="center" vertical="top"/>
    </xf>
    <xf numFmtId="0" fontId="67" fillId="0" borderId="23" xfId="0" applyFont="1" applyFill="1" applyBorder="1" applyAlignment="1">
      <alignment horizontal="justify" vertical="top" wrapText="1"/>
    </xf>
    <xf numFmtId="0" fontId="86" fillId="0" borderId="32" xfId="1538" applyFont="1" applyBorder="1" applyAlignment="1">
      <alignment horizontal="center" vertical="top" shrinkToFit="1"/>
    </xf>
    <xf numFmtId="0" fontId="86" fillId="0" borderId="32" xfId="1538" applyFont="1" applyBorder="1"/>
    <xf numFmtId="0" fontId="86" fillId="0" borderId="32" xfId="1538" applyFont="1" applyBorder="1" applyAlignment="1">
      <alignment horizontal="right" vertical="top" shrinkToFit="1"/>
    </xf>
    <xf numFmtId="0" fontId="86" fillId="0" borderId="32" xfId="1538" applyFont="1" applyBorder="1" applyAlignment="1">
      <alignment horizontal="justify" vertical="top" wrapText="1"/>
    </xf>
    <xf numFmtId="0" fontId="86" fillId="0" borderId="32" xfId="1538" applyFont="1" applyBorder="1" applyAlignment="1">
      <alignment horizontal="right" vertical="top" wrapText="1"/>
    </xf>
    <xf numFmtId="2" fontId="86" fillId="0" borderId="32" xfId="1538" applyNumberFormat="1" applyFont="1" applyBorder="1" applyAlignment="1">
      <alignment horizontal="center" vertical="top" wrapText="1"/>
    </xf>
    <xf numFmtId="176" fontId="86" fillId="0" borderId="32" xfId="1538" applyNumberFormat="1" applyFont="1" applyBorder="1" applyAlignment="1">
      <alignment horizontal="right" shrinkToFit="1"/>
    </xf>
    <xf numFmtId="2" fontId="85" fillId="0" borderId="32" xfId="1538" applyNumberFormat="1" applyFont="1" applyBorder="1" applyAlignment="1">
      <alignment horizontal="right" vertical="top" shrinkToFit="1"/>
    </xf>
    <xf numFmtId="2" fontId="86" fillId="0" borderId="32" xfId="1538" applyNumberFormat="1" applyFont="1" applyBorder="1" applyAlignment="1">
      <alignment horizontal="center" shrinkToFit="1"/>
    </xf>
    <xf numFmtId="0" fontId="60" fillId="0" borderId="10" xfId="1538" applyFont="1" applyBorder="1"/>
    <xf numFmtId="0" fontId="85"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2" fontId="85" fillId="0" borderId="1" xfId="1538" applyNumberFormat="1" applyFont="1" applyBorder="1" applyAlignment="1">
      <alignment horizontal="right" vertical="top" wrapText="1"/>
    </xf>
    <xf numFmtId="0" fontId="85" fillId="0" borderId="1" xfId="1538" applyFont="1" applyBorder="1" applyAlignment="1">
      <alignment horizontal="left" vertical="top" wrapText="1"/>
    </xf>
    <xf numFmtId="2" fontId="86" fillId="0" borderId="1" xfId="1538" applyNumberFormat="1" applyFont="1" applyBorder="1" applyAlignment="1">
      <alignment horizontal="left" vertical="top" wrapText="1"/>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0" fontId="85" fillId="0" borderId="1" xfId="1538" applyFont="1" applyBorder="1" applyAlignment="1">
      <alignment horizontal="justify" vertical="top" wrapText="1"/>
    </xf>
    <xf numFmtId="2" fontId="85" fillId="0" borderId="1" xfId="1538" applyNumberFormat="1" applyFont="1" applyBorder="1" applyAlignment="1">
      <alignment horizontal="center" vertical="center"/>
    </xf>
    <xf numFmtId="2" fontId="85" fillId="0" borderId="1" xfId="1538" applyNumberFormat="1" applyFont="1" applyBorder="1" applyAlignment="1">
      <alignment horizontal="center" vertical="center" shrinkToFit="1"/>
    </xf>
    <xf numFmtId="0" fontId="85" fillId="0" borderId="1" xfId="1538" applyFont="1" applyBorder="1" applyAlignment="1">
      <alignment horizontal="center" vertical="center"/>
    </xf>
    <xf numFmtId="0" fontId="85" fillId="0" borderId="1" xfId="1538" applyFont="1" applyBorder="1" applyAlignment="1">
      <alignment horizontal="center" vertical="top"/>
    </xf>
    <xf numFmtId="0" fontId="86" fillId="0" borderId="1" xfId="1538" applyFont="1" applyBorder="1" applyAlignment="1">
      <alignment horizontal="justify" vertical="top" wrapText="1"/>
    </xf>
    <xf numFmtId="0" fontId="86" fillId="0" borderId="1" xfId="1538" applyFont="1" applyBorder="1" applyAlignment="1">
      <alignment horizontal="center" vertical="top" shrinkToFit="1"/>
    </xf>
    <xf numFmtId="0" fontId="86" fillId="0" borderId="1" xfId="1538" applyFont="1" applyBorder="1" applyAlignment="1">
      <alignment horizontal="center" vertical="top"/>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176" fontId="86" fillId="0" borderId="1" xfId="1538" applyNumberFormat="1"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0" fontId="86" fillId="0" borderId="1" xfId="1538" applyFont="1" applyBorder="1" applyAlignment="1">
      <alignment horizontal="right" vertical="top" wrapText="1"/>
    </xf>
    <xf numFmtId="0" fontId="86" fillId="0" borderId="1" xfId="1538" applyFont="1" applyBorder="1"/>
    <xf numFmtId="0" fontId="86" fillId="0" borderId="0" xfId="1538" applyFont="1"/>
    <xf numFmtId="0" fontId="86" fillId="0" borderId="20" xfId="1538" applyFont="1" applyBorder="1"/>
    <xf numFmtId="0" fontId="85" fillId="0" borderId="10" xfId="1538" applyFont="1" applyBorder="1" applyAlignment="1">
      <alignment horizontal="justify" vertical="top" wrapText="1"/>
    </xf>
    <xf numFmtId="0" fontId="85" fillId="0" borderId="0" xfId="1538" applyFont="1"/>
    <xf numFmtId="0" fontId="86" fillId="0" borderId="10" xfId="1538" applyFont="1" applyBorder="1" applyAlignment="1">
      <alignment horizontal="left" vertical="top" wrapText="1"/>
    </xf>
    <xf numFmtId="2" fontId="86" fillId="0" borderId="10" xfId="1538" applyNumberFormat="1" applyFont="1" applyBorder="1" applyAlignment="1">
      <alignment horizontal="left" vertical="top" wrapText="1"/>
    </xf>
    <xf numFmtId="2" fontId="86" fillId="0" borderId="10" xfId="1538" applyNumberFormat="1" applyFont="1" applyBorder="1" applyAlignment="1">
      <alignment horizontal="center" vertical="top" wrapText="1"/>
    </xf>
    <xf numFmtId="0" fontId="12" fillId="0" borderId="33" xfId="1538" applyFont="1" applyBorder="1" applyAlignment="1">
      <alignment vertical="top"/>
    </xf>
    <xf numFmtId="0" fontId="13" fillId="0" borderId="33" xfId="1538" applyFont="1" applyBorder="1"/>
    <xf numFmtId="0" fontId="12" fillId="0" borderId="33" xfId="1538" applyFont="1" applyBorder="1"/>
    <xf numFmtId="0" fontId="12" fillId="17" borderId="33" xfId="1538" applyFont="1" applyFill="1" applyBorder="1" applyAlignment="1">
      <alignment horizontal="center"/>
    </xf>
    <xf numFmtId="0" fontId="40" fillId="18" borderId="33" xfId="1538" applyFont="1" applyFill="1" applyBorder="1" applyAlignment="1">
      <alignment horizontal="center"/>
    </xf>
    <xf numFmtId="0" fontId="13" fillId="0" borderId="33" xfId="1538" applyFont="1" applyBorder="1" applyAlignment="1">
      <alignment horizontal="center" vertical="top" wrapText="1"/>
    </xf>
    <xf numFmtId="0" fontId="13" fillId="0" borderId="33" xfId="1538" applyFont="1" applyBorder="1" applyAlignment="1">
      <alignment vertical="top" wrapText="1"/>
    </xf>
    <xf numFmtId="2" fontId="31" fillId="0" borderId="33" xfId="1538" applyNumberFormat="1" applyFont="1" applyBorder="1" applyAlignment="1" applyProtection="1">
      <alignment horizontal="center"/>
      <protection locked="0"/>
    </xf>
    <xf numFmtId="0" fontId="27" fillId="0" borderId="33" xfId="1538" applyFont="1" applyBorder="1" applyAlignment="1">
      <alignment horizontal="center"/>
    </xf>
    <xf numFmtId="0" fontId="33" fillId="0" borderId="33" xfId="1538" applyFont="1" applyBorder="1"/>
    <xf numFmtId="0" fontId="31" fillId="0" borderId="33" xfId="1538" applyFont="1" applyBorder="1" applyAlignment="1">
      <alignment horizontal="center" vertical="top"/>
    </xf>
    <xf numFmtId="0" fontId="31" fillId="0" borderId="33" xfId="1538" applyFont="1" applyBorder="1" applyAlignment="1">
      <alignment horizontal="justify" vertical="top" wrapText="1"/>
    </xf>
    <xf numFmtId="0" fontId="31" fillId="0" borderId="33" xfId="1538" applyFont="1" applyBorder="1" applyAlignment="1" applyProtection="1">
      <alignment horizontal="center" vertical="center" wrapText="1"/>
      <protection locked="0"/>
    </xf>
    <xf numFmtId="0" fontId="31" fillId="0" borderId="33" xfId="1538" applyFont="1" applyBorder="1" applyAlignment="1">
      <alignment horizontal="left" vertical="top"/>
    </xf>
    <xf numFmtId="0" fontId="31" fillId="0" borderId="33" xfId="1538" applyFont="1" applyBorder="1" applyAlignment="1">
      <alignment vertical="top" wrapText="1"/>
    </xf>
    <xf numFmtId="0" fontId="31" fillId="0" borderId="33" xfId="1538" applyFont="1" applyBorder="1" applyAlignment="1">
      <alignment horizontal="center"/>
    </xf>
    <xf numFmtId="0" fontId="31" fillId="0" borderId="33" xfId="1538" applyFont="1" applyBorder="1"/>
    <xf numFmtId="0" fontId="13" fillId="0" borderId="33" xfId="1538" applyFont="1" applyBorder="1" applyAlignment="1">
      <alignment horizontal="center"/>
    </xf>
    <xf numFmtId="0" fontId="12" fillId="0" borderId="33" xfId="1538" applyFont="1" applyBorder="1" applyAlignment="1">
      <alignment horizontal="center"/>
    </xf>
    <xf numFmtId="0" fontId="42" fillId="19" borderId="33" xfId="1538" applyFont="1" applyFill="1" applyBorder="1"/>
    <xf numFmtId="171" fontId="33" fillId="16" borderId="33" xfId="1538" applyNumberFormat="1" applyFont="1" applyFill="1" applyBorder="1" applyAlignment="1">
      <alignment horizontal="center"/>
    </xf>
    <xf numFmtId="0" fontId="13" fillId="19" borderId="33" xfId="1538" applyFont="1" applyFill="1" applyBorder="1"/>
    <xf numFmtId="0" fontId="13" fillId="0" borderId="33" xfId="1538" applyFont="1" applyBorder="1" applyAlignment="1">
      <alignment horizontal="center" vertical="center" wrapText="1"/>
    </xf>
    <xf numFmtId="0" fontId="13" fillId="0" borderId="33" xfId="1538" applyFont="1" applyBorder="1" applyAlignment="1">
      <alignment vertical="center" wrapText="1"/>
    </xf>
    <xf numFmtId="2" fontId="27" fillId="16" borderId="33" xfId="1538" applyNumberFormat="1" applyFont="1" applyFill="1" applyBorder="1" applyAlignment="1">
      <alignment horizontal="center" vertical="center" shrinkToFit="1"/>
    </xf>
    <xf numFmtId="2" fontId="41" fillId="0" borderId="33" xfId="1538" applyNumberFormat="1" applyFont="1" applyBorder="1" applyAlignment="1">
      <alignment horizontal="right" vertical="center" shrinkToFit="1"/>
    </xf>
    <xf numFmtId="0" fontId="14" fillId="0" borderId="33" xfId="1538" applyFont="1" applyBorder="1" applyAlignment="1">
      <alignment vertical="center" wrapText="1"/>
    </xf>
    <xf numFmtId="0" fontId="41" fillId="0" borderId="33" xfId="1538" applyFont="1" applyBorder="1" applyAlignment="1">
      <alignment vertical="center" wrapText="1"/>
    </xf>
    <xf numFmtId="2" fontId="31" fillId="16" borderId="33" xfId="1538" applyNumberFormat="1" applyFont="1" applyFill="1" applyBorder="1" applyAlignment="1">
      <alignment horizontal="center" vertical="center" shrinkToFit="1"/>
    </xf>
    <xf numFmtId="0" fontId="44" fillId="20" borderId="33" xfId="1538" applyFont="1" applyFill="1" applyBorder="1" applyAlignment="1">
      <alignment vertical="center" wrapText="1"/>
    </xf>
    <xf numFmtId="172" fontId="13" fillId="0" borderId="33" xfId="1538" applyNumberFormat="1" applyFont="1" applyBorder="1" applyAlignment="1">
      <alignment horizontal="justify" vertical="center" wrapText="1"/>
    </xf>
    <xf numFmtId="9" fontId="45" fillId="0" borderId="33" xfId="1" applyFont="1" applyBorder="1" applyAlignment="1" applyProtection="1">
      <alignment horizontal="right" vertical="center" wrapText="1"/>
    </xf>
    <xf numFmtId="0" fontId="38" fillId="0" borderId="33" xfId="1538" applyFont="1" applyBorder="1" applyAlignment="1">
      <alignment horizontal="center" shrinkToFit="1"/>
    </xf>
    <xf numFmtId="173" fontId="46" fillId="0" borderId="33" xfId="1" applyNumberFormat="1" applyFont="1" applyBorder="1" applyAlignment="1" applyProtection="1">
      <alignment horizontal="right" vertical="center" wrapText="1"/>
    </xf>
    <xf numFmtId="0" fontId="38" fillId="0" borderId="33" xfId="1538" applyFont="1" applyBorder="1" applyAlignment="1">
      <alignment horizontal="center" vertical="top" shrinkToFit="1"/>
    </xf>
    <xf numFmtId="2" fontId="13" fillId="0" borderId="33" xfId="1538" applyNumberFormat="1" applyFont="1" applyBorder="1" applyAlignment="1">
      <alignment horizontal="right" vertical="top"/>
    </xf>
    <xf numFmtId="0" fontId="41" fillId="21" borderId="33" xfId="1538" applyFont="1" applyFill="1" applyBorder="1"/>
    <xf numFmtId="0" fontId="12" fillId="22" borderId="33" xfId="1538" applyFont="1" applyFill="1" applyBorder="1" applyAlignment="1">
      <alignment wrapText="1"/>
    </xf>
    <xf numFmtId="2" fontId="12" fillId="0" borderId="33" xfId="1538" applyNumberFormat="1" applyFont="1" applyBorder="1" applyAlignment="1" applyProtection="1">
      <alignment horizontal="right" vertical="top"/>
      <protection hidden="1"/>
    </xf>
    <xf numFmtId="2" fontId="86" fillId="29" borderId="1" xfId="1538" applyNumberFormat="1" applyFont="1" applyFill="1" applyBorder="1" applyAlignment="1">
      <alignment horizontal="center" vertical="top" shrinkToFit="1"/>
    </xf>
    <xf numFmtId="0" fontId="86" fillId="26" borderId="1" xfId="1538" applyFont="1" applyFill="1" applyBorder="1" applyAlignment="1">
      <alignment horizontal="justify" vertical="top" wrapText="1" shrinkToFit="1"/>
    </xf>
    <xf numFmtId="1" fontId="86" fillId="26" borderId="1" xfId="1538" applyNumberFormat="1" applyFont="1" applyFill="1" applyBorder="1" applyAlignment="1">
      <alignment vertical="center" wrapText="1"/>
    </xf>
    <xf numFmtId="178" fontId="86" fillId="26" borderId="1" xfId="1538" applyNumberFormat="1" applyFont="1" applyFill="1" applyBorder="1" applyAlignment="1">
      <alignment vertical="center" wrapText="1"/>
    </xf>
    <xf numFmtId="0" fontId="55" fillId="0" borderId="0" xfId="1538" applyFont="1" applyFill="1" applyAlignment="1">
      <alignment horizontal="center" vertical="center"/>
    </xf>
    <xf numFmtId="2" fontId="55" fillId="0" borderId="0" xfId="1538" applyNumberFormat="1" applyFont="1" applyFill="1" applyAlignment="1">
      <alignment horizontal="center" vertical="center"/>
    </xf>
    <xf numFmtId="2" fontId="55" fillId="0" borderId="33" xfId="1538" applyNumberFormat="1" applyFont="1" applyFill="1" applyBorder="1" applyAlignment="1">
      <alignment horizontal="center" vertical="center"/>
    </xf>
    <xf numFmtId="0" fontId="55" fillId="0" borderId="33" xfId="1538" applyFont="1" applyFill="1" applyBorder="1" applyAlignment="1">
      <alignment horizontal="center" vertical="center"/>
    </xf>
    <xf numFmtId="0" fontId="60" fillId="0" borderId="10" xfId="1538" applyFont="1" applyBorder="1"/>
    <xf numFmtId="0" fontId="67" fillId="0" borderId="23" xfId="0" applyFont="1" applyFill="1" applyBorder="1" applyAlignment="1">
      <alignment vertical="top" wrapText="1"/>
    </xf>
    <xf numFmtId="0" fontId="56" fillId="0" borderId="33" xfId="30886" applyFont="1" applyBorder="1" applyAlignment="1">
      <alignment horizontal="center" vertical="center" shrinkToFit="1"/>
    </xf>
    <xf numFmtId="0" fontId="55" fillId="26" borderId="33" xfId="0" applyFont="1" applyFill="1" applyBorder="1" applyAlignment="1">
      <alignment horizontal="center" vertical="top"/>
    </xf>
    <xf numFmtId="0" fontId="55" fillId="26" borderId="33" xfId="0" applyFont="1" applyFill="1" applyBorder="1" applyAlignment="1">
      <alignment vertical="top"/>
    </xf>
    <xf numFmtId="0" fontId="95" fillId="0" borderId="0" xfId="0" applyFont="1"/>
    <xf numFmtId="0" fontId="74" fillId="26" borderId="33" xfId="0" applyFont="1" applyFill="1" applyBorder="1" applyAlignment="1">
      <alignment horizontal="justify"/>
    </xf>
    <xf numFmtId="0" fontId="55" fillId="26" borderId="33" xfId="0" applyFont="1" applyFill="1" applyBorder="1"/>
    <xf numFmtId="0" fontId="55" fillId="26" borderId="33" xfId="0" applyFont="1" applyFill="1" applyBorder="1" applyAlignment="1">
      <alignment horizontal="justify"/>
    </xf>
    <xf numFmtId="2" fontId="74" fillId="26" borderId="33" xfId="0" applyNumberFormat="1" applyFont="1" applyFill="1" applyBorder="1"/>
    <xf numFmtId="0" fontId="74" fillId="26" borderId="33" xfId="0" applyFont="1" applyFill="1" applyBorder="1"/>
    <xf numFmtId="2" fontId="55" fillId="26" borderId="33" xfId="0" applyNumberFormat="1" applyFont="1" applyFill="1" applyBorder="1"/>
    <xf numFmtId="2" fontId="55" fillId="26" borderId="33" xfId="0" quotePrefix="1" applyNumberFormat="1" applyFont="1" applyFill="1" applyBorder="1"/>
    <xf numFmtId="176" fontId="55" fillId="26" borderId="33" xfId="0" quotePrefix="1" applyNumberFormat="1" applyFont="1" applyFill="1" applyBorder="1"/>
    <xf numFmtId="176" fontId="74" fillId="26" borderId="33" xfId="0" applyNumberFormat="1" applyFont="1" applyFill="1" applyBorder="1"/>
    <xf numFmtId="176" fontId="74" fillId="26" borderId="33" xfId="0" quotePrefix="1" applyNumberFormat="1" applyFont="1" applyFill="1" applyBorder="1"/>
    <xf numFmtId="2" fontId="55" fillId="26" borderId="33" xfId="0" applyNumberFormat="1" applyFont="1" applyFill="1" applyBorder="1" applyAlignment="1">
      <alignment vertical="center"/>
    </xf>
    <xf numFmtId="0" fontId="55" fillId="26" borderId="33" xfId="0" applyFont="1" applyFill="1" applyBorder="1" applyAlignment="1">
      <alignment vertical="center"/>
    </xf>
    <xf numFmtId="0" fontId="74" fillId="26" borderId="33" xfId="0" applyFont="1" applyFill="1" applyBorder="1" applyAlignment="1">
      <alignment vertical="center"/>
    </xf>
    <xf numFmtId="2" fontId="74" fillId="26" borderId="33" xfId="0" applyNumberFormat="1" applyFont="1" applyFill="1" applyBorder="1" applyAlignment="1">
      <alignment vertical="center"/>
    </xf>
    <xf numFmtId="175" fontId="55" fillId="26" borderId="33" xfId="0" applyNumberFormat="1" applyFont="1" applyFill="1" applyBorder="1" applyAlignment="1">
      <alignment vertical="center"/>
    </xf>
    <xf numFmtId="175" fontId="74" fillId="26" borderId="33" xfId="0" applyNumberFormat="1" applyFont="1" applyFill="1" applyBorder="1" applyAlignment="1">
      <alignment vertical="center"/>
    </xf>
    <xf numFmtId="176" fontId="55" fillId="26" borderId="33" xfId="0" applyNumberFormat="1" applyFont="1" applyFill="1" applyBorder="1"/>
    <xf numFmtId="2" fontId="55" fillId="26" borderId="33" xfId="0" applyNumberFormat="1" applyFont="1" applyFill="1" applyBorder="1" applyAlignment="1">
      <alignment shrinkToFit="1"/>
    </xf>
    <xf numFmtId="1" fontId="55" fillId="26" borderId="33" xfId="0" applyNumberFormat="1" applyFont="1" applyFill="1" applyBorder="1"/>
    <xf numFmtId="175" fontId="55" fillId="26" borderId="33" xfId="0" applyNumberFormat="1" applyFont="1" applyFill="1" applyBorder="1"/>
    <xf numFmtId="1" fontId="74" fillId="26" borderId="33" xfId="0" applyNumberFormat="1" applyFont="1" applyFill="1" applyBorder="1"/>
    <xf numFmtId="2" fontId="0" fillId="26" borderId="33" xfId="0" applyNumberFormat="1" applyFill="1" applyBorder="1" applyAlignment="1">
      <alignment vertical="center"/>
    </xf>
    <xf numFmtId="0" fontId="0" fillId="26" borderId="33" xfId="0" applyFill="1" applyBorder="1" applyAlignment="1">
      <alignment horizontal="justify"/>
    </xf>
    <xf numFmtId="0" fontId="0" fillId="26" borderId="33" xfId="0" applyFill="1" applyBorder="1" applyAlignment="1">
      <alignment horizontal="left" vertical="top" wrapText="1"/>
    </xf>
    <xf numFmtId="0" fontId="55" fillId="0" borderId="0" xfId="1538" applyFont="1" applyFill="1"/>
    <xf numFmtId="2" fontId="74" fillId="0" borderId="33" xfId="1538" applyNumberFormat="1" applyFont="1" applyFill="1" applyBorder="1" applyAlignment="1">
      <alignment horizontal="center" vertical="center"/>
    </xf>
    <xf numFmtId="1" fontId="74" fillId="0" borderId="33" xfId="1538" applyNumberFormat="1" applyFont="1" applyFill="1" applyBorder="1" applyAlignment="1">
      <alignment horizontal="center" vertical="center" wrapText="1"/>
    </xf>
    <xf numFmtId="0" fontId="55" fillId="0" borderId="33" xfId="1538" applyFont="1" applyFill="1" applyBorder="1" applyAlignment="1">
      <alignment horizontal="center" vertical="top"/>
    </xf>
    <xf numFmtId="0" fontId="55" fillId="0" borderId="33" xfId="1538" applyFont="1" applyFill="1" applyBorder="1" applyAlignment="1">
      <alignment horizontal="justify" vertical="top" wrapText="1"/>
    </xf>
    <xf numFmtId="1" fontId="55" fillId="0" borderId="33" xfId="1538" applyNumberFormat="1" applyFont="1" applyFill="1" applyBorder="1" applyAlignment="1">
      <alignment horizontal="center" vertical="center"/>
    </xf>
    <xf numFmtId="1" fontId="74" fillId="0" borderId="33" xfId="1538" applyNumberFormat="1" applyFont="1" applyFill="1" applyBorder="1" applyAlignment="1">
      <alignment horizontal="center" vertical="center"/>
    </xf>
    <xf numFmtId="0" fontId="55" fillId="0" borderId="0" xfId="1538" applyFont="1" applyFill="1" applyAlignment="1">
      <alignment vertical="top"/>
    </xf>
    <xf numFmtId="1" fontId="55" fillId="0" borderId="0" xfId="1538" applyNumberFormat="1" applyFont="1" applyFill="1" applyAlignment="1">
      <alignment horizontal="center" vertical="center"/>
    </xf>
    <xf numFmtId="0" fontId="0" fillId="0" borderId="33" xfId="1538" applyFont="1" applyFill="1" applyBorder="1" applyAlignment="1">
      <alignment horizontal="justify" vertical="top" wrapText="1"/>
    </xf>
    <xf numFmtId="0" fontId="0" fillId="0" borderId="33" xfId="1538" applyFont="1" applyFill="1" applyBorder="1" applyAlignment="1">
      <alignment horizontal="center" vertical="center"/>
    </xf>
    <xf numFmtId="0" fontId="55" fillId="0" borderId="33" xfId="30886" applyFont="1" applyBorder="1" applyAlignment="1">
      <alignment horizontal="center" vertical="center" wrapText="1"/>
    </xf>
    <xf numFmtId="1" fontId="85" fillId="0" borderId="1" xfId="1538" applyNumberFormat="1" applyFont="1" applyBorder="1" applyAlignment="1">
      <alignment horizontal="center" vertical="top"/>
    </xf>
    <xf numFmtId="0" fontId="87" fillId="0" borderId="1" xfId="1538" applyFont="1" applyBorder="1" applyAlignment="1">
      <alignment horizontal="left" vertical="top"/>
    </xf>
    <xf numFmtId="1" fontId="85" fillId="0" borderId="1" xfId="1538" applyNumberFormat="1" applyFont="1" applyBorder="1" applyAlignment="1">
      <alignment vertical="top" wrapText="1"/>
    </xf>
    <xf numFmtId="0" fontId="74" fillId="0" borderId="33" xfId="1538" applyFont="1" applyFill="1" applyBorder="1" applyAlignment="1">
      <alignment horizontal="center" vertical="top"/>
    </xf>
    <xf numFmtId="0" fontId="94" fillId="0" borderId="33" xfId="0" applyFont="1" applyBorder="1"/>
    <xf numFmtId="2" fontId="56" fillId="0" borderId="0" xfId="0" applyNumberFormat="1" applyFont="1" applyAlignment="1">
      <alignment horizontal="center"/>
    </xf>
    <xf numFmtId="0" fontId="56" fillId="0" borderId="33" xfId="30886" applyFont="1" applyBorder="1" applyAlignment="1">
      <alignment horizontal="center" vertical="center" wrapText="1"/>
    </xf>
    <xf numFmtId="0" fontId="74" fillId="0" borderId="33" xfId="1538" applyFont="1" applyFill="1" applyBorder="1" applyAlignment="1">
      <alignment horizontal="center" vertical="center" wrapText="1"/>
    </xf>
    <xf numFmtId="0" fontId="67" fillId="0" borderId="23" xfId="0" applyFont="1" applyFill="1" applyBorder="1" applyAlignment="1">
      <alignment horizontal="left"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justify" vertical="top" wrapText="1"/>
    </xf>
    <xf numFmtId="0" fontId="67" fillId="0" borderId="23" xfId="0" applyFont="1" applyFill="1" applyBorder="1" applyAlignment="1">
      <alignment vertical="top" wrapText="1"/>
    </xf>
    <xf numFmtId="2" fontId="56" fillId="0" borderId="33" xfId="0" applyNumberFormat="1" applyFont="1" applyBorder="1" applyAlignment="1">
      <alignment horizontal="center"/>
    </xf>
    <xf numFmtId="2" fontId="55" fillId="0" borderId="33" xfId="0" applyNumberFormat="1" applyFont="1" applyBorder="1" applyAlignment="1">
      <alignment horizontal="center"/>
    </xf>
    <xf numFmtId="0" fontId="55" fillId="26" borderId="33" xfId="30886" applyFont="1" applyFill="1" applyBorder="1" applyAlignment="1">
      <alignment horizontal="center" vertical="center" wrapText="1"/>
    </xf>
    <xf numFmtId="2" fontId="55" fillId="35" borderId="33" xfId="30886" applyNumberFormat="1" applyFont="1" applyFill="1" applyBorder="1" applyAlignment="1">
      <alignment horizontal="center" vertical="center" shrinkToFit="1"/>
    </xf>
    <xf numFmtId="2" fontId="55" fillId="0" borderId="33" xfId="30886" applyNumberFormat="1" applyFont="1" applyBorder="1" applyAlignment="1">
      <alignment horizontal="center" vertical="center" wrapText="1"/>
    </xf>
    <xf numFmtId="0" fontId="56" fillId="0" borderId="33" xfId="30886" applyFont="1" applyFill="1" applyBorder="1" applyAlignment="1">
      <alignment horizontal="center" vertical="center" wrapText="1"/>
    </xf>
    <xf numFmtId="0" fontId="55" fillId="0" borderId="33" xfId="30886" applyFont="1" applyFill="1" applyBorder="1" applyAlignment="1">
      <alignment horizontal="center" vertical="center" wrapText="1"/>
    </xf>
    <xf numFmtId="2" fontId="82" fillId="0" borderId="33" xfId="1538" applyNumberFormat="1" applyFont="1" applyFill="1" applyBorder="1" applyAlignment="1">
      <alignment horizontal="center" vertical="center" wrapText="1"/>
    </xf>
    <xf numFmtId="0" fontId="86" fillId="26" borderId="1" xfId="1538" applyFont="1" applyFill="1" applyBorder="1" applyAlignment="1">
      <alignment horizontal="center" vertical="top" wrapText="1"/>
    </xf>
    <xf numFmtId="0" fontId="85" fillId="26" borderId="1" xfId="1538" applyFont="1" applyFill="1" applyBorder="1" applyAlignment="1">
      <alignment horizontal="justify" vertical="top" wrapText="1"/>
    </xf>
    <xf numFmtId="0" fontId="85" fillId="26" borderId="1" xfId="1538" applyFont="1" applyFill="1" applyBorder="1" applyAlignment="1">
      <alignment horizontal="justify" vertical="center" wrapText="1"/>
    </xf>
    <xf numFmtId="0" fontId="86" fillId="26" borderId="1" xfId="1538" applyFont="1" applyFill="1" applyBorder="1" applyAlignment="1">
      <alignment horizontal="center" vertical="center"/>
    </xf>
    <xf numFmtId="0" fontId="86" fillId="26" borderId="1" xfId="1538" applyFont="1" applyFill="1" applyBorder="1" applyAlignment="1">
      <alignment horizontal="center" vertical="top"/>
    </xf>
    <xf numFmtId="0" fontId="85" fillId="26" borderId="1" xfId="1538" applyFont="1" applyFill="1" applyBorder="1" applyAlignment="1">
      <alignment horizontal="right" vertical="center"/>
    </xf>
    <xf numFmtId="0" fontId="86" fillId="31" borderId="1" xfId="1538" applyFont="1" applyFill="1" applyBorder="1" applyAlignment="1">
      <alignment horizontal="center" vertical="top"/>
    </xf>
    <xf numFmtId="0" fontId="85" fillId="31" borderId="1" xfId="1538" applyFont="1" applyFill="1" applyBorder="1" applyAlignment="1">
      <alignment horizontal="justify" vertical="top" wrapText="1"/>
    </xf>
    <xf numFmtId="0" fontId="86" fillId="26" borderId="1" xfId="1538" applyFont="1" applyFill="1" applyBorder="1" applyAlignment="1">
      <alignment horizontal="center" vertical="center" shrinkToFit="1"/>
    </xf>
    <xf numFmtId="0" fontId="86" fillId="27" borderId="1" xfId="1538" applyFont="1" applyFill="1" applyBorder="1" applyAlignment="1">
      <alignment horizontal="center" vertical="top"/>
    </xf>
    <xf numFmtId="0" fontId="86" fillId="27" borderId="1" xfId="1538" applyFont="1" applyFill="1" applyBorder="1" applyAlignment="1">
      <alignment horizontal="justify" vertical="top" wrapText="1"/>
    </xf>
    <xf numFmtId="0" fontId="85" fillId="27" borderId="1" xfId="1538" applyFont="1" applyFill="1" applyBorder="1" applyAlignment="1">
      <alignment horizontal="justify" vertical="top" wrapText="1"/>
    </xf>
    <xf numFmtId="0" fontId="85" fillId="27" borderId="1" xfId="1538" applyFont="1" applyFill="1" applyBorder="1" applyAlignment="1">
      <alignment horizontal="right" vertical="center"/>
    </xf>
    <xf numFmtId="0" fontId="86" fillId="26" borderId="1" xfId="1538" applyFont="1" applyFill="1" applyBorder="1" applyAlignment="1">
      <alignment horizontal="justify" vertical="top" wrapText="1"/>
    </xf>
    <xf numFmtId="1" fontId="86" fillId="26" borderId="1" xfId="1538" applyNumberFormat="1" applyFont="1" applyFill="1" applyBorder="1" applyAlignment="1">
      <alignment horizontal="center" vertical="top"/>
    </xf>
    <xf numFmtId="0" fontId="85" fillId="26" borderId="1" xfId="1538" applyFont="1" applyFill="1" applyBorder="1" applyAlignment="1">
      <alignment horizontal="center" vertical="center" textRotation="90"/>
    </xf>
    <xf numFmtId="0" fontId="85" fillId="26" borderId="1" xfId="1538" applyFont="1" applyFill="1" applyBorder="1" applyAlignment="1">
      <alignment horizontal="right"/>
    </xf>
    <xf numFmtId="0" fontId="85" fillId="26" borderId="1" xfId="1538" applyFont="1" applyFill="1" applyBorder="1" applyAlignment="1">
      <alignment horizontal="left" vertical="top" wrapText="1"/>
    </xf>
    <xf numFmtId="0" fontId="85" fillId="26" borderId="1" xfId="1538" applyFont="1" applyFill="1" applyBorder="1" applyAlignment="1">
      <alignment horizontal="center" vertical="top" wrapText="1"/>
    </xf>
    <xf numFmtId="0" fontId="86" fillId="26" borderId="1" xfId="1538" applyFont="1" applyFill="1" applyBorder="1" applyAlignment="1">
      <alignment horizontal="left" vertical="top" wrapText="1"/>
    </xf>
    <xf numFmtId="0" fontId="85" fillId="26" borderId="1" xfId="1538" applyFont="1" applyFill="1" applyBorder="1" applyAlignment="1">
      <alignment horizontal="justify" wrapText="1"/>
    </xf>
    <xf numFmtId="0" fontId="86" fillId="26" borderId="1" xfId="1538" applyFont="1" applyFill="1" applyBorder="1" applyAlignment="1">
      <alignment horizontal="justify" vertical="center" wrapText="1"/>
    </xf>
    <xf numFmtId="0" fontId="85" fillId="0" borderId="1" xfId="1538" applyFont="1" applyBorder="1" applyAlignment="1">
      <alignment horizontal="justify" vertical="top" wrapText="1"/>
    </xf>
    <xf numFmtId="0" fontId="86" fillId="0" borderId="1" xfId="1538" applyFont="1" applyBorder="1" applyAlignment="1">
      <alignment horizontal="justify" vertical="top" wrapText="1"/>
    </xf>
    <xf numFmtId="0" fontId="86" fillId="0" borderId="1" xfId="1538" applyFont="1" applyBorder="1" applyAlignment="1">
      <alignment horizontal="center" vertical="top" shrinkToFit="1"/>
    </xf>
    <xf numFmtId="0" fontId="87" fillId="0" borderId="1" xfId="1538" applyFont="1" applyBorder="1" applyAlignment="1">
      <alignment horizontal="left" vertical="top" wrapText="1"/>
    </xf>
    <xf numFmtId="0" fontId="86" fillId="0" borderId="1" xfId="1538" applyFont="1" applyBorder="1" applyAlignment="1">
      <alignment horizontal="justify" wrapText="1"/>
    </xf>
    <xf numFmtId="0" fontId="85" fillId="0" borderId="1" xfId="1538" applyFont="1" applyBorder="1" applyAlignment="1">
      <alignment horizontal="left" vertical="top" wrapText="1"/>
    </xf>
    <xf numFmtId="1" fontId="86" fillId="0" borderId="1" xfId="1538" applyNumberFormat="1" applyFont="1" applyBorder="1" applyAlignment="1">
      <alignment horizontal="center" vertical="top"/>
    </xf>
    <xf numFmtId="0" fontId="86" fillId="0" borderId="1" xfId="1538" applyFont="1" applyBorder="1" applyAlignment="1">
      <alignment horizontal="center" vertical="top"/>
    </xf>
    <xf numFmtId="1" fontId="86" fillId="0" borderId="1" xfId="1538" applyNumberFormat="1" applyFont="1" applyBorder="1" applyAlignment="1">
      <alignment horizontal="center" vertical="top" shrinkToFit="1"/>
    </xf>
    <xf numFmtId="0" fontId="85" fillId="0" borderId="1" xfId="1538" applyFont="1" applyBorder="1" applyAlignment="1">
      <alignment horizontal="justify" wrapText="1"/>
    </xf>
    <xf numFmtId="2" fontId="85" fillId="0" borderId="1" xfId="1538" applyNumberFormat="1" applyFont="1" applyBorder="1" applyAlignment="1">
      <alignment horizontal="center" vertical="center" shrinkToFit="1"/>
    </xf>
    <xf numFmtId="0" fontId="86" fillId="16" borderId="1" xfId="1538" applyFont="1" applyFill="1" applyBorder="1" applyAlignment="1">
      <alignment horizontal="justify" vertical="top" wrapText="1"/>
    </xf>
    <xf numFmtId="2" fontId="86" fillId="0" borderId="1" xfId="1538" applyNumberFormat="1" applyFont="1" applyBorder="1" applyAlignment="1">
      <alignment horizontal="justify" vertical="top" wrapText="1"/>
    </xf>
    <xf numFmtId="2" fontId="86" fillId="0" borderId="1" xfId="1538" applyNumberFormat="1" applyFont="1" applyBorder="1" applyAlignment="1">
      <alignment horizontal="center" vertical="center"/>
    </xf>
    <xf numFmtId="0" fontId="86" fillId="0" borderId="1" xfId="1538" applyFont="1" applyBorder="1" applyAlignment="1">
      <alignment horizontal="left" vertical="center"/>
    </xf>
    <xf numFmtId="0" fontId="85" fillId="0" borderId="1" xfId="1538" applyFont="1" applyBorder="1" applyAlignment="1">
      <alignment horizontal="center" vertical="top"/>
    </xf>
    <xf numFmtId="1" fontId="85" fillId="0" borderId="1" xfId="1538" applyNumberFormat="1" applyFont="1" applyBorder="1" applyAlignment="1">
      <alignment horizontal="center" vertical="center"/>
    </xf>
    <xf numFmtId="0" fontId="85" fillId="0" borderId="1" xfId="1538" applyFont="1" applyBorder="1" applyAlignment="1">
      <alignment horizontal="center" vertical="center"/>
    </xf>
    <xf numFmtId="2" fontId="85" fillId="0" borderId="1" xfId="1538" applyNumberFormat="1" applyFont="1" applyBorder="1" applyAlignment="1">
      <alignment horizontal="center" vertical="center"/>
    </xf>
    <xf numFmtId="0" fontId="85" fillId="0" borderId="1" xfId="1538" applyFont="1" applyBorder="1" applyAlignment="1">
      <alignment horizontal="justify" vertical="top"/>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0" fontId="85" fillId="0" borderId="1" xfId="1538" applyFont="1" applyBorder="1" applyAlignment="1">
      <alignment horizontal="left" vertical="center" wrapText="1"/>
    </xf>
    <xf numFmtId="0" fontId="85"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0" fontId="85" fillId="0" borderId="1" xfId="1538" applyFont="1" applyBorder="1" applyAlignment="1">
      <alignment horizontal="right" vertical="center" wrapText="1"/>
    </xf>
    <xf numFmtId="2" fontId="85" fillId="0" borderId="1" xfId="1538" applyNumberFormat="1" applyFont="1" applyBorder="1" applyAlignment="1">
      <alignment horizontal="right" vertical="top" wrapText="1"/>
    </xf>
    <xf numFmtId="0" fontId="86" fillId="0" borderId="0" xfId="1538" applyFont="1"/>
    <xf numFmtId="0" fontId="85" fillId="0" borderId="0" xfId="1538" applyFont="1"/>
    <xf numFmtId="0" fontId="86" fillId="0" borderId="1" xfId="1538" applyFont="1" applyBorder="1"/>
    <xf numFmtId="0" fontId="86" fillId="0" borderId="1" xfId="1538" applyFont="1" applyBorder="1" applyAlignment="1">
      <alignment horizontal="center" vertical="top" wrapText="1"/>
    </xf>
    <xf numFmtId="2" fontId="86" fillId="0" borderId="1" xfId="1538" applyNumberFormat="1" applyFont="1" applyBorder="1" applyAlignment="1">
      <alignment horizontal="center" vertical="top" wrapText="1"/>
    </xf>
    <xf numFmtId="0" fontId="86" fillId="0" borderId="1" xfId="1538" applyFont="1" applyBorder="1" applyAlignment="1">
      <alignment horizontal="left" vertical="top" wrapText="1"/>
    </xf>
    <xf numFmtId="176" fontId="86" fillId="0" borderId="1" xfId="1538" applyNumberFormat="1" applyFont="1" applyBorder="1" applyAlignment="1">
      <alignment horizontal="right" vertical="top" wrapText="1"/>
    </xf>
    <xf numFmtId="0" fontId="86" fillId="0" borderId="1" xfId="1538"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0" fontId="0" fillId="0" borderId="33" xfId="1538" applyNumberFormat="1" applyFont="1" applyFill="1" applyBorder="1" applyAlignment="1">
      <alignment horizontal="justify" vertical="top" wrapText="1"/>
    </xf>
    <xf numFmtId="0" fontId="55" fillId="0" borderId="33" xfId="1538" applyFont="1" applyFill="1" applyBorder="1"/>
    <xf numFmtId="0" fontId="55" fillId="0" borderId="33" xfId="1538" applyFont="1" applyFill="1" applyBorder="1" applyAlignment="1">
      <alignment vertical="top"/>
    </xf>
    <xf numFmtId="0" fontId="86" fillId="0" borderId="1" xfId="1538" applyFont="1" applyBorder="1" applyAlignment="1">
      <alignment horizontal="justify" vertical="top" wrapText="1"/>
    </xf>
    <xf numFmtId="0" fontId="60" fillId="0" borderId="10" xfId="1538" applyFont="1" applyBorder="1"/>
    <xf numFmtId="0" fontId="74" fillId="0" borderId="33" xfId="1538" applyFont="1" applyFill="1" applyBorder="1" applyAlignment="1">
      <alignment horizontal="justify" vertical="top" wrapText="1"/>
    </xf>
    <xf numFmtId="0" fontId="58" fillId="0" borderId="33" xfId="0" applyFont="1" applyFill="1" applyBorder="1" applyAlignment="1">
      <alignment horizontal="center" vertical="center"/>
    </xf>
    <xf numFmtId="0" fontId="58" fillId="0" borderId="33" xfId="0" applyFont="1" applyFill="1" applyBorder="1" applyAlignment="1">
      <alignment vertical="center" wrapText="1"/>
    </xf>
    <xf numFmtId="1" fontId="58" fillId="0" borderId="33" xfId="0" applyNumberFormat="1" applyFont="1" applyFill="1" applyBorder="1" applyAlignment="1">
      <alignment horizontal="right" vertical="center"/>
    </xf>
    <xf numFmtId="0" fontId="74" fillId="0" borderId="33" xfId="1538" applyFont="1" applyFill="1" applyBorder="1" applyAlignment="1">
      <alignment vertical="top"/>
    </xf>
    <xf numFmtId="0" fontId="0" fillId="0" borderId="33" xfId="1538" applyFont="1" applyFill="1" applyBorder="1" applyAlignment="1">
      <alignment vertical="top" wrapText="1"/>
    </xf>
    <xf numFmtId="0" fontId="0" fillId="0" borderId="33" xfId="1538" applyFont="1" applyFill="1" applyBorder="1" applyAlignment="1">
      <alignment horizontal="center" vertical="center" wrapText="1"/>
    </xf>
    <xf numFmtId="0" fontId="98" fillId="0" borderId="33" xfId="0" applyFont="1" applyBorder="1" applyAlignment="1">
      <alignment vertical="center"/>
    </xf>
    <xf numFmtId="0" fontId="99" fillId="0" borderId="33" xfId="30880" applyFont="1" applyFill="1" applyBorder="1" applyAlignment="1">
      <alignment horizontal="center" vertical="center" wrapText="1"/>
    </xf>
    <xf numFmtId="0" fontId="99" fillId="0" borderId="33" xfId="30880" applyFont="1" applyFill="1" applyBorder="1" applyAlignment="1">
      <alignment horizontal="right" vertical="center" wrapText="1"/>
    </xf>
    <xf numFmtId="0" fontId="98" fillId="0" borderId="33" xfId="0" applyFont="1" applyBorder="1" applyAlignment="1">
      <alignment vertical="top"/>
    </xf>
    <xf numFmtId="0" fontId="100" fillId="0" borderId="33" xfId="30883" applyFont="1" applyBorder="1" applyAlignment="1">
      <alignment horizontal="left" vertical="top"/>
    </xf>
    <xf numFmtId="0" fontId="98" fillId="0" borderId="33" xfId="0" applyFont="1" applyBorder="1" applyAlignment="1">
      <alignment horizontal="center" vertical="top" wrapText="1"/>
    </xf>
    <xf numFmtId="0" fontId="0" fillId="0" borderId="33" xfId="0" applyBorder="1" applyAlignment="1">
      <alignment horizontal="center" vertical="center"/>
    </xf>
    <xf numFmtId="0" fontId="0" fillId="0" borderId="33" xfId="0" applyBorder="1"/>
    <xf numFmtId="0" fontId="92" fillId="0" borderId="33" xfId="0" applyFont="1" applyBorder="1" applyAlignment="1">
      <alignment horizontal="center" vertical="center"/>
    </xf>
    <xf numFmtId="189" fontId="101" fillId="0" borderId="33" xfId="0" applyNumberFormat="1" applyFont="1" applyBorder="1" applyAlignment="1">
      <alignment horizontal="center" vertical="center"/>
    </xf>
    <xf numFmtId="0" fontId="98" fillId="0" borderId="33" xfId="0" applyFont="1" applyBorder="1" applyAlignment="1">
      <alignment horizontal="center" vertical="center"/>
    </xf>
    <xf numFmtId="0" fontId="0" fillId="0" borderId="33" xfId="0" applyBorder="1" applyAlignment="1">
      <alignment horizontal="justify" vertical="top" wrapText="1"/>
    </xf>
    <xf numFmtId="190" fontId="101" fillId="0" borderId="33" xfId="0" applyNumberFormat="1" applyFont="1" applyBorder="1" applyAlignment="1">
      <alignment horizontal="center" vertical="center"/>
    </xf>
    <xf numFmtId="0" fontId="0" fillId="0" borderId="0" xfId="0" applyAlignment="1">
      <alignment horizontal="center" vertical="center"/>
    </xf>
    <xf numFmtId="0" fontId="74" fillId="0" borderId="33" xfId="0" applyFont="1" applyBorder="1"/>
    <xf numFmtId="0" fontId="74" fillId="0" borderId="33" xfId="1538" applyFont="1" applyFill="1" applyBorder="1" applyAlignment="1">
      <alignment horizontal="right" vertical="top" wrapText="1"/>
    </xf>
    <xf numFmtId="0" fontId="74" fillId="0" borderId="33" xfId="1538" applyFont="1" applyFill="1" applyBorder="1" applyAlignment="1">
      <alignment horizontal="right" vertical="top"/>
    </xf>
    <xf numFmtId="0" fontId="58" fillId="0" borderId="33" xfId="17705" applyFont="1" applyBorder="1" applyAlignment="1">
      <alignment horizontal="center"/>
    </xf>
    <xf numFmtId="0" fontId="57" fillId="0" borderId="33" xfId="17705" applyFont="1" applyBorder="1" applyAlignment="1">
      <alignment horizontal="center" vertical="center"/>
    </xf>
    <xf numFmtId="0" fontId="57" fillId="0" borderId="33" xfId="17705" applyFont="1" applyBorder="1" applyAlignment="1">
      <alignment horizontal="center" vertical="center" wrapText="1"/>
    </xf>
    <xf numFmtId="0" fontId="102" fillId="0" borderId="33" xfId="0" applyFont="1" applyBorder="1" applyAlignment="1">
      <alignment horizontal="center" vertical="center"/>
    </xf>
    <xf numFmtId="0" fontId="58" fillId="0" borderId="33" xfId="17705" applyFont="1" applyBorder="1" applyAlignment="1">
      <alignment vertical="center"/>
    </xf>
    <xf numFmtId="0" fontId="103" fillId="0" borderId="33" xfId="0" applyFont="1" applyBorder="1" applyAlignment="1">
      <alignment horizontal="center" vertical="center"/>
    </xf>
    <xf numFmtId="0" fontId="103" fillId="0" borderId="33" xfId="0" applyFont="1" applyBorder="1"/>
    <xf numFmtId="0" fontId="57" fillId="0" borderId="33" xfId="17705" applyFont="1" applyBorder="1" applyAlignment="1">
      <alignment horizontal="right" vertical="center"/>
    </xf>
    <xf numFmtId="0" fontId="104" fillId="0" borderId="33" xfId="0" applyFont="1" applyBorder="1" applyAlignment="1">
      <alignment horizontal="center" vertical="center"/>
    </xf>
    <xf numFmtId="0" fontId="58" fillId="0" borderId="33" xfId="17705" applyFont="1" applyBorder="1" applyAlignment="1">
      <alignment horizontal="left" vertical="center"/>
    </xf>
    <xf numFmtId="0" fontId="57" fillId="0" borderId="33" xfId="17705" applyFont="1" applyBorder="1" applyAlignment="1">
      <alignment horizontal="right" vertical="center" wrapText="1"/>
    </xf>
    <xf numFmtId="1" fontId="58" fillId="0" borderId="33" xfId="0" applyNumberFormat="1" applyFont="1" applyFill="1" applyBorder="1" applyAlignment="1">
      <alignment horizontal="center" vertical="center"/>
    </xf>
    <xf numFmtId="0" fontId="58" fillId="0" borderId="33" xfId="17747" applyFont="1" applyFill="1" applyBorder="1" applyAlignment="1">
      <alignment horizontal="left" vertical="center" wrapText="1"/>
    </xf>
    <xf numFmtId="0" fontId="58" fillId="0" borderId="33" xfId="17705" applyFont="1" applyBorder="1" applyAlignment="1">
      <alignment horizontal="left" vertical="center" wrapText="1"/>
    </xf>
    <xf numFmtId="0" fontId="102" fillId="0" borderId="33" xfId="0" applyFont="1" applyBorder="1"/>
    <xf numFmtId="1" fontId="104" fillId="0" borderId="33" xfId="0" applyNumberFormat="1" applyFont="1" applyBorder="1" applyAlignment="1">
      <alignment horizontal="center" vertical="center"/>
    </xf>
    <xf numFmtId="0" fontId="102" fillId="0" borderId="33" xfId="0" applyFont="1" applyBorder="1" applyAlignment="1">
      <alignment horizontal="center"/>
    </xf>
    <xf numFmtId="0" fontId="96" fillId="0" borderId="33" xfId="30880" applyFont="1" applyBorder="1" applyAlignment="1">
      <alignment horizontal="center" vertical="center" wrapText="1"/>
    </xf>
    <xf numFmtId="2" fontId="96" fillId="0" borderId="33" xfId="30880" applyNumberFormat="1" applyFont="1" applyBorder="1" applyAlignment="1">
      <alignment horizontal="center" vertical="center" wrapText="1"/>
    </xf>
    <xf numFmtId="1" fontId="96" fillId="0" borderId="33" xfId="30880" applyNumberFormat="1" applyFont="1" applyBorder="1" applyAlignment="1">
      <alignment horizontal="center" vertical="center" wrapText="1"/>
    </xf>
    <xf numFmtId="0" fontId="74" fillId="0" borderId="33" xfId="30884" applyNumberFormat="1" applyFont="1" applyBorder="1" applyAlignment="1">
      <alignment vertical="top" wrapText="1"/>
    </xf>
    <xf numFmtId="2" fontId="96" fillId="0" borderId="33" xfId="30880" applyNumberFormat="1" applyFont="1" applyBorder="1" applyAlignment="1">
      <alignment horizontal="center" vertical="top" wrapText="1"/>
    </xf>
    <xf numFmtId="0" fontId="96" fillId="0" borderId="33" xfId="30880" applyFont="1" applyBorder="1" applyAlignment="1">
      <alignment horizontal="center" vertical="top" wrapText="1"/>
    </xf>
    <xf numFmtId="0" fontId="0" fillId="0" borderId="33" xfId="30884" applyNumberFormat="1" applyFont="1" applyBorder="1" applyAlignment="1">
      <alignment vertical="top" wrapText="1"/>
    </xf>
    <xf numFmtId="0" fontId="55" fillId="0" borderId="33" xfId="30884" applyNumberFormat="1" applyFont="1" applyBorder="1" applyAlignment="1">
      <alignment vertical="top" wrapText="1"/>
    </xf>
    <xf numFmtId="2" fontId="101" fillId="0" borderId="33" xfId="30880" applyNumberFormat="1" applyFont="1" applyBorder="1" applyAlignment="1">
      <alignment horizontal="center" vertical="top" wrapText="1"/>
    </xf>
    <xf numFmtId="2" fontId="101" fillId="0" borderId="33" xfId="30880" applyNumberFormat="1" applyFont="1" applyBorder="1" applyAlignment="1">
      <alignment horizontal="center" vertical="center" wrapText="1"/>
    </xf>
    <xf numFmtId="1" fontId="101" fillId="0" borderId="33" xfId="30880" applyNumberFormat="1" applyFont="1" applyBorder="1" applyAlignment="1">
      <alignment horizontal="center" vertical="center" wrapText="1"/>
    </xf>
    <xf numFmtId="0" fontId="0" fillId="0" borderId="37" xfId="30884" applyNumberFormat="1" applyFont="1" applyBorder="1" applyAlignment="1">
      <alignment vertical="top" wrapText="1"/>
    </xf>
    <xf numFmtId="0" fontId="101" fillId="0" borderId="33" xfId="30880" applyFont="1" applyBorder="1" applyAlignment="1">
      <alignment horizontal="center" vertical="top" wrapText="1"/>
    </xf>
    <xf numFmtId="0" fontId="96" fillId="0" borderId="33" xfId="30880" applyFont="1" applyBorder="1" applyAlignment="1">
      <alignment horizontal="center" vertical="center" wrapText="1"/>
    </xf>
    <xf numFmtId="0" fontId="96" fillId="0" borderId="33" xfId="30880" applyFont="1" applyBorder="1" applyAlignment="1">
      <alignment horizontal="center" vertical="center" wrapText="1"/>
    </xf>
    <xf numFmtId="0" fontId="103" fillId="0" borderId="33" xfId="0" applyFont="1" applyBorder="1" applyAlignment="1">
      <alignment horizontal="center" vertical="center" wrapText="1"/>
    </xf>
    <xf numFmtId="0" fontId="60" fillId="0" borderId="10" xfId="1538" applyFont="1" applyBorder="1"/>
    <xf numFmtId="0" fontId="96" fillId="0" borderId="33" xfId="30880" applyFont="1" applyBorder="1" applyAlignment="1">
      <alignment horizontal="center" vertical="center" wrapText="1"/>
    </xf>
    <xf numFmtId="0" fontId="57" fillId="0" borderId="33" xfId="30880" applyFont="1" applyBorder="1" applyAlignment="1">
      <alignment vertical="center" wrapText="1"/>
    </xf>
    <xf numFmtId="0" fontId="105" fillId="0" borderId="33" xfId="30880" applyFont="1" applyBorder="1" applyAlignment="1">
      <alignment vertical="center"/>
    </xf>
    <xf numFmtId="0" fontId="96" fillId="0" borderId="33" xfId="30880" applyFont="1" applyBorder="1" applyAlignment="1">
      <alignment horizontal="center" vertical="center"/>
    </xf>
    <xf numFmtId="0" fontId="96" fillId="0" borderId="38" xfId="30880" applyFont="1" applyBorder="1" applyAlignment="1">
      <alignment horizontal="center" vertical="center" wrapText="1"/>
    </xf>
    <xf numFmtId="0" fontId="55" fillId="0" borderId="38" xfId="30884" applyNumberFormat="1" applyFont="1" applyBorder="1" applyAlignment="1">
      <alignment vertical="top" wrapText="1"/>
    </xf>
    <xf numFmtId="2" fontId="101" fillId="0" borderId="38" xfId="30880" applyNumberFormat="1" applyFont="1" applyBorder="1" applyAlignment="1">
      <alignment horizontal="center" vertical="top" wrapText="1"/>
    </xf>
    <xf numFmtId="0" fontId="67" fillId="0" borderId="23" xfId="25003" applyFont="1" applyFill="1" applyBorder="1" applyAlignment="1">
      <alignment horizontal="justify" vertical="top" wrapText="1"/>
    </xf>
    <xf numFmtId="0" fontId="67" fillId="0" borderId="23" xfId="0" applyFont="1" applyFill="1" applyBorder="1" applyAlignment="1">
      <alignment horizontal="left" vertical="top" wrapText="1"/>
    </xf>
    <xf numFmtId="0" fontId="66" fillId="0" borderId="23" xfId="0" applyFont="1" applyFill="1" applyBorder="1" applyAlignment="1">
      <alignment horizontal="center" vertical="top" wrapText="1"/>
    </xf>
    <xf numFmtId="0" fontId="67" fillId="0" borderId="23" xfId="0" applyFont="1" applyFill="1" applyBorder="1" applyAlignment="1">
      <alignment horizontal="justify" vertical="top" wrapText="1"/>
    </xf>
    <xf numFmtId="0" fontId="67" fillId="0" borderId="23" xfId="0" applyFont="1" applyFill="1" applyBorder="1" applyAlignment="1">
      <alignment horizontal="center"/>
    </xf>
    <xf numFmtId="1" fontId="66" fillId="0" borderId="23" xfId="0" applyNumberFormat="1" applyFont="1" applyFill="1" applyBorder="1" applyAlignment="1">
      <alignment horizontal="center" vertical="top" wrapText="1"/>
    </xf>
    <xf numFmtId="1" fontId="0" fillId="0" borderId="33" xfId="0" applyNumberFormat="1" applyBorder="1" applyAlignment="1">
      <alignment horizontal="center" vertical="center"/>
    </xf>
    <xf numFmtId="0" fontId="74" fillId="0" borderId="33" xfId="0" applyFont="1" applyBorder="1" applyAlignment="1">
      <alignment horizontal="center"/>
    </xf>
    <xf numFmtId="2" fontId="0" fillId="0" borderId="33" xfId="0" applyNumberFormat="1" applyBorder="1" applyAlignment="1">
      <alignment horizontal="center" vertical="center"/>
    </xf>
    <xf numFmtId="0" fontId="74" fillId="0" borderId="33" xfId="1538" applyFont="1" applyFill="1" applyBorder="1" applyAlignment="1">
      <alignment horizontal="left" vertical="top"/>
    </xf>
    <xf numFmtId="0" fontId="96" fillId="0" borderId="33" xfId="30880" applyFont="1" applyBorder="1" applyAlignment="1">
      <alignment horizontal="center" vertical="center" wrapText="1"/>
    </xf>
    <xf numFmtId="0" fontId="96" fillId="0" borderId="33" xfId="30880" applyFont="1" applyBorder="1" applyAlignment="1">
      <alignment horizontal="center" vertical="center" wrapText="1"/>
    </xf>
    <xf numFmtId="0" fontId="86" fillId="0" borderId="0" xfId="1538" applyFont="1"/>
    <xf numFmtId="0" fontId="85" fillId="0" borderId="10" xfId="1538" applyFont="1" applyBorder="1" applyAlignment="1">
      <alignment horizontal="justify" vertical="top" wrapText="1"/>
    </xf>
    <xf numFmtId="0" fontId="86" fillId="0" borderId="10" xfId="1538" applyFont="1" applyBorder="1" applyAlignment="1">
      <alignment horizontal="left" vertical="top" wrapText="1"/>
    </xf>
    <xf numFmtId="2" fontId="86" fillId="0" borderId="10" xfId="1538" applyNumberFormat="1" applyFont="1" applyBorder="1" applyAlignment="1">
      <alignment horizontal="center" vertical="top" wrapText="1"/>
    </xf>
    <xf numFmtId="175" fontId="85" fillId="0" borderId="10" xfId="1538" applyNumberFormat="1" applyFont="1" applyBorder="1" applyAlignment="1">
      <alignment horizontal="right" vertical="top" wrapText="1"/>
    </xf>
    <xf numFmtId="0" fontId="96" fillId="0" borderId="33" xfId="30880" applyFont="1" applyBorder="1" applyAlignment="1">
      <alignment horizontal="center" vertical="center" wrapText="1"/>
    </xf>
    <xf numFmtId="0" fontId="67" fillId="0" borderId="23" xfId="0" applyFont="1" applyFill="1" applyBorder="1" applyAlignment="1">
      <alignment horizontal="center"/>
    </xf>
    <xf numFmtId="0" fontId="67" fillId="0" borderId="23" xfId="25003" applyFont="1" applyFill="1" applyBorder="1" applyAlignment="1">
      <alignment horizontal="justify" vertical="top" wrapText="1"/>
    </xf>
    <xf numFmtId="0" fontId="96" fillId="0" borderId="33" xfId="30880" applyFont="1" applyBorder="1" applyAlignment="1">
      <alignment horizontal="center" vertical="center" wrapText="1"/>
    </xf>
    <xf numFmtId="2" fontId="66" fillId="0" borderId="10" xfId="1538" applyNumberFormat="1" applyFont="1" applyBorder="1" applyAlignment="1">
      <alignment vertical="top" wrapText="1"/>
    </xf>
    <xf numFmtId="175" fontId="67" fillId="0" borderId="10" xfId="1538" applyNumberFormat="1" applyFont="1" applyBorder="1" applyAlignment="1">
      <alignment horizontal="right" vertical="top" wrapText="1"/>
    </xf>
    <xf numFmtId="0" fontId="66" fillId="0" borderId="10" xfId="1538" applyFont="1" applyBorder="1"/>
    <xf numFmtId="0" fontId="86" fillId="0" borderId="0" xfId="1538" applyFont="1"/>
    <xf numFmtId="0" fontId="86" fillId="0" borderId="10" xfId="1538" applyFont="1" applyBorder="1" applyAlignment="1">
      <alignment horizontal="left" vertical="top" wrapText="1"/>
    </xf>
    <xf numFmtId="2" fontId="86" fillId="0" borderId="10" xfId="1538" applyNumberFormat="1" applyFont="1" applyBorder="1" applyAlignment="1">
      <alignment horizontal="center" vertical="top" wrapText="1"/>
    </xf>
    <xf numFmtId="0" fontId="74" fillId="0" borderId="33" xfId="0" applyFont="1" applyBorder="1" applyAlignment="1">
      <alignment horizontal="center" vertical="center"/>
    </xf>
    <xf numFmtId="0" fontId="74" fillId="0" borderId="33" xfId="0" applyFont="1" applyBorder="1" applyAlignment="1">
      <alignment horizontal="right"/>
    </xf>
    <xf numFmtId="0" fontId="74" fillId="0" borderId="33" xfId="1538" applyNumberFormat="1" applyFont="1" applyFill="1" applyBorder="1" applyAlignment="1">
      <alignment horizontal="right" vertical="top" wrapText="1"/>
    </xf>
    <xf numFmtId="0" fontId="66" fillId="0" borderId="10" xfId="1538" applyFont="1" applyBorder="1" applyAlignment="1">
      <alignment horizontal="justify" vertical="top" wrapText="1"/>
    </xf>
    <xf numFmtId="0" fontId="67" fillId="0" borderId="10" xfId="1538" applyFont="1" applyBorder="1" applyAlignment="1">
      <alignment horizontal="justify" vertical="top" wrapText="1"/>
    </xf>
    <xf numFmtId="0" fontId="86" fillId="0" borderId="10" xfId="1538" applyFont="1" applyBorder="1" applyAlignment="1">
      <alignment vertical="top"/>
    </xf>
    <xf numFmtId="0" fontId="85" fillId="0" borderId="10" xfId="1538" applyFont="1" applyBorder="1" applyAlignment="1">
      <alignment horizontal="right" vertical="top" wrapText="1"/>
    </xf>
    <xf numFmtId="0" fontId="85" fillId="0" borderId="33" xfId="1538" applyFont="1" applyBorder="1" applyAlignment="1">
      <alignment horizontal="justify" vertical="top" wrapText="1"/>
    </xf>
    <xf numFmtId="0" fontId="96" fillId="0" borderId="33" xfId="30880" applyFont="1" applyBorder="1" applyAlignment="1">
      <alignment horizontal="center" vertical="center" wrapText="1"/>
    </xf>
    <xf numFmtId="0" fontId="86" fillId="0" borderId="0" xfId="1538" applyFont="1"/>
    <xf numFmtId="0" fontId="60" fillId="0" borderId="10" xfId="1538" applyFont="1" applyBorder="1"/>
    <xf numFmtId="0" fontId="99" fillId="0" borderId="33" xfId="30880" applyFont="1" applyFill="1" applyBorder="1" applyAlignment="1">
      <alignment horizontal="center" vertical="center" wrapText="1"/>
    </xf>
    <xf numFmtId="0" fontId="85" fillId="0" borderId="33" xfId="1538" applyFont="1" applyBorder="1" applyAlignment="1">
      <alignment horizontal="justify" vertical="top" wrapText="1"/>
    </xf>
    <xf numFmtId="0" fontId="96" fillId="0" borderId="33" xfId="30880" applyFont="1" applyBorder="1" applyAlignment="1">
      <alignment horizontal="center" vertical="center" wrapText="1"/>
    </xf>
    <xf numFmtId="2" fontId="85" fillId="0" borderId="33" xfId="1538" applyNumberFormat="1" applyFont="1" applyBorder="1" applyAlignment="1">
      <alignment horizontal="justify" vertical="top" wrapText="1"/>
    </xf>
    <xf numFmtId="0" fontId="0" fillId="0" borderId="33" xfId="0" applyBorder="1" applyAlignment="1">
      <alignment wrapText="1"/>
    </xf>
    <xf numFmtId="0" fontId="0" fillId="0" borderId="33" xfId="0" applyBorder="1" applyAlignment="1">
      <alignment horizontal="left" vertical="center" wrapText="1"/>
    </xf>
    <xf numFmtId="0" fontId="0" fillId="0" borderId="33" xfId="0" applyBorder="1" applyAlignment="1">
      <alignment horizontal="right"/>
    </xf>
    <xf numFmtId="0" fontId="0" fillId="0" borderId="33" xfId="0" applyBorder="1" applyAlignment="1"/>
    <xf numFmtId="10" fontId="0" fillId="0" borderId="33" xfId="0" applyNumberFormat="1" applyBorder="1"/>
    <xf numFmtId="9" fontId="0" fillId="0" borderId="33" xfId="0" applyNumberFormat="1" applyBorder="1"/>
    <xf numFmtId="0" fontId="0" fillId="0" borderId="33" xfId="0" applyFont="1" applyBorder="1"/>
    <xf numFmtId="2" fontId="0" fillId="0" borderId="33" xfId="1538" applyNumberFormat="1" applyFont="1" applyFill="1" applyBorder="1" applyAlignment="1">
      <alignment horizontal="center" vertical="center"/>
    </xf>
    <xf numFmtId="0" fontId="86" fillId="0" borderId="1" xfId="1538" applyFont="1" applyBorder="1"/>
    <xf numFmtId="0" fontId="99" fillId="0" borderId="33" xfId="30880" applyFont="1" applyFill="1" applyBorder="1" applyAlignment="1">
      <alignment horizontal="center" vertical="center" wrapText="1"/>
    </xf>
    <xf numFmtId="2" fontId="98" fillId="0" borderId="33" xfId="0" applyNumberFormat="1" applyFont="1" applyBorder="1" applyAlignment="1">
      <alignment horizontal="center" vertical="center"/>
    </xf>
    <xf numFmtId="0" fontId="85" fillId="0" borderId="1" xfId="1538" applyFont="1" applyBorder="1" applyAlignment="1">
      <alignment horizontal="left" vertical="top" wrapText="1"/>
    </xf>
    <xf numFmtId="0" fontId="85" fillId="0" borderId="1" xfId="1538" applyFont="1" applyBorder="1" applyAlignment="1">
      <alignment horizontal="justify" vertical="top" wrapText="1"/>
    </xf>
    <xf numFmtId="0" fontId="85" fillId="0" borderId="1" xfId="1538" applyFont="1" applyBorder="1" applyAlignment="1">
      <alignment horizontal="center" vertical="top" wrapText="1"/>
    </xf>
    <xf numFmtId="0" fontId="86" fillId="0" borderId="1" xfId="1538" applyFont="1" applyBorder="1" applyAlignment="1">
      <alignment horizontal="justify" vertical="top" wrapText="1"/>
    </xf>
    <xf numFmtId="0" fontId="86" fillId="0" borderId="1" xfId="1538" applyFont="1" applyBorder="1" applyAlignment="1">
      <alignment horizontal="left" vertical="top" wrapText="1"/>
    </xf>
    <xf numFmtId="0" fontId="86" fillId="0" borderId="1" xfId="1538" applyFont="1" applyBorder="1" applyAlignment="1">
      <alignment horizontal="center" vertical="top" wrapText="1"/>
    </xf>
    <xf numFmtId="0" fontId="86" fillId="0" borderId="1" xfId="1538" applyFont="1" applyBorder="1"/>
    <xf numFmtId="0" fontId="5" fillId="0" borderId="5" xfId="1538" applyFont="1" applyBorder="1" applyAlignment="1">
      <alignment horizontal="center" vertical="center" wrapText="1"/>
    </xf>
    <xf numFmtId="0" fontId="22" fillId="0" borderId="1" xfId="1538" applyFont="1" applyBorder="1" applyAlignment="1" applyProtection="1">
      <alignment horizontal="center" vertical="center"/>
      <protection hidden="1"/>
    </xf>
    <xf numFmtId="0" fontId="22" fillId="0" borderId="1" xfId="1538" applyFont="1" applyBorder="1" applyAlignment="1" applyProtection="1">
      <alignment horizontal="center" vertical="center" wrapText="1"/>
      <protection hidden="1"/>
    </xf>
    <xf numFmtId="0" fontId="22" fillId="0" borderId="1" xfId="1538" applyFont="1" applyBorder="1" applyAlignment="1" applyProtection="1">
      <alignment horizontal="center" vertical="top" wrapText="1"/>
      <protection hidden="1"/>
    </xf>
    <xf numFmtId="0" fontId="30" fillId="0" borderId="1" xfId="1538" applyFont="1" applyBorder="1" applyAlignment="1" applyProtection="1">
      <alignment horizontal="center" vertical="center" wrapText="1"/>
      <protection hidden="1"/>
    </xf>
    <xf numFmtId="1" fontId="30" fillId="15" borderId="1" xfId="1538" applyNumberFormat="1" applyFont="1" applyFill="1" applyBorder="1" applyAlignment="1" applyProtection="1">
      <alignment horizontal="center" shrinkToFit="1"/>
      <protection hidden="1"/>
    </xf>
    <xf numFmtId="0" fontId="22" fillId="0" borderId="1" xfId="1538" applyFont="1" applyBorder="1" applyAlignment="1" applyProtection="1">
      <alignment horizontal="center" wrapText="1"/>
      <protection hidden="1"/>
    </xf>
    <xf numFmtId="0" fontId="20" fillId="0" borderId="2" xfId="1538" applyFont="1" applyBorder="1" applyAlignment="1" applyProtection="1">
      <alignment horizontal="center" vertical="center"/>
      <protection hidden="1"/>
    </xf>
    <xf numFmtId="0" fontId="20" fillId="0" borderId="1" xfId="1538" applyFont="1" applyBorder="1" applyAlignment="1" applyProtection="1">
      <alignment horizontal="center" vertical="center" wrapText="1"/>
      <protection hidden="1"/>
    </xf>
    <xf numFmtId="2" fontId="20" fillId="0" borderId="1" xfId="1538" applyNumberFormat="1" applyFont="1" applyBorder="1" applyAlignment="1" applyProtection="1">
      <alignment horizontal="center" vertical="center" wrapText="1"/>
      <protection hidden="1"/>
    </xf>
    <xf numFmtId="1" fontId="20" fillId="0" borderId="1" xfId="1538" applyNumberFormat="1" applyFont="1" applyBorder="1" applyAlignment="1" applyProtection="1">
      <alignment horizontal="center" vertical="center" wrapText="1"/>
      <protection hidden="1"/>
    </xf>
    <xf numFmtId="0" fontId="36" fillId="0" borderId="0" xfId="1538" applyFont="1" applyAlignment="1">
      <alignment horizontal="center" vertical="center"/>
    </xf>
    <xf numFmtId="2" fontId="20" fillId="0" borderId="1" xfId="1538" applyNumberFormat="1" applyFont="1" applyBorder="1" applyAlignment="1">
      <alignment horizontal="center" vertical="center"/>
    </xf>
    <xf numFmtId="0" fontId="38" fillId="0" borderId="33" xfId="1538" applyFont="1" applyBorder="1" applyAlignment="1">
      <alignment horizontal="center" vertical="top" wrapText="1"/>
    </xf>
    <xf numFmtId="174" fontId="13" fillId="0" borderId="10" xfId="1538" applyNumberFormat="1" applyFont="1" applyBorder="1" applyAlignment="1">
      <alignment horizontal="center" vertical="top" wrapText="1"/>
    </xf>
    <xf numFmtId="0" fontId="39" fillId="0" borderId="0" xfId="1538" applyFont="1" applyAlignment="1">
      <alignment horizontal="center" vertical="center" wrapText="1"/>
    </xf>
    <xf numFmtId="0" fontId="39" fillId="0" borderId="0" xfId="1538" applyFont="1" applyAlignment="1">
      <alignment horizontal="center" vertical="center"/>
    </xf>
    <xf numFmtId="0" fontId="12" fillId="0" borderId="10" xfId="1538" applyFont="1" applyBorder="1" applyAlignment="1">
      <alignment horizontal="center" vertical="center" wrapText="1"/>
    </xf>
    <xf numFmtId="0" fontId="47" fillId="0" borderId="10" xfId="1538" applyFont="1" applyBorder="1" applyAlignment="1" applyProtection="1">
      <alignment horizontal="center" vertical="center" wrapText="1"/>
      <protection locked="0"/>
    </xf>
    <xf numFmtId="0" fontId="12" fillId="0" borderId="10" xfId="1538" applyFont="1" applyBorder="1" applyAlignment="1" applyProtection="1">
      <alignment horizontal="center" vertical="center" wrapText="1"/>
      <protection locked="0"/>
    </xf>
    <xf numFmtId="0" fontId="48" fillId="0" borderId="10" xfId="1538" applyFont="1" applyBorder="1" applyAlignment="1">
      <alignment horizontal="center" vertical="center" wrapText="1"/>
    </xf>
    <xf numFmtId="0" fontId="86" fillId="26" borderId="1" xfId="1538" applyFont="1" applyFill="1" applyBorder="1" applyAlignment="1">
      <alignment horizontal="center" vertical="top" wrapText="1"/>
    </xf>
    <xf numFmtId="0" fontId="85" fillId="26" borderId="1" xfId="1538" applyFont="1" applyFill="1" applyBorder="1" applyAlignment="1">
      <alignment horizontal="justify" vertical="top" wrapText="1"/>
    </xf>
    <xf numFmtId="0" fontId="86" fillId="33" borderId="1" xfId="1538" applyFont="1" applyFill="1" applyBorder="1" applyAlignment="1">
      <alignment horizontal="center" vertical="center" wrapText="1"/>
    </xf>
    <xf numFmtId="0" fontId="85" fillId="26" borderId="1" xfId="1538" applyFont="1" applyFill="1" applyBorder="1" applyAlignment="1">
      <alignment horizontal="justify" vertical="center" wrapText="1"/>
    </xf>
    <xf numFmtId="0" fontId="85" fillId="26" borderId="16" xfId="1538" applyFont="1" applyFill="1" applyBorder="1" applyAlignment="1">
      <alignment horizontal="justify" vertical="top" wrapText="1"/>
    </xf>
    <xf numFmtId="0" fontId="86" fillId="26" borderId="1" xfId="1538" applyFont="1" applyFill="1" applyBorder="1" applyAlignment="1">
      <alignment horizontal="center" vertical="center"/>
    </xf>
    <xf numFmtId="0" fontId="85" fillId="28" borderId="1" xfId="1538" applyFont="1" applyFill="1" applyBorder="1" applyAlignment="1">
      <alignment horizontal="justify" vertical="top" wrapText="1"/>
    </xf>
    <xf numFmtId="0" fontId="85" fillId="29" borderId="1" xfId="1538" applyFont="1" applyFill="1" applyBorder="1" applyAlignment="1">
      <alignment horizontal="left" vertical="top" wrapText="1"/>
    </xf>
    <xf numFmtId="0" fontId="86" fillId="26" borderId="1" xfId="1538" applyFont="1" applyFill="1" applyBorder="1" applyAlignment="1">
      <alignment horizontal="center" vertical="top"/>
    </xf>
    <xf numFmtId="0" fontId="85" fillId="26" borderId="1" xfId="1538" applyFont="1" applyFill="1" applyBorder="1" applyAlignment="1">
      <alignment horizontal="right" vertical="center"/>
    </xf>
    <xf numFmtId="0" fontId="86" fillId="31" borderId="1" xfId="1538" applyFont="1" applyFill="1" applyBorder="1" applyAlignment="1">
      <alignment horizontal="center" vertical="top"/>
    </xf>
    <xf numFmtId="0" fontId="85" fillId="31" borderId="1" xfId="1538" applyFont="1" applyFill="1" applyBorder="1" applyAlignment="1">
      <alignment horizontal="justify" vertical="top" wrapText="1"/>
    </xf>
    <xf numFmtId="0" fontId="86" fillId="26" borderId="1" xfId="1538" applyFont="1" applyFill="1" applyBorder="1" applyAlignment="1">
      <alignment horizontal="center" vertical="center" shrinkToFit="1"/>
    </xf>
    <xf numFmtId="0" fontId="86" fillId="27" borderId="1" xfId="1538" applyFont="1" applyFill="1" applyBorder="1" applyAlignment="1">
      <alignment horizontal="center" vertical="top"/>
    </xf>
    <xf numFmtId="0" fontId="86" fillId="27" borderId="1" xfId="1538" applyFont="1" applyFill="1" applyBorder="1" applyAlignment="1">
      <alignment horizontal="justify" vertical="top" wrapText="1"/>
    </xf>
    <xf numFmtId="0" fontId="85" fillId="27" borderId="1" xfId="1538" applyFont="1" applyFill="1" applyBorder="1" applyAlignment="1">
      <alignment horizontal="justify" vertical="top" wrapText="1"/>
    </xf>
    <xf numFmtId="0" fontId="85" fillId="27" borderId="1" xfId="1538" applyFont="1" applyFill="1" applyBorder="1" applyAlignment="1">
      <alignment horizontal="right" vertical="center"/>
    </xf>
    <xf numFmtId="0" fontId="86" fillId="26" borderId="1" xfId="1538" applyFont="1" applyFill="1" applyBorder="1" applyAlignment="1">
      <alignment horizontal="justify" vertical="top" wrapText="1"/>
    </xf>
    <xf numFmtId="1" fontId="86" fillId="26" borderId="1" xfId="1538" applyNumberFormat="1" applyFont="1" applyFill="1" applyBorder="1" applyAlignment="1">
      <alignment horizontal="center" vertical="top"/>
    </xf>
    <xf numFmtId="0" fontId="85" fillId="26" borderId="1" xfId="1538" applyFont="1" applyFill="1" applyBorder="1" applyAlignment="1">
      <alignment horizontal="center" vertical="center" textRotation="90"/>
    </xf>
    <xf numFmtId="0" fontId="85" fillId="26" borderId="1" xfId="1538" applyFont="1" applyFill="1" applyBorder="1" applyAlignment="1">
      <alignment horizontal="right"/>
    </xf>
    <xf numFmtId="0" fontId="85" fillId="26" borderId="1" xfId="1538" applyFont="1" applyFill="1" applyBorder="1" applyAlignment="1">
      <alignment horizontal="left" vertical="top" wrapText="1"/>
    </xf>
    <xf numFmtId="0" fontId="85" fillId="26" borderId="1" xfId="1538" applyFont="1" applyFill="1" applyBorder="1" applyAlignment="1">
      <alignment horizontal="center" vertical="top" wrapText="1"/>
    </xf>
    <xf numFmtId="1" fontId="86" fillId="26" borderId="1" xfId="1538" applyNumberFormat="1" applyFont="1" applyFill="1" applyBorder="1" applyAlignment="1">
      <alignment horizontal="center" vertical="center"/>
    </xf>
    <xf numFmtId="0" fontId="86" fillId="26" borderId="1" xfId="1538" applyFont="1" applyFill="1" applyBorder="1" applyAlignment="1">
      <alignment horizontal="left" vertical="top" wrapText="1"/>
    </xf>
    <xf numFmtId="0" fontId="85" fillId="26" borderId="1" xfId="1538" applyFont="1" applyFill="1" applyBorder="1" applyAlignment="1">
      <alignment horizontal="justify" wrapText="1"/>
    </xf>
    <xf numFmtId="0" fontId="85" fillId="26" borderId="7" xfId="1538" applyFont="1" applyFill="1" applyBorder="1" applyAlignment="1">
      <alignment horizontal="left" vertical="top" wrapText="1"/>
    </xf>
    <xf numFmtId="0" fontId="85" fillId="26" borderId="4" xfId="1538" applyFont="1" applyFill="1" applyBorder="1" applyAlignment="1">
      <alignment horizontal="left" vertical="top" wrapText="1"/>
    </xf>
    <xf numFmtId="0" fontId="85" fillId="26" borderId="8" xfId="1538" applyFont="1" applyFill="1" applyBorder="1" applyAlignment="1">
      <alignment horizontal="left" vertical="top" wrapText="1"/>
    </xf>
    <xf numFmtId="0" fontId="86" fillId="28" borderId="1" xfId="1538" applyFont="1" applyFill="1" applyBorder="1" applyAlignment="1">
      <alignment horizontal="justify" vertical="top" wrapText="1"/>
    </xf>
    <xf numFmtId="0" fontId="86" fillId="26" borderId="1" xfId="1538" applyFont="1" applyFill="1" applyBorder="1" applyAlignment="1">
      <alignment horizontal="justify" vertical="center" wrapText="1"/>
    </xf>
    <xf numFmtId="0" fontId="85" fillId="0" borderId="1" xfId="1538" applyFont="1" applyBorder="1" applyAlignment="1">
      <alignment horizontal="justify" vertical="top" wrapText="1"/>
    </xf>
    <xf numFmtId="0" fontId="86" fillId="0" borderId="1" xfId="1538" applyFont="1" applyBorder="1" applyAlignment="1">
      <alignment horizontal="justify" vertical="top" wrapText="1"/>
    </xf>
    <xf numFmtId="0" fontId="86" fillId="24" borderId="1" xfId="1538" applyFont="1" applyFill="1" applyBorder="1" applyAlignment="1">
      <alignment horizontal="justify" vertical="top" wrapText="1"/>
    </xf>
    <xf numFmtId="0" fontId="85" fillId="0" borderId="7" xfId="1538" applyFont="1" applyBorder="1" applyAlignment="1">
      <alignment horizontal="left" vertical="top" wrapText="1"/>
    </xf>
    <xf numFmtId="0" fontId="85" fillId="0" borderId="4" xfId="1538" applyFont="1" applyBorder="1" applyAlignment="1">
      <alignment horizontal="left" vertical="top" wrapText="1"/>
    </xf>
    <xf numFmtId="0" fontId="85" fillId="0" borderId="8" xfId="1538" applyFont="1" applyBorder="1" applyAlignment="1">
      <alignment horizontal="left" vertical="top" wrapText="1"/>
    </xf>
    <xf numFmtId="0" fontId="86" fillId="0" borderId="1" xfId="1538" applyFont="1" applyBorder="1" applyAlignment="1">
      <alignment horizontal="center" vertical="top" shrinkToFit="1"/>
    </xf>
    <xf numFmtId="0" fontId="87" fillId="0" borderId="1" xfId="1538" applyFont="1" applyBorder="1" applyAlignment="1">
      <alignment horizontal="left" vertical="top" wrapText="1"/>
    </xf>
    <xf numFmtId="0" fontId="86" fillId="0" borderId="1" xfId="1538" applyFont="1" applyBorder="1" applyAlignment="1">
      <alignment horizontal="justify" wrapText="1"/>
    </xf>
    <xf numFmtId="0" fontId="85" fillId="0" borderId="1" xfId="1538" applyFont="1" applyBorder="1" applyAlignment="1">
      <alignment horizontal="left" vertical="top" wrapText="1"/>
    </xf>
    <xf numFmtId="1" fontId="86" fillId="0" borderId="1" xfId="1538" applyNumberFormat="1" applyFont="1" applyBorder="1" applyAlignment="1">
      <alignment horizontal="center" vertical="top"/>
    </xf>
    <xf numFmtId="0" fontId="86" fillId="0" borderId="1" xfId="1538" applyFont="1" applyBorder="1" applyAlignment="1">
      <alignment horizontal="center" vertical="top"/>
    </xf>
    <xf numFmtId="1" fontId="86" fillId="0" borderId="1" xfId="1538" applyNumberFormat="1" applyFont="1" applyBorder="1" applyAlignment="1">
      <alignment horizontal="center" vertical="top" shrinkToFit="1"/>
    </xf>
    <xf numFmtId="0" fontId="85" fillId="0" borderId="1" xfId="1538" applyFont="1" applyBorder="1" applyAlignment="1">
      <alignment horizontal="justify" wrapText="1"/>
    </xf>
    <xf numFmtId="2" fontId="85" fillId="0" borderId="1" xfId="1538" applyNumberFormat="1" applyFont="1" applyBorder="1" applyAlignment="1">
      <alignment horizontal="center" vertical="center" shrinkToFit="1"/>
    </xf>
    <xf numFmtId="0" fontId="86" fillId="16" borderId="1" xfId="1538" applyFont="1" applyFill="1" applyBorder="1" applyAlignment="1">
      <alignment horizontal="justify" vertical="top" wrapText="1"/>
    </xf>
    <xf numFmtId="2" fontId="86" fillId="0" borderId="1" xfId="1538" applyNumberFormat="1" applyFont="1" applyBorder="1" applyAlignment="1">
      <alignment horizontal="justify" vertical="top" wrapText="1"/>
    </xf>
    <xf numFmtId="2" fontId="86" fillId="0" borderId="1" xfId="1538" applyNumberFormat="1" applyFont="1" applyBorder="1" applyAlignment="1">
      <alignment horizontal="center" vertical="center"/>
    </xf>
    <xf numFmtId="0" fontId="86" fillId="0" borderId="1" xfId="1538" applyFont="1" applyBorder="1" applyAlignment="1">
      <alignment horizontal="left" vertical="center"/>
    </xf>
    <xf numFmtId="1" fontId="86" fillId="0" borderId="1" xfId="1538" applyNumberFormat="1" applyFont="1" applyBorder="1" applyAlignment="1">
      <alignment horizontal="right" vertical="center"/>
    </xf>
    <xf numFmtId="0" fontId="85" fillId="0" borderId="1" xfId="1538" applyFont="1" applyBorder="1" applyAlignment="1">
      <alignment horizontal="center" vertical="top"/>
    </xf>
    <xf numFmtId="1" fontId="85" fillId="0" borderId="1" xfId="1538" applyNumberFormat="1" applyFont="1" applyBorder="1" applyAlignment="1">
      <alignment horizontal="center" vertical="center"/>
    </xf>
    <xf numFmtId="0" fontId="85" fillId="0" borderId="1" xfId="1538" applyFont="1" applyBorder="1" applyAlignment="1">
      <alignment horizontal="center" vertical="center"/>
    </xf>
    <xf numFmtId="2" fontId="85" fillId="0" borderId="1" xfId="1538" applyNumberFormat="1" applyFont="1" applyBorder="1" applyAlignment="1">
      <alignment horizontal="center" vertical="center"/>
    </xf>
    <xf numFmtId="0" fontId="85" fillId="0" borderId="1" xfId="1538" applyFont="1" applyBorder="1" applyAlignment="1">
      <alignment horizontal="justify" vertical="top"/>
    </xf>
    <xf numFmtId="2" fontId="85" fillId="0" borderId="1" xfId="1538" applyNumberFormat="1" applyFont="1" applyBorder="1" applyAlignment="1">
      <alignment horizontal="center" vertical="center" wrapText="1"/>
    </xf>
    <xf numFmtId="1" fontId="85" fillId="0" borderId="1" xfId="1538" applyNumberFormat="1" applyFont="1" applyBorder="1" applyAlignment="1">
      <alignment horizontal="center" vertical="center" wrapText="1"/>
    </xf>
    <xf numFmtId="0" fontId="85" fillId="0" borderId="7" xfId="1538" applyFont="1" applyBorder="1" applyAlignment="1">
      <alignment horizontal="left" wrapText="1"/>
    </xf>
    <xf numFmtId="0" fontId="85" fillId="0" borderId="4" xfId="1538" applyFont="1" applyBorder="1" applyAlignment="1">
      <alignment horizontal="left" wrapText="1"/>
    </xf>
    <xf numFmtId="0" fontId="85" fillId="0" borderId="8" xfId="1538" applyFont="1" applyBorder="1" applyAlignment="1">
      <alignment horizontal="left" wrapText="1"/>
    </xf>
    <xf numFmtId="0" fontId="85" fillId="0" borderId="1" xfId="1538" applyFont="1" applyBorder="1" applyAlignment="1">
      <alignment horizontal="left" vertical="center" wrapText="1"/>
    </xf>
    <xf numFmtId="0" fontId="85" fillId="0" borderId="34" xfId="1538" applyFont="1" applyBorder="1" applyAlignment="1">
      <alignment horizontal="left" vertical="top" wrapText="1"/>
    </xf>
    <xf numFmtId="0" fontId="85" fillId="0" borderId="35" xfId="1538" applyFont="1" applyBorder="1" applyAlignment="1">
      <alignment horizontal="left" vertical="top" wrapText="1"/>
    </xf>
    <xf numFmtId="0" fontId="85" fillId="0" borderId="36" xfId="1538" applyFont="1" applyBorder="1" applyAlignment="1">
      <alignment horizontal="left" vertical="top" wrapText="1"/>
    </xf>
    <xf numFmtId="0" fontId="85" fillId="0" borderId="1" xfId="1538" applyFont="1" applyBorder="1" applyAlignment="1">
      <alignment horizontal="center" vertical="top" wrapText="1"/>
    </xf>
    <xf numFmtId="0" fontId="87" fillId="0" borderId="1" xfId="1538" applyFont="1" applyBorder="1" applyAlignment="1">
      <alignment horizontal="center" vertical="top" wrapText="1"/>
    </xf>
    <xf numFmtId="0" fontId="86" fillId="0" borderId="1" xfId="1538" applyFont="1" applyBorder="1" applyAlignment="1">
      <alignment horizontal="center" vertical="center" wrapText="1"/>
    </xf>
    <xf numFmtId="0" fontId="85" fillId="0" borderId="1" xfId="1538" applyFont="1" applyBorder="1" applyAlignment="1">
      <alignment horizontal="center" vertical="center" wrapText="1"/>
    </xf>
    <xf numFmtId="0" fontId="87" fillId="0" borderId="1" xfId="1538" applyFont="1" applyBorder="1" applyAlignment="1">
      <alignment horizontal="center" vertical="center" wrapText="1"/>
    </xf>
    <xf numFmtId="0" fontId="85" fillId="0" borderId="1" xfId="1538" applyFont="1" applyBorder="1" applyAlignment="1">
      <alignment horizontal="right" vertical="center" wrapText="1"/>
    </xf>
    <xf numFmtId="2" fontId="85" fillId="0" borderId="1" xfId="1538" applyNumberFormat="1" applyFont="1" applyBorder="1" applyAlignment="1">
      <alignment horizontal="right" vertical="top" wrapText="1"/>
    </xf>
    <xf numFmtId="2" fontId="86" fillId="0" borderId="1" xfId="1538" applyNumberFormat="1" applyFont="1" applyBorder="1" applyAlignment="1">
      <alignment horizontal="left" vertical="top" wrapText="1"/>
    </xf>
    <xf numFmtId="0" fontId="86" fillId="0" borderId="0" xfId="1538" applyFont="1"/>
    <xf numFmtId="0" fontId="86" fillId="0" borderId="22" xfId="1538" applyFont="1" applyBorder="1" applyAlignment="1">
      <alignment vertical="top" wrapText="1"/>
    </xf>
    <xf numFmtId="0" fontId="86" fillId="0" borderId="18" xfId="1538" applyFont="1" applyBorder="1" applyAlignment="1">
      <alignment vertical="top" wrapText="1"/>
    </xf>
    <xf numFmtId="0" fontId="85" fillId="0" borderId="10" xfId="1538" applyFont="1" applyBorder="1" applyAlignment="1">
      <alignment horizontal="justify" vertical="top" wrapText="1"/>
    </xf>
    <xf numFmtId="2" fontId="86" fillId="0" borderId="10" xfId="1538" applyNumberFormat="1" applyFont="1" applyBorder="1" applyAlignment="1">
      <alignment horizontal="left" vertical="top" wrapText="1"/>
    </xf>
    <xf numFmtId="2" fontId="86" fillId="0" borderId="10" xfId="1538" applyNumberFormat="1" applyFont="1" applyBorder="1" applyAlignment="1">
      <alignment horizontal="center" vertical="top" wrapText="1"/>
    </xf>
    <xf numFmtId="175" fontId="85" fillId="0" borderId="10" xfId="1538" applyNumberFormat="1" applyFont="1" applyBorder="1" applyAlignment="1">
      <alignment horizontal="right" vertical="top" wrapText="1"/>
    </xf>
    <xf numFmtId="0" fontId="85" fillId="0" borderId="10" xfId="1538" applyFont="1" applyBorder="1" applyAlignment="1">
      <alignment horizontal="left" vertical="top" wrapText="1"/>
    </xf>
    <xf numFmtId="0" fontId="86" fillId="0" borderId="0" xfId="1538" applyFont="1" applyAlignment="1">
      <alignment wrapText="1"/>
    </xf>
    <xf numFmtId="0" fontId="86" fillId="0" borderId="10" xfId="1538" applyFont="1" applyBorder="1" applyAlignment="1">
      <alignment horizontal="left" vertical="top" wrapText="1"/>
    </xf>
    <xf numFmtId="0" fontId="85" fillId="0" borderId="10" xfId="1538" applyFont="1" applyBorder="1" applyAlignment="1">
      <alignment horizontal="right" vertical="center" wrapText="1"/>
    </xf>
    <xf numFmtId="0" fontId="85" fillId="0" borderId="0" xfId="1538" applyFont="1"/>
    <xf numFmtId="0" fontId="86" fillId="0" borderId="1" xfId="1538" applyFont="1" applyBorder="1"/>
    <xf numFmtId="0" fontId="86" fillId="0" borderId="1" xfId="1538" applyFont="1" applyBorder="1" applyAlignment="1">
      <alignment horizontal="center" vertical="top" wrapText="1"/>
    </xf>
    <xf numFmtId="0" fontId="86" fillId="0" borderId="7" xfId="1538" applyFont="1" applyBorder="1" applyAlignment="1">
      <alignment wrapText="1"/>
    </xf>
    <xf numFmtId="0" fontId="86" fillId="0" borderId="4" xfId="1538" applyFont="1" applyBorder="1" applyAlignment="1">
      <alignment wrapText="1"/>
    </xf>
    <xf numFmtId="0" fontId="86" fillId="0" borderId="8" xfId="1538" applyFont="1" applyBorder="1" applyAlignment="1">
      <alignment wrapText="1"/>
    </xf>
    <xf numFmtId="0" fontId="86" fillId="0" borderId="20" xfId="1538" applyFont="1" applyBorder="1" applyAlignment="1">
      <alignment horizontal="center" vertical="top"/>
    </xf>
    <xf numFmtId="0" fontId="85" fillId="0" borderId="20" xfId="1538" applyFont="1" applyBorder="1" applyAlignment="1">
      <alignment wrapText="1"/>
    </xf>
    <xf numFmtId="0" fontId="86" fillId="0" borderId="20" xfId="1538" applyFont="1" applyBorder="1"/>
    <xf numFmtId="175" fontId="85" fillId="0" borderId="1" xfId="1538" applyNumberFormat="1" applyFont="1" applyBorder="1" applyAlignment="1">
      <alignment horizontal="right" vertical="top" wrapText="1"/>
    </xf>
    <xf numFmtId="2" fontId="86" fillId="0" borderId="1" xfId="1538" applyNumberFormat="1" applyFont="1" applyBorder="1" applyAlignment="1">
      <alignment horizontal="center" vertical="top" wrapText="1"/>
    </xf>
    <xf numFmtId="0" fontId="86" fillId="0" borderId="34" xfId="1538" applyFont="1" applyBorder="1" applyAlignment="1">
      <alignment horizontal="left" vertical="top" wrapText="1"/>
    </xf>
    <xf numFmtId="0" fontId="86" fillId="0" borderId="35" xfId="1538" applyFont="1" applyBorder="1" applyAlignment="1">
      <alignment horizontal="left" vertical="top" wrapText="1"/>
    </xf>
    <xf numFmtId="0" fontId="86" fillId="0" borderId="36" xfId="1538" applyFont="1" applyBorder="1" applyAlignment="1">
      <alignment horizontal="left" vertical="top" wrapText="1"/>
    </xf>
    <xf numFmtId="0" fontId="86" fillId="0" borderId="1" xfId="1538" applyFont="1" applyBorder="1" applyAlignment="1">
      <alignment horizontal="left" vertical="top" wrapText="1"/>
    </xf>
    <xf numFmtId="176" fontId="85" fillId="0" borderId="1" xfId="1538" applyNumberFormat="1" applyFont="1" applyBorder="1" applyAlignment="1">
      <alignment horizontal="right" vertical="top" wrapText="1"/>
    </xf>
    <xf numFmtId="176" fontId="86" fillId="0" borderId="1" xfId="1538" applyNumberFormat="1" applyFont="1" applyBorder="1" applyAlignment="1">
      <alignment horizontal="right" vertical="top" wrapText="1"/>
    </xf>
    <xf numFmtId="0" fontId="86" fillId="0" borderId="1" xfId="1538" applyFont="1" applyBorder="1" applyAlignment="1">
      <alignment horizontal="right" vertical="top" wrapText="1"/>
    </xf>
    <xf numFmtId="0" fontId="85" fillId="0" borderId="1" xfId="1538" applyFont="1" applyBorder="1" applyAlignment="1">
      <alignment horizontal="right" vertical="top" wrapText="1"/>
    </xf>
    <xf numFmtId="175" fontId="86" fillId="0" borderId="1" xfId="1538" applyNumberFormat="1" applyFont="1" applyBorder="1" applyAlignment="1">
      <alignment horizontal="left" vertical="top" wrapText="1"/>
    </xf>
    <xf numFmtId="0" fontId="85" fillId="0" borderId="17" xfId="1538" applyFont="1" applyBorder="1" applyAlignment="1">
      <alignment horizontal="justify" vertical="top" wrapText="1"/>
    </xf>
    <xf numFmtId="176" fontId="86" fillId="0" borderId="1" xfId="1538" applyNumberFormat="1" applyFont="1" applyBorder="1" applyAlignment="1">
      <alignment horizontal="center" vertical="top" wrapText="1"/>
    </xf>
    <xf numFmtId="178" fontId="85" fillId="0" borderId="1" xfId="1538" applyNumberFormat="1" applyFont="1" applyBorder="1" applyAlignment="1">
      <alignment horizontal="right" vertical="top" wrapText="1"/>
    </xf>
    <xf numFmtId="0" fontId="67" fillId="0" borderId="10" xfId="1538" applyFont="1" applyBorder="1" applyAlignment="1">
      <alignment horizontal="justify" vertical="top" wrapText="1"/>
    </xf>
    <xf numFmtId="0" fontId="61" fillId="0" borderId="10" xfId="1538" applyFont="1" applyBorder="1" applyAlignment="1">
      <alignment horizontal="justify" wrapText="1"/>
    </xf>
    <xf numFmtId="0" fontId="60" fillId="0" borderId="10" xfId="1538" applyFont="1" applyBorder="1" applyAlignment="1">
      <alignment horizontal="center" vertical="top"/>
    </xf>
    <xf numFmtId="0" fontId="61" fillId="0" borderId="21" xfId="1538" applyFont="1" applyBorder="1" applyAlignment="1">
      <alignment horizontal="justify" vertical="top" wrapText="1"/>
    </xf>
    <xf numFmtId="0" fontId="61" fillId="0" borderId="22" xfId="1538" applyFont="1" applyBorder="1" applyAlignment="1">
      <alignment horizontal="justify" vertical="top" wrapText="1"/>
    </xf>
    <xf numFmtId="0" fontId="61" fillId="0" borderId="18" xfId="1538" applyFont="1" applyBorder="1" applyAlignment="1">
      <alignment horizontal="justify" vertical="top" wrapText="1"/>
    </xf>
    <xf numFmtId="0" fontId="93" fillId="0" borderId="21" xfId="1538" applyFont="1" applyBorder="1" applyAlignment="1">
      <alignment horizontal="justify" vertical="center" wrapText="1"/>
    </xf>
    <xf numFmtId="0" fontId="93" fillId="0" borderId="22" xfId="1538" applyFont="1" applyBorder="1" applyAlignment="1">
      <alignment horizontal="justify" vertical="center" wrapText="1"/>
    </xf>
    <xf numFmtId="0" fontId="93" fillId="0" borderId="18" xfId="1538" applyFont="1" applyBorder="1" applyAlignment="1">
      <alignment horizontal="justify" vertical="center" wrapText="1"/>
    </xf>
    <xf numFmtId="0" fontId="90" fillId="0" borderId="10" xfId="1538" applyFont="1" applyBorder="1" applyAlignment="1">
      <alignment horizontal="justify" wrapText="1"/>
    </xf>
    <xf numFmtId="0" fontId="59" fillId="0" borderId="10" xfId="1538" applyFont="1" applyBorder="1" applyAlignment="1">
      <alignment horizontal="justify" wrapText="1"/>
    </xf>
    <xf numFmtId="0" fontId="60" fillId="0" borderId="10" xfId="1538" applyFont="1" applyBorder="1"/>
    <xf numFmtId="0" fontId="59" fillId="0" borderId="10" xfId="1538" applyFont="1" applyBorder="1" applyAlignment="1">
      <alignment horizontal="center" vertical="top"/>
    </xf>
    <xf numFmtId="0" fontId="59" fillId="0" borderId="10" xfId="1538" applyFont="1" applyBorder="1" applyAlignment="1">
      <alignment horizontal="center" wrapText="1"/>
    </xf>
    <xf numFmtId="0" fontId="30" fillId="0" borderId="1" xfId="1538" applyFont="1" applyBorder="1" applyAlignment="1">
      <alignment horizontal="center" wrapText="1"/>
    </xf>
    <xf numFmtId="0" fontId="20" fillId="0" borderId="1" xfId="1538" applyFont="1" applyBorder="1" applyAlignment="1">
      <alignment horizontal="center" vertical="center"/>
    </xf>
    <xf numFmtId="0" fontId="20" fillId="0" borderId="1" xfId="1538" applyFont="1" applyBorder="1" applyAlignment="1">
      <alignment horizontal="center" vertical="center" wrapText="1"/>
    </xf>
    <xf numFmtId="0" fontId="53" fillId="0" borderId="1" xfId="1538" applyFont="1" applyBorder="1" applyAlignment="1">
      <alignment horizontal="center" vertical="top" wrapText="1"/>
    </xf>
    <xf numFmtId="0" fontId="30" fillId="0" borderId="1" xfId="1538" applyFont="1" applyBorder="1" applyAlignment="1">
      <alignment horizontal="center" vertical="center" wrapText="1"/>
    </xf>
    <xf numFmtId="1" fontId="30" fillId="0" borderId="1" xfId="1538" applyNumberFormat="1" applyFont="1" applyBorder="1" applyAlignment="1">
      <alignment horizontal="center" shrinkToFit="1"/>
    </xf>
    <xf numFmtId="0" fontId="53" fillId="0" borderId="19" xfId="1538" applyFont="1" applyBorder="1" applyAlignment="1">
      <alignment horizontal="center" vertical="top" wrapText="1"/>
    </xf>
    <xf numFmtId="0" fontId="20" fillId="0" borderId="2" xfId="1538" applyFont="1" applyBorder="1" applyAlignment="1">
      <alignment horizontal="center" vertical="center"/>
    </xf>
    <xf numFmtId="2" fontId="20" fillId="0" borderId="1" xfId="1538" applyNumberFormat="1" applyFont="1" applyBorder="1" applyAlignment="1">
      <alignment horizontal="center" vertical="center" wrapText="1"/>
    </xf>
    <xf numFmtId="1" fontId="20" fillId="0" borderId="1" xfId="1538" applyNumberFormat="1" applyFont="1" applyBorder="1" applyAlignment="1">
      <alignment horizontal="center" vertical="center" wrapText="1"/>
    </xf>
    <xf numFmtId="0" fontId="5" fillId="0" borderId="0" xfId="1538" applyFont="1"/>
    <xf numFmtId="0" fontId="5" fillId="0" borderId="0" xfId="1538" applyFont="1" applyAlignment="1">
      <alignment wrapText="1"/>
    </xf>
    <xf numFmtId="0" fontId="8" fillId="0" borderId="0" xfId="1538" applyFont="1"/>
    <xf numFmtId="2" fontId="74" fillId="0" borderId="29" xfId="1538" applyNumberFormat="1" applyFont="1" applyFill="1" applyBorder="1" applyAlignment="1">
      <alignment horizontal="center" vertical="center"/>
    </xf>
    <xf numFmtId="2" fontId="74" fillId="0" borderId="30" xfId="1538" applyNumberFormat="1" applyFont="1" applyFill="1" applyBorder="1" applyAlignment="1">
      <alignment horizontal="center" vertical="center"/>
    </xf>
    <xf numFmtId="2" fontId="74" fillId="0" borderId="31" xfId="1538" applyNumberFormat="1" applyFont="1" applyFill="1" applyBorder="1" applyAlignment="1">
      <alignment horizontal="center" vertical="center"/>
    </xf>
    <xf numFmtId="0" fontId="96" fillId="0" borderId="33" xfId="1538" applyFont="1" applyFill="1" applyBorder="1" applyAlignment="1">
      <alignment horizontal="center" vertical="center" wrapText="1"/>
    </xf>
    <xf numFmtId="0" fontId="74" fillId="0" borderId="33" xfId="1538" applyFont="1" applyFill="1" applyBorder="1" applyAlignment="1">
      <alignment horizontal="center"/>
    </xf>
    <xf numFmtId="0" fontId="74" fillId="0" borderId="33" xfId="1538" applyFont="1" applyFill="1" applyBorder="1" applyAlignment="1">
      <alignment horizontal="center" vertical="center"/>
    </xf>
    <xf numFmtId="2" fontId="74" fillId="0" borderId="33" xfId="1538" applyNumberFormat="1" applyFont="1" applyFill="1" applyBorder="1" applyAlignment="1">
      <alignment horizontal="center" vertical="center"/>
    </xf>
    <xf numFmtId="0" fontId="20" fillId="0" borderId="10" xfId="1538" applyFont="1" applyBorder="1" applyAlignment="1">
      <alignment horizontal="center" vertical="center"/>
    </xf>
    <xf numFmtId="0" fontId="20" fillId="0" borderId="20" xfId="1538" applyFont="1" applyBorder="1" applyAlignment="1">
      <alignment horizontal="center" vertical="center" wrapText="1"/>
    </xf>
    <xf numFmtId="0" fontId="67" fillId="0" borderId="23" xfId="25003" applyFont="1" applyFill="1" applyBorder="1" applyAlignment="1">
      <alignment horizontal="justify" vertical="top" wrapText="1"/>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wrapText="1"/>
    </xf>
    <xf numFmtId="0" fontId="66" fillId="0" borderId="24" xfId="0" applyFont="1" applyFill="1" applyBorder="1" applyAlignment="1">
      <alignment horizontal="center" wrapText="1"/>
    </xf>
    <xf numFmtId="0" fontId="66" fillId="0" borderId="26" xfId="0" applyFont="1" applyFill="1" applyBorder="1" applyAlignment="1">
      <alignment horizontal="left" vertical="top" wrapText="1"/>
    </xf>
    <xf numFmtId="0" fontId="66" fillId="0" borderId="27" xfId="0" applyFont="1" applyFill="1" applyBorder="1" applyAlignment="1">
      <alignment horizontal="left" vertical="top" wrapText="1"/>
    </xf>
    <xf numFmtId="0" fontId="66" fillId="0" borderId="28" xfId="0" applyFont="1" applyFill="1" applyBorder="1" applyAlignment="1">
      <alignment horizontal="left" vertical="top" wrapText="1"/>
    </xf>
    <xf numFmtId="0" fontId="67" fillId="0" borderId="23" xfId="0" applyNumberFormat="1" applyFont="1" applyFill="1" applyBorder="1" applyAlignment="1">
      <alignment horizontal="left" vertical="top" wrapText="1"/>
    </xf>
    <xf numFmtId="2" fontId="67" fillId="0" borderId="23" xfId="0" applyNumberFormat="1" applyFont="1" applyFill="1" applyBorder="1" applyAlignment="1">
      <alignment horizontal="center" vertical="top" wrapText="1"/>
    </xf>
    <xf numFmtId="1" fontId="66" fillId="0" borderId="23" xfId="0" applyNumberFormat="1" applyFont="1" applyFill="1" applyBorder="1" applyAlignment="1">
      <alignment horizontal="center" vertical="top" wrapText="1"/>
    </xf>
    <xf numFmtId="0" fontId="67" fillId="0" borderId="23" xfId="0" applyFont="1" applyFill="1" applyBorder="1" applyAlignment="1">
      <alignment horizontal="left" vertical="top" wrapText="1"/>
    </xf>
    <xf numFmtId="0" fontId="66" fillId="0" borderId="23" xfId="0" applyFont="1" applyFill="1" applyBorder="1" applyAlignment="1">
      <alignment horizontal="left" vertical="center"/>
    </xf>
    <xf numFmtId="0" fontId="66" fillId="0" borderId="23" xfId="0" applyFont="1" applyFill="1" applyBorder="1" applyAlignment="1">
      <alignment horizontal="left"/>
    </xf>
    <xf numFmtId="0" fontId="66" fillId="0" borderId="23" xfId="0" applyFont="1" applyFill="1" applyBorder="1" applyAlignment="1">
      <alignment horizontal="left" vertical="top" wrapText="1"/>
    </xf>
    <xf numFmtId="0" fontId="70" fillId="0" borderId="23" xfId="0" applyFont="1" applyFill="1" applyBorder="1" applyAlignment="1">
      <alignment horizontal="left" vertical="top" wrapText="1"/>
    </xf>
    <xf numFmtId="0" fontId="71" fillId="0" borderId="23" xfId="0" applyFont="1" applyFill="1" applyBorder="1" applyAlignment="1">
      <alignment horizontal="left" vertical="top" wrapText="1"/>
    </xf>
    <xf numFmtId="0" fontId="67" fillId="0" borderId="23" xfId="0" applyFont="1" applyFill="1" applyBorder="1" applyAlignment="1">
      <alignment horizontal="center"/>
    </xf>
    <xf numFmtId="0" fontId="67" fillId="0" borderId="23" xfId="0" applyFont="1" applyFill="1" applyBorder="1" applyAlignment="1">
      <alignment vertical="top" wrapText="1"/>
    </xf>
    <xf numFmtId="0" fontId="66" fillId="0" borderId="23" xfId="0" applyFont="1" applyFill="1" applyBorder="1" applyAlignment="1">
      <alignment horizontal="left" vertical="center" wrapText="1"/>
    </xf>
    <xf numFmtId="0" fontId="67" fillId="0" borderId="23" xfId="0" applyFont="1" applyFill="1" applyBorder="1" applyAlignment="1">
      <alignment horizontal="justify" vertical="top" wrapText="1"/>
    </xf>
    <xf numFmtId="0" fontId="74" fillId="0" borderId="23" xfId="0" applyFont="1" applyFill="1" applyBorder="1" applyAlignment="1">
      <alignment horizontal="left" vertical="top"/>
    </xf>
    <xf numFmtId="0" fontId="56" fillId="0" borderId="23" xfId="0" applyNumberFormat="1" applyFont="1" applyFill="1" applyBorder="1" applyAlignment="1">
      <alignment horizontal="left" vertical="top" wrapText="1"/>
    </xf>
    <xf numFmtId="180" fontId="66" fillId="0" borderId="23" xfId="0" applyNumberFormat="1" applyFont="1" applyFill="1" applyBorder="1" applyAlignment="1">
      <alignment horizontal="center" vertical="center" wrapText="1"/>
    </xf>
    <xf numFmtId="0" fontId="74" fillId="0" borderId="23" xfId="15675" applyFont="1" applyFill="1" applyBorder="1" applyAlignment="1">
      <alignment horizontal="left" vertical="top" wrapText="1"/>
    </xf>
    <xf numFmtId="0" fontId="81" fillId="34" borderId="23" xfId="15675" applyFont="1" applyFill="1" applyBorder="1" applyAlignment="1">
      <alignment horizontal="left" vertical="top" wrapText="1"/>
    </xf>
    <xf numFmtId="0" fontId="81" fillId="26" borderId="23" xfId="15675" applyFont="1" applyFill="1" applyBorder="1" applyAlignment="1">
      <alignment horizontal="left" vertical="top" wrapText="1"/>
    </xf>
    <xf numFmtId="0" fontId="66" fillId="0" borderId="23" xfId="0" applyFont="1" applyFill="1" applyBorder="1" applyAlignment="1">
      <alignment horizontal="left" vertical="top"/>
    </xf>
    <xf numFmtId="0" fontId="66" fillId="0" borderId="23" xfId="0" applyFont="1" applyFill="1" applyBorder="1" applyAlignment="1">
      <alignment horizontal="center" vertical="top" wrapText="1"/>
    </xf>
    <xf numFmtId="0" fontId="57" fillId="0" borderId="20" xfId="0" applyFont="1" applyFill="1" applyBorder="1" applyAlignment="1">
      <alignment horizontal="center" vertical="center" wrapText="1"/>
    </xf>
    <xf numFmtId="0" fontId="84" fillId="0" borderId="29" xfId="0" applyFont="1" applyFill="1" applyBorder="1" applyAlignment="1">
      <alignment horizontal="center" vertical="center"/>
    </xf>
    <xf numFmtId="0" fontId="84" fillId="0" borderId="30" xfId="0" applyFont="1" applyFill="1" applyBorder="1" applyAlignment="1">
      <alignment horizontal="center" vertical="center"/>
    </xf>
    <xf numFmtId="0" fontId="84" fillId="0" borderId="31" xfId="0" applyFont="1" applyFill="1" applyBorder="1" applyAlignment="1">
      <alignment horizontal="center" vertical="center"/>
    </xf>
    <xf numFmtId="0" fontId="74" fillId="26" borderId="33" xfId="0" applyFont="1" applyFill="1" applyBorder="1" applyAlignment="1">
      <alignment horizontal="justify" vertical="top" wrapText="1"/>
    </xf>
    <xf numFmtId="0" fontId="0" fillId="26" borderId="33" xfId="0" applyFill="1" applyBorder="1" applyAlignment="1">
      <alignment horizontal="justify" vertical="top" wrapText="1"/>
    </xf>
    <xf numFmtId="0" fontId="55" fillId="26" borderId="33" xfId="0" applyFont="1" applyFill="1" applyBorder="1" applyAlignment="1">
      <alignment horizontal="justify" vertical="top" wrapText="1"/>
    </xf>
    <xf numFmtId="0" fontId="99" fillId="0" borderId="33" xfId="30880" applyFont="1" applyFill="1" applyBorder="1" applyAlignment="1">
      <alignment horizontal="center" vertical="center" wrapText="1"/>
    </xf>
    <xf numFmtId="0" fontId="97" fillId="0" borderId="33" xfId="0" applyFont="1" applyBorder="1" applyAlignment="1">
      <alignment horizontal="center" vertical="center"/>
    </xf>
    <xf numFmtId="0" fontId="97" fillId="0" borderId="33" xfId="0" applyFont="1" applyBorder="1" applyAlignment="1">
      <alignment horizontal="center" vertical="center" wrapText="1"/>
    </xf>
    <xf numFmtId="0" fontId="57" fillId="0" borderId="33" xfId="0" applyFont="1" applyBorder="1" applyAlignment="1">
      <alignment horizontal="center" vertical="center" wrapText="1"/>
    </xf>
    <xf numFmtId="0" fontId="84" fillId="0" borderId="33" xfId="17705" applyFont="1" applyBorder="1" applyAlignment="1">
      <alignment horizontal="center" vertical="center" wrapText="1"/>
    </xf>
    <xf numFmtId="0" fontId="67" fillId="26" borderId="33" xfId="1538" applyFont="1" applyFill="1" applyBorder="1" applyAlignment="1">
      <alignment horizontal="left" vertical="top" wrapText="1"/>
    </xf>
    <xf numFmtId="0" fontId="85" fillId="0" borderId="33" xfId="1538" applyFont="1" applyBorder="1" applyAlignment="1">
      <alignment horizontal="justify" vertical="top" wrapText="1"/>
    </xf>
    <xf numFmtId="0" fontId="67" fillId="0" borderId="33" xfId="1538" applyFont="1" applyBorder="1" applyAlignment="1">
      <alignment horizontal="justify" vertical="top" wrapText="1"/>
    </xf>
    <xf numFmtId="0" fontId="96" fillId="0" borderId="33" xfId="30880" applyFont="1" applyBorder="1" applyAlignment="1">
      <alignment horizontal="center" vertical="center" wrapText="1"/>
    </xf>
    <xf numFmtId="0" fontId="85" fillId="0" borderId="33" xfId="1538" applyFont="1" applyBorder="1" applyAlignment="1">
      <alignment horizontal="left" vertical="top" wrapText="1"/>
    </xf>
    <xf numFmtId="0" fontId="74" fillId="0" borderId="33" xfId="0" applyNumberFormat="1" applyFont="1" applyBorder="1" applyAlignment="1">
      <alignment horizontal="left" vertical="center" wrapText="1"/>
    </xf>
    <xf numFmtId="0" fontId="57" fillId="0" borderId="29" xfId="30880" applyFont="1" applyBorder="1" applyAlignment="1">
      <alignment horizontal="center" vertical="center" wrapText="1"/>
    </xf>
    <xf numFmtId="0" fontId="57" fillId="0" borderId="30" xfId="30880" applyFont="1" applyBorder="1" applyAlignment="1">
      <alignment horizontal="center" vertical="center" wrapText="1"/>
    </xf>
    <xf numFmtId="0" fontId="57" fillId="0" borderId="31" xfId="30880" applyFont="1" applyBorder="1" applyAlignment="1">
      <alignment horizontal="center" vertical="center" wrapText="1"/>
    </xf>
    <xf numFmtId="0" fontId="105" fillId="0" borderId="29" xfId="30880" applyFont="1" applyBorder="1" applyAlignment="1">
      <alignment horizontal="center" vertical="center" wrapText="1"/>
    </xf>
    <xf numFmtId="0" fontId="105" fillId="0" borderId="30" xfId="30880" applyFont="1" applyBorder="1" applyAlignment="1">
      <alignment horizontal="center" vertical="center" wrapText="1"/>
    </xf>
    <xf numFmtId="0" fontId="105" fillId="0" borderId="31" xfId="30880" applyFont="1" applyBorder="1" applyAlignment="1">
      <alignment horizontal="center" vertical="center" wrapText="1"/>
    </xf>
    <xf numFmtId="0" fontId="85" fillId="0" borderId="33" xfId="1538" applyFont="1" applyBorder="1" applyAlignment="1">
      <alignment horizontal="left" vertical="center" wrapText="1"/>
    </xf>
    <xf numFmtId="0" fontId="67" fillId="0" borderId="33" xfId="1538" applyFont="1" applyBorder="1" applyAlignment="1">
      <alignment horizontal="left" vertical="top" wrapText="1"/>
    </xf>
    <xf numFmtId="0" fontId="0" fillId="0" borderId="33" xfId="0" applyFont="1" applyFill="1" applyBorder="1" applyAlignment="1">
      <alignment horizontal="justify" vertical="top" wrapText="1"/>
    </xf>
    <xf numFmtId="0" fontId="85" fillId="26" borderId="33" xfId="1538" applyFont="1" applyFill="1" applyBorder="1" applyAlignment="1">
      <alignment horizontal="left" vertical="top" wrapText="1"/>
    </xf>
    <xf numFmtId="0" fontId="99" fillId="0" borderId="33" xfId="15700" applyFont="1" applyFill="1" applyBorder="1" applyAlignment="1">
      <alignment horizontal="center" vertical="center" wrapText="1"/>
    </xf>
    <xf numFmtId="0" fontId="99" fillId="0" borderId="29" xfId="15700" applyFont="1" applyFill="1" applyBorder="1" applyAlignment="1">
      <alignment horizontal="center" vertical="center" wrapText="1"/>
    </xf>
    <xf numFmtId="0" fontId="99" fillId="0" borderId="31" xfId="15700" applyFont="1" applyFill="1" applyBorder="1" applyAlignment="1">
      <alignment horizontal="center" vertical="center" wrapText="1"/>
    </xf>
    <xf numFmtId="0" fontId="97" fillId="0" borderId="29" xfId="0" applyFont="1" applyBorder="1" applyAlignment="1">
      <alignment horizontal="right" vertical="center"/>
    </xf>
    <xf numFmtId="0" fontId="97" fillId="0" borderId="39" xfId="0" applyFont="1" applyBorder="1" applyAlignment="1">
      <alignment horizontal="right" vertical="center"/>
    </xf>
    <xf numFmtId="0" fontId="97" fillId="0" borderId="31" xfId="0" applyFont="1" applyBorder="1" applyAlignment="1">
      <alignment horizontal="right" vertical="center"/>
    </xf>
    <xf numFmtId="0" fontId="106" fillId="0" borderId="29" xfId="0" applyFont="1" applyBorder="1" applyAlignment="1">
      <alignment horizontal="center" vertical="center" wrapText="1"/>
    </xf>
    <xf numFmtId="0" fontId="106" fillId="0" borderId="39" xfId="0" applyFont="1" applyBorder="1" applyAlignment="1">
      <alignment horizontal="center" vertical="center" wrapText="1"/>
    </xf>
    <xf numFmtId="0" fontId="106" fillId="0" borderId="31" xfId="0" applyFont="1" applyBorder="1" applyAlignment="1">
      <alignment horizontal="center" vertical="center" wrapText="1"/>
    </xf>
    <xf numFmtId="0" fontId="106" fillId="0" borderId="29" xfId="0" applyFont="1" applyBorder="1" applyAlignment="1">
      <alignment vertical="center" wrapText="1"/>
    </xf>
    <xf numFmtId="0" fontId="106" fillId="0" borderId="39" xfId="0" applyFont="1" applyBorder="1" applyAlignment="1">
      <alignment vertical="center" wrapText="1"/>
    </xf>
    <xf numFmtId="0" fontId="106" fillId="0" borderId="31" xfId="0" applyFont="1" applyBorder="1" applyAlignment="1">
      <alignment vertical="center" wrapText="1"/>
    </xf>
  </cellXfs>
  <cellStyles count="30887">
    <cellStyle name="-" xfId="24"/>
    <cellStyle name=" 1" xfId="12"/>
    <cellStyle name=" 1 2" xfId="13"/>
    <cellStyle name=" 1 3" xfId="14"/>
    <cellStyle name=" 1 4" xfId="15"/>
    <cellStyle name=" 1 5" xfId="16"/>
    <cellStyle name=" 1 6" xfId="17"/>
    <cellStyle name=" 1 7" xfId="18"/>
    <cellStyle name=" 1 8" xfId="19"/>
    <cellStyle name="&quot; W" xfId="20"/>
    <cellStyle name="&quot;%&quot; Format" xfId="21"/>
    <cellStyle name="%" xfId="22"/>
    <cellStyle name="******************************************" xfId="23"/>
    <cellStyle name="." xfId="25"/>
    <cellStyle name=":" xfId="4205"/>
    <cellStyle name=": 2" xfId="4206"/>
    <cellStyle name=":_Analysis - Hodariyat - 20.06.09" xfId="4207"/>
    <cellStyle name=":_Analysis - Hodariyat - 20.06.09 2" xfId="4208"/>
    <cellStyle name=":_Analysis - Hodariyat - 20.06.09_Copy of Sheet Piling - Analysis" xfId="4209"/>
    <cellStyle name=":_Analysis - Hodariyat - 20.06.09_Copy of Sheet Piling - Analysis 2" xfId="4210"/>
    <cellStyle name=":_Analysis - hodariyat Bridge - 16.05.09" xfId="4211"/>
    <cellStyle name=":_Analysis - hodariyat Bridge - 16.05.09 2" xfId="4212"/>
    <cellStyle name=":_Analysis - hodariyat Bridge - 16.05.09_1" xfId="4213"/>
    <cellStyle name=":_Analysis - hodariyat Bridge - 16.05.09_1 2" xfId="4214"/>
    <cellStyle name=":_Analysis - hodariyat Bridge - 16.05.09_1_Copy of Sheet Piling - Analysis" xfId="4215"/>
    <cellStyle name=":_Analysis - hodariyat Bridge - 16.05.09_1_Copy of Sheet Piling - Analysis 2" xfId="4216"/>
    <cellStyle name=":_Analysis - hodariyat Bridge - 16.05.09_1_Hodariyat Bridge (2)" xfId="4217"/>
    <cellStyle name=":_Analysis - hodariyat Bridge - 16.05.09_1_Hodariyat Bridge (2) 2" xfId="4218"/>
    <cellStyle name=":_Analysis - hodariyat Bridge - 16.05.09_1_Hodariyat Bridge (2)_Copy of Sheet Piling - Analysis" xfId="4219"/>
    <cellStyle name=":_Analysis - hodariyat Bridge - 16.05.09_1_Hodariyat Bridge (2)_Copy of Sheet Piling - Analysis 2" xfId="4220"/>
    <cellStyle name=":_Analysis - hodariyat Bridge - 16.05.09_Copy of Sheet Piling - Analysis" xfId="4221"/>
    <cellStyle name=":_Analysis - hodariyat Bridge - 16.05.09_Copy of Sheet Piling - Analysis 2" xfId="4222"/>
    <cellStyle name=":_Analysis-Road works" xfId="4223"/>
    <cellStyle name=":_Analysis-Road works 2" xfId="4224"/>
    <cellStyle name=":_Analysis-Road works_Copy of Sheet Piling - Analysis" xfId="4225"/>
    <cellStyle name=":_Analysis-Road works_Copy of Sheet Piling - Analysis 2" xfId="4226"/>
    <cellStyle name=":_Analysis-Structures" xfId="4227"/>
    <cellStyle name=":_Analysis-Structures 2" xfId="4228"/>
    <cellStyle name=":_Analysis-Structures_Copy of Sheet Piling - Analysis" xfId="4229"/>
    <cellStyle name=":_Analysis-Structures_Copy of Sheet Piling - Analysis 2" xfId="4230"/>
    <cellStyle name=":_Bridge-4-Arch-24 Month-10.03.09" xfId="4231"/>
    <cellStyle name=":_Bridge-4-Arch-24 Month-10.03.09 2" xfId="4232"/>
    <cellStyle name=":_pt cs comparision" xfId="4233"/>
    <cellStyle name=":_pt cs comparision 2" xfId="4234"/>
    <cellStyle name=":_To Client - Bridge 4" xfId="4235"/>
    <cellStyle name=":_To Client - Bridge 4 2" xfId="4236"/>
    <cellStyle name=";;;" xfId="4237"/>
    <cellStyle name="??" xfId="4238"/>
    <cellStyle name="?? [0.00]_laroux" xfId="4239"/>
    <cellStyle name="???? [0.00]_laroux" xfId="4240"/>
    <cellStyle name="????_laroux" xfId="4241"/>
    <cellStyle name="??[0]_770 Detail (2)_77" xfId="4242"/>
    <cellStyle name="??_#01 Akaska1" xfId="4243"/>
    <cellStyle name="?_x0001__x0017_?°_x0001_ÿÿÿ?ÿÿÿ??" xfId="4245"/>
    <cellStyle name="?_x0001__x0017_?°_x0001_ÿÿÿ?ÿÿÿ?? 1" xfId="4246"/>
    <cellStyle name="?_x0001__x0017_?°_x0001_ÿÿÿ?ÿÿÿ?? 2" xfId="4247"/>
    <cellStyle name="?_x0001__x0017_?°_x0001_ÿÿÿ?ÿÿÿ?? 3" xfId="4248"/>
    <cellStyle name="?_x0001__x0017_?°_x0001_ÿÿÿ?ÿÿÿ?? 4" xfId="4249"/>
    <cellStyle name="?_x0001__x0017_?°_x0001_ÿÿÿ?ÿÿÿ?? 5" xfId="4250"/>
    <cellStyle name="?_x0001__x0017_?°_x0001_ÿÿÿ?ÿÿÿ??_BOQSummary Vedhas Sir" xfId="4251"/>
    <cellStyle name="?Q\?1@" xfId="4244"/>
    <cellStyle name="\" xfId="4252"/>
    <cellStyle name="\ JY" xfId="4253"/>
    <cellStyle name="\_bluebirdacdil13" xfId="4254"/>
    <cellStyle name="\_data" xfId="4255"/>
    <cellStyle name="\_ecomps7w" xfId="4256"/>
    <cellStyle name="\_equitycomps8" xfId="4257"/>
    <cellStyle name="\_equitycomps9" xfId="4258"/>
    <cellStyle name="\_houston Isabel" xfId="4259"/>
    <cellStyle name="\_hybrid2" xfId="4260"/>
    <cellStyle name="\_ITXCcomps" xfId="4261"/>
    <cellStyle name="\_newcomps16" xfId="4262"/>
    <cellStyle name="\_ravenpitch3" xfId="4263"/>
    <cellStyle name="\_ravenpitch32" xfId="4264"/>
    <cellStyle name="_%(SignOnly)" xfId="4265"/>
    <cellStyle name="_%(SignSpaceOnly)" xfId="4266"/>
    <cellStyle name="_~3128996" xfId="5588"/>
    <cellStyle name="_004 - Contract Review March-08" xfId="4267"/>
    <cellStyle name="_004 ITC -  BHADRACHALAM, PSE 070207(Namrata)" xfId="4268"/>
    <cellStyle name="_04th RA May'08 (2)" xfId="4269"/>
    <cellStyle name="_05.08.12_BOQ HIAL" xfId="4270"/>
    <cellStyle name="_05th RA June - 2008" xfId="4271"/>
    <cellStyle name="_06  E - Pricing Schedule BMS-TMS" xfId="4272"/>
    <cellStyle name="_06  E - Pricing Schedule BMS-TMS_BLK-EST-BUILDING 1 - DLF MUMBAI MILLS-13-10-10" xfId="4273"/>
    <cellStyle name="_06  E - Pricing Schedule BMS-TMS_BLOCK EST - BASEMENT" xfId="4274"/>
    <cellStyle name="_06  E - Pricing Schedule BMS-TMS_BLOCK EST - BUILDING 1" xfId="4275"/>
    <cellStyle name="_06  E - Pricing Schedule BMS-TMS_BLOCK EST - BUILDING 2-TO STERLING" xfId="4276"/>
    <cellStyle name="_06  E - Pricing Schedule BMS-TMS_BLOCK EST - BUILDING 3" xfId="4277"/>
    <cellStyle name="_06  E - Pricing Schedule BMS-TMS_BLOCK EST - PODIUM -DLF" xfId="4278"/>
    <cellStyle name="_06  E - Pricing Schedule BMS-TMS_BLOCK EST - PODIUM -MCGM" xfId="4279"/>
    <cellStyle name="_06  E - Pricing Schedule BMS-TMS_BOQ" xfId="4280"/>
    <cellStyle name="_06  E - Pricing Schedule BMS-TMS_FINAL-DE-RGIPT-12.02.2010-WITH RA MKT-1 April-A-Dt.27-01-11" xfId="4281"/>
    <cellStyle name="_06  E - Pricing Schedule BMS-TMS_MEASUREMENT SHEET - ARCH - Priyanka" xfId="4282"/>
    <cellStyle name="_06  E - Pricing Schedule BMS-TMS_MEASUREMENT-EXTERNAL DEVL" xfId="4283"/>
    <cellStyle name="_06  E - Pricing Schedule BMS-TMS_PRELIMINARY TOTAL ESTIMATE - R2-11.01.11" xfId="4284"/>
    <cellStyle name="_06  E - Pricing Schedule BMS-TMS_RA-MKT" xfId="4285"/>
    <cellStyle name="_06  E - Pricing Schedule BMS-TMS_RCC -MAJOR- G+1)" xfId="4286"/>
    <cellStyle name="_15.02.11 Internal Work _BOQ_R0-FORMATED" xfId="4287"/>
    <cellStyle name="_17th &amp; final bill" xfId="4288"/>
    <cellStyle name="_1st Ra Bill -Feb-10@Magnolias-BUILD TEC " xfId="4289"/>
    <cellStyle name="_1st Ra Bill -Feb-10@Magnolias-BUILD TEC  2" xfId="4290"/>
    <cellStyle name="_1st Ra Bill -Feb-10@Magnolias-BUILD TEC  3" xfId="4291"/>
    <cellStyle name="_1st Ra Bill -Feb-10@Magnolias-BUILD TEC  4" xfId="4292"/>
    <cellStyle name="_1st Ra Bill -Feb-10@Magnolias-BUILD TEC  5" xfId="4293"/>
    <cellStyle name="_1st Ra Bill -Feb-10@Magnolias-BUILD TEC  6" xfId="4294"/>
    <cellStyle name="_1st Ra Bill -Feb-10@Magnolias-BUILD TEC  7" xfId="4295"/>
    <cellStyle name="_1st Ra Bill -Feb-10@Magnolias-BUILD TEC  8" xfId="4296"/>
    <cellStyle name="_28-IBP I Commerz &amp; Hotel August 09 071009final" xfId="4297"/>
    <cellStyle name="_2ND PARK PLACE ANNUAL RETERN" xfId="4298"/>
    <cellStyle name="_3.05 retaining wall base" xfId="4299"/>
    <cellStyle name="_3.1 June 08 " xfId="4300"/>
    <cellStyle name="_3.1 June 08  2" xfId="4301"/>
    <cellStyle name="_3.1 June 08  3" xfId="4302"/>
    <cellStyle name="_3.1 June 08  4" xfId="4303"/>
    <cellStyle name="_3.1 June 08  5" xfId="4304"/>
    <cellStyle name="_3.1 June 08  6" xfId="4305"/>
    <cellStyle name="_3.1 June 08  7" xfId="4306"/>
    <cellStyle name="_3.1 June 08  8" xfId="4307"/>
    <cellStyle name="_3.2 June 08" xfId="4308"/>
    <cellStyle name="_32_0_25__20_-_20_Accent1" xfId="4309"/>
    <cellStyle name="_32_0_25__20_-_20_Accent2" xfId="4310"/>
    <cellStyle name="_32_0_25__20_-_20_Accent3" xfId="4311"/>
    <cellStyle name="_32_0_25__20_-_20_Accent4" xfId="4312"/>
    <cellStyle name="_32_0_25__20_-_20_Accent5" xfId="4313"/>
    <cellStyle name="_32_0_25__20_-_20_Accent6" xfId="4314"/>
    <cellStyle name="_34_0_25__20_-_20_Accent1" xfId="4315"/>
    <cellStyle name="_34_0_25__20_-_20_Accent2" xfId="4316"/>
    <cellStyle name="_34_0_25__20_-_20_Accent3" xfId="4317"/>
    <cellStyle name="_34_0_25__20_-_20_Accent4" xfId="4318"/>
    <cellStyle name="_34_0_25__20_-_20_Accent5" xfId="4319"/>
    <cellStyle name="_34_0_25__20_-_20_Accent6" xfId="4320"/>
    <cellStyle name="_3550-Activation Fees" xfId="4321"/>
    <cellStyle name="_36_0_25__20_-_20_Accent1" xfId="4322"/>
    <cellStyle name="_36_0_25__20_-_20_Accent2" xfId="4323"/>
    <cellStyle name="_36_0_25__20_-_20_Accent3" xfId="4324"/>
    <cellStyle name="_36_0_25__20_-_20_Accent4" xfId="4325"/>
    <cellStyle name="_36_0_25__20_-_20_Accent5" xfId="4326"/>
    <cellStyle name="_36_0_25__20_-_20_Accent6" xfId="4327"/>
    <cellStyle name="_4. Specimen signature list" xfId="4328"/>
    <cellStyle name="_4. Specimen signature list_Book2" xfId="4329"/>
    <cellStyle name="_4. Specimen signature list_Book2 2" xfId="4330"/>
    <cellStyle name="_4th RA Bill-DEC-9 @ NTH-91-B L GUPTA" xfId="4331"/>
    <cellStyle name="_4th RA Bill-DEC-9 @ NTH-91-B L GUPTA_Book2" xfId="4332"/>
    <cellStyle name="_4th RA Bill-DEC-9 @ NTH-91-B L GUPTA_Book2 2" xfId="4333"/>
    <cellStyle name="_5. Annexure I" xfId="4334"/>
    <cellStyle name="_5. Annexure I_Costing final 30.40 crore" xfId="4335"/>
    <cellStyle name="_5. Annexure I_Costing final 30.40 crore 2" xfId="4336"/>
    <cellStyle name="_6227 BOQ &amp; MEA.-13.03.09" xfId="4337"/>
    <cellStyle name="_6340_ BOQ_MEA. 09.03.09" xfId="4338"/>
    <cellStyle name="_6520_AREA_IBIS HOTEL AT NAVI MUMBAI - 02-04-09" xfId="4339"/>
    <cellStyle name="_8.  Note for billing errors" xfId="4340"/>
    <cellStyle name="_8.  Note for billing errors_Book2" xfId="4341"/>
    <cellStyle name="_8.  Note for billing errors_Book2 2" xfId="4342"/>
    <cellStyle name="_Aalysis-Road works" xfId="4343"/>
    <cellStyle name="_Aalysis-Road works 2" xfId="4344"/>
    <cellStyle name="_Aalysis-Road works 3" xfId="4345"/>
    <cellStyle name="_Aalysis-Road works 4" xfId="4346"/>
    <cellStyle name="_Aalysis-Road works 5" xfId="4347"/>
    <cellStyle name="_Aalysis-Road works 6" xfId="4348"/>
    <cellStyle name="_Aalysis-Road works 7" xfId="4349"/>
    <cellStyle name="_Abhimaani Vasathi Hotel - 25.09.07" xfId="4350"/>
    <cellStyle name="_Abstract  Site Infra Buildings-15 Acres" xfId="4351"/>
    <cellStyle name="_Academic ZCR Final -15-4-08 (version 1)" xfId="4352"/>
    <cellStyle name="_Accounts Actual" xfId="4353"/>
    <cellStyle name="_ACE Summary all" xfId="4354"/>
    <cellStyle name="_ACE TC-II Powai(E)-send to BNS-31-07-08" xfId="4355"/>
    <cellStyle name="_ACE Top sheet" xfId="4356"/>
    <cellStyle name="_ACE Top sheet-rev-19-03-08" xfId="4357"/>
    <cellStyle name="_Admin Head Wise Provisions" xfId="4358"/>
    <cellStyle name="_Admin Head Wise Provisions 2" xfId="4359"/>
    <cellStyle name="_ADPL Site office" xfId="4360"/>
    <cellStyle name="_ADPL Site office_Cement reconcilation  up to Nov 2011" xfId="4361"/>
    <cellStyle name="_Aex (Revised) - Vishnu" xfId="4362"/>
    <cellStyle name="_Amd-01 BOQ FOR SECTOR-91 STRUCTURE" xfId="4363"/>
    <cellStyle name="_AMENDMENT REVISED(DEC09)" xfId="4364"/>
    <cellStyle name="_analysis 06.04.06" xfId="4365"/>
    <cellStyle name="_Analysis-R 842-4-11.04.09" xfId="4366"/>
    <cellStyle name="_Analysis-Rev-09.02.09" xfId="4367"/>
    <cellStyle name="_Analysis-Rev-09.02.09 2" xfId="4368"/>
    <cellStyle name="_Analysis-Rev-09.02.09 3" xfId="4369"/>
    <cellStyle name="_Analysis-Rev-09.02.09 4" xfId="4370"/>
    <cellStyle name="_Analysis-Rev-09.02.09 5" xfId="4371"/>
    <cellStyle name="_Analysis-Rev-09.02.09 6" xfId="4372"/>
    <cellStyle name="_Analysis-Rev-09.02.09 7" xfId="4373"/>
    <cellStyle name="_Analysis-Rev-09.02.09_Analysis - Hodariyat - 20.06.09" xfId="4374"/>
    <cellStyle name="_Analysis-Rev-09.02.09_Analysis - Hodariyat - 20.06.09 2" xfId="4375"/>
    <cellStyle name="_Analysis-Rev-09.02.09_Analysis - Hodariyat - 20.06.09 3" xfId="4376"/>
    <cellStyle name="_Analysis-Rev-09.02.09_Analysis - Hodariyat - 20.06.09 4" xfId="4377"/>
    <cellStyle name="_Analysis-Rev-09.02.09_Analysis - Hodariyat - 20.06.09 5" xfId="4378"/>
    <cellStyle name="_Analysis-Rev-09.02.09_Analysis - Hodariyat - 20.06.09 6" xfId="4379"/>
    <cellStyle name="_Analysis-Rev-09.02.09_Analysis - Hodariyat - 20.06.09 7" xfId="4380"/>
    <cellStyle name="_Analysis-Rev-09.02.09_Analysis - hodariyat Bridge - 16.05.09" xfId="4381"/>
    <cellStyle name="_Analysis-Rev-09.02.09_Analysis - hodariyat Bridge - 16.05.09 2" xfId="4382"/>
    <cellStyle name="_Analysis-Rev-09.02.09_Analysis - hodariyat Bridge - 16.05.09 3" xfId="4383"/>
    <cellStyle name="_Analysis-Rev-09.02.09_Analysis - hodariyat Bridge - 16.05.09 4" xfId="4384"/>
    <cellStyle name="_Analysis-Rev-09.02.09_Analysis - hodariyat Bridge - 16.05.09 5" xfId="4385"/>
    <cellStyle name="_Analysis-Rev-09.02.09_Analysis - hodariyat Bridge - 16.05.09 6" xfId="4386"/>
    <cellStyle name="_Analysis-Rev-09.02.09_Analysis - hodariyat Bridge - 16.05.09 7" xfId="4387"/>
    <cellStyle name="_Analysis-Rev-09.02.09_Analysis - hodariyat Bridge - 16.05.09_1" xfId="4388"/>
    <cellStyle name="_Analysis-Rev-09.02.09_Analysis - hodariyat Bridge - 16.05.09_1 2" xfId="4389"/>
    <cellStyle name="_Analysis-Rev-09.02.09_Analysis - hodariyat Bridge - 16.05.09_1 3" xfId="4390"/>
    <cellStyle name="_Analysis-Rev-09.02.09_Analysis - hodariyat Bridge - 16.05.09_1 4" xfId="4391"/>
    <cellStyle name="_Analysis-Rev-09.02.09_Analysis - hodariyat Bridge - 16.05.09_1 5" xfId="4392"/>
    <cellStyle name="_Analysis-Rev-09.02.09_Analysis - hodariyat Bridge - 16.05.09_1 6" xfId="4393"/>
    <cellStyle name="_Analysis-Rev-09.02.09_Analysis - hodariyat Bridge - 16.05.09_1 7" xfId="4394"/>
    <cellStyle name="_Analysis-Rev-09.02.09_Analysis - hodariyat Bridge - 16.05.09_1_Hodariyat Bridge (2)" xfId="4395"/>
    <cellStyle name="_Analysis-Rev-09.02.09_Analysis - hodariyat Bridge - 16.05.09_1_Hodariyat Bridge (2) 2" xfId="4396"/>
    <cellStyle name="_Analysis-Rev-09.02.09_Analysis - hodariyat Bridge - 16.05.09_1_Hodariyat Bridge (2) 3" xfId="4397"/>
    <cellStyle name="_Analysis-Rev-09.02.09_Analysis - hodariyat Bridge - 16.05.09_1_Hodariyat Bridge (2) 4" xfId="4398"/>
    <cellStyle name="_Analysis-Rev-09.02.09_Analysis - hodariyat Bridge - 16.05.09_1_Hodariyat Bridge (2) 5" xfId="4399"/>
    <cellStyle name="_Analysis-Rev-09.02.09_Analysis - hodariyat Bridge - 16.05.09_1_Hodariyat Bridge (2) 6" xfId="4400"/>
    <cellStyle name="_Analysis-Rev-09.02.09_Analysis - hodariyat Bridge - 16.05.09_1_Hodariyat Bridge (2) 7" xfId="4401"/>
    <cellStyle name="_Analysis-Rev-09.02.09_Analysis-Road works" xfId="4402"/>
    <cellStyle name="_Analysis-Rev-09.02.09_Analysis-Road works 2" xfId="4403"/>
    <cellStyle name="_Analysis-Rev-09.02.09_Analysis-Road works 3" xfId="4404"/>
    <cellStyle name="_Analysis-Rev-09.02.09_Analysis-Road works 4" xfId="4405"/>
    <cellStyle name="_Analysis-Rev-09.02.09_Analysis-Road works 5" xfId="4406"/>
    <cellStyle name="_Analysis-Rev-09.02.09_Analysis-Road works 6" xfId="4407"/>
    <cellStyle name="_Analysis-Rev-09.02.09_Analysis-Road works 7" xfId="4408"/>
    <cellStyle name="_Analysis-Rev-09.02.09_Analysis-Structures" xfId="4409"/>
    <cellStyle name="_Analysis-Rev-09.02.09_Analysis-Structures 2" xfId="4410"/>
    <cellStyle name="_Analysis-Rev-09.02.09_Analysis-Structures 3" xfId="4411"/>
    <cellStyle name="_Analysis-Rev-09.02.09_Analysis-Structures 4" xfId="4412"/>
    <cellStyle name="_Analysis-Rev-09.02.09_Analysis-Structures 5" xfId="4413"/>
    <cellStyle name="_Analysis-Rev-09.02.09_Analysis-Structures 6" xfId="4414"/>
    <cellStyle name="_Analysis-Rev-09.02.09_Analysis-Structures 7" xfId="4415"/>
    <cellStyle name="_Analysis-Rev-09.02.09_Copy of Sheet Piling - Analysis" xfId="4416"/>
    <cellStyle name="_Analysis-Rev-09.02.09_Copy of Sheet Piling - Analysis 2" xfId="4417"/>
    <cellStyle name="_Analysis-Rev-09.02.09_Copy of Sheet Piling - Analysis 3" xfId="4418"/>
    <cellStyle name="_Analysis-Rev-09.02.09_Copy of Sheet Piling - Analysis 4" xfId="4419"/>
    <cellStyle name="_Analysis-Rev-09.02.09_Copy of Sheet Piling - Analysis 5" xfId="4420"/>
    <cellStyle name="_Analysis-Rev-09.02.09_Copy of Sheet Piling - Analysis 6" xfId="4421"/>
    <cellStyle name="_Analysis-Rev-09.02.09_Copy of Sheet Piling - Analysis 7" xfId="4422"/>
    <cellStyle name="_Angsana" xfId="4423"/>
    <cellStyle name="_Annex to RA Bill 3 &amp;amp_ 3A1" xfId="4424"/>
    <cellStyle name="_Apollo - Final" xfId="4425"/>
    <cellStyle name="_April" xfId="4426"/>
    <cellStyle name="_APRIL-MPR-SANTOSH" xfId="4427"/>
    <cellStyle name="_Area Statement 0705017" xfId="4428"/>
    <cellStyle name="_AS Carrier site -ZCR.xls(29.11.09)" xfId="4429"/>
    <cellStyle name="_ASC Shuttering Qty" xfId="4430"/>
    <cellStyle name="_Ascendas - AFAS, ACS &amp; EPABX - 14.11.06R5EST &amp; EXwork" xfId="4431"/>
    <cellStyle name="_Ascendas 14.9.06 R1" xfId="4433"/>
    <cellStyle name="_ASCENDAS -18.08.06" xfId="4432"/>
    <cellStyle name="_Ascendas 21.9.06 R2" xfId="4434"/>
    <cellStyle name="_Ascendas workings" xfId="4435"/>
    <cellStyle name="_Ascendas workings_Cement reconcilation  up to Nov 2011" xfId="4436"/>
    <cellStyle name="_Ascendas workings_pl Scope vs Front" xfId="4437"/>
    <cellStyle name="_Ascendas workings_plama Labour Planned Vs Actual Status" xfId="4438"/>
    <cellStyle name="_Ascendas workings_Scope vs Front" xfId="4439"/>
    <cellStyle name="_aUDIT INSTA AS ON 30NOV'" xfId="4440"/>
    <cellStyle name="_August -  Lab Equipments" xfId="4441"/>
    <cellStyle name="_aurdra Engg - Afas &amp; Pa - 24.05.06" xfId="4442"/>
    <cellStyle name="_AUSTIN" xfId="4443"/>
    <cellStyle name="_Aztec" xfId="4444"/>
    <cellStyle name="_Balance Sheet 4.1 Dec 08 " xfId="4445"/>
    <cellStyle name="_Balance Sheet 4.1 Dec 08  2" xfId="4446"/>
    <cellStyle name="_Balance Sheet 4.1 Dec 08  3" xfId="4447"/>
    <cellStyle name="_Balance Sheet 4.1 Dec 08  4" xfId="4448"/>
    <cellStyle name="_Balance Sheet 4.1 Dec 08  5" xfId="4449"/>
    <cellStyle name="_Balance Sheet 4.1 Dec 08  6" xfId="4450"/>
    <cellStyle name="_Balance Sheet 4.1 Dec 08  7" xfId="4451"/>
    <cellStyle name="_Balance Sheet 4.1 Dec 08  8" xfId="4452"/>
    <cellStyle name="_Balance work Finishing BLD 1-2-DT projects" xfId="4453"/>
    <cellStyle name="_Balance work Finishing BLD-4-5" xfId="4454"/>
    <cellStyle name="_Balance work Structure BLD- (01+02+03)-DT Projects 29-06-10" xfId="4456"/>
    <cellStyle name="_Balance work Structure BLD 4-5 BLG 29-06-10" xfId="4455"/>
    <cellStyle name="_Basic Rates" xfId="4457"/>
    <cellStyle name="_Battery Calculation" xfId="4458"/>
    <cellStyle name="_BBS  SUB-STATION BUILDING" xfId="4459"/>
    <cellStyle name="_BBS CMB BUILDING" xfId="4460"/>
    <cellStyle name="_BBS HVAC BUILDING" xfId="4461"/>
    <cellStyle name="_BBS IDC BLOCK" xfId="4462"/>
    <cellStyle name="_BBS SUB-STATION BUILDING" xfId="4463"/>
    <cellStyle name="_Belaire 3rd ra bill 20%" xfId="4464"/>
    <cellStyle name="_Belaire 5th ra bill 80%" xfId="4465"/>
    <cellStyle name="_Belaire Amendment -1" xfId="4466"/>
    <cellStyle name="_BILLS OF QUANTITIS" xfId="4467"/>
    <cellStyle name="_BLG Costing-29.08.08" xfId="4468"/>
    <cellStyle name="_BLK-EST-BUILDING 1 - DLF MUMBAI MILLS-13-10-10" xfId="4469"/>
    <cellStyle name="_BLOCK EST - BASEMENT" xfId="4470"/>
    <cellStyle name="_BLOCK EST - BUILDING 1" xfId="4471"/>
    <cellStyle name="_BLOCK EST - BUILDING 2-TO STERLING" xfId="4472"/>
    <cellStyle name="_BLOCK EST - BUILDING 3" xfId="4473"/>
    <cellStyle name="_BLOCK EST - PODIUM -DLF" xfId="4474"/>
    <cellStyle name="_BLOCK EST - PODIUM -MCGM" xfId="4475"/>
    <cellStyle name="_BLOCK ESTIMATE-09.05.08-PHASE-II-DPA" xfId="4476"/>
    <cellStyle name="_Blue Horizon Final Offer" xfId="4477"/>
    <cellStyle name="_BMS Enquiry Revenue tower" xfId="4478"/>
    <cellStyle name="_BMS Format" xfId="4479"/>
    <cellStyle name="_Bms General INR" xfId="4480"/>
    <cellStyle name="_BOB - Mumbai 17.06.05" xfId="4481"/>
    <cellStyle name="_Book1" xfId="4482"/>
    <cellStyle name="_Book1 (15)" xfId="4483"/>
    <cellStyle name="_Book1 (15) 2" xfId="4484"/>
    <cellStyle name="_Book1 (15)_Item Rate Client Bill RA-7 Dec.10 (SBM Homes)" xfId="4485"/>
    <cellStyle name="_Book1 (15)_Labour Camp Detail" xfId="4486"/>
    <cellStyle name="_Book1 (2)" xfId="4487"/>
    <cellStyle name="_Book1 (32)" xfId="4488"/>
    <cellStyle name="_Book1 (39)" xfId="4489"/>
    <cellStyle name="_Book1 (8)" xfId="4490"/>
    <cellStyle name="_Book2" xfId="4491"/>
    <cellStyle name="_BOQ" xfId="4492"/>
    <cellStyle name="_BOQ  Sarojini  Nagar" xfId="4493"/>
    <cellStyle name="_BOQ - Workings" xfId="4495"/>
    <cellStyle name="_BOQ &amp; Meas 30-04-09" xfId="4494"/>
    <cellStyle name="_BOQ -26-02-10" xfId="4496"/>
    <cellStyle name="_BOQ 3 1" xfId="4497"/>
    <cellStyle name="_BOQ CIVIL_final 15 3 11" xfId="4498"/>
    <cellStyle name="_BOQ FOR HOTEL BLOCK - 18.10.08 - AHC" xfId="4499"/>
    <cellStyle name="_BOQ FOR OFFICE LEVELS" xfId="4500"/>
    <cellStyle name="_BOQ RATE" xfId="4501"/>
    <cellStyle name="_BOQ WITH MEAS OF EXT BOQ-23.02.11 TO HSA" xfId="4502"/>
    <cellStyle name="_BOQ WITH MEASUREMENT - CIVIL FINISHING WORK - 04.01.2008" xfId="4503"/>
    <cellStyle name="_BOQ_Cement reconcilation  up to Nov 2011" xfId="4517"/>
    <cellStyle name="_BOQ-Chennai Tech park -IBMS-18-04-07" xfId="4504"/>
    <cellStyle name="_BOQ-IIT-SCPL-25.12.08" xfId="4505"/>
    <cellStyle name="_BOQ-IIT-SCPL-R2-EXCLUING BLDG." xfId="4506"/>
    <cellStyle name="_BOQ-IIT-SCPL-R3-for B2 Bldg.-external development" xfId="4507"/>
    <cellStyle name="_BOQ-IIT-SCPL-R3-for B3 Bldg.-external development" xfId="4508"/>
    <cellStyle name="_BOQ-IIT-SCPL-R5-for B2 Bldg.-external development-26.06.09" xfId="4509"/>
    <cellStyle name="_BOQ-IIT-SCPL-R5-for B3 Bldg.-external development-26.06.09" xfId="4510"/>
    <cellStyle name="_BOQ-IIT-SCPL-R6-for B3 Bldg.-external development-13.08.09" xfId="4511"/>
    <cellStyle name="_BOQ-IIT-SCPL-REVISED-R2-FOR BLDG-as per various lvls" xfId="4512"/>
    <cellStyle name="_BOQ-IIT-SCPL-REVISED-R3-FOR BLDG-2-as per various lvls" xfId="4513"/>
    <cellStyle name="_BOQ-IIT-SCPL-REVISED-R5-FOR BLDG-2-as per various lvls-26.06.09" xfId="4514"/>
    <cellStyle name="_BOQ-Paint  shop" xfId="4515"/>
    <cellStyle name="_BOQ-Paint  shop_pl Scope vs Front" xfId="4516"/>
    <cellStyle name="_BPCL - Mumbai HP  25.07.05 Email" xfId="4518"/>
    <cellStyle name="_Break UP - Final" xfId="4519"/>
    <cellStyle name="_budget forecast_rev1_dec'08 (3) (3)" xfId="4520"/>
    <cellStyle name="_budget forecast_rev1_dec'08 (3) (3) 2" xfId="4521"/>
    <cellStyle name="_budget forecast_rev1_dec'08 (3) (3)_Item Rate Client Bill RA-7 Dec.10 (SBM Homes)" xfId="4522"/>
    <cellStyle name="_budget forecast_rev1_dec'08 (3) (3)_Labour Camp Detail" xfId="4523"/>
    <cellStyle name="_budget noida mall _ structre and rough finish" xfId="4524"/>
    <cellStyle name="_Budget sumaary updated up to Jan-08" xfId="4525"/>
    <cellStyle name="_Budget sumaary updated up to Jan-08 2" xfId="4526"/>
    <cellStyle name="_Budget sumaary updated up to Jan-08_Amend 2 DPL CONTRACT" xfId="4527"/>
    <cellStyle name="_Budget sumaary updated up to Jan-08_Item Rate Client Bill RA-7 Dec.10 (SBM Homes)" xfId="4528"/>
    <cellStyle name="_Budget sumaary updated up to Jan-08_Labour Camp Detail" xfId="4529"/>
    <cellStyle name="_Budget_Elphinstone_updated_30 June 2009." xfId="4530"/>
    <cellStyle name="_Budgets given by Biju for Business plan-08-09" xfId="4531"/>
    <cellStyle name="_BUILTUP AREA-16-12-08 PD" xfId="4532"/>
    <cellStyle name="_Bulk &amp; Steel Reconciliation (KC665) April'2010" xfId="4533"/>
    <cellStyle name="_Business plan-08-09" xfId="4534"/>
    <cellStyle name="_C&amp;H-24-09-07" xfId="4535"/>
    <cellStyle name="_CA Campus" xfId="4536"/>
    <cellStyle name="_Calcutta Airport Analysis 12-06-2008" xfId="4537"/>
    <cellStyle name="_CANARA BANK281105" xfId="4538"/>
    <cellStyle name="_certified santech bill-3" xfId="4539"/>
    <cellStyle name="_Change Order" xfId="4540"/>
    <cellStyle name="_Change Order TA" xfId="4541"/>
    <cellStyle name="_Change Order TA_Book2" xfId="4542"/>
    <cellStyle name="_Change Order TA_Book2 2" xfId="4543"/>
    <cellStyle name="_Change Order_Book2" xfId="4544"/>
    <cellStyle name="_Change Order_Book2 2" xfId="4545"/>
    <cellStyle name="_CHANGES  in B-Block" xfId="4546"/>
    <cellStyle name="_Charkop Finishing1" xfId="4547"/>
    <cellStyle name="_chattishgarh road work analysis" xfId="4548"/>
    <cellStyle name="_chattishgarh road work analysis_pl Scope vs Front" xfId="4549"/>
    <cellStyle name="_Chennai IT Disallowed- (Jul- Jan 08)-final" xfId="4550"/>
    <cellStyle name="_Chennai schedule of Quantities" xfId="4551"/>
    <cellStyle name="_CIDCO-BC&amp;EH-SCHEDULE-A-13 E 2008" xfId="4552"/>
    <cellStyle name="_Civil 09(1).01.09" xfId="4553"/>
    <cellStyle name="_Civil BOQ" xfId="4554"/>
    <cellStyle name="_CIVIL Work-ACE TC-II Powai(E)" xfId="4555"/>
    <cellStyle name="_Client Bill Details " xfId="4556"/>
    <cellStyle name="_Client Bill Details  2" xfId="4557"/>
    <cellStyle name="_Client Bill Details  3" xfId="4558"/>
    <cellStyle name="_Client Bill Details  4" xfId="4559"/>
    <cellStyle name="_Client Bill Details  5" xfId="4560"/>
    <cellStyle name="_Client Bill Details  6" xfId="4561"/>
    <cellStyle name="_Client Bill Details  7" xfId="4562"/>
    <cellStyle name="_Client Bill Details  8" xfId="4563"/>
    <cellStyle name="_Client sales -Hq review 16th Feb-06" xfId="4564"/>
    <cellStyle name="_Col.steel cal.-14.07.09" xfId="4565"/>
    <cellStyle name="_Comma" xfId="4566"/>
    <cellStyle name="_Comments &amp; Highlights-BMS-3-08-07" xfId="4567"/>
    <cellStyle name="_COMMERZ 2  3 CASH FLOW" xfId="4568"/>
    <cellStyle name="_common folder report nov 08" xfId="4569"/>
    <cellStyle name="_Comparative JNS" xfId="4570"/>
    <cellStyle name="_Construction budget_Jul 2010" xfId="4571"/>
    <cellStyle name="_contract boq DT " xfId="4572"/>
    <cellStyle name="_contract boq DT  2" xfId="4573"/>
    <cellStyle name="_contract boq DT  3" xfId="4574"/>
    <cellStyle name="_contract boq DT  4" xfId="4575"/>
    <cellStyle name="_contract boq DT  5" xfId="4576"/>
    <cellStyle name="_contract boq DT  6" xfId="4577"/>
    <cellStyle name="_contract boq DT  7" xfId="4578"/>
    <cellStyle name="_contract boq DT  8" xfId="4579"/>
    <cellStyle name="_Contract Review Jasola-April-08 13-05-2008" xfId="4580"/>
    <cellStyle name="_Contract Review Jasola-May-08 11-06-2008" xfId="4581"/>
    <cellStyle name="_Convergys India Service Ltd. , Hyderabad ( Working )" xfId="4582"/>
    <cellStyle name="_Copy of  performance report Dec 08" xfId="4583"/>
    <cellStyle name="_Copy of  performance report feb 09" xfId="4584"/>
    <cellStyle name="_Copy of  performance report Jan 09" xfId="4585"/>
    <cellStyle name="_Copy of Business plan-08-09-Construction cost" xfId="4586"/>
    <cellStyle name="_Copy of Copy of concrete prod. report sep 08" xfId="4587"/>
    <cellStyle name="_Copy of fuel report sep 08" xfId="4588"/>
    <cellStyle name="_Copy of Fund Analysis" xfId="4589"/>
    <cellStyle name="_Copy of LOR STAFF-Surplus after 31-05-08" xfId="4590"/>
    <cellStyle name="_Copy of LOR STAFF-Surplus after 31-05-08 2" xfId="4591"/>
    <cellStyle name="_Copy of LOR STAFF-Surplus after 31-05-08_Amend 2 DPL CONTRACT" xfId="4592"/>
    <cellStyle name="_Copy of LOR STAFF-Surplus after 31-05-08_Item Rate Client Bill RA-7 Dec.10 (SBM Homes)" xfId="4593"/>
    <cellStyle name="_Copy of LOR STAFF-Surplus after 31-05-08_Labour Camp Detail" xfId="4594"/>
    <cellStyle name="_Copy of LOR STAFF-Surplus after 31-05-08_SBM School 6th RA Bill 09 Feb-10 Rev" xfId="4595"/>
    <cellStyle name="_Copy of Monthly Progress Report  DLF Infocity - Chennai July 08 " xfId="4596"/>
    <cellStyle name="_Copy of Monthly Progress Report  DLF Infocity - Chennai July 08  2" xfId="4597"/>
    <cellStyle name="_Copy of Monthly Progress Report  DLF Infocity - Chennai July 08  3" xfId="4598"/>
    <cellStyle name="_Copy of Monthly Progress Report  DLF Infocity - Chennai July 08  4" xfId="4599"/>
    <cellStyle name="_Copy of Monthly Progress Report  DLF Infocity - Chennai July 08  5" xfId="4600"/>
    <cellStyle name="_Copy of Monthly Progress Report  DLF Infocity - Chennai July 08  6" xfId="4601"/>
    <cellStyle name="_Copy of Monthly Progress Report  DLF Infocity - Chennai July 08  7" xfId="4602"/>
    <cellStyle name="_Copy of Monthly Progress Report  DLF Infocity - Chennai July 08  8" xfId="4603"/>
    <cellStyle name="_Copy of MPS_3 NEW" xfId="4604"/>
    <cellStyle name="_Copy of MR OCT'08 IT Chennai" xfId="4605"/>
    <cellStyle name="_Copy of Purchase report for the month of Aug'08 (4)" xfId="4606"/>
    <cellStyle name="_Copy of Rate analysis concrete (WO Cement) adjusted" xfId="4607"/>
    <cellStyle name="_Copy of Rec  Summary Dec-07" xfId="4608"/>
    <cellStyle name="_Copy of Rec  Summary Dec-07 2" xfId="4609"/>
    <cellStyle name="_Copy of Rec  Summary Dec-07_Item Rate Client Bill RA-7 Dec.10 (SBM Homes)" xfId="4610"/>
    <cellStyle name="_Copy of Rec  Summary Dec-07_Labour Camp Detail" xfId="4611"/>
    <cellStyle name="_Copy of Rec  Summary Dec-07_Material Reco March-2011 (Homes)" xfId="4612"/>
    <cellStyle name="_Copy of Rec  Summary Dec-07_Monthly Progress Report - MPR" xfId="4613"/>
    <cellStyle name="_Copy of Rec  Summary Dec-07_Monthly Progress Report - MPR VV" xfId="4614"/>
    <cellStyle name="_Copy of Rec  Summary Dec-07_SAFETY RECORD FOR THE MONTH OF May,  2011 - MPR" xfId="4615"/>
    <cellStyle name="_Copy of Rec  Summary Dec-07_SAFETY RECORD FOR THE MONTH OFApril, 2011 - MPR" xfId="4616"/>
    <cellStyle name="_Copy of Rec  Summary Dec-07_Sectional Progress 1 July 09 onwards" xfId="4617"/>
    <cellStyle name="_Copy of Rec  Summary Dec-07_Weekly Photos 1 July 09 onwards" xfId="4618"/>
    <cellStyle name="_Copy of Rec  Summary Dec-07_WPR 26-1 Nov 2009" xfId="4619"/>
    <cellStyle name="_Copy of Rec  Summary Dec-07_WPR Magnolias 2009" xfId="4620"/>
    <cellStyle name="_Copy of Rec-Feb-08" xfId="4621"/>
    <cellStyle name="_Copy of Rec-Feb-08_Material Reco March-2011 (Homes)" xfId="4622"/>
    <cellStyle name="_Copy of Rec-Feb-08_Monthly Progress Report - MPR" xfId="4623"/>
    <cellStyle name="_Copy of Rec-Feb-08_Monthly Progress Report - MPR VV" xfId="4624"/>
    <cellStyle name="_Copy of Rec-Feb-08_SAFETY RECORD FOR THE MONTH OF May,  2011 - MPR" xfId="4625"/>
    <cellStyle name="_Copy of Rec-Feb-08_SAFETY RECORD FOR THE MONTH OFApril, 2011 - MPR" xfId="4626"/>
    <cellStyle name="_Copy of Rec-Feb-08_Sectional Progress 1 July 09 onwards" xfId="4627"/>
    <cellStyle name="_Copy of Rec-Feb-08_Weekly Photos 1 July 09 onwards" xfId="4628"/>
    <cellStyle name="_Copy of Rec-Feb-08_WPR 26-1 Nov 2009" xfId="4629"/>
    <cellStyle name="_Copy of Rec-Feb-08_WPR Magnolias 2009" xfId="4630"/>
    <cellStyle name="_Copy of Revised 1 aadarsh09.12.06" xfId="4631"/>
    <cellStyle name="_Copy of urban wod ra.-14 SUBMITTED" xfId="4632"/>
    <cellStyle name="_Copy of Vytilla Jan09_Cash flow" xfId="4633"/>
    <cellStyle name="_CorrFinisTTPh10-10-11-123" xfId="4634"/>
    <cellStyle name="_Cost allocation  budget 11.07" xfId="4635"/>
    <cellStyle name="_Cost allocation  budget 11.07 2" xfId="4636"/>
    <cellStyle name="_Cost allocation  budget 11.07_Item Rate Client Bill RA-7 Dec.10 (SBM Homes)" xfId="4637"/>
    <cellStyle name="_Cost allocation  budget 11.07_Labour Camp Detail" xfId="4638"/>
    <cellStyle name="_Cost code- KC 661" xfId="4639"/>
    <cellStyle name="_Cost comp. as per LOI" xfId="4640"/>
    <cellStyle name="_Cost to be incurred Ajit" xfId="4641"/>
    <cellStyle name="_Crest workshop plan- MASONRY-Zone 3" xfId="4642"/>
    <cellStyle name="_Crest workshop plan- MASONRY-Zone 3 2" xfId="4643"/>
    <cellStyle name="_Cumulative ACE- TC2" xfId="4644"/>
    <cellStyle name="_Cumulative ACE- TC2 2" xfId="4645"/>
    <cellStyle name="_Currency" xfId="4646"/>
    <cellStyle name="_Currency 2" xfId="4647"/>
    <cellStyle name="_CurrencySpace" xfId="4648"/>
    <cellStyle name="_Cwip-July-05" xfId="4649"/>
    <cellStyle name="_Depreciation Dinesh" xfId="4650"/>
    <cellStyle name="_Detail of Rentals &amp; dismentling work at magnolias to complete the costplus contract" xfId="4651"/>
    <cellStyle name="_Detail of Rentals &amp; dismentling work at magnolias to complete the costplus contract_Book2" xfId="4652"/>
    <cellStyle name="_Detail of Rentals &amp; dismentling work at magnolias to complete the costplus contract_Book2 2" xfId="4653"/>
    <cellStyle name="_DIAL Fire Station LMP STC" xfId="4654"/>
    <cellStyle name="_DIAL Terminal T3 - Structure  final 12th Jul-07 for Client" xfId="4655"/>
    <cellStyle name="_DIAL-Compressed air sys boq SMFS-24-08-07- LMP-WO taxes" xfId="4656"/>
    <cellStyle name="_DIAL-Costworkings 4th Dec 2006" xfId="4657"/>
    <cellStyle name="_dlf budget" xfId="4658"/>
    <cellStyle name="_DRAFT BOQ" xfId="4659"/>
    <cellStyle name="_DRAFT BOQ OF GIRLS HOSTEL - 21.12.09" xfId="4660"/>
    <cellStyle name="_DRAFT BOQ-GLAZING-STAGE WISE-05.07.08-DVJ" xfId="4661"/>
    <cellStyle name="_Draft Budget - 15 Acre" xfId="4662"/>
    <cellStyle name="_Draft Budget - 15 Acre 2" xfId="4663"/>
    <cellStyle name="_Draft Budget - 15 Acre_Item Rate Client Bill RA-7 Dec.10 (SBM Homes)" xfId="4664"/>
    <cellStyle name="_Draft Budget - 15 Acre_Labour Camp Detail" xfId="4665"/>
    <cellStyle name="_Drawing" xfId="4666"/>
    <cellStyle name="_DRY CLADDING RATE ANALYSIS" xfId="4667"/>
    <cellStyle name="_E &amp; G BLOCK CIVIL ABSTRACT 1" xfId="4668"/>
    <cellStyle name="_EFC_221107 Rev1" xfId="4669"/>
    <cellStyle name="_EKTA SALE COMP Incl Taxes R02 270310 " xfId="4670"/>
    <cellStyle name="_EKTA SALE COMP Incl Taxes R02 270310  2" xfId="4671"/>
    <cellStyle name="_EKTA SALE COMP Incl Taxes R02 270310  3" xfId="4672"/>
    <cellStyle name="_EKTA SALE COMP Incl Taxes R02 270310  4" xfId="4673"/>
    <cellStyle name="_EKTA SALE COMP Incl Taxes R02 270310  5" xfId="4674"/>
    <cellStyle name="_EKTA SALE COMP Incl Taxes R02 270310  6" xfId="4675"/>
    <cellStyle name="_EKTA SALE COMP Incl Taxes R02 270310  7" xfId="4676"/>
    <cellStyle name="_EKTA SALE COMP Incl Taxes R02 270310  8" xfId="4677"/>
    <cellStyle name="_Elanza Costing for Dec09(R-3)" xfId="4678"/>
    <cellStyle name="_Elanza-finishing (Main)" xfId="4679"/>
    <cellStyle name="_Elanza-main" xfId="4680"/>
    <cellStyle name="_Electrical Offer Sent to Contracts (06.02.09)" xfId="4681"/>
    <cellStyle name="_Electrical Work-summary" xfId="4682"/>
    <cellStyle name="_Elevated Ramp" xfId="4683"/>
    <cellStyle name="_Emaar Hyd IT Cost Reduction by reducing floor height 4.1 to 3.8 m" xfId="4684"/>
    <cellStyle name="_ESTIMATE" xfId="4686"/>
    <cellStyle name="_ESTIMATE - 25.07.08" xfId="4687"/>
    <cellStyle name="_ESTIMATE FOR GIRL'S HOSTEL BLOCK-25.12.09" xfId="4688"/>
    <cellStyle name="_ESTIMATE WITH MEASUREMENT SHEET - ARCH.-18.11.08-" xfId="4689"/>
    <cellStyle name="_ESTIMATE-15.10.09" xfId="4690"/>
    <cellStyle name="_ESTIMATE-29.08.08-CENTRAL PURCHASE STORE" xfId="4691"/>
    <cellStyle name="_ESTIMATE-CANTEEN" xfId="4692"/>
    <cellStyle name="_ESTIMATE-CANTEEN_ESTIMATE- RTC CREST ANNEX-20-02-10-SSA" xfId="4693"/>
    <cellStyle name="_ESTIMATE-CANTEEN_RA_MKT_INTERIOR" xfId="4695"/>
    <cellStyle name="_ESTIMATE-CANTEEN_RA-MKT" xfId="4694"/>
    <cellStyle name="_ESTIMATE-CANTEEN_REV.EST" xfId="4696"/>
    <cellStyle name="_ESTIMATE-CANTEEN_REV.ESTIMATE" xfId="4697"/>
    <cellStyle name="_ESTIMATE-CLUB HOUSE PUNE-NIRMAL-15-07-10-R2" xfId="4698"/>
    <cellStyle name="_Estimated costs_Vadodara" xfId="4717"/>
    <cellStyle name="_ESTIMATE-ESG-I-09.09.08" xfId="4699"/>
    <cellStyle name="_ESTIMATE-ESG-I-09.09.08_ESTIMATE- RTC CREST ANNEX-20-02-10-SSA" xfId="4700"/>
    <cellStyle name="_ESTIMATE-ESG-I-09.09.08_RA_MKT_INTERIOR" xfId="4702"/>
    <cellStyle name="_ESTIMATE-ESG-I-09.09.08_RA-MKT" xfId="4701"/>
    <cellStyle name="_ESTIMATE-ESG-I-09.09.08_REV.EST" xfId="4703"/>
    <cellStyle name="_ESTIMATE-ESG-I-09.09.08_REV.ESTIMATE" xfId="4704"/>
    <cellStyle name="_ESTIMATE-LIBRARY" xfId="4705"/>
    <cellStyle name="_ESTIMATE-LIBRARY_ESTIMATE- RTC CREST ANNEX-20-02-10-SSA" xfId="4706"/>
    <cellStyle name="_ESTIMATE-LIBRARY_RA_MKT_INTERIOR" xfId="4708"/>
    <cellStyle name="_ESTIMATE-LIBRARY_RA-MKT" xfId="4707"/>
    <cellStyle name="_ESTIMATE-LIBRARY_REV.EST" xfId="4709"/>
    <cellStyle name="_ESTIMATE-LIBRARY_REV.ESTIMATE" xfId="4710"/>
    <cellStyle name="_ESTIMATE-RTC AND CRES ANNEX" xfId="4711"/>
    <cellStyle name="_ESTIMATE-RTC AND CRES ANNEX_ESTIMATE- RTC CREST ANNEX-20-02-10-SSA" xfId="4712"/>
    <cellStyle name="_ESTIMATE-RTC AND CRES ANNEX_RA_MKT_INTERIOR" xfId="4714"/>
    <cellStyle name="_ESTIMATE-RTC AND CRES ANNEX_RA-MKT" xfId="4713"/>
    <cellStyle name="_ESTIMATE-RTC AND CRES ANNEX_REV.EST" xfId="4715"/>
    <cellStyle name="_ESTIMATE-RTC AND CRES ANNEX_REV.ESTIMATE" xfId="4716"/>
    <cellStyle name="_EST-SHORE PILING-24.09.10" xfId="4685"/>
    <cellStyle name="_ET_STYLE_NoName_00_" xfId="4718"/>
    <cellStyle name="_ET_STYLE_NoName_00__Residential Building - 26.07.12" xfId="4719"/>
    <cellStyle name="_eta" xfId="4720"/>
    <cellStyle name="_ETA_RAB1_certified" xfId="4721"/>
    <cellStyle name="_ETISALAT-FINISHING BOQ" xfId="4722"/>
    <cellStyle name="_Euro" xfId="4723"/>
    <cellStyle name="_Expenses_IWSL_3344_30 Nov 09" xfId="4724"/>
    <cellStyle name="_Expenses_IWSL_3344_31 Dec 09" xfId="4725"/>
    <cellStyle name="_ExPRESS GREENS  M-1A for contracts - schedule rates Jan 09 and As per Sec 90    " xfId="4726"/>
    <cellStyle name="_ExPRESS GREENS  M-1A for contracts - schedule rates Jan 09 and As per Sec 90     2" xfId="4727"/>
    <cellStyle name="_ExPRESS GREENS  M-1A for contracts - schedule rates Jan 09 and As per Sec 90     3" xfId="4728"/>
    <cellStyle name="_ExPRESS GREENS  M-1A for contracts - schedule rates Jan 09 and As per Sec 90     4" xfId="4729"/>
    <cellStyle name="_ExPRESS GREENS  M-1A for contracts - schedule rates Jan 09 and As per Sec 90     5" xfId="4730"/>
    <cellStyle name="_ExPRESS GREENS  M-1A for contracts - schedule rates Jan 09 and As per Sec 90     6" xfId="4731"/>
    <cellStyle name="_ExPRESS GREENS  M-1A for contracts - schedule rates Jan 09 and As per Sec 90     7" xfId="4732"/>
    <cellStyle name="_ExPRESS GREENS  M-1A for contracts - schedule rates Jan 09 and As per Sec 90     8" xfId="4733"/>
    <cellStyle name="_External Works" xfId="4734"/>
    <cellStyle name="_External Works BOQ's" xfId="4735"/>
    <cellStyle name="_FINAL BASEMENT E beam &amp; slab" xfId="4736"/>
    <cellStyle name="_final Budget 06.08.08" xfId="4737"/>
    <cellStyle name="_FINAL ETA" xfId="4738"/>
    <cellStyle name="_Final Report-JUne 07" xfId="4739"/>
    <cellStyle name="_Final Report-JUne 07_Amend 2 DPL CONTRACT" xfId="4740"/>
    <cellStyle name="_Final VGN ZCR" xfId="4741"/>
    <cellStyle name="_Finishing (BOQ - Bld 01 &amp; 02)" xfId="4742"/>
    <cellStyle name="_FINISHING SCHEDULE-GURGAON-January-2009" xfId="4743"/>
    <cellStyle name="_Fire Alarm-REV-B-19-09-07-LMP-WO TAXES" xfId="4744"/>
    <cellStyle name="_Fire Fighting Works" xfId="4745"/>
    <cellStyle name="_Fire Protection-WO taxes" xfId="4746"/>
    <cellStyle name="_Fixed Assets  30-09-2007 Final1" xfId="4747"/>
    <cellStyle name="_Form 3cd" xfId="4748"/>
    <cellStyle name="_Form 3cd_Bill Magnolias RA Bill No 38  Dec-09" xfId="4749"/>
    <cellStyle name="_Form 3cd_Bill Magnolias RA Bill No 38 Dec-09" xfId="4750"/>
    <cellStyle name="_Form 3cd_UPFRONT BILLING" xfId="4751"/>
    <cellStyle name="_Formats-Utilisation" xfId="4752"/>
    <cellStyle name="_FPA - Working" xfId="4753"/>
    <cellStyle name="_FPA - Working_pl Scope vs Front" xfId="4754"/>
    <cellStyle name="_Full  Contract  09.12.10. -" xfId="4755"/>
    <cellStyle name="_Glaxo-Smithkline" xfId="4756"/>
    <cellStyle name="_Global (Harayana) 16.11.05" xfId="4757"/>
    <cellStyle name="_Global Hospital  - 16.10.07" xfId="4758"/>
    <cellStyle name="_Google" xfId="4759"/>
    <cellStyle name="_H P campus" xfId="4760"/>
    <cellStyle name="_H.P. - Brigade Hul-Kul-Bills" xfId="4761"/>
    <cellStyle name="_H.P. - Brigade Hul-Kul-Bills_Exora_Business_Park_Analysis_with_Cement_and_steel_KRRC_SNS 22.01.09" xfId="4762"/>
    <cellStyle name="_Heading" xfId="4763"/>
    <cellStyle name="_Highlight" xfId="4764"/>
    <cellStyle name="_Himdri Budget" xfId="4765"/>
    <cellStyle name="_HVAC -ACE_TC2" xfId="4766"/>
    <cellStyle name="_HVAC BOQ_Final-ACE" xfId="4767"/>
    <cellStyle name="_HVAC BOQ_TCII" xfId="4768"/>
    <cellStyle name="_HVAC Work" xfId="4769"/>
    <cellStyle name="_HYD AIRPORT -R2 - 08-09-05 - SOFT" xfId="4770"/>
    <cellStyle name="_Hyderabad WO" xfId="4771"/>
    <cellStyle name="_IBM Green Interior BOQ 11-02-09" xfId="4772"/>
    <cellStyle name="_IBP I Hotel  Commerz" xfId="4773"/>
    <cellStyle name="_Infocity - Chenna  1i (2)" xfId="4774"/>
    <cellStyle name="_Infocity - Chenna  1i (2)1" xfId="4775"/>
    <cellStyle name="_Infocity -Chennai January '09" xfId="4776"/>
    <cellStyle name="_Infrastructure Budget - 25.03.08" xfId="4777"/>
    <cellStyle name="_Infrastructure Budget - 25.03.08 2" xfId="4778"/>
    <cellStyle name="_Infrastructure Budget - 25.03.08_Item Rate Client Bill RA-7 Dec.10 (SBM Homes)" xfId="4779"/>
    <cellStyle name="_Infrastructure Budget - 25.03.08_Labour Camp Detail" xfId="4780"/>
    <cellStyle name="_Integra T 28.12.05 " xfId="4781"/>
    <cellStyle name="_Integra T 28.12.05  2" xfId="4782"/>
    <cellStyle name="_Integra T 28.12.05  3" xfId="4783"/>
    <cellStyle name="_Integra T 28.12.05  4" xfId="4784"/>
    <cellStyle name="_Integra T 28.12.05  5" xfId="4785"/>
    <cellStyle name="_Integra T 28.12.05  6" xfId="4786"/>
    <cellStyle name="_Integra T 28.12.05  7" xfId="4787"/>
    <cellStyle name="_Integra T 28.12.05  8" xfId="4788"/>
    <cellStyle name="_Inter Unit" xfId="4789"/>
    <cellStyle name="_internalbudgets18-03-08" xfId="4790"/>
    <cellStyle name="_IT Chennai" xfId="4791"/>
    <cellStyle name="_IT Park - Sez - Hyderabad- Budget-28.01.2008" xfId="4792"/>
    <cellStyle name="_ITC Tribeni 8 February 2007" xfId="4793"/>
    <cellStyle name="_ITC Windsor Manor - 23.05.07" xfId="4794"/>
    <cellStyle name="_ITC-FW Cost" xfId="4795"/>
    <cellStyle name="_ITC-FW-Req 2" xfId="4796"/>
    <cellStyle name="_Item Rate Bill RA-10 March 11 (Homes)" xfId="4797"/>
    <cellStyle name="_Jasola Mar 07 RA Bill 110507" xfId="4798"/>
    <cellStyle name="_Jasola RA Bill oct 07 071107" xfId="4799"/>
    <cellStyle name="_Jasola RA Bill oct 07 071107 2" xfId="4800"/>
    <cellStyle name="_Jasola RA Bill oct 07 071107_Amend 2 DPL CONTRACT" xfId="4801"/>
    <cellStyle name="_Jasola RA Bill oct 07 071107_Item Rate Client Bill RA-7 Dec.10 (SBM Homes)" xfId="4802"/>
    <cellStyle name="_Jasola RA Bill oct 07 071107_Labour Camp Detail" xfId="4803"/>
    <cellStyle name="_JCR" xfId="4804"/>
    <cellStyle name="_JCR JK Tyre - 1" xfId="4805"/>
    <cellStyle name="_JIPMER Tender Workings" xfId="4806"/>
    <cellStyle name="_Jipmer workings - Revised 15.06.06" xfId="4807"/>
    <cellStyle name="_JK Tyre S1" xfId="4808"/>
    <cellStyle name="_June" xfId="4809"/>
    <cellStyle name="_kafex_RA_04" xfId="4810"/>
    <cellStyle name="_KC 584 - BMTC Koramangala - ZCR Final" xfId="4811"/>
    <cellStyle name="_KC644 ETC OH" xfId="4812"/>
    <cellStyle name="_KC665 - PLAMA Developers ZCR Workings" xfId="4813"/>
    <cellStyle name="_KCC-BALANCE QTY" xfId="4814"/>
    <cellStyle name="_KFAEX__RAB-2-certified" xfId="4815"/>
    <cellStyle name="_Kick of meeting Updated" xfId="4816"/>
    <cellStyle name="_Kolkata - Cash flow 12th June-08 vrh" xfId="4817"/>
    <cellStyle name="_kOLKATA OH - 12TH JUNE-08" xfId="4818"/>
    <cellStyle name="_Kondli Fnl- 140808" xfId="4819"/>
    <cellStyle name="_L &amp; T _ MYSORE_EXTERNAL WORKS_R1" xfId="4820"/>
    <cellStyle name="_L &amp; T _ MYSORE_EXTERNAL WORKS_R1 OFFER 15.03.07" xfId="4821"/>
    <cellStyle name="_L &amp; T Mysore_LIGHTING MANAGEMENT_BOQ addendum offer 21.03.07 (1)" xfId="4822"/>
    <cellStyle name="_L&amp;T Executive Guest House -BOQmysore_ELEC_OFFER 20-2-07" xfId="4823"/>
    <cellStyle name="_L&amp;T Sports Complex -BOQmysore_ELEC_OFFER 20-2-07" xfId="4824"/>
    <cellStyle name="_L_T_Executive_Guest_House__BOQmysore_ELEC_14_2_07" xfId="4825"/>
    <cellStyle name="_L_T_Executive_Guest_House__BOQmysore_ELEC_14_2_07 OFFER 15.03.07" xfId="4826"/>
    <cellStyle name="_L_T_Sports_Complex__BOQmysore_ELEC_14_2_07" xfId="4827"/>
    <cellStyle name="_L_T_Sports_Complex__BOQmysore_ELEC_14_2_07 OFFER 15.03.07" xfId="4828"/>
    <cellStyle name="_Laird Working" xfId="4829"/>
    <cellStyle name="_Laird Working_281210 EOT PLAMA" xfId="4830"/>
    <cellStyle name="_Laird Working_Annexure - I Commencement Delays" xfId="4831"/>
    <cellStyle name="_Laird Working_Cement reconcilation  up to Nov 2011" xfId="4832"/>
    <cellStyle name="_Laird Working_pl Scope vs Front" xfId="4833"/>
    <cellStyle name="_Last Budget Working  19.07.08" xfId="4834"/>
    <cellStyle name="_latest milestones" xfId="4835"/>
    <cellStyle name="_lemon tree BOQ" xfId="4836"/>
    <cellStyle name="_Lift E&amp;G" xfId="4837"/>
    <cellStyle name="_lintel " xfId="4838"/>
    <cellStyle name="_lintel  2" xfId="4839"/>
    <cellStyle name="_lintel  3" xfId="4840"/>
    <cellStyle name="_lintel  4" xfId="4841"/>
    <cellStyle name="_lintel  5" xfId="4842"/>
    <cellStyle name="_lintel  6" xfId="4843"/>
    <cellStyle name="_lintel  7" xfId="4844"/>
    <cellStyle name="_lintel  8" xfId="4845"/>
    <cellStyle name="_List of requirements - Current Liab" xfId="4846"/>
    <cellStyle name="_List of requirements - Current Liab_Bill Magnolias RA Bill No 38  Dec-09" xfId="4847"/>
    <cellStyle name="_List of requirements - Current Liab_Bill Magnolias RA Bill No 38 Dec-09" xfId="4848"/>
    <cellStyle name="_List of requirements - Current Liab_UPFRONT BILLING" xfId="4849"/>
    <cellStyle name="_M &amp; E L+M dt 01.01.09" xfId="4850"/>
    <cellStyle name="_Magnolias 2-07-10" xfId="4852"/>
    <cellStyle name="_Mantri - Revised" xfId="4853"/>
    <cellStyle name="_Mantri - Revised_Exora_Business_Park_Analysis_with_Cement_and_steel_KRRC_SNS 22.01.09" xfId="4854"/>
    <cellStyle name="_March PO annex" xfId="4855"/>
    <cellStyle name="_Material Reco (SBM Homes)" xfId="4856"/>
    <cellStyle name="_Material Reco May-2011 (SBM Homes)" xfId="4857"/>
    <cellStyle name="_Material Sheet Feb 11" xfId="4858"/>
    <cellStyle name="_May" xfId="4859"/>
    <cellStyle name="_May Photos" xfId="4860"/>
    <cellStyle name="_mayank                     FINISHING SCHEDULE-GURGAON-January-2009" xfId="4861"/>
    <cellStyle name="_M-BOOK BILL-6 (EXT)-Final" xfId="4851"/>
    <cellStyle name="_MEAS OF FACADE - 20-07-11-h-chk" xfId="4862"/>
    <cellStyle name="_Meas of glazing &amp; cladding -h-25.07.11-h-CHK" xfId="4863"/>
    <cellStyle name="_MEAS SHEET - MASONRY-MBP" xfId="4864"/>
    <cellStyle name="_MEAS SHEET -20-12-08- MASONRY-chk-FINAL" xfId="4865"/>
    <cellStyle name="_MEAS SHEET -25-12-08- Joinery-chk-P" xfId="4866"/>
    <cellStyle name="_MEAS. SHEET -26.04.08-JKP" xfId="4868"/>
    <cellStyle name="_MEAS. SHEET -26.04.08-JKP_ESTIMATE- RTC CREST ANNEX-20-02-10-SSA" xfId="4869"/>
    <cellStyle name="_MEAS. SHEET -26.04.08-JKP_RA_MKT_INTERIOR" xfId="4871"/>
    <cellStyle name="_MEAS. SHEET -26.04.08-JKP_RA-MKT" xfId="4870"/>
    <cellStyle name="_MEAS. SHEET -26.04.08-JKP_REV. BOQ-KNOWLEDGE CENTERl-09-01-10-AP" xfId="4872"/>
    <cellStyle name="_MEAS. SHEET -26.04.08-JKP_REV.EST" xfId="4873"/>
    <cellStyle name="_MEAS. SHEET -26.04.08-JKP_REV.ESTIMATE" xfId="4874"/>
    <cellStyle name="_MEAS. SHEET -29-05-08-SJN" xfId="4875"/>
    <cellStyle name="_MEAS. SHEET EXT DEV -30.05.08-JKP" xfId="4876"/>
    <cellStyle name="_MEAS. SHEET EXT DEV -30.05.08-JKP_ESTIMATE- RTC CREST ANNEX-20-02-10-SSA" xfId="4877"/>
    <cellStyle name="_MEAS. SHEET EXT DEV -30.05.08-JKP_RA_MKT_INTERIOR" xfId="4879"/>
    <cellStyle name="_MEAS. SHEET EXT DEV -30.05.08-JKP_RA-MKT" xfId="4878"/>
    <cellStyle name="_MEAS. SHEET EXT DEV -30.05.08-JKP_REV. BOQ-KNOWLEDGE CENTERl-09-01-10-AP" xfId="4880"/>
    <cellStyle name="_MEAS. SHEET EXT DEV -30.05.08-JKP_REV.EST" xfId="4881"/>
    <cellStyle name="_MEAS. SHEET EXT DEV -30.05.08-JKP_REV.ESTIMATE" xfId="4882"/>
    <cellStyle name="_MEAS. SHEET EXT DEV FOR PHASE I-II-09.05.08-JKP" xfId="4883"/>
    <cellStyle name="_MEAS. SHEET of 09.05.08-JKP" xfId="4884"/>
    <cellStyle name="_MEAS. SHEET of PHASE I-07.05.08" xfId="4885"/>
    <cellStyle name="_MEAS. SHEET of PHASE II-07.05.08-JKP" xfId="4886"/>
    <cellStyle name="_MEAS. SHEET of PHASE II-07.05.08-JKP_ESTIMATE- RTC CREST ANNEX-20-02-10-SSA" xfId="4887"/>
    <cellStyle name="_MEAS. SHEET of PHASE II-07.05.08-JKP_RA_MKT_INTERIOR" xfId="4889"/>
    <cellStyle name="_MEAS. SHEET of PHASE II-07.05.08-JKP_RA-MKT" xfId="4888"/>
    <cellStyle name="_MEAS. SHEET of PHASE II-07.05.08-JKP_REV. BOQ-KNOWLEDGE CENTERl-09-01-10-AP" xfId="4890"/>
    <cellStyle name="_MEAS. SHEET of PHASE II-07.05.08-JKP_REV.EST" xfId="4891"/>
    <cellStyle name="_MEAS. SHEET of PHASE II-07.05.08-JKP_REV.ESTIMATE" xfId="4892"/>
    <cellStyle name="_MEAS. SHEET of Plot-2 Campus -2  5-07-08 P" xfId="4893"/>
    <cellStyle name="_MEAS. SHEET of Plot-2 CAMPUS- I-5.07.08- B" xfId="4894"/>
    <cellStyle name="_MEAS.-Fasade-25-04-11-h" xfId="4895"/>
    <cellStyle name="_MEAS-FINISHING WORK.-18.01.2010-PD" xfId="4867"/>
    <cellStyle name="_MEASUREMENT SHEET - 09-09-08  PD" xfId="4896"/>
    <cellStyle name="_MEASUREMENT SHEET - 09-09-08  PD-Area Wise" xfId="4897"/>
    <cellStyle name="_MEASUREMENT SHEET - LIBRARY-CHECKED" xfId="4898"/>
    <cellStyle name="_MEASUREMENT SHEET - LIBRARY-CHECKED_ESTIMATE- RTC CREST ANNEX-20-02-10-SSA" xfId="4899"/>
    <cellStyle name="_MEASUREMENT SHEET - LIBRARY-CHECKED_RA_MKT_INTERIOR" xfId="4901"/>
    <cellStyle name="_MEASUREMENT SHEET - LIBRARY-CHECKED_RA-MKT" xfId="4900"/>
    <cellStyle name="_MEASUREMENT SHEET - LIBRARY-CHECKED_REV.EST" xfId="4902"/>
    <cellStyle name="_MEASUREMENT SHEET - LIBRARY-CHECKED_REV.ESTIMATE" xfId="4903"/>
    <cellStyle name="_MEASUREMENT SHEET - MASONRY-S" xfId="4904"/>
    <cellStyle name="_MEASUREMENT SHEET - RCC-  (14-5-11) -P" xfId="4905"/>
    <cellStyle name="_MEASUREMENT SHEET - RCC- Neha (14-5-11)" xfId="4906"/>
    <cellStyle name="_MEASUREMENT SHEET - Revised FINISHING - 6-8-2011 FINAL" xfId="4907"/>
    <cellStyle name="_MEASUREMENT SHEET RCC - MP" xfId="4920"/>
    <cellStyle name="_MEASUREMENT SHEET -ZONAL CANTEEN" xfId="4908"/>
    <cellStyle name="_MEASUREMENT SHEET -ZONAL CANTEEN_ESTIMATE- RTC CREST ANNEX-20-02-10-SSA" xfId="4915"/>
    <cellStyle name="_MEASUREMENT SHEET -ZONAL CANTEEN_RA_MKT_INTERIOR" xfId="4917"/>
    <cellStyle name="_MEASUREMENT SHEET -ZONAL CANTEEN_RA-MKT" xfId="4916"/>
    <cellStyle name="_MEASUREMENT SHEET -ZONAL CANTEEN_REV.EST" xfId="4918"/>
    <cellStyle name="_MEASUREMENT SHEET -ZONAL CANTEEN_REV.ESTIMATE" xfId="4919"/>
    <cellStyle name="_MEASUREMENT SHEET -ZONAL CANTEEN-Zone IV" xfId="4909"/>
    <cellStyle name="_MEASUREMENT SHEET -ZONAL CANTEEN-Zone IV_ESTIMATE- RTC CREST ANNEX-20-02-10-SSA" xfId="4910"/>
    <cellStyle name="_MEASUREMENT SHEET -ZONAL CANTEEN-Zone IV_RA_MKT_INTERIOR" xfId="4912"/>
    <cellStyle name="_MEASUREMENT SHEET -ZONAL CANTEEN-Zone IV_RA-MKT" xfId="4911"/>
    <cellStyle name="_MEASUREMENT SHEET -ZONAL CANTEEN-Zone IV_REV.EST" xfId="4913"/>
    <cellStyle name="_MEASUREMENT SHEET -ZONAL CANTEEN-Zone IV_REV.ESTIMATE" xfId="4914"/>
    <cellStyle name="_MEASUREMENT SHEET-26-11-09-PD" xfId="4921"/>
    <cellStyle name="_Measurement_Reconciliation for April '08" xfId="4923"/>
    <cellStyle name="_Measurement_Reconciliation for April '08_Amend 2 DPL CONTRACT" xfId="4924"/>
    <cellStyle name="_Measurement_Reconciliation for April '08_Material Reco March-2011 (Homes)" xfId="4925"/>
    <cellStyle name="_MEASUREMENT-EXTERNAL DEVL" xfId="4922"/>
    <cellStyle name="_MERB-263-B" xfId="4926"/>
    <cellStyle name="_MERB-263-B(Final Abstract)" xfId="4927"/>
    <cellStyle name="_Micron- Certified" xfId="4931"/>
    <cellStyle name="_Micron RAB-4 Certified" xfId="4928"/>
    <cellStyle name="_Micron RAB-5 Certified(Final-13-11-06)" xfId="4929"/>
    <cellStyle name="_Micron RAB-5Certified(Final)" xfId="4930"/>
    <cellStyle name="_MIS - Oct-06 asha" xfId="4932"/>
    <cellStyle name="_MIS May-06" xfId="4933"/>
    <cellStyle name="_MIS May-06_Amend 2 DPL CONTRACT" xfId="4934"/>
    <cellStyle name="_Misseleneous works" xfId="4935"/>
    <cellStyle name="_Mobilisation Advance and advance to vendors_January 2009" xfId="4936"/>
    <cellStyle name="_Mobilisation Advance and advance to vendors_January 2009_Budget_Elphinstone_updated_30 June 2009." xfId="4937"/>
    <cellStyle name="_Mobilisation Advance and advance to vendors_January 2009_Rental Assumption - R3 - 251210" xfId="4938"/>
    <cellStyle name="_Model for Cosolidated Monthly report" xfId="4939"/>
    <cellStyle name="_Monthly Progress Report  DLF Infocity - Chennai August 08 " xfId="4940"/>
    <cellStyle name="_Monthly Progress Report  DLF Infocity - Chennai August 08  2" xfId="4941"/>
    <cellStyle name="_Monthly Progress Report  DLF Infocity - Chennai August 08  3" xfId="4942"/>
    <cellStyle name="_Monthly Progress Report  DLF Infocity - Chennai August 08  4" xfId="4943"/>
    <cellStyle name="_Monthly Progress Report  DLF Infocity - Chennai August 08  5" xfId="4944"/>
    <cellStyle name="_Monthly Progress Report  DLF Infocity - Chennai August 08  6" xfId="4945"/>
    <cellStyle name="_Monthly Progress Report  DLF Infocity - Chennai August 08  7" xfId="4946"/>
    <cellStyle name="_Monthly Progress Report  DLF Infocity - Chennai August 08  8" xfId="4947"/>
    <cellStyle name="_Monthly Progress Report  DLF Infocity - Chennai December '08" xfId="4948"/>
    <cellStyle name="_Monthly Progress Report  DLF Infocity - Chennai January '08" xfId="4949"/>
    <cellStyle name="_Monthly Progress Report  DLF Infocity - Chennai January '09" xfId="4950"/>
    <cellStyle name="_Monthly Progress Report  DLF Infocity - Chennai November '08 " xfId="4951"/>
    <cellStyle name="_Monthly Progress Report  DLF Infocity - Chennai November '08  2" xfId="4952"/>
    <cellStyle name="_Monthly Progress Report  DLF Infocity - Chennai November '08  3" xfId="4953"/>
    <cellStyle name="_Monthly Progress Report  DLF Infocity - Chennai November '08  4" xfId="4954"/>
    <cellStyle name="_Monthly Progress Report  DLF Infocity - Chennai November '08  5" xfId="4955"/>
    <cellStyle name="_Monthly Progress Report  DLF Infocity - Chennai November '08  6" xfId="4956"/>
    <cellStyle name="_Monthly Progress Report  DLF Infocity - Chennai November '08  7" xfId="4957"/>
    <cellStyle name="_Monthly Progress Report  DLF Infocity - Chennai November '08  8" xfId="4958"/>
    <cellStyle name="_Monthly Progress Report  DLF Infocity - Chennai October '08 " xfId="4959"/>
    <cellStyle name="_Monthly Progress Report  DLF Infocity - Chennai October '08  2" xfId="4960"/>
    <cellStyle name="_Monthly Progress Report  DLF Infocity - Chennai October '08  3" xfId="4961"/>
    <cellStyle name="_Monthly Progress Report  DLF Infocity - Chennai October '08  4" xfId="4962"/>
    <cellStyle name="_Monthly Progress Report  DLF Infocity - Chennai October '08  5" xfId="4963"/>
    <cellStyle name="_Monthly Progress Report  DLF Infocity - Chennai October '08  6" xfId="4964"/>
    <cellStyle name="_Monthly Progress Report  DLF Infocity - Chennai October '08  7" xfId="4965"/>
    <cellStyle name="_Monthly Progress Report  DLF Infocity - Chennai October '08  8" xfId="4966"/>
    <cellStyle name="_Monthly Progress Report  DLF Infocity - Chennai September '08 " xfId="4967"/>
    <cellStyle name="_Monthly Progress Report  DLF Infocity - Chennai September '08  2" xfId="4968"/>
    <cellStyle name="_Monthly Progress Report  DLF Infocity - Chennai September '08  3" xfId="4969"/>
    <cellStyle name="_Monthly Progress Report  DLF Infocity - Chennai September '08  4" xfId="4970"/>
    <cellStyle name="_Monthly Progress Report  DLF Infocity - Chennai September '08  5" xfId="4971"/>
    <cellStyle name="_Monthly Progress Report  DLF Infocity - Chennai September '08  6" xfId="4972"/>
    <cellStyle name="_Monthly Progress Report  DLF Infocity - Chennai September '08  7" xfId="4973"/>
    <cellStyle name="_Monthly Progress Report  DLF Infocity - Chennai September '08  8" xfId="4974"/>
    <cellStyle name="_MPR AUGUST" xfId="4975"/>
    <cellStyle name="_MPR DLF INFOCITY CHENNAI JUNE '08" xfId="4976"/>
    <cellStyle name="_MPR JULY" xfId="4977"/>
    <cellStyle name="_MPR SEPTEMBER 2008" xfId="4978"/>
    <cellStyle name="_MPR1 as per June'08" xfId="4979"/>
    <cellStyle name="_MPS_3 NEW" xfId="4980"/>
    <cellStyle name="_MPS_3 PMO3" xfId="4981"/>
    <cellStyle name="_MPS_3 SHARMA" xfId="4982"/>
    <cellStyle name="_Multiple" xfId="4983"/>
    <cellStyle name="_MultipleSpace" xfId="4984"/>
    <cellStyle name="_NDPL Pile work" xfId="4985"/>
    <cellStyle name="_New Formates" xfId="4986"/>
    <cellStyle name="_New Formates kpmg" xfId="4987"/>
    <cellStyle name="_New Formates kpmg_Book2" xfId="4988"/>
    <cellStyle name="_New Formates kpmg_Book2 2" xfId="4989"/>
    <cellStyle name="_New Formates_Book2" xfId="4990"/>
    <cellStyle name="_New Formates_Book2 2" xfId="4991"/>
    <cellStyle name="_new master 2" xfId="4992"/>
    <cellStyle name="_New Microsoft Excel Worksheet (2)" xfId="4993"/>
    <cellStyle name="_NTC- RA BILL OCT-2008" xfId="4994"/>
    <cellStyle name="_NTC- RA BILL OCT-2008 2" xfId="4995"/>
    <cellStyle name="_NTC- RA BILL OCT-2008_Item Rate Client Bill RA-7 Dec.10 (SBM Homes)" xfId="4996"/>
    <cellStyle name="_NTC- RA BILL OCT-2008_Labour Camp Detail" xfId="4997"/>
    <cellStyle name="_Oberoi RA Bill 20 June 08 060708" xfId="4998"/>
    <cellStyle name="_Oberoi RA Bill 20 June 08 060708 2" xfId="4999"/>
    <cellStyle name="_Oberoi RA Bill 20 June 08 060708_Item Rate Client Bill RA-7 Dec.10 (SBM Homes)" xfId="5000"/>
    <cellStyle name="_Oberoi RA Bill 20 June 08 060708_Labour Camp Detail" xfId="5001"/>
    <cellStyle name="_Oberoi Splendor 050609" xfId="5002"/>
    <cellStyle name="_observation 15 acre" xfId="5003"/>
    <cellStyle name="_Ocwen - 1" xfId="5004"/>
    <cellStyle name="_Ocwen - Ñ" xfId="5005"/>
    <cellStyle name="_Offer_CTS_Siruseri_29-04-05" xfId="5007"/>
    <cellStyle name="_Offer-Ajanta Tourist-21-06-07-rev-PPT" xfId="5006"/>
    <cellStyle name="_office building-malik" xfId="5008"/>
    <cellStyle name="_OH cost-TC-II" xfId="5009"/>
    <cellStyle name="_ONGC-KOLKATA-PRELIM-EST-06.01.09-AHC" xfId="5010"/>
    <cellStyle name="_Oracle Model Final (With Additional Assets) - 5 Dec V8.0 (Recovered)" xfId="5011"/>
    <cellStyle name="_OTIS RA-1 (Certified)Dated 02.06.06" xfId="5012"/>
    <cellStyle name="_OTIS RA-1 final -Certified - Dated 08.06.06( R2)" xfId="5013"/>
    <cellStyle name="_OTIS_RA_03" xfId="5016"/>
    <cellStyle name="_OTIS_RA-02 c&amp;b certified" xfId="5014"/>
    <cellStyle name="_OTIS_RA-03 c&amp;b certified" xfId="5015"/>
    <cellStyle name="_Overheads" xfId="5017"/>
    <cellStyle name="_P&amp;E Trail_1" xfId="5018"/>
    <cellStyle name="_Package 3 - Analysis 26th Sep-05" xfId="5019"/>
    <cellStyle name="_pedestial in chiller room" xfId="5020"/>
    <cellStyle name="_Percent" xfId="5021"/>
    <cellStyle name="_PercentSpace" xfId="5022"/>
    <cellStyle name="_PHE offer" xfId="5023"/>
    <cellStyle name="_PHE offer for Show room at Bangalore" xfId="5024"/>
    <cellStyle name="_PHE Offer for Subramanya Temple" xfId="5025"/>
    <cellStyle name="_PHE Offer for Subramanya Temple_pl Scope vs Front" xfId="5026"/>
    <cellStyle name="_PHE Offer for Subramanya Temple_Scope vs Front" xfId="5027"/>
    <cellStyle name="_PHE offer_281210 EOT PLAMA" xfId="5028"/>
    <cellStyle name="_PHE offer_Annexure - I Commencement Delays" xfId="5029"/>
    <cellStyle name="_PHE offer_Cement reconcilation  up to Nov 2011" xfId="5030"/>
    <cellStyle name="_PHE offer_pl Scope vs Front" xfId="5031"/>
    <cellStyle name="_Pithmpur Wrkng" xfId="5032"/>
    <cellStyle name="_plant  equipment received details 30 07 08" xfId="5033"/>
    <cellStyle name="_PLASTER-ATRECO-ADANI-11-06-10" xfId="5034"/>
    <cellStyle name="_Plumbing Cost" xfId="5035"/>
    <cellStyle name="_PM06_Final_Rates" xfId="5036"/>
    <cellStyle name="_PO Highstreet Vadodara" xfId="5037"/>
    <cellStyle name="_POWER" xfId="5038"/>
    <cellStyle name="_PRELIMINARY TOTAL ESTIMATE - R2-11.01.11" xfId="5039"/>
    <cellStyle name="_Presentation Summary " xfId="5040"/>
    <cellStyle name="_Presentation Summary  2" xfId="5041"/>
    <cellStyle name="_Presentation Summary  3" xfId="5042"/>
    <cellStyle name="_Presentation Summary  4" xfId="5043"/>
    <cellStyle name="_Presentation Summary  5" xfId="5044"/>
    <cellStyle name="_Presentation Summary  6" xfId="5045"/>
    <cellStyle name="_Presentation Summary  7" xfId="5046"/>
    <cellStyle name="_Presentation Summary  8" xfId="5047"/>
    <cellStyle name="_Presentation Summary _Material Reco March-2011 (Homes)" xfId="5048"/>
    <cellStyle name="_Presentation Summary _Monthly Progress Report - MPR" xfId="5049"/>
    <cellStyle name="_Presentation Summary _Monthly Progress Report - MPR VV" xfId="5050"/>
    <cellStyle name="_Presentation Summary _SAFETY RECORD FOR THE MONTH OF May,  2011 - MPR" xfId="5051"/>
    <cellStyle name="_Presentation Summary _SAFETY RECORD FOR THE MONTH OFApril, 2011 - MPR" xfId="5052"/>
    <cellStyle name="_Presentation Summary _Weekly Photos 1 July 09 onwards" xfId="5053"/>
    <cellStyle name="_Presentation Summary _WPR 26-1 Nov 2009" xfId="5054"/>
    <cellStyle name="_Presentation Summary _WPR Magnolias 2009" xfId="5055"/>
    <cellStyle name="_Prestart" xfId="5056"/>
    <cellStyle name="_Prestart-00-HO-FINAL-Approved" xfId="5057"/>
    <cellStyle name="_Prestart-00-HO-FINAL-Approved_1 Costing -Tata Hs -11.05.11 T1&amp;T2-R2" xfId="5058"/>
    <cellStyle name="_Prestart-00-HO-FINAL-Approved_1 Costing -Tata Hs -11.05.11 T1&amp;T2-R2 2" xfId="5059"/>
    <cellStyle name="_Prestart-00-HO-FINAL-Approved_1 Costing_Krrish Prov Est- 27.01.11" xfId="5060"/>
    <cellStyle name="_Prestart-00-HO-FINAL-Approved_2 Costing LS Cable 18.10.10" xfId="5061"/>
    <cellStyle name="_Prestart-00-HO-FINAL-Approved_20 Costing -IREO UT 190310_1" xfId="5062"/>
    <cellStyle name="_Prestart-00-HO-FINAL-Approved_25 Costing -IREO VV-I 25.11.10_1" xfId="5063"/>
    <cellStyle name="_Prestart-00-HO-FINAL-Approved_25 Costing -IREO VV-I 25.11.10_1_Rev OffTop" xfId="5064"/>
    <cellStyle name="_Prestart-00-HO-FINAL-Approved_4 Costing -IREO VV-I 18.12.10 PKR" xfId="5065"/>
    <cellStyle name="_Prestart-00-HO-FINAL-Approved_5 DLF Horizon Center - 05.08.2011" xfId="5066"/>
    <cellStyle name="_Prestart-00-HO-FINAL-Approved_5 DLF Horizon Center - 05.08.2011 2" xfId="5067"/>
    <cellStyle name="_Prestart-00-HO-FINAL-Approved_6 Costing_Saint Gobain_ 15.10.09_ABH" xfId="5068"/>
    <cellStyle name="_Prestart-00-HO-FINAL-Approved_6 Costing_Saint Gobain_ 15.10.09_ABH 2" xfId="5069"/>
    <cellStyle name="_Prestart-00-HO-FINAL-Approved_Amend 2 DPL CONTRACT" xfId="5070"/>
    <cellStyle name="_Prestart-00-HO-FINAL-Approved_BOQ -  Civil  Structural Works" xfId="5071"/>
    <cellStyle name="_Prestart-00-HO-FINAL-Approved_BOQ -  Civil  Structural Works 2" xfId="5072"/>
    <cellStyle name="_Prestart-00-HO-FINAL-Approved_BOQ - Finishing Works" xfId="5073"/>
    <cellStyle name="_Prestart-00-HO-FINAL-Approved_BOQ - Finishing Works 2" xfId="5074"/>
    <cellStyle name="_Prestart-00-HO-FINAL-Approved_Costing - NBCC- final costing after rebate" xfId="5075"/>
    <cellStyle name="_Prestart-00-HO-FINAL-Approved_Costing final 30.40 crore" xfId="5076"/>
    <cellStyle name="_Prestart-00-HO-FINAL-Approved_Costing final 30.40 crore 2" xfId="5077"/>
    <cellStyle name="_Prestart-00-HO-FINAL-Approved_Costing_FDDI Rohtak submitted  23.07.09" xfId="5078"/>
    <cellStyle name="_Prestart-00-HO-FINAL-Approved_EFP Costing BOQ 29.6.10" xfId="5079"/>
    <cellStyle name="_Prestart-00-HO-FINAL-Approved_ITC _ Final Bid-140510" xfId="5080"/>
    <cellStyle name="_Prestart-00-HO-FINAL-Approved_ITC _ Final Bid-140510 2" xfId="5081"/>
    <cellStyle name="_Prestart-00-HO-FINAL-Approved_Item Rate Client Bill RA-7 Dec.10 (SBM Homes)" xfId="5082"/>
    <cellStyle name="_Prestart-00-HO-FINAL-Approved_Labour Camp Detail" xfId="5083"/>
    <cellStyle name="_Prestart-00-HO-FINAL-Approved_LHMC.01.2011" xfId="5084"/>
    <cellStyle name="_Prestart-00-HO-FINAL-Approved_Material Reco March-2011 (Homes)" xfId="5085"/>
    <cellStyle name="_Prestart-00-HO-FINAL-Approved_PMV Operators - MPR" xfId="5086"/>
    <cellStyle name="_Prestart-00-HO-FINAL-Approved_PMV Status-Feb MPR" xfId="5087"/>
    <cellStyle name="_Prestart-00-HO-FINAL-Approved_SAFETY RECORD FOR THE MONTH OF May,  2011 - MPR" xfId="5088"/>
    <cellStyle name="_Prestart-00-HO-FINAL-Approved_SAFETY RECORD FOR THE MONTH OFApril, 2011 - MPR" xfId="5089"/>
    <cellStyle name="_Prestart-00-HO-FINAL-Approved_SBM School 6th RA Bill 09 Feb-10 Rev" xfId="5090"/>
    <cellStyle name="_Prestart-00-HO-FINAL-Approved_Sectional Progress 1 July 09 onwards" xfId="5091"/>
    <cellStyle name="_Prestart-00-HO-FINAL-Approved_Shuttering Stock-28.02.2011" xfId="5092"/>
    <cellStyle name="_Prestart-00-HO-FINAL-Approved_Sravanthi - Final Costing 210510" xfId="5093"/>
    <cellStyle name="_Prestart-00-HO-FINAL-Approved_Sravanthi - Final Costing 210510 2" xfId="5094"/>
    <cellStyle name="_Prestart-00-HO-FINAL-Approved_Weekly Photos 1 July 09 onwards" xfId="5095"/>
    <cellStyle name="_Prestart-00-HO-FINAL-Approved_WPR 26-1 Nov 2009" xfId="5096"/>
    <cellStyle name="_Prestart-00-HO-FINAL-Approved_WPR Magnolias 2009" xfId="5097"/>
    <cellStyle name="_Prestige - HP Campus" xfId="5098"/>
    <cellStyle name="_Prestige Corporate Office" xfId="5099"/>
    <cellStyle name="_Programme for Jan'09" xfId="5100"/>
    <cellStyle name="_Project costing 31032010=" xfId="5101"/>
    <cellStyle name="_PSE HOSTEL BUILDING" xfId="5102"/>
    <cellStyle name="_PSE_ITC_BHADRACHALAM_HO" xfId="5103"/>
    <cellStyle name="_PTB &amp; PIER Final Workings" xfId="5104"/>
    <cellStyle name="_PTB Workings" xfId="5105"/>
    <cellStyle name="_Purchase report for the month of DEC - 2008" xfId="5106"/>
    <cellStyle name="_Purchase report for the month of Feb - 2009" xfId="5107"/>
    <cellStyle name="_Purchase report for the month of JAN - 2009" xfId="5108"/>
    <cellStyle name="_Purchase report for the month of July" xfId="5109"/>
    <cellStyle name="_Purchase report for the month of June" xfId="5110"/>
    <cellStyle name="_Purchase report for the month of Nov - 2008" xfId="5111"/>
    <cellStyle name="_Purchase report for the month of October" xfId="5112"/>
    <cellStyle name="_Purchase report for the month of September" xfId="5113"/>
    <cellStyle name="_QUALITY June 08" xfId="5114"/>
    <cellStyle name="_Quantities per flat by AVY" xfId="5115"/>
    <cellStyle name="_R block details-Budget" xfId="5116"/>
    <cellStyle name="_R F I  LOG" xfId="5117"/>
    <cellStyle name="_R(1).A_01_Santech(certified)" xfId="5118"/>
    <cellStyle name="_R(1).A_01_Santech-final-certified" xfId="5119"/>
    <cellStyle name="_R3_on_25.08.08_-__Option-II" xfId="5120"/>
    <cellStyle name="_RA - BILL - 4 - certified" xfId="5121"/>
    <cellStyle name="_RA Bill -03new" xfId="5122"/>
    <cellStyle name="_RA BILL-02" xfId="5123"/>
    <cellStyle name="_RA_01_KAFAX-CERTIFIED" xfId="5128"/>
    <cellStyle name="_RA_01_KAFAX-final-certified" xfId="5129"/>
    <cellStyle name="_ra-7 ADHOC" xfId="5124"/>
    <cellStyle name="_ra-7 ADHOC_Book2" xfId="5125"/>
    <cellStyle name="_ra-7 ADHOC_Book2 2" xfId="5126"/>
    <cellStyle name="_rab-02" xfId="5130"/>
    <cellStyle name="_rab-03" xfId="5131"/>
    <cellStyle name="_RA-MKT" xfId="5127"/>
    <cellStyle name="_Ranchi Package 2 - Workings" xfId="5132"/>
    <cellStyle name="_Rate Analysis" xfId="5133"/>
    <cellStyle name="_rcc &amp; shut april" xfId="5134"/>
    <cellStyle name="_RCC-ROW HOUSE-17.05.08" xfId="5135"/>
    <cellStyle name="_RCC-ROW HOUSE-17.05.08_ESTIMATE- RTC CREST ANNEX-20-02-10-SSA" xfId="5136"/>
    <cellStyle name="_RCC-ROW HOUSE-17.05.08_RA_MKT_INTERIOR" xfId="5138"/>
    <cellStyle name="_RCC-ROW HOUSE-17.05.08_RA-MKT" xfId="5137"/>
    <cellStyle name="_RCC-ROW HOUSE-17.05.08_REV. BOQ-KNOWLEDGE CENTERl-09-01-10-AP" xfId="5139"/>
    <cellStyle name="_RCC-ROW HOUSE-17.05.08_REV.EST" xfId="5140"/>
    <cellStyle name="_RCC-ROW HOUSE-17.05.08_REV.ESTIMATE" xfId="5141"/>
    <cellStyle name="_Rec  SUMMARY June-08" xfId="5142"/>
    <cellStyle name="_Rec  SUMMARY June-08_Material Reco March-2011 (Homes)" xfId="5143"/>
    <cellStyle name="_Rec  SUMMARY June-08_Monthly Progress Report - MPR" xfId="5144"/>
    <cellStyle name="_Rec  SUMMARY June-08_Monthly Progress Report - MPR VV" xfId="5145"/>
    <cellStyle name="_Rec  SUMMARY June-08_SAFETY RECORD FOR THE MONTH OF May,  2011 - MPR" xfId="5146"/>
    <cellStyle name="_Rec  SUMMARY June-08_SAFETY RECORD FOR THE MONTH OFApril, 2011 - MPR" xfId="5147"/>
    <cellStyle name="_Rec  SUMMARY June-08_Weekly Photos 1 July 09 onwards" xfId="5148"/>
    <cellStyle name="_Rec  SUMMARY June-08_WPR 26-1 Nov 2009" xfId="5149"/>
    <cellStyle name="_Rec  SUMMARY June-08_WPR Magnolias 2009" xfId="5150"/>
    <cellStyle name="_rec apr08" xfId="5151"/>
    <cellStyle name="_rec apr08_Material Reco March-2011 (Homes)" xfId="5152"/>
    <cellStyle name="_rec apr08_Monthly Progress Report - MPR" xfId="5153"/>
    <cellStyle name="_rec apr08_Monthly Progress Report - MPR VV" xfId="5154"/>
    <cellStyle name="_rec apr08_SAFETY RECORD FOR THE MONTH OF May,  2011 - MPR" xfId="5155"/>
    <cellStyle name="_rec apr08_SAFETY RECORD FOR THE MONTH OFApril, 2011 - MPR" xfId="5156"/>
    <cellStyle name="_rec apr08_Sectional Progress 1 July 09 onwards" xfId="5157"/>
    <cellStyle name="_rec apr08_Weekly Photos 1 July 09 onwards" xfId="5158"/>
    <cellStyle name="_rec apr08_WPR 26-1 Nov 2009" xfId="5159"/>
    <cellStyle name="_rec apr08_WPR Magnolias 2009" xfId="5160"/>
    <cellStyle name="_Rec Summary Sep-2008" xfId="5161"/>
    <cellStyle name="_Rec-jan-08" xfId="5162"/>
    <cellStyle name="_Rec-jan-08 2" xfId="5163"/>
    <cellStyle name="_Rec-jan-08_Item Rate Client Bill RA-7 Dec.10 (SBM Homes)" xfId="5164"/>
    <cellStyle name="_Rec-jan-08_Labour Camp Detail" xfId="5165"/>
    <cellStyle name="_Rec-jan-08_Material Reco March-2011 (Homes)" xfId="5166"/>
    <cellStyle name="_Rec-jan-08_Monthly Progress Report - MPR" xfId="5167"/>
    <cellStyle name="_Rec-jan-08_Monthly Progress Report - MPR VV" xfId="5168"/>
    <cellStyle name="_Rec-jan-08_SAFETY RECORD FOR THE MONTH OF May,  2011 - MPR" xfId="5169"/>
    <cellStyle name="_Rec-jan-08_SAFETY RECORD FOR THE MONTH OFApril, 2011 - MPR" xfId="5170"/>
    <cellStyle name="_Rec-jan-08_Sectional Progress 1 July 09 onwards" xfId="5171"/>
    <cellStyle name="_Rec-jan-08_Weekly Photos 1 July 09 onwards" xfId="5172"/>
    <cellStyle name="_Rec-jan-08_WPR 26-1 Nov 2009" xfId="5173"/>
    <cellStyle name="_Rec-jan-08_WPR Magnolias 2009" xfId="5174"/>
    <cellStyle name="_RecoDiesel" xfId="5175"/>
    <cellStyle name="_Recon  Sep-07" xfId="5176"/>
    <cellStyle name="_Recon  Sep-07 2" xfId="5177"/>
    <cellStyle name="_Recon  Sep-07_Item Rate Client Bill RA-7 Dec.10 (SBM Homes)" xfId="5178"/>
    <cellStyle name="_Recon  Sep-07_Labour Camp Detail" xfId="5179"/>
    <cellStyle name="_Recon  Sep-07_Material Reco March-2011 (Homes)" xfId="5180"/>
    <cellStyle name="_Recon  Sep-07_Monthly Progress Report - MPR" xfId="5181"/>
    <cellStyle name="_Recon  Sep-07_Monthly Progress Report - MPR VV" xfId="5182"/>
    <cellStyle name="_Recon  Sep-07_SAFETY RECORD FOR THE MONTH OF May,  2011 - MPR" xfId="5183"/>
    <cellStyle name="_Recon  Sep-07_SAFETY RECORD FOR THE MONTH OFApril, 2011 - MPR" xfId="5184"/>
    <cellStyle name="_Recon  Sep-07_Sectional Progress 1 July 09 onwards" xfId="5185"/>
    <cellStyle name="_Recon  Sep-07_Weekly Photos 1 July 09 onwards" xfId="5186"/>
    <cellStyle name="_Recon  Sep-07_WPR 26-1 Nov 2009" xfId="5187"/>
    <cellStyle name="_Recon  Sep-07_WPR Magnolias 2009" xfId="5188"/>
    <cellStyle name="_recon August" xfId="5189"/>
    <cellStyle name="_recon August 2" xfId="5190"/>
    <cellStyle name="_recon August_Item Rate Client Bill RA-7 Dec.10 (SBM Homes)" xfId="5191"/>
    <cellStyle name="_recon August_Labour Camp Detail" xfId="5192"/>
    <cellStyle name="_recon August_Material Reco March-2011 (Homes)" xfId="5193"/>
    <cellStyle name="_recon August_Monthly Progress Report - MPR" xfId="5194"/>
    <cellStyle name="_recon August_Monthly Progress Report - MPR VV" xfId="5195"/>
    <cellStyle name="_recon August_SAFETY RECORD FOR THE MONTH OF May,  2011 - MPR" xfId="5196"/>
    <cellStyle name="_recon August_SAFETY RECORD FOR THE MONTH OFApril, 2011 - MPR" xfId="5197"/>
    <cellStyle name="_recon August_Sectional Progress 1 July 09 onwards" xfId="5198"/>
    <cellStyle name="_recon August_Weekly Photos 1 July 09 onwards" xfId="5199"/>
    <cellStyle name="_recon August_WPR 26-1 Nov 2009" xfId="5200"/>
    <cellStyle name="_recon August_WPR Magnolias 2009" xfId="5201"/>
    <cellStyle name="_recon june 07 Psummary" xfId="5202"/>
    <cellStyle name="_recon june 07 Psummary 2" xfId="5203"/>
    <cellStyle name="_recon june 07 Psummary_Item Rate Client Bill RA-7 Dec.10 (SBM Homes)" xfId="5204"/>
    <cellStyle name="_recon june 07 Psummary_Labour Camp Detail" xfId="5205"/>
    <cellStyle name="_recon june 07 Psummary_Material Reco March-2011 (Homes)" xfId="5206"/>
    <cellStyle name="_recon june 07 Psummary_Monthly Progress Report - MPR" xfId="5207"/>
    <cellStyle name="_recon june 07 Psummary_Monthly Progress Report - MPR VV" xfId="5208"/>
    <cellStyle name="_recon june 07 Psummary_SAFETY RECORD FOR THE MONTH OF May,  2011 - MPR" xfId="5209"/>
    <cellStyle name="_recon june 07 Psummary_SAFETY RECORD FOR THE MONTH OFApril, 2011 - MPR" xfId="5210"/>
    <cellStyle name="_recon june 07 Psummary_Sectional Progress 1 July 09 onwards" xfId="5211"/>
    <cellStyle name="_recon june 07 Psummary_Weekly Photos 1 July 09 onwards" xfId="5212"/>
    <cellStyle name="_recon june 07 Psummary_WPR 26-1 Nov 2009" xfId="5213"/>
    <cellStyle name="_recon june 07 Psummary_WPR Magnolias 2009" xfId="5214"/>
    <cellStyle name="_Reconciliation for June '08 (version 1)" xfId="5215"/>
    <cellStyle name="_Reconciliation for May '08" xfId="5216"/>
    <cellStyle name="_Reconciliation Steel Planning upto 29-03-08-QS" xfId="5217"/>
    <cellStyle name="_Reconciliation Steel Planning upto 30-09-07" xfId="5218"/>
    <cellStyle name="_Reconciliation Steel Planning upto 30-12-07" xfId="5219"/>
    <cellStyle name="_Reconciliation summary" xfId="5220"/>
    <cellStyle name="_Reconciliation upto June'08 (On Progress Qty.)" xfId="5221"/>
    <cellStyle name="_Reconciliation-Mar 08" xfId="5222"/>
    <cellStyle name="_reconcillation upto sep-08" xfId="5223"/>
    <cellStyle name="_Reconsilation- Top Sheet June. 2008" xfId="5224"/>
    <cellStyle name="_Report Summary Formats" xfId="5225"/>
    <cellStyle name="_Reports for the month of April'10" xfId="5226"/>
    <cellStyle name="_Reports for the Month of May'2010" xfId="5227"/>
    <cellStyle name="_Res-Item Rate Analysis-r2_ RAP4" xfId="5228"/>
    <cellStyle name="_Retaining Wall" xfId="5229"/>
    <cellStyle name="_Retaining wall -E &amp; G checked" xfId="5230"/>
    <cellStyle name="_REV DRAFT FINISHING BOQ WITH MEAS-2-12-09" xfId="5231"/>
    <cellStyle name="_Rev-2(07(1).07.10)(1)" xfId="5232"/>
    <cellStyle name="_REV-BOQ-BLDG-23-16.09.09" xfId="5233"/>
    <cellStyle name="_REV-ESTIMATE-BLDG-2-10.04.09" xfId="5234"/>
    <cellStyle name="_REV-ESTIMATE-BLDG-2-10.04.09_ESTIMATE- RTC CREST ANNEX-20-02-10-SSA" xfId="5235"/>
    <cellStyle name="_REV-ESTIMATE-BLDG-2-10.04.09_RA_MKT_INTERIOR" xfId="5237"/>
    <cellStyle name="_REV-ESTIMATE-BLDG-2-10.04.09_RA-MKT" xfId="5236"/>
    <cellStyle name="_REV-ESTIMATE-BLDG-2-10.04.09_REV.EST" xfId="5238"/>
    <cellStyle name="_REV-ESTIMATE-BLDG-2-10.04.09_REV.ESTIMATE" xfId="5239"/>
    <cellStyle name="_REV-ESTIMATE-BLDG-3-10.04.09" xfId="5240"/>
    <cellStyle name="_REV-ESTIMATE-BLDG-3-10.04.09_ESTIMATE- RTC CREST ANNEX-20-02-10-SSA" xfId="5242"/>
    <cellStyle name="_REV-ESTIMATE-BLDG-3-10.04.09_RA_MKT_INTERIOR" xfId="5244"/>
    <cellStyle name="_REV-ESTIMATE-BLDG-3-10.04.09_RA-MKT" xfId="5243"/>
    <cellStyle name="_REV-ESTIMATE-BLDG-3-10.04.09_REV.EST" xfId="5245"/>
    <cellStyle name="_REV-ESTIMATE-BLDG-3-10.04.09_REV.ESTIMATE" xfId="5246"/>
    <cellStyle name="_REV-ESTIMATE-BLDG-3-10.04.09-formated" xfId="5241"/>
    <cellStyle name="_Revised  Stone Flooring &amp; Cladding Contract(02.12)" xfId="5247"/>
    <cellStyle name="_revised budget (2)" xfId="5248"/>
    <cellStyle name="_REVISED DRAFT BOQ-STRU-CIVIL FOR BUILDING A-06.10.08" xfId="5249"/>
    <cellStyle name="_REVISED DRAFT-BOQ-EST-19.03.08" xfId="5250"/>
    <cellStyle name="_Revised EST-30.08.08 as per all reduction old-ref" xfId="5251"/>
    <cellStyle name="_Revised EST-30.08.08 as per all reduction old-ref_ESTIMATE- RTC CREST ANNEX-20-02-10-SSA" xfId="5252"/>
    <cellStyle name="_Revised EST-30.08.08 as per all reduction old-ref_RA_MKT_INTERIOR" xfId="5254"/>
    <cellStyle name="_Revised EST-30.08.08 as per all reduction old-ref_RA-MKT" xfId="5253"/>
    <cellStyle name="_Revised EST-30.08.08 as per all reduction old-ref_REV. BOQ-KNOWLEDGE CENTERl-09-01-10-AP" xfId="5255"/>
    <cellStyle name="_Revised EST-30.08.08 as per all reduction old-ref_REV.EST" xfId="5256"/>
    <cellStyle name="_Revised EST-30.08.08 as per all reduction old-ref_REV.ESTIMATE" xfId="5257"/>
    <cellStyle name="_REVISED ESTIMATE CLUB HOUSE INTERIOR FINISHES-14.04.09" xfId="5258"/>
    <cellStyle name="_Revised working on 20-9-08" xfId="5259"/>
    <cellStyle name="_RMC DEBIT NOTE" xfId="5261"/>
    <cellStyle name="_RM-Meeting" xfId="5260"/>
    <cellStyle name="_RMZ  Futura" xfId="5262"/>
    <cellStyle name="_RMZ - Zero Costing- 18.01.07 final" xfId="5263"/>
    <cellStyle name="_RMZ - Zero Costing- 18.01.07 final_281210 EOT PLAMA" xfId="5264"/>
    <cellStyle name="_RMZ - Zero Costing- 18.01.07 final_Annexure - I Commencement Delays" xfId="5265"/>
    <cellStyle name="_RMZ - Zero Costing- 18.01.07 final_Cement reconcilation  up to Nov 2011" xfId="5266"/>
    <cellStyle name="_RMZ - Zero Costing- 18.01.07 final_pl Scope vs Front" xfId="5267"/>
    <cellStyle name="_RMZ Millinea (ACS, CCTV &amp; BMS) - 05.09.07R7(SiemensBMS)" xfId="5268"/>
    <cellStyle name="_RPM Report Working Sheet Nov'09" xfId="5269"/>
    <cellStyle name="_RTC Annex - MASONRY-Zone 3" xfId="5270"/>
    <cellStyle name="_RTC Annex - MASONRY-Zone 3_ESTIMATE- RTC CREST ANNEX-20-02-10-SSA" xfId="5271"/>
    <cellStyle name="_RTC Annex - MASONRY-Zone 3_RA_MKT_INTERIOR" xfId="5273"/>
    <cellStyle name="_RTC Annex - MASONRY-Zone 3_RA-MKT" xfId="5272"/>
    <cellStyle name="_RTC Annex - MASONRY-Zone 3_REV.EST" xfId="5274"/>
    <cellStyle name="_RTC Annex - MASONRY-Zone 3_REV.ESTIMATE" xfId="5275"/>
    <cellStyle name="_RTC Engg. Hall - MASONRY-Zone 3" xfId="5276"/>
    <cellStyle name="_RTC Engg. Hall - MASONRY-Zone 3_ESTIMATE- RTC CREST ANNEX-20-02-10-SSA" xfId="5277"/>
    <cellStyle name="_RTC Engg. Hall - MASONRY-Zone 3_RA_MKT_INTERIOR" xfId="5279"/>
    <cellStyle name="_RTC Engg. Hall - MASONRY-Zone 3_RA-MKT" xfId="5278"/>
    <cellStyle name="_RTC Engg. Hall - MASONRY-Zone 3_REV.EST" xfId="5280"/>
    <cellStyle name="_RTC Engg. Hall - MASONRY-Zone 3_REV.ESTIMATE" xfId="5281"/>
    <cellStyle name="_S.G. Software - BOQ" xfId="5282"/>
    <cellStyle name="_S0-S10 - Final" xfId="5283"/>
    <cellStyle name="_S1" xfId="5284"/>
    <cellStyle name="_S1 PLAMA Commericial B'lore" xfId="5285"/>
    <cellStyle name="_S1 PLAMA Residential B'lore" xfId="5286"/>
    <cellStyle name="_sana" xfId="5287"/>
    <cellStyle name="_sana_Book2" xfId="5288"/>
    <cellStyle name="_sana_Book2 2" xfId="5289"/>
    <cellStyle name="_Santech_bill_certified" xfId="5290"/>
    <cellStyle name="_Santech_M.Sheet-Abstract" xfId="5291"/>
    <cellStyle name="_SANTECH_RAB_2-CERTIFIED" xfId="5292"/>
    <cellStyle name="_Savoy (27 Oct 04)f Final" xfId="5293"/>
    <cellStyle name="_SC PAID AMOUNT-Up to July-08" xfId="5294"/>
    <cellStyle name="_Sch-Aug'05-Anjali D" xfId="5295"/>
    <cellStyle name="_section d - Tamouh Plot 2-3 Infra(Regional)-rev1-22.11.08(add6)" xfId="5296"/>
    <cellStyle name="_section d - Tamouh Plot 2-3 Infra(Regional)-rev1-22.11.08(add6) 2" xfId="5297"/>
    <cellStyle name="_section d - Tamouh Plot 2-3 Infra(Regional)-rev1-22.11.08(add6) 3" xfId="5298"/>
    <cellStyle name="_section d - Tamouh Plot 2-3 Infra(Regional)-rev1-22.11.08(add6) 4" xfId="5299"/>
    <cellStyle name="_section d - Tamouh Plot 2-3 Infra(Regional)-rev1-22.11.08(add6) 5" xfId="5300"/>
    <cellStyle name="_section d - Tamouh Plot 2-3 Infra(Regional)-rev1-22.11.08(add6) 6" xfId="5301"/>
    <cellStyle name="_section d - Tamouh Plot 2-3 Infra(Regional)-rev1-22.11.08(add6) 7" xfId="5302"/>
    <cellStyle name="_section d - Tamouh Plot 2-3 Infra(Regional)-rev1-22.11.08(add6)_Analysis - Hodariyat - 20.06.09" xfId="5303"/>
    <cellStyle name="_section d - Tamouh Plot 2-3 Infra(Regional)-rev1-22.11.08(add6)_Analysis - Hodariyat - 20.06.09 2" xfId="5304"/>
    <cellStyle name="_section d - Tamouh Plot 2-3 Infra(Regional)-rev1-22.11.08(add6)_Analysis - Hodariyat - 20.06.09 3" xfId="5305"/>
    <cellStyle name="_section d - Tamouh Plot 2-3 Infra(Regional)-rev1-22.11.08(add6)_Analysis - Hodariyat - 20.06.09 4" xfId="5306"/>
    <cellStyle name="_section d - Tamouh Plot 2-3 Infra(Regional)-rev1-22.11.08(add6)_Analysis - Hodariyat - 20.06.09 5" xfId="5307"/>
    <cellStyle name="_section d - Tamouh Plot 2-3 Infra(Regional)-rev1-22.11.08(add6)_Analysis - Hodariyat - 20.06.09 6" xfId="5308"/>
    <cellStyle name="_section d - Tamouh Plot 2-3 Infra(Regional)-rev1-22.11.08(add6)_Analysis - Hodariyat - 20.06.09 7" xfId="5309"/>
    <cellStyle name="_section d - Tamouh Plot 2-3 Infra(Regional)-rev1-22.11.08(add6)_Analysis - hodariyat Bridge - 16.05.09" xfId="5310"/>
    <cellStyle name="_section d - Tamouh Plot 2-3 Infra(Regional)-rev1-22.11.08(add6)_Analysis - hodariyat Bridge - 16.05.09 2" xfId="5311"/>
    <cellStyle name="_section d - Tamouh Plot 2-3 Infra(Regional)-rev1-22.11.08(add6)_Analysis - hodariyat Bridge - 16.05.09 3" xfId="5312"/>
    <cellStyle name="_section d - Tamouh Plot 2-3 Infra(Regional)-rev1-22.11.08(add6)_Analysis - hodariyat Bridge - 16.05.09 4" xfId="5313"/>
    <cellStyle name="_section d - Tamouh Plot 2-3 Infra(Regional)-rev1-22.11.08(add6)_Analysis - hodariyat Bridge - 16.05.09 5" xfId="5314"/>
    <cellStyle name="_section d - Tamouh Plot 2-3 Infra(Regional)-rev1-22.11.08(add6)_Analysis - hodariyat Bridge - 16.05.09 6" xfId="5315"/>
    <cellStyle name="_section d - Tamouh Plot 2-3 Infra(Regional)-rev1-22.11.08(add6)_Analysis - hodariyat Bridge - 16.05.09 7" xfId="5316"/>
    <cellStyle name="_section d - Tamouh Plot 2-3 Infra(Regional)-rev1-22.11.08(add6)_Analysis - hodariyat Bridge - 16.05.09_1" xfId="5317"/>
    <cellStyle name="_section d - Tamouh Plot 2-3 Infra(Regional)-rev1-22.11.08(add6)_Analysis - hodariyat Bridge - 16.05.09_1 2" xfId="5318"/>
    <cellStyle name="_section d - Tamouh Plot 2-3 Infra(Regional)-rev1-22.11.08(add6)_Analysis - hodariyat Bridge - 16.05.09_1 3" xfId="5319"/>
    <cellStyle name="_section d - Tamouh Plot 2-3 Infra(Regional)-rev1-22.11.08(add6)_Analysis - hodariyat Bridge - 16.05.09_1 4" xfId="5320"/>
    <cellStyle name="_section d - Tamouh Plot 2-3 Infra(Regional)-rev1-22.11.08(add6)_Analysis - hodariyat Bridge - 16.05.09_1 5" xfId="5321"/>
    <cellStyle name="_section d - Tamouh Plot 2-3 Infra(Regional)-rev1-22.11.08(add6)_Analysis - hodariyat Bridge - 16.05.09_1 6" xfId="5322"/>
    <cellStyle name="_section d - Tamouh Plot 2-3 Infra(Regional)-rev1-22.11.08(add6)_Analysis - hodariyat Bridge - 16.05.09_1 7" xfId="5323"/>
    <cellStyle name="_section d - Tamouh Plot 2-3 Infra(Regional)-rev1-22.11.08(add6)_Analysis - hodariyat Bridge - 16.05.09_1_Hodariyat Bridge (2)" xfId="5324"/>
    <cellStyle name="_section d - Tamouh Plot 2-3 Infra(Regional)-rev1-22.11.08(add6)_Analysis - hodariyat Bridge - 16.05.09_1_Hodariyat Bridge (2) 2" xfId="5325"/>
    <cellStyle name="_section d - Tamouh Plot 2-3 Infra(Regional)-rev1-22.11.08(add6)_Analysis - hodariyat Bridge - 16.05.09_1_Hodariyat Bridge (2) 3" xfId="5326"/>
    <cellStyle name="_section d - Tamouh Plot 2-3 Infra(Regional)-rev1-22.11.08(add6)_Analysis - hodariyat Bridge - 16.05.09_1_Hodariyat Bridge (2) 4" xfId="5327"/>
    <cellStyle name="_section d - Tamouh Plot 2-3 Infra(Regional)-rev1-22.11.08(add6)_Analysis - hodariyat Bridge - 16.05.09_1_Hodariyat Bridge (2) 5" xfId="5328"/>
    <cellStyle name="_section d - Tamouh Plot 2-3 Infra(Regional)-rev1-22.11.08(add6)_Analysis - hodariyat Bridge - 16.05.09_1_Hodariyat Bridge (2) 6" xfId="5329"/>
    <cellStyle name="_section d - Tamouh Plot 2-3 Infra(Regional)-rev1-22.11.08(add6)_Analysis - hodariyat Bridge - 16.05.09_1_Hodariyat Bridge (2) 7" xfId="5330"/>
    <cellStyle name="_section d - Tamouh Plot 2-3 Infra(Regional)-rev1-22.11.08(add6)_Analysis-Road works" xfId="5331"/>
    <cellStyle name="_section d - Tamouh Plot 2-3 Infra(Regional)-rev1-22.11.08(add6)_Analysis-Road works 2" xfId="5332"/>
    <cellStyle name="_section d - Tamouh Plot 2-3 Infra(Regional)-rev1-22.11.08(add6)_Analysis-Road works 3" xfId="5333"/>
    <cellStyle name="_section d - Tamouh Plot 2-3 Infra(Regional)-rev1-22.11.08(add6)_Analysis-Road works 4" xfId="5334"/>
    <cellStyle name="_section d - Tamouh Plot 2-3 Infra(Regional)-rev1-22.11.08(add6)_Analysis-Road works 5" xfId="5335"/>
    <cellStyle name="_section d - Tamouh Plot 2-3 Infra(Regional)-rev1-22.11.08(add6)_Analysis-Road works 6" xfId="5336"/>
    <cellStyle name="_section d - Tamouh Plot 2-3 Infra(Regional)-rev1-22.11.08(add6)_Analysis-Road works 7" xfId="5337"/>
    <cellStyle name="_section d - Tamouh Plot 2-3 Infra(Regional)-rev1-22.11.08(add6)_Analysis-Structures" xfId="5338"/>
    <cellStyle name="_section d - Tamouh Plot 2-3 Infra(Regional)-rev1-22.11.08(add6)_Analysis-Structures 2" xfId="5339"/>
    <cellStyle name="_section d - Tamouh Plot 2-3 Infra(Regional)-rev1-22.11.08(add6)_Analysis-Structures 3" xfId="5340"/>
    <cellStyle name="_section d - Tamouh Plot 2-3 Infra(Regional)-rev1-22.11.08(add6)_Analysis-Structures 4" xfId="5341"/>
    <cellStyle name="_section d - Tamouh Plot 2-3 Infra(Regional)-rev1-22.11.08(add6)_Analysis-Structures 5" xfId="5342"/>
    <cellStyle name="_section d - Tamouh Plot 2-3 Infra(Regional)-rev1-22.11.08(add6)_Analysis-Structures 6" xfId="5343"/>
    <cellStyle name="_section d - Tamouh Plot 2-3 Infra(Regional)-rev1-22.11.08(add6)_Analysis-Structures 7" xfId="5344"/>
    <cellStyle name="_section d - Tamouh Plot 2-3 Infra(Regional)-rev1-22.11.08(add6)_Copy of Sheet Piling - Analysis" xfId="5345"/>
    <cellStyle name="_section d - Tamouh Plot 2-3 Infra(Regional)-rev1-22.11.08(add6)_Copy of Sheet Piling - Analysis 2" xfId="5346"/>
    <cellStyle name="_section d - Tamouh Plot 2-3 Infra(Regional)-rev1-22.11.08(add6)_Copy of Sheet Piling - Analysis 3" xfId="5347"/>
    <cellStyle name="_section d - Tamouh Plot 2-3 Infra(Regional)-rev1-22.11.08(add6)_Copy of Sheet Piling - Analysis 4" xfId="5348"/>
    <cellStyle name="_section d - Tamouh Plot 2-3 Infra(Regional)-rev1-22.11.08(add6)_Copy of Sheet Piling - Analysis 5" xfId="5349"/>
    <cellStyle name="_section d - Tamouh Plot 2-3 Infra(Regional)-rev1-22.11.08(add6)_Copy of Sheet Piling - Analysis 6" xfId="5350"/>
    <cellStyle name="_section d - Tamouh Plot 2-3 Infra(Regional)-rev1-22.11.08(add6)_Copy of Sheet Piling - Analysis 7" xfId="5351"/>
    <cellStyle name="_Sector2&amp;3 - Regional - Post add1 - 09.02.09" xfId="5352"/>
    <cellStyle name="_Sector2&amp;3 - Regional - Post add1 - 09.02.09 2" xfId="5353"/>
    <cellStyle name="_Sector2&amp;3 - Regional - Post add1 - 09.02.09 3" xfId="5354"/>
    <cellStyle name="_Sector2&amp;3 - Regional - Post add1 - 09.02.09 4" xfId="5355"/>
    <cellStyle name="_Sector2&amp;3 - Regional - Post add1 - 09.02.09 5" xfId="5356"/>
    <cellStyle name="_Sector2&amp;3 - Regional - Post add1 - 09.02.09 6" xfId="5357"/>
    <cellStyle name="_Sector2&amp;3 - Regional - Post add1 - 09.02.09 7" xfId="5358"/>
    <cellStyle name="_Services Revised with POs" xfId="5359"/>
    <cellStyle name="_Sheet1" xfId="5360"/>
    <cellStyle name="_Sheet1_46RA Magnolias Item Rate Billing Abstract (new)" xfId="5361"/>
    <cellStyle name="_Sheet1_Bill Magnolias RA Bill No 38  Dec-09" xfId="5362"/>
    <cellStyle name="_Sheet1_Bill Magnolias RA Bill No 38 Dec-09" xfId="5363"/>
    <cellStyle name="_Sheet1_RA-3 Magnolias (Sep-10)" xfId="5364"/>
    <cellStyle name="_Sheet1_UPFRONT BILLING" xfId="5365"/>
    <cellStyle name="_Shell - Afas &amp; Pa - 23.05.06" xfId="5366"/>
    <cellStyle name="_SHELL'N'CORE_J1-IT PARKS-220108 - Compare from DLS" xfId="5367"/>
    <cellStyle name="_Shirdi" xfId="5368"/>
    <cellStyle name="_Siemens Worksheet" xfId="5369"/>
    <cellStyle name="_simplified temorary entranceto show flat" xfId="5370"/>
    <cellStyle name="_Single Line" xfId="5371"/>
    <cellStyle name="_Single Line_pl Scope vs Front" xfId="5372"/>
    <cellStyle name="_Site Sharing - Expense" xfId="5373"/>
    <cellStyle name="_Slab &amp; Beam" xfId="5374"/>
    <cellStyle name="_Sri Projectss  RA no-06 21. 03.10 to 16.04.10" xfId="5375"/>
    <cellStyle name="_Staff Cost Deduction June 08 Bill" xfId="5376"/>
    <cellStyle name="_Staff_Details_210509_w.o.new Job-r1" xfId="5377"/>
    <cellStyle name="_Staff_Details_210509_w.o.new Job-r1 2" xfId="5378"/>
    <cellStyle name="_Staff_Details_210509_w.o.new Job-r1_Item Rate Client Bill RA-7 Dec.10 (SBM Homes)" xfId="5379"/>
    <cellStyle name="_Staff_Details_210509_w.o.new Job-r1_Labour Camp Detail" xfId="5380"/>
    <cellStyle name="_staircase" xfId="5381"/>
    <cellStyle name="_Stone Flooring &amp; Cladding Contract" xfId="5382"/>
    <cellStyle name="_STRUCTURE(BLD-01-02-03)" xfId="5383"/>
    <cellStyle name="_SubHeading" xfId="5384"/>
    <cellStyle name="_Sumary Rec Mar-08 (2)" xfId="5385"/>
    <cellStyle name="_Sumary Rec Mar-08 (2)_Material Reco March-2011 (Homes)" xfId="5386"/>
    <cellStyle name="_Sumary Rec Mar-08 (2)_Monthly Progress Report - MPR" xfId="5387"/>
    <cellStyle name="_Sumary Rec Mar-08 (2)_Monthly Progress Report - MPR VV" xfId="5388"/>
    <cellStyle name="_Sumary Rec Mar-08 (2)_SAFETY RECORD FOR THE MONTH OF May,  2011 - MPR" xfId="5389"/>
    <cellStyle name="_Sumary Rec Mar-08 (2)_SAFETY RECORD FOR THE MONTH OFApril, 2011 - MPR" xfId="5390"/>
    <cellStyle name="_Sumary Rec Mar-08 (2)_Sectional Progress 1 July 09 onwards" xfId="5391"/>
    <cellStyle name="_Sumary Rec Mar-08 (2)_Weekly Photos 1 July 09 onwards" xfId="5392"/>
    <cellStyle name="_Sumary Rec Mar-08 (2)_WPR 26-1 Nov 2009" xfId="5393"/>
    <cellStyle name="_Sumary Rec Mar-08 (2)_WPR Magnolias 2009" xfId="5394"/>
    <cellStyle name="_Summary of Recon Nov-2007 (2)" xfId="5395"/>
    <cellStyle name="_Summary of Recon Nov-2007 (2) 2" xfId="5396"/>
    <cellStyle name="_Summary of Recon Nov-2007 (2)_Item Rate Client Bill RA-7 Dec.10 (SBM Homes)" xfId="5397"/>
    <cellStyle name="_Summary of Recon Nov-2007 (2)_Labour Camp Detail" xfId="5398"/>
    <cellStyle name="_Summary of Recon Nov-2007 (2)_Material Reco March-2011 (Homes)" xfId="5399"/>
    <cellStyle name="_Summary of Recon Nov-2007 (2)_Monthly Progress Report - MPR" xfId="5400"/>
    <cellStyle name="_Summary of Recon Nov-2007 (2)_Monthly Progress Report - MPR VV" xfId="5401"/>
    <cellStyle name="_Summary of Recon Nov-2007 (2)_SAFETY RECORD FOR THE MONTH OF May,  2011 - MPR" xfId="5402"/>
    <cellStyle name="_Summary of Recon Nov-2007 (2)_SAFETY RECORD FOR THE MONTH OFApril, 2011 - MPR" xfId="5403"/>
    <cellStyle name="_Summary of Recon Nov-2007 (2)_Sectional Progress 1 July 09 onwards" xfId="5404"/>
    <cellStyle name="_Summary of Recon Nov-2007 (2)_Weekly Photos 1 July 09 onwards" xfId="5405"/>
    <cellStyle name="_Summary of Recon Nov-2007 (2)_WPR 26-1 Nov 2009" xfId="5406"/>
    <cellStyle name="_Summary of Recon Nov-2007 (2)_WPR Magnolias 2009" xfId="5407"/>
    <cellStyle name="_SUMMARY OF ZONE-IV - 17.09.08" xfId="5408"/>
    <cellStyle name="_SUMMARY OF ZONE-IV - 17.09.08_ESTIMATE- RTC CREST ANNEX-20-02-10-SSA" xfId="5409"/>
    <cellStyle name="_SUMMARY OF ZONE-IV - 17.09.08_RA_MKT_INTERIOR" xfId="5411"/>
    <cellStyle name="_SUMMARY OF ZONE-IV - 17.09.08_RA-MKT" xfId="5410"/>
    <cellStyle name="_SUMMARY OF ZONE-IV - 17.09.08_REV.EST" xfId="5412"/>
    <cellStyle name="_SUMMARY OF ZONE-IV - 17.09.08_REV.ESTIMATE" xfId="5413"/>
    <cellStyle name="_SUMMARY Rec-0508" xfId="5414"/>
    <cellStyle name="_SUMMARY Rec-0508_Material Reco March-2011 (Homes)" xfId="5415"/>
    <cellStyle name="_SUMMARY Rec-0508_Monthly Progress Report - MPR" xfId="5416"/>
    <cellStyle name="_SUMMARY Rec-0508_Monthly Progress Report - MPR VV" xfId="5417"/>
    <cellStyle name="_SUMMARY Rec-0508_SAFETY RECORD FOR THE MONTH OF May,  2011 - MPR" xfId="5418"/>
    <cellStyle name="_SUMMARY Rec-0508_SAFETY RECORD FOR THE MONTH OFApril, 2011 - MPR" xfId="5419"/>
    <cellStyle name="_SUMMARY Rec-0508_Sectional Progress 1 July 09 onwards" xfId="5420"/>
    <cellStyle name="_SUMMARY Rec-0508_Weekly Photos 1 July 09 onwards" xfId="5421"/>
    <cellStyle name="_SUMMARY Rec-0508_WPR 26-1 Nov 2009" xfId="5422"/>
    <cellStyle name="_SUMMARY Rec-0508_WPR Magnolias 2009" xfId="5423"/>
    <cellStyle name="_Summary Rec-Mar-2008Dlf" xfId="5424"/>
    <cellStyle name="_Summary Rec-Mar-2008Dlf_Material Reco March-2011 (Homes)" xfId="5425"/>
    <cellStyle name="_Summary Rec-Mar-2008Dlf_Monthly Progress Report - MPR" xfId="5426"/>
    <cellStyle name="_Summary Rec-Mar-2008Dlf_Monthly Progress Report - MPR VV" xfId="5427"/>
    <cellStyle name="_Summary Rec-Mar-2008Dlf_SAFETY RECORD FOR THE MONTH OF May,  2011 - MPR" xfId="5428"/>
    <cellStyle name="_Summary Rec-Mar-2008Dlf_SAFETY RECORD FOR THE MONTH OFApril, 2011 - MPR" xfId="5429"/>
    <cellStyle name="_Summary Rec-Mar-2008Dlf_Sectional Progress 1 July 09 onwards" xfId="5430"/>
    <cellStyle name="_Summary Rec-Mar-2008Dlf_Weekly Photos 1 July 09 onwards" xfId="5431"/>
    <cellStyle name="_Summary Rec-Mar-2008Dlf_WPR 26-1 Nov 2009" xfId="5432"/>
    <cellStyle name="_Summary Rec-Mar-2008Dlf_WPR Magnolias 2009" xfId="5433"/>
    <cellStyle name="_SUMMARY-ZONE-I" xfId="5434"/>
    <cellStyle name="_SUMMARY-ZONE-I_ESTIMATE- RTC CREST ANNEX-20-02-10-SSA" xfId="5435"/>
    <cellStyle name="_SUMMARY-ZONE-I_RA_MKT_INTERIOR" xfId="5437"/>
    <cellStyle name="_SUMMARY-ZONE-I_RA-MKT" xfId="5436"/>
    <cellStyle name="_SUMMARY-ZONE-I_REV.EST" xfId="5438"/>
    <cellStyle name="_SUMMARY-ZONE-I_REV.ESTIMATE" xfId="5439"/>
    <cellStyle name="_SUMMARY-ZONE-IV" xfId="5440"/>
    <cellStyle name="_SUMMARY-ZONE-IV_ESTIMATE- RTC CREST ANNEX-20-02-10-SSA" xfId="5441"/>
    <cellStyle name="_SUMMARY-ZONE-IV_RA_MKT_INTERIOR" xfId="5443"/>
    <cellStyle name="_SUMMARY-ZONE-IV_RA-MKT" xfId="5442"/>
    <cellStyle name="_SUMMARY-ZONE-IV_REV.EST" xfId="5444"/>
    <cellStyle name="_SUMMARY-ZONE-IV_REV.ESTIMATE" xfId="5445"/>
    <cellStyle name="_Sunernagar finishing" xfId="5446"/>
    <cellStyle name="_Surplus Staff (3)" xfId="5447"/>
    <cellStyle name="_Surplus Staff (3) 2" xfId="5448"/>
    <cellStyle name="_Surplus Staff (3)_Item Rate Client Bill RA-7 Dec.10 (SBM Homes)" xfId="5449"/>
    <cellStyle name="_Surplus Staff (3)_Labour Camp Detail" xfId="5450"/>
    <cellStyle name="_suzlon, coimbatore" xfId="5451"/>
    <cellStyle name="_suzlon, coimbatore_281210 EOT PLAMA" xfId="5452"/>
    <cellStyle name="_suzlon, coimbatore_Annexure - I Commencement Delays" xfId="5453"/>
    <cellStyle name="_suzlon, coimbatore_Cement reconcilation  up to Nov 2011" xfId="5454"/>
    <cellStyle name="_suzlon, coimbatore_pl Scope vs Front" xfId="5455"/>
    <cellStyle name="_Table" xfId="5456"/>
    <cellStyle name="_Table 2" xfId="5457"/>
    <cellStyle name="_Table 2 2" xfId="5458"/>
    <cellStyle name="_Table 2 2 2" xfId="5459"/>
    <cellStyle name="_Table 2 2 2 2" xfId="5460"/>
    <cellStyle name="_Table 2 2 2 2 2" xfId="5461"/>
    <cellStyle name="_Table 2 2 2 2 2 2" xfId="5462"/>
    <cellStyle name="_Table 2 2 2 2 3" xfId="5463"/>
    <cellStyle name="_Table 2 2 2 3" xfId="5464"/>
    <cellStyle name="_Table 2 2 2 3 2" xfId="5465"/>
    <cellStyle name="_Table 2 2 2 4" xfId="5466"/>
    <cellStyle name="_Table 2 2 3" xfId="5467"/>
    <cellStyle name="_Table 2 2 3 2" xfId="5468"/>
    <cellStyle name="_Table 2 2 3 2 2" xfId="5469"/>
    <cellStyle name="_Table 2 2 3 3" xfId="5470"/>
    <cellStyle name="_Table 2 2 4" xfId="5471"/>
    <cellStyle name="_Table 2 2 4 2" xfId="5472"/>
    <cellStyle name="_Table 2 2 5" xfId="5473"/>
    <cellStyle name="_Table 2 3" xfId="5474"/>
    <cellStyle name="_Table 2 3 2" xfId="5475"/>
    <cellStyle name="_Table 2 3 2 2" xfId="5476"/>
    <cellStyle name="_Table 2 3 2 2 2" xfId="5477"/>
    <cellStyle name="_Table 2 3 2 3" xfId="5478"/>
    <cellStyle name="_Table 2 3 3" xfId="5479"/>
    <cellStyle name="_Table 2 3 3 2" xfId="5480"/>
    <cellStyle name="_Table 2 3 4" xfId="5481"/>
    <cellStyle name="_Table 2 4" xfId="5482"/>
    <cellStyle name="_Table 2 4 2" xfId="5483"/>
    <cellStyle name="_Table 2 4 2 2" xfId="5484"/>
    <cellStyle name="_Table 2 4 3" xfId="5485"/>
    <cellStyle name="_Table 2 5" xfId="5486"/>
    <cellStyle name="_Table 2 5 2" xfId="5487"/>
    <cellStyle name="_Table 2 6" xfId="5488"/>
    <cellStyle name="_Table 3" xfId="5489"/>
    <cellStyle name="_Table 3 2" xfId="5490"/>
    <cellStyle name="_Table 3 2 2" xfId="5491"/>
    <cellStyle name="_Table 3 2 2 2" xfId="5492"/>
    <cellStyle name="_Table 3 2 2 2 2" xfId="5493"/>
    <cellStyle name="_Table 3 2 2 3" xfId="5494"/>
    <cellStyle name="_Table 3 2 3" xfId="5495"/>
    <cellStyle name="_Table 3 2 3 2" xfId="5496"/>
    <cellStyle name="_Table 3 2 4" xfId="5497"/>
    <cellStyle name="_Table 3 3" xfId="5498"/>
    <cellStyle name="_Table 3 3 2" xfId="5499"/>
    <cellStyle name="_Table 3 3 2 2" xfId="5500"/>
    <cellStyle name="_Table 3 3 3" xfId="5501"/>
    <cellStyle name="_Table 3 4" xfId="5502"/>
    <cellStyle name="_Table 3 4 2" xfId="5503"/>
    <cellStyle name="_Table 3 5" xfId="5504"/>
    <cellStyle name="_Table 4" xfId="5505"/>
    <cellStyle name="_Table 4 2" xfId="5506"/>
    <cellStyle name="_Table 4 2 2" xfId="5507"/>
    <cellStyle name="_Table 4 2 2 2" xfId="5508"/>
    <cellStyle name="_Table 4 2 3" xfId="5509"/>
    <cellStyle name="_Table 4 3" xfId="5510"/>
    <cellStyle name="_Table 4 3 2" xfId="5511"/>
    <cellStyle name="_Table 4 4" xfId="5512"/>
    <cellStyle name="_Table 5" xfId="5513"/>
    <cellStyle name="_Table 5 2" xfId="5514"/>
    <cellStyle name="_Table 5 2 2" xfId="5515"/>
    <cellStyle name="_Table 5 3" xfId="5516"/>
    <cellStyle name="_Table 6" xfId="5517"/>
    <cellStyle name="_Table 6 2" xfId="5518"/>
    <cellStyle name="_Table 7" xfId="5519"/>
    <cellStyle name="_TableHead" xfId="5520"/>
    <cellStyle name="_TableRowHead" xfId="5521"/>
    <cellStyle name="_TableSuperHead" xfId="5522"/>
    <cellStyle name="_Tax RMZ" xfId="5523"/>
    <cellStyle name="_TBP4-PSE_HO" xfId="5524"/>
    <cellStyle name="_TCG Software Park (Tender) - 01.11.07" xfId="5525"/>
    <cellStyle name="_TCS Analysis -Revised 25th Aug-06-R1- Final Submitted" xfId="5526"/>
    <cellStyle name="_TCS working" xfId="5527"/>
    <cellStyle name="_TCS working 2" xfId="5528"/>
    <cellStyle name="_TCS working 3" xfId="5529"/>
    <cellStyle name="_TCS working 4" xfId="5530"/>
    <cellStyle name="_TCS working 5" xfId="5531"/>
    <cellStyle name="_TCS working 6" xfId="5532"/>
    <cellStyle name="_TCS working 7" xfId="5533"/>
    <cellStyle name="_TENDER RESULT MASTER FILE" xfId="5534"/>
    <cellStyle name="_Tender result-Chn Cargo Ph-III" xfId="5535"/>
    <cellStyle name="_Tender Workings" xfId="5536"/>
    <cellStyle name="_Tender Workings - By HQ" xfId="5537"/>
    <cellStyle name="_Terex Single Line BOQ(1)" xfId="5538"/>
    <cellStyle name="_TG06_Final" xfId="5539"/>
    <cellStyle name="_TG06_Final_Rates" xfId="5540"/>
    <cellStyle name="_TM01" xfId="5541"/>
    <cellStyle name="_TM01_IICL1" xfId="5543"/>
    <cellStyle name="_TM01-7001" xfId="5542"/>
    <cellStyle name="_Total work Struc.&amp; Fini scope for BLD-03 Buid tec " xfId="5544"/>
    <cellStyle name="_Total work Struc.&amp; Fini scope for BLD-03 Buid tec  2" xfId="5545"/>
    <cellStyle name="_Total work Struc.&amp; Fini scope for BLD-03 Buid tec  3" xfId="5546"/>
    <cellStyle name="_Total work Struc.&amp; Fini scope for BLD-03 Buid tec  4" xfId="5547"/>
    <cellStyle name="_Total work Struc.&amp; Fini scope for BLD-03 Buid tec  5" xfId="5548"/>
    <cellStyle name="_Total work Struc.&amp; Fini scope for BLD-03 Buid tec  6" xfId="5549"/>
    <cellStyle name="_Total work Struc.&amp; Fini scope for BLD-03 Buid tec  7" xfId="5550"/>
    <cellStyle name="_Total work Struc.&amp; Fini scope for BLD-03 Buid tec  8" xfId="5551"/>
    <cellStyle name="_TR01" xfId="5552"/>
    <cellStyle name="_TR01-3325" xfId="5553"/>
    <cellStyle name="_TR01-SREL" xfId="5554"/>
    <cellStyle name="_Transferable Material VAT Liablity - SBM Homes (Sep-2010)" xfId="5555"/>
    <cellStyle name="_TT Project Gist" xfId="5556"/>
    <cellStyle name="_TX IO Current Calculation" xfId="5557"/>
    <cellStyle name="_Typical Analysis Data" xfId="5558"/>
    <cellStyle name="_Typical Analysis Data1" xfId="5559"/>
    <cellStyle name="_UKMIS 1.2 July 08" xfId="5560"/>
    <cellStyle name="_UKMIS 2.1 July 08" xfId="5561"/>
    <cellStyle name="_utilisation report Aug 08" xfId="5562"/>
    <cellStyle name="_utilisation report july 08" xfId="5563"/>
    <cellStyle name="_utilisation report june 08" xfId="5564"/>
    <cellStyle name="_utilisation report sep 2008" xfId="5565"/>
    <cellStyle name="_VSNL Centre at BKC" xfId="5566"/>
    <cellStyle name="_Vysya Bank - Mittal Towers" xfId="5567"/>
    <cellStyle name="_Vytilla Dec 08" xfId="5568"/>
    <cellStyle name="_Whitefield Palms (BMS) - 20.07.07" xfId="5569"/>
    <cellStyle name="_WO break up month wise" xfId="5570"/>
    <cellStyle name="_WO break up month wise 2" xfId="5571"/>
    <cellStyle name="_WO break up month wise_Item Rate Client Bill RA-7 Dec.10 (SBM Homes)" xfId="5572"/>
    <cellStyle name="_WO break up month wise_Labour Camp Detail" xfId="5573"/>
    <cellStyle name="_Working" xfId="5574"/>
    <cellStyle name="_Working micron Ext.Final" xfId="5575"/>
    <cellStyle name="_Working- Rev03" xfId="5576"/>
    <cellStyle name="_Working- TRVM" xfId="5577"/>
    <cellStyle name="_working_WPCPL Rev 02 dt 101207" xfId="5578"/>
    <cellStyle name="_WPR- DLF INFOCITY CHENNAI - 13.08.07 TO 19.08.07" xfId="5579"/>
    <cellStyle name="_Wrking- (Old)- final" xfId="5580"/>
    <cellStyle name="_ZCR - RO Corrected 23-06-09" xfId="5581"/>
    <cellStyle name="_ZCR 630 - Blue Horizon - 06.09.2009.test" xfId="5582"/>
    <cellStyle name="_ZCR for ITC" xfId="5583"/>
    <cellStyle name="_ZCR for ITC_pl Scope vs Front" xfId="5584"/>
    <cellStyle name="_ZCR-KC512" xfId="5585"/>
    <cellStyle name="_Zero Cost General Workings  - 22.05.08 corrections" xfId="5586"/>
    <cellStyle name="_Zero Cost- Olympia- Final" xfId="5587"/>
    <cellStyle name="`GENERAL" xfId="5589"/>
    <cellStyle name="`GENERAL 2" xfId="5590"/>
    <cellStyle name="`GENERAL 2 2" xfId="5591"/>
    <cellStyle name="`GENERAL 2 3" xfId="5592"/>
    <cellStyle name="`GENERAL 2 4" xfId="5593"/>
    <cellStyle name="`GENERAL 3" xfId="5594"/>
    <cellStyle name="`GENERAL 4" xfId="5595"/>
    <cellStyle name="£ BP" xfId="30809"/>
    <cellStyle name="￡ BP" xfId="30877"/>
    <cellStyle name="¤@¯Elaroux" xfId="30810"/>
    <cellStyle name="¤@¯Elaroux 2" xfId="30811"/>
    <cellStyle name="¤@¯Elaroux 3" xfId="30812"/>
    <cellStyle name="¤@¯Elaroux 4" xfId="30813"/>
    <cellStyle name="¤d¤À¦E0]_laroux" xfId="30814"/>
    <cellStyle name="¤d¤À¦Elaroux" xfId="30815"/>
    <cellStyle name="¤d¤À¦Elaroux 2" xfId="30816"/>
    <cellStyle name="¤d¤À¦Elaroux 3" xfId="30817"/>
    <cellStyle name="¤d¤À¦Elaroux 4" xfId="30818"/>
    <cellStyle name="¥ JY" xfId="30819"/>
    <cellStyle name="•W€_4m stock" xfId="30862"/>
    <cellStyle name="•W_Electrical" xfId="30861"/>
    <cellStyle name="_x001a_¨ " xfId="3"/>
    <cellStyle name="_x001a_¨  2" xfId="4"/>
    <cellStyle name="_x001a_¨  3" xfId="5"/>
    <cellStyle name="_x001a_¨  4" xfId="6"/>
    <cellStyle name="_x001a_¨  5" xfId="7"/>
    <cellStyle name="_x001a_¨  6" xfId="8"/>
    <cellStyle name="_x001a_¨  7" xfId="9"/>
    <cellStyle name="_x001a_¨  8" xfId="10"/>
    <cellStyle name="_x001a_¨_" xfId="11"/>
    <cellStyle name="0%" xfId="26"/>
    <cellStyle name="0,0&#10;&#10;NA&#10;&#10;" xfId="27"/>
    <cellStyle name="0,0_x000d_&#10;NA_x000d_&#10;" xfId="28"/>
    <cellStyle name="0,0_x000d_&#10;NA_x000d_&#10; 2" xfId="29"/>
    <cellStyle name="0.0%" xfId="30"/>
    <cellStyle name="0.00%" xfId="31"/>
    <cellStyle name="1" xfId="32"/>
    <cellStyle name="1/100000" xfId="33"/>
    <cellStyle name="1_German betas" xfId="34"/>
    <cellStyle name="20% - Accent1 1" xfId="35"/>
    <cellStyle name="20% - Accent1 1 1" xfId="36"/>
    <cellStyle name="20% - Accent1 1 1 2" xfId="37"/>
    <cellStyle name="20% - Accent1 1 2" xfId="38"/>
    <cellStyle name="20% - Accent1 10" xfId="39"/>
    <cellStyle name="20% - Accent1 10 2" xfId="40"/>
    <cellStyle name="20% - Accent1 10 3" xfId="41"/>
    <cellStyle name="20% - Accent1 10 4" xfId="42"/>
    <cellStyle name="20% - Accent1 10 5" xfId="43"/>
    <cellStyle name="20% - Accent1 10 6" xfId="44"/>
    <cellStyle name="20% - Accent1 10 7" xfId="45"/>
    <cellStyle name="20% - Accent1 10 8" xfId="46"/>
    <cellStyle name="20% - Accent1 10 9" xfId="47"/>
    <cellStyle name="20% - Accent1 11" xfId="48"/>
    <cellStyle name="20% - Accent1 11 2" xfId="49"/>
    <cellStyle name="20% - Accent1 11 2 2" xfId="50"/>
    <cellStyle name="20% - Accent1 11 2 3" xfId="51"/>
    <cellStyle name="20% - Accent1 11 3" xfId="52"/>
    <cellStyle name="20% - Accent1 11 4" xfId="53"/>
    <cellStyle name="20% - Accent1 12" xfId="54"/>
    <cellStyle name="20% - Accent1 12 2" xfId="55"/>
    <cellStyle name="20% - Accent1 12 2 2" xfId="56"/>
    <cellStyle name="20% - Accent1 12 2 3" xfId="57"/>
    <cellStyle name="20% - Accent1 12 3" xfId="58"/>
    <cellStyle name="20% - Accent1 12 4" xfId="59"/>
    <cellStyle name="20% - Accent1 13" xfId="60"/>
    <cellStyle name="20% - Accent1 13 2" xfId="61"/>
    <cellStyle name="20% - Accent1 13 2 2" xfId="62"/>
    <cellStyle name="20% - Accent1 13 2 3" xfId="63"/>
    <cellStyle name="20% - Accent1 13 3" xfId="64"/>
    <cellStyle name="20% - Accent1 13 4" xfId="65"/>
    <cellStyle name="20% - Accent1 14" xfId="66"/>
    <cellStyle name="20% - Accent1 14 2" xfId="67"/>
    <cellStyle name="20% - Accent1 14 2 2" xfId="68"/>
    <cellStyle name="20% - Accent1 14 2 3" xfId="69"/>
    <cellStyle name="20% - Accent1 14 3" xfId="70"/>
    <cellStyle name="20% - Accent1 14 4" xfId="71"/>
    <cellStyle name="20% - Accent1 15" xfId="72"/>
    <cellStyle name="20% - Accent1 15 2" xfId="73"/>
    <cellStyle name="20% - Accent1 15 2 2" xfId="74"/>
    <cellStyle name="20% - Accent1 15 2 3" xfId="75"/>
    <cellStyle name="20% - Accent1 15 3" xfId="76"/>
    <cellStyle name="20% - Accent1 15 4" xfId="77"/>
    <cellStyle name="20% - Accent1 16" xfId="78"/>
    <cellStyle name="20% - Accent1 16 2" xfId="79"/>
    <cellStyle name="20% - Accent1 16 2 2" xfId="80"/>
    <cellStyle name="20% - Accent1 16 2 3" xfId="81"/>
    <cellStyle name="20% - Accent1 16 3" xfId="82"/>
    <cellStyle name="20% - Accent1 16 4" xfId="83"/>
    <cellStyle name="20% - Accent1 17" xfId="84"/>
    <cellStyle name="20% - Accent1 17 2" xfId="85"/>
    <cellStyle name="20% - Accent1 17 2 2" xfId="86"/>
    <cellStyle name="20% - Accent1 17 2 3" xfId="87"/>
    <cellStyle name="20% - Accent1 17 3" xfId="88"/>
    <cellStyle name="20% - Accent1 17 4" xfId="89"/>
    <cellStyle name="20% - Accent1 18" xfId="90"/>
    <cellStyle name="20% - Accent1 18 2" xfId="91"/>
    <cellStyle name="20% - Accent1 18 2 2" xfId="92"/>
    <cellStyle name="20% - Accent1 18 2 3" xfId="93"/>
    <cellStyle name="20% - Accent1 18 3" xfId="94"/>
    <cellStyle name="20% - Accent1 18 4" xfId="95"/>
    <cellStyle name="20% - Accent1 19" xfId="96"/>
    <cellStyle name="20% - Accent1 19 2" xfId="97"/>
    <cellStyle name="20% - Accent1 19 2 2" xfId="98"/>
    <cellStyle name="20% - Accent1 19 2 3" xfId="99"/>
    <cellStyle name="20% - Accent1 19 3" xfId="100"/>
    <cellStyle name="20% - Accent1 19 4" xfId="101"/>
    <cellStyle name="20% - Accent1 2" xfId="102"/>
    <cellStyle name="20% - Accent1 2 10" xfId="103"/>
    <cellStyle name="20% - Accent1 2 2" xfId="104"/>
    <cellStyle name="20% - Accent1 2 2 2" xfId="105"/>
    <cellStyle name="20% - Accent1 2 3" xfId="106"/>
    <cellStyle name="20% - Accent1 2 3 2" xfId="107"/>
    <cellStyle name="20% - Accent1 2 4" xfId="108"/>
    <cellStyle name="20% - Accent1 2 4 2" xfId="109"/>
    <cellStyle name="20% - Accent1 2 5" xfId="110"/>
    <cellStyle name="20% - Accent1 2 5 2" xfId="111"/>
    <cellStyle name="20% - Accent1 2 6" xfId="112"/>
    <cellStyle name="20% - Accent1 2 7" xfId="113"/>
    <cellStyle name="20% - Accent1 2 8" xfId="114"/>
    <cellStyle name="20% - Accent1 2 9" xfId="115"/>
    <cellStyle name="20% - Accent1 2_B Block  Column LGF to UGF Lvl" xfId="176"/>
    <cellStyle name="20% - Accent1 20" xfId="116"/>
    <cellStyle name="20% - Accent1 20 2" xfId="117"/>
    <cellStyle name="20% - Accent1 20 2 2" xfId="118"/>
    <cellStyle name="20% - Accent1 20 2 3" xfId="119"/>
    <cellStyle name="20% - Accent1 20 3" xfId="120"/>
    <cellStyle name="20% - Accent1 20 4" xfId="121"/>
    <cellStyle name="20% - Accent1 21" xfId="122"/>
    <cellStyle name="20% - Accent1 21 2" xfId="123"/>
    <cellStyle name="20% - Accent1 21 2 2" xfId="124"/>
    <cellStyle name="20% - Accent1 21 2 3" xfId="125"/>
    <cellStyle name="20% - Accent1 21 3" xfId="126"/>
    <cellStyle name="20% - Accent1 21 4" xfId="127"/>
    <cellStyle name="20% - Accent1 22" xfId="128"/>
    <cellStyle name="20% - Accent1 22 2" xfId="129"/>
    <cellStyle name="20% - Accent1 22 2 2" xfId="130"/>
    <cellStyle name="20% - Accent1 22 2 3" xfId="131"/>
    <cellStyle name="20% - Accent1 22 3" xfId="132"/>
    <cellStyle name="20% - Accent1 22 4" xfId="133"/>
    <cellStyle name="20% - Accent1 23" xfId="134"/>
    <cellStyle name="20% - Accent1 23 2" xfId="135"/>
    <cellStyle name="20% - Accent1 23 2 2" xfId="136"/>
    <cellStyle name="20% - Accent1 23 2 3" xfId="137"/>
    <cellStyle name="20% - Accent1 23 3" xfId="138"/>
    <cellStyle name="20% - Accent1 23 4" xfId="139"/>
    <cellStyle name="20% - Accent1 24" xfId="140"/>
    <cellStyle name="20% - Accent1 24 2" xfId="141"/>
    <cellStyle name="20% - Accent1 24 2 2" xfId="142"/>
    <cellStyle name="20% - Accent1 24 2 3" xfId="143"/>
    <cellStyle name="20% - Accent1 24 3" xfId="144"/>
    <cellStyle name="20% - Accent1 24 4" xfId="145"/>
    <cellStyle name="20% - Accent1 25" xfId="146"/>
    <cellStyle name="20% - Accent1 25 2" xfId="147"/>
    <cellStyle name="20% - Accent1 25 2 2" xfId="148"/>
    <cellStyle name="20% - Accent1 25 2 3" xfId="149"/>
    <cellStyle name="20% - Accent1 25 3" xfId="150"/>
    <cellStyle name="20% - Accent1 25 4" xfId="151"/>
    <cellStyle name="20% - Accent1 26" xfId="152"/>
    <cellStyle name="20% - Accent1 26 2" xfId="153"/>
    <cellStyle name="20% - Accent1 26 2 2" xfId="154"/>
    <cellStyle name="20% - Accent1 26 2 3" xfId="155"/>
    <cellStyle name="20% - Accent1 26 3" xfId="156"/>
    <cellStyle name="20% - Accent1 26 4" xfId="157"/>
    <cellStyle name="20% - Accent1 27" xfId="158"/>
    <cellStyle name="20% - Accent1 27 2" xfId="159"/>
    <cellStyle name="20% - Accent1 27 2 2" xfId="160"/>
    <cellStyle name="20% - Accent1 27 2 3" xfId="161"/>
    <cellStyle name="20% - Accent1 27 3" xfId="162"/>
    <cellStyle name="20% - Accent1 27 4" xfId="163"/>
    <cellStyle name="20% - Accent1 28" xfId="164"/>
    <cellStyle name="20% - Accent1 28 2" xfId="165"/>
    <cellStyle name="20% - Accent1 28 2 2" xfId="166"/>
    <cellStyle name="20% - Accent1 28 2 3" xfId="167"/>
    <cellStyle name="20% - Accent1 28 3" xfId="168"/>
    <cellStyle name="20% - Accent1 28 4" xfId="169"/>
    <cellStyle name="20% - Accent1 29" xfId="170"/>
    <cellStyle name="20% - Accent1 29 2" xfId="171"/>
    <cellStyle name="20% - Accent1 29 2 2" xfId="172"/>
    <cellStyle name="20% - Accent1 29 2 3" xfId="173"/>
    <cellStyle name="20% - Accent1 29 3" xfId="174"/>
    <cellStyle name="20% - Accent1 29 4" xfId="175"/>
    <cellStyle name="20% - Accent1 3" xfId="177"/>
    <cellStyle name="20% - Accent1 3 2" xfId="178"/>
    <cellStyle name="20% - Accent1 3 3" xfId="179"/>
    <cellStyle name="20% - Accent1 3 3 2" xfId="180"/>
    <cellStyle name="20% - Accent1 3 4" xfId="181"/>
    <cellStyle name="20% - Accent1 3 4 2" xfId="182"/>
    <cellStyle name="20% - Accent1 3 5" xfId="183"/>
    <cellStyle name="20% - Accent1 3 6" xfId="184"/>
    <cellStyle name="20% - Accent1 3 7" xfId="185"/>
    <cellStyle name="20% - Accent1 3 8" xfId="186"/>
    <cellStyle name="20% - Accent1 3 9" xfId="187"/>
    <cellStyle name="20% - Accent1 3_Sheet2" xfId="243"/>
    <cellStyle name="20% - Accent1 30" xfId="188"/>
    <cellStyle name="20% - Accent1 30 2" xfId="189"/>
    <cellStyle name="20% - Accent1 30 2 2" xfId="190"/>
    <cellStyle name="20% - Accent1 30 2 3" xfId="191"/>
    <cellStyle name="20% - Accent1 30 3" xfId="192"/>
    <cellStyle name="20% - Accent1 30 4" xfId="193"/>
    <cellStyle name="20% - Accent1 31" xfId="194"/>
    <cellStyle name="20% - Accent1 31 2" xfId="195"/>
    <cellStyle name="20% - Accent1 31 2 2" xfId="196"/>
    <cellStyle name="20% - Accent1 31 2 3" xfId="197"/>
    <cellStyle name="20% - Accent1 31 3" xfId="198"/>
    <cellStyle name="20% - Accent1 31 4" xfId="199"/>
    <cellStyle name="20% - Accent1 32" xfId="200"/>
    <cellStyle name="20% - Accent1 33" xfId="201"/>
    <cellStyle name="20% - Accent1 33 2" xfId="202"/>
    <cellStyle name="20% - Accent1 33 2 2" xfId="203"/>
    <cellStyle name="20% - Accent1 33 2 3" xfId="204"/>
    <cellStyle name="20% - Accent1 33 3" xfId="205"/>
    <cellStyle name="20% - Accent1 33 4" xfId="206"/>
    <cellStyle name="20% - Accent1 34" xfId="207"/>
    <cellStyle name="20% - Accent1 34 2" xfId="208"/>
    <cellStyle name="20% - Accent1 34 2 2" xfId="209"/>
    <cellStyle name="20% - Accent1 34 2 3" xfId="210"/>
    <cellStyle name="20% - Accent1 34 3" xfId="211"/>
    <cellStyle name="20% - Accent1 34 4" xfId="212"/>
    <cellStyle name="20% - Accent1 35" xfId="213"/>
    <cellStyle name="20% - Accent1 35 2" xfId="214"/>
    <cellStyle name="20% - Accent1 35 2 2" xfId="215"/>
    <cellStyle name="20% - Accent1 35 2 3" xfId="216"/>
    <cellStyle name="20% - Accent1 35 3" xfId="217"/>
    <cellStyle name="20% - Accent1 35 4" xfId="218"/>
    <cellStyle name="20% - Accent1 36" xfId="219"/>
    <cellStyle name="20% - Accent1 36 2" xfId="220"/>
    <cellStyle name="20% - Accent1 36 2 2" xfId="221"/>
    <cellStyle name="20% - Accent1 36 2 3" xfId="222"/>
    <cellStyle name="20% - Accent1 36 3" xfId="223"/>
    <cellStyle name="20% - Accent1 36 4" xfId="224"/>
    <cellStyle name="20% - Accent1 37" xfId="225"/>
    <cellStyle name="20% - Accent1 37 2" xfId="226"/>
    <cellStyle name="20% - Accent1 37 2 2" xfId="227"/>
    <cellStyle name="20% - Accent1 37 2 3" xfId="228"/>
    <cellStyle name="20% - Accent1 37 3" xfId="229"/>
    <cellStyle name="20% - Accent1 37 4" xfId="230"/>
    <cellStyle name="20% - Accent1 38" xfId="231"/>
    <cellStyle name="20% - Accent1 38 2" xfId="232"/>
    <cellStyle name="20% - Accent1 38 2 2" xfId="233"/>
    <cellStyle name="20% - Accent1 38 2 3" xfId="234"/>
    <cellStyle name="20% - Accent1 38 3" xfId="235"/>
    <cellStyle name="20% - Accent1 38 4" xfId="236"/>
    <cellStyle name="20% - Accent1 39" xfId="237"/>
    <cellStyle name="20% - Accent1 39 2" xfId="238"/>
    <cellStyle name="20% - Accent1 39 2 2" xfId="239"/>
    <cellStyle name="20% - Accent1 39 2 3" xfId="240"/>
    <cellStyle name="20% - Accent1 39 3" xfId="241"/>
    <cellStyle name="20% - Accent1 39 4" xfId="242"/>
    <cellStyle name="20% - Accent1 4" xfId="244"/>
    <cellStyle name="20% - Accent1 4 2" xfId="245"/>
    <cellStyle name="20% - Accent1 4 3" xfId="246"/>
    <cellStyle name="20% - Accent1 4 3 2" xfId="247"/>
    <cellStyle name="20% - Accent1 4 4" xfId="248"/>
    <cellStyle name="20% - Accent1 4 4 2" xfId="249"/>
    <cellStyle name="20% - Accent1 4 5" xfId="250"/>
    <cellStyle name="20% - Accent1 4 6" xfId="251"/>
    <cellStyle name="20% - Accent1 4 7" xfId="252"/>
    <cellStyle name="20% - Accent1 4 8" xfId="253"/>
    <cellStyle name="20% - Accent1 4 9" xfId="254"/>
    <cellStyle name="20% - Accent1 4_Sheet2" xfId="255"/>
    <cellStyle name="20% - Accent1 5" xfId="256"/>
    <cellStyle name="20% - Accent1 5 2" xfId="257"/>
    <cellStyle name="20% - Accent1 5 2 2" xfId="258"/>
    <cellStyle name="20% - Accent1 5 3" xfId="259"/>
    <cellStyle name="20% - Accent1 5 3 2" xfId="260"/>
    <cellStyle name="20% - Accent1 5 4" xfId="261"/>
    <cellStyle name="20% - Accent1 5 4 2" xfId="262"/>
    <cellStyle name="20% - Accent1 5 5" xfId="263"/>
    <cellStyle name="20% - Accent1 5 6" xfId="264"/>
    <cellStyle name="20% - Accent1 5 7" xfId="265"/>
    <cellStyle name="20% - Accent1 5 8" xfId="266"/>
    <cellStyle name="20% - Accent1 5 9" xfId="267"/>
    <cellStyle name="20% - Accent1 5_Sheet2" xfId="268"/>
    <cellStyle name="20% - Accent1 6" xfId="269"/>
    <cellStyle name="20% - Accent1 6 2" xfId="270"/>
    <cellStyle name="20% - Accent1 6 2 2" xfId="271"/>
    <cellStyle name="20% - Accent1 6 3" xfId="272"/>
    <cellStyle name="20% - Accent1 6 3 2" xfId="273"/>
    <cellStyle name="20% - Accent1 6 4" xfId="274"/>
    <cellStyle name="20% - Accent1 6 4 2" xfId="275"/>
    <cellStyle name="20% - Accent1 6 5" xfId="276"/>
    <cellStyle name="20% - Accent1 6 6" xfId="277"/>
    <cellStyle name="20% - Accent1 6 7" xfId="278"/>
    <cellStyle name="20% - Accent1 6 8" xfId="279"/>
    <cellStyle name="20% - Accent1 6 9" xfId="280"/>
    <cellStyle name="20% - Accent1 6_Sheet2" xfId="281"/>
    <cellStyle name="20% - Accent1 7" xfId="282"/>
    <cellStyle name="20% - Accent1 7 2" xfId="283"/>
    <cellStyle name="20% - Accent1 7 2 2" xfId="284"/>
    <cellStyle name="20% - Accent1 7 3" xfId="285"/>
    <cellStyle name="20% - Accent1 7 3 2" xfId="286"/>
    <cellStyle name="20% - Accent1 7 4" xfId="287"/>
    <cellStyle name="20% - Accent1 7 4 2" xfId="288"/>
    <cellStyle name="20% - Accent1 7 5" xfId="289"/>
    <cellStyle name="20% - Accent1 7 6" xfId="290"/>
    <cellStyle name="20% - Accent1 7 7" xfId="291"/>
    <cellStyle name="20% - Accent1 7 8" xfId="292"/>
    <cellStyle name="20% - Accent1 7 9" xfId="293"/>
    <cellStyle name="20% - Accent1 7_Sheet2" xfId="294"/>
    <cellStyle name="20% - Accent1 8" xfId="295"/>
    <cellStyle name="20% - Accent1 8 2" xfId="296"/>
    <cellStyle name="20% - Accent1 8 3" xfId="297"/>
    <cellStyle name="20% - Accent1 8 4" xfId="298"/>
    <cellStyle name="20% - Accent1 8 5" xfId="299"/>
    <cellStyle name="20% - Accent1 8 6" xfId="300"/>
    <cellStyle name="20% - Accent1 8 7" xfId="301"/>
    <cellStyle name="20% - Accent1 8 8" xfId="302"/>
    <cellStyle name="20% - Accent1 8 9" xfId="303"/>
    <cellStyle name="20% - Accent1 8_Sheet2" xfId="304"/>
    <cellStyle name="20% - Accent1 9" xfId="305"/>
    <cellStyle name="20% - Accent1 9 2" xfId="306"/>
    <cellStyle name="20% - Accent1 9 3" xfId="307"/>
    <cellStyle name="20% - Accent1 9 4" xfId="308"/>
    <cellStyle name="20% - Accent1 9 5" xfId="309"/>
    <cellStyle name="20% - Accent1 9 6" xfId="310"/>
    <cellStyle name="20% - Accent1 9 7" xfId="311"/>
    <cellStyle name="20% - Accent1 9 8" xfId="312"/>
    <cellStyle name="20% - Accent1 9 9" xfId="313"/>
    <cellStyle name="20% - Accent2 1" xfId="314"/>
    <cellStyle name="20% - Accent2 1 1" xfId="315"/>
    <cellStyle name="20% - Accent2 1 1 2" xfId="316"/>
    <cellStyle name="20% - Accent2 1 2" xfId="317"/>
    <cellStyle name="20% - Accent2 10" xfId="318"/>
    <cellStyle name="20% - Accent2 10 2" xfId="319"/>
    <cellStyle name="20% - Accent2 10 3" xfId="320"/>
    <cellStyle name="20% - Accent2 10 4" xfId="321"/>
    <cellStyle name="20% - Accent2 10 5" xfId="322"/>
    <cellStyle name="20% - Accent2 10 6" xfId="323"/>
    <cellStyle name="20% - Accent2 10 7" xfId="324"/>
    <cellStyle name="20% - Accent2 10 8" xfId="325"/>
    <cellStyle name="20% - Accent2 10 9" xfId="326"/>
    <cellStyle name="20% - Accent2 11" xfId="327"/>
    <cellStyle name="20% - Accent2 11 2" xfId="328"/>
    <cellStyle name="20% - Accent2 11 2 2" xfId="329"/>
    <cellStyle name="20% - Accent2 11 2 3" xfId="330"/>
    <cellStyle name="20% - Accent2 11 3" xfId="331"/>
    <cellStyle name="20% - Accent2 11 4" xfId="332"/>
    <cellStyle name="20% - Accent2 12" xfId="333"/>
    <cellStyle name="20% - Accent2 12 2" xfId="334"/>
    <cellStyle name="20% - Accent2 12 2 2" xfId="335"/>
    <cellStyle name="20% - Accent2 12 2 3" xfId="336"/>
    <cellStyle name="20% - Accent2 12 3" xfId="337"/>
    <cellStyle name="20% - Accent2 12 4" xfId="338"/>
    <cellStyle name="20% - Accent2 13" xfId="339"/>
    <cellStyle name="20% - Accent2 13 2" xfId="340"/>
    <cellStyle name="20% - Accent2 13 2 2" xfId="341"/>
    <cellStyle name="20% - Accent2 13 2 3" xfId="342"/>
    <cellStyle name="20% - Accent2 13 3" xfId="343"/>
    <cellStyle name="20% - Accent2 13 4" xfId="344"/>
    <cellStyle name="20% - Accent2 14" xfId="345"/>
    <cellStyle name="20% - Accent2 14 2" xfId="346"/>
    <cellStyle name="20% - Accent2 14 2 2" xfId="347"/>
    <cellStyle name="20% - Accent2 14 2 3" xfId="348"/>
    <cellStyle name="20% - Accent2 14 3" xfId="349"/>
    <cellStyle name="20% - Accent2 14 4" xfId="350"/>
    <cellStyle name="20% - Accent2 15" xfId="351"/>
    <cellStyle name="20% - Accent2 15 2" xfId="352"/>
    <cellStyle name="20% - Accent2 15 2 2" xfId="353"/>
    <cellStyle name="20% - Accent2 15 2 3" xfId="354"/>
    <cellStyle name="20% - Accent2 15 3" xfId="355"/>
    <cellStyle name="20% - Accent2 15 4" xfId="356"/>
    <cellStyle name="20% - Accent2 16" xfId="357"/>
    <cellStyle name="20% - Accent2 16 2" xfId="358"/>
    <cellStyle name="20% - Accent2 16 2 2" xfId="359"/>
    <cellStyle name="20% - Accent2 16 2 3" xfId="360"/>
    <cellStyle name="20% - Accent2 16 3" xfId="361"/>
    <cellStyle name="20% - Accent2 16 4" xfId="362"/>
    <cellStyle name="20% - Accent2 17" xfId="363"/>
    <cellStyle name="20% - Accent2 17 2" xfId="364"/>
    <cellStyle name="20% - Accent2 17 2 2" xfId="365"/>
    <cellStyle name="20% - Accent2 17 2 3" xfId="366"/>
    <cellStyle name="20% - Accent2 17 3" xfId="367"/>
    <cellStyle name="20% - Accent2 17 4" xfId="368"/>
    <cellStyle name="20% - Accent2 18" xfId="369"/>
    <cellStyle name="20% - Accent2 18 2" xfId="370"/>
    <cellStyle name="20% - Accent2 18 2 2" xfId="371"/>
    <cellStyle name="20% - Accent2 18 2 3" xfId="372"/>
    <cellStyle name="20% - Accent2 18 3" xfId="373"/>
    <cellStyle name="20% - Accent2 18 4" xfId="374"/>
    <cellStyle name="20% - Accent2 19" xfId="375"/>
    <cellStyle name="20% - Accent2 19 2" xfId="376"/>
    <cellStyle name="20% - Accent2 19 2 2" xfId="377"/>
    <cellStyle name="20% - Accent2 19 2 3" xfId="378"/>
    <cellStyle name="20% - Accent2 19 3" xfId="379"/>
    <cellStyle name="20% - Accent2 19 4" xfId="380"/>
    <cellStyle name="20% - Accent2 2" xfId="381"/>
    <cellStyle name="20% - Accent2 2 10" xfId="382"/>
    <cellStyle name="20% - Accent2 2 2" xfId="383"/>
    <cellStyle name="20% - Accent2 2 2 2" xfId="384"/>
    <cellStyle name="20% - Accent2 2 3" xfId="385"/>
    <cellStyle name="20% - Accent2 2 3 2" xfId="386"/>
    <cellStyle name="20% - Accent2 2 4" xfId="387"/>
    <cellStyle name="20% - Accent2 2 4 2" xfId="388"/>
    <cellStyle name="20% - Accent2 2 5" xfId="389"/>
    <cellStyle name="20% - Accent2 2 5 2" xfId="390"/>
    <cellStyle name="20% - Accent2 2 6" xfId="391"/>
    <cellStyle name="20% - Accent2 2 7" xfId="392"/>
    <cellStyle name="20% - Accent2 2 8" xfId="393"/>
    <cellStyle name="20% - Accent2 2 9" xfId="394"/>
    <cellStyle name="20% - Accent2 2_B Block  Column LGF to UGF Lvl" xfId="455"/>
    <cellStyle name="20% - Accent2 20" xfId="395"/>
    <cellStyle name="20% - Accent2 20 2" xfId="396"/>
    <cellStyle name="20% - Accent2 20 2 2" xfId="397"/>
    <cellStyle name="20% - Accent2 20 2 3" xfId="398"/>
    <cellStyle name="20% - Accent2 20 3" xfId="399"/>
    <cellStyle name="20% - Accent2 20 4" xfId="400"/>
    <cellStyle name="20% - Accent2 21" xfId="401"/>
    <cellStyle name="20% - Accent2 21 2" xfId="402"/>
    <cellStyle name="20% - Accent2 21 2 2" xfId="403"/>
    <cellStyle name="20% - Accent2 21 2 3" xfId="404"/>
    <cellStyle name="20% - Accent2 21 3" xfId="405"/>
    <cellStyle name="20% - Accent2 21 4" xfId="406"/>
    <cellStyle name="20% - Accent2 22" xfId="407"/>
    <cellStyle name="20% - Accent2 22 2" xfId="408"/>
    <cellStyle name="20% - Accent2 22 2 2" xfId="409"/>
    <cellStyle name="20% - Accent2 22 2 3" xfId="410"/>
    <cellStyle name="20% - Accent2 22 3" xfId="411"/>
    <cellStyle name="20% - Accent2 22 4" xfId="412"/>
    <cellStyle name="20% - Accent2 23" xfId="413"/>
    <cellStyle name="20% - Accent2 23 2" xfId="414"/>
    <cellStyle name="20% - Accent2 23 2 2" xfId="415"/>
    <cellStyle name="20% - Accent2 23 2 3" xfId="416"/>
    <cellStyle name="20% - Accent2 23 3" xfId="417"/>
    <cellStyle name="20% - Accent2 23 4" xfId="418"/>
    <cellStyle name="20% - Accent2 24" xfId="419"/>
    <cellStyle name="20% - Accent2 24 2" xfId="420"/>
    <cellStyle name="20% - Accent2 24 2 2" xfId="421"/>
    <cellStyle name="20% - Accent2 24 2 3" xfId="422"/>
    <cellStyle name="20% - Accent2 24 3" xfId="423"/>
    <cellStyle name="20% - Accent2 24 4" xfId="424"/>
    <cellStyle name="20% - Accent2 25" xfId="425"/>
    <cellStyle name="20% - Accent2 25 2" xfId="426"/>
    <cellStyle name="20% - Accent2 25 2 2" xfId="427"/>
    <cellStyle name="20% - Accent2 25 2 3" xfId="428"/>
    <cellStyle name="20% - Accent2 25 3" xfId="429"/>
    <cellStyle name="20% - Accent2 25 4" xfId="430"/>
    <cellStyle name="20% - Accent2 26" xfId="431"/>
    <cellStyle name="20% - Accent2 26 2" xfId="432"/>
    <cellStyle name="20% - Accent2 26 2 2" xfId="433"/>
    <cellStyle name="20% - Accent2 26 2 3" xfId="434"/>
    <cellStyle name="20% - Accent2 26 3" xfId="435"/>
    <cellStyle name="20% - Accent2 26 4" xfId="436"/>
    <cellStyle name="20% - Accent2 27" xfId="437"/>
    <cellStyle name="20% - Accent2 27 2" xfId="438"/>
    <cellStyle name="20% - Accent2 27 2 2" xfId="439"/>
    <cellStyle name="20% - Accent2 27 2 3" xfId="440"/>
    <cellStyle name="20% - Accent2 27 3" xfId="441"/>
    <cellStyle name="20% - Accent2 27 4" xfId="442"/>
    <cellStyle name="20% - Accent2 28" xfId="443"/>
    <cellStyle name="20% - Accent2 28 2" xfId="444"/>
    <cellStyle name="20% - Accent2 28 2 2" xfId="445"/>
    <cellStyle name="20% - Accent2 28 2 3" xfId="446"/>
    <cellStyle name="20% - Accent2 28 3" xfId="447"/>
    <cellStyle name="20% - Accent2 28 4" xfId="448"/>
    <cellStyle name="20% - Accent2 29" xfId="449"/>
    <cellStyle name="20% - Accent2 29 2" xfId="450"/>
    <cellStyle name="20% - Accent2 29 2 2" xfId="451"/>
    <cellStyle name="20% - Accent2 29 2 3" xfId="452"/>
    <cellStyle name="20% - Accent2 29 3" xfId="453"/>
    <cellStyle name="20% - Accent2 29 4" xfId="454"/>
    <cellStyle name="20% - Accent2 3" xfId="456"/>
    <cellStyle name="20% - Accent2 3 2" xfId="457"/>
    <cellStyle name="20% - Accent2 3 3" xfId="458"/>
    <cellStyle name="20% - Accent2 3 3 2" xfId="459"/>
    <cellStyle name="20% - Accent2 3 4" xfId="460"/>
    <cellStyle name="20% - Accent2 3 4 2" xfId="461"/>
    <cellStyle name="20% - Accent2 3 5" xfId="462"/>
    <cellStyle name="20% - Accent2 3 6" xfId="463"/>
    <cellStyle name="20% - Accent2 3 7" xfId="464"/>
    <cellStyle name="20% - Accent2 3 8" xfId="465"/>
    <cellStyle name="20% - Accent2 3 9" xfId="466"/>
    <cellStyle name="20% - Accent2 3_Sheet2" xfId="522"/>
    <cellStyle name="20% - Accent2 30" xfId="467"/>
    <cellStyle name="20% - Accent2 30 2" xfId="468"/>
    <cellStyle name="20% - Accent2 30 2 2" xfId="469"/>
    <cellStyle name="20% - Accent2 30 2 3" xfId="470"/>
    <cellStyle name="20% - Accent2 30 3" xfId="471"/>
    <cellStyle name="20% - Accent2 30 4" xfId="472"/>
    <cellStyle name="20% - Accent2 31" xfId="473"/>
    <cellStyle name="20% - Accent2 31 2" xfId="474"/>
    <cellStyle name="20% - Accent2 31 2 2" xfId="475"/>
    <cellStyle name="20% - Accent2 31 2 3" xfId="476"/>
    <cellStyle name="20% - Accent2 31 3" xfId="477"/>
    <cellStyle name="20% - Accent2 31 4" xfId="478"/>
    <cellStyle name="20% - Accent2 32" xfId="479"/>
    <cellStyle name="20% - Accent2 33" xfId="480"/>
    <cellStyle name="20% - Accent2 33 2" xfId="481"/>
    <cellStyle name="20% - Accent2 33 2 2" xfId="482"/>
    <cellStyle name="20% - Accent2 33 2 3" xfId="483"/>
    <cellStyle name="20% - Accent2 33 3" xfId="484"/>
    <cellStyle name="20% - Accent2 33 4" xfId="485"/>
    <cellStyle name="20% - Accent2 34" xfId="486"/>
    <cellStyle name="20% - Accent2 34 2" xfId="487"/>
    <cellStyle name="20% - Accent2 34 2 2" xfId="488"/>
    <cellStyle name="20% - Accent2 34 2 3" xfId="489"/>
    <cellStyle name="20% - Accent2 34 3" xfId="490"/>
    <cellStyle name="20% - Accent2 34 4" xfId="491"/>
    <cellStyle name="20% - Accent2 35" xfId="492"/>
    <cellStyle name="20% - Accent2 35 2" xfId="493"/>
    <cellStyle name="20% - Accent2 35 2 2" xfId="494"/>
    <cellStyle name="20% - Accent2 35 2 3" xfId="495"/>
    <cellStyle name="20% - Accent2 35 3" xfId="496"/>
    <cellStyle name="20% - Accent2 35 4" xfId="497"/>
    <cellStyle name="20% - Accent2 36" xfId="498"/>
    <cellStyle name="20% - Accent2 36 2" xfId="499"/>
    <cellStyle name="20% - Accent2 36 2 2" xfId="500"/>
    <cellStyle name="20% - Accent2 36 2 3" xfId="501"/>
    <cellStyle name="20% - Accent2 36 3" xfId="502"/>
    <cellStyle name="20% - Accent2 36 4" xfId="503"/>
    <cellStyle name="20% - Accent2 37" xfId="504"/>
    <cellStyle name="20% - Accent2 37 2" xfId="505"/>
    <cellStyle name="20% - Accent2 37 2 2" xfId="506"/>
    <cellStyle name="20% - Accent2 37 2 3" xfId="507"/>
    <cellStyle name="20% - Accent2 37 3" xfId="508"/>
    <cellStyle name="20% - Accent2 37 4" xfId="509"/>
    <cellStyle name="20% - Accent2 38" xfId="510"/>
    <cellStyle name="20% - Accent2 38 2" xfId="511"/>
    <cellStyle name="20% - Accent2 38 2 2" xfId="512"/>
    <cellStyle name="20% - Accent2 38 2 3" xfId="513"/>
    <cellStyle name="20% - Accent2 38 3" xfId="514"/>
    <cellStyle name="20% - Accent2 38 4" xfId="515"/>
    <cellStyle name="20% - Accent2 39" xfId="516"/>
    <cellStyle name="20% - Accent2 39 2" xfId="517"/>
    <cellStyle name="20% - Accent2 39 2 2" xfId="518"/>
    <cellStyle name="20% - Accent2 39 2 3" xfId="519"/>
    <cellStyle name="20% - Accent2 39 3" xfId="520"/>
    <cellStyle name="20% - Accent2 39 4" xfId="521"/>
    <cellStyle name="20% - Accent2 4" xfId="523"/>
    <cellStyle name="20% - Accent2 4 2" xfId="524"/>
    <cellStyle name="20% - Accent2 4 3" xfId="525"/>
    <cellStyle name="20% - Accent2 4 3 2" xfId="526"/>
    <cellStyle name="20% - Accent2 4 4" xfId="527"/>
    <cellStyle name="20% - Accent2 4 4 2" xfId="528"/>
    <cellStyle name="20% - Accent2 4 5" xfId="529"/>
    <cellStyle name="20% - Accent2 4 6" xfId="530"/>
    <cellStyle name="20% - Accent2 4 7" xfId="531"/>
    <cellStyle name="20% - Accent2 4 8" xfId="532"/>
    <cellStyle name="20% - Accent2 4 9" xfId="533"/>
    <cellStyle name="20% - Accent2 4_Sheet2" xfId="534"/>
    <cellStyle name="20% - Accent2 5" xfId="535"/>
    <cellStyle name="20% - Accent2 5 2" xfId="536"/>
    <cellStyle name="20% - Accent2 5 2 2" xfId="537"/>
    <cellStyle name="20% - Accent2 5 3" xfId="538"/>
    <cellStyle name="20% - Accent2 5 3 2" xfId="539"/>
    <cellStyle name="20% - Accent2 5 4" xfId="540"/>
    <cellStyle name="20% - Accent2 5 4 2" xfId="541"/>
    <cellStyle name="20% - Accent2 5 5" xfId="542"/>
    <cellStyle name="20% - Accent2 5 6" xfId="543"/>
    <cellStyle name="20% - Accent2 5 7" xfId="544"/>
    <cellStyle name="20% - Accent2 5 8" xfId="545"/>
    <cellStyle name="20% - Accent2 5 9" xfId="546"/>
    <cellStyle name="20% - Accent2 5_Sheet2" xfId="547"/>
    <cellStyle name="20% - Accent2 6" xfId="548"/>
    <cellStyle name="20% - Accent2 6 2" xfId="549"/>
    <cellStyle name="20% - Accent2 6 2 2" xfId="550"/>
    <cellStyle name="20% - Accent2 6 3" xfId="551"/>
    <cellStyle name="20% - Accent2 6 3 2" xfId="552"/>
    <cellStyle name="20% - Accent2 6 4" xfId="553"/>
    <cellStyle name="20% - Accent2 6 4 2" xfId="554"/>
    <cellStyle name="20% - Accent2 6 5" xfId="555"/>
    <cellStyle name="20% - Accent2 6 6" xfId="556"/>
    <cellStyle name="20% - Accent2 6 7" xfId="557"/>
    <cellStyle name="20% - Accent2 6 8" xfId="558"/>
    <cellStyle name="20% - Accent2 6 9" xfId="559"/>
    <cellStyle name="20% - Accent2 6_Sheet2" xfId="560"/>
    <cellStyle name="20% - Accent2 7" xfId="561"/>
    <cellStyle name="20% - Accent2 7 2" xfId="562"/>
    <cellStyle name="20% - Accent2 7 2 2" xfId="563"/>
    <cellStyle name="20% - Accent2 7 3" xfId="564"/>
    <cellStyle name="20% - Accent2 7 3 2" xfId="565"/>
    <cellStyle name="20% - Accent2 7 4" xfId="566"/>
    <cellStyle name="20% - Accent2 7 4 2" xfId="567"/>
    <cellStyle name="20% - Accent2 7 5" xfId="568"/>
    <cellStyle name="20% - Accent2 7 6" xfId="569"/>
    <cellStyle name="20% - Accent2 7 7" xfId="570"/>
    <cellStyle name="20% - Accent2 7 8" xfId="571"/>
    <cellStyle name="20% - Accent2 7 9" xfId="572"/>
    <cellStyle name="20% - Accent2 7_Sheet2" xfId="573"/>
    <cellStyle name="20% - Accent2 8" xfId="574"/>
    <cellStyle name="20% - Accent2 8 2" xfId="575"/>
    <cellStyle name="20% - Accent2 8 3" xfId="576"/>
    <cellStyle name="20% - Accent2 8 4" xfId="577"/>
    <cellStyle name="20% - Accent2 8 5" xfId="578"/>
    <cellStyle name="20% - Accent2 8 6" xfId="579"/>
    <cellStyle name="20% - Accent2 8 7" xfId="580"/>
    <cellStyle name="20% - Accent2 8 8" xfId="581"/>
    <cellStyle name="20% - Accent2 8 9" xfId="582"/>
    <cellStyle name="20% - Accent2 8_Sheet2" xfId="583"/>
    <cellStyle name="20% - Accent2 9" xfId="584"/>
    <cellStyle name="20% - Accent2 9 2" xfId="585"/>
    <cellStyle name="20% - Accent2 9 3" xfId="586"/>
    <cellStyle name="20% - Accent2 9 4" xfId="587"/>
    <cellStyle name="20% - Accent2 9 5" xfId="588"/>
    <cellStyle name="20% - Accent2 9 6" xfId="589"/>
    <cellStyle name="20% - Accent2 9 7" xfId="590"/>
    <cellStyle name="20% - Accent2 9 8" xfId="591"/>
    <cellStyle name="20% - Accent2 9 9" xfId="592"/>
    <cellStyle name="20% - Accent3 1" xfId="593"/>
    <cellStyle name="20% - Accent3 1 1" xfId="594"/>
    <cellStyle name="20% - Accent3 1 1 2" xfId="595"/>
    <cellStyle name="20% - Accent3 1 2" xfId="596"/>
    <cellStyle name="20% - Accent3 1_Building_-_5-final_Price_Variation(1)" xfId="660"/>
    <cellStyle name="20% - Accent3 10" xfId="597"/>
    <cellStyle name="20% - Accent3 10 2" xfId="598"/>
    <cellStyle name="20% - Accent3 10 3" xfId="599"/>
    <cellStyle name="20% - Accent3 10 4" xfId="600"/>
    <cellStyle name="20% - Accent3 10 5" xfId="601"/>
    <cellStyle name="20% - Accent3 10 6" xfId="602"/>
    <cellStyle name="20% - Accent3 10 7" xfId="603"/>
    <cellStyle name="20% - Accent3 10 8" xfId="604"/>
    <cellStyle name="20% - Accent3 10 9" xfId="605"/>
    <cellStyle name="20% - Accent3 11" xfId="606"/>
    <cellStyle name="20% - Accent3 11 2" xfId="607"/>
    <cellStyle name="20% - Accent3 11 2 2" xfId="608"/>
    <cellStyle name="20% - Accent3 11 2 3" xfId="609"/>
    <cellStyle name="20% - Accent3 11 3" xfId="610"/>
    <cellStyle name="20% - Accent3 11 4" xfId="611"/>
    <cellStyle name="20% - Accent3 12" xfId="612"/>
    <cellStyle name="20% - Accent3 12 2" xfId="613"/>
    <cellStyle name="20% - Accent3 12 2 2" xfId="614"/>
    <cellStyle name="20% - Accent3 12 2 3" xfId="615"/>
    <cellStyle name="20% - Accent3 12 3" xfId="616"/>
    <cellStyle name="20% - Accent3 12 4" xfId="617"/>
    <cellStyle name="20% - Accent3 13" xfId="618"/>
    <cellStyle name="20% - Accent3 13 2" xfId="619"/>
    <cellStyle name="20% - Accent3 13 2 2" xfId="620"/>
    <cellStyle name="20% - Accent3 13 2 3" xfId="621"/>
    <cellStyle name="20% - Accent3 13 3" xfId="622"/>
    <cellStyle name="20% - Accent3 13 4" xfId="623"/>
    <cellStyle name="20% - Accent3 14" xfId="624"/>
    <cellStyle name="20% - Accent3 14 2" xfId="625"/>
    <cellStyle name="20% - Accent3 14 2 2" xfId="626"/>
    <cellStyle name="20% - Accent3 14 2 3" xfId="627"/>
    <cellStyle name="20% - Accent3 14 3" xfId="628"/>
    <cellStyle name="20% - Accent3 14 4" xfId="629"/>
    <cellStyle name="20% - Accent3 15" xfId="630"/>
    <cellStyle name="20% - Accent3 15 2" xfId="631"/>
    <cellStyle name="20% - Accent3 15 2 2" xfId="632"/>
    <cellStyle name="20% - Accent3 15 2 3" xfId="633"/>
    <cellStyle name="20% - Accent3 15 3" xfId="634"/>
    <cellStyle name="20% - Accent3 15 4" xfId="635"/>
    <cellStyle name="20% - Accent3 16" xfId="636"/>
    <cellStyle name="20% - Accent3 16 2" xfId="637"/>
    <cellStyle name="20% - Accent3 16 2 2" xfId="638"/>
    <cellStyle name="20% - Accent3 16 2 3" xfId="639"/>
    <cellStyle name="20% - Accent3 16 3" xfId="640"/>
    <cellStyle name="20% - Accent3 16 4" xfId="641"/>
    <cellStyle name="20% - Accent3 17" xfId="642"/>
    <cellStyle name="20% - Accent3 17 2" xfId="643"/>
    <cellStyle name="20% - Accent3 17 2 2" xfId="644"/>
    <cellStyle name="20% - Accent3 17 2 3" xfId="645"/>
    <cellStyle name="20% - Accent3 17 3" xfId="646"/>
    <cellStyle name="20% - Accent3 17 4" xfId="647"/>
    <cellStyle name="20% - Accent3 18" xfId="648"/>
    <cellStyle name="20% - Accent3 18 2" xfId="649"/>
    <cellStyle name="20% - Accent3 18 2 2" xfId="650"/>
    <cellStyle name="20% - Accent3 18 2 3" xfId="651"/>
    <cellStyle name="20% - Accent3 18 3" xfId="652"/>
    <cellStyle name="20% - Accent3 18 4" xfId="653"/>
    <cellStyle name="20% - Accent3 19" xfId="654"/>
    <cellStyle name="20% - Accent3 19 2" xfId="655"/>
    <cellStyle name="20% - Accent3 19 2 2" xfId="656"/>
    <cellStyle name="20% - Accent3 19 2 3" xfId="657"/>
    <cellStyle name="20% - Accent3 19 3" xfId="658"/>
    <cellStyle name="20% - Accent3 19 4" xfId="659"/>
    <cellStyle name="20% - Accent3 2" xfId="661"/>
    <cellStyle name="20% - Accent3 2 10" xfId="662"/>
    <cellStyle name="20% - Accent3 2 2" xfId="663"/>
    <cellStyle name="20% - Accent3 2 2 2" xfId="664"/>
    <cellStyle name="20% - Accent3 2 3" xfId="665"/>
    <cellStyle name="20% - Accent3 2 3 2" xfId="666"/>
    <cellStyle name="20% - Accent3 2 4" xfId="667"/>
    <cellStyle name="20% - Accent3 2 4 2" xfId="668"/>
    <cellStyle name="20% - Accent3 2 5" xfId="669"/>
    <cellStyle name="20% - Accent3 2 5 2" xfId="670"/>
    <cellStyle name="20% - Accent3 2 6" xfId="671"/>
    <cellStyle name="20% - Accent3 2 7" xfId="672"/>
    <cellStyle name="20% - Accent3 2 8" xfId="673"/>
    <cellStyle name="20% - Accent3 2 9" xfId="674"/>
    <cellStyle name="20% - Accent3 2_B Block  Column LGF to UGF Lvl" xfId="735"/>
    <cellStyle name="20% - Accent3 20" xfId="675"/>
    <cellStyle name="20% - Accent3 20 2" xfId="676"/>
    <cellStyle name="20% - Accent3 20 2 2" xfId="677"/>
    <cellStyle name="20% - Accent3 20 2 3" xfId="678"/>
    <cellStyle name="20% - Accent3 20 3" xfId="679"/>
    <cellStyle name="20% - Accent3 20 4" xfId="680"/>
    <cellStyle name="20% - Accent3 21" xfId="681"/>
    <cellStyle name="20% - Accent3 21 2" xfId="682"/>
    <cellStyle name="20% - Accent3 21 2 2" xfId="683"/>
    <cellStyle name="20% - Accent3 21 2 3" xfId="684"/>
    <cellStyle name="20% - Accent3 21 3" xfId="685"/>
    <cellStyle name="20% - Accent3 21 4" xfId="686"/>
    <cellStyle name="20% - Accent3 22" xfId="687"/>
    <cellStyle name="20% - Accent3 22 2" xfId="688"/>
    <cellStyle name="20% - Accent3 22 2 2" xfId="689"/>
    <cellStyle name="20% - Accent3 22 2 3" xfId="690"/>
    <cellStyle name="20% - Accent3 22 3" xfId="691"/>
    <cellStyle name="20% - Accent3 22 4" xfId="692"/>
    <cellStyle name="20% - Accent3 23" xfId="693"/>
    <cellStyle name="20% - Accent3 23 2" xfId="694"/>
    <cellStyle name="20% - Accent3 23 2 2" xfId="695"/>
    <cellStyle name="20% - Accent3 23 2 3" xfId="696"/>
    <cellStyle name="20% - Accent3 23 3" xfId="697"/>
    <cellStyle name="20% - Accent3 23 4" xfId="698"/>
    <cellStyle name="20% - Accent3 24" xfId="699"/>
    <cellStyle name="20% - Accent3 24 2" xfId="700"/>
    <cellStyle name="20% - Accent3 24 2 2" xfId="701"/>
    <cellStyle name="20% - Accent3 24 2 3" xfId="702"/>
    <cellStyle name="20% - Accent3 24 3" xfId="703"/>
    <cellStyle name="20% - Accent3 24 4" xfId="704"/>
    <cellStyle name="20% - Accent3 25" xfId="705"/>
    <cellStyle name="20% - Accent3 25 2" xfId="706"/>
    <cellStyle name="20% - Accent3 25 2 2" xfId="707"/>
    <cellStyle name="20% - Accent3 25 2 3" xfId="708"/>
    <cellStyle name="20% - Accent3 25 3" xfId="709"/>
    <cellStyle name="20% - Accent3 25 4" xfId="710"/>
    <cellStyle name="20% - Accent3 26" xfId="711"/>
    <cellStyle name="20% - Accent3 26 2" xfId="712"/>
    <cellStyle name="20% - Accent3 26 2 2" xfId="713"/>
    <cellStyle name="20% - Accent3 26 2 3" xfId="714"/>
    <cellStyle name="20% - Accent3 26 3" xfId="715"/>
    <cellStyle name="20% - Accent3 26 4" xfId="716"/>
    <cellStyle name="20% - Accent3 27" xfId="717"/>
    <cellStyle name="20% - Accent3 27 2" xfId="718"/>
    <cellStyle name="20% - Accent3 27 2 2" xfId="719"/>
    <cellStyle name="20% - Accent3 27 2 3" xfId="720"/>
    <cellStyle name="20% - Accent3 27 3" xfId="721"/>
    <cellStyle name="20% - Accent3 27 4" xfId="722"/>
    <cellStyle name="20% - Accent3 28" xfId="723"/>
    <cellStyle name="20% - Accent3 28 2" xfId="724"/>
    <cellStyle name="20% - Accent3 28 2 2" xfId="725"/>
    <cellStyle name="20% - Accent3 28 2 3" xfId="726"/>
    <cellStyle name="20% - Accent3 28 3" xfId="727"/>
    <cellStyle name="20% - Accent3 28 4" xfId="728"/>
    <cellStyle name="20% - Accent3 29" xfId="729"/>
    <cellStyle name="20% - Accent3 29 2" xfId="730"/>
    <cellStyle name="20% - Accent3 29 2 2" xfId="731"/>
    <cellStyle name="20% - Accent3 29 2 3" xfId="732"/>
    <cellStyle name="20% - Accent3 29 3" xfId="733"/>
    <cellStyle name="20% - Accent3 29 4" xfId="734"/>
    <cellStyle name="20% - Accent3 3" xfId="736"/>
    <cellStyle name="20% - Accent3 3 2" xfId="737"/>
    <cellStyle name="20% - Accent3 3 3" xfId="738"/>
    <cellStyle name="20% - Accent3 3 3 2" xfId="739"/>
    <cellStyle name="20% - Accent3 3 4" xfId="740"/>
    <cellStyle name="20% - Accent3 3 4 2" xfId="741"/>
    <cellStyle name="20% - Accent3 3 5" xfId="742"/>
    <cellStyle name="20% - Accent3 3 6" xfId="743"/>
    <cellStyle name="20% - Accent3 3 7" xfId="744"/>
    <cellStyle name="20% - Accent3 3 8" xfId="745"/>
    <cellStyle name="20% - Accent3 3 9" xfId="746"/>
    <cellStyle name="20% - Accent3 3_Sheet2" xfId="802"/>
    <cellStyle name="20% - Accent3 30" xfId="747"/>
    <cellStyle name="20% - Accent3 30 2" xfId="748"/>
    <cellStyle name="20% - Accent3 30 2 2" xfId="749"/>
    <cellStyle name="20% - Accent3 30 2 3" xfId="750"/>
    <cellStyle name="20% - Accent3 30 3" xfId="751"/>
    <cellStyle name="20% - Accent3 30 4" xfId="752"/>
    <cellStyle name="20% - Accent3 31" xfId="753"/>
    <cellStyle name="20% - Accent3 31 2" xfId="754"/>
    <cellStyle name="20% - Accent3 31 2 2" xfId="755"/>
    <cellStyle name="20% - Accent3 31 2 3" xfId="756"/>
    <cellStyle name="20% - Accent3 31 3" xfId="757"/>
    <cellStyle name="20% - Accent3 31 4" xfId="758"/>
    <cellStyle name="20% - Accent3 32" xfId="759"/>
    <cellStyle name="20% - Accent3 33" xfId="760"/>
    <cellStyle name="20% - Accent3 33 2" xfId="761"/>
    <cellStyle name="20% - Accent3 33 2 2" xfId="762"/>
    <cellStyle name="20% - Accent3 33 2 3" xfId="763"/>
    <cellStyle name="20% - Accent3 33 3" xfId="764"/>
    <cellStyle name="20% - Accent3 33 4" xfId="765"/>
    <cellStyle name="20% - Accent3 34" xfId="766"/>
    <cellStyle name="20% - Accent3 34 2" xfId="767"/>
    <cellStyle name="20% - Accent3 34 2 2" xfId="768"/>
    <cellStyle name="20% - Accent3 34 2 3" xfId="769"/>
    <cellStyle name="20% - Accent3 34 3" xfId="770"/>
    <cellStyle name="20% - Accent3 34 4" xfId="771"/>
    <cellStyle name="20% - Accent3 35" xfId="772"/>
    <cellStyle name="20% - Accent3 35 2" xfId="773"/>
    <cellStyle name="20% - Accent3 35 2 2" xfId="774"/>
    <cellStyle name="20% - Accent3 35 2 3" xfId="775"/>
    <cellStyle name="20% - Accent3 35 3" xfId="776"/>
    <cellStyle name="20% - Accent3 35 4" xfId="777"/>
    <cellStyle name="20% - Accent3 36" xfId="778"/>
    <cellStyle name="20% - Accent3 36 2" xfId="779"/>
    <cellStyle name="20% - Accent3 36 2 2" xfId="780"/>
    <cellStyle name="20% - Accent3 36 2 3" xfId="781"/>
    <cellStyle name="20% - Accent3 36 3" xfId="782"/>
    <cellStyle name="20% - Accent3 36 4" xfId="783"/>
    <cellStyle name="20% - Accent3 37" xfId="784"/>
    <cellStyle name="20% - Accent3 37 2" xfId="785"/>
    <cellStyle name="20% - Accent3 37 2 2" xfId="786"/>
    <cellStyle name="20% - Accent3 37 2 3" xfId="787"/>
    <cellStyle name="20% - Accent3 37 3" xfId="788"/>
    <cellStyle name="20% - Accent3 37 4" xfId="789"/>
    <cellStyle name="20% - Accent3 38" xfId="790"/>
    <cellStyle name="20% - Accent3 38 2" xfId="791"/>
    <cellStyle name="20% - Accent3 38 2 2" xfId="792"/>
    <cellStyle name="20% - Accent3 38 2 3" xfId="793"/>
    <cellStyle name="20% - Accent3 38 3" xfId="794"/>
    <cellStyle name="20% - Accent3 38 4" xfId="795"/>
    <cellStyle name="20% - Accent3 39" xfId="796"/>
    <cellStyle name="20% - Accent3 39 2" xfId="797"/>
    <cellStyle name="20% - Accent3 39 2 2" xfId="798"/>
    <cellStyle name="20% - Accent3 39 2 3" xfId="799"/>
    <cellStyle name="20% - Accent3 39 3" xfId="800"/>
    <cellStyle name="20% - Accent3 39 4" xfId="801"/>
    <cellStyle name="20% - Accent3 4" xfId="803"/>
    <cellStyle name="20% - Accent3 4 2" xfId="804"/>
    <cellStyle name="20% - Accent3 4 3" xfId="805"/>
    <cellStyle name="20% - Accent3 4 3 2" xfId="806"/>
    <cellStyle name="20% - Accent3 4 4" xfId="807"/>
    <cellStyle name="20% - Accent3 4 4 2" xfId="808"/>
    <cellStyle name="20% - Accent3 4 5" xfId="809"/>
    <cellStyle name="20% - Accent3 4 6" xfId="810"/>
    <cellStyle name="20% - Accent3 4 7" xfId="811"/>
    <cellStyle name="20% - Accent3 4 8" xfId="812"/>
    <cellStyle name="20% - Accent3 4 9" xfId="813"/>
    <cellStyle name="20% - Accent3 4_Sheet2" xfId="814"/>
    <cellStyle name="20% - Accent3 5" xfId="815"/>
    <cellStyle name="20% - Accent3 5 2" xfId="816"/>
    <cellStyle name="20% - Accent3 5 2 2" xfId="817"/>
    <cellStyle name="20% - Accent3 5 3" xfId="818"/>
    <cellStyle name="20% - Accent3 5 3 2" xfId="819"/>
    <cellStyle name="20% - Accent3 5 4" xfId="820"/>
    <cellStyle name="20% - Accent3 5 4 2" xfId="821"/>
    <cellStyle name="20% - Accent3 5 5" xfId="822"/>
    <cellStyle name="20% - Accent3 5 6" xfId="823"/>
    <cellStyle name="20% - Accent3 5 7" xfId="824"/>
    <cellStyle name="20% - Accent3 5 8" xfId="825"/>
    <cellStyle name="20% - Accent3 5 9" xfId="826"/>
    <cellStyle name="20% - Accent3 5_Sheet2" xfId="827"/>
    <cellStyle name="20% - Accent3 6" xfId="828"/>
    <cellStyle name="20% - Accent3 6 2" xfId="829"/>
    <cellStyle name="20% - Accent3 6 2 2" xfId="830"/>
    <cellStyle name="20% - Accent3 6 3" xfId="831"/>
    <cellStyle name="20% - Accent3 6 3 2" xfId="832"/>
    <cellStyle name="20% - Accent3 6 4" xfId="833"/>
    <cellStyle name="20% - Accent3 6 4 2" xfId="834"/>
    <cellStyle name="20% - Accent3 6 5" xfId="835"/>
    <cellStyle name="20% - Accent3 6 6" xfId="836"/>
    <cellStyle name="20% - Accent3 6 7" xfId="837"/>
    <cellStyle name="20% - Accent3 6 8" xfId="838"/>
    <cellStyle name="20% - Accent3 6 9" xfId="839"/>
    <cellStyle name="20% - Accent3 6_Sheet2" xfId="840"/>
    <cellStyle name="20% - Accent3 7" xfId="841"/>
    <cellStyle name="20% - Accent3 7 2" xfId="842"/>
    <cellStyle name="20% - Accent3 7 2 2" xfId="843"/>
    <cellStyle name="20% - Accent3 7 3" xfId="844"/>
    <cellStyle name="20% - Accent3 7 3 2" xfId="845"/>
    <cellStyle name="20% - Accent3 7 4" xfId="846"/>
    <cellStyle name="20% - Accent3 7 4 2" xfId="847"/>
    <cellStyle name="20% - Accent3 7 5" xfId="848"/>
    <cellStyle name="20% - Accent3 7 6" xfId="849"/>
    <cellStyle name="20% - Accent3 7 7" xfId="850"/>
    <cellStyle name="20% - Accent3 7 8" xfId="851"/>
    <cellStyle name="20% - Accent3 7 9" xfId="852"/>
    <cellStyle name="20% - Accent3 7_Sheet2" xfId="853"/>
    <cellStyle name="20% - Accent3 8" xfId="854"/>
    <cellStyle name="20% - Accent3 8 2" xfId="855"/>
    <cellStyle name="20% - Accent3 8 3" xfId="856"/>
    <cellStyle name="20% - Accent3 8 4" xfId="857"/>
    <cellStyle name="20% - Accent3 8 5" xfId="858"/>
    <cellStyle name="20% - Accent3 8 6" xfId="859"/>
    <cellStyle name="20% - Accent3 8 7" xfId="860"/>
    <cellStyle name="20% - Accent3 8 8" xfId="861"/>
    <cellStyle name="20% - Accent3 8 9" xfId="862"/>
    <cellStyle name="20% - Accent3 8_Sheet2" xfId="863"/>
    <cellStyle name="20% - Accent3 9" xfId="864"/>
    <cellStyle name="20% - Accent3 9 2" xfId="865"/>
    <cellStyle name="20% - Accent3 9 3" xfId="866"/>
    <cellStyle name="20% - Accent3 9 4" xfId="867"/>
    <cellStyle name="20% - Accent3 9 5" xfId="868"/>
    <cellStyle name="20% - Accent3 9 6" xfId="869"/>
    <cellStyle name="20% - Accent3 9 7" xfId="870"/>
    <cellStyle name="20% - Accent3 9 8" xfId="871"/>
    <cellStyle name="20% - Accent3 9 9" xfId="872"/>
    <cellStyle name="20% - Accent4 1" xfId="873"/>
    <cellStyle name="20% - Accent4 1 1" xfId="874"/>
    <cellStyle name="20% - Accent4 1 1 2" xfId="875"/>
    <cellStyle name="20% - Accent4 1 2" xfId="876"/>
    <cellStyle name="20% - Accent4 1_Building_-_5-final_Price_Variation(1)" xfId="940"/>
    <cellStyle name="20% - Accent4 10" xfId="877"/>
    <cellStyle name="20% - Accent4 10 2" xfId="878"/>
    <cellStyle name="20% - Accent4 10 3" xfId="879"/>
    <cellStyle name="20% - Accent4 10 4" xfId="880"/>
    <cellStyle name="20% - Accent4 10 5" xfId="881"/>
    <cellStyle name="20% - Accent4 10 6" xfId="882"/>
    <cellStyle name="20% - Accent4 10 7" xfId="883"/>
    <cellStyle name="20% - Accent4 10 8" xfId="884"/>
    <cellStyle name="20% - Accent4 10 9" xfId="885"/>
    <cellStyle name="20% - Accent4 11" xfId="886"/>
    <cellStyle name="20% - Accent4 11 2" xfId="887"/>
    <cellStyle name="20% - Accent4 11 2 2" xfId="888"/>
    <cellStyle name="20% - Accent4 11 2 3" xfId="889"/>
    <cellStyle name="20% - Accent4 11 3" xfId="890"/>
    <cellStyle name="20% - Accent4 11 4" xfId="891"/>
    <cellStyle name="20% - Accent4 12" xfId="892"/>
    <cellStyle name="20% - Accent4 12 2" xfId="893"/>
    <cellStyle name="20% - Accent4 12 2 2" xfId="894"/>
    <cellStyle name="20% - Accent4 12 2 3" xfId="895"/>
    <cellStyle name="20% - Accent4 12 3" xfId="896"/>
    <cellStyle name="20% - Accent4 12 4" xfId="897"/>
    <cellStyle name="20% - Accent4 13" xfId="898"/>
    <cellStyle name="20% - Accent4 13 2" xfId="899"/>
    <cellStyle name="20% - Accent4 13 2 2" xfId="900"/>
    <cellStyle name="20% - Accent4 13 2 3" xfId="901"/>
    <cellStyle name="20% - Accent4 13 3" xfId="902"/>
    <cellStyle name="20% - Accent4 13 4" xfId="903"/>
    <cellStyle name="20% - Accent4 14" xfId="904"/>
    <cellStyle name="20% - Accent4 14 2" xfId="905"/>
    <cellStyle name="20% - Accent4 14 2 2" xfId="906"/>
    <cellStyle name="20% - Accent4 14 2 3" xfId="907"/>
    <cellStyle name="20% - Accent4 14 3" xfId="908"/>
    <cellStyle name="20% - Accent4 14 4" xfId="909"/>
    <cellStyle name="20% - Accent4 15" xfId="910"/>
    <cellStyle name="20% - Accent4 15 2" xfId="911"/>
    <cellStyle name="20% - Accent4 15 2 2" xfId="912"/>
    <cellStyle name="20% - Accent4 15 2 3" xfId="913"/>
    <cellStyle name="20% - Accent4 15 3" xfId="914"/>
    <cellStyle name="20% - Accent4 15 4" xfId="915"/>
    <cellStyle name="20% - Accent4 16" xfId="916"/>
    <cellStyle name="20% - Accent4 16 2" xfId="917"/>
    <cellStyle name="20% - Accent4 16 2 2" xfId="918"/>
    <cellStyle name="20% - Accent4 16 2 3" xfId="919"/>
    <cellStyle name="20% - Accent4 16 3" xfId="920"/>
    <cellStyle name="20% - Accent4 16 4" xfId="921"/>
    <cellStyle name="20% - Accent4 17" xfId="922"/>
    <cellStyle name="20% - Accent4 17 2" xfId="923"/>
    <cellStyle name="20% - Accent4 17 2 2" xfId="924"/>
    <cellStyle name="20% - Accent4 17 2 3" xfId="925"/>
    <cellStyle name="20% - Accent4 17 3" xfId="926"/>
    <cellStyle name="20% - Accent4 17 4" xfId="927"/>
    <cellStyle name="20% - Accent4 18" xfId="928"/>
    <cellStyle name="20% - Accent4 18 2" xfId="929"/>
    <cellStyle name="20% - Accent4 18 2 2" xfId="930"/>
    <cellStyle name="20% - Accent4 18 2 3" xfId="931"/>
    <cellStyle name="20% - Accent4 18 3" xfId="932"/>
    <cellStyle name="20% - Accent4 18 4" xfId="933"/>
    <cellStyle name="20% - Accent4 19" xfId="934"/>
    <cellStyle name="20% - Accent4 19 2" xfId="935"/>
    <cellStyle name="20% - Accent4 19 2 2" xfId="936"/>
    <cellStyle name="20% - Accent4 19 2 3" xfId="937"/>
    <cellStyle name="20% - Accent4 19 3" xfId="938"/>
    <cellStyle name="20% - Accent4 19 4" xfId="939"/>
    <cellStyle name="20% - Accent4 2" xfId="941"/>
    <cellStyle name="20% - Accent4 2 10" xfId="942"/>
    <cellStyle name="20% - Accent4 2 2" xfId="943"/>
    <cellStyle name="20% - Accent4 2 2 2" xfId="944"/>
    <cellStyle name="20% - Accent4 2 3" xfId="945"/>
    <cellStyle name="20% - Accent4 2 3 2" xfId="946"/>
    <cellStyle name="20% - Accent4 2 4" xfId="947"/>
    <cellStyle name="20% - Accent4 2 4 2" xfId="948"/>
    <cellStyle name="20% - Accent4 2 5" xfId="949"/>
    <cellStyle name="20% - Accent4 2 5 2" xfId="950"/>
    <cellStyle name="20% - Accent4 2 6" xfId="951"/>
    <cellStyle name="20% - Accent4 2 7" xfId="952"/>
    <cellStyle name="20% - Accent4 2 8" xfId="953"/>
    <cellStyle name="20% - Accent4 2 9" xfId="954"/>
    <cellStyle name="20% - Accent4 2_B Block  Column LGF to UGF Lvl" xfId="1015"/>
    <cellStyle name="20% - Accent4 20" xfId="955"/>
    <cellStyle name="20% - Accent4 20 2" xfId="956"/>
    <cellStyle name="20% - Accent4 20 2 2" xfId="957"/>
    <cellStyle name="20% - Accent4 20 2 3" xfId="958"/>
    <cellStyle name="20% - Accent4 20 3" xfId="959"/>
    <cellStyle name="20% - Accent4 20 4" xfId="960"/>
    <cellStyle name="20% - Accent4 21" xfId="961"/>
    <cellStyle name="20% - Accent4 21 2" xfId="962"/>
    <cellStyle name="20% - Accent4 21 2 2" xfId="963"/>
    <cellStyle name="20% - Accent4 21 2 3" xfId="964"/>
    <cellStyle name="20% - Accent4 21 3" xfId="965"/>
    <cellStyle name="20% - Accent4 21 4" xfId="966"/>
    <cellStyle name="20% - Accent4 22" xfId="967"/>
    <cellStyle name="20% - Accent4 22 2" xfId="968"/>
    <cellStyle name="20% - Accent4 22 2 2" xfId="969"/>
    <cellStyle name="20% - Accent4 22 2 3" xfId="970"/>
    <cellStyle name="20% - Accent4 22 3" xfId="971"/>
    <cellStyle name="20% - Accent4 22 4" xfId="972"/>
    <cellStyle name="20% - Accent4 23" xfId="973"/>
    <cellStyle name="20% - Accent4 23 2" xfId="974"/>
    <cellStyle name="20% - Accent4 23 2 2" xfId="975"/>
    <cellStyle name="20% - Accent4 23 2 3" xfId="976"/>
    <cellStyle name="20% - Accent4 23 3" xfId="977"/>
    <cellStyle name="20% - Accent4 23 4" xfId="978"/>
    <cellStyle name="20% - Accent4 24" xfId="979"/>
    <cellStyle name="20% - Accent4 24 2" xfId="980"/>
    <cellStyle name="20% - Accent4 24 2 2" xfId="981"/>
    <cellStyle name="20% - Accent4 24 2 3" xfId="982"/>
    <cellStyle name="20% - Accent4 24 3" xfId="983"/>
    <cellStyle name="20% - Accent4 24 4" xfId="984"/>
    <cellStyle name="20% - Accent4 25" xfId="985"/>
    <cellStyle name="20% - Accent4 25 2" xfId="986"/>
    <cellStyle name="20% - Accent4 25 2 2" xfId="987"/>
    <cellStyle name="20% - Accent4 25 2 3" xfId="988"/>
    <cellStyle name="20% - Accent4 25 3" xfId="989"/>
    <cellStyle name="20% - Accent4 25 4" xfId="990"/>
    <cellStyle name="20% - Accent4 26" xfId="991"/>
    <cellStyle name="20% - Accent4 26 2" xfId="992"/>
    <cellStyle name="20% - Accent4 26 2 2" xfId="993"/>
    <cellStyle name="20% - Accent4 26 2 3" xfId="994"/>
    <cellStyle name="20% - Accent4 26 3" xfId="995"/>
    <cellStyle name="20% - Accent4 26 4" xfId="996"/>
    <cellStyle name="20% - Accent4 27" xfId="997"/>
    <cellStyle name="20% - Accent4 27 2" xfId="998"/>
    <cellStyle name="20% - Accent4 27 2 2" xfId="999"/>
    <cellStyle name="20% - Accent4 27 2 3" xfId="1000"/>
    <cellStyle name="20% - Accent4 27 3" xfId="1001"/>
    <cellStyle name="20% - Accent4 27 4" xfId="1002"/>
    <cellStyle name="20% - Accent4 28" xfId="1003"/>
    <cellStyle name="20% - Accent4 28 2" xfId="1004"/>
    <cellStyle name="20% - Accent4 28 2 2" xfId="1005"/>
    <cellStyle name="20% - Accent4 28 2 3" xfId="1006"/>
    <cellStyle name="20% - Accent4 28 3" xfId="1007"/>
    <cellStyle name="20% - Accent4 28 4" xfId="1008"/>
    <cellStyle name="20% - Accent4 29" xfId="1009"/>
    <cellStyle name="20% - Accent4 29 2" xfId="1010"/>
    <cellStyle name="20% - Accent4 29 2 2" xfId="1011"/>
    <cellStyle name="20% - Accent4 29 2 3" xfId="1012"/>
    <cellStyle name="20% - Accent4 29 3" xfId="1013"/>
    <cellStyle name="20% - Accent4 29 4" xfId="1014"/>
    <cellStyle name="20% - Accent4 3" xfId="1016"/>
    <cellStyle name="20% - Accent4 3 2" xfId="1017"/>
    <cellStyle name="20% - Accent4 3 3" xfId="1018"/>
    <cellStyle name="20% - Accent4 3 3 2" xfId="1019"/>
    <cellStyle name="20% - Accent4 3 4" xfId="1020"/>
    <cellStyle name="20% - Accent4 3 4 2" xfId="1021"/>
    <cellStyle name="20% - Accent4 3 5" xfId="1022"/>
    <cellStyle name="20% - Accent4 3 6" xfId="1023"/>
    <cellStyle name="20% - Accent4 3 7" xfId="1024"/>
    <cellStyle name="20% - Accent4 3 8" xfId="1025"/>
    <cellStyle name="20% - Accent4 3 9" xfId="1026"/>
    <cellStyle name="20% - Accent4 3_Sheet2" xfId="1082"/>
    <cellStyle name="20% - Accent4 30" xfId="1027"/>
    <cellStyle name="20% - Accent4 30 2" xfId="1028"/>
    <cellStyle name="20% - Accent4 30 2 2" xfId="1029"/>
    <cellStyle name="20% - Accent4 30 2 3" xfId="1030"/>
    <cellStyle name="20% - Accent4 30 3" xfId="1031"/>
    <cellStyle name="20% - Accent4 30 4" xfId="1032"/>
    <cellStyle name="20% - Accent4 31" xfId="1033"/>
    <cellStyle name="20% - Accent4 31 2" xfId="1034"/>
    <cellStyle name="20% - Accent4 31 2 2" xfId="1035"/>
    <cellStyle name="20% - Accent4 31 2 3" xfId="1036"/>
    <cellStyle name="20% - Accent4 31 3" xfId="1037"/>
    <cellStyle name="20% - Accent4 31 4" xfId="1038"/>
    <cellStyle name="20% - Accent4 32" xfId="1039"/>
    <cellStyle name="20% - Accent4 33" xfId="1040"/>
    <cellStyle name="20% - Accent4 33 2" xfId="1041"/>
    <cellStyle name="20% - Accent4 33 2 2" xfId="1042"/>
    <cellStyle name="20% - Accent4 33 2 3" xfId="1043"/>
    <cellStyle name="20% - Accent4 33 3" xfId="1044"/>
    <cellStyle name="20% - Accent4 33 4" xfId="1045"/>
    <cellStyle name="20% - Accent4 34" xfId="1046"/>
    <cellStyle name="20% - Accent4 34 2" xfId="1047"/>
    <cellStyle name="20% - Accent4 34 2 2" xfId="1048"/>
    <cellStyle name="20% - Accent4 34 2 3" xfId="1049"/>
    <cellStyle name="20% - Accent4 34 3" xfId="1050"/>
    <cellStyle name="20% - Accent4 34 4" xfId="1051"/>
    <cellStyle name="20% - Accent4 35" xfId="1052"/>
    <cellStyle name="20% - Accent4 35 2" xfId="1053"/>
    <cellStyle name="20% - Accent4 35 2 2" xfId="1054"/>
    <cellStyle name="20% - Accent4 35 2 3" xfId="1055"/>
    <cellStyle name="20% - Accent4 35 3" xfId="1056"/>
    <cellStyle name="20% - Accent4 35 4" xfId="1057"/>
    <cellStyle name="20% - Accent4 36" xfId="1058"/>
    <cellStyle name="20% - Accent4 36 2" xfId="1059"/>
    <cellStyle name="20% - Accent4 36 2 2" xfId="1060"/>
    <cellStyle name="20% - Accent4 36 2 3" xfId="1061"/>
    <cellStyle name="20% - Accent4 36 3" xfId="1062"/>
    <cellStyle name="20% - Accent4 36 4" xfId="1063"/>
    <cellStyle name="20% - Accent4 37" xfId="1064"/>
    <cellStyle name="20% - Accent4 37 2" xfId="1065"/>
    <cellStyle name="20% - Accent4 37 2 2" xfId="1066"/>
    <cellStyle name="20% - Accent4 37 2 3" xfId="1067"/>
    <cellStyle name="20% - Accent4 37 3" xfId="1068"/>
    <cellStyle name="20% - Accent4 37 4" xfId="1069"/>
    <cellStyle name="20% - Accent4 38" xfId="1070"/>
    <cellStyle name="20% - Accent4 38 2" xfId="1071"/>
    <cellStyle name="20% - Accent4 38 2 2" xfId="1072"/>
    <cellStyle name="20% - Accent4 38 2 3" xfId="1073"/>
    <cellStyle name="20% - Accent4 38 3" xfId="1074"/>
    <cellStyle name="20% - Accent4 38 4" xfId="1075"/>
    <cellStyle name="20% - Accent4 39" xfId="1076"/>
    <cellStyle name="20% - Accent4 39 2" xfId="1077"/>
    <cellStyle name="20% - Accent4 39 2 2" xfId="1078"/>
    <cellStyle name="20% - Accent4 39 2 3" xfId="1079"/>
    <cellStyle name="20% - Accent4 39 3" xfId="1080"/>
    <cellStyle name="20% - Accent4 39 4" xfId="1081"/>
    <cellStyle name="20% - Accent4 4" xfId="1083"/>
    <cellStyle name="20% - Accent4 4 2" xfId="1084"/>
    <cellStyle name="20% - Accent4 4 3" xfId="1085"/>
    <cellStyle name="20% - Accent4 4 3 2" xfId="1086"/>
    <cellStyle name="20% - Accent4 4 4" xfId="1087"/>
    <cellStyle name="20% - Accent4 4 4 2" xfId="1088"/>
    <cellStyle name="20% - Accent4 4 5" xfId="1089"/>
    <cellStyle name="20% - Accent4 4 6" xfId="1090"/>
    <cellStyle name="20% - Accent4 4 7" xfId="1091"/>
    <cellStyle name="20% - Accent4 4 8" xfId="1092"/>
    <cellStyle name="20% - Accent4 4 9" xfId="1093"/>
    <cellStyle name="20% - Accent4 4_Sheet2" xfId="1094"/>
    <cellStyle name="20% - Accent4 5" xfId="1095"/>
    <cellStyle name="20% - Accent4 5 2" xfId="1096"/>
    <cellStyle name="20% - Accent4 5 2 2" xfId="1097"/>
    <cellStyle name="20% - Accent4 5 3" xfId="1098"/>
    <cellStyle name="20% - Accent4 5 3 2" xfId="1099"/>
    <cellStyle name="20% - Accent4 5 4" xfId="1100"/>
    <cellStyle name="20% - Accent4 5 4 2" xfId="1101"/>
    <cellStyle name="20% - Accent4 5 5" xfId="1102"/>
    <cellStyle name="20% - Accent4 5 6" xfId="1103"/>
    <cellStyle name="20% - Accent4 5 7" xfId="1104"/>
    <cellStyle name="20% - Accent4 5 8" xfId="1105"/>
    <cellStyle name="20% - Accent4 5 9" xfId="1106"/>
    <cellStyle name="20% - Accent4 5_Sheet2" xfId="1107"/>
    <cellStyle name="20% - Accent4 6" xfId="1108"/>
    <cellStyle name="20% - Accent4 6 2" xfId="1109"/>
    <cellStyle name="20% - Accent4 6 2 2" xfId="1110"/>
    <cellStyle name="20% - Accent4 6 3" xfId="1111"/>
    <cellStyle name="20% - Accent4 6 3 2" xfId="1112"/>
    <cellStyle name="20% - Accent4 6 4" xfId="1113"/>
    <cellStyle name="20% - Accent4 6 4 2" xfId="1114"/>
    <cellStyle name="20% - Accent4 6 5" xfId="1115"/>
    <cellStyle name="20% - Accent4 6 6" xfId="1116"/>
    <cellStyle name="20% - Accent4 6 7" xfId="1117"/>
    <cellStyle name="20% - Accent4 6 8" xfId="1118"/>
    <cellStyle name="20% - Accent4 6 9" xfId="1119"/>
    <cellStyle name="20% - Accent4 6_Sheet2" xfId="1120"/>
    <cellStyle name="20% - Accent4 7" xfId="1121"/>
    <cellStyle name="20% - Accent4 7 2" xfId="1122"/>
    <cellStyle name="20% - Accent4 7 2 2" xfId="1123"/>
    <cellStyle name="20% - Accent4 7 3" xfId="1124"/>
    <cellStyle name="20% - Accent4 7 3 2" xfId="1125"/>
    <cellStyle name="20% - Accent4 7 4" xfId="1126"/>
    <cellStyle name="20% - Accent4 7 4 2" xfId="1127"/>
    <cellStyle name="20% - Accent4 7 5" xfId="1128"/>
    <cellStyle name="20% - Accent4 7 6" xfId="1129"/>
    <cellStyle name="20% - Accent4 7 7" xfId="1130"/>
    <cellStyle name="20% - Accent4 7 8" xfId="1131"/>
    <cellStyle name="20% - Accent4 7 9" xfId="1132"/>
    <cellStyle name="20% - Accent4 7_Sheet2" xfId="1133"/>
    <cellStyle name="20% - Accent4 8" xfId="1134"/>
    <cellStyle name="20% - Accent4 8 2" xfId="1135"/>
    <cellStyle name="20% - Accent4 8 3" xfId="1136"/>
    <cellStyle name="20% - Accent4 8 4" xfId="1137"/>
    <cellStyle name="20% - Accent4 8 5" xfId="1138"/>
    <cellStyle name="20% - Accent4 8 6" xfId="1139"/>
    <cellStyle name="20% - Accent4 8 7" xfId="1140"/>
    <cellStyle name="20% - Accent4 8 8" xfId="1141"/>
    <cellStyle name="20% - Accent4 8 9" xfId="1142"/>
    <cellStyle name="20% - Accent4 8_Sheet2" xfId="1143"/>
    <cellStyle name="20% - Accent4 9" xfId="1144"/>
    <cellStyle name="20% - Accent4 9 2" xfId="1145"/>
    <cellStyle name="20% - Accent4 9 3" xfId="1146"/>
    <cellStyle name="20% - Accent4 9 4" xfId="1147"/>
    <cellStyle name="20% - Accent4 9 5" xfId="1148"/>
    <cellStyle name="20% - Accent4 9 6" xfId="1149"/>
    <cellStyle name="20% - Accent4 9 7" xfId="1150"/>
    <cellStyle name="20% - Accent4 9 8" xfId="1151"/>
    <cellStyle name="20% - Accent4 9 9" xfId="1152"/>
    <cellStyle name="20% - Accent5 1" xfId="1153"/>
    <cellStyle name="20% - Accent5 1 1" xfId="1154"/>
    <cellStyle name="20% - Accent5 1 1 2" xfId="1155"/>
    <cellStyle name="20% - Accent5 1 2" xfId="1156"/>
    <cellStyle name="20% - Accent5 1_Building_-_5-final_Price_Variation(1)" xfId="1220"/>
    <cellStyle name="20% - Accent5 10" xfId="1157"/>
    <cellStyle name="20% - Accent5 10 2" xfId="1158"/>
    <cellStyle name="20% - Accent5 10 3" xfId="1159"/>
    <cellStyle name="20% - Accent5 10 4" xfId="1160"/>
    <cellStyle name="20% - Accent5 10 5" xfId="1161"/>
    <cellStyle name="20% - Accent5 10 6" xfId="1162"/>
    <cellStyle name="20% - Accent5 10 7" xfId="1163"/>
    <cellStyle name="20% - Accent5 10 8" xfId="1164"/>
    <cellStyle name="20% - Accent5 10 9" xfId="1165"/>
    <cellStyle name="20% - Accent5 11" xfId="1166"/>
    <cellStyle name="20% - Accent5 11 2" xfId="1167"/>
    <cellStyle name="20% - Accent5 11 2 2" xfId="1168"/>
    <cellStyle name="20% - Accent5 11 2 3" xfId="1169"/>
    <cellStyle name="20% - Accent5 11 3" xfId="1170"/>
    <cellStyle name="20% - Accent5 11 4" xfId="1171"/>
    <cellStyle name="20% - Accent5 12" xfId="1172"/>
    <cellStyle name="20% - Accent5 12 2" xfId="1173"/>
    <cellStyle name="20% - Accent5 12 2 2" xfId="1174"/>
    <cellStyle name="20% - Accent5 12 2 3" xfId="1175"/>
    <cellStyle name="20% - Accent5 12 3" xfId="1176"/>
    <cellStyle name="20% - Accent5 12 4" xfId="1177"/>
    <cellStyle name="20% - Accent5 13" xfId="1178"/>
    <cellStyle name="20% - Accent5 13 2" xfId="1179"/>
    <cellStyle name="20% - Accent5 13 2 2" xfId="1180"/>
    <cellStyle name="20% - Accent5 13 2 3" xfId="1181"/>
    <cellStyle name="20% - Accent5 13 3" xfId="1182"/>
    <cellStyle name="20% - Accent5 13 4" xfId="1183"/>
    <cellStyle name="20% - Accent5 14" xfId="1184"/>
    <cellStyle name="20% - Accent5 14 2" xfId="1185"/>
    <cellStyle name="20% - Accent5 14 2 2" xfId="1186"/>
    <cellStyle name="20% - Accent5 14 2 3" xfId="1187"/>
    <cellStyle name="20% - Accent5 14 3" xfId="1188"/>
    <cellStyle name="20% - Accent5 14 4" xfId="1189"/>
    <cellStyle name="20% - Accent5 15" xfId="1190"/>
    <cellStyle name="20% - Accent5 15 2" xfId="1191"/>
    <cellStyle name="20% - Accent5 15 2 2" xfId="1192"/>
    <cellStyle name="20% - Accent5 15 2 3" xfId="1193"/>
    <cellStyle name="20% - Accent5 15 3" xfId="1194"/>
    <cellStyle name="20% - Accent5 15 4" xfId="1195"/>
    <cellStyle name="20% - Accent5 16" xfId="1196"/>
    <cellStyle name="20% - Accent5 16 2" xfId="1197"/>
    <cellStyle name="20% - Accent5 16 2 2" xfId="1198"/>
    <cellStyle name="20% - Accent5 16 2 3" xfId="1199"/>
    <cellStyle name="20% - Accent5 16 3" xfId="1200"/>
    <cellStyle name="20% - Accent5 16 4" xfId="1201"/>
    <cellStyle name="20% - Accent5 17" xfId="1202"/>
    <cellStyle name="20% - Accent5 17 2" xfId="1203"/>
    <cellStyle name="20% - Accent5 17 2 2" xfId="1204"/>
    <cellStyle name="20% - Accent5 17 2 3" xfId="1205"/>
    <cellStyle name="20% - Accent5 17 3" xfId="1206"/>
    <cellStyle name="20% - Accent5 17 4" xfId="1207"/>
    <cellStyle name="20% - Accent5 18" xfId="1208"/>
    <cellStyle name="20% - Accent5 18 2" xfId="1209"/>
    <cellStyle name="20% - Accent5 18 2 2" xfId="1210"/>
    <cellStyle name="20% - Accent5 18 2 3" xfId="1211"/>
    <cellStyle name="20% - Accent5 18 3" xfId="1212"/>
    <cellStyle name="20% - Accent5 18 4" xfId="1213"/>
    <cellStyle name="20% - Accent5 19" xfId="1214"/>
    <cellStyle name="20% - Accent5 19 2" xfId="1215"/>
    <cellStyle name="20% - Accent5 19 2 2" xfId="1216"/>
    <cellStyle name="20% - Accent5 19 2 3" xfId="1217"/>
    <cellStyle name="20% - Accent5 19 3" xfId="1218"/>
    <cellStyle name="20% - Accent5 19 4" xfId="1219"/>
    <cellStyle name="20% - Accent5 2" xfId="1221"/>
    <cellStyle name="20% - Accent5 2 10" xfId="1222"/>
    <cellStyle name="20% - Accent5 2 2" xfId="1223"/>
    <cellStyle name="20% - Accent5 2 2 2" xfId="1224"/>
    <cellStyle name="20% - Accent5 2 3" xfId="1225"/>
    <cellStyle name="20% - Accent5 2 3 2" xfId="1226"/>
    <cellStyle name="20% - Accent5 2 4" xfId="1227"/>
    <cellStyle name="20% - Accent5 2 4 2" xfId="1228"/>
    <cellStyle name="20% - Accent5 2 5" xfId="1229"/>
    <cellStyle name="20% - Accent5 2 5 2" xfId="1230"/>
    <cellStyle name="20% - Accent5 2 6" xfId="1231"/>
    <cellStyle name="20% - Accent5 2 7" xfId="1232"/>
    <cellStyle name="20% - Accent5 2 8" xfId="1233"/>
    <cellStyle name="20% - Accent5 2 9" xfId="1234"/>
    <cellStyle name="20% - Accent5 2_B Block  Column LGF to UGF Lvl" xfId="1295"/>
    <cellStyle name="20% - Accent5 20" xfId="1235"/>
    <cellStyle name="20% - Accent5 20 2" xfId="1236"/>
    <cellStyle name="20% - Accent5 20 2 2" xfId="1237"/>
    <cellStyle name="20% - Accent5 20 2 3" xfId="1238"/>
    <cellStyle name="20% - Accent5 20 3" xfId="1239"/>
    <cellStyle name="20% - Accent5 20 4" xfId="1240"/>
    <cellStyle name="20% - Accent5 21" xfId="1241"/>
    <cellStyle name="20% - Accent5 21 2" xfId="1242"/>
    <cellStyle name="20% - Accent5 21 2 2" xfId="1243"/>
    <cellStyle name="20% - Accent5 21 2 3" xfId="1244"/>
    <cellStyle name="20% - Accent5 21 3" xfId="1245"/>
    <cellStyle name="20% - Accent5 21 4" xfId="1246"/>
    <cellStyle name="20% - Accent5 22" xfId="1247"/>
    <cellStyle name="20% - Accent5 22 2" xfId="1248"/>
    <cellStyle name="20% - Accent5 22 2 2" xfId="1249"/>
    <cellStyle name="20% - Accent5 22 2 3" xfId="1250"/>
    <cellStyle name="20% - Accent5 22 3" xfId="1251"/>
    <cellStyle name="20% - Accent5 22 4" xfId="1252"/>
    <cellStyle name="20% - Accent5 23" xfId="1253"/>
    <cellStyle name="20% - Accent5 23 2" xfId="1254"/>
    <cellStyle name="20% - Accent5 23 2 2" xfId="1255"/>
    <cellStyle name="20% - Accent5 23 2 3" xfId="1256"/>
    <cellStyle name="20% - Accent5 23 3" xfId="1257"/>
    <cellStyle name="20% - Accent5 23 4" xfId="1258"/>
    <cellStyle name="20% - Accent5 24" xfId="1259"/>
    <cellStyle name="20% - Accent5 24 2" xfId="1260"/>
    <cellStyle name="20% - Accent5 24 2 2" xfId="1261"/>
    <cellStyle name="20% - Accent5 24 2 3" xfId="1262"/>
    <cellStyle name="20% - Accent5 24 3" xfId="1263"/>
    <cellStyle name="20% - Accent5 24 4" xfId="1264"/>
    <cellStyle name="20% - Accent5 25" xfId="1265"/>
    <cellStyle name="20% - Accent5 25 2" xfId="1266"/>
    <cellStyle name="20% - Accent5 25 2 2" xfId="1267"/>
    <cellStyle name="20% - Accent5 25 2 3" xfId="1268"/>
    <cellStyle name="20% - Accent5 25 3" xfId="1269"/>
    <cellStyle name="20% - Accent5 25 4" xfId="1270"/>
    <cellStyle name="20% - Accent5 26" xfId="1271"/>
    <cellStyle name="20% - Accent5 26 2" xfId="1272"/>
    <cellStyle name="20% - Accent5 26 2 2" xfId="1273"/>
    <cellStyle name="20% - Accent5 26 2 3" xfId="1274"/>
    <cellStyle name="20% - Accent5 26 3" xfId="1275"/>
    <cellStyle name="20% - Accent5 26 4" xfId="1276"/>
    <cellStyle name="20% - Accent5 27" xfId="1277"/>
    <cellStyle name="20% - Accent5 27 2" xfId="1278"/>
    <cellStyle name="20% - Accent5 27 2 2" xfId="1279"/>
    <cellStyle name="20% - Accent5 27 2 3" xfId="1280"/>
    <cellStyle name="20% - Accent5 27 3" xfId="1281"/>
    <cellStyle name="20% - Accent5 27 4" xfId="1282"/>
    <cellStyle name="20% - Accent5 28" xfId="1283"/>
    <cellStyle name="20% - Accent5 28 2" xfId="1284"/>
    <cellStyle name="20% - Accent5 28 2 2" xfId="1285"/>
    <cellStyle name="20% - Accent5 28 2 3" xfId="1286"/>
    <cellStyle name="20% - Accent5 28 3" xfId="1287"/>
    <cellStyle name="20% - Accent5 28 4" xfId="1288"/>
    <cellStyle name="20% - Accent5 29" xfId="1289"/>
    <cellStyle name="20% - Accent5 29 2" xfId="1290"/>
    <cellStyle name="20% - Accent5 29 2 2" xfId="1291"/>
    <cellStyle name="20% - Accent5 29 2 3" xfId="1292"/>
    <cellStyle name="20% - Accent5 29 3" xfId="1293"/>
    <cellStyle name="20% - Accent5 29 4" xfId="1294"/>
    <cellStyle name="20% - Accent5 3" xfId="1296"/>
    <cellStyle name="20% - Accent5 3 2" xfId="1297"/>
    <cellStyle name="20% - Accent5 3 3" xfId="1298"/>
    <cellStyle name="20% - Accent5 3 3 2" xfId="1299"/>
    <cellStyle name="20% - Accent5 3 4" xfId="1300"/>
    <cellStyle name="20% - Accent5 3 4 2" xfId="1301"/>
    <cellStyle name="20% - Accent5 3 5" xfId="1302"/>
    <cellStyle name="20% - Accent5 3 6" xfId="1303"/>
    <cellStyle name="20% - Accent5 3 7" xfId="1304"/>
    <cellStyle name="20% - Accent5 3 8" xfId="1305"/>
    <cellStyle name="20% - Accent5 3 9" xfId="1306"/>
    <cellStyle name="20% - Accent5 3_Sheet2" xfId="1362"/>
    <cellStyle name="20% - Accent5 30" xfId="1307"/>
    <cellStyle name="20% - Accent5 30 2" xfId="1308"/>
    <cellStyle name="20% - Accent5 30 2 2" xfId="1309"/>
    <cellStyle name="20% - Accent5 30 2 3" xfId="1310"/>
    <cellStyle name="20% - Accent5 30 3" xfId="1311"/>
    <cellStyle name="20% - Accent5 30 4" xfId="1312"/>
    <cellStyle name="20% - Accent5 31" xfId="1313"/>
    <cellStyle name="20% - Accent5 31 2" xfId="1314"/>
    <cellStyle name="20% - Accent5 31 2 2" xfId="1315"/>
    <cellStyle name="20% - Accent5 31 2 3" xfId="1316"/>
    <cellStyle name="20% - Accent5 31 3" xfId="1317"/>
    <cellStyle name="20% - Accent5 31 4" xfId="1318"/>
    <cellStyle name="20% - Accent5 32" xfId="1319"/>
    <cellStyle name="20% - Accent5 33" xfId="1320"/>
    <cellStyle name="20% - Accent5 33 2" xfId="1321"/>
    <cellStyle name="20% - Accent5 33 2 2" xfId="1322"/>
    <cellStyle name="20% - Accent5 33 2 3" xfId="1323"/>
    <cellStyle name="20% - Accent5 33 3" xfId="1324"/>
    <cellStyle name="20% - Accent5 33 4" xfId="1325"/>
    <cellStyle name="20% - Accent5 34" xfId="1326"/>
    <cellStyle name="20% - Accent5 34 2" xfId="1327"/>
    <cellStyle name="20% - Accent5 34 2 2" xfId="1328"/>
    <cellStyle name="20% - Accent5 34 2 3" xfId="1329"/>
    <cellStyle name="20% - Accent5 34 3" xfId="1330"/>
    <cellStyle name="20% - Accent5 34 4" xfId="1331"/>
    <cellStyle name="20% - Accent5 35" xfId="1332"/>
    <cellStyle name="20% - Accent5 35 2" xfId="1333"/>
    <cellStyle name="20% - Accent5 35 2 2" xfId="1334"/>
    <cellStyle name="20% - Accent5 35 2 3" xfId="1335"/>
    <cellStyle name="20% - Accent5 35 3" xfId="1336"/>
    <cellStyle name="20% - Accent5 35 4" xfId="1337"/>
    <cellStyle name="20% - Accent5 36" xfId="1338"/>
    <cellStyle name="20% - Accent5 36 2" xfId="1339"/>
    <cellStyle name="20% - Accent5 36 2 2" xfId="1340"/>
    <cellStyle name="20% - Accent5 36 2 3" xfId="1341"/>
    <cellStyle name="20% - Accent5 36 3" xfId="1342"/>
    <cellStyle name="20% - Accent5 36 4" xfId="1343"/>
    <cellStyle name="20% - Accent5 37" xfId="1344"/>
    <cellStyle name="20% - Accent5 37 2" xfId="1345"/>
    <cellStyle name="20% - Accent5 37 2 2" xfId="1346"/>
    <cellStyle name="20% - Accent5 37 2 3" xfId="1347"/>
    <cellStyle name="20% - Accent5 37 3" xfId="1348"/>
    <cellStyle name="20% - Accent5 37 4" xfId="1349"/>
    <cellStyle name="20% - Accent5 38" xfId="1350"/>
    <cellStyle name="20% - Accent5 38 2" xfId="1351"/>
    <cellStyle name="20% - Accent5 38 2 2" xfId="1352"/>
    <cellStyle name="20% - Accent5 38 2 3" xfId="1353"/>
    <cellStyle name="20% - Accent5 38 3" xfId="1354"/>
    <cellStyle name="20% - Accent5 38 4" xfId="1355"/>
    <cellStyle name="20% - Accent5 39" xfId="1356"/>
    <cellStyle name="20% - Accent5 39 2" xfId="1357"/>
    <cellStyle name="20% - Accent5 39 2 2" xfId="1358"/>
    <cellStyle name="20% - Accent5 39 2 3" xfId="1359"/>
    <cellStyle name="20% - Accent5 39 3" xfId="1360"/>
    <cellStyle name="20% - Accent5 39 4" xfId="1361"/>
    <cellStyle name="20% - Accent5 4" xfId="1363"/>
    <cellStyle name="20% - Accent5 4 2" xfId="1364"/>
    <cellStyle name="20% - Accent5 4 3" xfId="1365"/>
    <cellStyle name="20% - Accent5 4 3 2" xfId="1366"/>
    <cellStyle name="20% - Accent5 4 4" xfId="1367"/>
    <cellStyle name="20% - Accent5 4 4 2" xfId="1368"/>
    <cellStyle name="20% - Accent5 4 5" xfId="1369"/>
    <cellStyle name="20% - Accent5 4 6" xfId="1370"/>
    <cellStyle name="20% - Accent5 4 7" xfId="1371"/>
    <cellStyle name="20% - Accent5 4 8" xfId="1372"/>
    <cellStyle name="20% - Accent5 4 9" xfId="1373"/>
    <cellStyle name="20% - Accent5 4_Sheet2" xfId="1374"/>
    <cellStyle name="20% - Accent5 5" xfId="1375"/>
    <cellStyle name="20% - Accent5 5 2" xfId="1376"/>
    <cellStyle name="20% - Accent5 5 2 2" xfId="1377"/>
    <cellStyle name="20% - Accent5 5 3" xfId="1378"/>
    <cellStyle name="20% - Accent5 5 3 2" xfId="1379"/>
    <cellStyle name="20% - Accent5 5 4" xfId="1380"/>
    <cellStyle name="20% - Accent5 5 4 2" xfId="1381"/>
    <cellStyle name="20% - Accent5 5 5" xfId="1382"/>
    <cellStyle name="20% - Accent5 5 6" xfId="1383"/>
    <cellStyle name="20% - Accent5 5 7" xfId="1384"/>
    <cellStyle name="20% - Accent5 5 8" xfId="1385"/>
    <cellStyle name="20% - Accent5 5 9" xfId="1386"/>
    <cellStyle name="20% - Accent5 5_Sheet2" xfId="1387"/>
    <cellStyle name="20% - Accent5 6" xfId="1388"/>
    <cellStyle name="20% - Accent5 6 2" xfId="1389"/>
    <cellStyle name="20% - Accent5 6 2 2" xfId="1390"/>
    <cellStyle name="20% - Accent5 6 3" xfId="1391"/>
    <cellStyle name="20% - Accent5 6 3 2" xfId="1392"/>
    <cellStyle name="20% - Accent5 6 4" xfId="1393"/>
    <cellStyle name="20% - Accent5 6 4 2" xfId="1394"/>
    <cellStyle name="20% - Accent5 6 5" xfId="1395"/>
    <cellStyle name="20% - Accent5 6 6" xfId="1396"/>
    <cellStyle name="20% - Accent5 6 7" xfId="1397"/>
    <cellStyle name="20% - Accent5 6 8" xfId="1398"/>
    <cellStyle name="20% - Accent5 6 9" xfId="1399"/>
    <cellStyle name="20% - Accent5 6_Sheet2" xfId="1400"/>
    <cellStyle name="20% - Accent5 7" xfId="1401"/>
    <cellStyle name="20% - Accent5 7 2" xfId="1402"/>
    <cellStyle name="20% - Accent5 7 2 2" xfId="1403"/>
    <cellStyle name="20% - Accent5 7 3" xfId="1404"/>
    <cellStyle name="20% - Accent5 7 3 2" xfId="1405"/>
    <cellStyle name="20% - Accent5 7 4" xfId="1406"/>
    <cellStyle name="20% - Accent5 7 4 2" xfId="1407"/>
    <cellStyle name="20% - Accent5 7 5" xfId="1408"/>
    <cellStyle name="20% - Accent5 7 6" xfId="1409"/>
    <cellStyle name="20% - Accent5 7 7" xfId="1410"/>
    <cellStyle name="20% - Accent5 7 8" xfId="1411"/>
    <cellStyle name="20% - Accent5 7 9" xfId="1412"/>
    <cellStyle name="20% - Accent5 7_Sheet2" xfId="1413"/>
    <cellStyle name="20% - Accent5 8" xfId="1414"/>
    <cellStyle name="20% - Accent5 8 2" xfId="1415"/>
    <cellStyle name="20% - Accent5 8 3" xfId="1416"/>
    <cellStyle name="20% - Accent5 8 4" xfId="1417"/>
    <cellStyle name="20% - Accent5 8 5" xfId="1418"/>
    <cellStyle name="20% - Accent5 8 6" xfId="1419"/>
    <cellStyle name="20% - Accent5 8 7" xfId="1420"/>
    <cellStyle name="20% - Accent5 8 8" xfId="1421"/>
    <cellStyle name="20% - Accent5 8 9" xfId="1422"/>
    <cellStyle name="20% - Accent5 8_Sheet2" xfId="1423"/>
    <cellStyle name="20% - Accent5 9" xfId="1424"/>
    <cellStyle name="20% - Accent5 9 2" xfId="1425"/>
    <cellStyle name="20% - Accent5 9 3" xfId="1426"/>
    <cellStyle name="20% - Accent5 9 4" xfId="1427"/>
    <cellStyle name="20% - Accent5 9 5" xfId="1428"/>
    <cellStyle name="20% - Accent5 9 6" xfId="1429"/>
    <cellStyle name="20% - Accent5 9 7" xfId="1430"/>
    <cellStyle name="20% - Accent5 9 8" xfId="1431"/>
    <cellStyle name="20% - Accent5 9 9" xfId="1432"/>
    <cellStyle name="20% - Accent6 1" xfId="1433"/>
    <cellStyle name="20% - Accent6 1 1" xfId="1434"/>
    <cellStyle name="20% - Accent6 1 1 2" xfId="1435"/>
    <cellStyle name="20% - Accent6 1 2" xfId="1436"/>
    <cellStyle name="20% - Accent6 1_Building_-_5-final_Price_Variation(1)" xfId="1500"/>
    <cellStyle name="20% - Accent6 10" xfId="1437"/>
    <cellStyle name="20% - Accent6 10 2" xfId="1438"/>
    <cellStyle name="20% - Accent6 10 3" xfId="1439"/>
    <cellStyle name="20% - Accent6 10 4" xfId="1440"/>
    <cellStyle name="20% - Accent6 10 5" xfId="1441"/>
    <cellStyle name="20% - Accent6 10 6" xfId="1442"/>
    <cellStyle name="20% - Accent6 10 7" xfId="1443"/>
    <cellStyle name="20% - Accent6 10 8" xfId="1444"/>
    <cellStyle name="20% - Accent6 10 9" xfId="1445"/>
    <cellStyle name="20% - Accent6 11" xfId="1446"/>
    <cellStyle name="20% - Accent6 11 2" xfId="1447"/>
    <cellStyle name="20% - Accent6 11 2 2" xfId="1448"/>
    <cellStyle name="20% - Accent6 11 2 3" xfId="1449"/>
    <cellStyle name="20% - Accent6 11 3" xfId="1450"/>
    <cellStyle name="20% - Accent6 11 4" xfId="1451"/>
    <cellStyle name="20% - Accent6 12" xfId="1452"/>
    <cellStyle name="20% - Accent6 12 2" xfId="1453"/>
    <cellStyle name="20% - Accent6 12 2 2" xfId="1454"/>
    <cellStyle name="20% - Accent6 12 2 3" xfId="1455"/>
    <cellStyle name="20% - Accent6 12 3" xfId="1456"/>
    <cellStyle name="20% - Accent6 12 4" xfId="1457"/>
    <cellStyle name="20% - Accent6 13" xfId="1458"/>
    <cellStyle name="20% - Accent6 13 2" xfId="1459"/>
    <cellStyle name="20% - Accent6 13 2 2" xfId="1460"/>
    <cellStyle name="20% - Accent6 13 2 3" xfId="1461"/>
    <cellStyle name="20% - Accent6 13 3" xfId="1462"/>
    <cellStyle name="20% - Accent6 13 4" xfId="1463"/>
    <cellStyle name="20% - Accent6 14" xfId="1464"/>
    <cellStyle name="20% - Accent6 14 2" xfId="1465"/>
    <cellStyle name="20% - Accent6 14 2 2" xfId="1466"/>
    <cellStyle name="20% - Accent6 14 2 3" xfId="1467"/>
    <cellStyle name="20% - Accent6 14 3" xfId="1468"/>
    <cellStyle name="20% - Accent6 14 4" xfId="1469"/>
    <cellStyle name="20% - Accent6 15" xfId="1470"/>
    <cellStyle name="20% - Accent6 15 2" xfId="1471"/>
    <cellStyle name="20% - Accent6 15 2 2" xfId="1472"/>
    <cellStyle name="20% - Accent6 15 2 3" xfId="1473"/>
    <cellStyle name="20% - Accent6 15 3" xfId="1474"/>
    <cellStyle name="20% - Accent6 15 4" xfId="1475"/>
    <cellStyle name="20% - Accent6 16" xfId="1476"/>
    <cellStyle name="20% - Accent6 16 2" xfId="1477"/>
    <cellStyle name="20% - Accent6 16 2 2" xfId="1478"/>
    <cellStyle name="20% - Accent6 16 2 3" xfId="1479"/>
    <cellStyle name="20% - Accent6 16 3" xfId="1480"/>
    <cellStyle name="20% - Accent6 16 4" xfId="1481"/>
    <cellStyle name="20% - Accent6 17" xfId="1482"/>
    <cellStyle name="20% - Accent6 17 2" xfId="1483"/>
    <cellStyle name="20% - Accent6 17 2 2" xfId="1484"/>
    <cellStyle name="20% - Accent6 17 2 3" xfId="1485"/>
    <cellStyle name="20% - Accent6 17 3" xfId="1486"/>
    <cellStyle name="20% - Accent6 17 4" xfId="1487"/>
    <cellStyle name="20% - Accent6 18" xfId="1488"/>
    <cellStyle name="20% - Accent6 18 2" xfId="1489"/>
    <cellStyle name="20% - Accent6 18 2 2" xfId="1490"/>
    <cellStyle name="20% - Accent6 18 2 3" xfId="1491"/>
    <cellStyle name="20% - Accent6 18 3" xfId="1492"/>
    <cellStyle name="20% - Accent6 18 4" xfId="1493"/>
    <cellStyle name="20% - Accent6 19" xfId="1494"/>
    <cellStyle name="20% - Accent6 19 2" xfId="1495"/>
    <cellStyle name="20% - Accent6 19 2 2" xfId="1496"/>
    <cellStyle name="20% - Accent6 19 2 3" xfId="1497"/>
    <cellStyle name="20% - Accent6 19 3" xfId="1498"/>
    <cellStyle name="20% - Accent6 19 4" xfId="1499"/>
    <cellStyle name="20% - Accent6 2" xfId="1501"/>
    <cellStyle name="20% - Accent6 2 10" xfId="1502"/>
    <cellStyle name="20% - Accent6 2 2" xfId="1503"/>
    <cellStyle name="20% - Accent6 2 2 2" xfId="1504"/>
    <cellStyle name="20% - Accent6 2 3" xfId="1505"/>
    <cellStyle name="20% - Accent6 2 3 2" xfId="1506"/>
    <cellStyle name="20% - Accent6 2 4" xfId="1507"/>
    <cellStyle name="20% - Accent6 2 4 2" xfId="1508"/>
    <cellStyle name="20% - Accent6 2 5" xfId="1509"/>
    <cellStyle name="20% - Accent6 2 5 2" xfId="1510"/>
    <cellStyle name="20% - Accent6 2 6" xfId="1511"/>
    <cellStyle name="20% - Accent6 2 7" xfId="1512"/>
    <cellStyle name="20% - Accent6 2 8" xfId="1513"/>
    <cellStyle name="20% - Accent6 2 9" xfId="1514"/>
    <cellStyle name="20% - Accent6 2_B Block  Column LGF to UGF Lvl" xfId="1575"/>
    <cellStyle name="20% - Accent6 20" xfId="1515"/>
    <cellStyle name="20% - Accent6 20 2" xfId="1516"/>
    <cellStyle name="20% - Accent6 20 2 2" xfId="1517"/>
    <cellStyle name="20% - Accent6 20 2 3" xfId="1518"/>
    <cellStyle name="20% - Accent6 20 3" xfId="1519"/>
    <cellStyle name="20% - Accent6 20 4" xfId="1520"/>
    <cellStyle name="20% - Accent6 21" xfId="1521"/>
    <cellStyle name="20% - Accent6 21 2" xfId="1522"/>
    <cellStyle name="20% - Accent6 21 2 2" xfId="1523"/>
    <cellStyle name="20% - Accent6 21 2 3" xfId="1524"/>
    <cellStyle name="20% - Accent6 21 3" xfId="1525"/>
    <cellStyle name="20% - Accent6 21 4" xfId="1526"/>
    <cellStyle name="20% - Accent6 22" xfId="1527"/>
    <cellStyle name="20% - Accent6 22 2" xfId="1528"/>
    <cellStyle name="20% - Accent6 22 2 2" xfId="1529"/>
    <cellStyle name="20% - Accent6 22 2 3" xfId="1530"/>
    <cellStyle name="20% - Accent6 22 3" xfId="1531"/>
    <cellStyle name="20% - Accent6 22 4" xfId="1532"/>
    <cellStyle name="20% - Accent6 23" xfId="1533"/>
    <cellStyle name="20% - Accent6 23 2" xfId="1534"/>
    <cellStyle name="20% - Accent6 23 2 2" xfId="1535"/>
    <cellStyle name="20% - Accent6 23 2 3" xfId="1536"/>
    <cellStyle name="20% - Accent6 23 3" xfId="1537"/>
    <cellStyle name="20% - Accent6 23 4" xfId="1538"/>
    <cellStyle name="20% - Accent6 24" xfId="1539"/>
    <cellStyle name="20% - Accent6 24 2" xfId="1540"/>
    <cellStyle name="20% - Accent6 24 2 2" xfId="1541"/>
    <cellStyle name="20% - Accent6 24 2 3" xfId="1542"/>
    <cellStyle name="20% - Accent6 24 3" xfId="1543"/>
    <cellStyle name="20% - Accent6 24 4" xfId="1544"/>
    <cellStyle name="20% - Accent6 25" xfId="1545"/>
    <cellStyle name="20% - Accent6 25 2" xfId="1546"/>
    <cellStyle name="20% - Accent6 25 2 2" xfId="1547"/>
    <cellStyle name="20% - Accent6 25 2 3" xfId="1548"/>
    <cellStyle name="20% - Accent6 25 3" xfId="1549"/>
    <cellStyle name="20% - Accent6 25 4" xfId="1550"/>
    <cellStyle name="20% - Accent6 26" xfId="1551"/>
    <cellStyle name="20% - Accent6 26 2" xfId="1552"/>
    <cellStyle name="20% - Accent6 26 2 2" xfId="1553"/>
    <cellStyle name="20% - Accent6 26 2 3" xfId="1554"/>
    <cellStyle name="20% - Accent6 26 3" xfId="1555"/>
    <cellStyle name="20% - Accent6 26 4" xfId="1556"/>
    <cellStyle name="20% - Accent6 27" xfId="1557"/>
    <cellStyle name="20% - Accent6 27 2" xfId="1558"/>
    <cellStyle name="20% - Accent6 27 2 2" xfId="1559"/>
    <cellStyle name="20% - Accent6 27 2 3" xfId="1560"/>
    <cellStyle name="20% - Accent6 27 3" xfId="1561"/>
    <cellStyle name="20% - Accent6 27 4" xfId="1562"/>
    <cellStyle name="20% - Accent6 28" xfId="1563"/>
    <cellStyle name="20% - Accent6 28 2" xfId="1564"/>
    <cellStyle name="20% - Accent6 28 2 2" xfId="1565"/>
    <cellStyle name="20% - Accent6 28 2 3" xfId="1566"/>
    <cellStyle name="20% - Accent6 28 3" xfId="1567"/>
    <cellStyle name="20% - Accent6 28 4" xfId="1568"/>
    <cellStyle name="20% - Accent6 29" xfId="1569"/>
    <cellStyle name="20% - Accent6 29 2" xfId="1570"/>
    <cellStyle name="20% - Accent6 29 2 2" xfId="1571"/>
    <cellStyle name="20% - Accent6 29 2 3" xfId="1572"/>
    <cellStyle name="20% - Accent6 29 3" xfId="1573"/>
    <cellStyle name="20% - Accent6 29 4" xfId="1574"/>
    <cellStyle name="20% - Accent6 3" xfId="1576"/>
    <cellStyle name="20% - Accent6 3 2" xfId="1577"/>
    <cellStyle name="20% - Accent6 3 3" xfId="1578"/>
    <cellStyle name="20% - Accent6 3 3 2" xfId="1579"/>
    <cellStyle name="20% - Accent6 3 4" xfId="1580"/>
    <cellStyle name="20% - Accent6 3 4 2" xfId="1581"/>
    <cellStyle name="20% - Accent6 3 5" xfId="1582"/>
    <cellStyle name="20% - Accent6 3 6" xfId="1583"/>
    <cellStyle name="20% - Accent6 3 7" xfId="1584"/>
    <cellStyle name="20% - Accent6 3 8" xfId="1585"/>
    <cellStyle name="20% - Accent6 3 9" xfId="1586"/>
    <cellStyle name="20% - Accent6 3_Sheet2" xfId="1642"/>
    <cellStyle name="20% - Accent6 30" xfId="1587"/>
    <cellStyle name="20% - Accent6 30 2" xfId="1588"/>
    <cellStyle name="20% - Accent6 30 2 2" xfId="1589"/>
    <cellStyle name="20% - Accent6 30 2 3" xfId="1590"/>
    <cellStyle name="20% - Accent6 30 3" xfId="1591"/>
    <cellStyle name="20% - Accent6 30 4" xfId="1592"/>
    <cellStyle name="20% - Accent6 31" xfId="1593"/>
    <cellStyle name="20% - Accent6 31 2" xfId="1594"/>
    <cellStyle name="20% - Accent6 31 2 2" xfId="1595"/>
    <cellStyle name="20% - Accent6 31 2 3" xfId="1596"/>
    <cellStyle name="20% - Accent6 31 3" xfId="1597"/>
    <cellStyle name="20% - Accent6 31 4" xfId="1598"/>
    <cellStyle name="20% - Accent6 32" xfId="1599"/>
    <cellStyle name="20% - Accent6 33" xfId="1600"/>
    <cellStyle name="20% - Accent6 33 2" xfId="1601"/>
    <cellStyle name="20% - Accent6 33 2 2" xfId="1602"/>
    <cellStyle name="20% - Accent6 33 2 3" xfId="1603"/>
    <cellStyle name="20% - Accent6 33 3" xfId="1604"/>
    <cellStyle name="20% - Accent6 33 4" xfId="1605"/>
    <cellStyle name="20% - Accent6 34" xfId="1606"/>
    <cellStyle name="20% - Accent6 34 2" xfId="1607"/>
    <cellStyle name="20% - Accent6 34 2 2" xfId="1608"/>
    <cellStyle name="20% - Accent6 34 2 3" xfId="1609"/>
    <cellStyle name="20% - Accent6 34 3" xfId="1610"/>
    <cellStyle name="20% - Accent6 34 4" xfId="1611"/>
    <cellStyle name="20% - Accent6 35" xfId="1612"/>
    <cellStyle name="20% - Accent6 35 2" xfId="1613"/>
    <cellStyle name="20% - Accent6 35 2 2" xfId="1614"/>
    <cellStyle name="20% - Accent6 35 2 3" xfId="1615"/>
    <cellStyle name="20% - Accent6 35 3" xfId="1616"/>
    <cellStyle name="20% - Accent6 35 4" xfId="1617"/>
    <cellStyle name="20% - Accent6 36" xfId="1618"/>
    <cellStyle name="20% - Accent6 36 2" xfId="1619"/>
    <cellStyle name="20% - Accent6 36 2 2" xfId="1620"/>
    <cellStyle name="20% - Accent6 36 2 3" xfId="1621"/>
    <cellStyle name="20% - Accent6 36 3" xfId="1622"/>
    <cellStyle name="20% - Accent6 36 4" xfId="1623"/>
    <cellStyle name="20% - Accent6 37" xfId="1624"/>
    <cellStyle name="20% - Accent6 37 2" xfId="1625"/>
    <cellStyle name="20% - Accent6 37 2 2" xfId="1626"/>
    <cellStyle name="20% - Accent6 37 2 3" xfId="1627"/>
    <cellStyle name="20% - Accent6 37 3" xfId="1628"/>
    <cellStyle name="20% - Accent6 37 4" xfId="1629"/>
    <cellStyle name="20% - Accent6 38" xfId="1630"/>
    <cellStyle name="20% - Accent6 38 2" xfId="1631"/>
    <cellStyle name="20% - Accent6 38 2 2" xfId="1632"/>
    <cellStyle name="20% - Accent6 38 2 3" xfId="1633"/>
    <cellStyle name="20% - Accent6 38 3" xfId="1634"/>
    <cellStyle name="20% - Accent6 38 4" xfId="1635"/>
    <cellStyle name="20% - Accent6 39" xfId="1636"/>
    <cellStyle name="20% - Accent6 39 2" xfId="1637"/>
    <cellStyle name="20% - Accent6 39 2 2" xfId="1638"/>
    <cellStyle name="20% - Accent6 39 2 3" xfId="1639"/>
    <cellStyle name="20% - Accent6 39 3" xfId="1640"/>
    <cellStyle name="20% - Accent6 39 4" xfId="1641"/>
    <cellStyle name="20% - Accent6 4" xfId="1643"/>
    <cellStyle name="20% - Accent6 4 2" xfId="1644"/>
    <cellStyle name="20% - Accent6 4 3" xfId="1645"/>
    <cellStyle name="20% - Accent6 4 3 2" xfId="1646"/>
    <cellStyle name="20% - Accent6 4 4" xfId="1647"/>
    <cellStyle name="20% - Accent6 4 4 2" xfId="1648"/>
    <cellStyle name="20% - Accent6 4 5" xfId="1649"/>
    <cellStyle name="20% - Accent6 4 6" xfId="1650"/>
    <cellStyle name="20% - Accent6 4 7" xfId="1651"/>
    <cellStyle name="20% - Accent6 4 8" xfId="1652"/>
    <cellStyle name="20% - Accent6 4 9" xfId="1653"/>
    <cellStyle name="20% - Accent6 4_Sheet2" xfId="1654"/>
    <cellStyle name="20% - Accent6 5" xfId="1655"/>
    <cellStyle name="20% - Accent6 5 2" xfId="1656"/>
    <cellStyle name="20% - Accent6 5 2 2" xfId="1657"/>
    <cellStyle name="20% - Accent6 5 3" xfId="1658"/>
    <cellStyle name="20% - Accent6 5 3 2" xfId="1659"/>
    <cellStyle name="20% - Accent6 5 4" xfId="1660"/>
    <cellStyle name="20% - Accent6 5 4 2" xfId="1661"/>
    <cellStyle name="20% - Accent6 5 5" xfId="1662"/>
    <cellStyle name="20% - Accent6 5 6" xfId="1663"/>
    <cellStyle name="20% - Accent6 5 7" xfId="1664"/>
    <cellStyle name="20% - Accent6 5 8" xfId="1665"/>
    <cellStyle name="20% - Accent6 5 9" xfId="1666"/>
    <cellStyle name="20% - Accent6 5_Sheet2" xfId="1667"/>
    <cellStyle name="20% - Accent6 6" xfId="1668"/>
    <cellStyle name="20% - Accent6 6 2" xfId="1669"/>
    <cellStyle name="20% - Accent6 6 2 2" xfId="1670"/>
    <cellStyle name="20% - Accent6 6 3" xfId="1671"/>
    <cellStyle name="20% - Accent6 6 3 2" xfId="1672"/>
    <cellStyle name="20% - Accent6 6 4" xfId="1673"/>
    <cellStyle name="20% - Accent6 6 4 2" xfId="1674"/>
    <cellStyle name="20% - Accent6 6 5" xfId="1675"/>
    <cellStyle name="20% - Accent6 6 6" xfId="1676"/>
    <cellStyle name="20% - Accent6 6 7" xfId="1677"/>
    <cellStyle name="20% - Accent6 6 8" xfId="1678"/>
    <cellStyle name="20% - Accent6 6 9" xfId="1679"/>
    <cellStyle name="20% - Accent6 6_Sheet2" xfId="1680"/>
    <cellStyle name="20% - Accent6 7" xfId="1681"/>
    <cellStyle name="20% - Accent6 7 2" xfId="1682"/>
    <cellStyle name="20% - Accent6 7 2 2" xfId="1683"/>
    <cellStyle name="20% - Accent6 7 3" xfId="1684"/>
    <cellStyle name="20% - Accent6 7 3 2" xfId="1685"/>
    <cellStyle name="20% - Accent6 7 4" xfId="1686"/>
    <cellStyle name="20% - Accent6 7 4 2" xfId="1687"/>
    <cellStyle name="20% - Accent6 7 5" xfId="1688"/>
    <cellStyle name="20% - Accent6 7 6" xfId="1689"/>
    <cellStyle name="20% - Accent6 7 7" xfId="1690"/>
    <cellStyle name="20% - Accent6 7 8" xfId="1691"/>
    <cellStyle name="20% - Accent6 7 9" xfId="1692"/>
    <cellStyle name="20% - Accent6 7_Sheet2" xfId="1693"/>
    <cellStyle name="20% - Accent6 8" xfId="1694"/>
    <cellStyle name="20% - Accent6 8 2" xfId="1695"/>
    <cellStyle name="20% - Accent6 8 3" xfId="1696"/>
    <cellStyle name="20% - Accent6 8 4" xfId="1697"/>
    <cellStyle name="20% - Accent6 8 5" xfId="1698"/>
    <cellStyle name="20% - Accent6 8 6" xfId="1699"/>
    <cellStyle name="20% - Accent6 8 7" xfId="1700"/>
    <cellStyle name="20% - Accent6 8 8" xfId="1701"/>
    <cellStyle name="20% - Accent6 8 9" xfId="1702"/>
    <cellStyle name="20% - Accent6 8_Sheet2" xfId="1703"/>
    <cellStyle name="20% - Accent6 9" xfId="1704"/>
    <cellStyle name="20% - Accent6 9 2" xfId="1705"/>
    <cellStyle name="20% - Accent6 9 3" xfId="1706"/>
    <cellStyle name="20% - Accent6 9 4" xfId="1707"/>
    <cellStyle name="20% - Accent6 9 5" xfId="1708"/>
    <cellStyle name="20% - Accent6 9 6" xfId="1709"/>
    <cellStyle name="20% - Accent6 9 7" xfId="1710"/>
    <cellStyle name="20% - Accent6 9 8" xfId="1711"/>
    <cellStyle name="20% - Accent6 9 9" xfId="1712"/>
    <cellStyle name="20% - Akzent1" xfId="1713"/>
    <cellStyle name="20% - Akzent2" xfId="1714"/>
    <cellStyle name="20% - Akzent3" xfId="1715"/>
    <cellStyle name="20% - Akzent4" xfId="1716"/>
    <cellStyle name="20% - Akzent5" xfId="1717"/>
    <cellStyle name="20% - Akzent6" xfId="1718"/>
    <cellStyle name="³f¹E[0]_laroux" xfId="30820"/>
    <cellStyle name="³f¹ô_laroux" xfId="30821"/>
    <cellStyle name="40% - Accent1 1" xfId="1719"/>
    <cellStyle name="40% - Accent1 1 1" xfId="1720"/>
    <cellStyle name="40% - Accent1 1 1 2" xfId="1721"/>
    <cellStyle name="40% - Accent1 1 2" xfId="1722"/>
    <cellStyle name="40% - Accent1 10" xfId="1723"/>
    <cellStyle name="40% - Accent1 10 2" xfId="1724"/>
    <cellStyle name="40% - Accent1 10 3" xfId="1725"/>
    <cellStyle name="40% - Accent1 10 4" xfId="1726"/>
    <cellStyle name="40% - Accent1 10 5" xfId="1727"/>
    <cellStyle name="40% - Accent1 10 6" xfId="1728"/>
    <cellStyle name="40% - Accent1 10 7" xfId="1729"/>
    <cellStyle name="40% - Accent1 10 8" xfId="1730"/>
    <cellStyle name="40% - Accent1 10 9" xfId="1731"/>
    <cellStyle name="40% - Accent1 11" xfId="1732"/>
    <cellStyle name="40% - Accent1 11 2" xfId="1733"/>
    <cellStyle name="40% - Accent1 11 2 2" xfId="1734"/>
    <cellStyle name="40% - Accent1 11 2 3" xfId="1735"/>
    <cellStyle name="40% - Accent1 11 3" xfId="1736"/>
    <cellStyle name="40% - Accent1 11 4" xfId="1737"/>
    <cellStyle name="40% - Accent1 12" xfId="1738"/>
    <cellStyle name="40% - Accent1 12 2" xfId="1739"/>
    <cellStyle name="40% - Accent1 12 2 2" xfId="1740"/>
    <cellStyle name="40% - Accent1 12 2 3" xfId="1741"/>
    <cellStyle name="40% - Accent1 12 3" xfId="1742"/>
    <cellStyle name="40% - Accent1 12 4" xfId="1743"/>
    <cellStyle name="40% - Accent1 13" xfId="1744"/>
    <cellStyle name="40% - Accent1 13 2" xfId="1745"/>
    <cellStyle name="40% - Accent1 13 2 2" xfId="1746"/>
    <cellStyle name="40% - Accent1 13 2 3" xfId="1747"/>
    <cellStyle name="40% - Accent1 13 3" xfId="1748"/>
    <cellStyle name="40% - Accent1 13 4" xfId="1749"/>
    <cellStyle name="40% - Accent1 14" xfId="1750"/>
    <cellStyle name="40% - Accent1 14 2" xfId="1751"/>
    <cellStyle name="40% - Accent1 14 2 2" xfId="1752"/>
    <cellStyle name="40% - Accent1 14 2 3" xfId="1753"/>
    <cellStyle name="40% - Accent1 14 3" xfId="1754"/>
    <cellStyle name="40% - Accent1 14 4" xfId="1755"/>
    <cellStyle name="40% - Accent1 15" xfId="1756"/>
    <cellStyle name="40% - Accent1 15 2" xfId="1757"/>
    <cellStyle name="40% - Accent1 15 2 2" xfId="1758"/>
    <cellStyle name="40% - Accent1 15 2 3" xfId="1759"/>
    <cellStyle name="40% - Accent1 15 3" xfId="1760"/>
    <cellStyle name="40% - Accent1 15 4" xfId="1761"/>
    <cellStyle name="40% - Accent1 16" xfId="1762"/>
    <cellStyle name="40% - Accent1 16 2" xfId="1763"/>
    <cellStyle name="40% - Accent1 16 2 2" xfId="1764"/>
    <cellStyle name="40% - Accent1 16 2 3" xfId="1765"/>
    <cellStyle name="40% - Accent1 16 3" xfId="1766"/>
    <cellStyle name="40% - Accent1 16 4" xfId="1767"/>
    <cellStyle name="40% - Accent1 17" xfId="1768"/>
    <cellStyle name="40% - Accent1 17 2" xfId="1769"/>
    <cellStyle name="40% - Accent1 17 2 2" xfId="1770"/>
    <cellStyle name="40% - Accent1 17 2 3" xfId="1771"/>
    <cellStyle name="40% - Accent1 17 3" xfId="1772"/>
    <cellStyle name="40% - Accent1 17 4" xfId="1773"/>
    <cellStyle name="40% - Accent1 18" xfId="1774"/>
    <cellStyle name="40% - Accent1 18 2" xfId="1775"/>
    <cellStyle name="40% - Accent1 18 2 2" xfId="1776"/>
    <cellStyle name="40% - Accent1 18 2 3" xfId="1777"/>
    <cellStyle name="40% - Accent1 18 3" xfId="1778"/>
    <cellStyle name="40% - Accent1 18 4" xfId="1779"/>
    <cellStyle name="40% - Accent1 19" xfId="1780"/>
    <cellStyle name="40% - Accent1 19 2" xfId="1781"/>
    <cellStyle name="40% - Accent1 19 2 2" xfId="1782"/>
    <cellStyle name="40% - Accent1 19 2 3" xfId="1783"/>
    <cellStyle name="40% - Accent1 19 3" xfId="1784"/>
    <cellStyle name="40% - Accent1 19 4" xfId="1785"/>
    <cellStyle name="40% - Accent1 2" xfId="1786"/>
    <cellStyle name="40% - Accent1 2 10" xfId="1787"/>
    <cellStyle name="40% - Accent1 2 2" xfId="1788"/>
    <cellStyle name="40% - Accent1 2 2 2" xfId="1789"/>
    <cellStyle name="40% - Accent1 2 3" xfId="1790"/>
    <cellStyle name="40% - Accent1 2 3 2" xfId="1791"/>
    <cellStyle name="40% - Accent1 2 4" xfId="1792"/>
    <cellStyle name="40% - Accent1 2 4 2" xfId="1793"/>
    <cellStyle name="40% - Accent1 2 5" xfId="1794"/>
    <cellStyle name="40% - Accent1 2 5 2" xfId="1795"/>
    <cellStyle name="40% - Accent1 2 6" xfId="1796"/>
    <cellStyle name="40% - Accent1 2 7" xfId="1797"/>
    <cellStyle name="40% - Accent1 2 8" xfId="1798"/>
    <cellStyle name="40% - Accent1 2 9" xfId="1799"/>
    <cellStyle name="40% - Accent1 2_B Block  Column LGF to UGF Lvl" xfId="1860"/>
    <cellStyle name="40% - Accent1 20" xfId="1800"/>
    <cellStyle name="40% - Accent1 20 2" xfId="1801"/>
    <cellStyle name="40% - Accent1 20 2 2" xfId="1802"/>
    <cellStyle name="40% - Accent1 20 2 3" xfId="1803"/>
    <cellStyle name="40% - Accent1 20 3" xfId="1804"/>
    <cellStyle name="40% - Accent1 20 4" xfId="1805"/>
    <cellStyle name="40% - Accent1 21" xfId="1806"/>
    <cellStyle name="40% - Accent1 21 2" xfId="1807"/>
    <cellStyle name="40% - Accent1 21 2 2" xfId="1808"/>
    <cellStyle name="40% - Accent1 21 2 3" xfId="1809"/>
    <cellStyle name="40% - Accent1 21 3" xfId="1810"/>
    <cellStyle name="40% - Accent1 21 4" xfId="1811"/>
    <cellStyle name="40% - Accent1 22" xfId="1812"/>
    <cellStyle name="40% - Accent1 22 2" xfId="1813"/>
    <cellStyle name="40% - Accent1 22 2 2" xfId="1814"/>
    <cellStyle name="40% - Accent1 22 2 3" xfId="1815"/>
    <cellStyle name="40% - Accent1 22 3" xfId="1816"/>
    <cellStyle name="40% - Accent1 22 4" xfId="1817"/>
    <cellStyle name="40% - Accent1 23" xfId="1818"/>
    <cellStyle name="40% - Accent1 23 2" xfId="1819"/>
    <cellStyle name="40% - Accent1 23 2 2" xfId="1820"/>
    <cellStyle name="40% - Accent1 23 2 3" xfId="1821"/>
    <cellStyle name="40% - Accent1 23 3" xfId="1822"/>
    <cellStyle name="40% - Accent1 23 4" xfId="1823"/>
    <cellStyle name="40% - Accent1 24" xfId="1824"/>
    <cellStyle name="40% - Accent1 24 2" xfId="1825"/>
    <cellStyle name="40% - Accent1 24 2 2" xfId="1826"/>
    <cellStyle name="40% - Accent1 24 2 3" xfId="1827"/>
    <cellStyle name="40% - Accent1 24 3" xfId="1828"/>
    <cellStyle name="40% - Accent1 24 4" xfId="1829"/>
    <cellStyle name="40% - Accent1 25" xfId="1830"/>
    <cellStyle name="40% - Accent1 25 2" xfId="1831"/>
    <cellStyle name="40% - Accent1 25 2 2" xfId="1832"/>
    <cellStyle name="40% - Accent1 25 2 3" xfId="1833"/>
    <cellStyle name="40% - Accent1 25 3" xfId="1834"/>
    <cellStyle name="40% - Accent1 25 4" xfId="1835"/>
    <cellStyle name="40% - Accent1 26" xfId="1836"/>
    <cellStyle name="40% - Accent1 26 2" xfId="1837"/>
    <cellStyle name="40% - Accent1 26 2 2" xfId="1838"/>
    <cellStyle name="40% - Accent1 26 2 3" xfId="1839"/>
    <cellStyle name="40% - Accent1 26 3" xfId="1840"/>
    <cellStyle name="40% - Accent1 26 4" xfId="1841"/>
    <cellStyle name="40% - Accent1 27" xfId="1842"/>
    <cellStyle name="40% - Accent1 27 2" xfId="1843"/>
    <cellStyle name="40% - Accent1 27 2 2" xfId="1844"/>
    <cellStyle name="40% - Accent1 27 2 3" xfId="1845"/>
    <cellStyle name="40% - Accent1 27 3" xfId="1846"/>
    <cellStyle name="40% - Accent1 27 4" xfId="1847"/>
    <cellStyle name="40% - Accent1 28" xfId="1848"/>
    <cellStyle name="40% - Accent1 28 2" xfId="1849"/>
    <cellStyle name="40% - Accent1 28 2 2" xfId="1850"/>
    <cellStyle name="40% - Accent1 28 2 3" xfId="1851"/>
    <cellStyle name="40% - Accent1 28 3" xfId="1852"/>
    <cellStyle name="40% - Accent1 28 4" xfId="1853"/>
    <cellStyle name="40% - Accent1 29" xfId="1854"/>
    <cellStyle name="40% - Accent1 29 2" xfId="1855"/>
    <cellStyle name="40% - Accent1 29 2 2" xfId="1856"/>
    <cellStyle name="40% - Accent1 29 2 3" xfId="1857"/>
    <cellStyle name="40% - Accent1 29 3" xfId="1858"/>
    <cellStyle name="40% - Accent1 29 4" xfId="1859"/>
    <cellStyle name="40% - Accent1 3" xfId="1861"/>
    <cellStyle name="40% - Accent1 3 2" xfId="1862"/>
    <cellStyle name="40% - Accent1 3 3" xfId="1863"/>
    <cellStyle name="40% - Accent1 3 3 2" xfId="1864"/>
    <cellStyle name="40% - Accent1 3 4" xfId="1865"/>
    <cellStyle name="40% - Accent1 3 4 2" xfId="1866"/>
    <cellStyle name="40% - Accent1 3 5" xfId="1867"/>
    <cellStyle name="40% - Accent1 3 6" xfId="1868"/>
    <cellStyle name="40% - Accent1 3 7" xfId="1869"/>
    <cellStyle name="40% - Accent1 3 8" xfId="1870"/>
    <cellStyle name="40% - Accent1 3 9" xfId="1871"/>
    <cellStyle name="40% - Accent1 3_Sheet2" xfId="1927"/>
    <cellStyle name="40% - Accent1 30" xfId="1872"/>
    <cellStyle name="40% - Accent1 30 2" xfId="1873"/>
    <cellStyle name="40% - Accent1 30 2 2" xfId="1874"/>
    <cellStyle name="40% - Accent1 30 2 3" xfId="1875"/>
    <cellStyle name="40% - Accent1 30 3" xfId="1876"/>
    <cellStyle name="40% - Accent1 30 4" xfId="1877"/>
    <cellStyle name="40% - Accent1 31" xfId="1878"/>
    <cellStyle name="40% - Accent1 31 2" xfId="1879"/>
    <cellStyle name="40% - Accent1 31 2 2" xfId="1880"/>
    <cellStyle name="40% - Accent1 31 2 3" xfId="1881"/>
    <cellStyle name="40% - Accent1 31 3" xfId="1882"/>
    <cellStyle name="40% - Accent1 31 4" xfId="1883"/>
    <cellStyle name="40% - Accent1 32" xfId="1884"/>
    <cellStyle name="40% - Accent1 33" xfId="1885"/>
    <cellStyle name="40% - Accent1 33 2" xfId="1886"/>
    <cellStyle name="40% - Accent1 33 2 2" xfId="1887"/>
    <cellStyle name="40% - Accent1 33 2 3" xfId="1888"/>
    <cellStyle name="40% - Accent1 33 3" xfId="1889"/>
    <cellStyle name="40% - Accent1 33 4" xfId="1890"/>
    <cellStyle name="40% - Accent1 34" xfId="1891"/>
    <cellStyle name="40% - Accent1 34 2" xfId="1892"/>
    <cellStyle name="40% - Accent1 34 2 2" xfId="1893"/>
    <cellStyle name="40% - Accent1 34 2 3" xfId="1894"/>
    <cellStyle name="40% - Accent1 34 3" xfId="1895"/>
    <cellStyle name="40% - Accent1 34 4" xfId="1896"/>
    <cellStyle name="40% - Accent1 35" xfId="1897"/>
    <cellStyle name="40% - Accent1 35 2" xfId="1898"/>
    <cellStyle name="40% - Accent1 35 2 2" xfId="1899"/>
    <cellStyle name="40% - Accent1 35 2 3" xfId="1900"/>
    <cellStyle name="40% - Accent1 35 3" xfId="1901"/>
    <cellStyle name="40% - Accent1 35 4" xfId="1902"/>
    <cellStyle name="40% - Accent1 36" xfId="1903"/>
    <cellStyle name="40% - Accent1 36 2" xfId="1904"/>
    <cellStyle name="40% - Accent1 36 2 2" xfId="1905"/>
    <cellStyle name="40% - Accent1 36 2 3" xfId="1906"/>
    <cellStyle name="40% - Accent1 36 3" xfId="1907"/>
    <cellStyle name="40% - Accent1 36 4" xfId="1908"/>
    <cellStyle name="40% - Accent1 37" xfId="1909"/>
    <cellStyle name="40% - Accent1 37 2" xfId="1910"/>
    <cellStyle name="40% - Accent1 37 2 2" xfId="1911"/>
    <cellStyle name="40% - Accent1 37 2 3" xfId="1912"/>
    <cellStyle name="40% - Accent1 37 3" xfId="1913"/>
    <cellStyle name="40% - Accent1 37 4" xfId="1914"/>
    <cellStyle name="40% - Accent1 38" xfId="1915"/>
    <cellStyle name="40% - Accent1 38 2" xfId="1916"/>
    <cellStyle name="40% - Accent1 38 2 2" xfId="1917"/>
    <cellStyle name="40% - Accent1 38 2 3" xfId="1918"/>
    <cellStyle name="40% - Accent1 38 3" xfId="1919"/>
    <cellStyle name="40% - Accent1 38 4" xfId="1920"/>
    <cellStyle name="40% - Accent1 39" xfId="1921"/>
    <cellStyle name="40% - Accent1 39 2" xfId="1922"/>
    <cellStyle name="40% - Accent1 39 2 2" xfId="1923"/>
    <cellStyle name="40% - Accent1 39 2 3" xfId="1924"/>
    <cellStyle name="40% - Accent1 39 3" xfId="1925"/>
    <cellStyle name="40% - Accent1 39 4" xfId="1926"/>
    <cellStyle name="40% - Accent1 4" xfId="1928"/>
    <cellStyle name="40% - Accent1 4 2" xfId="1929"/>
    <cellStyle name="40% - Accent1 4 3" xfId="1930"/>
    <cellStyle name="40% - Accent1 4 3 2" xfId="1931"/>
    <cellStyle name="40% - Accent1 4 4" xfId="1932"/>
    <cellStyle name="40% - Accent1 4 4 2" xfId="1933"/>
    <cellStyle name="40% - Accent1 4 5" xfId="1934"/>
    <cellStyle name="40% - Accent1 4 6" xfId="1935"/>
    <cellStyle name="40% - Accent1 4 7" xfId="1936"/>
    <cellStyle name="40% - Accent1 4 8" xfId="1937"/>
    <cellStyle name="40% - Accent1 4 9" xfId="1938"/>
    <cellStyle name="40% - Accent1 4_Sheet2" xfId="1939"/>
    <cellStyle name="40% - Accent1 5" xfId="1940"/>
    <cellStyle name="40% - Accent1 5 2" xfId="1941"/>
    <cellStyle name="40% - Accent1 5 2 2" xfId="1942"/>
    <cellStyle name="40% - Accent1 5 3" xfId="1943"/>
    <cellStyle name="40% - Accent1 5 3 2" xfId="1944"/>
    <cellStyle name="40% - Accent1 5 4" xfId="1945"/>
    <cellStyle name="40% - Accent1 5 4 2" xfId="1946"/>
    <cellStyle name="40% - Accent1 5 5" xfId="1947"/>
    <cellStyle name="40% - Accent1 5 6" xfId="1948"/>
    <cellStyle name="40% - Accent1 5 7" xfId="1949"/>
    <cellStyle name="40% - Accent1 5 8" xfId="1950"/>
    <cellStyle name="40% - Accent1 5 9" xfId="1951"/>
    <cellStyle name="40% - Accent1 5_Sheet2" xfId="1952"/>
    <cellStyle name="40% - Accent1 6" xfId="1953"/>
    <cellStyle name="40% - Accent1 6 2" xfId="1954"/>
    <cellStyle name="40% - Accent1 6 2 2" xfId="1955"/>
    <cellStyle name="40% - Accent1 6 3" xfId="1956"/>
    <cellStyle name="40% - Accent1 6 3 2" xfId="1957"/>
    <cellStyle name="40% - Accent1 6 4" xfId="1958"/>
    <cellStyle name="40% - Accent1 6 4 2" xfId="1959"/>
    <cellStyle name="40% - Accent1 6 5" xfId="1960"/>
    <cellStyle name="40% - Accent1 6 6" xfId="1961"/>
    <cellStyle name="40% - Accent1 6 7" xfId="1962"/>
    <cellStyle name="40% - Accent1 6 8" xfId="1963"/>
    <cellStyle name="40% - Accent1 6 9" xfId="1964"/>
    <cellStyle name="40% - Accent1 6_Sheet2" xfId="1965"/>
    <cellStyle name="40% - Accent1 7" xfId="1966"/>
    <cellStyle name="40% - Accent1 7 2" xfId="1967"/>
    <cellStyle name="40% - Accent1 7 2 2" xfId="1968"/>
    <cellStyle name="40% - Accent1 7 3" xfId="1969"/>
    <cellStyle name="40% - Accent1 7 3 2" xfId="1970"/>
    <cellStyle name="40% - Accent1 7 4" xfId="1971"/>
    <cellStyle name="40% - Accent1 7 4 2" xfId="1972"/>
    <cellStyle name="40% - Accent1 7 5" xfId="1973"/>
    <cellStyle name="40% - Accent1 7 6" xfId="1974"/>
    <cellStyle name="40% - Accent1 7 7" xfId="1975"/>
    <cellStyle name="40% - Accent1 7 8" xfId="1976"/>
    <cellStyle name="40% - Accent1 7 9" xfId="1977"/>
    <cellStyle name="40% - Accent1 7_Sheet2" xfId="1978"/>
    <cellStyle name="40% - Accent1 8" xfId="1979"/>
    <cellStyle name="40% - Accent1 8 2" xfId="1980"/>
    <cellStyle name="40% - Accent1 8 3" xfId="1981"/>
    <cellStyle name="40% - Accent1 8 4" xfId="1982"/>
    <cellStyle name="40% - Accent1 8 5" xfId="1983"/>
    <cellStyle name="40% - Accent1 8 6" xfId="1984"/>
    <cellStyle name="40% - Accent1 8 7" xfId="1985"/>
    <cellStyle name="40% - Accent1 8 8" xfId="1986"/>
    <cellStyle name="40% - Accent1 8 9" xfId="1987"/>
    <cellStyle name="40% - Accent1 8_Sheet2" xfId="1988"/>
    <cellStyle name="40% - Accent1 9" xfId="1989"/>
    <cellStyle name="40% - Accent1 9 2" xfId="1990"/>
    <cellStyle name="40% - Accent1 9 3" xfId="1991"/>
    <cellStyle name="40% - Accent1 9 4" xfId="1992"/>
    <cellStyle name="40% - Accent1 9 5" xfId="1993"/>
    <cellStyle name="40% - Accent1 9 6" xfId="1994"/>
    <cellStyle name="40% - Accent1 9 7" xfId="1995"/>
    <cellStyle name="40% - Accent1 9 8" xfId="1996"/>
    <cellStyle name="40% - Accent1 9 9" xfId="1997"/>
    <cellStyle name="40% - Accent2 1" xfId="1998"/>
    <cellStyle name="40% - Accent2 1 1" xfId="1999"/>
    <cellStyle name="40% - Accent2 1 1 2" xfId="2000"/>
    <cellStyle name="40% - Accent2 1 2" xfId="2001"/>
    <cellStyle name="40% - Accent2 10" xfId="2002"/>
    <cellStyle name="40% - Accent2 10 2" xfId="2003"/>
    <cellStyle name="40% - Accent2 10 3" xfId="2004"/>
    <cellStyle name="40% - Accent2 10 4" xfId="2005"/>
    <cellStyle name="40% - Accent2 10 5" xfId="2006"/>
    <cellStyle name="40% - Accent2 10 6" xfId="2007"/>
    <cellStyle name="40% - Accent2 10 7" xfId="2008"/>
    <cellStyle name="40% - Accent2 10 8" xfId="2009"/>
    <cellStyle name="40% - Accent2 10 9" xfId="2010"/>
    <cellStyle name="40% - Accent2 11" xfId="2011"/>
    <cellStyle name="40% - Accent2 11 2" xfId="2012"/>
    <cellStyle name="40% - Accent2 11 2 2" xfId="2013"/>
    <cellStyle name="40% - Accent2 11 2 3" xfId="2014"/>
    <cellStyle name="40% - Accent2 11 3" xfId="2015"/>
    <cellStyle name="40% - Accent2 11 4" xfId="2016"/>
    <cellStyle name="40% - Accent2 12" xfId="2017"/>
    <cellStyle name="40% - Accent2 12 2" xfId="2018"/>
    <cellStyle name="40% - Accent2 12 2 2" xfId="2019"/>
    <cellStyle name="40% - Accent2 12 2 3" xfId="2020"/>
    <cellStyle name="40% - Accent2 12 3" xfId="2021"/>
    <cellStyle name="40% - Accent2 12 4" xfId="2022"/>
    <cellStyle name="40% - Accent2 13" xfId="2023"/>
    <cellStyle name="40% - Accent2 13 2" xfId="2024"/>
    <cellStyle name="40% - Accent2 13 2 2" xfId="2025"/>
    <cellStyle name="40% - Accent2 13 2 3" xfId="2026"/>
    <cellStyle name="40% - Accent2 13 3" xfId="2027"/>
    <cellStyle name="40% - Accent2 13 4" xfId="2028"/>
    <cellStyle name="40% - Accent2 14" xfId="2029"/>
    <cellStyle name="40% - Accent2 14 2" xfId="2030"/>
    <cellStyle name="40% - Accent2 14 2 2" xfId="2031"/>
    <cellStyle name="40% - Accent2 14 2 3" xfId="2032"/>
    <cellStyle name="40% - Accent2 14 3" xfId="2033"/>
    <cellStyle name="40% - Accent2 14 4" xfId="2034"/>
    <cellStyle name="40% - Accent2 15" xfId="2035"/>
    <cellStyle name="40% - Accent2 15 2" xfId="2036"/>
    <cellStyle name="40% - Accent2 15 2 2" xfId="2037"/>
    <cellStyle name="40% - Accent2 15 2 3" xfId="2038"/>
    <cellStyle name="40% - Accent2 15 3" xfId="2039"/>
    <cellStyle name="40% - Accent2 15 4" xfId="2040"/>
    <cellStyle name="40% - Accent2 16" xfId="2041"/>
    <cellStyle name="40% - Accent2 16 2" xfId="2042"/>
    <cellStyle name="40% - Accent2 16 2 2" xfId="2043"/>
    <cellStyle name="40% - Accent2 16 2 3" xfId="2044"/>
    <cellStyle name="40% - Accent2 16 3" xfId="2045"/>
    <cellStyle name="40% - Accent2 16 4" xfId="2046"/>
    <cellStyle name="40% - Accent2 17" xfId="2047"/>
    <cellStyle name="40% - Accent2 17 2" xfId="2048"/>
    <cellStyle name="40% - Accent2 17 2 2" xfId="2049"/>
    <cellStyle name="40% - Accent2 17 2 3" xfId="2050"/>
    <cellStyle name="40% - Accent2 17 3" xfId="2051"/>
    <cellStyle name="40% - Accent2 17 4" xfId="2052"/>
    <cellStyle name="40% - Accent2 18" xfId="2053"/>
    <cellStyle name="40% - Accent2 18 2" xfId="2054"/>
    <cellStyle name="40% - Accent2 18 2 2" xfId="2055"/>
    <cellStyle name="40% - Accent2 18 2 3" xfId="2056"/>
    <cellStyle name="40% - Accent2 18 3" xfId="2057"/>
    <cellStyle name="40% - Accent2 18 4" xfId="2058"/>
    <cellStyle name="40% - Accent2 19" xfId="2059"/>
    <cellStyle name="40% - Accent2 19 2" xfId="2060"/>
    <cellStyle name="40% - Accent2 19 2 2" xfId="2061"/>
    <cellStyle name="40% - Accent2 19 2 3" xfId="2062"/>
    <cellStyle name="40% - Accent2 19 3" xfId="2063"/>
    <cellStyle name="40% - Accent2 19 4" xfId="2064"/>
    <cellStyle name="40% - Accent2 2" xfId="2065"/>
    <cellStyle name="40% - Accent2 2 10" xfId="2066"/>
    <cellStyle name="40% - Accent2 2 2" xfId="2067"/>
    <cellStyle name="40% - Accent2 2 2 2" xfId="2068"/>
    <cellStyle name="40% - Accent2 2 3" xfId="2069"/>
    <cellStyle name="40% - Accent2 2 3 2" xfId="2070"/>
    <cellStyle name="40% - Accent2 2 4" xfId="2071"/>
    <cellStyle name="40% - Accent2 2 4 2" xfId="2072"/>
    <cellStyle name="40% - Accent2 2 5" xfId="2073"/>
    <cellStyle name="40% - Accent2 2 5 2" xfId="2074"/>
    <cellStyle name="40% - Accent2 2 6" xfId="2075"/>
    <cellStyle name="40% - Accent2 2 7" xfId="2076"/>
    <cellStyle name="40% - Accent2 2 8" xfId="2077"/>
    <cellStyle name="40% - Accent2 2 9" xfId="2078"/>
    <cellStyle name="40% - Accent2 2_B Block  Column LGF to UGF Lvl" xfId="2139"/>
    <cellStyle name="40% - Accent2 20" xfId="2079"/>
    <cellStyle name="40% - Accent2 20 2" xfId="2080"/>
    <cellStyle name="40% - Accent2 20 2 2" xfId="2081"/>
    <cellStyle name="40% - Accent2 20 2 3" xfId="2082"/>
    <cellStyle name="40% - Accent2 20 3" xfId="2083"/>
    <cellStyle name="40% - Accent2 20 4" xfId="2084"/>
    <cellStyle name="40% - Accent2 21" xfId="2085"/>
    <cellStyle name="40% - Accent2 21 2" xfId="2086"/>
    <cellStyle name="40% - Accent2 21 2 2" xfId="2087"/>
    <cellStyle name="40% - Accent2 21 2 3" xfId="2088"/>
    <cellStyle name="40% - Accent2 21 3" xfId="2089"/>
    <cellStyle name="40% - Accent2 21 4" xfId="2090"/>
    <cellStyle name="40% - Accent2 22" xfId="2091"/>
    <cellStyle name="40% - Accent2 22 2" xfId="2092"/>
    <cellStyle name="40% - Accent2 22 2 2" xfId="2093"/>
    <cellStyle name="40% - Accent2 22 2 3" xfId="2094"/>
    <cellStyle name="40% - Accent2 22 3" xfId="2095"/>
    <cellStyle name="40% - Accent2 22 4" xfId="2096"/>
    <cellStyle name="40% - Accent2 23" xfId="2097"/>
    <cellStyle name="40% - Accent2 23 2" xfId="2098"/>
    <cellStyle name="40% - Accent2 23 2 2" xfId="2099"/>
    <cellStyle name="40% - Accent2 23 2 3" xfId="2100"/>
    <cellStyle name="40% - Accent2 23 3" xfId="2101"/>
    <cellStyle name="40% - Accent2 23 4" xfId="2102"/>
    <cellStyle name="40% - Accent2 24" xfId="2103"/>
    <cellStyle name="40% - Accent2 24 2" xfId="2104"/>
    <cellStyle name="40% - Accent2 24 2 2" xfId="2105"/>
    <cellStyle name="40% - Accent2 24 2 3" xfId="2106"/>
    <cellStyle name="40% - Accent2 24 3" xfId="2107"/>
    <cellStyle name="40% - Accent2 24 4" xfId="2108"/>
    <cellStyle name="40% - Accent2 25" xfId="2109"/>
    <cellStyle name="40% - Accent2 25 2" xfId="2110"/>
    <cellStyle name="40% - Accent2 25 2 2" xfId="2111"/>
    <cellStyle name="40% - Accent2 25 2 3" xfId="2112"/>
    <cellStyle name="40% - Accent2 25 3" xfId="2113"/>
    <cellStyle name="40% - Accent2 25 4" xfId="2114"/>
    <cellStyle name="40% - Accent2 26" xfId="2115"/>
    <cellStyle name="40% - Accent2 26 2" xfId="2116"/>
    <cellStyle name="40% - Accent2 26 2 2" xfId="2117"/>
    <cellStyle name="40% - Accent2 26 2 3" xfId="2118"/>
    <cellStyle name="40% - Accent2 26 3" xfId="2119"/>
    <cellStyle name="40% - Accent2 26 4" xfId="2120"/>
    <cellStyle name="40% - Accent2 27" xfId="2121"/>
    <cellStyle name="40% - Accent2 27 2" xfId="2122"/>
    <cellStyle name="40% - Accent2 27 2 2" xfId="2123"/>
    <cellStyle name="40% - Accent2 27 2 3" xfId="2124"/>
    <cellStyle name="40% - Accent2 27 3" xfId="2125"/>
    <cellStyle name="40% - Accent2 27 4" xfId="2126"/>
    <cellStyle name="40% - Accent2 28" xfId="2127"/>
    <cellStyle name="40% - Accent2 28 2" xfId="2128"/>
    <cellStyle name="40% - Accent2 28 2 2" xfId="2129"/>
    <cellStyle name="40% - Accent2 28 2 3" xfId="2130"/>
    <cellStyle name="40% - Accent2 28 3" xfId="2131"/>
    <cellStyle name="40% - Accent2 28 4" xfId="2132"/>
    <cellStyle name="40% - Accent2 29" xfId="2133"/>
    <cellStyle name="40% - Accent2 29 2" xfId="2134"/>
    <cellStyle name="40% - Accent2 29 2 2" xfId="2135"/>
    <cellStyle name="40% - Accent2 29 2 3" xfId="2136"/>
    <cellStyle name="40% - Accent2 29 3" xfId="2137"/>
    <cellStyle name="40% - Accent2 29 4" xfId="2138"/>
    <cellStyle name="40% - Accent2 3" xfId="2140"/>
    <cellStyle name="40% - Accent2 3 2" xfId="2141"/>
    <cellStyle name="40% - Accent2 3 3" xfId="2142"/>
    <cellStyle name="40% - Accent2 3 3 2" xfId="2143"/>
    <cellStyle name="40% - Accent2 3 4" xfId="2144"/>
    <cellStyle name="40% - Accent2 3 4 2" xfId="2145"/>
    <cellStyle name="40% - Accent2 3 5" xfId="2146"/>
    <cellStyle name="40% - Accent2 3 6" xfId="2147"/>
    <cellStyle name="40% - Accent2 3 7" xfId="2148"/>
    <cellStyle name="40% - Accent2 3 8" xfId="2149"/>
    <cellStyle name="40% - Accent2 3 9" xfId="2150"/>
    <cellStyle name="40% - Accent2 3_Sheet2" xfId="2206"/>
    <cellStyle name="40% - Accent2 30" xfId="2151"/>
    <cellStyle name="40% - Accent2 30 2" xfId="2152"/>
    <cellStyle name="40% - Accent2 30 2 2" xfId="2153"/>
    <cellStyle name="40% - Accent2 30 2 3" xfId="2154"/>
    <cellStyle name="40% - Accent2 30 3" xfId="2155"/>
    <cellStyle name="40% - Accent2 30 4" xfId="2156"/>
    <cellStyle name="40% - Accent2 31" xfId="2157"/>
    <cellStyle name="40% - Accent2 31 2" xfId="2158"/>
    <cellStyle name="40% - Accent2 31 2 2" xfId="2159"/>
    <cellStyle name="40% - Accent2 31 2 3" xfId="2160"/>
    <cellStyle name="40% - Accent2 31 3" xfId="2161"/>
    <cellStyle name="40% - Accent2 31 4" xfId="2162"/>
    <cellStyle name="40% - Accent2 32" xfId="2163"/>
    <cellStyle name="40% - Accent2 33" xfId="2164"/>
    <cellStyle name="40% - Accent2 33 2" xfId="2165"/>
    <cellStyle name="40% - Accent2 33 2 2" xfId="2166"/>
    <cellStyle name="40% - Accent2 33 2 3" xfId="2167"/>
    <cellStyle name="40% - Accent2 33 3" xfId="2168"/>
    <cellStyle name="40% - Accent2 33 4" xfId="2169"/>
    <cellStyle name="40% - Accent2 34" xfId="2170"/>
    <cellStyle name="40% - Accent2 34 2" xfId="2171"/>
    <cellStyle name="40% - Accent2 34 2 2" xfId="2172"/>
    <cellStyle name="40% - Accent2 34 2 3" xfId="2173"/>
    <cellStyle name="40% - Accent2 34 3" xfId="2174"/>
    <cellStyle name="40% - Accent2 34 4" xfId="2175"/>
    <cellStyle name="40% - Accent2 35" xfId="2176"/>
    <cellStyle name="40% - Accent2 35 2" xfId="2177"/>
    <cellStyle name="40% - Accent2 35 2 2" xfId="2178"/>
    <cellStyle name="40% - Accent2 35 2 3" xfId="2179"/>
    <cellStyle name="40% - Accent2 35 3" xfId="2180"/>
    <cellStyle name="40% - Accent2 35 4" xfId="2181"/>
    <cellStyle name="40% - Accent2 36" xfId="2182"/>
    <cellStyle name="40% - Accent2 36 2" xfId="2183"/>
    <cellStyle name="40% - Accent2 36 2 2" xfId="2184"/>
    <cellStyle name="40% - Accent2 36 2 3" xfId="2185"/>
    <cellStyle name="40% - Accent2 36 3" xfId="2186"/>
    <cellStyle name="40% - Accent2 36 4" xfId="2187"/>
    <cellStyle name="40% - Accent2 37" xfId="2188"/>
    <cellStyle name="40% - Accent2 37 2" xfId="2189"/>
    <cellStyle name="40% - Accent2 37 2 2" xfId="2190"/>
    <cellStyle name="40% - Accent2 37 2 3" xfId="2191"/>
    <cellStyle name="40% - Accent2 37 3" xfId="2192"/>
    <cellStyle name="40% - Accent2 37 4" xfId="2193"/>
    <cellStyle name="40% - Accent2 38" xfId="2194"/>
    <cellStyle name="40% - Accent2 38 2" xfId="2195"/>
    <cellStyle name="40% - Accent2 38 2 2" xfId="2196"/>
    <cellStyle name="40% - Accent2 38 2 3" xfId="2197"/>
    <cellStyle name="40% - Accent2 38 3" xfId="2198"/>
    <cellStyle name="40% - Accent2 38 4" xfId="2199"/>
    <cellStyle name="40% - Accent2 39" xfId="2200"/>
    <cellStyle name="40% - Accent2 39 2" xfId="2201"/>
    <cellStyle name="40% - Accent2 39 2 2" xfId="2202"/>
    <cellStyle name="40% - Accent2 39 2 3" xfId="2203"/>
    <cellStyle name="40% - Accent2 39 3" xfId="2204"/>
    <cellStyle name="40% - Accent2 39 4" xfId="2205"/>
    <cellStyle name="40% - Accent2 4" xfId="2207"/>
    <cellStyle name="40% - Accent2 4 2" xfId="2208"/>
    <cellStyle name="40% - Accent2 4 3" xfId="2209"/>
    <cellStyle name="40% - Accent2 4 3 2" xfId="2210"/>
    <cellStyle name="40% - Accent2 4 4" xfId="2211"/>
    <cellStyle name="40% - Accent2 4 4 2" xfId="2212"/>
    <cellStyle name="40% - Accent2 4 5" xfId="2213"/>
    <cellStyle name="40% - Accent2 4 6" xfId="2214"/>
    <cellStyle name="40% - Accent2 4 7" xfId="2215"/>
    <cellStyle name="40% - Accent2 4 8" xfId="2216"/>
    <cellStyle name="40% - Accent2 4 9" xfId="2217"/>
    <cellStyle name="40% - Accent2 4_Sheet2" xfId="2218"/>
    <cellStyle name="40% - Accent2 5" xfId="2219"/>
    <cellStyle name="40% - Accent2 5 2" xfId="2220"/>
    <cellStyle name="40% - Accent2 5 2 2" xfId="2221"/>
    <cellStyle name="40% - Accent2 5 3" xfId="2222"/>
    <cellStyle name="40% - Accent2 5 3 2" xfId="2223"/>
    <cellStyle name="40% - Accent2 5 4" xfId="2224"/>
    <cellStyle name="40% - Accent2 5 4 2" xfId="2225"/>
    <cellStyle name="40% - Accent2 5 5" xfId="2226"/>
    <cellStyle name="40% - Accent2 5 6" xfId="2227"/>
    <cellStyle name="40% - Accent2 5 7" xfId="2228"/>
    <cellStyle name="40% - Accent2 5 8" xfId="2229"/>
    <cellStyle name="40% - Accent2 5 9" xfId="2230"/>
    <cellStyle name="40% - Accent2 5_Sheet2" xfId="2231"/>
    <cellStyle name="40% - Accent2 6" xfId="2232"/>
    <cellStyle name="40% - Accent2 6 2" xfId="2233"/>
    <cellStyle name="40% - Accent2 6 2 2" xfId="2234"/>
    <cellStyle name="40% - Accent2 6 3" xfId="2235"/>
    <cellStyle name="40% - Accent2 6 3 2" xfId="2236"/>
    <cellStyle name="40% - Accent2 6 4" xfId="2237"/>
    <cellStyle name="40% - Accent2 6 4 2" xfId="2238"/>
    <cellStyle name="40% - Accent2 6 5" xfId="2239"/>
    <cellStyle name="40% - Accent2 6 6" xfId="2240"/>
    <cellStyle name="40% - Accent2 6 7" xfId="2241"/>
    <cellStyle name="40% - Accent2 6 8" xfId="2242"/>
    <cellStyle name="40% - Accent2 6 9" xfId="2243"/>
    <cellStyle name="40% - Accent2 6_Sheet2" xfId="2244"/>
    <cellStyle name="40% - Accent2 7" xfId="2245"/>
    <cellStyle name="40% - Accent2 7 2" xfId="2246"/>
    <cellStyle name="40% - Accent2 7 2 2" xfId="2247"/>
    <cellStyle name="40% - Accent2 7 3" xfId="2248"/>
    <cellStyle name="40% - Accent2 7 3 2" xfId="2249"/>
    <cellStyle name="40% - Accent2 7 4" xfId="2250"/>
    <cellStyle name="40% - Accent2 7 4 2" xfId="2251"/>
    <cellStyle name="40% - Accent2 7 5" xfId="2252"/>
    <cellStyle name="40% - Accent2 7 6" xfId="2253"/>
    <cellStyle name="40% - Accent2 7 7" xfId="2254"/>
    <cellStyle name="40% - Accent2 7 8" xfId="2255"/>
    <cellStyle name="40% - Accent2 7 9" xfId="2256"/>
    <cellStyle name="40% - Accent2 7_Sheet2" xfId="2257"/>
    <cellStyle name="40% - Accent2 8" xfId="2258"/>
    <cellStyle name="40% - Accent2 8 2" xfId="2259"/>
    <cellStyle name="40% - Accent2 8 3" xfId="2260"/>
    <cellStyle name="40% - Accent2 8 4" xfId="2261"/>
    <cellStyle name="40% - Accent2 8 5" xfId="2262"/>
    <cellStyle name="40% - Accent2 8 6" xfId="2263"/>
    <cellStyle name="40% - Accent2 8 7" xfId="2264"/>
    <cellStyle name="40% - Accent2 8 8" xfId="2265"/>
    <cellStyle name="40% - Accent2 8 9" xfId="2266"/>
    <cellStyle name="40% - Accent2 8_Sheet2" xfId="2267"/>
    <cellStyle name="40% - Accent2 9" xfId="2268"/>
    <cellStyle name="40% - Accent2 9 2" xfId="2269"/>
    <cellStyle name="40% - Accent2 9 3" xfId="2270"/>
    <cellStyle name="40% - Accent2 9 4" xfId="2271"/>
    <cellStyle name="40% - Accent2 9 5" xfId="2272"/>
    <cellStyle name="40% - Accent2 9 6" xfId="2273"/>
    <cellStyle name="40% - Accent2 9 7" xfId="2274"/>
    <cellStyle name="40% - Accent2 9 8" xfId="2275"/>
    <cellStyle name="40% - Accent2 9 9" xfId="2276"/>
    <cellStyle name="40% - Accent3 1" xfId="2277"/>
    <cellStyle name="40% - Accent3 1 1" xfId="2278"/>
    <cellStyle name="40% - Accent3 1 1 2" xfId="2279"/>
    <cellStyle name="40% - Accent3 1 2" xfId="2280"/>
    <cellStyle name="40% - Accent3 10" xfId="2281"/>
    <cellStyle name="40% - Accent3 10 2" xfId="2282"/>
    <cellStyle name="40% - Accent3 10 3" xfId="2283"/>
    <cellStyle name="40% - Accent3 10 4" xfId="2284"/>
    <cellStyle name="40% - Accent3 10 5" xfId="2285"/>
    <cellStyle name="40% - Accent3 10 6" xfId="2286"/>
    <cellStyle name="40% - Accent3 10 7" xfId="2287"/>
    <cellStyle name="40% - Accent3 10 8" xfId="2288"/>
    <cellStyle name="40% - Accent3 10 9" xfId="2289"/>
    <cellStyle name="40% - Accent3 11" xfId="2290"/>
    <cellStyle name="40% - Accent3 11 2" xfId="2291"/>
    <cellStyle name="40% - Accent3 11 2 2" xfId="2292"/>
    <cellStyle name="40% - Accent3 11 2 3" xfId="2293"/>
    <cellStyle name="40% - Accent3 11 3" xfId="2294"/>
    <cellStyle name="40% - Accent3 11 4" xfId="2295"/>
    <cellStyle name="40% - Accent3 12" xfId="2296"/>
    <cellStyle name="40% - Accent3 12 2" xfId="2297"/>
    <cellStyle name="40% - Accent3 12 2 2" xfId="2298"/>
    <cellStyle name="40% - Accent3 12 2 3" xfId="2299"/>
    <cellStyle name="40% - Accent3 12 3" xfId="2300"/>
    <cellStyle name="40% - Accent3 12 4" xfId="2301"/>
    <cellStyle name="40% - Accent3 13" xfId="2302"/>
    <cellStyle name="40% - Accent3 13 2" xfId="2303"/>
    <cellStyle name="40% - Accent3 13 2 2" xfId="2304"/>
    <cellStyle name="40% - Accent3 13 2 3" xfId="2305"/>
    <cellStyle name="40% - Accent3 13 3" xfId="2306"/>
    <cellStyle name="40% - Accent3 13 4" xfId="2307"/>
    <cellStyle name="40% - Accent3 14" xfId="2308"/>
    <cellStyle name="40% - Accent3 14 2" xfId="2309"/>
    <cellStyle name="40% - Accent3 14 2 2" xfId="2310"/>
    <cellStyle name="40% - Accent3 14 2 3" xfId="2311"/>
    <cellStyle name="40% - Accent3 14 3" xfId="2312"/>
    <cellStyle name="40% - Accent3 14 4" xfId="2313"/>
    <cellStyle name="40% - Accent3 15" xfId="2314"/>
    <cellStyle name="40% - Accent3 15 2" xfId="2315"/>
    <cellStyle name="40% - Accent3 15 2 2" xfId="2316"/>
    <cellStyle name="40% - Accent3 15 2 3" xfId="2317"/>
    <cellStyle name="40% - Accent3 15 3" xfId="2318"/>
    <cellStyle name="40% - Accent3 15 4" xfId="2319"/>
    <cellStyle name="40% - Accent3 16" xfId="2320"/>
    <cellStyle name="40% - Accent3 16 2" xfId="2321"/>
    <cellStyle name="40% - Accent3 16 2 2" xfId="2322"/>
    <cellStyle name="40% - Accent3 16 2 3" xfId="2323"/>
    <cellStyle name="40% - Accent3 16 3" xfId="2324"/>
    <cellStyle name="40% - Accent3 16 4" xfId="2325"/>
    <cellStyle name="40% - Accent3 17" xfId="2326"/>
    <cellStyle name="40% - Accent3 17 2" xfId="2327"/>
    <cellStyle name="40% - Accent3 17 2 2" xfId="2328"/>
    <cellStyle name="40% - Accent3 17 2 3" xfId="2329"/>
    <cellStyle name="40% - Accent3 17 3" xfId="2330"/>
    <cellStyle name="40% - Accent3 17 4" xfId="2331"/>
    <cellStyle name="40% - Accent3 18" xfId="2332"/>
    <cellStyle name="40% - Accent3 18 2" xfId="2333"/>
    <cellStyle name="40% - Accent3 18 2 2" xfId="2334"/>
    <cellStyle name="40% - Accent3 18 2 3" xfId="2335"/>
    <cellStyle name="40% - Accent3 18 3" xfId="2336"/>
    <cellStyle name="40% - Accent3 18 4" xfId="2337"/>
    <cellStyle name="40% - Accent3 19" xfId="2338"/>
    <cellStyle name="40% - Accent3 19 2" xfId="2339"/>
    <cellStyle name="40% - Accent3 19 2 2" xfId="2340"/>
    <cellStyle name="40% - Accent3 19 2 3" xfId="2341"/>
    <cellStyle name="40% - Accent3 19 3" xfId="2342"/>
    <cellStyle name="40% - Accent3 19 4" xfId="2343"/>
    <cellStyle name="40% - Accent3 2" xfId="2344"/>
    <cellStyle name="40% - Accent3 2 10" xfId="2345"/>
    <cellStyle name="40% - Accent3 2 2" xfId="2346"/>
    <cellStyle name="40% - Accent3 2 2 2" xfId="2347"/>
    <cellStyle name="40% - Accent3 2 3" xfId="2348"/>
    <cellStyle name="40% - Accent3 2 3 2" xfId="2349"/>
    <cellStyle name="40% - Accent3 2 4" xfId="2350"/>
    <cellStyle name="40% - Accent3 2 4 2" xfId="2351"/>
    <cellStyle name="40% - Accent3 2 5" xfId="2352"/>
    <cellStyle name="40% - Accent3 2 5 2" xfId="2353"/>
    <cellStyle name="40% - Accent3 2 6" xfId="2354"/>
    <cellStyle name="40% - Accent3 2 7" xfId="2355"/>
    <cellStyle name="40% - Accent3 2 8" xfId="2356"/>
    <cellStyle name="40% - Accent3 2 9" xfId="2357"/>
    <cellStyle name="40% - Accent3 2_B Block  Column LGF to UGF Lvl" xfId="2418"/>
    <cellStyle name="40% - Accent3 20" xfId="2358"/>
    <cellStyle name="40% - Accent3 20 2" xfId="2359"/>
    <cellStyle name="40% - Accent3 20 2 2" xfId="2360"/>
    <cellStyle name="40% - Accent3 20 2 3" xfId="2361"/>
    <cellStyle name="40% - Accent3 20 3" xfId="2362"/>
    <cellStyle name="40% - Accent3 20 4" xfId="2363"/>
    <cellStyle name="40% - Accent3 21" xfId="2364"/>
    <cellStyle name="40% - Accent3 21 2" xfId="2365"/>
    <cellStyle name="40% - Accent3 21 2 2" xfId="2366"/>
    <cellStyle name="40% - Accent3 21 2 3" xfId="2367"/>
    <cellStyle name="40% - Accent3 21 3" xfId="2368"/>
    <cellStyle name="40% - Accent3 21 4" xfId="2369"/>
    <cellStyle name="40% - Accent3 22" xfId="2370"/>
    <cellStyle name="40% - Accent3 22 2" xfId="2371"/>
    <cellStyle name="40% - Accent3 22 2 2" xfId="2372"/>
    <cellStyle name="40% - Accent3 22 2 3" xfId="2373"/>
    <cellStyle name="40% - Accent3 22 3" xfId="2374"/>
    <cellStyle name="40% - Accent3 22 4" xfId="2375"/>
    <cellStyle name="40% - Accent3 23" xfId="2376"/>
    <cellStyle name="40% - Accent3 23 2" xfId="2377"/>
    <cellStyle name="40% - Accent3 23 2 2" xfId="2378"/>
    <cellStyle name="40% - Accent3 23 2 3" xfId="2379"/>
    <cellStyle name="40% - Accent3 23 3" xfId="2380"/>
    <cellStyle name="40% - Accent3 23 4" xfId="2381"/>
    <cellStyle name="40% - Accent3 24" xfId="2382"/>
    <cellStyle name="40% - Accent3 24 2" xfId="2383"/>
    <cellStyle name="40% - Accent3 24 2 2" xfId="2384"/>
    <cellStyle name="40% - Accent3 24 2 3" xfId="2385"/>
    <cellStyle name="40% - Accent3 24 3" xfId="2386"/>
    <cellStyle name="40% - Accent3 24 4" xfId="2387"/>
    <cellStyle name="40% - Accent3 25" xfId="2388"/>
    <cellStyle name="40% - Accent3 25 2" xfId="2389"/>
    <cellStyle name="40% - Accent3 25 2 2" xfId="2390"/>
    <cellStyle name="40% - Accent3 25 2 3" xfId="2391"/>
    <cellStyle name="40% - Accent3 25 3" xfId="2392"/>
    <cellStyle name="40% - Accent3 25 4" xfId="2393"/>
    <cellStyle name="40% - Accent3 26" xfId="2394"/>
    <cellStyle name="40% - Accent3 26 2" xfId="2395"/>
    <cellStyle name="40% - Accent3 26 2 2" xfId="2396"/>
    <cellStyle name="40% - Accent3 26 2 3" xfId="2397"/>
    <cellStyle name="40% - Accent3 26 3" xfId="2398"/>
    <cellStyle name="40% - Accent3 26 4" xfId="2399"/>
    <cellStyle name="40% - Accent3 27" xfId="2400"/>
    <cellStyle name="40% - Accent3 27 2" xfId="2401"/>
    <cellStyle name="40% - Accent3 27 2 2" xfId="2402"/>
    <cellStyle name="40% - Accent3 27 2 3" xfId="2403"/>
    <cellStyle name="40% - Accent3 27 3" xfId="2404"/>
    <cellStyle name="40% - Accent3 27 4" xfId="2405"/>
    <cellStyle name="40% - Accent3 28" xfId="2406"/>
    <cellStyle name="40% - Accent3 28 2" xfId="2407"/>
    <cellStyle name="40% - Accent3 28 2 2" xfId="2408"/>
    <cellStyle name="40% - Accent3 28 2 3" xfId="2409"/>
    <cellStyle name="40% - Accent3 28 3" xfId="2410"/>
    <cellStyle name="40% - Accent3 28 4" xfId="2411"/>
    <cellStyle name="40% - Accent3 29" xfId="2412"/>
    <cellStyle name="40% - Accent3 29 2" xfId="2413"/>
    <cellStyle name="40% - Accent3 29 2 2" xfId="2414"/>
    <cellStyle name="40% - Accent3 29 2 3" xfId="2415"/>
    <cellStyle name="40% - Accent3 29 3" xfId="2416"/>
    <cellStyle name="40% - Accent3 29 4" xfId="2417"/>
    <cellStyle name="40% - Accent3 3" xfId="2419"/>
    <cellStyle name="40% - Accent3 3 2" xfId="2420"/>
    <cellStyle name="40% - Accent3 3 3" xfId="2421"/>
    <cellStyle name="40% - Accent3 3 3 2" xfId="2422"/>
    <cellStyle name="40% - Accent3 3 4" xfId="2423"/>
    <cellStyle name="40% - Accent3 3 4 2" xfId="2424"/>
    <cellStyle name="40% - Accent3 3 5" xfId="2425"/>
    <cellStyle name="40% - Accent3 3 6" xfId="2426"/>
    <cellStyle name="40% - Accent3 3 7" xfId="2427"/>
    <cellStyle name="40% - Accent3 3 8" xfId="2428"/>
    <cellStyle name="40% - Accent3 3 9" xfId="2429"/>
    <cellStyle name="40% - Accent3 3_Sheet2" xfId="2485"/>
    <cellStyle name="40% - Accent3 30" xfId="2430"/>
    <cellStyle name="40% - Accent3 30 2" xfId="2431"/>
    <cellStyle name="40% - Accent3 30 2 2" xfId="2432"/>
    <cellStyle name="40% - Accent3 30 2 3" xfId="2433"/>
    <cellStyle name="40% - Accent3 30 3" xfId="2434"/>
    <cellStyle name="40% - Accent3 30 4" xfId="2435"/>
    <cellStyle name="40% - Accent3 31" xfId="2436"/>
    <cellStyle name="40% - Accent3 31 2" xfId="2437"/>
    <cellStyle name="40% - Accent3 31 2 2" xfId="2438"/>
    <cellStyle name="40% - Accent3 31 2 3" xfId="2439"/>
    <cellStyle name="40% - Accent3 31 3" xfId="2440"/>
    <cellStyle name="40% - Accent3 31 4" xfId="2441"/>
    <cellStyle name="40% - Accent3 32" xfId="2442"/>
    <cellStyle name="40% - Accent3 33" xfId="2443"/>
    <cellStyle name="40% - Accent3 33 2" xfId="2444"/>
    <cellStyle name="40% - Accent3 33 2 2" xfId="2445"/>
    <cellStyle name="40% - Accent3 33 2 3" xfId="2446"/>
    <cellStyle name="40% - Accent3 33 3" xfId="2447"/>
    <cellStyle name="40% - Accent3 33 4" xfId="2448"/>
    <cellStyle name="40% - Accent3 34" xfId="2449"/>
    <cellStyle name="40% - Accent3 34 2" xfId="2450"/>
    <cellStyle name="40% - Accent3 34 2 2" xfId="2451"/>
    <cellStyle name="40% - Accent3 34 2 3" xfId="2452"/>
    <cellStyle name="40% - Accent3 34 3" xfId="2453"/>
    <cellStyle name="40% - Accent3 34 4" xfId="2454"/>
    <cellStyle name="40% - Accent3 35" xfId="2455"/>
    <cellStyle name="40% - Accent3 35 2" xfId="2456"/>
    <cellStyle name="40% - Accent3 35 2 2" xfId="2457"/>
    <cellStyle name="40% - Accent3 35 2 3" xfId="2458"/>
    <cellStyle name="40% - Accent3 35 3" xfId="2459"/>
    <cellStyle name="40% - Accent3 35 4" xfId="2460"/>
    <cellStyle name="40% - Accent3 36" xfId="2461"/>
    <cellStyle name="40% - Accent3 36 2" xfId="2462"/>
    <cellStyle name="40% - Accent3 36 2 2" xfId="2463"/>
    <cellStyle name="40% - Accent3 36 2 3" xfId="2464"/>
    <cellStyle name="40% - Accent3 36 3" xfId="2465"/>
    <cellStyle name="40% - Accent3 36 4" xfId="2466"/>
    <cellStyle name="40% - Accent3 37" xfId="2467"/>
    <cellStyle name="40% - Accent3 37 2" xfId="2468"/>
    <cellStyle name="40% - Accent3 37 2 2" xfId="2469"/>
    <cellStyle name="40% - Accent3 37 2 3" xfId="2470"/>
    <cellStyle name="40% - Accent3 37 3" xfId="2471"/>
    <cellStyle name="40% - Accent3 37 4" xfId="2472"/>
    <cellStyle name="40% - Accent3 38" xfId="2473"/>
    <cellStyle name="40% - Accent3 38 2" xfId="2474"/>
    <cellStyle name="40% - Accent3 38 2 2" xfId="2475"/>
    <cellStyle name="40% - Accent3 38 2 3" xfId="2476"/>
    <cellStyle name="40% - Accent3 38 3" xfId="2477"/>
    <cellStyle name="40% - Accent3 38 4" xfId="2478"/>
    <cellStyle name="40% - Accent3 39" xfId="2479"/>
    <cellStyle name="40% - Accent3 39 2" xfId="2480"/>
    <cellStyle name="40% - Accent3 39 2 2" xfId="2481"/>
    <cellStyle name="40% - Accent3 39 2 3" xfId="2482"/>
    <cellStyle name="40% - Accent3 39 3" xfId="2483"/>
    <cellStyle name="40% - Accent3 39 4" xfId="2484"/>
    <cellStyle name="40% - Accent3 4" xfId="2486"/>
    <cellStyle name="40% - Accent3 4 2" xfId="2487"/>
    <cellStyle name="40% - Accent3 4 3" xfId="2488"/>
    <cellStyle name="40% - Accent3 4 3 2" xfId="2489"/>
    <cellStyle name="40% - Accent3 4 4" xfId="2490"/>
    <cellStyle name="40% - Accent3 4 4 2" xfId="2491"/>
    <cellStyle name="40% - Accent3 4 5" xfId="2492"/>
    <cellStyle name="40% - Accent3 4 6" xfId="2493"/>
    <cellStyle name="40% - Accent3 4 7" xfId="2494"/>
    <cellStyle name="40% - Accent3 4 8" xfId="2495"/>
    <cellStyle name="40% - Accent3 4 9" xfId="2496"/>
    <cellStyle name="40% - Accent3 4_Sheet2" xfId="2497"/>
    <cellStyle name="40% - Accent3 5" xfId="2498"/>
    <cellStyle name="40% - Accent3 5 2" xfId="2499"/>
    <cellStyle name="40% - Accent3 5 2 2" xfId="2500"/>
    <cellStyle name="40% - Accent3 5 3" xfId="2501"/>
    <cellStyle name="40% - Accent3 5 3 2" xfId="2502"/>
    <cellStyle name="40% - Accent3 5 4" xfId="2503"/>
    <cellStyle name="40% - Accent3 5 4 2" xfId="2504"/>
    <cellStyle name="40% - Accent3 5 5" xfId="2505"/>
    <cellStyle name="40% - Accent3 5 6" xfId="2506"/>
    <cellStyle name="40% - Accent3 5 7" xfId="2507"/>
    <cellStyle name="40% - Accent3 5 8" xfId="2508"/>
    <cellStyle name="40% - Accent3 5 9" xfId="2509"/>
    <cellStyle name="40% - Accent3 5_Sheet2" xfId="2510"/>
    <cellStyle name="40% - Accent3 6" xfId="2511"/>
    <cellStyle name="40% - Accent3 6 2" xfId="2512"/>
    <cellStyle name="40% - Accent3 6 2 2" xfId="2513"/>
    <cellStyle name="40% - Accent3 6 3" xfId="2514"/>
    <cellStyle name="40% - Accent3 6 3 2" xfId="2515"/>
    <cellStyle name="40% - Accent3 6 4" xfId="2516"/>
    <cellStyle name="40% - Accent3 6 4 2" xfId="2517"/>
    <cellStyle name="40% - Accent3 6 5" xfId="2518"/>
    <cellStyle name="40% - Accent3 6 6" xfId="2519"/>
    <cellStyle name="40% - Accent3 6 7" xfId="2520"/>
    <cellStyle name="40% - Accent3 6 8" xfId="2521"/>
    <cellStyle name="40% - Accent3 6 9" xfId="2522"/>
    <cellStyle name="40% - Accent3 6_Sheet2" xfId="2523"/>
    <cellStyle name="40% - Accent3 7" xfId="2524"/>
    <cellStyle name="40% - Accent3 7 2" xfId="2525"/>
    <cellStyle name="40% - Accent3 7 2 2" xfId="2526"/>
    <cellStyle name="40% - Accent3 7 3" xfId="2527"/>
    <cellStyle name="40% - Accent3 7 3 2" xfId="2528"/>
    <cellStyle name="40% - Accent3 7 4" xfId="2529"/>
    <cellStyle name="40% - Accent3 7 4 2" xfId="2530"/>
    <cellStyle name="40% - Accent3 7 5" xfId="2531"/>
    <cellStyle name="40% - Accent3 7 6" xfId="2532"/>
    <cellStyle name="40% - Accent3 7 7" xfId="2533"/>
    <cellStyle name="40% - Accent3 7 8" xfId="2534"/>
    <cellStyle name="40% - Accent3 7 9" xfId="2535"/>
    <cellStyle name="40% - Accent3 7_Sheet2" xfId="2536"/>
    <cellStyle name="40% - Accent3 8" xfId="2537"/>
    <cellStyle name="40% - Accent3 8 2" xfId="2538"/>
    <cellStyle name="40% - Accent3 8 3" xfId="2539"/>
    <cellStyle name="40% - Accent3 8 4" xfId="2540"/>
    <cellStyle name="40% - Accent3 8 5" xfId="2541"/>
    <cellStyle name="40% - Accent3 8 6" xfId="2542"/>
    <cellStyle name="40% - Accent3 8 7" xfId="2543"/>
    <cellStyle name="40% - Accent3 8 8" xfId="2544"/>
    <cellStyle name="40% - Accent3 8 9" xfId="2545"/>
    <cellStyle name="40% - Accent3 8_Sheet2" xfId="2546"/>
    <cellStyle name="40% - Accent3 9" xfId="2547"/>
    <cellStyle name="40% - Accent3 9 2" xfId="2548"/>
    <cellStyle name="40% - Accent3 9 3" xfId="2549"/>
    <cellStyle name="40% - Accent3 9 4" xfId="2550"/>
    <cellStyle name="40% - Accent3 9 5" xfId="2551"/>
    <cellStyle name="40% - Accent3 9 6" xfId="2552"/>
    <cellStyle name="40% - Accent3 9 7" xfId="2553"/>
    <cellStyle name="40% - Accent3 9 8" xfId="2554"/>
    <cellStyle name="40% - Accent3 9 9" xfId="2555"/>
    <cellStyle name="40% - Accent4 1" xfId="2556"/>
    <cellStyle name="40% - Accent4 1 1" xfId="2557"/>
    <cellStyle name="40% - Accent4 1 1 2" xfId="2558"/>
    <cellStyle name="40% - Accent4 1 2" xfId="2559"/>
    <cellStyle name="40% - Accent4 1_Building_-_5-final_Price_Variation(1)" xfId="2623"/>
    <cellStyle name="40% - Accent4 10" xfId="2560"/>
    <cellStyle name="40% - Accent4 10 2" xfId="2561"/>
    <cellStyle name="40% - Accent4 10 3" xfId="2562"/>
    <cellStyle name="40% - Accent4 10 4" xfId="2563"/>
    <cellStyle name="40% - Accent4 10 5" xfId="2564"/>
    <cellStyle name="40% - Accent4 10 6" xfId="2565"/>
    <cellStyle name="40% - Accent4 10 7" xfId="2566"/>
    <cellStyle name="40% - Accent4 10 8" xfId="2567"/>
    <cellStyle name="40% - Accent4 10 9" xfId="2568"/>
    <cellStyle name="40% - Accent4 11" xfId="2569"/>
    <cellStyle name="40% - Accent4 11 2" xfId="2570"/>
    <cellStyle name="40% - Accent4 11 2 2" xfId="2571"/>
    <cellStyle name="40% - Accent4 11 2 3" xfId="2572"/>
    <cellStyle name="40% - Accent4 11 3" xfId="2573"/>
    <cellStyle name="40% - Accent4 11 4" xfId="2574"/>
    <cellStyle name="40% - Accent4 12" xfId="2575"/>
    <cellStyle name="40% - Accent4 12 2" xfId="2576"/>
    <cellStyle name="40% - Accent4 12 2 2" xfId="2577"/>
    <cellStyle name="40% - Accent4 12 2 3" xfId="2578"/>
    <cellStyle name="40% - Accent4 12 3" xfId="2579"/>
    <cellStyle name="40% - Accent4 12 4" xfId="2580"/>
    <cellStyle name="40% - Accent4 13" xfId="2581"/>
    <cellStyle name="40% - Accent4 13 2" xfId="2582"/>
    <cellStyle name="40% - Accent4 13 2 2" xfId="2583"/>
    <cellStyle name="40% - Accent4 13 2 3" xfId="2584"/>
    <cellStyle name="40% - Accent4 13 3" xfId="2585"/>
    <cellStyle name="40% - Accent4 13 4" xfId="2586"/>
    <cellStyle name="40% - Accent4 14" xfId="2587"/>
    <cellStyle name="40% - Accent4 14 2" xfId="2588"/>
    <cellStyle name="40% - Accent4 14 2 2" xfId="2589"/>
    <cellStyle name="40% - Accent4 14 2 3" xfId="2590"/>
    <cellStyle name="40% - Accent4 14 3" xfId="2591"/>
    <cellStyle name="40% - Accent4 14 4" xfId="2592"/>
    <cellStyle name="40% - Accent4 15" xfId="2593"/>
    <cellStyle name="40% - Accent4 15 2" xfId="2594"/>
    <cellStyle name="40% - Accent4 15 2 2" xfId="2595"/>
    <cellStyle name="40% - Accent4 15 2 3" xfId="2596"/>
    <cellStyle name="40% - Accent4 15 3" xfId="2597"/>
    <cellStyle name="40% - Accent4 15 4" xfId="2598"/>
    <cellStyle name="40% - Accent4 16" xfId="2599"/>
    <cellStyle name="40% - Accent4 16 2" xfId="2600"/>
    <cellStyle name="40% - Accent4 16 2 2" xfId="2601"/>
    <cellStyle name="40% - Accent4 16 2 3" xfId="2602"/>
    <cellStyle name="40% - Accent4 16 3" xfId="2603"/>
    <cellStyle name="40% - Accent4 16 4" xfId="2604"/>
    <cellStyle name="40% - Accent4 17" xfId="2605"/>
    <cellStyle name="40% - Accent4 17 2" xfId="2606"/>
    <cellStyle name="40% - Accent4 17 2 2" xfId="2607"/>
    <cellStyle name="40% - Accent4 17 2 3" xfId="2608"/>
    <cellStyle name="40% - Accent4 17 3" xfId="2609"/>
    <cellStyle name="40% - Accent4 17 4" xfId="2610"/>
    <cellStyle name="40% - Accent4 18" xfId="2611"/>
    <cellStyle name="40% - Accent4 18 2" xfId="2612"/>
    <cellStyle name="40% - Accent4 18 2 2" xfId="2613"/>
    <cellStyle name="40% - Accent4 18 2 3" xfId="2614"/>
    <cellStyle name="40% - Accent4 18 3" xfId="2615"/>
    <cellStyle name="40% - Accent4 18 4" xfId="2616"/>
    <cellStyle name="40% - Accent4 19" xfId="2617"/>
    <cellStyle name="40% - Accent4 19 2" xfId="2618"/>
    <cellStyle name="40% - Accent4 19 2 2" xfId="2619"/>
    <cellStyle name="40% - Accent4 19 2 3" xfId="2620"/>
    <cellStyle name="40% - Accent4 19 3" xfId="2621"/>
    <cellStyle name="40% - Accent4 19 4" xfId="2622"/>
    <cellStyle name="40% - Accent4 2" xfId="2624"/>
    <cellStyle name="40% - Accent4 2 10" xfId="2625"/>
    <cellStyle name="40% - Accent4 2 2" xfId="2626"/>
    <cellStyle name="40% - Accent4 2 2 2" xfId="2627"/>
    <cellStyle name="40% - Accent4 2 3" xfId="2628"/>
    <cellStyle name="40% - Accent4 2 3 2" xfId="2629"/>
    <cellStyle name="40% - Accent4 2 4" xfId="2630"/>
    <cellStyle name="40% - Accent4 2 4 2" xfId="2631"/>
    <cellStyle name="40% - Accent4 2 5" xfId="2632"/>
    <cellStyle name="40% - Accent4 2 5 2" xfId="2633"/>
    <cellStyle name="40% - Accent4 2 6" xfId="2634"/>
    <cellStyle name="40% - Accent4 2 7" xfId="2635"/>
    <cellStyle name="40% - Accent4 2 8" xfId="2636"/>
    <cellStyle name="40% - Accent4 2 9" xfId="2637"/>
    <cellStyle name="40% - Accent4 2_B Block  Column LGF to UGF Lvl" xfId="2698"/>
    <cellStyle name="40% - Accent4 20" xfId="2638"/>
    <cellStyle name="40% - Accent4 20 2" xfId="2639"/>
    <cellStyle name="40% - Accent4 20 2 2" xfId="2640"/>
    <cellStyle name="40% - Accent4 20 2 3" xfId="2641"/>
    <cellStyle name="40% - Accent4 20 3" xfId="2642"/>
    <cellStyle name="40% - Accent4 20 4" xfId="2643"/>
    <cellStyle name="40% - Accent4 21" xfId="2644"/>
    <cellStyle name="40% - Accent4 21 2" xfId="2645"/>
    <cellStyle name="40% - Accent4 21 2 2" xfId="2646"/>
    <cellStyle name="40% - Accent4 21 2 3" xfId="2647"/>
    <cellStyle name="40% - Accent4 21 3" xfId="2648"/>
    <cellStyle name="40% - Accent4 21 4" xfId="2649"/>
    <cellStyle name="40% - Accent4 22" xfId="2650"/>
    <cellStyle name="40% - Accent4 22 2" xfId="2651"/>
    <cellStyle name="40% - Accent4 22 2 2" xfId="2652"/>
    <cellStyle name="40% - Accent4 22 2 3" xfId="2653"/>
    <cellStyle name="40% - Accent4 22 3" xfId="2654"/>
    <cellStyle name="40% - Accent4 22 4" xfId="2655"/>
    <cellStyle name="40% - Accent4 23" xfId="2656"/>
    <cellStyle name="40% - Accent4 23 2" xfId="2657"/>
    <cellStyle name="40% - Accent4 23 2 2" xfId="2658"/>
    <cellStyle name="40% - Accent4 23 2 3" xfId="2659"/>
    <cellStyle name="40% - Accent4 23 3" xfId="2660"/>
    <cellStyle name="40% - Accent4 23 4" xfId="2661"/>
    <cellStyle name="40% - Accent4 24" xfId="2662"/>
    <cellStyle name="40% - Accent4 24 2" xfId="2663"/>
    <cellStyle name="40% - Accent4 24 2 2" xfId="2664"/>
    <cellStyle name="40% - Accent4 24 2 3" xfId="2665"/>
    <cellStyle name="40% - Accent4 24 3" xfId="2666"/>
    <cellStyle name="40% - Accent4 24 4" xfId="2667"/>
    <cellStyle name="40% - Accent4 25" xfId="2668"/>
    <cellStyle name="40% - Accent4 25 2" xfId="2669"/>
    <cellStyle name="40% - Accent4 25 2 2" xfId="2670"/>
    <cellStyle name="40% - Accent4 25 2 3" xfId="2671"/>
    <cellStyle name="40% - Accent4 25 3" xfId="2672"/>
    <cellStyle name="40% - Accent4 25 4" xfId="2673"/>
    <cellStyle name="40% - Accent4 26" xfId="2674"/>
    <cellStyle name="40% - Accent4 26 2" xfId="2675"/>
    <cellStyle name="40% - Accent4 26 2 2" xfId="2676"/>
    <cellStyle name="40% - Accent4 26 2 3" xfId="2677"/>
    <cellStyle name="40% - Accent4 26 3" xfId="2678"/>
    <cellStyle name="40% - Accent4 26 4" xfId="2679"/>
    <cellStyle name="40% - Accent4 27" xfId="2680"/>
    <cellStyle name="40% - Accent4 27 2" xfId="2681"/>
    <cellStyle name="40% - Accent4 27 2 2" xfId="2682"/>
    <cellStyle name="40% - Accent4 27 2 3" xfId="2683"/>
    <cellStyle name="40% - Accent4 27 3" xfId="2684"/>
    <cellStyle name="40% - Accent4 27 4" xfId="2685"/>
    <cellStyle name="40% - Accent4 28" xfId="2686"/>
    <cellStyle name="40% - Accent4 28 2" xfId="2687"/>
    <cellStyle name="40% - Accent4 28 2 2" xfId="2688"/>
    <cellStyle name="40% - Accent4 28 2 3" xfId="2689"/>
    <cellStyle name="40% - Accent4 28 3" xfId="2690"/>
    <cellStyle name="40% - Accent4 28 4" xfId="2691"/>
    <cellStyle name="40% - Accent4 29" xfId="2692"/>
    <cellStyle name="40% - Accent4 29 2" xfId="2693"/>
    <cellStyle name="40% - Accent4 29 2 2" xfId="2694"/>
    <cellStyle name="40% - Accent4 29 2 3" xfId="2695"/>
    <cellStyle name="40% - Accent4 29 3" xfId="2696"/>
    <cellStyle name="40% - Accent4 29 4" xfId="2697"/>
    <cellStyle name="40% - Accent4 3" xfId="2699"/>
    <cellStyle name="40% - Accent4 3 2" xfId="2700"/>
    <cellStyle name="40% - Accent4 3 3" xfId="2701"/>
    <cellStyle name="40% - Accent4 3 3 2" xfId="2702"/>
    <cellStyle name="40% - Accent4 3 4" xfId="2703"/>
    <cellStyle name="40% - Accent4 3 4 2" xfId="2704"/>
    <cellStyle name="40% - Accent4 3 5" xfId="2705"/>
    <cellStyle name="40% - Accent4 3 6" xfId="2706"/>
    <cellStyle name="40% - Accent4 3 7" xfId="2707"/>
    <cellStyle name="40% - Accent4 3 8" xfId="2708"/>
    <cellStyle name="40% - Accent4 3 9" xfId="2709"/>
    <cellStyle name="40% - Accent4 3_Sheet2" xfId="2765"/>
    <cellStyle name="40% - Accent4 30" xfId="2710"/>
    <cellStyle name="40% - Accent4 30 2" xfId="2711"/>
    <cellStyle name="40% - Accent4 30 2 2" xfId="2712"/>
    <cellStyle name="40% - Accent4 30 2 3" xfId="2713"/>
    <cellStyle name="40% - Accent4 30 3" xfId="2714"/>
    <cellStyle name="40% - Accent4 30 4" xfId="2715"/>
    <cellStyle name="40% - Accent4 31" xfId="2716"/>
    <cellStyle name="40% - Accent4 31 2" xfId="2717"/>
    <cellStyle name="40% - Accent4 31 2 2" xfId="2718"/>
    <cellStyle name="40% - Accent4 31 2 3" xfId="2719"/>
    <cellStyle name="40% - Accent4 31 3" xfId="2720"/>
    <cellStyle name="40% - Accent4 31 4" xfId="2721"/>
    <cellStyle name="40% - Accent4 32" xfId="2722"/>
    <cellStyle name="40% - Accent4 33" xfId="2723"/>
    <cellStyle name="40% - Accent4 33 2" xfId="2724"/>
    <cellStyle name="40% - Accent4 33 2 2" xfId="2725"/>
    <cellStyle name="40% - Accent4 33 2 3" xfId="2726"/>
    <cellStyle name="40% - Accent4 33 3" xfId="2727"/>
    <cellStyle name="40% - Accent4 33 4" xfId="2728"/>
    <cellStyle name="40% - Accent4 34" xfId="2729"/>
    <cellStyle name="40% - Accent4 34 2" xfId="2730"/>
    <cellStyle name="40% - Accent4 34 2 2" xfId="2731"/>
    <cellStyle name="40% - Accent4 34 2 3" xfId="2732"/>
    <cellStyle name="40% - Accent4 34 3" xfId="2733"/>
    <cellStyle name="40% - Accent4 34 4" xfId="2734"/>
    <cellStyle name="40% - Accent4 35" xfId="2735"/>
    <cellStyle name="40% - Accent4 35 2" xfId="2736"/>
    <cellStyle name="40% - Accent4 35 2 2" xfId="2737"/>
    <cellStyle name="40% - Accent4 35 2 3" xfId="2738"/>
    <cellStyle name="40% - Accent4 35 3" xfId="2739"/>
    <cellStyle name="40% - Accent4 35 4" xfId="2740"/>
    <cellStyle name="40% - Accent4 36" xfId="2741"/>
    <cellStyle name="40% - Accent4 36 2" xfId="2742"/>
    <cellStyle name="40% - Accent4 36 2 2" xfId="2743"/>
    <cellStyle name="40% - Accent4 36 2 3" xfId="2744"/>
    <cellStyle name="40% - Accent4 36 3" xfId="2745"/>
    <cellStyle name="40% - Accent4 36 4" xfId="2746"/>
    <cellStyle name="40% - Accent4 37" xfId="2747"/>
    <cellStyle name="40% - Accent4 37 2" xfId="2748"/>
    <cellStyle name="40% - Accent4 37 2 2" xfId="2749"/>
    <cellStyle name="40% - Accent4 37 2 3" xfId="2750"/>
    <cellStyle name="40% - Accent4 37 3" xfId="2751"/>
    <cellStyle name="40% - Accent4 37 4" xfId="2752"/>
    <cellStyle name="40% - Accent4 38" xfId="2753"/>
    <cellStyle name="40% - Accent4 38 2" xfId="2754"/>
    <cellStyle name="40% - Accent4 38 2 2" xfId="2755"/>
    <cellStyle name="40% - Accent4 38 2 3" xfId="2756"/>
    <cellStyle name="40% - Accent4 38 3" xfId="2757"/>
    <cellStyle name="40% - Accent4 38 4" xfId="2758"/>
    <cellStyle name="40% - Accent4 39" xfId="2759"/>
    <cellStyle name="40% - Accent4 39 2" xfId="2760"/>
    <cellStyle name="40% - Accent4 39 2 2" xfId="2761"/>
    <cellStyle name="40% - Accent4 39 2 3" xfId="2762"/>
    <cellStyle name="40% - Accent4 39 3" xfId="2763"/>
    <cellStyle name="40% - Accent4 39 4" xfId="2764"/>
    <cellStyle name="40% - Accent4 4" xfId="2766"/>
    <cellStyle name="40% - Accent4 4 2" xfId="2767"/>
    <cellStyle name="40% - Accent4 4 3" xfId="2768"/>
    <cellStyle name="40% - Accent4 4 3 2" xfId="2769"/>
    <cellStyle name="40% - Accent4 4 4" xfId="2770"/>
    <cellStyle name="40% - Accent4 4 4 2" xfId="2771"/>
    <cellStyle name="40% - Accent4 4 5" xfId="2772"/>
    <cellStyle name="40% - Accent4 4 6" xfId="2773"/>
    <cellStyle name="40% - Accent4 4 7" xfId="2774"/>
    <cellStyle name="40% - Accent4 4 8" xfId="2775"/>
    <cellStyle name="40% - Accent4 4 9" xfId="2776"/>
    <cellStyle name="40% - Accent4 4_Sheet2" xfId="2777"/>
    <cellStyle name="40% - Accent4 5" xfId="2778"/>
    <cellStyle name="40% - Accent4 5 2" xfId="2779"/>
    <cellStyle name="40% - Accent4 5 2 2" xfId="2780"/>
    <cellStyle name="40% - Accent4 5 3" xfId="2781"/>
    <cellStyle name="40% - Accent4 5 3 2" xfId="2782"/>
    <cellStyle name="40% - Accent4 5 4" xfId="2783"/>
    <cellStyle name="40% - Accent4 5 4 2" xfId="2784"/>
    <cellStyle name="40% - Accent4 5 5" xfId="2785"/>
    <cellStyle name="40% - Accent4 5 6" xfId="2786"/>
    <cellStyle name="40% - Accent4 5 7" xfId="2787"/>
    <cellStyle name="40% - Accent4 5 8" xfId="2788"/>
    <cellStyle name="40% - Accent4 5 9" xfId="2789"/>
    <cellStyle name="40% - Accent4 5_Sheet2" xfId="2790"/>
    <cellStyle name="40% - Accent4 6" xfId="2791"/>
    <cellStyle name="40% - Accent4 6 2" xfId="2792"/>
    <cellStyle name="40% - Accent4 6 2 2" xfId="2793"/>
    <cellStyle name="40% - Accent4 6 3" xfId="2794"/>
    <cellStyle name="40% - Accent4 6 3 2" xfId="2795"/>
    <cellStyle name="40% - Accent4 6 4" xfId="2796"/>
    <cellStyle name="40% - Accent4 6 4 2" xfId="2797"/>
    <cellStyle name="40% - Accent4 6 5" xfId="2798"/>
    <cellStyle name="40% - Accent4 6 6" xfId="2799"/>
    <cellStyle name="40% - Accent4 6 7" xfId="2800"/>
    <cellStyle name="40% - Accent4 6 8" xfId="2801"/>
    <cellStyle name="40% - Accent4 6 9" xfId="2802"/>
    <cellStyle name="40% - Accent4 6_Sheet2" xfId="2803"/>
    <cellStyle name="40% - Accent4 7" xfId="2804"/>
    <cellStyle name="40% - Accent4 7 2" xfId="2805"/>
    <cellStyle name="40% - Accent4 7 2 2" xfId="2806"/>
    <cellStyle name="40% - Accent4 7 3" xfId="2807"/>
    <cellStyle name="40% - Accent4 7 3 2" xfId="2808"/>
    <cellStyle name="40% - Accent4 7 4" xfId="2809"/>
    <cellStyle name="40% - Accent4 7 4 2" xfId="2810"/>
    <cellStyle name="40% - Accent4 7 5" xfId="2811"/>
    <cellStyle name="40% - Accent4 7 6" xfId="2812"/>
    <cellStyle name="40% - Accent4 7 7" xfId="2813"/>
    <cellStyle name="40% - Accent4 7 8" xfId="2814"/>
    <cellStyle name="40% - Accent4 7 9" xfId="2815"/>
    <cellStyle name="40% - Accent4 7_Sheet2" xfId="2816"/>
    <cellStyle name="40% - Accent4 8" xfId="2817"/>
    <cellStyle name="40% - Accent4 8 2" xfId="2818"/>
    <cellStyle name="40% - Accent4 8 3" xfId="2819"/>
    <cellStyle name="40% - Accent4 8 4" xfId="2820"/>
    <cellStyle name="40% - Accent4 8 5" xfId="2821"/>
    <cellStyle name="40% - Accent4 8 6" xfId="2822"/>
    <cellStyle name="40% - Accent4 8 7" xfId="2823"/>
    <cellStyle name="40% - Accent4 8 8" xfId="2824"/>
    <cellStyle name="40% - Accent4 8 9" xfId="2825"/>
    <cellStyle name="40% - Accent4 8_Sheet2" xfId="2826"/>
    <cellStyle name="40% - Accent4 9" xfId="2827"/>
    <cellStyle name="40% - Accent4 9 2" xfId="2828"/>
    <cellStyle name="40% - Accent4 9 3" xfId="2829"/>
    <cellStyle name="40% - Accent4 9 4" xfId="2830"/>
    <cellStyle name="40% - Accent4 9 5" xfId="2831"/>
    <cellStyle name="40% - Accent4 9 6" xfId="2832"/>
    <cellStyle name="40% - Accent4 9 7" xfId="2833"/>
    <cellStyle name="40% - Accent4 9 8" xfId="2834"/>
    <cellStyle name="40% - Accent4 9 9" xfId="2835"/>
    <cellStyle name="40% - Accent5 1" xfId="2836"/>
    <cellStyle name="40% - Accent5 1 1" xfId="2837"/>
    <cellStyle name="40% - Accent5 1 1 2" xfId="2838"/>
    <cellStyle name="40% - Accent5 1 2" xfId="2839"/>
    <cellStyle name="40% - Accent5 10" xfId="2840"/>
    <cellStyle name="40% - Accent5 10 2" xfId="2841"/>
    <cellStyle name="40% - Accent5 10 3" xfId="2842"/>
    <cellStyle name="40% - Accent5 10 4" xfId="2843"/>
    <cellStyle name="40% - Accent5 10 5" xfId="2844"/>
    <cellStyle name="40% - Accent5 10 6" xfId="2845"/>
    <cellStyle name="40% - Accent5 10 7" xfId="2846"/>
    <cellStyle name="40% - Accent5 10 8" xfId="2847"/>
    <cellStyle name="40% - Accent5 10 9" xfId="2848"/>
    <cellStyle name="40% - Accent5 11" xfId="2849"/>
    <cellStyle name="40% - Accent5 11 2" xfId="2850"/>
    <cellStyle name="40% - Accent5 11 2 2" xfId="2851"/>
    <cellStyle name="40% - Accent5 11 2 3" xfId="2852"/>
    <cellStyle name="40% - Accent5 11 3" xfId="2853"/>
    <cellStyle name="40% - Accent5 11 4" xfId="2854"/>
    <cellStyle name="40% - Accent5 12" xfId="2855"/>
    <cellStyle name="40% - Accent5 12 2" xfId="2856"/>
    <cellStyle name="40% - Accent5 12 2 2" xfId="2857"/>
    <cellStyle name="40% - Accent5 12 2 3" xfId="2858"/>
    <cellStyle name="40% - Accent5 12 3" xfId="2859"/>
    <cellStyle name="40% - Accent5 12 4" xfId="2860"/>
    <cellStyle name="40% - Accent5 13" xfId="2861"/>
    <cellStyle name="40% - Accent5 13 2" xfId="2862"/>
    <cellStyle name="40% - Accent5 13 2 2" xfId="2863"/>
    <cellStyle name="40% - Accent5 13 2 3" xfId="2864"/>
    <cellStyle name="40% - Accent5 13 3" xfId="2865"/>
    <cellStyle name="40% - Accent5 13 4" xfId="2866"/>
    <cellStyle name="40% - Accent5 14" xfId="2867"/>
    <cellStyle name="40% - Accent5 14 2" xfId="2868"/>
    <cellStyle name="40% - Accent5 14 2 2" xfId="2869"/>
    <cellStyle name="40% - Accent5 14 2 3" xfId="2870"/>
    <cellStyle name="40% - Accent5 14 3" xfId="2871"/>
    <cellStyle name="40% - Accent5 14 4" xfId="2872"/>
    <cellStyle name="40% - Accent5 15" xfId="2873"/>
    <cellStyle name="40% - Accent5 15 2" xfId="2874"/>
    <cellStyle name="40% - Accent5 15 2 2" xfId="2875"/>
    <cellStyle name="40% - Accent5 15 2 3" xfId="2876"/>
    <cellStyle name="40% - Accent5 15 3" xfId="2877"/>
    <cellStyle name="40% - Accent5 15 4" xfId="2878"/>
    <cellStyle name="40% - Accent5 16" xfId="2879"/>
    <cellStyle name="40% - Accent5 16 2" xfId="2880"/>
    <cellStyle name="40% - Accent5 16 2 2" xfId="2881"/>
    <cellStyle name="40% - Accent5 16 2 3" xfId="2882"/>
    <cellStyle name="40% - Accent5 16 3" xfId="2883"/>
    <cellStyle name="40% - Accent5 16 4" xfId="2884"/>
    <cellStyle name="40% - Accent5 17" xfId="2885"/>
    <cellStyle name="40% - Accent5 17 2" xfId="2886"/>
    <cellStyle name="40% - Accent5 17 2 2" xfId="2887"/>
    <cellStyle name="40% - Accent5 17 2 3" xfId="2888"/>
    <cellStyle name="40% - Accent5 17 3" xfId="2889"/>
    <cellStyle name="40% - Accent5 17 4" xfId="2890"/>
    <cellStyle name="40% - Accent5 18" xfId="2891"/>
    <cellStyle name="40% - Accent5 18 2" xfId="2892"/>
    <cellStyle name="40% - Accent5 18 2 2" xfId="2893"/>
    <cellStyle name="40% - Accent5 18 2 3" xfId="2894"/>
    <cellStyle name="40% - Accent5 18 3" xfId="2895"/>
    <cellStyle name="40% - Accent5 18 4" xfId="2896"/>
    <cellStyle name="40% - Accent5 19" xfId="2897"/>
    <cellStyle name="40% - Accent5 19 2" xfId="2898"/>
    <cellStyle name="40% - Accent5 19 2 2" xfId="2899"/>
    <cellStyle name="40% - Accent5 19 2 3" xfId="2900"/>
    <cellStyle name="40% - Accent5 19 3" xfId="2901"/>
    <cellStyle name="40% - Accent5 19 4" xfId="2902"/>
    <cellStyle name="40% - Accent5 2" xfId="2903"/>
    <cellStyle name="40% - Accent5 2 10" xfId="2904"/>
    <cellStyle name="40% - Accent5 2 2" xfId="2905"/>
    <cellStyle name="40% - Accent5 2 2 2" xfId="2906"/>
    <cellStyle name="40% - Accent5 2 3" xfId="2907"/>
    <cellStyle name="40% - Accent5 2 3 2" xfId="2908"/>
    <cellStyle name="40% - Accent5 2 4" xfId="2909"/>
    <cellStyle name="40% - Accent5 2 4 2" xfId="2910"/>
    <cellStyle name="40% - Accent5 2 5" xfId="2911"/>
    <cellStyle name="40% - Accent5 2 5 2" xfId="2912"/>
    <cellStyle name="40% - Accent5 2 6" xfId="2913"/>
    <cellStyle name="40% - Accent5 2 7" xfId="2914"/>
    <cellStyle name="40% - Accent5 2 8" xfId="2915"/>
    <cellStyle name="40% - Accent5 2 9" xfId="2916"/>
    <cellStyle name="40% - Accent5 2_B Block  Column LGF to UGF Lvl" xfId="2977"/>
    <cellStyle name="40% - Accent5 20" xfId="2917"/>
    <cellStyle name="40% - Accent5 20 2" xfId="2918"/>
    <cellStyle name="40% - Accent5 20 2 2" xfId="2919"/>
    <cellStyle name="40% - Accent5 20 2 3" xfId="2920"/>
    <cellStyle name="40% - Accent5 20 3" xfId="2921"/>
    <cellStyle name="40% - Accent5 20 4" xfId="2922"/>
    <cellStyle name="40% - Accent5 21" xfId="2923"/>
    <cellStyle name="40% - Accent5 21 2" xfId="2924"/>
    <cellStyle name="40% - Accent5 21 2 2" xfId="2925"/>
    <cellStyle name="40% - Accent5 21 2 3" xfId="2926"/>
    <cellStyle name="40% - Accent5 21 3" xfId="2927"/>
    <cellStyle name="40% - Accent5 21 4" xfId="2928"/>
    <cellStyle name="40% - Accent5 22" xfId="2929"/>
    <cellStyle name="40% - Accent5 22 2" xfId="2930"/>
    <cellStyle name="40% - Accent5 22 2 2" xfId="2931"/>
    <cellStyle name="40% - Accent5 22 2 3" xfId="2932"/>
    <cellStyle name="40% - Accent5 22 3" xfId="2933"/>
    <cellStyle name="40% - Accent5 22 4" xfId="2934"/>
    <cellStyle name="40% - Accent5 23" xfId="2935"/>
    <cellStyle name="40% - Accent5 23 2" xfId="2936"/>
    <cellStyle name="40% - Accent5 23 2 2" xfId="2937"/>
    <cellStyle name="40% - Accent5 23 2 3" xfId="2938"/>
    <cellStyle name="40% - Accent5 23 3" xfId="2939"/>
    <cellStyle name="40% - Accent5 23 4" xfId="2940"/>
    <cellStyle name="40% - Accent5 24" xfId="2941"/>
    <cellStyle name="40% - Accent5 24 2" xfId="2942"/>
    <cellStyle name="40% - Accent5 24 2 2" xfId="2943"/>
    <cellStyle name="40% - Accent5 24 2 3" xfId="2944"/>
    <cellStyle name="40% - Accent5 24 3" xfId="2945"/>
    <cellStyle name="40% - Accent5 24 4" xfId="2946"/>
    <cellStyle name="40% - Accent5 25" xfId="2947"/>
    <cellStyle name="40% - Accent5 25 2" xfId="2948"/>
    <cellStyle name="40% - Accent5 25 2 2" xfId="2949"/>
    <cellStyle name="40% - Accent5 25 2 3" xfId="2950"/>
    <cellStyle name="40% - Accent5 25 3" xfId="2951"/>
    <cellStyle name="40% - Accent5 25 4" xfId="2952"/>
    <cellStyle name="40% - Accent5 26" xfId="2953"/>
    <cellStyle name="40% - Accent5 26 2" xfId="2954"/>
    <cellStyle name="40% - Accent5 26 2 2" xfId="2955"/>
    <cellStyle name="40% - Accent5 26 2 3" xfId="2956"/>
    <cellStyle name="40% - Accent5 26 3" xfId="2957"/>
    <cellStyle name="40% - Accent5 26 4" xfId="2958"/>
    <cellStyle name="40% - Accent5 27" xfId="2959"/>
    <cellStyle name="40% - Accent5 27 2" xfId="2960"/>
    <cellStyle name="40% - Accent5 27 2 2" xfId="2961"/>
    <cellStyle name="40% - Accent5 27 2 3" xfId="2962"/>
    <cellStyle name="40% - Accent5 27 3" xfId="2963"/>
    <cellStyle name="40% - Accent5 27 4" xfId="2964"/>
    <cellStyle name="40% - Accent5 28" xfId="2965"/>
    <cellStyle name="40% - Accent5 28 2" xfId="2966"/>
    <cellStyle name="40% - Accent5 28 2 2" xfId="2967"/>
    <cellStyle name="40% - Accent5 28 2 3" xfId="2968"/>
    <cellStyle name="40% - Accent5 28 3" xfId="2969"/>
    <cellStyle name="40% - Accent5 28 4" xfId="2970"/>
    <cellStyle name="40% - Accent5 29" xfId="2971"/>
    <cellStyle name="40% - Accent5 29 2" xfId="2972"/>
    <cellStyle name="40% - Accent5 29 2 2" xfId="2973"/>
    <cellStyle name="40% - Accent5 29 2 3" xfId="2974"/>
    <cellStyle name="40% - Accent5 29 3" xfId="2975"/>
    <cellStyle name="40% - Accent5 29 4" xfId="2976"/>
    <cellStyle name="40% - Accent5 3" xfId="2978"/>
    <cellStyle name="40% - Accent5 3 2" xfId="2979"/>
    <cellStyle name="40% - Accent5 3 3" xfId="2980"/>
    <cellStyle name="40% - Accent5 3 3 2" xfId="2981"/>
    <cellStyle name="40% - Accent5 3 4" xfId="2982"/>
    <cellStyle name="40% - Accent5 3 4 2" xfId="2983"/>
    <cellStyle name="40% - Accent5 3 5" xfId="2984"/>
    <cellStyle name="40% - Accent5 3 6" xfId="2985"/>
    <cellStyle name="40% - Accent5 3 7" xfId="2986"/>
    <cellStyle name="40% - Accent5 3 8" xfId="2987"/>
    <cellStyle name="40% - Accent5 3 9" xfId="2988"/>
    <cellStyle name="40% - Accent5 3_Sheet2" xfId="3044"/>
    <cellStyle name="40% - Accent5 30" xfId="2989"/>
    <cellStyle name="40% - Accent5 30 2" xfId="2990"/>
    <cellStyle name="40% - Accent5 30 2 2" xfId="2991"/>
    <cellStyle name="40% - Accent5 30 2 3" xfId="2992"/>
    <cellStyle name="40% - Accent5 30 3" xfId="2993"/>
    <cellStyle name="40% - Accent5 30 4" xfId="2994"/>
    <cellStyle name="40% - Accent5 31" xfId="2995"/>
    <cellStyle name="40% - Accent5 31 2" xfId="2996"/>
    <cellStyle name="40% - Accent5 31 2 2" xfId="2997"/>
    <cellStyle name="40% - Accent5 31 2 3" xfId="2998"/>
    <cellStyle name="40% - Accent5 31 3" xfId="2999"/>
    <cellStyle name="40% - Accent5 31 4" xfId="3000"/>
    <cellStyle name="40% - Accent5 32" xfId="3001"/>
    <cellStyle name="40% - Accent5 33" xfId="3002"/>
    <cellStyle name="40% - Accent5 33 2" xfId="3003"/>
    <cellStyle name="40% - Accent5 33 2 2" xfId="3004"/>
    <cellStyle name="40% - Accent5 33 2 3" xfId="3005"/>
    <cellStyle name="40% - Accent5 33 3" xfId="3006"/>
    <cellStyle name="40% - Accent5 33 4" xfId="3007"/>
    <cellStyle name="40% - Accent5 34" xfId="3008"/>
    <cellStyle name="40% - Accent5 34 2" xfId="3009"/>
    <cellStyle name="40% - Accent5 34 2 2" xfId="3010"/>
    <cellStyle name="40% - Accent5 34 2 3" xfId="3011"/>
    <cellStyle name="40% - Accent5 34 3" xfId="3012"/>
    <cellStyle name="40% - Accent5 34 4" xfId="3013"/>
    <cellStyle name="40% - Accent5 35" xfId="3014"/>
    <cellStyle name="40% - Accent5 35 2" xfId="3015"/>
    <cellStyle name="40% - Accent5 35 2 2" xfId="3016"/>
    <cellStyle name="40% - Accent5 35 2 3" xfId="3017"/>
    <cellStyle name="40% - Accent5 35 3" xfId="3018"/>
    <cellStyle name="40% - Accent5 35 4" xfId="3019"/>
    <cellStyle name="40% - Accent5 36" xfId="3020"/>
    <cellStyle name="40% - Accent5 36 2" xfId="3021"/>
    <cellStyle name="40% - Accent5 36 2 2" xfId="3022"/>
    <cellStyle name="40% - Accent5 36 2 3" xfId="3023"/>
    <cellStyle name="40% - Accent5 36 3" xfId="3024"/>
    <cellStyle name="40% - Accent5 36 4" xfId="3025"/>
    <cellStyle name="40% - Accent5 37" xfId="3026"/>
    <cellStyle name="40% - Accent5 37 2" xfId="3027"/>
    <cellStyle name="40% - Accent5 37 2 2" xfId="3028"/>
    <cellStyle name="40% - Accent5 37 2 3" xfId="3029"/>
    <cellStyle name="40% - Accent5 37 3" xfId="3030"/>
    <cellStyle name="40% - Accent5 37 4" xfId="3031"/>
    <cellStyle name="40% - Accent5 38" xfId="3032"/>
    <cellStyle name="40% - Accent5 38 2" xfId="3033"/>
    <cellStyle name="40% - Accent5 38 2 2" xfId="3034"/>
    <cellStyle name="40% - Accent5 38 2 3" xfId="3035"/>
    <cellStyle name="40% - Accent5 38 3" xfId="3036"/>
    <cellStyle name="40% - Accent5 38 4" xfId="3037"/>
    <cellStyle name="40% - Accent5 39" xfId="3038"/>
    <cellStyle name="40% - Accent5 39 2" xfId="3039"/>
    <cellStyle name="40% - Accent5 39 2 2" xfId="3040"/>
    <cellStyle name="40% - Accent5 39 2 3" xfId="3041"/>
    <cellStyle name="40% - Accent5 39 3" xfId="3042"/>
    <cellStyle name="40% - Accent5 39 4" xfId="3043"/>
    <cellStyle name="40% - Accent5 4" xfId="3045"/>
    <cellStyle name="40% - Accent5 4 2" xfId="3046"/>
    <cellStyle name="40% - Accent5 4 3" xfId="3047"/>
    <cellStyle name="40% - Accent5 4 3 2" xfId="3048"/>
    <cellStyle name="40% - Accent5 4 4" xfId="3049"/>
    <cellStyle name="40% - Accent5 4 4 2" xfId="3050"/>
    <cellStyle name="40% - Accent5 4 5" xfId="3051"/>
    <cellStyle name="40% - Accent5 4 6" xfId="3052"/>
    <cellStyle name="40% - Accent5 4 7" xfId="3053"/>
    <cellStyle name="40% - Accent5 4 8" xfId="3054"/>
    <cellStyle name="40% - Accent5 4 9" xfId="3055"/>
    <cellStyle name="40% - Accent5 4_Sheet2" xfId="3056"/>
    <cellStyle name="40% - Accent5 5" xfId="3057"/>
    <cellStyle name="40% - Accent5 5 2" xfId="3058"/>
    <cellStyle name="40% - Accent5 5 2 2" xfId="3059"/>
    <cellStyle name="40% - Accent5 5 3" xfId="3060"/>
    <cellStyle name="40% - Accent5 5 3 2" xfId="3061"/>
    <cellStyle name="40% - Accent5 5 4" xfId="3062"/>
    <cellStyle name="40% - Accent5 5 4 2" xfId="3063"/>
    <cellStyle name="40% - Accent5 5 5" xfId="3064"/>
    <cellStyle name="40% - Accent5 5 6" xfId="3065"/>
    <cellStyle name="40% - Accent5 5 7" xfId="3066"/>
    <cellStyle name="40% - Accent5 5 8" xfId="3067"/>
    <cellStyle name="40% - Accent5 5 9" xfId="3068"/>
    <cellStyle name="40% - Accent5 5_Sheet2" xfId="3069"/>
    <cellStyle name="40% - Accent5 6" xfId="3070"/>
    <cellStyle name="40% - Accent5 6 2" xfId="3071"/>
    <cellStyle name="40% - Accent5 6 2 2" xfId="3072"/>
    <cellStyle name="40% - Accent5 6 3" xfId="3073"/>
    <cellStyle name="40% - Accent5 6 3 2" xfId="3074"/>
    <cellStyle name="40% - Accent5 6 4" xfId="3075"/>
    <cellStyle name="40% - Accent5 6 4 2" xfId="3076"/>
    <cellStyle name="40% - Accent5 6 5" xfId="3077"/>
    <cellStyle name="40% - Accent5 6 6" xfId="3078"/>
    <cellStyle name="40% - Accent5 6 7" xfId="3079"/>
    <cellStyle name="40% - Accent5 6 8" xfId="3080"/>
    <cellStyle name="40% - Accent5 6 9" xfId="3081"/>
    <cellStyle name="40% - Accent5 6_Sheet2" xfId="3082"/>
    <cellStyle name="40% - Accent5 7" xfId="3083"/>
    <cellStyle name="40% - Accent5 7 2" xfId="3084"/>
    <cellStyle name="40% - Accent5 7 2 2" xfId="3085"/>
    <cellStyle name="40% - Accent5 7 3" xfId="3086"/>
    <cellStyle name="40% - Accent5 7 3 2" xfId="3087"/>
    <cellStyle name="40% - Accent5 7 4" xfId="3088"/>
    <cellStyle name="40% - Accent5 7 4 2" xfId="3089"/>
    <cellStyle name="40% - Accent5 7 5" xfId="3090"/>
    <cellStyle name="40% - Accent5 7 6" xfId="3091"/>
    <cellStyle name="40% - Accent5 7 7" xfId="3092"/>
    <cellStyle name="40% - Accent5 7 8" xfId="3093"/>
    <cellStyle name="40% - Accent5 7 9" xfId="3094"/>
    <cellStyle name="40% - Accent5 7_Sheet2" xfId="3095"/>
    <cellStyle name="40% - Accent5 8" xfId="3096"/>
    <cellStyle name="40% - Accent5 8 2" xfId="3097"/>
    <cellStyle name="40% - Accent5 8 3" xfId="3098"/>
    <cellStyle name="40% - Accent5 8 4" xfId="3099"/>
    <cellStyle name="40% - Accent5 8 5" xfId="3100"/>
    <cellStyle name="40% - Accent5 8 6" xfId="3101"/>
    <cellStyle name="40% - Accent5 8 7" xfId="3102"/>
    <cellStyle name="40% - Accent5 8 8" xfId="3103"/>
    <cellStyle name="40% - Accent5 8 8 2" xfId="3104"/>
    <cellStyle name="40% - Accent5 8 9" xfId="3105"/>
    <cellStyle name="40% - Accent5 8_Sheet2" xfId="3106"/>
    <cellStyle name="40% - Accent5 9" xfId="3107"/>
    <cellStyle name="40% - Accent5 9 2" xfId="3108"/>
    <cellStyle name="40% - Accent5 9 3" xfId="3109"/>
    <cellStyle name="40% - Accent5 9 4" xfId="3110"/>
    <cellStyle name="40% - Accent5 9 5" xfId="3111"/>
    <cellStyle name="40% - Accent5 9 6" xfId="3112"/>
    <cellStyle name="40% - Accent5 9 7" xfId="3113"/>
    <cellStyle name="40% - Accent5 9 8" xfId="3114"/>
    <cellStyle name="40% - Accent5 9 9" xfId="3115"/>
    <cellStyle name="40% - Accent6 1" xfId="3116"/>
    <cellStyle name="40% - Accent6 1 1" xfId="3117"/>
    <cellStyle name="40% - Accent6 1 1 2" xfId="3118"/>
    <cellStyle name="40% - Accent6 1 2" xfId="3119"/>
    <cellStyle name="40% - Accent6 1_Building_-_5-final_Price_Variation(1)" xfId="3183"/>
    <cellStyle name="40% - Accent6 10" xfId="3120"/>
    <cellStyle name="40% - Accent6 10 2" xfId="3121"/>
    <cellStyle name="40% - Accent6 10 3" xfId="3122"/>
    <cellStyle name="40% - Accent6 10 4" xfId="3123"/>
    <cellStyle name="40% - Accent6 10 5" xfId="3124"/>
    <cellStyle name="40% - Accent6 10 6" xfId="3125"/>
    <cellStyle name="40% - Accent6 10 7" xfId="3126"/>
    <cellStyle name="40% - Accent6 10 8" xfId="3127"/>
    <cellStyle name="40% - Accent6 10 9" xfId="3128"/>
    <cellStyle name="40% - Accent6 11" xfId="3129"/>
    <cellStyle name="40% - Accent6 11 2" xfId="3130"/>
    <cellStyle name="40% - Accent6 11 2 2" xfId="3131"/>
    <cellStyle name="40% - Accent6 11 2 3" xfId="3132"/>
    <cellStyle name="40% - Accent6 11 3" xfId="3133"/>
    <cellStyle name="40% - Accent6 11 4" xfId="3134"/>
    <cellStyle name="40% - Accent6 12" xfId="3135"/>
    <cellStyle name="40% - Accent6 12 2" xfId="3136"/>
    <cellStyle name="40% - Accent6 12 2 2" xfId="3137"/>
    <cellStyle name="40% - Accent6 12 2 3" xfId="3138"/>
    <cellStyle name="40% - Accent6 12 3" xfId="3139"/>
    <cellStyle name="40% - Accent6 12 4" xfId="3140"/>
    <cellStyle name="40% - Accent6 13" xfId="3141"/>
    <cellStyle name="40% - Accent6 13 2" xfId="3142"/>
    <cellStyle name="40% - Accent6 13 2 2" xfId="3143"/>
    <cellStyle name="40% - Accent6 13 2 3" xfId="3144"/>
    <cellStyle name="40% - Accent6 13 3" xfId="3145"/>
    <cellStyle name="40% - Accent6 13 4" xfId="3146"/>
    <cellStyle name="40% - Accent6 14" xfId="3147"/>
    <cellStyle name="40% - Accent6 14 2" xfId="3148"/>
    <cellStyle name="40% - Accent6 14 2 2" xfId="3149"/>
    <cellStyle name="40% - Accent6 14 2 3" xfId="3150"/>
    <cellStyle name="40% - Accent6 14 3" xfId="3151"/>
    <cellStyle name="40% - Accent6 14 4" xfId="3152"/>
    <cellStyle name="40% - Accent6 15" xfId="3153"/>
    <cellStyle name="40% - Accent6 15 2" xfId="3154"/>
    <cellStyle name="40% - Accent6 15 2 2" xfId="3155"/>
    <cellStyle name="40% - Accent6 15 2 3" xfId="3156"/>
    <cellStyle name="40% - Accent6 15 3" xfId="3157"/>
    <cellStyle name="40% - Accent6 15 4" xfId="3158"/>
    <cellStyle name="40% - Accent6 16" xfId="3159"/>
    <cellStyle name="40% - Accent6 16 2" xfId="3160"/>
    <cellStyle name="40% - Accent6 16 2 2" xfId="3161"/>
    <cellStyle name="40% - Accent6 16 2 3" xfId="3162"/>
    <cellStyle name="40% - Accent6 16 3" xfId="3163"/>
    <cellStyle name="40% - Accent6 16 4" xfId="3164"/>
    <cellStyle name="40% - Accent6 17" xfId="3165"/>
    <cellStyle name="40% - Accent6 17 2" xfId="3166"/>
    <cellStyle name="40% - Accent6 17 2 2" xfId="3167"/>
    <cellStyle name="40% - Accent6 17 2 3" xfId="3168"/>
    <cellStyle name="40% - Accent6 17 3" xfId="3169"/>
    <cellStyle name="40% - Accent6 17 4" xfId="3170"/>
    <cellStyle name="40% - Accent6 18" xfId="3171"/>
    <cellStyle name="40% - Accent6 18 2" xfId="3172"/>
    <cellStyle name="40% - Accent6 18 2 2" xfId="3173"/>
    <cellStyle name="40% - Accent6 18 2 3" xfId="3174"/>
    <cellStyle name="40% - Accent6 18 3" xfId="3175"/>
    <cellStyle name="40% - Accent6 18 4" xfId="3176"/>
    <cellStyle name="40% - Accent6 19" xfId="3177"/>
    <cellStyle name="40% - Accent6 19 2" xfId="3178"/>
    <cellStyle name="40% - Accent6 19 2 2" xfId="3179"/>
    <cellStyle name="40% - Accent6 19 2 3" xfId="3180"/>
    <cellStyle name="40% - Accent6 19 3" xfId="3181"/>
    <cellStyle name="40% - Accent6 19 4" xfId="3182"/>
    <cellStyle name="40% - Accent6 2" xfId="3184"/>
    <cellStyle name="40% - Accent6 2 10" xfId="3185"/>
    <cellStyle name="40% - Accent6 2 2" xfId="3186"/>
    <cellStyle name="40% - Accent6 2 2 2" xfId="3187"/>
    <cellStyle name="40% - Accent6 2 3" xfId="3188"/>
    <cellStyle name="40% - Accent6 2 3 2" xfId="3189"/>
    <cellStyle name="40% - Accent6 2 4" xfId="3190"/>
    <cellStyle name="40% - Accent6 2 4 2" xfId="3191"/>
    <cellStyle name="40% - Accent6 2 5" xfId="3192"/>
    <cellStyle name="40% - Accent6 2 5 2" xfId="3193"/>
    <cellStyle name="40% - Accent6 2 6" xfId="3194"/>
    <cellStyle name="40% - Accent6 2 7" xfId="3195"/>
    <cellStyle name="40% - Accent6 2 8" xfId="3196"/>
    <cellStyle name="40% - Accent6 2 9" xfId="3197"/>
    <cellStyle name="40% - Accent6 2_B Block  Column LGF to UGF Lvl" xfId="3258"/>
    <cellStyle name="40% - Accent6 20" xfId="3198"/>
    <cellStyle name="40% - Accent6 20 2" xfId="3199"/>
    <cellStyle name="40% - Accent6 20 2 2" xfId="3200"/>
    <cellStyle name="40% - Accent6 20 2 3" xfId="3201"/>
    <cellStyle name="40% - Accent6 20 3" xfId="3202"/>
    <cellStyle name="40% - Accent6 20 4" xfId="3203"/>
    <cellStyle name="40% - Accent6 21" xfId="3204"/>
    <cellStyle name="40% - Accent6 21 2" xfId="3205"/>
    <cellStyle name="40% - Accent6 21 2 2" xfId="3206"/>
    <cellStyle name="40% - Accent6 21 2 3" xfId="3207"/>
    <cellStyle name="40% - Accent6 21 3" xfId="3208"/>
    <cellStyle name="40% - Accent6 21 4" xfId="3209"/>
    <cellStyle name="40% - Accent6 22" xfId="3210"/>
    <cellStyle name="40% - Accent6 22 2" xfId="3211"/>
    <cellStyle name="40% - Accent6 22 2 2" xfId="3212"/>
    <cellStyle name="40% - Accent6 22 2 3" xfId="3213"/>
    <cellStyle name="40% - Accent6 22 3" xfId="3214"/>
    <cellStyle name="40% - Accent6 22 4" xfId="3215"/>
    <cellStyle name="40% - Accent6 23" xfId="3216"/>
    <cellStyle name="40% - Accent6 23 2" xfId="3217"/>
    <cellStyle name="40% - Accent6 23 2 2" xfId="3218"/>
    <cellStyle name="40% - Accent6 23 2 3" xfId="3219"/>
    <cellStyle name="40% - Accent6 23 3" xfId="3220"/>
    <cellStyle name="40% - Accent6 23 4" xfId="3221"/>
    <cellStyle name="40% - Accent6 24" xfId="3222"/>
    <cellStyle name="40% - Accent6 24 2" xfId="3223"/>
    <cellStyle name="40% - Accent6 24 2 2" xfId="3224"/>
    <cellStyle name="40% - Accent6 24 2 3" xfId="3225"/>
    <cellStyle name="40% - Accent6 24 3" xfId="3226"/>
    <cellStyle name="40% - Accent6 24 4" xfId="3227"/>
    <cellStyle name="40% - Accent6 25" xfId="3228"/>
    <cellStyle name="40% - Accent6 25 2" xfId="3229"/>
    <cellStyle name="40% - Accent6 25 2 2" xfId="3230"/>
    <cellStyle name="40% - Accent6 25 2 3" xfId="3231"/>
    <cellStyle name="40% - Accent6 25 3" xfId="3232"/>
    <cellStyle name="40% - Accent6 25 4" xfId="3233"/>
    <cellStyle name="40% - Accent6 26" xfId="3234"/>
    <cellStyle name="40% - Accent6 26 2" xfId="3235"/>
    <cellStyle name="40% - Accent6 26 2 2" xfId="3236"/>
    <cellStyle name="40% - Accent6 26 2 3" xfId="3237"/>
    <cellStyle name="40% - Accent6 26 3" xfId="3238"/>
    <cellStyle name="40% - Accent6 26 4" xfId="3239"/>
    <cellStyle name="40% - Accent6 27" xfId="3240"/>
    <cellStyle name="40% - Accent6 27 2" xfId="3241"/>
    <cellStyle name="40% - Accent6 27 2 2" xfId="3242"/>
    <cellStyle name="40% - Accent6 27 2 3" xfId="3243"/>
    <cellStyle name="40% - Accent6 27 3" xfId="3244"/>
    <cellStyle name="40% - Accent6 27 4" xfId="3245"/>
    <cellStyle name="40% - Accent6 28" xfId="3246"/>
    <cellStyle name="40% - Accent6 28 2" xfId="3247"/>
    <cellStyle name="40% - Accent6 28 2 2" xfId="3248"/>
    <cellStyle name="40% - Accent6 28 2 3" xfId="3249"/>
    <cellStyle name="40% - Accent6 28 3" xfId="3250"/>
    <cellStyle name="40% - Accent6 28 4" xfId="3251"/>
    <cellStyle name="40% - Accent6 29" xfId="3252"/>
    <cellStyle name="40% - Accent6 29 2" xfId="3253"/>
    <cellStyle name="40% - Accent6 29 2 2" xfId="3254"/>
    <cellStyle name="40% - Accent6 29 2 3" xfId="3255"/>
    <cellStyle name="40% - Accent6 29 3" xfId="3256"/>
    <cellStyle name="40% - Accent6 29 4" xfId="3257"/>
    <cellStyle name="40% - Accent6 3" xfId="3259"/>
    <cellStyle name="40% - Accent6 3 2" xfId="3260"/>
    <cellStyle name="40% - Accent6 3 3" xfId="3261"/>
    <cellStyle name="40% - Accent6 3 3 2" xfId="3262"/>
    <cellStyle name="40% - Accent6 3 4" xfId="3263"/>
    <cellStyle name="40% - Accent6 3 4 2" xfId="3264"/>
    <cellStyle name="40% - Accent6 3 5" xfId="3265"/>
    <cellStyle name="40% - Accent6 3 6" xfId="3266"/>
    <cellStyle name="40% - Accent6 3 7" xfId="3267"/>
    <cellStyle name="40% - Accent6 3 8" xfId="3268"/>
    <cellStyle name="40% - Accent6 3 9" xfId="3269"/>
    <cellStyle name="40% - Accent6 3_Sheet2" xfId="3325"/>
    <cellStyle name="40% - Accent6 30" xfId="3270"/>
    <cellStyle name="40% - Accent6 30 2" xfId="3271"/>
    <cellStyle name="40% - Accent6 30 2 2" xfId="3272"/>
    <cellStyle name="40% - Accent6 30 2 3" xfId="3273"/>
    <cellStyle name="40% - Accent6 30 3" xfId="3274"/>
    <cellStyle name="40% - Accent6 30 4" xfId="3275"/>
    <cellStyle name="40% - Accent6 31" xfId="3276"/>
    <cellStyle name="40% - Accent6 31 2" xfId="3277"/>
    <cellStyle name="40% - Accent6 31 2 2" xfId="3278"/>
    <cellStyle name="40% - Accent6 31 2 3" xfId="3279"/>
    <cellStyle name="40% - Accent6 31 3" xfId="3280"/>
    <cellStyle name="40% - Accent6 31 4" xfId="3281"/>
    <cellStyle name="40% - Accent6 32" xfId="3282"/>
    <cellStyle name="40% - Accent6 33" xfId="3283"/>
    <cellStyle name="40% - Accent6 33 2" xfId="3284"/>
    <cellStyle name="40% - Accent6 33 2 2" xfId="3285"/>
    <cellStyle name="40% - Accent6 33 2 3" xfId="3286"/>
    <cellStyle name="40% - Accent6 33 3" xfId="3287"/>
    <cellStyle name="40% - Accent6 33 4" xfId="3288"/>
    <cellStyle name="40% - Accent6 34" xfId="3289"/>
    <cellStyle name="40% - Accent6 34 2" xfId="3290"/>
    <cellStyle name="40% - Accent6 34 2 2" xfId="3291"/>
    <cellStyle name="40% - Accent6 34 2 3" xfId="3292"/>
    <cellStyle name="40% - Accent6 34 3" xfId="3293"/>
    <cellStyle name="40% - Accent6 34 4" xfId="3294"/>
    <cellStyle name="40% - Accent6 35" xfId="3295"/>
    <cellStyle name="40% - Accent6 35 2" xfId="3296"/>
    <cellStyle name="40% - Accent6 35 2 2" xfId="3297"/>
    <cellStyle name="40% - Accent6 35 2 3" xfId="3298"/>
    <cellStyle name="40% - Accent6 35 3" xfId="3299"/>
    <cellStyle name="40% - Accent6 35 4" xfId="3300"/>
    <cellStyle name="40% - Accent6 36" xfId="3301"/>
    <cellStyle name="40% - Accent6 36 2" xfId="3302"/>
    <cellStyle name="40% - Accent6 36 2 2" xfId="3303"/>
    <cellStyle name="40% - Accent6 36 2 3" xfId="3304"/>
    <cellStyle name="40% - Accent6 36 3" xfId="3305"/>
    <cellStyle name="40% - Accent6 36 4" xfId="3306"/>
    <cellStyle name="40% - Accent6 37" xfId="3307"/>
    <cellStyle name="40% - Accent6 37 2" xfId="3308"/>
    <cellStyle name="40% - Accent6 37 2 2" xfId="3309"/>
    <cellStyle name="40% - Accent6 37 2 3" xfId="3310"/>
    <cellStyle name="40% - Accent6 37 3" xfId="3311"/>
    <cellStyle name="40% - Accent6 37 4" xfId="3312"/>
    <cellStyle name="40% - Accent6 38" xfId="3313"/>
    <cellStyle name="40% - Accent6 38 2" xfId="3314"/>
    <cellStyle name="40% - Accent6 38 2 2" xfId="3315"/>
    <cellStyle name="40% - Accent6 38 2 3" xfId="3316"/>
    <cellStyle name="40% - Accent6 38 3" xfId="3317"/>
    <cellStyle name="40% - Accent6 38 4" xfId="3318"/>
    <cellStyle name="40% - Accent6 39" xfId="3319"/>
    <cellStyle name="40% - Accent6 39 2" xfId="3320"/>
    <cellStyle name="40% - Accent6 39 2 2" xfId="3321"/>
    <cellStyle name="40% - Accent6 39 2 3" xfId="3322"/>
    <cellStyle name="40% - Accent6 39 3" xfId="3323"/>
    <cellStyle name="40% - Accent6 39 4" xfId="3324"/>
    <cellStyle name="40% - Accent6 4" xfId="3326"/>
    <cellStyle name="40% - Accent6 4 2" xfId="3327"/>
    <cellStyle name="40% - Accent6 4 3" xfId="3328"/>
    <cellStyle name="40% - Accent6 4 3 2" xfId="3329"/>
    <cellStyle name="40% - Accent6 4 4" xfId="3330"/>
    <cellStyle name="40% - Accent6 4 4 2" xfId="3331"/>
    <cellStyle name="40% - Accent6 4 5" xfId="3332"/>
    <cellStyle name="40% - Accent6 4 6" xfId="3333"/>
    <cellStyle name="40% - Accent6 4 7" xfId="3334"/>
    <cellStyle name="40% - Accent6 4 8" xfId="3335"/>
    <cellStyle name="40% - Accent6 4 9" xfId="3336"/>
    <cellStyle name="40% - Accent6 4_Sheet2" xfId="3337"/>
    <cellStyle name="40% - Accent6 5" xfId="3338"/>
    <cellStyle name="40% - Accent6 5 2" xfId="3339"/>
    <cellStyle name="40% - Accent6 5 2 2" xfId="3340"/>
    <cellStyle name="40% - Accent6 5 3" xfId="3341"/>
    <cellStyle name="40% - Accent6 5 3 2" xfId="3342"/>
    <cellStyle name="40% - Accent6 5 4" xfId="3343"/>
    <cellStyle name="40% - Accent6 5 4 2" xfId="3344"/>
    <cellStyle name="40% - Accent6 5 5" xfId="3345"/>
    <cellStyle name="40% - Accent6 5 6" xfId="3346"/>
    <cellStyle name="40% - Accent6 5 7" xfId="3347"/>
    <cellStyle name="40% - Accent6 5 8" xfId="3348"/>
    <cellStyle name="40% - Accent6 5 9" xfId="3349"/>
    <cellStyle name="40% - Accent6 5_Sheet2" xfId="3350"/>
    <cellStyle name="40% - Accent6 6" xfId="3351"/>
    <cellStyle name="40% - Accent6 6 2" xfId="3352"/>
    <cellStyle name="40% - Accent6 6 2 2" xfId="3353"/>
    <cellStyle name="40% - Accent6 6 3" xfId="3354"/>
    <cellStyle name="40% - Accent6 6 3 2" xfId="3355"/>
    <cellStyle name="40% - Accent6 6 4" xfId="3356"/>
    <cellStyle name="40% - Accent6 6 4 2" xfId="3357"/>
    <cellStyle name="40% - Accent6 6 5" xfId="3358"/>
    <cellStyle name="40% - Accent6 6 6" xfId="3359"/>
    <cellStyle name="40% - Accent6 6 7" xfId="3360"/>
    <cellStyle name="40% - Accent6 6 8" xfId="3361"/>
    <cellStyle name="40% - Accent6 6 9" xfId="3362"/>
    <cellStyle name="40% - Accent6 6_Sheet2" xfId="3363"/>
    <cellStyle name="40% - Accent6 7" xfId="3364"/>
    <cellStyle name="40% - Accent6 7 2" xfId="3365"/>
    <cellStyle name="40% - Accent6 7 2 2" xfId="3366"/>
    <cellStyle name="40% - Accent6 7 3" xfId="3367"/>
    <cellStyle name="40% - Accent6 7 3 2" xfId="3368"/>
    <cellStyle name="40% - Accent6 7 4" xfId="3369"/>
    <cellStyle name="40% - Accent6 7 4 2" xfId="3370"/>
    <cellStyle name="40% - Accent6 7 5" xfId="3371"/>
    <cellStyle name="40% - Accent6 7 6" xfId="3372"/>
    <cellStyle name="40% - Accent6 7 7" xfId="3373"/>
    <cellStyle name="40% - Accent6 7 8" xfId="3374"/>
    <cellStyle name="40% - Accent6 7 9" xfId="3375"/>
    <cellStyle name="40% - Accent6 7_Sheet2" xfId="3376"/>
    <cellStyle name="40% - Accent6 8" xfId="3377"/>
    <cellStyle name="40% - Accent6 8 2" xfId="3378"/>
    <cellStyle name="40% - Accent6 8 3" xfId="3379"/>
    <cellStyle name="40% - Accent6 8 4" xfId="3380"/>
    <cellStyle name="40% - Accent6 8 5" xfId="3381"/>
    <cellStyle name="40% - Accent6 8 6" xfId="3382"/>
    <cellStyle name="40% - Accent6 8 7" xfId="3383"/>
    <cellStyle name="40% - Accent6 8 8" xfId="3384"/>
    <cellStyle name="40% - Accent6 8 9" xfId="3385"/>
    <cellStyle name="40% - Accent6 8_Sheet2" xfId="3386"/>
    <cellStyle name="40% - Accent6 9" xfId="3387"/>
    <cellStyle name="40% - Accent6 9 2" xfId="3388"/>
    <cellStyle name="40% - Accent6 9 3" xfId="3389"/>
    <cellStyle name="40% - Accent6 9 4" xfId="3390"/>
    <cellStyle name="40% - Accent6 9 5" xfId="3391"/>
    <cellStyle name="40% - Accent6 9 6" xfId="3392"/>
    <cellStyle name="40% - Accent6 9 7" xfId="3393"/>
    <cellStyle name="40% - Accent6 9 8" xfId="3394"/>
    <cellStyle name="40% - Accent6 9 9" xfId="3395"/>
    <cellStyle name="40% - Akzent1" xfId="3396"/>
    <cellStyle name="40% - Akzent2" xfId="3397"/>
    <cellStyle name="40% - Akzent3" xfId="3398"/>
    <cellStyle name="40% - Akzent4" xfId="3399"/>
    <cellStyle name="40% - Akzent5" xfId="3400"/>
    <cellStyle name="40% - Akzent6" xfId="3401"/>
    <cellStyle name="413132" xfId="3402"/>
    <cellStyle name="413132 2" xfId="3403"/>
    <cellStyle name="413132_KC720 - JCR - Mar '11" xfId="3404"/>
    <cellStyle name="44" xfId="3405"/>
    <cellStyle name="4Decimal" xfId="3406"/>
    <cellStyle name="5" xfId="3407"/>
    <cellStyle name="5_001-R2-SPD-BOQ for Bridge4(ph1,ph2)-ren-22-01-09" xfId="3408"/>
    <cellStyle name="5_003-R0-PNSS-BOQ for Cable Stayed Bridge-csl-23.12.08" xfId="3409"/>
    <cellStyle name="5_003-R0-PNSS-BOQ for Cable Stayed Bridge-ren-22-01-09" xfId="3410"/>
    <cellStyle name="5_003-R0-PNSS-BOQ for Cable Stayed Bridge-ren-22-01-09-1" xfId="3411"/>
    <cellStyle name="5_Analysis - Hodariyat - 20.06.09" xfId="3412"/>
    <cellStyle name="5_Analysis - hodariyat Bridge - 16.05.09" xfId="3413"/>
    <cellStyle name="5_Analysis-Road works" xfId="3414"/>
    <cellStyle name="5_Analysis-Structures" xfId="3415"/>
    <cellStyle name="5_Bridge-3-Cable stay-Final 28.01.09" xfId="3416"/>
    <cellStyle name="5_Bridge-4-Arch-24 Month-10.03.09" xfId="3417"/>
    <cellStyle name="5_Cable Stay bridge workings-21.12.08" xfId="3418"/>
    <cellStyle name="5_CS reworked owith qty of 29.01.09" xfId="3419"/>
    <cellStyle name="5_pt cs comparision" xfId="3420"/>
    <cellStyle name="5_To Client - Bridge 4" xfId="3421"/>
    <cellStyle name="60% - Accent1 1" xfId="3422"/>
    <cellStyle name="60% - Accent1 1 1" xfId="3423"/>
    <cellStyle name="60% - Accent1 1_Building_-_5-final_Price_Variation(1)" xfId="3441"/>
    <cellStyle name="60% - Accent1 10" xfId="3424"/>
    <cellStyle name="60% - Accent1 10 2" xfId="3425"/>
    <cellStyle name="60% - Accent1 10 3" xfId="3426"/>
    <cellStyle name="60% - Accent1 10 4" xfId="3427"/>
    <cellStyle name="60% - Accent1 10 5" xfId="3428"/>
    <cellStyle name="60% - Accent1 10 6" xfId="3429"/>
    <cellStyle name="60% - Accent1 10 7" xfId="3430"/>
    <cellStyle name="60% - Accent1 10 8" xfId="3431"/>
    <cellStyle name="60% - Accent1 11" xfId="3432"/>
    <cellStyle name="60% - Accent1 12" xfId="3433"/>
    <cellStyle name="60% - Accent1 13" xfId="3434"/>
    <cellStyle name="60% - Accent1 14" xfId="3435"/>
    <cellStyle name="60% - Accent1 15" xfId="3436"/>
    <cellStyle name="60% - Accent1 16" xfId="3437"/>
    <cellStyle name="60% - Accent1 17" xfId="3438"/>
    <cellStyle name="60% - Accent1 18" xfId="3439"/>
    <cellStyle name="60% - Accent1 19" xfId="3440"/>
    <cellStyle name="60% - Accent1 2" xfId="3442"/>
    <cellStyle name="60% - Accent1 2 2" xfId="3443"/>
    <cellStyle name="60% - Accent1 2 3" xfId="3444"/>
    <cellStyle name="60% - Accent1 2 3 2" xfId="3445"/>
    <cellStyle name="60% - Accent1 2 4" xfId="3446"/>
    <cellStyle name="60% - Accent1 2 4 2" xfId="3447"/>
    <cellStyle name="60% - Accent1 2 5" xfId="3448"/>
    <cellStyle name="60% - Accent1 2 5 2" xfId="3449"/>
    <cellStyle name="60% - Accent1 2 6" xfId="3450"/>
    <cellStyle name="60% - Accent1 2 7" xfId="3451"/>
    <cellStyle name="60% - Accent1 2 8" xfId="3452"/>
    <cellStyle name="60% - Accent1 2 9" xfId="3453"/>
    <cellStyle name="60% - Accent1 2_Block-F LGF POur-II BBS" xfId="3464"/>
    <cellStyle name="60% - Accent1 20" xfId="3454"/>
    <cellStyle name="60% - Accent1 21" xfId="3455"/>
    <cellStyle name="60% - Accent1 22" xfId="3456"/>
    <cellStyle name="60% - Accent1 23" xfId="3457"/>
    <cellStyle name="60% - Accent1 24" xfId="3458"/>
    <cellStyle name="60% - Accent1 25" xfId="3459"/>
    <cellStyle name="60% - Accent1 26" xfId="3460"/>
    <cellStyle name="60% - Accent1 27" xfId="3461"/>
    <cellStyle name="60% - Accent1 28" xfId="3462"/>
    <cellStyle name="60% - Accent1 29" xfId="3463"/>
    <cellStyle name="60% - Accent1 3" xfId="3465"/>
    <cellStyle name="60% - Accent1 3 2" xfId="3466"/>
    <cellStyle name="60% - Accent1 3 3" xfId="3467"/>
    <cellStyle name="60% - Accent1 3 3 2" xfId="3468"/>
    <cellStyle name="60% - Accent1 3 4" xfId="3469"/>
    <cellStyle name="60% - Accent1 3 4 2" xfId="3470"/>
    <cellStyle name="60% - Accent1 3 5" xfId="3471"/>
    <cellStyle name="60% - Accent1 3 6" xfId="3472"/>
    <cellStyle name="60% - Accent1 3 7" xfId="3473"/>
    <cellStyle name="60% - Accent1 3 8" xfId="3474"/>
    <cellStyle name="60% - Accent1 3_Sheet2" xfId="3485"/>
    <cellStyle name="60% - Accent1 30" xfId="3475"/>
    <cellStyle name="60% - Accent1 31" xfId="3476"/>
    <cellStyle name="60% - Accent1 32" xfId="3477"/>
    <cellStyle name="60% - Accent1 33" xfId="3478"/>
    <cellStyle name="60% - Accent1 34" xfId="3479"/>
    <cellStyle name="60% - Accent1 35" xfId="3480"/>
    <cellStyle name="60% - Accent1 36" xfId="3481"/>
    <cellStyle name="60% - Accent1 37" xfId="3482"/>
    <cellStyle name="60% - Accent1 38" xfId="3483"/>
    <cellStyle name="60% - Accent1 39" xfId="3484"/>
    <cellStyle name="60% - Accent1 4" xfId="3486"/>
    <cellStyle name="60% - Accent1 4 2" xfId="3487"/>
    <cellStyle name="60% - Accent1 4 3" xfId="3488"/>
    <cellStyle name="60% - Accent1 4 3 2" xfId="3489"/>
    <cellStyle name="60% - Accent1 4 4" xfId="3490"/>
    <cellStyle name="60% - Accent1 4 4 2" xfId="3491"/>
    <cellStyle name="60% - Accent1 4 5" xfId="3492"/>
    <cellStyle name="60% - Accent1 4 6" xfId="3493"/>
    <cellStyle name="60% - Accent1 4 7" xfId="3494"/>
    <cellStyle name="60% - Accent1 4 8" xfId="3495"/>
    <cellStyle name="60% - Accent1 4_Sheet2" xfId="3496"/>
    <cellStyle name="60% - Accent1 5" xfId="3497"/>
    <cellStyle name="60% - Accent1 5 2" xfId="3498"/>
    <cellStyle name="60% - Accent1 5 2 2" xfId="3499"/>
    <cellStyle name="60% - Accent1 5 3" xfId="3500"/>
    <cellStyle name="60% - Accent1 5 3 2" xfId="3501"/>
    <cellStyle name="60% - Accent1 5 4" xfId="3502"/>
    <cellStyle name="60% - Accent1 5 4 2" xfId="3503"/>
    <cellStyle name="60% - Accent1 5 5" xfId="3504"/>
    <cellStyle name="60% - Accent1 5 6" xfId="3505"/>
    <cellStyle name="60% - Accent1 5 7" xfId="3506"/>
    <cellStyle name="60% - Accent1 5 8" xfId="3507"/>
    <cellStyle name="60% - Accent1 5_Sheet2" xfId="3508"/>
    <cellStyle name="60% - Accent1 6" xfId="3509"/>
    <cellStyle name="60% - Accent1 6 2" xfId="3510"/>
    <cellStyle name="60% - Accent1 6 2 2" xfId="3511"/>
    <cellStyle name="60% - Accent1 6 3" xfId="3512"/>
    <cellStyle name="60% - Accent1 6 3 2" xfId="3513"/>
    <cellStyle name="60% - Accent1 6 4" xfId="3514"/>
    <cellStyle name="60% - Accent1 6 4 2" xfId="3515"/>
    <cellStyle name="60% - Accent1 6 5" xfId="3516"/>
    <cellStyle name="60% - Accent1 6 6" xfId="3517"/>
    <cellStyle name="60% - Accent1 6 7" xfId="3518"/>
    <cellStyle name="60% - Accent1 6 8" xfId="3519"/>
    <cellStyle name="60% - Accent1 6_Sheet2" xfId="3520"/>
    <cellStyle name="60% - Accent1 7" xfId="3521"/>
    <cellStyle name="60% - Accent1 7 2" xfId="3522"/>
    <cellStyle name="60% - Accent1 7 2 2" xfId="3523"/>
    <cellStyle name="60% - Accent1 7 3" xfId="3524"/>
    <cellStyle name="60% - Accent1 7 3 2" xfId="3525"/>
    <cellStyle name="60% - Accent1 7 4" xfId="3526"/>
    <cellStyle name="60% - Accent1 7 4 2" xfId="3527"/>
    <cellStyle name="60% - Accent1 7 5" xfId="3528"/>
    <cellStyle name="60% - Accent1 7 6" xfId="3529"/>
    <cellStyle name="60% - Accent1 7 7" xfId="3530"/>
    <cellStyle name="60% - Accent1 7 8" xfId="3531"/>
    <cellStyle name="60% - Accent1 7_Sheet2" xfId="3532"/>
    <cellStyle name="60% - Accent1 8" xfId="3533"/>
    <cellStyle name="60% - Accent1 8 2" xfId="3534"/>
    <cellStyle name="60% - Accent1 8 3" xfId="3535"/>
    <cellStyle name="60% - Accent1 8 4" xfId="3536"/>
    <cellStyle name="60% - Accent1 8 5" xfId="3537"/>
    <cellStyle name="60% - Accent1 8 6" xfId="3538"/>
    <cellStyle name="60% - Accent1 8 7" xfId="3539"/>
    <cellStyle name="60% - Accent1 8 8" xfId="3540"/>
    <cellStyle name="60% - Accent1 8_Sheet2" xfId="3541"/>
    <cellStyle name="60% - Accent1 9" xfId="3542"/>
    <cellStyle name="60% - Accent1 9 2" xfId="3543"/>
    <cellStyle name="60% - Accent1 9 3" xfId="3544"/>
    <cellStyle name="60% - Accent1 9 4" xfId="3545"/>
    <cellStyle name="60% - Accent1 9 5" xfId="3546"/>
    <cellStyle name="60% - Accent1 9 6" xfId="3547"/>
    <cellStyle name="60% - Accent1 9 7" xfId="3548"/>
    <cellStyle name="60% - Accent1 9 8" xfId="3549"/>
    <cellStyle name="60% - Accent2 1" xfId="3550"/>
    <cellStyle name="60% - Accent2 1 1" xfId="3551"/>
    <cellStyle name="60% - Accent2 10" xfId="3552"/>
    <cellStyle name="60% - Accent2 10 2" xfId="3553"/>
    <cellStyle name="60% - Accent2 10 3" xfId="3554"/>
    <cellStyle name="60% - Accent2 10 4" xfId="3555"/>
    <cellStyle name="60% - Accent2 10 5" xfId="3556"/>
    <cellStyle name="60% - Accent2 10 6" xfId="3557"/>
    <cellStyle name="60% - Accent2 10 7" xfId="3558"/>
    <cellStyle name="60% - Accent2 10 8" xfId="3559"/>
    <cellStyle name="60% - Accent2 11" xfId="3560"/>
    <cellStyle name="60% - Accent2 12" xfId="3561"/>
    <cellStyle name="60% - Accent2 13" xfId="3562"/>
    <cellStyle name="60% - Accent2 14" xfId="3563"/>
    <cellStyle name="60% - Accent2 15" xfId="3564"/>
    <cellStyle name="60% - Accent2 16" xfId="3565"/>
    <cellStyle name="60% - Accent2 17" xfId="3566"/>
    <cellStyle name="60% - Accent2 18" xfId="3567"/>
    <cellStyle name="60% - Accent2 19" xfId="3568"/>
    <cellStyle name="60% - Accent2 2" xfId="3569"/>
    <cellStyle name="60% - Accent2 2 2" xfId="3570"/>
    <cellStyle name="60% - Accent2 2 3" xfId="3571"/>
    <cellStyle name="60% - Accent2 2 3 2" xfId="3572"/>
    <cellStyle name="60% - Accent2 2 4" xfId="3573"/>
    <cellStyle name="60% - Accent2 2 4 2" xfId="3574"/>
    <cellStyle name="60% - Accent2 2 5" xfId="3575"/>
    <cellStyle name="60% - Accent2 2 5 2" xfId="3576"/>
    <cellStyle name="60% - Accent2 2 6" xfId="3577"/>
    <cellStyle name="60% - Accent2 2 7" xfId="3578"/>
    <cellStyle name="60% - Accent2 2 8" xfId="3579"/>
    <cellStyle name="60% - Accent2 2 9" xfId="3580"/>
    <cellStyle name="60% - Accent2 2_Block-F LGF POur-II BBS" xfId="3591"/>
    <cellStyle name="60% - Accent2 20" xfId="3581"/>
    <cellStyle name="60% - Accent2 21" xfId="3582"/>
    <cellStyle name="60% - Accent2 22" xfId="3583"/>
    <cellStyle name="60% - Accent2 23" xfId="3584"/>
    <cellStyle name="60% - Accent2 24" xfId="3585"/>
    <cellStyle name="60% - Accent2 25" xfId="3586"/>
    <cellStyle name="60% - Accent2 26" xfId="3587"/>
    <cellStyle name="60% - Accent2 27" xfId="3588"/>
    <cellStyle name="60% - Accent2 28" xfId="3589"/>
    <cellStyle name="60% - Accent2 29" xfId="3590"/>
    <cellStyle name="60% - Accent2 3" xfId="3592"/>
    <cellStyle name="60% - Accent2 3 2" xfId="3593"/>
    <cellStyle name="60% - Accent2 3 3" xfId="3594"/>
    <cellStyle name="60% - Accent2 3 3 2" xfId="3595"/>
    <cellStyle name="60% - Accent2 3 4" xfId="3596"/>
    <cellStyle name="60% - Accent2 3 4 2" xfId="3597"/>
    <cellStyle name="60% - Accent2 3 5" xfId="3598"/>
    <cellStyle name="60% - Accent2 3 6" xfId="3599"/>
    <cellStyle name="60% - Accent2 3 7" xfId="3600"/>
    <cellStyle name="60% - Accent2 3 8" xfId="3601"/>
    <cellStyle name="60% - Accent2 3_Sheet2" xfId="3612"/>
    <cellStyle name="60% - Accent2 30" xfId="3602"/>
    <cellStyle name="60% - Accent2 31" xfId="3603"/>
    <cellStyle name="60% - Accent2 32" xfId="3604"/>
    <cellStyle name="60% - Accent2 33" xfId="3605"/>
    <cellStyle name="60% - Accent2 34" xfId="3606"/>
    <cellStyle name="60% - Accent2 35" xfId="3607"/>
    <cellStyle name="60% - Accent2 36" xfId="3608"/>
    <cellStyle name="60% - Accent2 37" xfId="3609"/>
    <cellStyle name="60% - Accent2 38" xfId="3610"/>
    <cellStyle name="60% - Accent2 39" xfId="3611"/>
    <cellStyle name="60% - Accent2 4" xfId="3613"/>
    <cellStyle name="60% - Accent2 4 2" xfId="3614"/>
    <cellStyle name="60% - Accent2 4 3" xfId="3615"/>
    <cellStyle name="60% - Accent2 4 3 2" xfId="3616"/>
    <cellStyle name="60% - Accent2 4 4" xfId="3617"/>
    <cellStyle name="60% - Accent2 4 4 2" xfId="3618"/>
    <cellStyle name="60% - Accent2 4 5" xfId="3619"/>
    <cellStyle name="60% - Accent2 4 6" xfId="3620"/>
    <cellStyle name="60% - Accent2 4 7" xfId="3621"/>
    <cellStyle name="60% - Accent2 4 8" xfId="3622"/>
    <cellStyle name="60% - Accent2 4_Sheet2" xfId="3623"/>
    <cellStyle name="60% - Accent2 5" xfId="3624"/>
    <cellStyle name="60% - Accent2 5 2" xfId="3625"/>
    <cellStyle name="60% - Accent2 5 2 2" xfId="3626"/>
    <cellStyle name="60% - Accent2 5 3" xfId="3627"/>
    <cellStyle name="60% - Accent2 5 3 2" xfId="3628"/>
    <cellStyle name="60% - Accent2 5 4" xfId="3629"/>
    <cellStyle name="60% - Accent2 5 4 2" xfId="3630"/>
    <cellStyle name="60% - Accent2 5 5" xfId="3631"/>
    <cellStyle name="60% - Accent2 5 6" xfId="3632"/>
    <cellStyle name="60% - Accent2 5 7" xfId="3633"/>
    <cellStyle name="60% - Accent2 5 8" xfId="3634"/>
    <cellStyle name="60% - Accent2 5_Sheet2" xfId="3635"/>
    <cellStyle name="60% - Accent2 6" xfId="3636"/>
    <cellStyle name="60% - Accent2 6 2" xfId="3637"/>
    <cellStyle name="60% - Accent2 6 2 2" xfId="3638"/>
    <cellStyle name="60% - Accent2 6 3" xfId="3639"/>
    <cellStyle name="60% - Accent2 6 3 2" xfId="3640"/>
    <cellStyle name="60% - Accent2 6 4" xfId="3641"/>
    <cellStyle name="60% - Accent2 6 4 2" xfId="3642"/>
    <cellStyle name="60% - Accent2 6 5" xfId="3643"/>
    <cellStyle name="60% - Accent2 6 6" xfId="3644"/>
    <cellStyle name="60% - Accent2 6 7" xfId="3645"/>
    <cellStyle name="60% - Accent2 6 8" xfId="3646"/>
    <cellStyle name="60% - Accent2 6_Sheet2" xfId="3647"/>
    <cellStyle name="60% - Accent2 7" xfId="3648"/>
    <cellStyle name="60% - Accent2 7 2" xfId="3649"/>
    <cellStyle name="60% - Accent2 7 2 2" xfId="3650"/>
    <cellStyle name="60% - Accent2 7 3" xfId="3651"/>
    <cellStyle name="60% - Accent2 7 3 2" xfId="3652"/>
    <cellStyle name="60% - Accent2 7 4" xfId="3653"/>
    <cellStyle name="60% - Accent2 7 4 2" xfId="3654"/>
    <cellStyle name="60% - Accent2 7 5" xfId="3655"/>
    <cellStyle name="60% - Accent2 7 6" xfId="3656"/>
    <cellStyle name="60% - Accent2 7 7" xfId="3657"/>
    <cellStyle name="60% - Accent2 7 8" xfId="3658"/>
    <cellStyle name="60% - Accent2 7_Sheet2" xfId="3659"/>
    <cellStyle name="60% - Accent2 8" xfId="3660"/>
    <cellStyle name="60% - Accent2 8 2" xfId="3661"/>
    <cellStyle name="60% - Accent2 8 3" xfId="3662"/>
    <cellStyle name="60% - Accent2 8 4" xfId="3663"/>
    <cellStyle name="60% - Accent2 8 5" xfId="3664"/>
    <cellStyle name="60% - Accent2 8 6" xfId="3665"/>
    <cellStyle name="60% - Accent2 8 7" xfId="3666"/>
    <cellStyle name="60% - Accent2 8 8" xfId="3667"/>
    <cellStyle name="60% - Accent2 8_Sheet2" xfId="3668"/>
    <cellStyle name="60% - Accent2 9" xfId="3669"/>
    <cellStyle name="60% - Accent2 9 2" xfId="3670"/>
    <cellStyle name="60% - Accent2 9 3" xfId="3671"/>
    <cellStyle name="60% - Accent2 9 4" xfId="3672"/>
    <cellStyle name="60% - Accent2 9 5" xfId="3673"/>
    <cellStyle name="60% - Accent2 9 6" xfId="3674"/>
    <cellStyle name="60% - Accent2 9 7" xfId="3675"/>
    <cellStyle name="60% - Accent2 9 8" xfId="3676"/>
    <cellStyle name="60% - Accent3 1" xfId="3677"/>
    <cellStyle name="60% - Accent3 1 1" xfId="3678"/>
    <cellStyle name="60% - Accent3 10" xfId="3679"/>
    <cellStyle name="60% - Accent3 10 2" xfId="3680"/>
    <cellStyle name="60% - Accent3 10 3" xfId="3681"/>
    <cellStyle name="60% - Accent3 10 4" xfId="3682"/>
    <cellStyle name="60% - Accent3 10 5" xfId="3683"/>
    <cellStyle name="60% - Accent3 10 6" xfId="3684"/>
    <cellStyle name="60% - Accent3 10 7" xfId="3685"/>
    <cellStyle name="60% - Accent3 10 8" xfId="3686"/>
    <cellStyle name="60% - Accent3 11" xfId="3687"/>
    <cellStyle name="60% - Accent3 12" xfId="3688"/>
    <cellStyle name="60% - Accent3 13" xfId="3689"/>
    <cellStyle name="60% - Accent3 13 2" xfId="3690"/>
    <cellStyle name="60% - Accent3 14" xfId="3691"/>
    <cellStyle name="60% - Accent3 15" xfId="3692"/>
    <cellStyle name="60% - Accent3 16" xfId="3693"/>
    <cellStyle name="60% - Accent3 17" xfId="3694"/>
    <cellStyle name="60% - Accent3 18" xfId="3695"/>
    <cellStyle name="60% - Accent3 19" xfId="3696"/>
    <cellStyle name="60% - Accent3 2" xfId="3697"/>
    <cellStyle name="60% - Accent3 2 2" xfId="3698"/>
    <cellStyle name="60% - Accent3 2 3" xfId="3699"/>
    <cellStyle name="60% - Accent3 2 3 2" xfId="3700"/>
    <cellStyle name="60% - Accent3 2 4" xfId="3701"/>
    <cellStyle name="60% - Accent3 2 4 2" xfId="3702"/>
    <cellStyle name="60% - Accent3 2 5" xfId="3703"/>
    <cellStyle name="60% - Accent3 2 5 2" xfId="3704"/>
    <cellStyle name="60% - Accent3 2 6" xfId="3705"/>
    <cellStyle name="60% - Accent3 2 7" xfId="3706"/>
    <cellStyle name="60% - Accent3 2 8" xfId="3707"/>
    <cellStyle name="60% - Accent3 2 8 2" xfId="3708"/>
    <cellStyle name="60% - Accent3 2 9" xfId="3709"/>
    <cellStyle name="60% - Accent3 2 9 2" xfId="3710"/>
    <cellStyle name="60% - Accent3 2_Block-F LGF POur-II BBS" xfId="3721"/>
    <cellStyle name="60% - Accent3 20" xfId="3711"/>
    <cellStyle name="60% - Accent3 21" xfId="3712"/>
    <cellStyle name="60% - Accent3 22" xfId="3713"/>
    <cellStyle name="60% - Accent3 23" xfId="3714"/>
    <cellStyle name="60% - Accent3 24" xfId="3715"/>
    <cellStyle name="60% - Accent3 25" xfId="3716"/>
    <cellStyle name="60% - Accent3 26" xfId="3717"/>
    <cellStyle name="60% - Accent3 27" xfId="3718"/>
    <cellStyle name="60% - Accent3 28" xfId="3719"/>
    <cellStyle name="60% - Accent3 29" xfId="3720"/>
    <cellStyle name="60% - Accent3 3" xfId="3722"/>
    <cellStyle name="60% - Accent3 3 2" xfId="3723"/>
    <cellStyle name="60% - Accent3 3 3" xfId="3724"/>
    <cellStyle name="60% - Accent3 3 3 2" xfId="3725"/>
    <cellStyle name="60% - Accent3 3 4" xfId="3726"/>
    <cellStyle name="60% - Accent3 3 4 2" xfId="3727"/>
    <cellStyle name="60% - Accent3 3 5" xfId="3728"/>
    <cellStyle name="60% - Accent3 3 6" xfId="3729"/>
    <cellStyle name="60% - Accent3 3 7" xfId="3730"/>
    <cellStyle name="60% - Accent3 3 8" xfId="3731"/>
    <cellStyle name="60% - Accent3 3_Sheet2" xfId="3742"/>
    <cellStyle name="60% - Accent3 30" xfId="3732"/>
    <cellStyle name="60% - Accent3 31" xfId="3733"/>
    <cellStyle name="60% - Accent3 32" xfId="3734"/>
    <cellStyle name="60% - Accent3 33" xfId="3735"/>
    <cellStyle name="60% - Accent3 34" xfId="3736"/>
    <cellStyle name="60% - Accent3 35" xfId="3737"/>
    <cellStyle name="60% - Accent3 36" xfId="3738"/>
    <cellStyle name="60% - Accent3 37" xfId="3739"/>
    <cellStyle name="60% - Accent3 38" xfId="3740"/>
    <cellStyle name="60% - Accent3 39" xfId="3741"/>
    <cellStyle name="60% - Accent3 4" xfId="3743"/>
    <cellStyle name="60% - Accent3 4 2" xfId="3744"/>
    <cellStyle name="60% - Accent3 4 3" xfId="3745"/>
    <cellStyle name="60% - Accent3 4 3 2" xfId="3746"/>
    <cellStyle name="60% - Accent3 4 4" xfId="3747"/>
    <cellStyle name="60% - Accent3 4 4 2" xfId="3748"/>
    <cellStyle name="60% - Accent3 4 5" xfId="3749"/>
    <cellStyle name="60% - Accent3 4 6" xfId="3750"/>
    <cellStyle name="60% - Accent3 4 7" xfId="3751"/>
    <cellStyle name="60% - Accent3 4 8" xfId="3752"/>
    <cellStyle name="60% - Accent3 4_Sheet2" xfId="3753"/>
    <cellStyle name="60% - Accent3 5" xfId="3754"/>
    <cellStyle name="60% - Accent3 5 2" xfId="3755"/>
    <cellStyle name="60% - Accent3 5 2 2" xfId="3756"/>
    <cellStyle name="60% - Accent3 5 3" xfId="3757"/>
    <cellStyle name="60% - Accent3 5 3 2" xfId="3758"/>
    <cellStyle name="60% - Accent3 5 4" xfId="3759"/>
    <cellStyle name="60% - Accent3 5 4 2" xfId="3760"/>
    <cellStyle name="60% - Accent3 5 5" xfId="3761"/>
    <cellStyle name="60% - Accent3 5 6" xfId="3762"/>
    <cellStyle name="60% - Accent3 5 7" xfId="3763"/>
    <cellStyle name="60% - Accent3 5 8" xfId="3764"/>
    <cellStyle name="60% - Accent3 5_Sheet2" xfId="3765"/>
    <cellStyle name="60% - Accent3 6" xfId="3766"/>
    <cellStyle name="60% - Accent3 6 2" xfId="3767"/>
    <cellStyle name="60% - Accent3 6 2 2" xfId="3768"/>
    <cellStyle name="60% - Accent3 6 3" xfId="3769"/>
    <cellStyle name="60% - Accent3 6 3 2" xfId="3770"/>
    <cellStyle name="60% - Accent3 6 4" xfId="3771"/>
    <cellStyle name="60% - Accent3 6 4 2" xfId="3772"/>
    <cellStyle name="60% - Accent3 6 5" xfId="3773"/>
    <cellStyle name="60% - Accent3 6 6" xfId="3774"/>
    <cellStyle name="60% - Accent3 6 7" xfId="3775"/>
    <cellStyle name="60% - Accent3 6 8" xfId="3776"/>
    <cellStyle name="60% - Accent3 6_Sheet2" xfId="3777"/>
    <cellStyle name="60% - Accent3 7" xfId="3778"/>
    <cellStyle name="60% - Accent3 7 2" xfId="3779"/>
    <cellStyle name="60% - Accent3 7 2 2" xfId="3780"/>
    <cellStyle name="60% - Accent3 7 3" xfId="3781"/>
    <cellStyle name="60% - Accent3 7 3 2" xfId="3782"/>
    <cellStyle name="60% - Accent3 7 4" xfId="3783"/>
    <cellStyle name="60% - Accent3 7 4 2" xfId="3784"/>
    <cellStyle name="60% - Accent3 7 5" xfId="3785"/>
    <cellStyle name="60% - Accent3 7 6" xfId="3786"/>
    <cellStyle name="60% - Accent3 7 7" xfId="3787"/>
    <cellStyle name="60% - Accent3 7 8" xfId="3788"/>
    <cellStyle name="60% - Accent3 7_Sheet2" xfId="3789"/>
    <cellStyle name="60% - Accent3 8" xfId="3790"/>
    <cellStyle name="60% - Accent3 8 2" xfId="3791"/>
    <cellStyle name="60% - Accent3 8 3" xfId="3792"/>
    <cellStyle name="60% - Accent3 8 4" xfId="3793"/>
    <cellStyle name="60% - Accent3 8 5" xfId="3794"/>
    <cellStyle name="60% - Accent3 8 6" xfId="3795"/>
    <cellStyle name="60% - Accent3 8 7" xfId="3796"/>
    <cellStyle name="60% - Accent3 8 8" xfId="3797"/>
    <cellStyle name="60% - Accent3 8_Sheet2" xfId="3798"/>
    <cellStyle name="60% - Accent3 9" xfId="3799"/>
    <cellStyle name="60% - Accent3 9 2" xfId="3800"/>
    <cellStyle name="60% - Accent3 9 3" xfId="3801"/>
    <cellStyle name="60% - Accent3 9 4" xfId="3802"/>
    <cellStyle name="60% - Accent3 9 5" xfId="3803"/>
    <cellStyle name="60% - Accent3 9 6" xfId="3804"/>
    <cellStyle name="60% - Accent3 9 7" xfId="3805"/>
    <cellStyle name="60% - Accent3 9 8" xfId="3806"/>
    <cellStyle name="60% - Accent4 1" xfId="3807"/>
    <cellStyle name="60% - Accent4 1 1" xfId="3808"/>
    <cellStyle name="60% - Accent4 10" xfId="3809"/>
    <cellStyle name="60% - Accent4 10 2" xfId="3810"/>
    <cellStyle name="60% - Accent4 10 3" xfId="3811"/>
    <cellStyle name="60% - Accent4 10 4" xfId="3812"/>
    <cellStyle name="60% - Accent4 10 5" xfId="3813"/>
    <cellStyle name="60% - Accent4 10 6" xfId="3814"/>
    <cellStyle name="60% - Accent4 10 7" xfId="3815"/>
    <cellStyle name="60% - Accent4 10 8" xfId="3816"/>
    <cellStyle name="60% - Accent4 11" xfId="3817"/>
    <cellStyle name="60% - Accent4 12" xfId="3818"/>
    <cellStyle name="60% - Accent4 13" xfId="3819"/>
    <cellStyle name="60% - Accent4 14" xfId="3820"/>
    <cellStyle name="60% - Accent4 15" xfId="3821"/>
    <cellStyle name="60% - Accent4 16" xfId="3822"/>
    <cellStyle name="60% - Accent4 17" xfId="3823"/>
    <cellStyle name="60% - Accent4 18" xfId="3824"/>
    <cellStyle name="60% - Accent4 19" xfId="3825"/>
    <cellStyle name="60% - Accent4 2" xfId="3826"/>
    <cellStyle name="60% - Accent4 2 2" xfId="3827"/>
    <cellStyle name="60% - Accent4 2 3" xfId="3828"/>
    <cellStyle name="60% - Accent4 2 3 2" xfId="3829"/>
    <cellStyle name="60% - Accent4 2 4" xfId="3830"/>
    <cellStyle name="60% - Accent4 2 4 2" xfId="3831"/>
    <cellStyle name="60% - Accent4 2 5" xfId="3832"/>
    <cellStyle name="60% - Accent4 2 5 2" xfId="3833"/>
    <cellStyle name="60% - Accent4 2 6" xfId="3834"/>
    <cellStyle name="60% - Accent4 2 7" xfId="3835"/>
    <cellStyle name="60% - Accent4 2 8" xfId="3836"/>
    <cellStyle name="60% - Accent4 2 9" xfId="3837"/>
    <cellStyle name="60% - Accent4 2_Block-F LGF POur-II BBS" xfId="3848"/>
    <cellStyle name="60% - Accent4 20" xfId="3838"/>
    <cellStyle name="60% - Accent4 21" xfId="3839"/>
    <cellStyle name="60% - Accent4 22" xfId="3840"/>
    <cellStyle name="60% - Accent4 23" xfId="3841"/>
    <cellStyle name="60% - Accent4 24" xfId="3842"/>
    <cellStyle name="60% - Accent4 25" xfId="3843"/>
    <cellStyle name="60% - Accent4 26" xfId="3844"/>
    <cellStyle name="60% - Accent4 27" xfId="3845"/>
    <cellStyle name="60% - Accent4 28" xfId="3846"/>
    <cellStyle name="60% - Accent4 29" xfId="3847"/>
    <cellStyle name="60% - Accent4 3" xfId="3849"/>
    <cellStyle name="60% - Accent4 3 2" xfId="3850"/>
    <cellStyle name="60% - Accent4 3 3" xfId="3851"/>
    <cellStyle name="60% - Accent4 3 3 2" xfId="3852"/>
    <cellStyle name="60% - Accent4 3 4" xfId="3853"/>
    <cellStyle name="60% - Accent4 3 4 2" xfId="3854"/>
    <cellStyle name="60% - Accent4 3 4 3" xfId="3855"/>
    <cellStyle name="60% - Accent4 3 5" xfId="3856"/>
    <cellStyle name="60% - Accent4 3 6" xfId="3857"/>
    <cellStyle name="60% - Accent4 3 7" xfId="3858"/>
    <cellStyle name="60% - Accent4 3 8" xfId="3859"/>
    <cellStyle name="60% - Accent4 3_Sheet2" xfId="3870"/>
    <cellStyle name="60% - Accent4 30" xfId="3860"/>
    <cellStyle name="60% - Accent4 31" xfId="3861"/>
    <cellStyle name="60% - Accent4 32" xfId="3862"/>
    <cellStyle name="60% - Accent4 33" xfId="3863"/>
    <cellStyle name="60% - Accent4 34" xfId="3864"/>
    <cellStyle name="60% - Accent4 35" xfId="3865"/>
    <cellStyle name="60% - Accent4 36" xfId="3866"/>
    <cellStyle name="60% - Accent4 37" xfId="3867"/>
    <cellStyle name="60% - Accent4 38" xfId="3868"/>
    <cellStyle name="60% - Accent4 39" xfId="3869"/>
    <cellStyle name="60% - Accent4 4" xfId="3871"/>
    <cellStyle name="60% - Accent4 4 2" xfId="3872"/>
    <cellStyle name="60% - Accent4 4 3" xfId="3873"/>
    <cellStyle name="60% - Accent4 4 3 2" xfId="3874"/>
    <cellStyle name="60% - Accent4 4 4" xfId="3875"/>
    <cellStyle name="60% - Accent4 4 4 2" xfId="3876"/>
    <cellStyle name="60% - Accent4 4 5" xfId="3877"/>
    <cellStyle name="60% - Accent4 4 6" xfId="3878"/>
    <cellStyle name="60% - Accent4 4 7" xfId="3879"/>
    <cellStyle name="60% - Accent4 4 8" xfId="3880"/>
    <cellStyle name="60% - Accent4 4_Sheet2" xfId="3881"/>
    <cellStyle name="60% - Accent4 5" xfId="3882"/>
    <cellStyle name="60% - Accent4 5 2" xfId="3883"/>
    <cellStyle name="60% - Accent4 5 2 2" xfId="3884"/>
    <cellStyle name="60% - Accent4 5 3" xfId="3885"/>
    <cellStyle name="60% - Accent4 5 3 2" xfId="3886"/>
    <cellStyle name="60% - Accent4 5 4" xfId="3887"/>
    <cellStyle name="60% - Accent4 5 4 2" xfId="3888"/>
    <cellStyle name="60% - Accent4 5 5" xfId="3889"/>
    <cellStyle name="60% - Accent4 5 6" xfId="3890"/>
    <cellStyle name="60% - Accent4 5 7" xfId="3891"/>
    <cellStyle name="60% - Accent4 5 8" xfId="3892"/>
    <cellStyle name="60% - Accent4 5_Sheet2" xfId="3893"/>
    <cellStyle name="60% - Accent4 6" xfId="3894"/>
    <cellStyle name="60% - Accent4 6 2" xfId="3895"/>
    <cellStyle name="60% - Accent4 6 2 2" xfId="3896"/>
    <cellStyle name="60% - Accent4 6 3" xfId="3897"/>
    <cellStyle name="60% - Accent4 6 3 2" xfId="3898"/>
    <cellStyle name="60% - Accent4 6 4" xfId="3899"/>
    <cellStyle name="60% - Accent4 6 4 2" xfId="3900"/>
    <cellStyle name="60% - Accent4 6 5" xfId="3901"/>
    <cellStyle name="60% - Accent4 6 6" xfId="3902"/>
    <cellStyle name="60% - Accent4 6 7" xfId="3903"/>
    <cellStyle name="60% - Accent4 6 8" xfId="3904"/>
    <cellStyle name="60% - Accent4 6_Sheet2" xfId="3905"/>
    <cellStyle name="60% - Accent4 7" xfId="3906"/>
    <cellStyle name="60% - Accent4 7 2" xfId="3907"/>
    <cellStyle name="60% - Accent4 7 2 2" xfId="3908"/>
    <cellStyle name="60% - Accent4 7 3" xfId="3909"/>
    <cellStyle name="60% - Accent4 7 3 2" xfId="3910"/>
    <cellStyle name="60% - Accent4 7 4" xfId="3911"/>
    <cellStyle name="60% - Accent4 7 4 2" xfId="3912"/>
    <cellStyle name="60% - Accent4 7 5" xfId="3913"/>
    <cellStyle name="60% - Accent4 7 6" xfId="3914"/>
    <cellStyle name="60% - Accent4 7 7" xfId="3915"/>
    <cellStyle name="60% - Accent4 7 8" xfId="3916"/>
    <cellStyle name="60% - Accent4 7_Sheet2" xfId="3917"/>
    <cellStyle name="60% - Accent4 8" xfId="3918"/>
    <cellStyle name="60% - Accent4 8 2" xfId="3919"/>
    <cellStyle name="60% - Accent4 8 3" xfId="3920"/>
    <cellStyle name="60% - Accent4 8 4" xfId="3921"/>
    <cellStyle name="60% - Accent4 8 5" xfId="3922"/>
    <cellStyle name="60% - Accent4 8 6" xfId="3923"/>
    <cellStyle name="60% - Accent4 8 7" xfId="3924"/>
    <cellStyle name="60% - Accent4 8 8" xfId="3925"/>
    <cellStyle name="60% - Accent4 8_Sheet2" xfId="3926"/>
    <cellStyle name="60% - Accent4 9" xfId="3927"/>
    <cellStyle name="60% - Accent4 9 2" xfId="3928"/>
    <cellStyle name="60% - Accent4 9 3" xfId="3929"/>
    <cellStyle name="60% - Accent4 9 3 2" xfId="3930"/>
    <cellStyle name="60% - Accent4 9 4" xfId="3931"/>
    <cellStyle name="60% - Accent4 9 5" xfId="3932"/>
    <cellStyle name="60% - Accent4 9 6" xfId="3933"/>
    <cellStyle name="60% - Accent4 9 7" xfId="3934"/>
    <cellStyle name="60% - Accent4 9 8" xfId="3935"/>
    <cellStyle name="60% - Accent5 1" xfId="3936"/>
    <cellStyle name="60% - Accent5 1 1" xfId="3937"/>
    <cellStyle name="60% - Accent5 10" xfId="3938"/>
    <cellStyle name="60% - Accent5 10 2" xfId="3939"/>
    <cellStyle name="60% - Accent5 10 3" xfId="3940"/>
    <cellStyle name="60% - Accent5 10 4" xfId="3941"/>
    <cellStyle name="60% - Accent5 10 5" xfId="3942"/>
    <cellStyle name="60% - Accent5 10 6" xfId="3943"/>
    <cellStyle name="60% - Accent5 10 7" xfId="3944"/>
    <cellStyle name="60% - Accent5 10 8" xfId="3945"/>
    <cellStyle name="60% - Accent5 11" xfId="3946"/>
    <cellStyle name="60% - Accent5 12" xfId="3947"/>
    <cellStyle name="60% - Accent5 13" xfId="3948"/>
    <cellStyle name="60% - Accent5 14" xfId="3949"/>
    <cellStyle name="60% - Accent5 15" xfId="3950"/>
    <cellStyle name="60% - Accent5 16" xfId="3951"/>
    <cellStyle name="60% - Accent5 17" xfId="3952"/>
    <cellStyle name="60% - Accent5 18" xfId="3953"/>
    <cellStyle name="60% - Accent5 19" xfId="3954"/>
    <cellStyle name="60% - Accent5 2" xfId="3955"/>
    <cellStyle name="60% - Accent5 2 2" xfId="3956"/>
    <cellStyle name="60% - Accent5 2 3" xfId="3957"/>
    <cellStyle name="60% - Accent5 2 3 2" xfId="3958"/>
    <cellStyle name="60% - Accent5 2 4" xfId="3959"/>
    <cellStyle name="60% - Accent5 2 4 2" xfId="3960"/>
    <cellStyle name="60% - Accent5 2 5" xfId="3961"/>
    <cellStyle name="60% - Accent5 2 5 2" xfId="3962"/>
    <cellStyle name="60% - Accent5 2 6" xfId="3963"/>
    <cellStyle name="60% - Accent5 2 7" xfId="3964"/>
    <cellStyle name="60% - Accent5 2 8" xfId="3965"/>
    <cellStyle name="60% - Accent5 2 9" xfId="3966"/>
    <cellStyle name="60% - Accent5 2_Block-F LGF POur-II BBS" xfId="3977"/>
    <cellStyle name="60% - Accent5 20" xfId="3967"/>
    <cellStyle name="60% - Accent5 21" xfId="3968"/>
    <cellStyle name="60% - Accent5 22" xfId="3969"/>
    <cellStyle name="60% - Accent5 23" xfId="3970"/>
    <cellStyle name="60% - Accent5 24" xfId="3971"/>
    <cellStyle name="60% - Accent5 25" xfId="3972"/>
    <cellStyle name="60% - Accent5 26" xfId="3973"/>
    <cellStyle name="60% - Accent5 27" xfId="3974"/>
    <cellStyle name="60% - Accent5 28" xfId="3975"/>
    <cellStyle name="60% - Accent5 29" xfId="3976"/>
    <cellStyle name="60% - Accent5 3" xfId="3978"/>
    <cellStyle name="60% - Accent5 3 2" xfId="3979"/>
    <cellStyle name="60% - Accent5 3 3" xfId="3980"/>
    <cellStyle name="60% - Accent5 3 3 2" xfId="3981"/>
    <cellStyle name="60% - Accent5 3 4" xfId="3982"/>
    <cellStyle name="60% - Accent5 3 4 2" xfId="3983"/>
    <cellStyle name="60% - Accent5 3 5" xfId="3984"/>
    <cellStyle name="60% - Accent5 3 6" xfId="3985"/>
    <cellStyle name="60% - Accent5 3 7" xfId="3986"/>
    <cellStyle name="60% - Accent5 3 8" xfId="3987"/>
    <cellStyle name="60% - Accent5 3_Sheet2" xfId="3998"/>
    <cellStyle name="60% - Accent5 30" xfId="3988"/>
    <cellStyle name="60% - Accent5 31" xfId="3989"/>
    <cellStyle name="60% - Accent5 32" xfId="3990"/>
    <cellStyle name="60% - Accent5 33" xfId="3991"/>
    <cellStyle name="60% - Accent5 34" xfId="3992"/>
    <cellStyle name="60% - Accent5 35" xfId="3993"/>
    <cellStyle name="60% - Accent5 36" xfId="3994"/>
    <cellStyle name="60% - Accent5 37" xfId="3995"/>
    <cellStyle name="60% - Accent5 38" xfId="3996"/>
    <cellStyle name="60% - Accent5 39" xfId="3997"/>
    <cellStyle name="60% - Accent5 4" xfId="3999"/>
    <cellStyle name="60% - Accent5 4 2" xfId="4000"/>
    <cellStyle name="60% - Accent5 4 3" xfId="4001"/>
    <cellStyle name="60% - Accent5 4 3 2" xfId="4002"/>
    <cellStyle name="60% - Accent5 4 4" xfId="4003"/>
    <cellStyle name="60% - Accent5 4 4 2" xfId="4004"/>
    <cellStyle name="60% - Accent5 4 5" xfId="4005"/>
    <cellStyle name="60% - Accent5 4 6" xfId="4006"/>
    <cellStyle name="60% - Accent5 4 7" xfId="4007"/>
    <cellStyle name="60% - Accent5 4 8" xfId="4008"/>
    <cellStyle name="60% - Accent5 4_Sheet2" xfId="4009"/>
    <cellStyle name="60% - Accent5 5" xfId="4010"/>
    <cellStyle name="60% - Accent5 5 2" xfId="4011"/>
    <cellStyle name="60% - Accent5 5 2 2" xfId="4012"/>
    <cellStyle name="60% - Accent5 5 3" xfId="4013"/>
    <cellStyle name="60% - Accent5 5 3 2" xfId="4014"/>
    <cellStyle name="60% - Accent5 5 4" xfId="4015"/>
    <cellStyle name="60% - Accent5 5 4 2" xfId="4016"/>
    <cellStyle name="60% - Accent5 5 5" xfId="4017"/>
    <cellStyle name="60% - Accent5 5 6" xfId="4018"/>
    <cellStyle name="60% - Accent5 5 7" xfId="4019"/>
    <cellStyle name="60% - Accent5 5 8" xfId="4020"/>
    <cellStyle name="60% - Accent5 5_Sheet2" xfId="4021"/>
    <cellStyle name="60% - Accent5 6" xfId="4022"/>
    <cellStyle name="60% - Accent5 6 2" xfId="4023"/>
    <cellStyle name="60% - Accent5 6 2 2" xfId="4024"/>
    <cellStyle name="60% - Accent5 6 3" xfId="4025"/>
    <cellStyle name="60% - Accent5 6 3 2" xfId="4026"/>
    <cellStyle name="60% - Accent5 6 4" xfId="4027"/>
    <cellStyle name="60% - Accent5 6 4 2" xfId="4028"/>
    <cellStyle name="60% - Accent5 6 5" xfId="4029"/>
    <cellStyle name="60% - Accent5 6 6" xfId="4030"/>
    <cellStyle name="60% - Accent5 6 7" xfId="4031"/>
    <cellStyle name="60% - Accent5 6 8" xfId="4032"/>
    <cellStyle name="60% - Accent5 6_Sheet2" xfId="4033"/>
    <cellStyle name="60% - Accent5 7" xfId="4034"/>
    <cellStyle name="60% - Accent5 7 2" xfId="4035"/>
    <cellStyle name="60% - Accent5 7 2 2" xfId="4036"/>
    <cellStyle name="60% - Accent5 7 3" xfId="4037"/>
    <cellStyle name="60% - Accent5 7 3 2" xfId="4038"/>
    <cellStyle name="60% - Accent5 7 4" xfId="4039"/>
    <cellStyle name="60% - Accent5 7 4 2" xfId="4040"/>
    <cellStyle name="60% - Accent5 7 5" xfId="4041"/>
    <cellStyle name="60% - Accent5 7 6" xfId="4042"/>
    <cellStyle name="60% - Accent5 7 7" xfId="4043"/>
    <cellStyle name="60% - Accent5 7 8" xfId="4044"/>
    <cellStyle name="60% - Accent5 7_Sheet2" xfId="4045"/>
    <cellStyle name="60% - Accent5 8" xfId="4046"/>
    <cellStyle name="60% - Accent5 8 2" xfId="4047"/>
    <cellStyle name="60% - Accent5 8 3" xfId="4048"/>
    <cellStyle name="60% - Accent5 8 4" xfId="4049"/>
    <cellStyle name="60% - Accent5 8 5" xfId="4050"/>
    <cellStyle name="60% - Accent5 8 6" xfId="4051"/>
    <cellStyle name="60% - Accent5 8 7" xfId="4052"/>
    <cellStyle name="60% - Accent5 8 8" xfId="4053"/>
    <cellStyle name="60% - Accent5 8_Sheet2" xfId="4054"/>
    <cellStyle name="60% - Accent5 9" xfId="4055"/>
    <cellStyle name="60% - Accent5 9 2" xfId="4056"/>
    <cellStyle name="60% - Accent5 9 3" xfId="4057"/>
    <cellStyle name="60% - Accent5 9 4" xfId="4058"/>
    <cellStyle name="60% - Accent5 9 5" xfId="4059"/>
    <cellStyle name="60% - Accent5 9 6" xfId="4060"/>
    <cellStyle name="60% - Accent5 9 7" xfId="4061"/>
    <cellStyle name="60% - Accent5 9 8" xfId="4062"/>
    <cellStyle name="60% - Accent6 1" xfId="4063"/>
    <cellStyle name="60% - Accent6 1 1" xfId="4064"/>
    <cellStyle name="60% - Accent6 1_Building_-_5-final_Price_Variation(1)" xfId="4082"/>
    <cellStyle name="60% - Accent6 10" xfId="4065"/>
    <cellStyle name="60% - Accent6 10 2" xfId="4066"/>
    <cellStyle name="60% - Accent6 10 3" xfId="4067"/>
    <cellStyle name="60% - Accent6 10 4" xfId="4068"/>
    <cellStyle name="60% - Accent6 10 5" xfId="4069"/>
    <cellStyle name="60% - Accent6 10 6" xfId="4070"/>
    <cellStyle name="60% - Accent6 10 7" xfId="4071"/>
    <cellStyle name="60% - Accent6 10 8" xfId="4072"/>
    <cellStyle name="60% - Accent6 11" xfId="4073"/>
    <cellStyle name="60% - Accent6 12" xfId="4074"/>
    <cellStyle name="60% - Accent6 13" xfId="4075"/>
    <cellStyle name="60% - Accent6 14" xfId="4076"/>
    <cellStyle name="60% - Accent6 15" xfId="4077"/>
    <cellStyle name="60% - Accent6 16" xfId="4078"/>
    <cellStyle name="60% - Accent6 17" xfId="4079"/>
    <cellStyle name="60% - Accent6 18" xfId="4080"/>
    <cellStyle name="60% - Accent6 19" xfId="4081"/>
    <cellStyle name="60% - Accent6 2" xfId="4083"/>
    <cellStyle name="60% - Accent6 2 2" xfId="4084"/>
    <cellStyle name="60% - Accent6 2 3" xfId="4085"/>
    <cellStyle name="60% - Accent6 2 3 2" xfId="4086"/>
    <cellStyle name="60% - Accent6 2 4" xfId="4087"/>
    <cellStyle name="60% - Accent6 2 4 2" xfId="4088"/>
    <cellStyle name="60% - Accent6 2 5" xfId="4089"/>
    <cellStyle name="60% - Accent6 2 5 2" xfId="4090"/>
    <cellStyle name="60% - Accent6 2 6" xfId="4091"/>
    <cellStyle name="60% - Accent6 2 7" xfId="4092"/>
    <cellStyle name="60% - Accent6 2 8" xfId="4093"/>
    <cellStyle name="60% - Accent6 2 9" xfId="4094"/>
    <cellStyle name="60% - Accent6 2_Block-F LGF POur-II BBS" xfId="4105"/>
    <cellStyle name="60% - Accent6 20" xfId="4095"/>
    <cellStyle name="60% - Accent6 21" xfId="4096"/>
    <cellStyle name="60% - Accent6 22" xfId="4097"/>
    <cellStyle name="60% - Accent6 23" xfId="4098"/>
    <cellStyle name="60% - Accent6 24" xfId="4099"/>
    <cellStyle name="60% - Accent6 25" xfId="4100"/>
    <cellStyle name="60% - Accent6 26" xfId="4101"/>
    <cellStyle name="60% - Accent6 27" xfId="4102"/>
    <cellStyle name="60% - Accent6 28" xfId="4103"/>
    <cellStyle name="60% - Accent6 29" xfId="4104"/>
    <cellStyle name="60% - Accent6 3" xfId="4106"/>
    <cellStyle name="60% - Accent6 3 2" xfId="4107"/>
    <cellStyle name="60% - Accent6 3 3" xfId="4108"/>
    <cellStyle name="60% - Accent6 3 3 2" xfId="4109"/>
    <cellStyle name="60% - Accent6 3 4" xfId="4110"/>
    <cellStyle name="60% - Accent6 3 4 2" xfId="4111"/>
    <cellStyle name="60% - Accent6 3 5" xfId="4112"/>
    <cellStyle name="60% - Accent6 3 6" xfId="4113"/>
    <cellStyle name="60% - Accent6 3 7" xfId="4114"/>
    <cellStyle name="60% - Accent6 3 8" xfId="4115"/>
    <cellStyle name="60% - Accent6 3_Sheet2" xfId="4126"/>
    <cellStyle name="60% - Accent6 30" xfId="4116"/>
    <cellStyle name="60% - Accent6 31" xfId="4117"/>
    <cellStyle name="60% - Accent6 32" xfId="4118"/>
    <cellStyle name="60% - Accent6 33" xfId="4119"/>
    <cellStyle name="60% - Accent6 34" xfId="4120"/>
    <cellStyle name="60% - Accent6 35" xfId="4121"/>
    <cellStyle name="60% - Accent6 36" xfId="4122"/>
    <cellStyle name="60% - Accent6 37" xfId="4123"/>
    <cellStyle name="60% - Accent6 38" xfId="4124"/>
    <cellStyle name="60% - Accent6 39" xfId="4125"/>
    <cellStyle name="60% - Accent6 4" xfId="4127"/>
    <cellStyle name="60% - Accent6 4 2" xfId="4128"/>
    <cellStyle name="60% - Accent6 4 3" xfId="4129"/>
    <cellStyle name="60% - Accent6 4 3 2" xfId="4130"/>
    <cellStyle name="60% - Accent6 4 4" xfId="4131"/>
    <cellStyle name="60% - Accent6 4 4 2" xfId="4132"/>
    <cellStyle name="60% - Accent6 4 5" xfId="4133"/>
    <cellStyle name="60% - Accent6 4 6" xfId="4134"/>
    <cellStyle name="60% - Accent6 4 7" xfId="4135"/>
    <cellStyle name="60% - Accent6 4 8" xfId="4136"/>
    <cellStyle name="60% - Accent6 4_Sheet2" xfId="4137"/>
    <cellStyle name="60% - Accent6 5" xfId="4138"/>
    <cellStyle name="60% - Accent6 5 2" xfId="4139"/>
    <cellStyle name="60% - Accent6 5 2 2" xfId="4140"/>
    <cellStyle name="60% - Accent6 5 3" xfId="4141"/>
    <cellStyle name="60% - Accent6 5 3 2" xfId="4142"/>
    <cellStyle name="60% - Accent6 5 4" xfId="4143"/>
    <cellStyle name="60% - Accent6 5 4 2" xfId="4144"/>
    <cellStyle name="60% - Accent6 5 5" xfId="4145"/>
    <cellStyle name="60% - Accent6 5 6" xfId="4146"/>
    <cellStyle name="60% - Accent6 5 7" xfId="4147"/>
    <cellStyle name="60% - Accent6 5 8" xfId="4148"/>
    <cellStyle name="60% - Accent6 5 8 2" xfId="4149"/>
    <cellStyle name="60% - Accent6 5_Sheet2" xfId="4150"/>
    <cellStyle name="60% - Accent6 6" xfId="4151"/>
    <cellStyle name="60% - Accent6 6 2" xfId="4152"/>
    <cellStyle name="60% - Accent6 6 2 2" xfId="4153"/>
    <cellStyle name="60% - Accent6 6 3" xfId="4154"/>
    <cellStyle name="60% - Accent6 6 3 2" xfId="4155"/>
    <cellStyle name="60% - Accent6 6 4" xfId="4156"/>
    <cellStyle name="60% - Accent6 6 4 2" xfId="4157"/>
    <cellStyle name="60% - Accent6 6 5" xfId="4158"/>
    <cellStyle name="60% - Accent6 6 6" xfId="4159"/>
    <cellStyle name="60% - Accent6 6 7" xfId="4160"/>
    <cellStyle name="60% - Accent6 6 8" xfId="4161"/>
    <cellStyle name="60% - Accent6 6_Sheet2" xfId="4162"/>
    <cellStyle name="60% - Accent6 7" xfId="4163"/>
    <cellStyle name="60% - Accent6 7 2" xfId="4164"/>
    <cellStyle name="60% - Accent6 7 2 2" xfId="4165"/>
    <cellStyle name="60% - Accent6 7 3" xfId="4166"/>
    <cellStyle name="60% - Accent6 7 3 2" xfId="4167"/>
    <cellStyle name="60% - Accent6 7 4" xfId="4168"/>
    <cellStyle name="60% - Accent6 7 4 2" xfId="4169"/>
    <cellStyle name="60% - Accent6 7 5" xfId="4170"/>
    <cellStyle name="60% - Accent6 7 6" xfId="4171"/>
    <cellStyle name="60% - Accent6 7 7" xfId="4172"/>
    <cellStyle name="60% - Accent6 7 8" xfId="4173"/>
    <cellStyle name="60% - Accent6 7_Sheet2" xfId="4174"/>
    <cellStyle name="60% - Accent6 8" xfId="4175"/>
    <cellStyle name="60% - Accent6 8 2" xfId="4176"/>
    <cellStyle name="60% - Accent6 8 3" xfId="4177"/>
    <cellStyle name="60% - Accent6 8 4" xfId="4178"/>
    <cellStyle name="60% - Accent6 8 5" xfId="4179"/>
    <cellStyle name="60% - Accent6 8 5 2" xfId="4180"/>
    <cellStyle name="60% - Accent6 8 6" xfId="4181"/>
    <cellStyle name="60% - Accent6 8 7" xfId="4182"/>
    <cellStyle name="60% - Accent6 8 8" xfId="4183"/>
    <cellStyle name="60% - Accent6 8_Sheet2" xfId="4184"/>
    <cellStyle name="60% - Accent6 9" xfId="4185"/>
    <cellStyle name="60% - Accent6 9 2" xfId="4186"/>
    <cellStyle name="60% - Accent6 9 3" xfId="4187"/>
    <cellStyle name="60% - Accent6 9 4" xfId="4188"/>
    <cellStyle name="60% - Accent6 9 5" xfId="4189"/>
    <cellStyle name="60% - Accent6 9 6" xfId="4190"/>
    <cellStyle name="60% - Accent6 9 7" xfId="4191"/>
    <cellStyle name="60% - Accent6 9 8" xfId="4192"/>
    <cellStyle name="60% - Akzent1" xfId="4193"/>
    <cellStyle name="60% - Akzent2" xfId="4194"/>
    <cellStyle name="60% - Akzent3" xfId="4195"/>
    <cellStyle name="60% - Akzent4" xfId="4196"/>
    <cellStyle name="60% - Akzent5" xfId="4197"/>
    <cellStyle name="60% - Akzent6" xfId="4198"/>
    <cellStyle name="75" xfId="4199"/>
    <cellStyle name="75 2" xfId="4200"/>
    <cellStyle name="75 2 2" xfId="4201"/>
    <cellStyle name="75 2 3" xfId="4202"/>
    <cellStyle name="75 2 4" xfId="4203"/>
    <cellStyle name="75_Extra items Diff" xfId="4204"/>
    <cellStyle name="A satisfied Microsoft Office user" xfId="5596"/>
    <cellStyle name="A3 297 x 420 mm" xfId="5597"/>
    <cellStyle name="A4 Small 210 x 297 mm" xfId="5598"/>
    <cellStyle name="abc" xfId="5599"/>
    <cellStyle name="abc 2" xfId="5600"/>
    <cellStyle name="abc 3" xfId="5601"/>
    <cellStyle name="abc 4" xfId="5602"/>
    <cellStyle name="abc 5" xfId="5603"/>
    <cellStyle name="abc 6" xfId="5604"/>
    <cellStyle name="abc 7" xfId="5605"/>
    <cellStyle name="Absoloute" xfId="5606"/>
    <cellStyle name="Absoloute;0" xfId="5607"/>
    <cellStyle name="Absoloute_artek98" xfId="5608"/>
    <cellStyle name="Accent 1 1" xfId="5609"/>
    <cellStyle name="Accent 1 2" xfId="5610"/>
    <cellStyle name="Accent 1 3" xfId="5611"/>
    <cellStyle name="Accent 1 7" xfId="5612"/>
    <cellStyle name="Accent 1 8" xfId="5613"/>
    <cellStyle name="Accent 2 1" xfId="5614"/>
    <cellStyle name="Accent 2 2" xfId="5615"/>
    <cellStyle name="Accent 2 3" xfId="5616"/>
    <cellStyle name="Accent 2 8" xfId="5617"/>
    <cellStyle name="Accent 2 9" xfId="5618"/>
    <cellStyle name="Accent 3 1" xfId="5619"/>
    <cellStyle name="Accent 3 10" xfId="5620"/>
    <cellStyle name="Accent 3 2" xfId="5621"/>
    <cellStyle name="Accent 3 3" xfId="5622"/>
    <cellStyle name="Accent 3 9" xfId="5623"/>
    <cellStyle name="Accent 4" xfId="5624"/>
    <cellStyle name="Accent 5" xfId="5625"/>
    <cellStyle name="Accent 6" xfId="5626"/>
    <cellStyle name="Accent 7" xfId="5627"/>
    <cellStyle name="Accent1 - 20%" xfId="5628"/>
    <cellStyle name="Accent1 - 20% 2" xfId="5629"/>
    <cellStyle name="Accent1 - 20% 2 2" xfId="5630"/>
    <cellStyle name="Accent1 - 20% 2 3" xfId="5631"/>
    <cellStyle name="Accent1 - 20% 3" xfId="5632"/>
    <cellStyle name="Accent1 - 20% 4" xfId="5633"/>
    <cellStyle name="Accent1 - 20%_APSWRSC-Kalasamudram" xfId="5634"/>
    <cellStyle name="Accent1 - 40%" xfId="5635"/>
    <cellStyle name="Accent1 - 40% 2" xfId="5636"/>
    <cellStyle name="Accent1 - 40% 2 2" xfId="5637"/>
    <cellStyle name="Accent1 - 40% 2 3" xfId="5638"/>
    <cellStyle name="Accent1 - 40% 3" xfId="5639"/>
    <cellStyle name="Accent1 - 40% 3 2" xfId="5640"/>
    <cellStyle name="Accent1 - 40% 4" xfId="5641"/>
    <cellStyle name="Accent1 - 40%_APSWRSC-Kalasamudram" xfId="5642"/>
    <cellStyle name="Accent1 - 60%" xfId="5643"/>
    <cellStyle name="Accent1 1" xfId="5644"/>
    <cellStyle name="Accent1 1 1" xfId="5645"/>
    <cellStyle name="Accent1 10" xfId="5646"/>
    <cellStyle name="Accent1 10 10" xfId="5647"/>
    <cellStyle name="Accent1 10 11" xfId="5648"/>
    <cellStyle name="Accent1 10 12" xfId="5649"/>
    <cellStyle name="Accent1 10 13" xfId="5650"/>
    <cellStyle name="Accent1 10 14" xfId="5651"/>
    <cellStyle name="Accent1 10 15" xfId="5652"/>
    <cellStyle name="Accent1 10 16" xfId="5653"/>
    <cellStyle name="Accent1 10 2" xfId="5654"/>
    <cellStyle name="Accent1 10 3" xfId="5655"/>
    <cellStyle name="Accent1 10 4" xfId="5656"/>
    <cellStyle name="Accent1 10 5" xfId="5657"/>
    <cellStyle name="Accent1 10 6" xfId="5658"/>
    <cellStyle name="Accent1 10 7" xfId="5659"/>
    <cellStyle name="Accent1 10 8" xfId="5660"/>
    <cellStyle name="Accent1 10 9" xfId="5661"/>
    <cellStyle name="Accent1 11" xfId="5662"/>
    <cellStyle name="Accent1 11 2" xfId="5663"/>
    <cellStyle name="Accent1 11 3" xfId="5664"/>
    <cellStyle name="Accent1 11 4" xfId="5665"/>
    <cellStyle name="Accent1 11 5" xfId="5666"/>
    <cellStyle name="Accent1 11 6" xfId="5667"/>
    <cellStyle name="Accent1 11 7" xfId="5668"/>
    <cellStyle name="Accent1 11 8" xfId="5669"/>
    <cellStyle name="Accent1 11 9" xfId="5670"/>
    <cellStyle name="Accent1 12" xfId="5671"/>
    <cellStyle name="Accent1 12 2" xfId="5672"/>
    <cellStyle name="Accent1 12 3" xfId="5673"/>
    <cellStyle name="Accent1 12 4" xfId="5674"/>
    <cellStyle name="Accent1 12 5" xfId="5675"/>
    <cellStyle name="Accent1 12 6" xfId="5676"/>
    <cellStyle name="Accent1 12 7" xfId="5677"/>
    <cellStyle name="Accent1 12 8" xfId="5678"/>
    <cellStyle name="Accent1 12 9" xfId="5679"/>
    <cellStyle name="Accent1 13" xfId="5680"/>
    <cellStyle name="Accent1 13 2" xfId="5681"/>
    <cellStyle name="Accent1 13 3" xfId="5682"/>
    <cellStyle name="Accent1 13 4" xfId="5683"/>
    <cellStyle name="Accent1 13 5" xfId="5684"/>
    <cellStyle name="Accent1 13 6" xfId="5685"/>
    <cellStyle name="Accent1 13 7" xfId="5686"/>
    <cellStyle name="Accent1 13 8" xfId="5687"/>
    <cellStyle name="Accent1 13 9" xfId="5688"/>
    <cellStyle name="Accent1 14" xfId="5689"/>
    <cellStyle name="Accent1 14 2" xfId="5690"/>
    <cellStyle name="Accent1 14 3" xfId="5691"/>
    <cellStyle name="Accent1 14 4" xfId="5692"/>
    <cellStyle name="Accent1 14 5" xfId="5693"/>
    <cellStyle name="Accent1 14 6" xfId="5694"/>
    <cellStyle name="Accent1 14 7" xfId="5695"/>
    <cellStyle name="Accent1 14 8" xfId="5696"/>
    <cellStyle name="Accent1 14 9" xfId="5697"/>
    <cellStyle name="Accent1 15" xfId="5698"/>
    <cellStyle name="Accent1 15 2" xfId="5699"/>
    <cellStyle name="Accent1 15 3" xfId="5700"/>
    <cellStyle name="Accent1 15 4" xfId="5701"/>
    <cellStyle name="Accent1 15 5" xfId="5702"/>
    <cellStyle name="Accent1 15 6" xfId="5703"/>
    <cellStyle name="Accent1 15 7" xfId="5704"/>
    <cellStyle name="Accent1 15 8" xfId="5705"/>
    <cellStyle name="Accent1 15 9" xfId="5706"/>
    <cellStyle name="Accent1 16" xfId="5707"/>
    <cellStyle name="Accent1 16 2" xfId="5708"/>
    <cellStyle name="Accent1 16 3" xfId="5709"/>
    <cellStyle name="Accent1 16 4" xfId="5710"/>
    <cellStyle name="Accent1 16 5" xfId="5711"/>
    <cellStyle name="Accent1 16 6" xfId="5712"/>
    <cellStyle name="Accent1 16 7" xfId="5713"/>
    <cellStyle name="Accent1 16 8" xfId="5714"/>
    <cellStyle name="Accent1 16 9" xfId="5715"/>
    <cellStyle name="Accent1 17" xfId="5716"/>
    <cellStyle name="Accent1 18" xfId="5717"/>
    <cellStyle name="Accent1 19" xfId="5718"/>
    <cellStyle name="Accent1 2" xfId="5719"/>
    <cellStyle name="Accent1 2 2" xfId="5720"/>
    <cellStyle name="Accent1 2 2 2" xfId="5721"/>
    <cellStyle name="Accent1 2 2 2 2" xfId="5722"/>
    <cellStyle name="Accent1 2 2 3" xfId="5723"/>
    <cellStyle name="Accent1 2 2 4" xfId="5724"/>
    <cellStyle name="Accent1 2 2 5" xfId="5725"/>
    <cellStyle name="Accent1 2 2 6" xfId="5726"/>
    <cellStyle name="Accent1 2 2 7" xfId="5727"/>
    <cellStyle name="Accent1 2 2 8" xfId="5728"/>
    <cellStyle name="Accent1 2 2 9" xfId="5729"/>
    <cellStyle name="Accent1 2 3" xfId="5730"/>
    <cellStyle name="Accent1 2 3 2" xfId="5731"/>
    <cellStyle name="Accent1 2 4" xfId="5732"/>
    <cellStyle name="Accent1 2 4 2" xfId="5733"/>
    <cellStyle name="Accent1 2 5" xfId="5734"/>
    <cellStyle name="Accent1 2 5 2" xfId="5735"/>
    <cellStyle name="Accent1 2 6" xfId="5736"/>
    <cellStyle name="Accent1 2 7" xfId="5737"/>
    <cellStyle name="Accent1 2 8" xfId="5738"/>
    <cellStyle name="Accent1 2 9" xfId="5739"/>
    <cellStyle name="Accent1 2_Block-F LGF POur-II BBS" xfId="5750"/>
    <cellStyle name="Accent1 20" xfId="5740"/>
    <cellStyle name="Accent1 21" xfId="5741"/>
    <cellStyle name="Accent1 22" xfId="5742"/>
    <cellStyle name="Accent1 23" xfId="5743"/>
    <cellStyle name="Accent1 24" xfId="5744"/>
    <cellStyle name="Accent1 25" xfId="5745"/>
    <cellStyle name="Accent1 26" xfId="5746"/>
    <cellStyle name="Accent1 27" xfId="5747"/>
    <cellStyle name="Accent1 28" xfId="5748"/>
    <cellStyle name="Accent1 29" xfId="5749"/>
    <cellStyle name="Accent1 3" xfId="5751"/>
    <cellStyle name="Accent1 3 2" xfId="5752"/>
    <cellStyle name="Accent1 3 2 2" xfId="5753"/>
    <cellStyle name="Accent1 3 2 3" xfId="5754"/>
    <cellStyle name="Accent1 3 2 4" xfId="5755"/>
    <cellStyle name="Accent1 3 2 5" xfId="5756"/>
    <cellStyle name="Accent1 3 2 6" xfId="5757"/>
    <cellStyle name="Accent1 3 2 7" xfId="5758"/>
    <cellStyle name="Accent1 3 2 8" xfId="5759"/>
    <cellStyle name="Accent1 3 2 9" xfId="5760"/>
    <cellStyle name="Accent1 3 3" xfId="5761"/>
    <cellStyle name="Accent1 3 3 2" xfId="5762"/>
    <cellStyle name="Accent1 3 4" xfId="5763"/>
    <cellStyle name="Accent1 3 4 2" xfId="5764"/>
    <cellStyle name="Accent1 3 5" xfId="5765"/>
    <cellStyle name="Accent1 3 6" xfId="5766"/>
    <cellStyle name="Accent1 3 7" xfId="5767"/>
    <cellStyle name="Accent1 3 8" xfId="5768"/>
    <cellStyle name="Accent1 3_Ramadugu_ SWGH" xfId="5779"/>
    <cellStyle name="Accent1 30" xfId="5769"/>
    <cellStyle name="Accent1 31" xfId="5770"/>
    <cellStyle name="Accent1 32" xfId="5771"/>
    <cellStyle name="Accent1 33" xfId="5772"/>
    <cellStyle name="Accent1 34" xfId="5773"/>
    <cellStyle name="Accent1 35" xfId="5774"/>
    <cellStyle name="Accent1 36" xfId="5775"/>
    <cellStyle name="Accent1 37" xfId="5776"/>
    <cellStyle name="Accent1 38" xfId="5777"/>
    <cellStyle name="Accent1 39" xfId="5778"/>
    <cellStyle name="Accent1 4" xfId="5780"/>
    <cellStyle name="Accent1 4 10" xfId="5781"/>
    <cellStyle name="Accent1 4 11" xfId="5782"/>
    <cellStyle name="Accent1 4 12" xfId="5783"/>
    <cellStyle name="Accent1 4 13" xfId="5784"/>
    <cellStyle name="Accent1 4 14" xfId="5785"/>
    <cellStyle name="Accent1 4 15" xfId="5786"/>
    <cellStyle name="Accent1 4 16" xfId="5787"/>
    <cellStyle name="Accent1 4 2" xfId="5788"/>
    <cellStyle name="Accent1 4 2 2" xfId="5789"/>
    <cellStyle name="Accent1 4 3" xfId="5790"/>
    <cellStyle name="Accent1 4 3 2" xfId="5791"/>
    <cellStyle name="Accent1 4 4" xfId="5792"/>
    <cellStyle name="Accent1 4 4 2" xfId="5793"/>
    <cellStyle name="Accent1 4 5" xfId="5794"/>
    <cellStyle name="Accent1 4 6" xfId="5795"/>
    <cellStyle name="Accent1 4 7" xfId="5796"/>
    <cellStyle name="Accent1 4 8" xfId="5797"/>
    <cellStyle name="Accent1 4 9" xfId="5798"/>
    <cellStyle name="Accent1 4_Sheet2" xfId="5809"/>
    <cellStyle name="Accent1 40" xfId="5799"/>
    <cellStyle name="Accent1 41" xfId="5800"/>
    <cellStyle name="Accent1 42" xfId="5801"/>
    <cellStyle name="Accent1 43" xfId="5802"/>
    <cellStyle name="Accent1 44" xfId="5803"/>
    <cellStyle name="Accent1 45" xfId="5804"/>
    <cellStyle name="Accent1 46" xfId="5805"/>
    <cellStyle name="Accent1 47" xfId="5806"/>
    <cellStyle name="Accent1 48" xfId="5807"/>
    <cellStyle name="Accent1 49" xfId="5808"/>
    <cellStyle name="Accent1 5" xfId="5810"/>
    <cellStyle name="Accent1 5 10" xfId="5811"/>
    <cellStyle name="Accent1 5 11" xfId="5812"/>
    <cellStyle name="Accent1 5 12" xfId="5813"/>
    <cellStyle name="Accent1 5 13" xfId="5814"/>
    <cellStyle name="Accent1 5 14" xfId="5815"/>
    <cellStyle name="Accent1 5 15" xfId="5816"/>
    <cellStyle name="Accent1 5 16" xfId="5817"/>
    <cellStyle name="Accent1 5 2" xfId="5818"/>
    <cellStyle name="Accent1 5 2 2" xfId="5819"/>
    <cellStyle name="Accent1 5 3" xfId="5820"/>
    <cellStyle name="Accent1 5 3 2" xfId="5821"/>
    <cellStyle name="Accent1 5 4" xfId="5822"/>
    <cellStyle name="Accent1 5 4 2" xfId="5823"/>
    <cellStyle name="Accent1 5 5" xfId="5824"/>
    <cellStyle name="Accent1 5 6" xfId="5825"/>
    <cellStyle name="Accent1 5 7" xfId="5826"/>
    <cellStyle name="Accent1 5 8" xfId="5827"/>
    <cellStyle name="Accent1 5 9" xfId="5828"/>
    <cellStyle name="Accent1 5_Sheet2" xfId="5833"/>
    <cellStyle name="Accent1 50" xfId="5829"/>
    <cellStyle name="Accent1 51" xfId="5830"/>
    <cellStyle name="Accent1 52" xfId="5831"/>
    <cellStyle name="Accent1 53" xfId="5832"/>
    <cellStyle name="Accent1 6" xfId="5834"/>
    <cellStyle name="Accent1 6 10" xfId="5835"/>
    <cellStyle name="Accent1 6 11" xfId="5836"/>
    <cellStyle name="Accent1 6 12" xfId="5837"/>
    <cellStyle name="Accent1 6 13" xfId="5838"/>
    <cellStyle name="Accent1 6 14" xfId="5839"/>
    <cellStyle name="Accent1 6 15" xfId="5840"/>
    <cellStyle name="Accent1 6 16" xfId="5841"/>
    <cellStyle name="Accent1 6 2" xfId="5842"/>
    <cellStyle name="Accent1 6 2 2" xfId="5843"/>
    <cellStyle name="Accent1 6 3" xfId="5844"/>
    <cellStyle name="Accent1 6 3 2" xfId="5845"/>
    <cellStyle name="Accent1 6 4" xfId="5846"/>
    <cellStyle name="Accent1 6 4 2" xfId="5847"/>
    <cellStyle name="Accent1 6 5" xfId="5848"/>
    <cellStyle name="Accent1 6 6" xfId="5849"/>
    <cellStyle name="Accent1 6 7" xfId="5850"/>
    <cellStyle name="Accent1 6 8" xfId="5851"/>
    <cellStyle name="Accent1 6 9" xfId="5852"/>
    <cellStyle name="Accent1 6_Sheet2" xfId="5853"/>
    <cellStyle name="Accent1 7" xfId="5854"/>
    <cellStyle name="Accent1 7 10" xfId="5855"/>
    <cellStyle name="Accent1 7 11" xfId="5856"/>
    <cellStyle name="Accent1 7 12" xfId="5857"/>
    <cellStyle name="Accent1 7 13" xfId="5858"/>
    <cellStyle name="Accent1 7 14" xfId="5859"/>
    <cellStyle name="Accent1 7 15" xfId="5860"/>
    <cellStyle name="Accent1 7 16" xfId="5861"/>
    <cellStyle name="Accent1 7 2" xfId="5862"/>
    <cellStyle name="Accent1 7 2 2" xfId="5863"/>
    <cellStyle name="Accent1 7 3" xfId="5864"/>
    <cellStyle name="Accent1 7 3 2" xfId="5865"/>
    <cellStyle name="Accent1 7 4" xfId="5866"/>
    <cellStyle name="Accent1 7 4 2" xfId="5867"/>
    <cellStyle name="Accent1 7 5" xfId="5868"/>
    <cellStyle name="Accent1 7 6" xfId="5869"/>
    <cellStyle name="Accent1 7 7" xfId="5870"/>
    <cellStyle name="Accent1 7 8" xfId="5871"/>
    <cellStyle name="Accent1 7 9" xfId="5872"/>
    <cellStyle name="Accent1 7_Sheet2" xfId="5873"/>
    <cellStyle name="Accent1 8" xfId="5874"/>
    <cellStyle name="Accent1 8 10" xfId="5875"/>
    <cellStyle name="Accent1 8 11" xfId="5876"/>
    <cellStyle name="Accent1 8 12" xfId="5877"/>
    <cellStyle name="Accent1 8 13" xfId="5878"/>
    <cellStyle name="Accent1 8 14" xfId="5879"/>
    <cellStyle name="Accent1 8 15" xfId="5880"/>
    <cellStyle name="Accent1 8 16" xfId="5881"/>
    <cellStyle name="Accent1 8 2" xfId="5882"/>
    <cellStyle name="Accent1 8 3" xfId="5883"/>
    <cellStyle name="Accent1 8 4" xfId="5884"/>
    <cellStyle name="Accent1 8 5" xfId="5885"/>
    <cellStyle name="Accent1 8 6" xfId="5886"/>
    <cellStyle name="Accent1 8 7" xfId="5887"/>
    <cellStyle name="Accent1 8 8" xfId="5888"/>
    <cellStyle name="Accent1 8 9" xfId="5889"/>
    <cellStyle name="Accent1 8_Sheet2" xfId="5890"/>
    <cellStyle name="Accent1 9" xfId="5891"/>
    <cellStyle name="Accent1 9 10" xfId="5892"/>
    <cellStyle name="Accent1 9 11" xfId="5893"/>
    <cellStyle name="Accent1 9 12" xfId="5894"/>
    <cellStyle name="Accent1 9 13" xfId="5895"/>
    <cellStyle name="Accent1 9 14" xfId="5896"/>
    <cellStyle name="Accent1 9 15" xfId="5897"/>
    <cellStyle name="Accent1 9 16" xfId="5898"/>
    <cellStyle name="Accent1 9 2" xfId="5899"/>
    <cellStyle name="Accent1 9 3" xfId="5900"/>
    <cellStyle name="Accent1 9 4" xfId="5901"/>
    <cellStyle name="Accent1 9 5" xfId="5902"/>
    <cellStyle name="Accent1 9 6" xfId="5903"/>
    <cellStyle name="Accent1 9 7" xfId="5904"/>
    <cellStyle name="Accent1 9 8" xfId="5905"/>
    <cellStyle name="Accent1 9 9" xfId="5906"/>
    <cellStyle name="Accent2 - 20%" xfId="5907"/>
    <cellStyle name="Accent2 - 20% 2" xfId="5908"/>
    <cellStyle name="Accent2 - 20% 2 2" xfId="5909"/>
    <cellStyle name="Accent2 - 20% 2 3" xfId="5910"/>
    <cellStyle name="Accent2 - 20% 3" xfId="5911"/>
    <cellStyle name="Accent2 - 20% 4" xfId="5912"/>
    <cellStyle name="Accent2 - 20%_APSWRSC-Kalasamudram" xfId="5913"/>
    <cellStyle name="Accent2 - 40%" xfId="5914"/>
    <cellStyle name="Accent2 - 40% 2" xfId="5915"/>
    <cellStyle name="Accent2 - 40% 2 2" xfId="5916"/>
    <cellStyle name="Accent2 - 40% 2 3" xfId="5917"/>
    <cellStyle name="Accent2 - 40% 3" xfId="5918"/>
    <cellStyle name="Accent2 - 40% 4" xfId="5919"/>
    <cellStyle name="Accent2 - 40%_APSWRSC-Kalasamudram" xfId="5920"/>
    <cellStyle name="Accent2 - 60%" xfId="5921"/>
    <cellStyle name="Accent2 1" xfId="5922"/>
    <cellStyle name="Accent2 1 1" xfId="5923"/>
    <cellStyle name="Accent2 10" xfId="5924"/>
    <cellStyle name="Accent2 10 10" xfId="5925"/>
    <cellStyle name="Accent2 10 11" xfId="5926"/>
    <cellStyle name="Accent2 10 12" xfId="5927"/>
    <cellStyle name="Accent2 10 13" xfId="5928"/>
    <cellStyle name="Accent2 10 14" xfId="5929"/>
    <cellStyle name="Accent2 10 15" xfId="5930"/>
    <cellStyle name="Accent2 10 16" xfId="5931"/>
    <cellStyle name="Accent2 10 2" xfId="5932"/>
    <cellStyle name="Accent2 10 3" xfId="5933"/>
    <cellStyle name="Accent2 10 4" xfId="5934"/>
    <cellStyle name="Accent2 10 5" xfId="5935"/>
    <cellStyle name="Accent2 10 6" xfId="5936"/>
    <cellStyle name="Accent2 10 7" xfId="5937"/>
    <cellStyle name="Accent2 10 8" xfId="5938"/>
    <cellStyle name="Accent2 10 9" xfId="5939"/>
    <cellStyle name="Accent2 11" xfId="5940"/>
    <cellStyle name="Accent2 11 2" xfId="5941"/>
    <cellStyle name="Accent2 11 3" xfId="5942"/>
    <cellStyle name="Accent2 11 4" xfId="5943"/>
    <cellStyle name="Accent2 11 5" xfId="5944"/>
    <cellStyle name="Accent2 11 6" xfId="5945"/>
    <cellStyle name="Accent2 11 7" xfId="5946"/>
    <cellStyle name="Accent2 11 8" xfId="5947"/>
    <cellStyle name="Accent2 11 9" xfId="5948"/>
    <cellStyle name="Accent2 12" xfId="5949"/>
    <cellStyle name="Accent2 12 2" xfId="5950"/>
    <cellStyle name="Accent2 12 3" xfId="5951"/>
    <cellStyle name="Accent2 12 4" xfId="5952"/>
    <cellStyle name="Accent2 12 5" xfId="5953"/>
    <cellStyle name="Accent2 12 6" xfId="5954"/>
    <cellStyle name="Accent2 12 7" xfId="5955"/>
    <cellStyle name="Accent2 12 8" xfId="5956"/>
    <cellStyle name="Accent2 12 9" xfId="5957"/>
    <cellStyle name="Accent2 13" xfId="5958"/>
    <cellStyle name="Accent2 13 2" xfId="5959"/>
    <cellStyle name="Accent2 13 3" xfId="5960"/>
    <cellStyle name="Accent2 13 4" xfId="5961"/>
    <cellStyle name="Accent2 13 5" xfId="5962"/>
    <cellStyle name="Accent2 13 6" xfId="5963"/>
    <cellStyle name="Accent2 13 7" xfId="5964"/>
    <cellStyle name="Accent2 13 8" xfId="5965"/>
    <cellStyle name="Accent2 13 9" xfId="5966"/>
    <cellStyle name="Accent2 14" xfId="5967"/>
    <cellStyle name="Accent2 14 2" xfId="5968"/>
    <cellStyle name="Accent2 14 3" xfId="5969"/>
    <cellStyle name="Accent2 14 4" xfId="5970"/>
    <cellStyle name="Accent2 14 5" xfId="5971"/>
    <cellStyle name="Accent2 14 6" xfId="5972"/>
    <cellStyle name="Accent2 14 7" xfId="5973"/>
    <cellStyle name="Accent2 14 8" xfId="5974"/>
    <cellStyle name="Accent2 14 9" xfId="5975"/>
    <cellStyle name="Accent2 15" xfId="5976"/>
    <cellStyle name="Accent2 15 2" xfId="5977"/>
    <cellStyle name="Accent2 15 3" xfId="5978"/>
    <cellStyle name="Accent2 15 4" xfId="5979"/>
    <cellStyle name="Accent2 15 5" xfId="5980"/>
    <cellStyle name="Accent2 15 6" xfId="5981"/>
    <cellStyle name="Accent2 15 7" xfId="5982"/>
    <cellStyle name="Accent2 15 8" xfId="5983"/>
    <cellStyle name="Accent2 15 9" xfId="5984"/>
    <cellStyle name="Accent2 16" xfId="5985"/>
    <cellStyle name="Accent2 16 2" xfId="5986"/>
    <cellStyle name="Accent2 16 3" xfId="5987"/>
    <cellStyle name="Accent2 16 4" xfId="5988"/>
    <cellStyle name="Accent2 16 5" xfId="5989"/>
    <cellStyle name="Accent2 16 6" xfId="5990"/>
    <cellStyle name="Accent2 16 7" xfId="5991"/>
    <cellStyle name="Accent2 16 8" xfId="5992"/>
    <cellStyle name="Accent2 16 9" xfId="5993"/>
    <cellStyle name="Accent2 17" xfId="5994"/>
    <cellStyle name="Accent2 18" xfId="5995"/>
    <cellStyle name="Accent2 19" xfId="5996"/>
    <cellStyle name="Accent2 2" xfId="5997"/>
    <cellStyle name="Accent2 2 2" xfId="5998"/>
    <cellStyle name="Accent2 2 2 2" xfId="5999"/>
    <cellStyle name="Accent2 2 2 2 2" xfId="6000"/>
    <cellStyle name="Accent2 2 2 3" xfId="6001"/>
    <cellStyle name="Accent2 2 2 4" xfId="6002"/>
    <cellStyle name="Accent2 2 2 5" xfId="6003"/>
    <cellStyle name="Accent2 2 2 6" xfId="6004"/>
    <cellStyle name="Accent2 2 2 7" xfId="6005"/>
    <cellStyle name="Accent2 2 2 8" xfId="6006"/>
    <cellStyle name="Accent2 2 2 9" xfId="6007"/>
    <cellStyle name="Accent2 2 3" xfId="6008"/>
    <cellStyle name="Accent2 2 3 2" xfId="6009"/>
    <cellStyle name="Accent2 2 4" xfId="6010"/>
    <cellStyle name="Accent2 2 4 2" xfId="6011"/>
    <cellStyle name="Accent2 2 4 2 2" xfId="6012"/>
    <cellStyle name="Accent2 2 5" xfId="6013"/>
    <cellStyle name="Accent2 2 5 2" xfId="6014"/>
    <cellStyle name="Accent2 2 6" xfId="6015"/>
    <cellStyle name="Accent2 2 7" xfId="6016"/>
    <cellStyle name="Accent2 2 8" xfId="6017"/>
    <cellStyle name="Accent2 2 9" xfId="6018"/>
    <cellStyle name="Accent2 2_Block-F LGF POur-II BBS" xfId="6029"/>
    <cellStyle name="Accent2 20" xfId="6019"/>
    <cellStyle name="Accent2 21" xfId="6020"/>
    <cellStyle name="Accent2 22" xfId="6021"/>
    <cellStyle name="Accent2 23" xfId="6022"/>
    <cellStyle name="Accent2 24" xfId="6023"/>
    <cellStyle name="Accent2 25" xfId="6024"/>
    <cellStyle name="Accent2 26" xfId="6025"/>
    <cellStyle name="Accent2 27" xfId="6026"/>
    <cellStyle name="Accent2 28" xfId="6027"/>
    <cellStyle name="Accent2 29" xfId="6028"/>
    <cellStyle name="Accent2 3" xfId="6030"/>
    <cellStyle name="Accent2 3 2" xfId="6031"/>
    <cellStyle name="Accent2 3 2 2" xfId="6032"/>
    <cellStyle name="Accent2 3 2 3" xfId="6033"/>
    <cellStyle name="Accent2 3 2 4" xfId="6034"/>
    <cellStyle name="Accent2 3 2 5" xfId="6035"/>
    <cellStyle name="Accent2 3 2 6" xfId="6036"/>
    <cellStyle name="Accent2 3 2 7" xfId="6037"/>
    <cellStyle name="Accent2 3 2 8" xfId="6038"/>
    <cellStyle name="Accent2 3 2 9" xfId="6039"/>
    <cellStyle name="Accent2 3 3" xfId="6040"/>
    <cellStyle name="Accent2 3 3 2" xfId="6041"/>
    <cellStyle name="Accent2 3 4" xfId="6042"/>
    <cellStyle name="Accent2 3 4 2" xfId="6043"/>
    <cellStyle name="Accent2 3 5" xfId="6044"/>
    <cellStyle name="Accent2 3 6" xfId="6045"/>
    <cellStyle name="Accent2 3 7" xfId="6046"/>
    <cellStyle name="Accent2 3 8" xfId="6047"/>
    <cellStyle name="Accent2 3_Ramadugu_ SWGH" xfId="6058"/>
    <cellStyle name="Accent2 30" xfId="6048"/>
    <cellStyle name="Accent2 31" xfId="6049"/>
    <cellStyle name="Accent2 32" xfId="6050"/>
    <cellStyle name="Accent2 33" xfId="6051"/>
    <cellStyle name="Accent2 34" xfId="6052"/>
    <cellStyle name="Accent2 35" xfId="6053"/>
    <cellStyle name="Accent2 36" xfId="6054"/>
    <cellStyle name="Accent2 37" xfId="6055"/>
    <cellStyle name="Accent2 38" xfId="6056"/>
    <cellStyle name="Accent2 39" xfId="6057"/>
    <cellStyle name="Accent2 4" xfId="6059"/>
    <cellStyle name="Accent2 4 10" xfId="6060"/>
    <cellStyle name="Accent2 4 11" xfId="6061"/>
    <cellStyle name="Accent2 4 12" xfId="6062"/>
    <cellStyle name="Accent2 4 13" xfId="6063"/>
    <cellStyle name="Accent2 4 14" xfId="6064"/>
    <cellStyle name="Accent2 4 15" xfId="6065"/>
    <cellStyle name="Accent2 4 16" xfId="6066"/>
    <cellStyle name="Accent2 4 2" xfId="6067"/>
    <cellStyle name="Accent2 4 2 2" xfId="6068"/>
    <cellStyle name="Accent2 4 3" xfId="6069"/>
    <cellStyle name="Accent2 4 3 2" xfId="6070"/>
    <cellStyle name="Accent2 4 4" xfId="6071"/>
    <cellStyle name="Accent2 4 4 2" xfId="6072"/>
    <cellStyle name="Accent2 4 5" xfId="6073"/>
    <cellStyle name="Accent2 4 6" xfId="6074"/>
    <cellStyle name="Accent2 4 7" xfId="6075"/>
    <cellStyle name="Accent2 4 8" xfId="6076"/>
    <cellStyle name="Accent2 4 9" xfId="6077"/>
    <cellStyle name="Accent2 4_Sheet2" xfId="6088"/>
    <cellStyle name="Accent2 40" xfId="6078"/>
    <cellStyle name="Accent2 41" xfId="6079"/>
    <cellStyle name="Accent2 42" xfId="6080"/>
    <cellStyle name="Accent2 43" xfId="6081"/>
    <cellStyle name="Accent2 44" xfId="6082"/>
    <cellStyle name="Accent2 45" xfId="6083"/>
    <cellStyle name="Accent2 46" xfId="6084"/>
    <cellStyle name="Accent2 47" xfId="6085"/>
    <cellStyle name="Accent2 48" xfId="6086"/>
    <cellStyle name="Accent2 49" xfId="6087"/>
    <cellStyle name="Accent2 5" xfId="6089"/>
    <cellStyle name="Accent2 5 10" xfId="6090"/>
    <cellStyle name="Accent2 5 11" xfId="6091"/>
    <cellStyle name="Accent2 5 12" xfId="6092"/>
    <cellStyle name="Accent2 5 13" xfId="6093"/>
    <cellStyle name="Accent2 5 14" xfId="6094"/>
    <cellStyle name="Accent2 5 15" xfId="6095"/>
    <cellStyle name="Accent2 5 16" xfId="6096"/>
    <cellStyle name="Accent2 5 2" xfId="6097"/>
    <cellStyle name="Accent2 5 2 2" xfId="6098"/>
    <cellStyle name="Accent2 5 3" xfId="6099"/>
    <cellStyle name="Accent2 5 3 2" xfId="6100"/>
    <cellStyle name="Accent2 5 4" xfId="6101"/>
    <cellStyle name="Accent2 5 4 2" xfId="6102"/>
    <cellStyle name="Accent2 5 5" xfId="6103"/>
    <cellStyle name="Accent2 5 6" xfId="6104"/>
    <cellStyle name="Accent2 5 7" xfId="6105"/>
    <cellStyle name="Accent2 5 8" xfId="6106"/>
    <cellStyle name="Accent2 5 9" xfId="6107"/>
    <cellStyle name="Accent2 5_Sheet2" xfId="6112"/>
    <cellStyle name="Accent2 50" xfId="6108"/>
    <cellStyle name="Accent2 51" xfId="6109"/>
    <cellStyle name="Accent2 52" xfId="6110"/>
    <cellStyle name="Accent2 53" xfId="6111"/>
    <cellStyle name="Accent2 6" xfId="6113"/>
    <cellStyle name="Accent2 6 10" xfId="6114"/>
    <cellStyle name="Accent2 6 11" xfId="6115"/>
    <cellStyle name="Accent2 6 12" xfId="6116"/>
    <cellStyle name="Accent2 6 13" xfId="6117"/>
    <cellStyle name="Accent2 6 14" xfId="6118"/>
    <cellStyle name="Accent2 6 15" xfId="6119"/>
    <cellStyle name="Accent2 6 16" xfId="6120"/>
    <cellStyle name="Accent2 6 2" xfId="6121"/>
    <cellStyle name="Accent2 6 2 2" xfId="6122"/>
    <cellStyle name="Accent2 6 3" xfId="6123"/>
    <cellStyle name="Accent2 6 3 2" xfId="6124"/>
    <cellStyle name="Accent2 6 4" xfId="6125"/>
    <cellStyle name="Accent2 6 4 2" xfId="6126"/>
    <cellStyle name="Accent2 6 4 3" xfId="6127"/>
    <cellStyle name="Accent2 6 5" xfId="6128"/>
    <cellStyle name="Accent2 6 6" xfId="6129"/>
    <cellStyle name="Accent2 6 7" xfId="6130"/>
    <cellStyle name="Accent2 6 8" xfId="6131"/>
    <cellStyle name="Accent2 6 9" xfId="6132"/>
    <cellStyle name="Accent2 6_Sheet2" xfId="6133"/>
    <cellStyle name="Accent2 7" xfId="6134"/>
    <cellStyle name="Accent2 7 10" xfId="6135"/>
    <cellStyle name="Accent2 7 11" xfId="6136"/>
    <cellStyle name="Accent2 7 12" xfId="6137"/>
    <cellStyle name="Accent2 7 13" xfId="6138"/>
    <cellStyle name="Accent2 7 14" xfId="6139"/>
    <cellStyle name="Accent2 7 15" xfId="6140"/>
    <cellStyle name="Accent2 7 16" xfId="6141"/>
    <cellStyle name="Accent2 7 2" xfId="6142"/>
    <cellStyle name="Accent2 7 2 2" xfId="6143"/>
    <cellStyle name="Accent2 7 3" xfId="6144"/>
    <cellStyle name="Accent2 7 3 2" xfId="6145"/>
    <cellStyle name="Accent2 7 4" xfId="6146"/>
    <cellStyle name="Accent2 7 4 2" xfId="6147"/>
    <cellStyle name="Accent2 7 5" xfId="6148"/>
    <cellStyle name="Accent2 7 6" xfId="6149"/>
    <cellStyle name="Accent2 7 7" xfId="6150"/>
    <cellStyle name="Accent2 7 8" xfId="6151"/>
    <cellStyle name="Accent2 7 8 2" xfId="6152"/>
    <cellStyle name="Accent2 7 9" xfId="6153"/>
    <cellStyle name="Accent2 7_Sheet2" xfId="6154"/>
    <cellStyle name="Accent2 8" xfId="6155"/>
    <cellStyle name="Accent2 8 10" xfId="6156"/>
    <cellStyle name="Accent2 8 11" xfId="6157"/>
    <cellStyle name="Accent2 8 12" xfId="6158"/>
    <cellStyle name="Accent2 8 13" xfId="6159"/>
    <cellStyle name="Accent2 8 14" xfId="6160"/>
    <cellStyle name="Accent2 8 15" xfId="6161"/>
    <cellStyle name="Accent2 8 16" xfId="6162"/>
    <cellStyle name="Accent2 8 2" xfId="6163"/>
    <cellStyle name="Accent2 8 3" xfId="6164"/>
    <cellStyle name="Accent2 8 4" xfId="6165"/>
    <cellStyle name="Accent2 8 5" xfId="6166"/>
    <cellStyle name="Accent2 8 6" xfId="6167"/>
    <cellStyle name="Accent2 8 7" xfId="6168"/>
    <cellStyle name="Accent2 8 8" xfId="6169"/>
    <cellStyle name="Accent2 8 9" xfId="6170"/>
    <cellStyle name="Accent2 8_Sheet2" xfId="6171"/>
    <cellStyle name="Accent2 9" xfId="6172"/>
    <cellStyle name="Accent2 9 10" xfId="6173"/>
    <cellStyle name="Accent2 9 11" xfId="6174"/>
    <cellStyle name="Accent2 9 12" xfId="6175"/>
    <cellStyle name="Accent2 9 13" xfId="6176"/>
    <cellStyle name="Accent2 9 14" xfId="6177"/>
    <cellStyle name="Accent2 9 15" xfId="6178"/>
    <cellStyle name="Accent2 9 16" xfId="6179"/>
    <cellStyle name="Accent2 9 2" xfId="6180"/>
    <cellStyle name="Accent2 9 3" xfId="6181"/>
    <cellStyle name="Accent2 9 4" xfId="6182"/>
    <cellStyle name="Accent2 9 5" xfId="6183"/>
    <cellStyle name="Accent2 9 6" xfId="6184"/>
    <cellStyle name="Accent2 9 7" xfId="6185"/>
    <cellStyle name="Accent2 9 8" xfId="6186"/>
    <cellStyle name="Accent2 9 9" xfId="6187"/>
    <cellStyle name="Accent3 - 20%" xfId="6188"/>
    <cellStyle name="Accent3 - 20% 2" xfId="6189"/>
    <cellStyle name="Accent3 - 20% 2 2" xfId="6190"/>
    <cellStyle name="Accent3 - 20% 2 3" xfId="6191"/>
    <cellStyle name="Accent3 - 20% 3" xfId="6192"/>
    <cellStyle name="Accent3 - 20% 4" xfId="6193"/>
    <cellStyle name="Accent3 - 20%_APSWRSC-Kalasamudram" xfId="6194"/>
    <cellStyle name="Accent3 - 40%" xfId="6195"/>
    <cellStyle name="Accent3 - 40% 2" xfId="6196"/>
    <cellStyle name="Accent3 - 40% 2 2" xfId="6197"/>
    <cellStyle name="Accent3 - 40% 2 3" xfId="6198"/>
    <cellStyle name="Accent3 - 40% 3" xfId="6199"/>
    <cellStyle name="Accent3 - 40% 4" xfId="6200"/>
    <cellStyle name="Accent3 - 40%_APSWRSC-Kalasamudram" xfId="6201"/>
    <cellStyle name="Accent3 - 60%" xfId="6202"/>
    <cellStyle name="Accent3 1" xfId="6203"/>
    <cellStyle name="Accent3 1 1" xfId="6204"/>
    <cellStyle name="Accent3 1_Building_-_5-final_Price_Variation(1)" xfId="6278"/>
    <cellStyle name="Accent3 10" xfId="6205"/>
    <cellStyle name="Accent3 10 10" xfId="6206"/>
    <cellStyle name="Accent3 10 11" xfId="6207"/>
    <cellStyle name="Accent3 10 12" xfId="6208"/>
    <cellStyle name="Accent3 10 13" xfId="6209"/>
    <cellStyle name="Accent3 10 14" xfId="6210"/>
    <cellStyle name="Accent3 10 15" xfId="6211"/>
    <cellStyle name="Accent3 10 16" xfId="6212"/>
    <cellStyle name="Accent3 10 2" xfId="6213"/>
    <cellStyle name="Accent3 10 3" xfId="6214"/>
    <cellStyle name="Accent3 10 4" xfId="6215"/>
    <cellStyle name="Accent3 10 5" xfId="6216"/>
    <cellStyle name="Accent3 10 6" xfId="6217"/>
    <cellStyle name="Accent3 10 7" xfId="6218"/>
    <cellStyle name="Accent3 10 8" xfId="6219"/>
    <cellStyle name="Accent3 10 9" xfId="6220"/>
    <cellStyle name="Accent3 11" xfId="6221"/>
    <cellStyle name="Accent3 11 2" xfId="6222"/>
    <cellStyle name="Accent3 11 3" xfId="6223"/>
    <cellStyle name="Accent3 11 4" xfId="6224"/>
    <cellStyle name="Accent3 11 5" xfId="6225"/>
    <cellStyle name="Accent3 11 6" xfId="6226"/>
    <cellStyle name="Accent3 11 7" xfId="6227"/>
    <cellStyle name="Accent3 11 8" xfId="6228"/>
    <cellStyle name="Accent3 11 9" xfId="6229"/>
    <cellStyle name="Accent3 12" xfId="6230"/>
    <cellStyle name="Accent3 12 2" xfId="6231"/>
    <cellStyle name="Accent3 12 3" xfId="6232"/>
    <cellStyle name="Accent3 12 4" xfId="6233"/>
    <cellStyle name="Accent3 12 5" xfId="6234"/>
    <cellStyle name="Accent3 12 6" xfId="6235"/>
    <cellStyle name="Accent3 12 7" xfId="6236"/>
    <cellStyle name="Accent3 12 8" xfId="6237"/>
    <cellStyle name="Accent3 12 9" xfId="6238"/>
    <cellStyle name="Accent3 13" xfId="6239"/>
    <cellStyle name="Accent3 13 2" xfId="6240"/>
    <cellStyle name="Accent3 13 3" xfId="6241"/>
    <cellStyle name="Accent3 13 4" xfId="6242"/>
    <cellStyle name="Accent3 13 5" xfId="6243"/>
    <cellStyle name="Accent3 13 6" xfId="6244"/>
    <cellStyle name="Accent3 13 7" xfId="6245"/>
    <cellStyle name="Accent3 13 8" xfId="6246"/>
    <cellStyle name="Accent3 13 9" xfId="6247"/>
    <cellStyle name="Accent3 14" xfId="6248"/>
    <cellStyle name="Accent3 14 2" xfId="6249"/>
    <cellStyle name="Accent3 14 3" xfId="6250"/>
    <cellStyle name="Accent3 14 4" xfId="6251"/>
    <cellStyle name="Accent3 14 5" xfId="6252"/>
    <cellStyle name="Accent3 14 6" xfId="6253"/>
    <cellStyle name="Accent3 14 7" xfId="6254"/>
    <cellStyle name="Accent3 14 8" xfId="6255"/>
    <cellStyle name="Accent3 14 9" xfId="6256"/>
    <cellStyle name="Accent3 15" xfId="6257"/>
    <cellStyle name="Accent3 15 2" xfId="6258"/>
    <cellStyle name="Accent3 15 3" xfId="6259"/>
    <cellStyle name="Accent3 15 4" xfId="6260"/>
    <cellStyle name="Accent3 15 5" xfId="6261"/>
    <cellStyle name="Accent3 15 6" xfId="6262"/>
    <cellStyle name="Accent3 15 7" xfId="6263"/>
    <cellStyle name="Accent3 15 8" xfId="6264"/>
    <cellStyle name="Accent3 15 9" xfId="6265"/>
    <cellStyle name="Accent3 16" xfId="6266"/>
    <cellStyle name="Accent3 16 2" xfId="6267"/>
    <cellStyle name="Accent3 16 3" xfId="6268"/>
    <cellStyle name="Accent3 16 4" xfId="6269"/>
    <cellStyle name="Accent3 16 5" xfId="6270"/>
    <cellStyle name="Accent3 16 6" xfId="6271"/>
    <cellStyle name="Accent3 16 7" xfId="6272"/>
    <cellStyle name="Accent3 16 8" xfId="6273"/>
    <cellStyle name="Accent3 16 9" xfId="6274"/>
    <cellStyle name="Accent3 17" xfId="6275"/>
    <cellStyle name="Accent3 18" xfId="6276"/>
    <cellStyle name="Accent3 19" xfId="6277"/>
    <cellStyle name="Accent3 2" xfId="6279"/>
    <cellStyle name="Accent3 2 2" xfId="6280"/>
    <cellStyle name="Accent3 2 2 2" xfId="6281"/>
    <cellStyle name="Accent3 2 2 2 2" xfId="6282"/>
    <cellStyle name="Accent3 2 2 3" xfId="6283"/>
    <cellStyle name="Accent3 2 2 4" xfId="6284"/>
    <cellStyle name="Accent3 2 2 5" xfId="6285"/>
    <cellStyle name="Accent3 2 2 6" xfId="6286"/>
    <cellStyle name="Accent3 2 2 7" xfId="6287"/>
    <cellStyle name="Accent3 2 2 8" xfId="6288"/>
    <cellStyle name="Accent3 2 2 9" xfId="6289"/>
    <cellStyle name="Accent3 2 3" xfId="6290"/>
    <cellStyle name="Accent3 2 3 2" xfId="6291"/>
    <cellStyle name="Accent3 2 4" xfId="6292"/>
    <cellStyle name="Accent3 2 4 2" xfId="6293"/>
    <cellStyle name="Accent3 2 5" xfId="6294"/>
    <cellStyle name="Accent3 2 5 2" xfId="6295"/>
    <cellStyle name="Accent3 2 6" xfId="6296"/>
    <cellStyle name="Accent3 2 7" xfId="6297"/>
    <cellStyle name="Accent3 2 8" xfId="6298"/>
    <cellStyle name="Accent3 2 9" xfId="6299"/>
    <cellStyle name="Accent3 2_Block-F LGF POur-II BBS" xfId="6310"/>
    <cellStyle name="Accent3 20" xfId="6300"/>
    <cellStyle name="Accent3 21" xfId="6301"/>
    <cellStyle name="Accent3 22" xfId="6302"/>
    <cellStyle name="Accent3 23" xfId="6303"/>
    <cellStyle name="Accent3 24" xfId="6304"/>
    <cellStyle name="Accent3 25" xfId="6305"/>
    <cellStyle name="Accent3 26" xfId="6306"/>
    <cellStyle name="Accent3 27" xfId="6307"/>
    <cellStyle name="Accent3 28" xfId="6308"/>
    <cellStyle name="Accent3 29" xfId="6309"/>
    <cellStyle name="Accent3 3" xfId="6311"/>
    <cellStyle name="Accent3 3 2" xfId="6312"/>
    <cellStyle name="Accent3 3 2 2" xfId="6313"/>
    <cellStyle name="Accent3 3 2 3" xfId="6314"/>
    <cellStyle name="Accent3 3 2 4" xfId="6315"/>
    <cellStyle name="Accent3 3 2 5" xfId="6316"/>
    <cellStyle name="Accent3 3 2 6" xfId="6317"/>
    <cellStyle name="Accent3 3 2 7" xfId="6318"/>
    <cellStyle name="Accent3 3 2 8" xfId="6319"/>
    <cellStyle name="Accent3 3 2 9" xfId="6320"/>
    <cellStyle name="Accent3 3 3" xfId="6321"/>
    <cellStyle name="Accent3 3 3 2" xfId="6322"/>
    <cellStyle name="Accent3 3 4" xfId="6323"/>
    <cellStyle name="Accent3 3 4 2" xfId="6324"/>
    <cellStyle name="Accent3 3 5" xfId="6325"/>
    <cellStyle name="Accent3 3 6" xfId="6326"/>
    <cellStyle name="Accent3 3 7" xfId="6327"/>
    <cellStyle name="Accent3 3 8" xfId="6328"/>
    <cellStyle name="Accent3 3_Ramadugu_ SWGH" xfId="6340"/>
    <cellStyle name="Accent3 30" xfId="6329"/>
    <cellStyle name="Accent3 31" xfId="6330"/>
    <cellStyle name="Accent3 32" xfId="6331"/>
    <cellStyle name="Accent3 33" xfId="6332"/>
    <cellStyle name="Accent3 34" xfId="6333"/>
    <cellStyle name="Accent3 35" xfId="6334"/>
    <cellStyle name="Accent3 36" xfId="6335"/>
    <cellStyle name="Accent3 37" xfId="6336"/>
    <cellStyle name="Accent3 37 2" xfId="6337"/>
    <cellStyle name="Accent3 38" xfId="6338"/>
    <cellStyle name="Accent3 39" xfId="6339"/>
    <cellStyle name="Accent3 4" xfId="6341"/>
    <cellStyle name="Accent3 4 10" xfId="6342"/>
    <cellStyle name="Accent3 4 11" xfId="6343"/>
    <cellStyle name="Accent3 4 12" xfId="6344"/>
    <cellStyle name="Accent3 4 13" xfId="6345"/>
    <cellStyle name="Accent3 4 14" xfId="6346"/>
    <cellStyle name="Accent3 4 15" xfId="6347"/>
    <cellStyle name="Accent3 4 16" xfId="6348"/>
    <cellStyle name="Accent3 4 2" xfId="6349"/>
    <cellStyle name="Accent3 4 2 2" xfId="6350"/>
    <cellStyle name="Accent3 4 3" xfId="6351"/>
    <cellStyle name="Accent3 4 3 2" xfId="6352"/>
    <cellStyle name="Accent3 4 4" xfId="6353"/>
    <cellStyle name="Accent3 4 4 2" xfId="6354"/>
    <cellStyle name="Accent3 4 5" xfId="6355"/>
    <cellStyle name="Accent3 4 6" xfId="6356"/>
    <cellStyle name="Accent3 4 7" xfId="6357"/>
    <cellStyle name="Accent3 4 8" xfId="6358"/>
    <cellStyle name="Accent3 4 9" xfId="6359"/>
    <cellStyle name="Accent3 4_Sheet2" xfId="6370"/>
    <cellStyle name="Accent3 40" xfId="6360"/>
    <cellStyle name="Accent3 41" xfId="6361"/>
    <cellStyle name="Accent3 42" xfId="6362"/>
    <cellStyle name="Accent3 43" xfId="6363"/>
    <cellStyle name="Accent3 44" xfId="6364"/>
    <cellStyle name="Accent3 45" xfId="6365"/>
    <cellStyle name="Accent3 46" xfId="6366"/>
    <cellStyle name="Accent3 47" xfId="6367"/>
    <cellStyle name="Accent3 48" xfId="6368"/>
    <cellStyle name="Accent3 49" xfId="6369"/>
    <cellStyle name="Accent3 5" xfId="6371"/>
    <cellStyle name="Accent3 5 10" xfId="6372"/>
    <cellStyle name="Accent3 5 11" xfId="6373"/>
    <cellStyle name="Accent3 5 12" xfId="6374"/>
    <cellStyle name="Accent3 5 13" xfId="6375"/>
    <cellStyle name="Accent3 5 14" xfId="6376"/>
    <cellStyle name="Accent3 5 15" xfId="6377"/>
    <cellStyle name="Accent3 5 16" xfId="6378"/>
    <cellStyle name="Accent3 5 2" xfId="6379"/>
    <cellStyle name="Accent3 5 2 2" xfId="6380"/>
    <cellStyle name="Accent3 5 3" xfId="6381"/>
    <cellStyle name="Accent3 5 3 2" xfId="6382"/>
    <cellStyle name="Accent3 5 4" xfId="6383"/>
    <cellStyle name="Accent3 5 4 2" xfId="6384"/>
    <cellStyle name="Accent3 5 5" xfId="6385"/>
    <cellStyle name="Accent3 5 6" xfId="6386"/>
    <cellStyle name="Accent3 5 7" xfId="6387"/>
    <cellStyle name="Accent3 5 8" xfId="6388"/>
    <cellStyle name="Accent3 5 9" xfId="6389"/>
    <cellStyle name="Accent3 5_Sheet2" xfId="6394"/>
    <cellStyle name="Accent3 50" xfId="6390"/>
    <cellStyle name="Accent3 51" xfId="6391"/>
    <cellStyle name="Accent3 52" xfId="6392"/>
    <cellStyle name="Accent3 53" xfId="6393"/>
    <cellStyle name="Accent3 6" xfId="6395"/>
    <cellStyle name="Accent3 6 10" xfId="6396"/>
    <cellStyle name="Accent3 6 11" xfId="6397"/>
    <cellStyle name="Accent3 6 12" xfId="6398"/>
    <cellStyle name="Accent3 6 13" xfId="6399"/>
    <cellStyle name="Accent3 6 14" xfId="6400"/>
    <cellStyle name="Accent3 6 15" xfId="6401"/>
    <cellStyle name="Accent3 6 16" xfId="6402"/>
    <cellStyle name="Accent3 6 2" xfId="6403"/>
    <cellStyle name="Accent3 6 2 2" xfId="6404"/>
    <cellStyle name="Accent3 6 3" xfId="6405"/>
    <cellStyle name="Accent3 6 3 2" xfId="6406"/>
    <cellStyle name="Accent3 6 4" xfId="6407"/>
    <cellStyle name="Accent3 6 4 2" xfId="6408"/>
    <cellStyle name="Accent3 6 5" xfId="6409"/>
    <cellStyle name="Accent3 6 6" xfId="6410"/>
    <cellStyle name="Accent3 6 7" xfId="6411"/>
    <cellStyle name="Accent3 6 8" xfId="6412"/>
    <cellStyle name="Accent3 6 9" xfId="6413"/>
    <cellStyle name="Accent3 6_Sheet2" xfId="6414"/>
    <cellStyle name="Accent3 7" xfId="6415"/>
    <cellStyle name="Accent3 7 10" xfId="6416"/>
    <cellStyle name="Accent3 7 11" xfId="6417"/>
    <cellStyle name="Accent3 7 12" xfId="6418"/>
    <cellStyle name="Accent3 7 13" xfId="6419"/>
    <cellStyle name="Accent3 7 14" xfId="6420"/>
    <cellStyle name="Accent3 7 15" xfId="6421"/>
    <cellStyle name="Accent3 7 16" xfId="6422"/>
    <cellStyle name="Accent3 7 2" xfId="6423"/>
    <cellStyle name="Accent3 7 2 2" xfId="6424"/>
    <cellStyle name="Accent3 7 3" xfId="6425"/>
    <cellStyle name="Accent3 7 3 2" xfId="6426"/>
    <cellStyle name="Accent3 7 4" xfId="6427"/>
    <cellStyle name="Accent3 7 4 2" xfId="6428"/>
    <cellStyle name="Accent3 7 5" xfId="6429"/>
    <cellStyle name="Accent3 7 6" xfId="6430"/>
    <cellStyle name="Accent3 7 7" xfId="6431"/>
    <cellStyle name="Accent3 7 8" xfId="6432"/>
    <cellStyle name="Accent3 7 9" xfId="6433"/>
    <cellStyle name="Accent3 7_Sheet2" xfId="6434"/>
    <cellStyle name="Accent3 8" xfId="6435"/>
    <cellStyle name="Accent3 8 10" xfId="6436"/>
    <cellStyle name="Accent3 8 11" xfId="6437"/>
    <cellStyle name="Accent3 8 12" xfId="6438"/>
    <cellStyle name="Accent3 8 13" xfId="6439"/>
    <cellStyle name="Accent3 8 14" xfId="6440"/>
    <cellStyle name="Accent3 8 15" xfId="6441"/>
    <cellStyle name="Accent3 8 16" xfId="6442"/>
    <cellStyle name="Accent3 8 2" xfId="6443"/>
    <cellStyle name="Accent3 8 3" xfId="6444"/>
    <cellStyle name="Accent3 8 4" xfId="6445"/>
    <cellStyle name="Accent3 8 5" xfId="6446"/>
    <cellStyle name="Accent3 8 6" xfId="6447"/>
    <cellStyle name="Accent3 8 7" xfId="6448"/>
    <cellStyle name="Accent3 8 8" xfId="6449"/>
    <cellStyle name="Accent3 8 9" xfId="6450"/>
    <cellStyle name="Accent3 8_Sheet2" xfId="6451"/>
    <cellStyle name="Accent3 9" xfId="6452"/>
    <cellStyle name="Accent3 9 10" xfId="6453"/>
    <cellStyle name="Accent3 9 11" xfId="6454"/>
    <cellStyle name="Accent3 9 12" xfId="6455"/>
    <cellStyle name="Accent3 9 13" xfId="6456"/>
    <cellStyle name="Accent3 9 14" xfId="6457"/>
    <cellStyle name="Accent3 9 15" xfId="6458"/>
    <cellStyle name="Accent3 9 16" xfId="6459"/>
    <cellStyle name="Accent3 9 2" xfId="6460"/>
    <cellStyle name="Accent3 9 3" xfId="6461"/>
    <cellStyle name="Accent3 9 4" xfId="6462"/>
    <cellStyle name="Accent3 9 5" xfId="6463"/>
    <cellStyle name="Accent3 9 6" xfId="6464"/>
    <cellStyle name="Accent3 9 7" xfId="6465"/>
    <cellStyle name="Accent3 9 8" xfId="6466"/>
    <cellStyle name="Accent3 9 9" xfId="6467"/>
    <cellStyle name="Accent4 - 20%" xfId="6468"/>
    <cellStyle name="Accent4 - 20% 2" xfId="6469"/>
    <cellStyle name="Accent4 - 20% 2 2" xfId="6470"/>
    <cellStyle name="Accent4 - 20% 2 3" xfId="6471"/>
    <cellStyle name="Accent4 - 20% 3" xfId="6472"/>
    <cellStyle name="Accent4 - 20% 4" xfId="6473"/>
    <cellStyle name="Accent4 - 20%_APSWRSC-Kalasamudram" xfId="6474"/>
    <cellStyle name="Accent4 - 40%" xfId="6475"/>
    <cellStyle name="Accent4 - 40% 2" xfId="6476"/>
    <cellStyle name="Accent4 - 40% 2 2" xfId="6477"/>
    <cellStyle name="Accent4 - 40% 2 3" xfId="6478"/>
    <cellStyle name="Accent4 - 40% 3" xfId="6479"/>
    <cellStyle name="Accent4 - 40% 4" xfId="6480"/>
    <cellStyle name="Accent4 - 40%_APSWRSC-Kalasamudram" xfId="6481"/>
    <cellStyle name="Accent4 - 60%" xfId="6482"/>
    <cellStyle name="Accent4 1" xfId="6483"/>
    <cellStyle name="Accent4 1 1" xfId="6484"/>
    <cellStyle name="Accent4 10" xfId="6485"/>
    <cellStyle name="Accent4 10 10" xfId="6486"/>
    <cellStyle name="Accent4 10 11" xfId="6487"/>
    <cellStyle name="Accent4 10 12" xfId="6488"/>
    <cellStyle name="Accent4 10 13" xfId="6489"/>
    <cellStyle name="Accent4 10 14" xfId="6490"/>
    <cellStyle name="Accent4 10 15" xfId="6491"/>
    <cellStyle name="Accent4 10 16" xfId="6492"/>
    <cellStyle name="Accent4 10 2" xfId="6493"/>
    <cellStyle name="Accent4 10 3" xfId="6494"/>
    <cellStyle name="Accent4 10 4" xfId="6495"/>
    <cellStyle name="Accent4 10 5" xfId="6496"/>
    <cellStyle name="Accent4 10 6" xfId="6497"/>
    <cellStyle name="Accent4 10 7" xfId="6498"/>
    <cellStyle name="Accent4 10 8" xfId="6499"/>
    <cellStyle name="Accent4 10 9" xfId="6500"/>
    <cellStyle name="Accent4 11" xfId="6501"/>
    <cellStyle name="Accent4 11 2" xfId="6502"/>
    <cellStyle name="Accent4 11 3" xfId="6503"/>
    <cellStyle name="Accent4 11 4" xfId="6504"/>
    <cellStyle name="Accent4 11 5" xfId="6505"/>
    <cellStyle name="Accent4 11 6" xfId="6506"/>
    <cellStyle name="Accent4 11 7" xfId="6507"/>
    <cellStyle name="Accent4 11 8" xfId="6508"/>
    <cellStyle name="Accent4 11 9" xfId="6509"/>
    <cellStyle name="Accent4 12" xfId="6510"/>
    <cellStyle name="Accent4 12 2" xfId="6511"/>
    <cellStyle name="Accent4 12 3" xfId="6512"/>
    <cellStyle name="Accent4 12 4" xfId="6513"/>
    <cellStyle name="Accent4 12 5" xfId="6514"/>
    <cellStyle name="Accent4 12 6" xfId="6515"/>
    <cellStyle name="Accent4 12 7" xfId="6516"/>
    <cellStyle name="Accent4 12 8" xfId="6517"/>
    <cellStyle name="Accent4 12 9" xfId="6518"/>
    <cellStyle name="Accent4 13" xfId="6519"/>
    <cellStyle name="Accent4 13 2" xfId="6520"/>
    <cellStyle name="Accent4 13 3" xfId="6521"/>
    <cellStyle name="Accent4 13 4" xfId="6522"/>
    <cellStyle name="Accent4 13 5" xfId="6523"/>
    <cellStyle name="Accent4 13 6" xfId="6524"/>
    <cellStyle name="Accent4 13 7" xfId="6525"/>
    <cellStyle name="Accent4 13 8" xfId="6526"/>
    <cellStyle name="Accent4 13 9" xfId="6527"/>
    <cellStyle name="Accent4 14" xfId="6528"/>
    <cellStyle name="Accent4 14 2" xfId="6529"/>
    <cellStyle name="Accent4 14 3" xfId="6530"/>
    <cellStyle name="Accent4 14 4" xfId="6531"/>
    <cellStyle name="Accent4 14 5" xfId="6532"/>
    <cellStyle name="Accent4 14 6" xfId="6533"/>
    <cellStyle name="Accent4 14 7" xfId="6534"/>
    <cellStyle name="Accent4 14 8" xfId="6535"/>
    <cellStyle name="Accent4 14 9" xfId="6536"/>
    <cellStyle name="Accent4 15" xfId="6537"/>
    <cellStyle name="Accent4 15 2" xfId="6538"/>
    <cellStyle name="Accent4 15 3" xfId="6539"/>
    <cellStyle name="Accent4 15 4" xfId="6540"/>
    <cellStyle name="Accent4 15 5" xfId="6541"/>
    <cellStyle name="Accent4 15 6" xfId="6542"/>
    <cellStyle name="Accent4 15 7" xfId="6543"/>
    <cellStyle name="Accent4 15 8" xfId="6544"/>
    <cellStyle name="Accent4 15 9" xfId="6545"/>
    <cellStyle name="Accent4 16" xfId="6546"/>
    <cellStyle name="Accent4 16 2" xfId="6547"/>
    <cellStyle name="Accent4 16 3" xfId="6548"/>
    <cellStyle name="Accent4 16 4" xfId="6549"/>
    <cellStyle name="Accent4 16 5" xfId="6550"/>
    <cellStyle name="Accent4 16 6" xfId="6551"/>
    <cellStyle name="Accent4 16 7" xfId="6552"/>
    <cellStyle name="Accent4 16 8" xfId="6553"/>
    <cellStyle name="Accent4 16 9" xfId="6554"/>
    <cellStyle name="Accent4 17" xfId="6555"/>
    <cellStyle name="Accent4 18" xfId="6556"/>
    <cellStyle name="Accent4 19" xfId="6557"/>
    <cellStyle name="Accent4 2" xfId="6558"/>
    <cellStyle name="Accent4 2 2" xfId="6559"/>
    <cellStyle name="Accent4 2 2 2" xfId="6560"/>
    <cellStyle name="Accent4 2 2 2 2" xfId="6561"/>
    <cellStyle name="Accent4 2 2 3" xfId="6562"/>
    <cellStyle name="Accent4 2 2 4" xfId="6563"/>
    <cellStyle name="Accent4 2 2 5" xfId="6564"/>
    <cellStyle name="Accent4 2 2 6" xfId="6565"/>
    <cellStyle name="Accent4 2 2 7" xfId="6566"/>
    <cellStyle name="Accent4 2 2 8" xfId="6567"/>
    <cellStyle name="Accent4 2 2 9" xfId="6568"/>
    <cellStyle name="Accent4 2 3" xfId="6569"/>
    <cellStyle name="Accent4 2 3 2" xfId="6570"/>
    <cellStyle name="Accent4 2 4" xfId="6571"/>
    <cellStyle name="Accent4 2 4 2" xfId="6572"/>
    <cellStyle name="Accent4 2 5" xfId="6573"/>
    <cellStyle name="Accent4 2 5 2" xfId="6574"/>
    <cellStyle name="Accent4 2 6" xfId="6575"/>
    <cellStyle name="Accent4 2 7" xfId="6576"/>
    <cellStyle name="Accent4 2 8" xfId="6577"/>
    <cellStyle name="Accent4 2 9" xfId="6578"/>
    <cellStyle name="Accent4 2_Block-F LGF POur-II BBS" xfId="6589"/>
    <cellStyle name="Accent4 20" xfId="6579"/>
    <cellStyle name="Accent4 21" xfId="6580"/>
    <cellStyle name="Accent4 22" xfId="6581"/>
    <cellStyle name="Accent4 23" xfId="6582"/>
    <cellStyle name="Accent4 24" xfId="6583"/>
    <cellStyle name="Accent4 25" xfId="6584"/>
    <cellStyle name="Accent4 26" xfId="6585"/>
    <cellStyle name="Accent4 27" xfId="6586"/>
    <cellStyle name="Accent4 28" xfId="6587"/>
    <cellStyle name="Accent4 29" xfId="6588"/>
    <cellStyle name="Accent4 3" xfId="6590"/>
    <cellStyle name="Accent4 3 2" xfId="6591"/>
    <cellStyle name="Accent4 3 2 2" xfId="6592"/>
    <cellStyle name="Accent4 3 2 3" xfId="6593"/>
    <cellStyle name="Accent4 3 2 4" xfId="6594"/>
    <cellStyle name="Accent4 3 2 5" xfId="6595"/>
    <cellStyle name="Accent4 3 2 6" xfId="6596"/>
    <cellStyle name="Accent4 3 2 7" xfId="6597"/>
    <cellStyle name="Accent4 3 2 8" xfId="6598"/>
    <cellStyle name="Accent4 3 2 9" xfId="6599"/>
    <cellStyle name="Accent4 3 3" xfId="6600"/>
    <cellStyle name="Accent4 3 3 2" xfId="6601"/>
    <cellStyle name="Accent4 3 4" xfId="6602"/>
    <cellStyle name="Accent4 3 4 2" xfId="6603"/>
    <cellStyle name="Accent4 3 5" xfId="6604"/>
    <cellStyle name="Accent4 3 6" xfId="6605"/>
    <cellStyle name="Accent4 3 7" xfId="6606"/>
    <cellStyle name="Accent4 3 8" xfId="6607"/>
    <cellStyle name="Accent4 3_Ramadugu_ SWGH" xfId="6618"/>
    <cellStyle name="Accent4 30" xfId="6608"/>
    <cellStyle name="Accent4 31" xfId="6609"/>
    <cellStyle name="Accent4 32" xfId="6610"/>
    <cellStyle name="Accent4 33" xfId="6611"/>
    <cellStyle name="Accent4 34" xfId="6612"/>
    <cellStyle name="Accent4 35" xfId="6613"/>
    <cellStyle name="Accent4 36" xfId="6614"/>
    <cellStyle name="Accent4 37" xfId="6615"/>
    <cellStyle name="Accent4 38" xfId="6616"/>
    <cellStyle name="Accent4 39" xfId="6617"/>
    <cellStyle name="Accent4 4" xfId="6619"/>
    <cellStyle name="Accent4 4 10" xfId="6620"/>
    <cellStyle name="Accent4 4 11" xfId="6621"/>
    <cellStyle name="Accent4 4 12" xfId="6622"/>
    <cellStyle name="Accent4 4 13" xfId="6623"/>
    <cellStyle name="Accent4 4 14" xfId="6624"/>
    <cellStyle name="Accent4 4 15" xfId="6625"/>
    <cellStyle name="Accent4 4 16" xfId="6626"/>
    <cellStyle name="Accent4 4 2" xfId="6627"/>
    <cellStyle name="Accent4 4 2 2" xfId="6628"/>
    <cellStyle name="Accent4 4 3" xfId="6629"/>
    <cellStyle name="Accent4 4 3 2" xfId="6630"/>
    <cellStyle name="Accent4 4 4" xfId="6631"/>
    <cellStyle name="Accent4 4 4 2" xfId="6632"/>
    <cellStyle name="Accent4 4 5" xfId="6633"/>
    <cellStyle name="Accent4 4 6" xfId="6634"/>
    <cellStyle name="Accent4 4 7" xfId="6635"/>
    <cellStyle name="Accent4 4 8" xfId="6636"/>
    <cellStyle name="Accent4 4 9" xfId="6637"/>
    <cellStyle name="Accent4 4_Sheet2" xfId="6648"/>
    <cellStyle name="Accent4 40" xfId="6638"/>
    <cellStyle name="Accent4 41" xfId="6639"/>
    <cellStyle name="Accent4 42" xfId="6640"/>
    <cellStyle name="Accent4 43" xfId="6641"/>
    <cellStyle name="Accent4 44" xfId="6642"/>
    <cellStyle name="Accent4 45" xfId="6643"/>
    <cellStyle name="Accent4 46" xfId="6644"/>
    <cellStyle name="Accent4 47" xfId="6645"/>
    <cellStyle name="Accent4 48" xfId="6646"/>
    <cellStyle name="Accent4 49" xfId="6647"/>
    <cellStyle name="Accent4 5" xfId="6649"/>
    <cellStyle name="Accent4 5 10" xfId="6650"/>
    <cellStyle name="Accent4 5 11" xfId="6651"/>
    <cellStyle name="Accent4 5 12" xfId="6652"/>
    <cellStyle name="Accent4 5 13" xfId="6653"/>
    <cellStyle name="Accent4 5 14" xfId="6654"/>
    <cellStyle name="Accent4 5 15" xfId="6655"/>
    <cellStyle name="Accent4 5 16" xfId="6656"/>
    <cellStyle name="Accent4 5 2" xfId="6657"/>
    <cellStyle name="Accent4 5 2 2" xfId="6658"/>
    <cellStyle name="Accent4 5 3" xfId="6659"/>
    <cellStyle name="Accent4 5 3 2" xfId="6660"/>
    <cellStyle name="Accent4 5 4" xfId="6661"/>
    <cellStyle name="Accent4 5 4 2" xfId="6662"/>
    <cellStyle name="Accent4 5 5" xfId="6663"/>
    <cellStyle name="Accent4 5 6" xfId="6664"/>
    <cellStyle name="Accent4 5 7" xfId="6665"/>
    <cellStyle name="Accent4 5 8" xfId="6666"/>
    <cellStyle name="Accent4 5 9" xfId="6667"/>
    <cellStyle name="Accent4 5_Sheet2" xfId="6672"/>
    <cellStyle name="Accent4 50" xfId="6668"/>
    <cellStyle name="Accent4 51" xfId="6669"/>
    <cellStyle name="Accent4 52" xfId="6670"/>
    <cellStyle name="Accent4 53" xfId="6671"/>
    <cellStyle name="Accent4 6" xfId="6673"/>
    <cellStyle name="Accent4 6 10" xfId="6674"/>
    <cellStyle name="Accent4 6 11" xfId="6675"/>
    <cellStyle name="Accent4 6 12" xfId="6676"/>
    <cellStyle name="Accent4 6 13" xfId="6677"/>
    <cellStyle name="Accent4 6 14" xfId="6678"/>
    <cellStyle name="Accent4 6 15" xfId="6679"/>
    <cellStyle name="Accent4 6 16" xfId="6680"/>
    <cellStyle name="Accent4 6 2" xfId="6681"/>
    <cellStyle name="Accent4 6 2 2" xfId="6682"/>
    <cellStyle name="Accent4 6 3" xfId="6683"/>
    <cellStyle name="Accent4 6 3 2" xfId="6684"/>
    <cellStyle name="Accent4 6 4" xfId="6685"/>
    <cellStyle name="Accent4 6 4 2" xfId="6686"/>
    <cellStyle name="Accent4 6 5" xfId="6687"/>
    <cellStyle name="Accent4 6 6" xfId="6688"/>
    <cellStyle name="Accent4 6 7" xfId="6689"/>
    <cellStyle name="Accent4 6 8" xfId="6690"/>
    <cellStyle name="Accent4 6 9" xfId="6691"/>
    <cellStyle name="Accent4 6_Sheet2" xfId="6692"/>
    <cellStyle name="Accent4 7" xfId="6693"/>
    <cellStyle name="Accent4 7 10" xfId="6694"/>
    <cellStyle name="Accent4 7 11" xfId="6695"/>
    <cellStyle name="Accent4 7 12" xfId="6696"/>
    <cellStyle name="Accent4 7 13" xfId="6697"/>
    <cellStyle name="Accent4 7 14" xfId="6698"/>
    <cellStyle name="Accent4 7 15" xfId="6699"/>
    <cellStyle name="Accent4 7 16" xfId="6700"/>
    <cellStyle name="Accent4 7 2" xfId="6701"/>
    <cellStyle name="Accent4 7 2 2" xfId="6702"/>
    <cellStyle name="Accent4 7 3" xfId="6703"/>
    <cellStyle name="Accent4 7 3 2" xfId="6704"/>
    <cellStyle name="Accent4 7 4" xfId="6705"/>
    <cellStyle name="Accent4 7 4 2" xfId="6706"/>
    <cellStyle name="Accent4 7 5" xfId="6707"/>
    <cellStyle name="Accent4 7 6" xfId="6708"/>
    <cellStyle name="Accent4 7 7" xfId="6709"/>
    <cellStyle name="Accent4 7 8" xfId="6710"/>
    <cellStyle name="Accent4 7 9" xfId="6711"/>
    <cellStyle name="Accent4 7_Sheet2" xfId="6712"/>
    <cellStyle name="Accent4 8" xfId="6713"/>
    <cellStyle name="Accent4 8 10" xfId="6714"/>
    <cellStyle name="Accent4 8 11" xfId="6715"/>
    <cellStyle name="Accent4 8 12" xfId="6716"/>
    <cellStyle name="Accent4 8 13" xfId="6717"/>
    <cellStyle name="Accent4 8 14" xfId="6718"/>
    <cellStyle name="Accent4 8 15" xfId="6719"/>
    <cellStyle name="Accent4 8 16" xfId="6720"/>
    <cellStyle name="Accent4 8 2" xfId="6721"/>
    <cellStyle name="Accent4 8 3" xfId="6722"/>
    <cellStyle name="Accent4 8 3 2" xfId="6723"/>
    <cellStyle name="Accent4 8 4" xfId="6724"/>
    <cellStyle name="Accent4 8 5" xfId="6725"/>
    <cellStyle name="Accent4 8 6" xfId="6726"/>
    <cellStyle name="Accent4 8 7" xfId="6727"/>
    <cellStyle name="Accent4 8 8" xfId="6728"/>
    <cellStyle name="Accent4 8 9" xfId="6729"/>
    <cellStyle name="Accent4 8_Sheet2" xfId="6730"/>
    <cellStyle name="Accent4 9" xfId="6731"/>
    <cellStyle name="Accent4 9 10" xfId="6732"/>
    <cellStyle name="Accent4 9 11" xfId="6733"/>
    <cellStyle name="Accent4 9 12" xfId="6734"/>
    <cellStyle name="Accent4 9 13" xfId="6735"/>
    <cellStyle name="Accent4 9 14" xfId="6736"/>
    <cellStyle name="Accent4 9 15" xfId="6737"/>
    <cellStyle name="Accent4 9 16" xfId="6738"/>
    <cellStyle name="Accent4 9 2" xfId="6739"/>
    <cellStyle name="Accent4 9 3" xfId="6740"/>
    <cellStyle name="Accent4 9 4" xfId="6741"/>
    <cellStyle name="Accent4 9 5" xfId="6742"/>
    <cellStyle name="Accent4 9 6" xfId="6743"/>
    <cellStyle name="Accent4 9 6 2" xfId="6744"/>
    <cellStyle name="Accent4 9 7" xfId="6745"/>
    <cellStyle name="Accent4 9 8" xfId="6746"/>
    <cellStyle name="Accent4 9 9" xfId="6747"/>
    <cellStyle name="Accent5 - 20%" xfId="6748"/>
    <cellStyle name="Accent5 - 20% 2" xfId="6749"/>
    <cellStyle name="Accent5 - 20% 2 2" xfId="6750"/>
    <cellStyle name="Accent5 - 20% 2 3" xfId="6751"/>
    <cellStyle name="Accent5 - 20% 3" xfId="6752"/>
    <cellStyle name="Accent5 - 20% 4" xfId="6753"/>
    <cellStyle name="Accent5 - 20%_APSWRSC-Kalasamudram" xfId="6754"/>
    <cellStyle name="Accent5 - 40%" xfId="6755"/>
    <cellStyle name="Accent5 - 40% 2" xfId="6756"/>
    <cellStyle name="Accent5 - 40% 2 2" xfId="6757"/>
    <cellStyle name="Accent5 - 40% 2 3" xfId="6758"/>
    <cellStyle name="Accent5 - 40% 3" xfId="6759"/>
    <cellStyle name="Accent5 - 40% 4" xfId="6760"/>
    <cellStyle name="Accent5 - 40%_APSWRSC-Kalasamudram" xfId="6761"/>
    <cellStyle name="Accent5 - 60%" xfId="6762"/>
    <cellStyle name="Accent5 1" xfId="6763"/>
    <cellStyle name="Accent5 1 1" xfId="6764"/>
    <cellStyle name="Accent5 10" xfId="6765"/>
    <cellStyle name="Accent5 10 10" xfId="6766"/>
    <cellStyle name="Accent5 10 11" xfId="6767"/>
    <cellStyle name="Accent5 10 12" xfId="6768"/>
    <cellStyle name="Accent5 10 13" xfId="6769"/>
    <cellStyle name="Accent5 10 14" xfId="6770"/>
    <cellStyle name="Accent5 10 15" xfId="6771"/>
    <cellStyle name="Accent5 10 16" xfId="6772"/>
    <cellStyle name="Accent5 10 2" xfId="6773"/>
    <cellStyle name="Accent5 10 3" xfId="6774"/>
    <cellStyle name="Accent5 10 4" xfId="6775"/>
    <cellStyle name="Accent5 10 5" xfId="6776"/>
    <cellStyle name="Accent5 10 6" xfId="6777"/>
    <cellStyle name="Accent5 10 7" xfId="6778"/>
    <cellStyle name="Accent5 10 8" xfId="6779"/>
    <cellStyle name="Accent5 10 9" xfId="6780"/>
    <cellStyle name="Accent5 11" xfId="6781"/>
    <cellStyle name="Accent5 11 2" xfId="6782"/>
    <cellStyle name="Accent5 11 3" xfId="6783"/>
    <cellStyle name="Accent5 11 4" xfId="6784"/>
    <cellStyle name="Accent5 11 5" xfId="6785"/>
    <cellStyle name="Accent5 11 6" xfId="6786"/>
    <cellStyle name="Accent5 11 7" xfId="6787"/>
    <cellStyle name="Accent5 11 8" xfId="6788"/>
    <cellStyle name="Accent5 11 9" xfId="6789"/>
    <cellStyle name="Accent5 12" xfId="6790"/>
    <cellStyle name="Accent5 12 2" xfId="6791"/>
    <cellStyle name="Accent5 12 3" xfId="6792"/>
    <cellStyle name="Accent5 12 4" xfId="6793"/>
    <cellStyle name="Accent5 12 5" xfId="6794"/>
    <cellStyle name="Accent5 12 6" xfId="6795"/>
    <cellStyle name="Accent5 12 7" xfId="6796"/>
    <cellStyle name="Accent5 12 8" xfId="6797"/>
    <cellStyle name="Accent5 12 9" xfId="6798"/>
    <cellStyle name="Accent5 13" xfId="6799"/>
    <cellStyle name="Accent5 13 2" xfId="6800"/>
    <cellStyle name="Accent5 13 3" xfId="6801"/>
    <cellStyle name="Accent5 13 4" xfId="6802"/>
    <cellStyle name="Accent5 13 5" xfId="6803"/>
    <cellStyle name="Accent5 13 6" xfId="6804"/>
    <cellStyle name="Accent5 13 7" xfId="6805"/>
    <cellStyle name="Accent5 13 8" xfId="6806"/>
    <cellStyle name="Accent5 13 9" xfId="6807"/>
    <cellStyle name="Accent5 14" xfId="6808"/>
    <cellStyle name="Accent5 14 2" xfId="6809"/>
    <cellStyle name="Accent5 14 3" xfId="6810"/>
    <cellStyle name="Accent5 14 4" xfId="6811"/>
    <cellStyle name="Accent5 14 5" xfId="6812"/>
    <cellStyle name="Accent5 14 6" xfId="6813"/>
    <cellStyle name="Accent5 14 7" xfId="6814"/>
    <cellStyle name="Accent5 14 8" xfId="6815"/>
    <cellStyle name="Accent5 14 9" xfId="6816"/>
    <cellStyle name="Accent5 15" xfId="6817"/>
    <cellStyle name="Accent5 15 2" xfId="6818"/>
    <cellStyle name="Accent5 15 3" xfId="6819"/>
    <cellStyle name="Accent5 15 4" xfId="6820"/>
    <cellStyle name="Accent5 15 5" xfId="6821"/>
    <cellStyle name="Accent5 15 6" xfId="6822"/>
    <cellStyle name="Accent5 15 7" xfId="6823"/>
    <cellStyle name="Accent5 15 8" xfId="6824"/>
    <cellStyle name="Accent5 15 9" xfId="6825"/>
    <cellStyle name="Accent5 16" xfId="6826"/>
    <cellStyle name="Accent5 16 2" xfId="6827"/>
    <cellStyle name="Accent5 16 3" xfId="6828"/>
    <cellStyle name="Accent5 16 4" xfId="6829"/>
    <cellStyle name="Accent5 16 5" xfId="6830"/>
    <cellStyle name="Accent5 16 6" xfId="6831"/>
    <cellStyle name="Accent5 16 7" xfId="6832"/>
    <cellStyle name="Accent5 16 8" xfId="6833"/>
    <cellStyle name="Accent5 16 9" xfId="6834"/>
    <cellStyle name="Accent5 17" xfId="6835"/>
    <cellStyle name="Accent5 18" xfId="6836"/>
    <cellStyle name="Accent5 19" xfId="6837"/>
    <cellStyle name="Accent5 2" xfId="6838"/>
    <cellStyle name="Accent5 2 2" xfId="6839"/>
    <cellStyle name="Accent5 2 2 2" xfId="6840"/>
    <cellStyle name="Accent5 2 2 2 2" xfId="6841"/>
    <cellStyle name="Accent5 2 2 3" xfId="6842"/>
    <cellStyle name="Accent5 2 2 4" xfId="6843"/>
    <cellStyle name="Accent5 2 2 5" xfId="6844"/>
    <cellStyle name="Accent5 2 2 6" xfId="6845"/>
    <cellStyle name="Accent5 2 2 7" xfId="6846"/>
    <cellStyle name="Accent5 2 2 8" xfId="6847"/>
    <cellStyle name="Accent5 2 2 9" xfId="6848"/>
    <cellStyle name="Accent5 2 3" xfId="6849"/>
    <cellStyle name="Accent5 2 3 2" xfId="6850"/>
    <cellStyle name="Accent5 2 4" xfId="6851"/>
    <cellStyle name="Accent5 2 4 2" xfId="6852"/>
    <cellStyle name="Accent5 2 5" xfId="6853"/>
    <cellStyle name="Accent5 2 5 2" xfId="6854"/>
    <cellStyle name="Accent5 2 6" xfId="6855"/>
    <cellStyle name="Accent5 2 7" xfId="6856"/>
    <cellStyle name="Accent5 2 8" xfId="6857"/>
    <cellStyle name="Accent5 2 9" xfId="6858"/>
    <cellStyle name="Accent5 2_Block-F LGF POur-II BBS" xfId="6869"/>
    <cellStyle name="Accent5 20" xfId="6859"/>
    <cellStyle name="Accent5 21" xfId="6860"/>
    <cellStyle name="Accent5 22" xfId="6861"/>
    <cellStyle name="Accent5 23" xfId="6862"/>
    <cellStyle name="Accent5 24" xfId="6863"/>
    <cellStyle name="Accent5 25" xfId="6864"/>
    <cellStyle name="Accent5 26" xfId="6865"/>
    <cellStyle name="Accent5 27" xfId="6866"/>
    <cellStyle name="Accent5 28" xfId="6867"/>
    <cellStyle name="Accent5 29" xfId="6868"/>
    <cellStyle name="Accent5 3" xfId="6870"/>
    <cellStyle name="Accent5 3 2" xfId="6871"/>
    <cellStyle name="Accent5 3 2 2" xfId="6872"/>
    <cellStyle name="Accent5 3 2 3" xfId="6873"/>
    <cellStyle name="Accent5 3 2 4" xfId="6874"/>
    <cellStyle name="Accent5 3 2 5" xfId="6875"/>
    <cellStyle name="Accent5 3 2 6" xfId="6876"/>
    <cellStyle name="Accent5 3 2 7" xfId="6877"/>
    <cellStyle name="Accent5 3 2 8" xfId="6878"/>
    <cellStyle name="Accent5 3 2 9" xfId="6879"/>
    <cellStyle name="Accent5 3 3" xfId="6880"/>
    <cellStyle name="Accent5 3 3 2" xfId="6881"/>
    <cellStyle name="Accent5 3 4" xfId="6882"/>
    <cellStyle name="Accent5 3 4 2" xfId="6883"/>
    <cellStyle name="Accent5 3 5" xfId="6884"/>
    <cellStyle name="Accent5 3 6" xfId="6885"/>
    <cellStyle name="Accent5 3 7" xfId="6886"/>
    <cellStyle name="Accent5 3 8" xfId="6887"/>
    <cellStyle name="Accent5 3_Ramadugu_ SWGH" xfId="6898"/>
    <cellStyle name="Accent5 30" xfId="6888"/>
    <cellStyle name="Accent5 31" xfId="6889"/>
    <cellStyle name="Accent5 32" xfId="6890"/>
    <cellStyle name="Accent5 33" xfId="6891"/>
    <cellStyle name="Accent5 34" xfId="6892"/>
    <cellStyle name="Accent5 35" xfId="6893"/>
    <cellStyle name="Accent5 36" xfId="6894"/>
    <cellStyle name="Accent5 37" xfId="6895"/>
    <cellStyle name="Accent5 38" xfId="6896"/>
    <cellStyle name="Accent5 39" xfId="6897"/>
    <cellStyle name="Accent5 4" xfId="6899"/>
    <cellStyle name="Accent5 4 10" xfId="6900"/>
    <cellStyle name="Accent5 4 11" xfId="6901"/>
    <cellStyle name="Accent5 4 12" xfId="6902"/>
    <cellStyle name="Accent5 4 13" xfId="6903"/>
    <cellStyle name="Accent5 4 14" xfId="6904"/>
    <cellStyle name="Accent5 4 15" xfId="6905"/>
    <cellStyle name="Accent5 4 16" xfId="6906"/>
    <cellStyle name="Accent5 4 2" xfId="6907"/>
    <cellStyle name="Accent5 4 2 2" xfId="6908"/>
    <cellStyle name="Accent5 4 3" xfId="6909"/>
    <cellStyle name="Accent5 4 3 2" xfId="6910"/>
    <cellStyle name="Accent5 4 4" xfId="6911"/>
    <cellStyle name="Accent5 4 4 2" xfId="6912"/>
    <cellStyle name="Accent5 4 5" xfId="6913"/>
    <cellStyle name="Accent5 4 6" xfId="6914"/>
    <cellStyle name="Accent5 4 7" xfId="6915"/>
    <cellStyle name="Accent5 4 8" xfId="6916"/>
    <cellStyle name="Accent5 4 9" xfId="6917"/>
    <cellStyle name="Accent5 4_Sheet2" xfId="6928"/>
    <cellStyle name="Accent5 40" xfId="6918"/>
    <cellStyle name="Accent5 41" xfId="6919"/>
    <cellStyle name="Accent5 42" xfId="6920"/>
    <cellStyle name="Accent5 43" xfId="6921"/>
    <cellStyle name="Accent5 44" xfId="6922"/>
    <cellStyle name="Accent5 45" xfId="6923"/>
    <cellStyle name="Accent5 46" xfId="6924"/>
    <cellStyle name="Accent5 47" xfId="6925"/>
    <cellStyle name="Accent5 48" xfId="6926"/>
    <cellStyle name="Accent5 49" xfId="6927"/>
    <cellStyle name="Accent5 5" xfId="6929"/>
    <cellStyle name="Accent5 5 10" xfId="6930"/>
    <cellStyle name="Accent5 5 11" xfId="6931"/>
    <cellStyle name="Accent5 5 12" xfId="6932"/>
    <cellStyle name="Accent5 5 13" xfId="6933"/>
    <cellStyle name="Accent5 5 14" xfId="6934"/>
    <cellStyle name="Accent5 5 15" xfId="6935"/>
    <cellStyle name="Accent5 5 16" xfId="6936"/>
    <cellStyle name="Accent5 5 2" xfId="6937"/>
    <cellStyle name="Accent5 5 2 2" xfId="6938"/>
    <cellStyle name="Accent5 5 3" xfId="6939"/>
    <cellStyle name="Accent5 5 3 2" xfId="6940"/>
    <cellStyle name="Accent5 5 4" xfId="6941"/>
    <cellStyle name="Accent5 5 4 2" xfId="6942"/>
    <cellStyle name="Accent5 5 5" xfId="6943"/>
    <cellStyle name="Accent5 5 6" xfId="6944"/>
    <cellStyle name="Accent5 5 7" xfId="6945"/>
    <cellStyle name="Accent5 5 8" xfId="6946"/>
    <cellStyle name="Accent5 5 9" xfId="6947"/>
    <cellStyle name="Accent5 5_Sheet2" xfId="6952"/>
    <cellStyle name="Accent5 50" xfId="6948"/>
    <cellStyle name="Accent5 51" xfId="6949"/>
    <cellStyle name="Accent5 52" xfId="6950"/>
    <cellStyle name="Accent5 53" xfId="6951"/>
    <cellStyle name="Accent5 6" xfId="6953"/>
    <cellStyle name="Accent5 6 10" xfId="6954"/>
    <cellStyle name="Accent5 6 11" xfId="6955"/>
    <cellStyle name="Accent5 6 12" xfId="6956"/>
    <cellStyle name="Accent5 6 13" xfId="6957"/>
    <cellStyle name="Accent5 6 14" xfId="6958"/>
    <cellStyle name="Accent5 6 15" xfId="6959"/>
    <cellStyle name="Accent5 6 16" xfId="6960"/>
    <cellStyle name="Accent5 6 2" xfId="6961"/>
    <cellStyle name="Accent5 6 2 2" xfId="6962"/>
    <cellStyle name="Accent5 6 3" xfId="6963"/>
    <cellStyle name="Accent5 6 3 2" xfId="6964"/>
    <cellStyle name="Accent5 6 4" xfId="6965"/>
    <cellStyle name="Accent5 6 4 2" xfId="6966"/>
    <cellStyle name="Accent5 6 5" xfId="6967"/>
    <cellStyle name="Accent5 6 6" xfId="6968"/>
    <cellStyle name="Accent5 6 7" xfId="6969"/>
    <cellStyle name="Accent5 6 8" xfId="6970"/>
    <cellStyle name="Accent5 6 9" xfId="6971"/>
    <cellStyle name="Accent5 6_Sheet2" xfId="6972"/>
    <cellStyle name="Accent5 7" xfId="6973"/>
    <cellStyle name="Accent5 7 10" xfId="6974"/>
    <cellStyle name="Accent5 7 11" xfId="6975"/>
    <cellStyle name="Accent5 7 12" xfId="6976"/>
    <cellStyle name="Accent5 7 13" xfId="6977"/>
    <cellStyle name="Accent5 7 14" xfId="6978"/>
    <cellStyle name="Accent5 7 15" xfId="6979"/>
    <cellStyle name="Accent5 7 16" xfId="6980"/>
    <cellStyle name="Accent5 7 2" xfId="6981"/>
    <cellStyle name="Accent5 7 2 2" xfId="6982"/>
    <cellStyle name="Accent5 7 3" xfId="6983"/>
    <cellStyle name="Accent5 7 3 2" xfId="6984"/>
    <cellStyle name="Accent5 7 4" xfId="6985"/>
    <cellStyle name="Accent5 7 4 2" xfId="6986"/>
    <cellStyle name="Accent5 7 5" xfId="6987"/>
    <cellStyle name="Accent5 7 6" xfId="6988"/>
    <cellStyle name="Accent5 7 7" xfId="6989"/>
    <cellStyle name="Accent5 7 8" xfId="6990"/>
    <cellStyle name="Accent5 7 9" xfId="6991"/>
    <cellStyle name="Accent5 7_Sheet2" xfId="6992"/>
    <cellStyle name="Accent5 8" xfId="6993"/>
    <cellStyle name="Accent5 8 10" xfId="6994"/>
    <cellStyle name="Accent5 8 11" xfId="6995"/>
    <cellStyle name="Accent5 8 12" xfId="6996"/>
    <cellStyle name="Accent5 8 13" xfId="6997"/>
    <cellStyle name="Accent5 8 14" xfId="6998"/>
    <cellStyle name="Accent5 8 15" xfId="6999"/>
    <cellStyle name="Accent5 8 16" xfId="7000"/>
    <cellStyle name="Accent5 8 2" xfId="7001"/>
    <cellStyle name="Accent5 8 3" xfId="7002"/>
    <cellStyle name="Accent5 8 4" xfId="7003"/>
    <cellStyle name="Accent5 8 5" xfId="7004"/>
    <cellStyle name="Accent5 8 6" xfId="7005"/>
    <cellStyle name="Accent5 8 7" xfId="7006"/>
    <cellStyle name="Accent5 8 8" xfId="7007"/>
    <cellStyle name="Accent5 8 9" xfId="7008"/>
    <cellStyle name="Accent5 8_Sheet2" xfId="7009"/>
    <cellStyle name="Accent5 9" xfId="7010"/>
    <cellStyle name="Accent5 9 10" xfId="7011"/>
    <cellStyle name="Accent5 9 11" xfId="7012"/>
    <cellStyle name="Accent5 9 12" xfId="7013"/>
    <cellStyle name="Accent5 9 13" xfId="7014"/>
    <cellStyle name="Accent5 9 14" xfId="7015"/>
    <cellStyle name="Accent5 9 15" xfId="7016"/>
    <cellStyle name="Accent5 9 16" xfId="7017"/>
    <cellStyle name="Accent5 9 2" xfId="7018"/>
    <cellStyle name="Accent5 9 3" xfId="7019"/>
    <cellStyle name="Accent5 9 4" xfId="7020"/>
    <cellStyle name="Accent5 9 5" xfId="7021"/>
    <cellStyle name="Accent5 9 6" xfId="7022"/>
    <cellStyle name="Accent5 9 7" xfId="7023"/>
    <cellStyle name="Accent5 9 8" xfId="7024"/>
    <cellStyle name="Accent5 9 9" xfId="7025"/>
    <cellStyle name="Accent6 - 20%" xfId="7026"/>
    <cellStyle name="Accent6 - 20% 2" xfId="7027"/>
    <cellStyle name="Accent6 - 20% 2 2" xfId="7028"/>
    <cellStyle name="Accent6 - 20% 2 3" xfId="7029"/>
    <cellStyle name="Accent6 - 20% 3" xfId="7030"/>
    <cellStyle name="Accent6 - 20% 4" xfId="7031"/>
    <cellStyle name="Accent6 - 20%_APSWRSC-Kalasamudram" xfId="7032"/>
    <cellStyle name="Accent6 - 40%" xfId="7033"/>
    <cellStyle name="Accent6 - 40% 2" xfId="7034"/>
    <cellStyle name="Accent6 - 40% 2 2" xfId="7035"/>
    <cellStyle name="Accent6 - 40% 2 3" xfId="7036"/>
    <cellStyle name="Accent6 - 40% 3" xfId="7037"/>
    <cellStyle name="Accent6 - 40% 4" xfId="7038"/>
    <cellStyle name="Accent6 - 40%_APSWRSC-Kalasamudram" xfId="7039"/>
    <cellStyle name="Accent6 - 60%" xfId="7040"/>
    <cellStyle name="Accent6 1" xfId="7041"/>
    <cellStyle name="Accent6 1 1" xfId="7042"/>
    <cellStyle name="Accent6 1_Building_-_5-final_Price_Variation(1)" xfId="7116"/>
    <cellStyle name="Accent6 10" xfId="7043"/>
    <cellStyle name="Accent6 10 10" xfId="7044"/>
    <cellStyle name="Accent6 10 11" xfId="7045"/>
    <cellStyle name="Accent6 10 12" xfId="7046"/>
    <cellStyle name="Accent6 10 13" xfId="7047"/>
    <cellStyle name="Accent6 10 14" xfId="7048"/>
    <cellStyle name="Accent6 10 15" xfId="7049"/>
    <cellStyle name="Accent6 10 16" xfId="7050"/>
    <cellStyle name="Accent6 10 2" xfId="7051"/>
    <cellStyle name="Accent6 10 3" xfId="7052"/>
    <cellStyle name="Accent6 10 4" xfId="7053"/>
    <cellStyle name="Accent6 10 5" xfId="7054"/>
    <cellStyle name="Accent6 10 6" xfId="7055"/>
    <cellStyle name="Accent6 10 7" xfId="7056"/>
    <cellStyle name="Accent6 10 8" xfId="7057"/>
    <cellStyle name="Accent6 10 9" xfId="7058"/>
    <cellStyle name="Accent6 11" xfId="7059"/>
    <cellStyle name="Accent6 11 2" xfId="7060"/>
    <cellStyle name="Accent6 11 3" xfId="7061"/>
    <cellStyle name="Accent6 11 4" xfId="7062"/>
    <cellStyle name="Accent6 11 5" xfId="7063"/>
    <cellStyle name="Accent6 11 6" xfId="7064"/>
    <cellStyle name="Accent6 11 7" xfId="7065"/>
    <cellStyle name="Accent6 11 8" xfId="7066"/>
    <cellStyle name="Accent6 11 9" xfId="7067"/>
    <cellStyle name="Accent6 12" xfId="7068"/>
    <cellStyle name="Accent6 12 2" xfId="7069"/>
    <cellStyle name="Accent6 12 3" xfId="7070"/>
    <cellStyle name="Accent6 12 4" xfId="7071"/>
    <cellStyle name="Accent6 12 5" xfId="7072"/>
    <cellStyle name="Accent6 12 6" xfId="7073"/>
    <cellStyle name="Accent6 12 7" xfId="7074"/>
    <cellStyle name="Accent6 12 8" xfId="7075"/>
    <cellStyle name="Accent6 12 9" xfId="7076"/>
    <cellStyle name="Accent6 13" xfId="7077"/>
    <cellStyle name="Accent6 13 2" xfId="7078"/>
    <cellStyle name="Accent6 13 3" xfId="7079"/>
    <cellStyle name="Accent6 13 4" xfId="7080"/>
    <cellStyle name="Accent6 13 5" xfId="7081"/>
    <cellStyle name="Accent6 13 6" xfId="7082"/>
    <cellStyle name="Accent6 13 7" xfId="7083"/>
    <cellStyle name="Accent6 13 8" xfId="7084"/>
    <cellStyle name="Accent6 13 9" xfId="7085"/>
    <cellStyle name="Accent6 14" xfId="7086"/>
    <cellStyle name="Accent6 14 2" xfId="7087"/>
    <cellStyle name="Accent6 14 3" xfId="7088"/>
    <cellStyle name="Accent6 14 4" xfId="7089"/>
    <cellStyle name="Accent6 14 5" xfId="7090"/>
    <cellStyle name="Accent6 14 6" xfId="7091"/>
    <cellStyle name="Accent6 14 7" xfId="7092"/>
    <cellStyle name="Accent6 14 8" xfId="7093"/>
    <cellStyle name="Accent6 14 9" xfId="7094"/>
    <cellStyle name="Accent6 15" xfId="7095"/>
    <cellStyle name="Accent6 15 2" xfId="7096"/>
    <cellStyle name="Accent6 15 3" xfId="7097"/>
    <cellStyle name="Accent6 15 4" xfId="7098"/>
    <cellStyle name="Accent6 15 5" xfId="7099"/>
    <cellStyle name="Accent6 15 6" xfId="7100"/>
    <cellStyle name="Accent6 15 7" xfId="7101"/>
    <cellStyle name="Accent6 15 8" xfId="7102"/>
    <cellStyle name="Accent6 15 9" xfId="7103"/>
    <cellStyle name="Accent6 16" xfId="7104"/>
    <cellStyle name="Accent6 16 2" xfId="7105"/>
    <cellStyle name="Accent6 16 3" xfId="7106"/>
    <cellStyle name="Accent6 16 4" xfId="7107"/>
    <cellStyle name="Accent6 16 5" xfId="7108"/>
    <cellStyle name="Accent6 16 6" xfId="7109"/>
    <cellStyle name="Accent6 16 7" xfId="7110"/>
    <cellStyle name="Accent6 16 8" xfId="7111"/>
    <cellStyle name="Accent6 16 9" xfId="7112"/>
    <cellStyle name="Accent6 17" xfId="7113"/>
    <cellStyle name="Accent6 18" xfId="7114"/>
    <cellStyle name="Accent6 19" xfId="7115"/>
    <cellStyle name="Accent6 2" xfId="7117"/>
    <cellStyle name="Accent6 2 2" xfId="7118"/>
    <cellStyle name="Accent6 2 2 2" xfId="7119"/>
    <cellStyle name="Accent6 2 2 2 2" xfId="7120"/>
    <cellStyle name="Accent6 2 2 3" xfId="7121"/>
    <cellStyle name="Accent6 2 2 4" xfId="7122"/>
    <cellStyle name="Accent6 2 2 5" xfId="7123"/>
    <cellStyle name="Accent6 2 2 6" xfId="7124"/>
    <cellStyle name="Accent6 2 2 7" xfId="7125"/>
    <cellStyle name="Accent6 2 2 8" xfId="7126"/>
    <cellStyle name="Accent6 2 2 9" xfId="7127"/>
    <cellStyle name="Accent6 2 3" xfId="7128"/>
    <cellStyle name="Accent6 2 3 2" xfId="7129"/>
    <cellStyle name="Accent6 2 4" xfId="7130"/>
    <cellStyle name="Accent6 2 4 2" xfId="7131"/>
    <cellStyle name="Accent6 2 5" xfId="7132"/>
    <cellStyle name="Accent6 2 5 2" xfId="7133"/>
    <cellStyle name="Accent6 2 6" xfId="7134"/>
    <cellStyle name="Accent6 2 7" xfId="7135"/>
    <cellStyle name="Accent6 2 8" xfId="7136"/>
    <cellStyle name="Accent6 2 9" xfId="7137"/>
    <cellStyle name="Accent6 2_Block-F LGF POur-II BBS" xfId="7148"/>
    <cellStyle name="Accent6 20" xfId="7138"/>
    <cellStyle name="Accent6 21" xfId="7139"/>
    <cellStyle name="Accent6 22" xfId="7140"/>
    <cellStyle name="Accent6 23" xfId="7141"/>
    <cellStyle name="Accent6 24" xfId="7142"/>
    <cellStyle name="Accent6 25" xfId="7143"/>
    <cellStyle name="Accent6 26" xfId="7144"/>
    <cellStyle name="Accent6 27" xfId="7145"/>
    <cellStyle name="Accent6 28" xfId="7146"/>
    <cellStyle name="Accent6 29" xfId="7147"/>
    <cellStyle name="Accent6 3" xfId="7149"/>
    <cellStyle name="Accent6 3 2" xfId="7150"/>
    <cellStyle name="Accent6 3 2 2" xfId="7151"/>
    <cellStyle name="Accent6 3 2 3" xfId="7152"/>
    <cellStyle name="Accent6 3 2 4" xfId="7153"/>
    <cellStyle name="Accent6 3 2 5" xfId="7154"/>
    <cellStyle name="Accent6 3 2 6" xfId="7155"/>
    <cellStyle name="Accent6 3 2 7" xfId="7156"/>
    <cellStyle name="Accent6 3 2 8" xfId="7157"/>
    <cellStyle name="Accent6 3 2 9" xfId="7158"/>
    <cellStyle name="Accent6 3 3" xfId="7159"/>
    <cellStyle name="Accent6 3 3 2" xfId="7160"/>
    <cellStyle name="Accent6 3 4" xfId="7161"/>
    <cellStyle name="Accent6 3 4 2" xfId="7162"/>
    <cellStyle name="Accent6 3 5" xfId="7163"/>
    <cellStyle name="Accent6 3 6" xfId="7164"/>
    <cellStyle name="Accent6 3 7" xfId="7165"/>
    <cellStyle name="Accent6 3 8" xfId="7166"/>
    <cellStyle name="Accent6 3_Ramadugu_ SWGH" xfId="7177"/>
    <cellStyle name="Accent6 30" xfId="7167"/>
    <cellStyle name="Accent6 31" xfId="7168"/>
    <cellStyle name="Accent6 32" xfId="7169"/>
    <cellStyle name="Accent6 33" xfId="7170"/>
    <cellStyle name="Accent6 34" xfId="7171"/>
    <cellStyle name="Accent6 35" xfId="7172"/>
    <cellStyle name="Accent6 36" xfId="7173"/>
    <cellStyle name="Accent6 37" xfId="7174"/>
    <cellStyle name="Accent6 38" xfId="7175"/>
    <cellStyle name="Accent6 39" xfId="7176"/>
    <cellStyle name="Accent6 4" xfId="7178"/>
    <cellStyle name="Accent6 4 10" xfId="7179"/>
    <cellStyle name="Accent6 4 11" xfId="7180"/>
    <cellStyle name="Accent6 4 12" xfId="7181"/>
    <cellStyle name="Accent6 4 13" xfId="7182"/>
    <cellStyle name="Accent6 4 14" xfId="7183"/>
    <cellStyle name="Accent6 4 15" xfId="7184"/>
    <cellStyle name="Accent6 4 16" xfId="7185"/>
    <cellStyle name="Accent6 4 2" xfId="7186"/>
    <cellStyle name="Accent6 4 2 2" xfId="7187"/>
    <cellStyle name="Accent6 4 3" xfId="7188"/>
    <cellStyle name="Accent6 4 3 2" xfId="7189"/>
    <cellStyle name="Accent6 4 4" xfId="7190"/>
    <cellStyle name="Accent6 4 4 2" xfId="7191"/>
    <cellStyle name="Accent6 4 5" xfId="7192"/>
    <cellStyle name="Accent6 4 6" xfId="7193"/>
    <cellStyle name="Accent6 4 7" xfId="7194"/>
    <cellStyle name="Accent6 4 8" xfId="7195"/>
    <cellStyle name="Accent6 4 9" xfId="7196"/>
    <cellStyle name="Accent6 4_Sheet2" xfId="7207"/>
    <cellStyle name="Accent6 40" xfId="7197"/>
    <cellStyle name="Accent6 41" xfId="7198"/>
    <cellStyle name="Accent6 42" xfId="7199"/>
    <cellStyle name="Accent6 43" xfId="7200"/>
    <cellStyle name="Accent6 44" xfId="7201"/>
    <cellStyle name="Accent6 45" xfId="7202"/>
    <cellStyle name="Accent6 46" xfId="7203"/>
    <cellStyle name="Accent6 47" xfId="7204"/>
    <cellStyle name="Accent6 48" xfId="7205"/>
    <cellStyle name="Accent6 49" xfId="7206"/>
    <cellStyle name="Accent6 5" xfId="7208"/>
    <cellStyle name="Accent6 5 10" xfId="7209"/>
    <cellStyle name="Accent6 5 11" xfId="7210"/>
    <cellStyle name="Accent6 5 12" xfId="7211"/>
    <cellStyle name="Accent6 5 13" xfId="7212"/>
    <cellStyle name="Accent6 5 14" xfId="7213"/>
    <cellStyle name="Accent6 5 15" xfId="7214"/>
    <cellStyle name="Accent6 5 16" xfId="7215"/>
    <cellStyle name="Accent6 5 2" xfId="7216"/>
    <cellStyle name="Accent6 5 2 2" xfId="7217"/>
    <cellStyle name="Accent6 5 3" xfId="7218"/>
    <cellStyle name="Accent6 5 3 2" xfId="7219"/>
    <cellStyle name="Accent6 5 4" xfId="7220"/>
    <cellStyle name="Accent6 5 4 2" xfId="7221"/>
    <cellStyle name="Accent6 5 5" xfId="7222"/>
    <cellStyle name="Accent6 5 6" xfId="7223"/>
    <cellStyle name="Accent6 5 7" xfId="7224"/>
    <cellStyle name="Accent6 5 8" xfId="7225"/>
    <cellStyle name="Accent6 5 9" xfId="7226"/>
    <cellStyle name="Accent6 5_Sheet2" xfId="7231"/>
    <cellStyle name="Accent6 50" xfId="7227"/>
    <cellStyle name="Accent6 51" xfId="7228"/>
    <cellStyle name="Accent6 52" xfId="7229"/>
    <cellStyle name="Accent6 53" xfId="7230"/>
    <cellStyle name="Accent6 6" xfId="7232"/>
    <cellStyle name="Accent6 6 10" xfId="7233"/>
    <cellStyle name="Accent6 6 11" xfId="7234"/>
    <cellStyle name="Accent6 6 12" xfId="7235"/>
    <cellStyle name="Accent6 6 13" xfId="7236"/>
    <cellStyle name="Accent6 6 14" xfId="7237"/>
    <cellStyle name="Accent6 6 15" xfId="7238"/>
    <cellStyle name="Accent6 6 16" xfId="7239"/>
    <cellStyle name="Accent6 6 2" xfId="7240"/>
    <cellStyle name="Accent6 6 2 2" xfId="7241"/>
    <cellStyle name="Accent6 6 3" xfId="7242"/>
    <cellStyle name="Accent6 6 3 2" xfId="7243"/>
    <cellStyle name="Accent6 6 4" xfId="7244"/>
    <cellStyle name="Accent6 6 4 2" xfId="7245"/>
    <cellStyle name="Accent6 6 5" xfId="7246"/>
    <cellStyle name="Accent6 6 6" xfId="7247"/>
    <cellStyle name="Accent6 6 7" xfId="7248"/>
    <cellStyle name="Accent6 6 8" xfId="7249"/>
    <cellStyle name="Accent6 6 9" xfId="7250"/>
    <cellStyle name="Accent6 6_Sheet2" xfId="7251"/>
    <cellStyle name="Accent6 7" xfId="7252"/>
    <cellStyle name="Accent6 7 10" xfId="7253"/>
    <cellStyle name="Accent6 7 11" xfId="7254"/>
    <cellStyle name="Accent6 7 12" xfId="7255"/>
    <cellStyle name="Accent6 7 13" xfId="7256"/>
    <cellStyle name="Accent6 7 14" xfId="7257"/>
    <cellStyle name="Accent6 7 15" xfId="7258"/>
    <cellStyle name="Accent6 7 16" xfId="7259"/>
    <cellStyle name="Accent6 7 2" xfId="7260"/>
    <cellStyle name="Accent6 7 2 2" xfId="7261"/>
    <cellStyle name="Accent6 7 3" xfId="7262"/>
    <cellStyle name="Accent6 7 3 2" xfId="7263"/>
    <cellStyle name="Accent6 7 4" xfId="7264"/>
    <cellStyle name="Accent6 7 4 2" xfId="7265"/>
    <cellStyle name="Accent6 7 5" xfId="7266"/>
    <cellStyle name="Accent6 7 6" xfId="7267"/>
    <cellStyle name="Accent6 7 7" xfId="7268"/>
    <cellStyle name="Accent6 7 8" xfId="7269"/>
    <cellStyle name="Accent6 7 9" xfId="7270"/>
    <cellStyle name="Accent6 7_Sheet2" xfId="7271"/>
    <cellStyle name="Accent6 8" xfId="7272"/>
    <cellStyle name="Accent6 8 10" xfId="7273"/>
    <cellStyle name="Accent6 8 11" xfId="7274"/>
    <cellStyle name="Accent6 8 12" xfId="7275"/>
    <cellStyle name="Accent6 8 13" xfId="7276"/>
    <cellStyle name="Accent6 8 14" xfId="7277"/>
    <cellStyle name="Accent6 8 15" xfId="7278"/>
    <cellStyle name="Accent6 8 16" xfId="7279"/>
    <cellStyle name="Accent6 8 2" xfId="7280"/>
    <cellStyle name="Accent6 8 3" xfId="7281"/>
    <cellStyle name="Accent6 8 4" xfId="7282"/>
    <cellStyle name="Accent6 8 5" xfId="7283"/>
    <cellStyle name="Accent6 8 6" xfId="7284"/>
    <cellStyle name="Accent6 8 7" xfId="7285"/>
    <cellStyle name="Accent6 8 8" xfId="7286"/>
    <cellStyle name="Accent6 8 9" xfId="7287"/>
    <cellStyle name="Accent6 8_Sheet2" xfId="7288"/>
    <cellStyle name="Accent6 9" xfId="7289"/>
    <cellStyle name="Accent6 9 10" xfId="7290"/>
    <cellStyle name="Accent6 9 11" xfId="7291"/>
    <cellStyle name="Accent6 9 12" xfId="7292"/>
    <cellStyle name="Accent6 9 13" xfId="7293"/>
    <cellStyle name="Accent6 9 14" xfId="7294"/>
    <cellStyle name="Accent6 9 15" xfId="7295"/>
    <cellStyle name="Accent6 9 16" xfId="7296"/>
    <cellStyle name="Accent6 9 2" xfId="7297"/>
    <cellStyle name="Accent6 9 3" xfId="7298"/>
    <cellStyle name="Accent6 9 4" xfId="7299"/>
    <cellStyle name="Accent6 9 5" xfId="7300"/>
    <cellStyle name="Accent6 9 6" xfId="7301"/>
    <cellStyle name="Accent6 9 7" xfId="7302"/>
    <cellStyle name="Accent6 9 8" xfId="7303"/>
    <cellStyle name="Accent6 9 9" xfId="7304"/>
    <cellStyle name="active" xfId="7305"/>
    <cellStyle name="Actual Date" xfId="7306"/>
    <cellStyle name="Actual Date 2" xfId="7307"/>
    <cellStyle name="Actual Date 3" xfId="7308"/>
    <cellStyle name="Actual Date 4" xfId="7309"/>
    <cellStyle name="Actual Date 5" xfId="7310"/>
    <cellStyle name="Actual Date 6" xfId="7311"/>
    <cellStyle name="Actual Date 7" xfId="7312"/>
    <cellStyle name="adj_share" xfId="7313"/>
    <cellStyle name="ÅëÈ­ [0]_±âÅ¸" xfId="30824"/>
    <cellStyle name="AeE­ [0]_INQUIRY ¿μ¾÷AßAø " xfId="7314"/>
    <cellStyle name="ÅëÈ­_±âÅ¸" xfId="30825"/>
    <cellStyle name="AeE­_INQUIRY ¿μ¾÷AßAø " xfId="7315"/>
    <cellStyle name="Afjusted" xfId="7316"/>
    <cellStyle name="Afjusted 2" xfId="7317"/>
    <cellStyle name="Afjusted 3" xfId="7318"/>
    <cellStyle name="Afjusted 4" xfId="7319"/>
    <cellStyle name="Afjusted 5" xfId="7320"/>
    <cellStyle name="Ah:S_x0007_R0 " xfId="7321"/>
    <cellStyle name="Ah:S_x0007_R0  2" xfId="7322"/>
    <cellStyle name="Ah:S_x0007_R0  3" xfId="7323"/>
    <cellStyle name="Ah:S_x0007_R0  4" xfId="7324"/>
    <cellStyle name="Ah:S_x0007_R0  5" xfId="7325"/>
    <cellStyle name="Ah:S_x0007_R0  6" xfId="7326"/>
    <cellStyle name="Ah:S_x0007_R0  7" xfId="7327"/>
    <cellStyle name="Ah:S_x0007_R0  8" xfId="7328"/>
    <cellStyle name="Ah:S_x0007_R0_" xfId="7329"/>
    <cellStyle name="Akzent1" xfId="7330"/>
    <cellStyle name="Akzent2" xfId="7331"/>
    <cellStyle name="Akzent3" xfId="7332"/>
    <cellStyle name="Akzent4" xfId="7333"/>
    <cellStyle name="Akzent5" xfId="7334"/>
    <cellStyle name="Akzent6" xfId="7335"/>
    <cellStyle name="AMAR1" xfId="7336"/>
    <cellStyle name="args.style" xfId="7337"/>
    <cellStyle name="Arial" xfId="7338"/>
    <cellStyle name="Arial1 - Style1" xfId="7339"/>
    <cellStyle name="Arial1 - Style2" xfId="7340"/>
    <cellStyle name="Arial10" xfId="7341"/>
    <cellStyle name="Arial10 2" xfId="7342"/>
    <cellStyle name="Arial10 2 2" xfId="7343"/>
    <cellStyle name="Arial10 2 3" xfId="7344"/>
    <cellStyle name="Arial10 2 4" xfId="7345"/>
    <cellStyle name="Arial10 3" xfId="7346"/>
    <cellStyle name="Arial10 4" xfId="7347"/>
    <cellStyle name="Arial10 5" xfId="7348"/>
    <cellStyle name="Arial10_Extra items Diff" xfId="7349"/>
    <cellStyle name="Array" xfId="7350"/>
    <cellStyle name="Array 2" xfId="7351"/>
    <cellStyle name="Array 3" xfId="7352"/>
    <cellStyle name="Array 4" xfId="7353"/>
    <cellStyle name="Array 5" xfId="7354"/>
    <cellStyle name="Array Enter" xfId="7355"/>
    <cellStyle name="Array Enter 2" xfId="7356"/>
    <cellStyle name="Array Enter 3" xfId="7357"/>
    <cellStyle name="Array Enter 4" xfId="7358"/>
    <cellStyle name="Array Enter 5" xfId="7359"/>
    <cellStyle name="ÄÞ¸¶ [0]_±âÅ¸" xfId="30822"/>
    <cellStyle name="AÞ¸¶ [0]_INQUIRY ¿?¾÷AßAø " xfId="7373"/>
    <cellStyle name="ÄÞ¸¶_±âÅ¸" xfId="30823"/>
    <cellStyle name="AÞ¸¶_INQUIRY ¿?¾÷AßAø " xfId="7374"/>
    <cellStyle name="Ausgabe" xfId="7360"/>
    <cellStyle name="Ausgabe 2" xfId="7361"/>
    <cellStyle name="Ausgabe 2 2" xfId="7362"/>
    <cellStyle name="Ausgabe 2 3" xfId="7363"/>
    <cellStyle name="Ausgabe 2 4" xfId="7364"/>
    <cellStyle name="Ausgabe 3" xfId="7365"/>
    <cellStyle name="Ausgabe 4" xfId="7366"/>
    <cellStyle name="Ausgabe 5" xfId="7367"/>
    <cellStyle name="AvantTotal" xfId="7368"/>
    <cellStyle name="AvantTotal 2" xfId="7369"/>
    <cellStyle name="AvantTotal 3" xfId="7370"/>
    <cellStyle name="AvantTotal 4" xfId="7371"/>
    <cellStyle name="AvantTotal 5" xfId="7372"/>
    <cellStyle name="b" xfId="7375"/>
    <cellStyle name="_x0002_b" xfId="2"/>
    <cellStyle name="b_Cinderella Model v1" xfId="7387"/>
    <cellStyle name="b_Cinderella Model v1May 29" xfId="7388"/>
    <cellStyle name="b_Cinderella Model v8" xfId="7389"/>
    <cellStyle name="b_Cinderella Model v9_ML number" xfId="7390"/>
    <cellStyle name="b_Gazelle DDM May-15-2003" xfId="7391"/>
    <cellStyle name="b0" xfId="7376"/>
    <cellStyle name="b1x" xfId="7377"/>
    <cellStyle name="b1x 2" xfId="7378"/>
    <cellStyle name="b1x 2 2" xfId="7379"/>
    <cellStyle name="b1x 2 3" xfId="7380"/>
    <cellStyle name="b1x 2 4" xfId="7381"/>
    <cellStyle name="b1x 2 5" xfId="7382"/>
    <cellStyle name="b1x 3" xfId="7383"/>
    <cellStyle name="b1x 4" xfId="7384"/>
    <cellStyle name="b1x 5" xfId="7385"/>
    <cellStyle name="b1x 6" xfId="7386"/>
    <cellStyle name="Bad 1" xfId="7392"/>
    <cellStyle name="Bad 1 1" xfId="7393"/>
    <cellStyle name="Bad 10" xfId="7394"/>
    <cellStyle name="Bad 10 10" xfId="7395"/>
    <cellStyle name="Bad 10 11" xfId="7396"/>
    <cellStyle name="Bad 10 12" xfId="7397"/>
    <cellStyle name="Bad 10 13" xfId="7398"/>
    <cellStyle name="Bad 10 14" xfId="7399"/>
    <cellStyle name="Bad 10 15" xfId="7400"/>
    <cellStyle name="Bad 10 16" xfId="7401"/>
    <cellStyle name="Bad 10 2" xfId="7402"/>
    <cellStyle name="Bad 10 3" xfId="7403"/>
    <cellStyle name="Bad 10 4" xfId="7404"/>
    <cellStyle name="Bad 10 5" xfId="7405"/>
    <cellStyle name="Bad 10 6" xfId="7406"/>
    <cellStyle name="Bad 10 7" xfId="7407"/>
    <cellStyle name="Bad 10 8" xfId="7408"/>
    <cellStyle name="Bad 10 9" xfId="7409"/>
    <cellStyle name="Bad 11" xfId="7410"/>
    <cellStyle name="Bad 11 2" xfId="7411"/>
    <cellStyle name="Bad 11 3" xfId="7412"/>
    <cellStyle name="Bad 11 4" xfId="7413"/>
    <cellStyle name="Bad 11 5" xfId="7414"/>
    <cellStyle name="Bad 11 6" xfId="7415"/>
    <cellStyle name="Bad 11 7" xfId="7416"/>
    <cellStyle name="Bad 11 8" xfId="7417"/>
    <cellStyle name="Bad 11 9" xfId="7418"/>
    <cellStyle name="Bad 12" xfId="7419"/>
    <cellStyle name="Bad 12 2" xfId="7420"/>
    <cellStyle name="Bad 12 3" xfId="7421"/>
    <cellStyle name="Bad 12 4" xfId="7422"/>
    <cellStyle name="Bad 12 5" xfId="7423"/>
    <cellStyle name="Bad 12 6" xfId="7424"/>
    <cellStyle name="Bad 12 7" xfId="7425"/>
    <cellStyle name="Bad 12 8" xfId="7426"/>
    <cellStyle name="Bad 12 9" xfId="7427"/>
    <cellStyle name="Bad 13" xfId="7428"/>
    <cellStyle name="Bad 13 2" xfId="7429"/>
    <cellStyle name="Bad 13 3" xfId="7430"/>
    <cellStyle name="Bad 13 4" xfId="7431"/>
    <cellStyle name="Bad 13 5" xfId="7432"/>
    <cellStyle name="Bad 13 6" xfId="7433"/>
    <cellStyle name="Bad 13 7" xfId="7434"/>
    <cellStyle name="Bad 13 8" xfId="7435"/>
    <cellStyle name="Bad 13 9" xfId="7436"/>
    <cellStyle name="Bad 14" xfId="7437"/>
    <cellStyle name="Bad 14 2" xfId="7438"/>
    <cellStyle name="Bad 14 3" xfId="7439"/>
    <cellStyle name="Bad 14 4" xfId="7440"/>
    <cellStyle name="Bad 14 5" xfId="7441"/>
    <cellStyle name="Bad 14 6" xfId="7442"/>
    <cellStyle name="Bad 14 7" xfId="7443"/>
    <cellStyle name="Bad 14 8" xfId="7444"/>
    <cellStyle name="Bad 14 9" xfId="7445"/>
    <cellStyle name="Bad 15" xfId="7446"/>
    <cellStyle name="Bad 15 2" xfId="7447"/>
    <cellStyle name="Bad 15 3" xfId="7448"/>
    <cellStyle name="Bad 15 4" xfId="7449"/>
    <cellStyle name="Bad 15 5" xfId="7450"/>
    <cellStyle name="Bad 15 6" xfId="7451"/>
    <cellStyle name="Bad 15 7" xfId="7452"/>
    <cellStyle name="Bad 15 8" xfId="7453"/>
    <cellStyle name="Bad 15 9" xfId="7454"/>
    <cellStyle name="Bad 16" xfId="7455"/>
    <cellStyle name="Bad 16 2" xfId="7456"/>
    <cellStyle name="Bad 16 3" xfId="7457"/>
    <cellStyle name="Bad 16 4" xfId="7458"/>
    <cellStyle name="Bad 16 5" xfId="7459"/>
    <cellStyle name="Bad 16 6" xfId="7460"/>
    <cellStyle name="Bad 16 7" xfId="7461"/>
    <cellStyle name="Bad 16 8" xfId="7462"/>
    <cellStyle name="Bad 16 9" xfId="7463"/>
    <cellStyle name="Bad 17" xfId="7464"/>
    <cellStyle name="Bad 18" xfId="7465"/>
    <cellStyle name="Bad 19" xfId="7466"/>
    <cellStyle name="Bad 2" xfId="7467"/>
    <cellStyle name="Bad 2 10" xfId="7468"/>
    <cellStyle name="Bad 2 2" xfId="7469"/>
    <cellStyle name="Bad 2 2 2" xfId="7470"/>
    <cellStyle name="Bad 2 2 2 2" xfId="7471"/>
    <cellStyle name="Bad 2 2 3" xfId="7472"/>
    <cellStyle name="Bad 2 2 4" xfId="7473"/>
    <cellStyle name="Bad 2 2 5" xfId="7474"/>
    <cellStyle name="Bad 2 2 6" xfId="7475"/>
    <cellStyle name="Bad 2 2 7" xfId="7476"/>
    <cellStyle name="Bad 2 2 8" xfId="7477"/>
    <cellStyle name="Bad 2 2 9" xfId="7478"/>
    <cellStyle name="Bad 2 3" xfId="7479"/>
    <cellStyle name="Bad 2 3 2" xfId="7480"/>
    <cellStyle name="Bad 2 4" xfId="7481"/>
    <cellStyle name="Bad 2 4 2" xfId="7482"/>
    <cellStyle name="Bad 2 5" xfId="7483"/>
    <cellStyle name="Bad 2 5 2" xfId="7484"/>
    <cellStyle name="Bad 2 6" xfId="7485"/>
    <cellStyle name="Bad 2 7" xfId="7486"/>
    <cellStyle name="Bad 2 8" xfId="7487"/>
    <cellStyle name="Bad 2 9" xfId="7488"/>
    <cellStyle name="Bad 2_Block-F LGF POur-II BBS" xfId="7499"/>
    <cellStyle name="Bad 20" xfId="7489"/>
    <cellStyle name="Bad 21" xfId="7490"/>
    <cellStyle name="Bad 22" xfId="7491"/>
    <cellStyle name="Bad 23" xfId="7492"/>
    <cellStyle name="Bad 24" xfId="7493"/>
    <cellStyle name="Bad 25" xfId="7494"/>
    <cellStyle name="Bad 26" xfId="7495"/>
    <cellStyle name="Bad 27" xfId="7496"/>
    <cellStyle name="Bad 28" xfId="7497"/>
    <cellStyle name="Bad 29" xfId="7498"/>
    <cellStyle name="Bad 3" xfId="7500"/>
    <cellStyle name="Bad 3 2" xfId="7501"/>
    <cellStyle name="Bad 3 2 2" xfId="7502"/>
    <cellStyle name="Bad 3 2 3" xfId="7503"/>
    <cellStyle name="Bad 3 2 4" xfId="7504"/>
    <cellStyle name="Bad 3 2 5" xfId="7505"/>
    <cellStyle name="Bad 3 2 6" xfId="7506"/>
    <cellStyle name="Bad 3 2 7" xfId="7507"/>
    <cellStyle name="Bad 3 2 8" xfId="7508"/>
    <cellStyle name="Bad 3 2 9" xfId="7509"/>
    <cellStyle name="Bad 3 3" xfId="7510"/>
    <cellStyle name="Bad 3 3 2" xfId="7511"/>
    <cellStyle name="Bad 3 4" xfId="7512"/>
    <cellStyle name="Bad 3 4 2" xfId="7513"/>
    <cellStyle name="Bad 3 5" xfId="7514"/>
    <cellStyle name="Bad 3 6" xfId="7515"/>
    <cellStyle name="Bad 3 7" xfId="7516"/>
    <cellStyle name="Bad 3 8" xfId="7517"/>
    <cellStyle name="Bad 3_Ramadugu_ SWGH" xfId="7528"/>
    <cellStyle name="Bad 30" xfId="7518"/>
    <cellStyle name="Bad 31" xfId="7519"/>
    <cellStyle name="Bad 32" xfId="7520"/>
    <cellStyle name="Bad 33" xfId="7521"/>
    <cellStyle name="Bad 34" xfId="7522"/>
    <cellStyle name="Bad 35" xfId="7523"/>
    <cellStyle name="Bad 36" xfId="7524"/>
    <cellStyle name="Bad 37" xfId="7525"/>
    <cellStyle name="Bad 38" xfId="7526"/>
    <cellStyle name="Bad 39" xfId="7527"/>
    <cellStyle name="Bad 4" xfId="7529"/>
    <cellStyle name="Bad 4 10" xfId="7530"/>
    <cellStyle name="Bad 4 11" xfId="7531"/>
    <cellStyle name="Bad 4 12" xfId="7532"/>
    <cellStyle name="Bad 4 13" xfId="7533"/>
    <cellStyle name="Bad 4 14" xfId="7534"/>
    <cellStyle name="Bad 4 15" xfId="7535"/>
    <cellStyle name="Bad 4 16" xfId="7536"/>
    <cellStyle name="Bad 4 2" xfId="7537"/>
    <cellStyle name="Bad 4 2 2" xfId="7538"/>
    <cellStyle name="Bad 4 3" xfId="7539"/>
    <cellStyle name="Bad 4 3 2" xfId="7540"/>
    <cellStyle name="Bad 4 4" xfId="7541"/>
    <cellStyle name="Bad 4 4 2" xfId="7542"/>
    <cellStyle name="Bad 4 5" xfId="7543"/>
    <cellStyle name="Bad 4 6" xfId="7544"/>
    <cellStyle name="Bad 4 7" xfId="7545"/>
    <cellStyle name="Bad 4 8" xfId="7546"/>
    <cellStyle name="Bad 4 9" xfId="7547"/>
    <cellStyle name="Bad 4_Sheet2" xfId="7548"/>
    <cellStyle name="Bad 5" xfId="7549"/>
    <cellStyle name="Bad 5 10" xfId="7550"/>
    <cellStyle name="Bad 5 11" xfId="7551"/>
    <cellStyle name="Bad 5 12" xfId="7552"/>
    <cellStyle name="Bad 5 13" xfId="7553"/>
    <cellStyle name="Bad 5 14" xfId="7554"/>
    <cellStyle name="Bad 5 15" xfId="7555"/>
    <cellStyle name="Bad 5 16" xfId="7556"/>
    <cellStyle name="Bad 5 2" xfId="7557"/>
    <cellStyle name="Bad 5 2 2" xfId="7558"/>
    <cellStyle name="Bad 5 3" xfId="7559"/>
    <cellStyle name="Bad 5 3 2" xfId="7560"/>
    <cellStyle name="Bad 5 4" xfId="7561"/>
    <cellStyle name="Bad 5 4 2" xfId="7562"/>
    <cellStyle name="Bad 5 5" xfId="7563"/>
    <cellStyle name="Bad 5 6" xfId="7564"/>
    <cellStyle name="Bad 5 7" xfId="7565"/>
    <cellStyle name="Bad 5 8" xfId="7566"/>
    <cellStyle name="Bad 5 9" xfId="7567"/>
    <cellStyle name="Bad 5_Sheet2" xfId="7568"/>
    <cellStyle name="Bad 6" xfId="7569"/>
    <cellStyle name="Bad 6 10" xfId="7570"/>
    <cellStyle name="Bad 6 11" xfId="7571"/>
    <cellStyle name="Bad 6 12" xfId="7572"/>
    <cellStyle name="Bad 6 13" xfId="7573"/>
    <cellStyle name="Bad 6 14" xfId="7574"/>
    <cellStyle name="Bad 6 15" xfId="7575"/>
    <cellStyle name="Bad 6 16" xfId="7576"/>
    <cellStyle name="Bad 6 2" xfId="7577"/>
    <cellStyle name="Bad 6 2 2" xfId="7578"/>
    <cellStyle name="Bad 6 3" xfId="7579"/>
    <cellStyle name="Bad 6 3 2" xfId="7580"/>
    <cellStyle name="Bad 6 4" xfId="7581"/>
    <cellStyle name="Bad 6 4 2" xfId="7582"/>
    <cellStyle name="Bad 6 5" xfId="7583"/>
    <cellStyle name="Bad 6 6" xfId="7584"/>
    <cellStyle name="Bad 6 7" xfId="7585"/>
    <cellStyle name="Bad 6 8" xfId="7586"/>
    <cellStyle name="Bad 6 9" xfId="7587"/>
    <cellStyle name="Bad 6_Sheet2" xfId="7588"/>
    <cellStyle name="Bad 7" xfId="7589"/>
    <cellStyle name="Bad 7 10" xfId="7590"/>
    <cellStyle name="Bad 7 11" xfId="7591"/>
    <cellStyle name="Bad 7 12" xfId="7592"/>
    <cellStyle name="Bad 7 13" xfId="7593"/>
    <cellStyle name="Bad 7 14" xfId="7594"/>
    <cellStyle name="Bad 7 15" xfId="7595"/>
    <cellStyle name="Bad 7 16" xfId="7596"/>
    <cellStyle name="Bad 7 2" xfId="7597"/>
    <cellStyle name="Bad 7 2 2" xfId="7598"/>
    <cellStyle name="Bad 7 3" xfId="7599"/>
    <cellStyle name="Bad 7 3 2" xfId="7600"/>
    <cellStyle name="Bad 7 4" xfId="7601"/>
    <cellStyle name="Bad 7 4 2" xfId="7602"/>
    <cellStyle name="Bad 7 5" xfId="7603"/>
    <cellStyle name="Bad 7 6" xfId="7604"/>
    <cellStyle name="Bad 7 7" xfId="7605"/>
    <cellStyle name="Bad 7 8" xfId="7606"/>
    <cellStyle name="Bad 7 9" xfId="7607"/>
    <cellStyle name="Bad 7_Sheet2" xfId="7608"/>
    <cellStyle name="Bad 8" xfId="7609"/>
    <cellStyle name="Bad 8 10" xfId="7610"/>
    <cellStyle name="Bad 8 11" xfId="7611"/>
    <cellStyle name="Bad 8 12" xfId="7612"/>
    <cellStyle name="Bad 8 13" xfId="7613"/>
    <cellStyle name="Bad 8 14" xfId="7614"/>
    <cellStyle name="Bad 8 15" xfId="7615"/>
    <cellStyle name="Bad 8 16" xfId="7616"/>
    <cellStyle name="Bad 8 2" xfId="7617"/>
    <cellStyle name="Bad 8 3" xfId="7618"/>
    <cellStyle name="Bad 8 4" xfId="7619"/>
    <cellStyle name="Bad 8 5" xfId="7620"/>
    <cellStyle name="Bad 8 6" xfId="7621"/>
    <cellStyle name="Bad 8 7" xfId="7622"/>
    <cellStyle name="Bad 8 8" xfId="7623"/>
    <cellStyle name="Bad 8 9" xfId="7624"/>
    <cellStyle name="Bad 8_Sheet2" xfId="7625"/>
    <cellStyle name="Bad 9" xfId="7626"/>
    <cellStyle name="Bad 9 10" xfId="7627"/>
    <cellStyle name="Bad 9 11" xfId="7628"/>
    <cellStyle name="Bad 9 12" xfId="7629"/>
    <cellStyle name="Bad 9 13" xfId="7630"/>
    <cellStyle name="Bad 9 14" xfId="7631"/>
    <cellStyle name="Bad 9 15" xfId="7632"/>
    <cellStyle name="Bad 9 16" xfId="7633"/>
    <cellStyle name="Bad 9 2" xfId="7634"/>
    <cellStyle name="Bad 9 3" xfId="7635"/>
    <cellStyle name="Bad 9 4" xfId="7636"/>
    <cellStyle name="Bad 9 5" xfId="7637"/>
    <cellStyle name="Bad 9 6" xfId="7638"/>
    <cellStyle name="Bad 9 7" xfId="7639"/>
    <cellStyle name="Bad 9 8" xfId="7640"/>
    <cellStyle name="Bad 9 9" xfId="7641"/>
    <cellStyle name="Basis points" xfId="7642"/>
    <cellStyle name="bay" xfId="7643"/>
    <cellStyle name="bay 2" xfId="7644"/>
    <cellStyle name="bay 2 2" xfId="7645"/>
    <cellStyle name="bay 2 3" xfId="7646"/>
    <cellStyle name="bay 2 4" xfId="7647"/>
    <cellStyle name="bay 3" xfId="7648"/>
    <cellStyle name="bay 4" xfId="7649"/>
    <cellStyle name="bay 5" xfId="7650"/>
    <cellStyle name="bay 6" xfId="7651"/>
    <cellStyle name="bay 7" xfId="7652"/>
    <cellStyle name="Berechnung" xfId="7653"/>
    <cellStyle name="Berechnung 2" xfId="7654"/>
    <cellStyle name="Berechnung 2 2" xfId="7655"/>
    <cellStyle name="Berechnung 2 3" xfId="7656"/>
    <cellStyle name="Berechnung 2 4" xfId="7657"/>
    <cellStyle name="Berechnung 3" xfId="7658"/>
    <cellStyle name="Berechnung 4" xfId="7659"/>
    <cellStyle name="Berechnung 5" xfId="7660"/>
    <cellStyle name="Beschreibung" xfId="7661"/>
    <cellStyle name="Black" xfId="7662"/>
    <cellStyle name="BlackStrike" xfId="7663"/>
    <cellStyle name="BlackText" xfId="7664"/>
    <cellStyle name="Blank" xfId="7665"/>
    <cellStyle name="Blank [$]" xfId="7666"/>
    <cellStyle name="Blank [%]" xfId="7667"/>
    <cellStyle name="Blank [,]" xfId="7668"/>
    <cellStyle name="Blank [1$]" xfId="7669"/>
    <cellStyle name="Blank [1%]" xfId="7670"/>
    <cellStyle name="Blank [1,]" xfId="7671"/>
    <cellStyle name="Blank [2$]" xfId="7672"/>
    <cellStyle name="Blank [2%]" xfId="7673"/>
    <cellStyle name="Blank [2,]" xfId="7674"/>
    <cellStyle name="Blank [3$]" xfId="7675"/>
    <cellStyle name="Blank [3%]" xfId="7676"/>
    <cellStyle name="Blank [3,]" xfId="7677"/>
    <cellStyle name="Blank [D-M-Y]" xfId="7678"/>
    <cellStyle name="Blank [K,]" xfId="7679"/>
    <cellStyle name="BldUnd - Style3" xfId="7680"/>
    <cellStyle name="blue" xfId="7681"/>
    <cellStyle name="Body" xfId="7682"/>
    <cellStyle name="Body 2" xfId="7683"/>
    <cellStyle name="Body_DLF Capital Greens -Consolidated Finishes BOQ Phase II " xfId="7684"/>
    <cellStyle name="Bold - Style2" xfId="7685"/>
    <cellStyle name="Bold 10" xfId="7686"/>
    <cellStyle name="Bold 12" xfId="7687"/>
    <cellStyle name="Bold 8" xfId="7688"/>
    <cellStyle name="Bold Italic 10" xfId="7689"/>
    <cellStyle name="Bold Italic 12" xfId="7690"/>
    <cellStyle name="Bold Italic 8" xfId="7691"/>
    <cellStyle name="Bold/Border" xfId="7692"/>
    <cellStyle name="Bold/Border 2" xfId="7693"/>
    <cellStyle name="Bold/Border 3" xfId="7694"/>
    <cellStyle name="Bold/Border 4" xfId="7695"/>
    <cellStyle name="Bold/Border 5" xfId="7696"/>
    <cellStyle name="Bold/Border 6" xfId="7697"/>
    <cellStyle name="Bold/Border 7" xfId="7698"/>
    <cellStyle name="BoldText" xfId="7699"/>
    <cellStyle name="BOOKMAN" xfId="7700"/>
    <cellStyle name="boq heading" xfId="7701"/>
    <cellStyle name="boq title 2" xfId="7702"/>
    <cellStyle name="borde thin" xfId="7703"/>
    <cellStyle name="Border" xfId="7704"/>
    <cellStyle name="Border 2" xfId="7705"/>
    <cellStyle name="Border 2 2" xfId="7706"/>
    <cellStyle name="Border 2 3" xfId="7707"/>
    <cellStyle name="Border 2 4" xfId="7708"/>
    <cellStyle name="Border 3" xfId="7709"/>
    <cellStyle name="Border 4" xfId="7710"/>
    <cellStyle name="Border 5" xfId="7711"/>
    <cellStyle name="Border 6" xfId="7712"/>
    <cellStyle name="Border 7" xfId="7713"/>
    <cellStyle name="Border Heavy" xfId="7714"/>
    <cellStyle name="Border Thin" xfId="7715"/>
    <cellStyle name="border think" xfId="7716"/>
    <cellStyle name="border tihn" xfId="7717"/>
    <cellStyle name="bordert thin" xfId="7718"/>
    <cellStyle name="bp--" xfId="7719"/>
    <cellStyle name="br" xfId="7720"/>
    <cellStyle name="BritPound" xfId="7721"/>
    <cellStyle name="bt" xfId="7722"/>
    <cellStyle name="Bullet" xfId="7723"/>
    <cellStyle name="Bulleted List - Style 1" xfId="7724"/>
    <cellStyle name="c" xfId="7725"/>
    <cellStyle name="C                      " xfId="7726"/>
    <cellStyle name="C                       2" xfId="7727"/>
    <cellStyle name="C                       3" xfId="7728"/>
    <cellStyle name="C                       4" xfId="7729"/>
    <cellStyle name="C                       5" xfId="7730"/>
    <cellStyle name="C                       6" xfId="7731"/>
    <cellStyle name="C                       7" xfId="7732"/>
    <cellStyle name="C                       8" xfId="7733"/>
    <cellStyle name="C?AØ_¿?¾÷CoE² " xfId="7734"/>
    <cellStyle name="c_Cinderella Model v1" xfId="7735"/>
    <cellStyle name="c_Cinderella Model v1May 29" xfId="7736"/>
    <cellStyle name="c_Cinderella Model v8" xfId="7737"/>
    <cellStyle name="c_Cinderella Model v9_ML number" xfId="7738"/>
    <cellStyle name="c_Gazelle DDM May-15-2003" xfId="7739"/>
    <cellStyle name="c_HardInc " xfId="7740"/>
    <cellStyle name="c_HardInc  2" xfId="7741"/>
    <cellStyle name="c_HardInc  3" xfId="7742"/>
    <cellStyle name="c_HardInc  4" xfId="7743"/>
    <cellStyle name="c_HardInc  5" xfId="7744"/>
    <cellStyle name="c_HardInc  6" xfId="7745"/>
    <cellStyle name="c_HardInc  7" xfId="7746"/>
    <cellStyle name="c_HardInc  8" xfId="7747"/>
    <cellStyle name="C¡IA¨ª_¡ic¨u¡A¨￢I¨￢¡Æ AN¡Æe " xfId="11135"/>
    <cellStyle name="Ç¥ÁØ_¿¬°£´©°è¿¹»ó" xfId="30827"/>
    <cellStyle name="C￥AØ_¿μ¾÷CoE² " xfId="11136"/>
    <cellStyle name="Ç¥ÁØ_Book1" xfId="30826"/>
    <cellStyle name="Calc Currency (0)" xfId="7748"/>
    <cellStyle name="Calc Currency (0) 10" xfId="7749"/>
    <cellStyle name="Calc Currency (0) 10 2" xfId="7750"/>
    <cellStyle name="Calc Currency (0) 11" xfId="7751"/>
    <cellStyle name="Calc Currency (0) 12" xfId="7752"/>
    <cellStyle name="Calc Currency (0) 13" xfId="7753"/>
    <cellStyle name="Calc Currency (0) 14" xfId="7754"/>
    <cellStyle name="Calc Currency (0) 2" xfId="7755"/>
    <cellStyle name="Calc Currency (0) 2 2" xfId="7756"/>
    <cellStyle name="Calc Currency (0) 3" xfId="7757"/>
    <cellStyle name="Calc Currency (0) 3 2" xfId="7758"/>
    <cellStyle name="Calc Currency (0) 4" xfId="7759"/>
    <cellStyle name="Calc Currency (0) 5" xfId="7760"/>
    <cellStyle name="Calc Currency (0) 6" xfId="7761"/>
    <cellStyle name="Calc Currency (0) 7" xfId="7762"/>
    <cellStyle name="Calc Currency (0) 8" xfId="7763"/>
    <cellStyle name="Calc Currency (0) 9" xfId="7764"/>
    <cellStyle name="Calc Currency (0)_DLF Capital Greens -Consolidated Finishes BOQ Phase II " xfId="7765"/>
    <cellStyle name="Calc Currency (2)" xfId="7766"/>
    <cellStyle name="Calc Percent (0)" xfId="7767"/>
    <cellStyle name="Calc Percent (1)" xfId="7768"/>
    <cellStyle name="Calc Percent (1) 10" xfId="7769"/>
    <cellStyle name="Calc Percent (1) 2" xfId="7770"/>
    <cellStyle name="Calc Percent (1) 3" xfId="7771"/>
    <cellStyle name="Calc Percent (1) 4" xfId="7772"/>
    <cellStyle name="Calc Percent (1) 5" xfId="7773"/>
    <cellStyle name="Calc Percent (1) 6" xfId="7774"/>
    <cellStyle name="Calc Percent (1) 7" xfId="7775"/>
    <cellStyle name="Calc Percent (1) 8" xfId="7776"/>
    <cellStyle name="Calc Percent (1) 9" xfId="7777"/>
    <cellStyle name="Calc Percent (2)" xfId="7778"/>
    <cellStyle name="Calc Percent (2) 10" xfId="7779"/>
    <cellStyle name="Calc Percent (2) 2" xfId="7780"/>
    <cellStyle name="Calc Percent (2) 3" xfId="7781"/>
    <cellStyle name="Calc Percent (2) 4" xfId="7782"/>
    <cellStyle name="Calc Percent (2) 5" xfId="7783"/>
    <cellStyle name="Calc Percent (2) 6" xfId="7784"/>
    <cellStyle name="Calc Percent (2) 7" xfId="7785"/>
    <cellStyle name="Calc Percent (2) 8" xfId="7786"/>
    <cellStyle name="Calc Percent (2) 9" xfId="7787"/>
    <cellStyle name="Calc Units (0)" xfId="7788"/>
    <cellStyle name="Calc Units (0) 10" xfId="7789"/>
    <cellStyle name="Calc Units (0) 11" xfId="7790"/>
    <cellStyle name="Calc Units (0) 2" xfId="7791"/>
    <cellStyle name="Calc Units (0) 2 2" xfId="7792"/>
    <cellStyle name="Calc Units (0) 3" xfId="7793"/>
    <cellStyle name="Calc Units (0) 3 2" xfId="7794"/>
    <cellStyle name="Calc Units (0) 4" xfId="7795"/>
    <cellStyle name="Calc Units (0) 5" xfId="7796"/>
    <cellStyle name="Calc Units (0) 6" xfId="7797"/>
    <cellStyle name="Calc Units (0) 7" xfId="7798"/>
    <cellStyle name="Calc Units (0) 8" xfId="7799"/>
    <cellStyle name="Calc Units (0) 9" xfId="7800"/>
    <cellStyle name="Calc Units (1)" xfId="7801"/>
    <cellStyle name="Calc Units (1) 10" xfId="7802"/>
    <cellStyle name="Calc Units (1) 11" xfId="7803"/>
    <cellStyle name="Calc Units (1) 2" xfId="7804"/>
    <cellStyle name="Calc Units (1) 2 2" xfId="7805"/>
    <cellStyle name="Calc Units (1) 3" xfId="7806"/>
    <cellStyle name="Calc Units (1) 3 2" xfId="7807"/>
    <cellStyle name="Calc Units (1) 4" xfId="7808"/>
    <cellStyle name="Calc Units (1) 5" xfId="7809"/>
    <cellStyle name="Calc Units (1) 6" xfId="7810"/>
    <cellStyle name="Calc Units (1) 7" xfId="7811"/>
    <cellStyle name="Calc Units (1) 8" xfId="7812"/>
    <cellStyle name="Calc Units (1) 9" xfId="7813"/>
    <cellStyle name="Calc Units (2)" xfId="7814"/>
    <cellStyle name="Calcul" xfId="7815"/>
    <cellStyle name="Calculation 1" xfId="7816"/>
    <cellStyle name="Calculation 1 1" xfId="7817"/>
    <cellStyle name="Calculation 1 1 2" xfId="7818"/>
    <cellStyle name="Calculation 1 1 2 2" xfId="7819"/>
    <cellStyle name="Calculation 1 1 2 3" xfId="7820"/>
    <cellStyle name="Calculation 1 1 2 4" xfId="7821"/>
    <cellStyle name="Calculation 1 1 3" xfId="7822"/>
    <cellStyle name="Calculation 1 1 4" xfId="7823"/>
    <cellStyle name="Calculation 1 1 5" xfId="7824"/>
    <cellStyle name="Calculation 1 2" xfId="7825"/>
    <cellStyle name="Calculation 1 2 2" xfId="7826"/>
    <cellStyle name="Calculation 1 2 3" xfId="7827"/>
    <cellStyle name="Calculation 1 2 4" xfId="7828"/>
    <cellStyle name="Calculation 1 3" xfId="7829"/>
    <cellStyle name="Calculation 1 4" xfId="7830"/>
    <cellStyle name="Calculation 1 5" xfId="7831"/>
    <cellStyle name="Calculation 1_Building_-_5-final_Price_Variation(1)" xfId="8087"/>
    <cellStyle name="Calculation 10" xfId="7832"/>
    <cellStyle name="Calculation 10 10" xfId="7833"/>
    <cellStyle name="Calculation 10 10 2" xfId="7834"/>
    <cellStyle name="Calculation 10 10 2 2" xfId="7835"/>
    <cellStyle name="Calculation 10 10 2 3" xfId="7836"/>
    <cellStyle name="Calculation 10 10 2 4" xfId="7837"/>
    <cellStyle name="Calculation 10 10 3" xfId="7838"/>
    <cellStyle name="Calculation 10 10 4" xfId="7839"/>
    <cellStyle name="Calculation 10 10 5" xfId="7840"/>
    <cellStyle name="Calculation 10 11" xfId="7841"/>
    <cellStyle name="Calculation 10 11 2" xfId="7842"/>
    <cellStyle name="Calculation 10 11 2 2" xfId="7843"/>
    <cellStyle name="Calculation 10 11 2 3" xfId="7844"/>
    <cellStyle name="Calculation 10 11 2 4" xfId="7845"/>
    <cellStyle name="Calculation 10 11 3" xfId="7846"/>
    <cellStyle name="Calculation 10 11 4" xfId="7847"/>
    <cellStyle name="Calculation 10 11 5" xfId="7848"/>
    <cellStyle name="Calculation 10 12" xfId="7849"/>
    <cellStyle name="Calculation 10 12 2" xfId="7850"/>
    <cellStyle name="Calculation 10 12 2 2" xfId="7851"/>
    <cellStyle name="Calculation 10 12 2 3" xfId="7852"/>
    <cellStyle name="Calculation 10 12 2 4" xfId="7853"/>
    <cellStyle name="Calculation 10 12 3" xfId="7854"/>
    <cellStyle name="Calculation 10 12 4" xfId="7855"/>
    <cellStyle name="Calculation 10 12 5" xfId="7856"/>
    <cellStyle name="Calculation 10 13" xfId="7857"/>
    <cellStyle name="Calculation 10 13 2" xfId="7858"/>
    <cellStyle name="Calculation 10 13 2 2" xfId="7859"/>
    <cellStyle name="Calculation 10 13 2 3" xfId="7860"/>
    <cellStyle name="Calculation 10 13 2 4" xfId="7861"/>
    <cellStyle name="Calculation 10 13 3" xfId="7862"/>
    <cellStyle name="Calculation 10 13 4" xfId="7863"/>
    <cellStyle name="Calculation 10 13 5" xfId="7864"/>
    <cellStyle name="Calculation 10 14" xfId="7865"/>
    <cellStyle name="Calculation 10 14 2" xfId="7866"/>
    <cellStyle name="Calculation 10 14 2 2" xfId="7867"/>
    <cellStyle name="Calculation 10 14 2 3" xfId="7868"/>
    <cellStyle name="Calculation 10 14 2 4" xfId="7869"/>
    <cellStyle name="Calculation 10 14 3" xfId="7870"/>
    <cellStyle name="Calculation 10 14 4" xfId="7871"/>
    <cellStyle name="Calculation 10 14 5" xfId="7872"/>
    <cellStyle name="Calculation 10 15" xfId="7873"/>
    <cellStyle name="Calculation 10 15 2" xfId="7874"/>
    <cellStyle name="Calculation 10 15 2 2" xfId="7875"/>
    <cellStyle name="Calculation 10 15 2 3" xfId="7876"/>
    <cellStyle name="Calculation 10 15 2 4" xfId="7877"/>
    <cellStyle name="Calculation 10 15 3" xfId="7878"/>
    <cellStyle name="Calculation 10 15 4" xfId="7879"/>
    <cellStyle name="Calculation 10 15 5" xfId="7880"/>
    <cellStyle name="Calculation 10 16" xfId="7881"/>
    <cellStyle name="Calculation 10 16 2" xfId="7882"/>
    <cellStyle name="Calculation 10 16 2 2" xfId="7883"/>
    <cellStyle name="Calculation 10 16 2 3" xfId="7884"/>
    <cellStyle name="Calculation 10 16 2 4" xfId="7885"/>
    <cellStyle name="Calculation 10 16 3" xfId="7886"/>
    <cellStyle name="Calculation 10 16 4" xfId="7887"/>
    <cellStyle name="Calculation 10 16 5" xfId="7888"/>
    <cellStyle name="Calculation 10 17" xfId="7889"/>
    <cellStyle name="Calculation 10 17 2" xfId="7890"/>
    <cellStyle name="Calculation 10 17 3" xfId="7891"/>
    <cellStyle name="Calculation 10 17 4" xfId="7892"/>
    <cellStyle name="Calculation 10 18" xfId="7893"/>
    <cellStyle name="Calculation 10 18 2" xfId="7894"/>
    <cellStyle name="Calculation 10 18 3" xfId="7895"/>
    <cellStyle name="Calculation 10 18 4" xfId="7896"/>
    <cellStyle name="Calculation 10 19" xfId="7897"/>
    <cellStyle name="Calculation 10 2" xfId="7898"/>
    <cellStyle name="Calculation 10 2 2" xfId="7899"/>
    <cellStyle name="Calculation 10 2 2 2" xfId="7900"/>
    <cellStyle name="Calculation 10 2 2 3" xfId="7901"/>
    <cellStyle name="Calculation 10 2 2 4" xfId="7902"/>
    <cellStyle name="Calculation 10 2 3" xfId="7903"/>
    <cellStyle name="Calculation 10 2 4" xfId="7904"/>
    <cellStyle name="Calculation 10 2 5" xfId="7905"/>
    <cellStyle name="Calculation 10 20" xfId="7906"/>
    <cellStyle name="Calculation 10 21" xfId="7907"/>
    <cellStyle name="Calculation 10 3" xfId="7908"/>
    <cellStyle name="Calculation 10 3 2" xfId="7909"/>
    <cellStyle name="Calculation 10 3 2 2" xfId="7910"/>
    <cellStyle name="Calculation 10 3 2 3" xfId="7911"/>
    <cellStyle name="Calculation 10 3 2 4" xfId="7912"/>
    <cellStyle name="Calculation 10 3 3" xfId="7913"/>
    <cellStyle name="Calculation 10 3 4" xfId="7914"/>
    <cellStyle name="Calculation 10 3 5" xfId="7915"/>
    <cellStyle name="Calculation 10 4" xfId="7916"/>
    <cellStyle name="Calculation 10 4 2" xfId="7917"/>
    <cellStyle name="Calculation 10 4 2 2" xfId="7918"/>
    <cellStyle name="Calculation 10 4 2 3" xfId="7919"/>
    <cellStyle name="Calculation 10 4 2 4" xfId="7920"/>
    <cellStyle name="Calculation 10 4 3" xfId="7921"/>
    <cellStyle name="Calculation 10 4 4" xfId="7922"/>
    <cellStyle name="Calculation 10 4 5" xfId="7923"/>
    <cellStyle name="Calculation 10 5" xfId="7924"/>
    <cellStyle name="Calculation 10 5 2" xfId="7925"/>
    <cellStyle name="Calculation 10 5 2 2" xfId="7926"/>
    <cellStyle name="Calculation 10 5 2 3" xfId="7927"/>
    <cellStyle name="Calculation 10 5 2 4" xfId="7928"/>
    <cellStyle name="Calculation 10 5 3" xfId="7929"/>
    <cellStyle name="Calculation 10 5 4" xfId="7930"/>
    <cellStyle name="Calculation 10 5 5" xfId="7931"/>
    <cellStyle name="Calculation 10 6" xfId="7932"/>
    <cellStyle name="Calculation 10 6 2" xfId="7933"/>
    <cellStyle name="Calculation 10 6 2 2" xfId="7934"/>
    <cellStyle name="Calculation 10 6 2 3" xfId="7935"/>
    <cellStyle name="Calculation 10 6 2 4" xfId="7936"/>
    <cellStyle name="Calculation 10 6 3" xfId="7937"/>
    <cellStyle name="Calculation 10 6 4" xfId="7938"/>
    <cellStyle name="Calculation 10 6 5" xfId="7939"/>
    <cellStyle name="Calculation 10 7" xfId="7940"/>
    <cellStyle name="Calculation 10 7 2" xfId="7941"/>
    <cellStyle name="Calculation 10 7 2 2" xfId="7942"/>
    <cellStyle name="Calculation 10 7 2 3" xfId="7943"/>
    <cellStyle name="Calculation 10 7 2 4" xfId="7944"/>
    <cellStyle name="Calculation 10 7 3" xfId="7945"/>
    <cellStyle name="Calculation 10 7 4" xfId="7946"/>
    <cellStyle name="Calculation 10 7 5" xfId="7947"/>
    <cellStyle name="Calculation 10 8" xfId="7948"/>
    <cellStyle name="Calculation 10 8 2" xfId="7949"/>
    <cellStyle name="Calculation 10 8 2 2" xfId="7950"/>
    <cellStyle name="Calculation 10 8 2 3" xfId="7951"/>
    <cellStyle name="Calculation 10 8 2 4" xfId="7952"/>
    <cellStyle name="Calculation 10 8 3" xfId="7953"/>
    <cellStyle name="Calculation 10 8 4" xfId="7954"/>
    <cellStyle name="Calculation 10 8 5" xfId="7955"/>
    <cellStyle name="Calculation 10 9" xfId="7956"/>
    <cellStyle name="Calculation 10 9 2" xfId="7957"/>
    <cellStyle name="Calculation 10 9 2 2" xfId="7958"/>
    <cellStyle name="Calculation 10 9 2 3" xfId="7959"/>
    <cellStyle name="Calculation 10 9 2 4" xfId="7960"/>
    <cellStyle name="Calculation 10 9 3" xfId="7961"/>
    <cellStyle name="Calculation 10 9 4" xfId="7962"/>
    <cellStyle name="Calculation 10 9 5" xfId="7963"/>
    <cellStyle name="Calculation 11" xfId="7964"/>
    <cellStyle name="Calculation 11 10" xfId="7965"/>
    <cellStyle name="Calculation 11 10 2" xfId="7966"/>
    <cellStyle name="Calculation 11 10 3" xfId="7967"/>
    <cellStyle name="Calculation 11 10 4" xfId="7968"/>
    <cellStyle name="Calculation 11 11" xfId="7969"/>
    <cellStyle name="Calculation 11 11 2" xfId="7970"/>
    <cellStyle name="Calculation 11 11 3" xfId="7971"/>
    <cellStyle name="Calculation 11 11 4" xfId="7972"/>
    <cellStyle name="Calculation 11 12" xfId="7973"/>
    <cellStyle name="Calculation 11 13" xfId="7974"/>
    <cellStyle name="Calculation 11 14" xfId="7975"/>
    <cellStyle name="Calculation 11 2" xfId="7976"/>
    <cellStyle name="Calculation 11 3" xfId="7977"/>
    <cellStyle name="Calculation 11 4" xfId="7978"/>
    <cellStyle name="Calculation 11 5" xfId="7979"/>
    <cellStyle name="Calculation 11 6" xfId="7980"/>
    <cellStyle name="Calculation 11 7" xfId="7981"/>
    <cellStyle name="Calculation 11 8" xfId="7982"/>
    <cellStyle name="Calculation 11 9" xfId="7983"/>
    <cellStyle name="Calculation 12" xfId="7984"/>
    <cellStyle name="Calculation 12 10" xfId="7985"/>
    <cellStyle name="Calculation 12 10 2" xfId="7986"/>
    <cellStyle name="Calculation 12 10 3" xfId="7987"/>
    <cellStyle name="Calculation 12 10 4" xfId="7988"/>
    <cellStyle name="Calculation 12 11" xfId="7989"/>
    <cellStyle name="Calculation 12 11 2" xfId="7990"/>
    <cellStyle name="Calculation 12 11 3" xfId="7991"/>
    <cellStyle name="Calculation 12 11 4" xfId="7992"/>
    <cellStyle name="Calculation 12 12" xfId="7993"/>
    <cellStyle name="Calculation 12 13" xfId="7994"/>
    <cellStyle name="Calculation 12 14" xfId="7995"/>
    <cellStyle name="Calculation 12 2" xfId="7996"/>
    <cellStyle name="Calculation 12 3" xfId="7997"/>
    <cellStyle name="Calculation 12 4" xfId="7998"/>
    <cellStyle name="Calculation 12 5" xfId="7999"/>
    <cellStyle name="Calculation 12 6" xfId="8000"/>
    <cellStyle name="Calculation 12 7" xfId="8001"/>
    <cellStyle name="Calculation 12 8" xfId="8002"/>
    <cellStyle name="Calculation 12 9" xfId="8003"/>
    <cellStyle name="Calculation 13" xfId="8004"/>
    <cellStyle name="Calculation 13 10" xfId="8005"/>
    <cellStyle name="Calculation 13 10 2" xfId="8006"/>
    <cellStyle name="Calculation 13 10 3" xfId="8007"/>
    <cellStyle name="Calculation 13 10 4" xfId="8008"/>
    <cellStyle name="Calculation 13 11" xfId="8009"/>
    <cellStyle name="Calculation 13 11 2" xfId="8010"/>
    <cellStyle name="Calculation 13 11 3" xfId="8011"/>
    <cellStyle name="Calculation 13 11 4" xfId="8012"/>
    <cellStyle name="Calculation 13 12" xfId="8013"/>
    <cellStyle name="Calculation 13 13" xfId="8014"/>
    <cellStyle name="Calculation 13 14" xfId="8015"/>
    <cellStyle name="Calculation 13 2" xfId="8016"/>
    <cellStyle name="Calculation 13 3" xfId="8017"/>
    <cellStyle name="Calculation 13 4" xfId="8018"/>
    <cellStyle name="Calculation 13 5" xfId="8019"/>
    <cellStyle name="Calculation 13 6" xfId="8020"/>
    <cellStyle name="Calculation 13 7" xfId="8021"/>
    <cellStyle name="Calculation 13 8" xfId="8022"/>
    <cellStyle name="Calculation 13 9" xfId="8023"/>
    <cellStyle name="Calculation 14" xfId="8024"/>
    <cellStyle name="Calculation 14 10" xfId="8025"/>
    <cellStyle name="Calculation 14 10 2" xfId="8026"/>
    <cellStyle name="Calculation 14 10 3" xfId="8027"/>
    <cellStyle name="Calculation 14 10 4" xfId="8028"/>
    <cellStyle name="Calculation 14 11" xfId="8029"/>
    <cellStyle name="Calculation 14 11 2" xfId="8030"/>
    <cellStyle name="Calculation 14 11 3" xfId="8031"/>
    <cellStyle name="Calculation 14 11 4" xfId="8032"/>
    <cellStyle name="Calculation 14 12" xfId="8033"/>
    <cellStyle name="Calculation 14 13" xfId="8034"/>
    <cellStyle name="Calculation 14 14" xfId="8035"/>
    <cellStyle name="Calculation 14 2" xfId="8036"/>
    <cellStyle name="Calculation 14 3" xfId="8037"/>
    <cellStyle name="Calculation 14 4" xfId="8038"/>
    <cellStyle name="Calculation 14 5" xfId="8039"/>
    <cellStyle name="Calculation 14 6" xfId="8040"/>
    <cellStyle name="Calculation 14 7" xfId="8041"/>
    <cellStyle name="Calculation 14 8" xfId="8042"/>
    <cellStyle name="Calculation 14 9" xfId="8043"/>
    <cellStyle name="Calculation 15" xfId="8044"/>
    <cellStyle name="Calculation 15 10" xfId="8045"/>
    <cellStyle name="Calculation 15 10 2" xfId="8046"/>
    <cellStyle name="Calculation 15 10 3" xfId="8047"/>
    <cellStyle name="Calculation 15 10 4" xfId="8048"/>
    <cellStyle name="Calculation 15 11" xfId="8049"/>
    <cellStyle name="Calculation 15 11 2" xfId="8050"/>
    <cellStyle name="Calculation 15 11 3" xfId="8051"/>
    <cellStyle name="Calculation 15 11 4" xfId="8052"/>
    <cellStyle name="Calculation 15 12" xfId="8053"/>
    <cellStyle name="Calculation 15 13" xfId="8054"/>
    <cellStyle name="Calculation 15 14" xfId="8055"/>
    <cellStyle name="Calculation 15 2" xfId="8056"/>
    <cellStyle name="Calculation 15 3" xfId="8057"/>
    <cellStyle name="Calculation 15 4" xfId="8058"/>
    <cellStyle name="Calculation 15 5" xfId="8059"/>
    <cellStyle name="Calculation 15 6" xfId="8060"/>
    <cellStyle name="Calculation 15 7" xfId="8061"/>
    <cellStyle name="Calculation 15 8" xfId="8062"/>
    <cellStyle name="Calculation 15 9" xfId="8063"/>
    <cellStyle name="Calculation 16" xfId="8064"/>
    <cellStyle name="Calculation 16 10" xfId="8065"/>
    <cellStyle name="Calculation 16 10 2" xfId="8066"/>
    <cellStyle name="Calculation 16 10 3" xfId="8067"/>
    <cellStyle name="Calculation 16 10 4" xfId="8068"/>
    <cellStyle name="Calculation 16 11" xfId="8069"/>
    <cellStyle name="Calculation 16 11 2" xfId="8070"/>
    <cellStyle name="Calculation 16 11 3" xfId="8071"/>
    <cellStyle name="Calculation 16 11 4" xfId="8072"/>
    <cellStyle name="Calculation 16 12" xfId="8073"/>
    <cellStyle name="Calculation 16 13" xfId="8074"/>
    <cellStyle name="Calculation 16 14" xfId="8075"/>
    <cellStyle name="Calculation 16 2" xfId="8076"/>
    <cellStyle name="Calculation 16 3" xfId="8077"/>
    <cellStyle name="Calculation 16 4" xfId="8078"/>
    <cellStyle name="Calculation 16 5" xfId="8079"/>
    <cellStyle name="Calculation 16 6" xfId="8080"/>
    <cellStyle name="Calculation 16 7" xfId="8081"/>
    <cellStyle name="Calculation 16 8" xfId="8082"/>
    <cellStyle name="Calculation 16 9" xfId="8083"/>
    <cellStyle name="Calculation 17" xfId="8084"/>
    <cellStyle name="Calculation 18" xfId="8085"/>
    <cellStyle name="Calculation 19" xfId="8086"/>
    <cellStyle name="Calculation 2" xfId="8088"/>
    <cellStyle name="Calculation 2 10" xfId="8089"/>
    <cellStyle name="Calculation 2 10 2" xfId="8090"/>
    <cellStyle name="Calculation 2 10 2 2" xfId="8091"/>
    <cellStyle name="Calculation 2 10 2 3" xfId="8092"/>
    <cellStyle name="Calculation 2 10 2 4" xfId="8093"/>
    <cellStyle name="Calculation 2 10 3" xfId="8094"/>
    <cellStyle name="Calculation 2 10 4" xfId="8095"/>
    <cellStyle name="Calculation 2 10 5" xfId="8096"/>
    <cellStyle name="Calculation 2 2" xfId="8097"/>
    <cellStyle name="Calculation 2 2 10" xfId="8098"/>
    <cellStyle name="Calculation 2 2 10 2" xfId="8099"/>
    <cellStyle name="Calculation 2 2 10 2 2" xfId="8100"/>
    <cellStyle name="Calculation 2 2 10 2 3" xfId="8101"/>
    <cellStyle name="Calculation 2 2 10 2 4" xfId="8102"/>
    <cellStyle name="Calculation 2 2 10 3" xfId="8103"/>
    <cellStyle name="Calculation 2 2 10 4" xfId="8104"/>
    <cellStyle name="Calculation 2 2 10 5" xfId="8105"/>
    <cellStyle name="Calculation 2 2 11" xfId="8106"/>
    <cellStyle name="Calculation 2 2 11 2" xfId="8107"/>
    <cellStyle name="Calculation 2 2 11 2 2" xfId="8108"/>
    <cellStyle name="Calculation 2 2 11 2 3" xfId="8109"/>
    <cellStyle name="Calculation 2 2 11 2 4" xfId="8110"/>
    <cellStyle name="Calculation 2 2 11 3" xfId="8111"/>
    <cellStyle name="Calculation 2 2 11 4" xfId="8112"/>
    <cellStyle name="Calculation 2 2 11 5" xfId="8113"/>
    <cellStyle name="Calculation 2 2 12" xfId="8114"/>
    <cellStyle name="Calculation 2 2 12 2" xfId="8115"/>
    <cellStyle name="Calculation 2 2 12 3" xfId="8116"/>
    <cellStyle name="Calculation 2 2 12 4" xfId="8117"/>
    <cellStyle name="Calculation 2 2 13" xfId="8118"/>
    <cellStyle name="Calculation 2 2 13 2" xfId="8119"/>
    <cellStyle name="Calculation 2 2 13 3" xfId="8120"/>
    <cellStyle name="Calculation 2 2 13 4" xfId="8121"/>
    <cellStyle name="Calculation 2 2 14" xfId="8122"/>
    <cellStyle name="Calculation 2 2 15" xfId="8123"/>
    <cellStyle name="Calculation 2 2 16" xfId="8124"/>
    <cellStyle name="Calculation 2 2 2" xfId="8125"/>
    <cellStyle name="Calculation 2 2 2 2" xfId="8126"/>
    <cellStyle name="Calculation 2 2 2 2 2" xfId="8127"/>
    <cellStyle name="Calculation 2 2 2 2 3" xfId="8128"/>
    <cellStyle name="Calculation 2 2 2 2 4" xfId="8129"/>
    <cellStyle name="Calculation 2 2 2 3" xfId="8130"/>
    <cellStyle name="Calculation 2 2 2 4" xfId="8131"/>
    <cellStyle name="Calculation 2 2 2 5" xfId="8132"/>
    <cellStyle name="Calculation 2 2 3" xfId="8133"/>
    <cellStyle name="Calculation 2 2 3 2" xfId="8134"/>
    <cellStyle name="Calculation 2 2 3 2 2" xfId="8135"/>
    <cellStyle name="Calculation 2 2 3 2 3" xfId="8136"/>
    <cellStyle name="Calculation 2 2 3 2 4" xfId="8137"/>
    <cellStyle name="Calculation 2 2 3 3" xfId="8138"/>
    <cellStyle name="Calculation 2 2 3 4" xfId="8139"/>
    <cellStyle name="Calculation 2 2 3 5" xfId="8140"/>
    <cellStyle name="Calculation 2 2 4" xfId="8141"/>
    <cellStyle name="Calculation 2 2 4 2" xfId="8142"/>
    <cellStyle name="Calculation 2 2 4 2 2" xfId="8143"/>
    <cellStyle name="Calculation 2 2 4 2 3" xfId="8144"/>
    <cellStyle name="Calculation 2 2 4 2 4" xfId="8145"/>
    <cellStyle name="Calculation 2 2 4 3" xfId="8146"/>
    <cellStyle name="Calculation 2 2 4 4" xfId="8147"/>
    <cellStyle name="Calculation 2 2 4 5" xfId="8148"/>
    <cellStyle name="Calculation 2 2 5" xfId="8149"/>
    <cellStyle name="Calculation 2 2 5 2" xfId="8150"/>
    <cellStyle name="Calculation 2 2 5 2 2" xfId="8151"/>
    <cellStyle name="Calculation 2 2 5 2 3" xfId="8152"/>
    <cellStyle name="Calculation 2 2 5 2 4" xfId="8153"/>
    <cellStyle name="Calculation 2 2 5 3" xfId="8154"/>
    <cellStyle name="Calculation 2 2 5 4" xfId="8155"/>
    <cellStyle name="Calculation 2 2 5 5" xfId="8156"/>
    <cellStyle name="Calculation 2 2 6" xfId="8157"/>
    <cellStyle name="Calculation 2 2 6 2" xfId="8158"/>
    <cellStyle name="Calculation 2 2 6 2 2" xfId="8159"/>
    <cellStyle name="Calculation 2 2 6 2 3" xfId="8160"/>
    <cellStyle name="Calculation 2 2 6 2 4" xfId="8161"/>
    <cellStyle name="Calculation 2 2 6 3" xfId="8162"/>
    <cellStyle name="Calculation 2 2 6 4" xfId="8163"/>
    <cellStyle name="Calculation 2 2 6 5" xfId="8164"/>
    <cellStyle name="Calculation 2 2 7" xfId="8165"/>
    <cellStyle name="Calculation 2 2 7 2" xfId="8166"/>
    <cellStyle name="Calculation 2 2 7 2 2" xfId="8167"/>
    <cellStyle name="Calculation 2 2 7 2 3" xfId="8168"/>
    <cellStyle name="Calculation 2 2 7 2 4" xfId="8169"/>
    <cellStyle name="Calculation 2 2 7 3" xfId="8170"/>
    <cellStyle name="Calculation 2 2 7 4" xfId="8171"/>
    <cellStyle name="Calculation 2 2 7 5" xfId="8172"/>
    <cellStyle name="Calculation 2 2 8" xfId="8173"/>
    <cellStyle name="Calculation 2 2 8 2" xfId="8174"/>
    <cellStyle name="Calculation 2 2 8 2 2" xfId="8175"/>
    <cellStyle name="Calculation 2 2 8 2 3" xfId="8176"/>
    <cellStyle name="Calculation 2 2 8 2 4" xfId="8177"/>
    <cellStyle name="Calculation 2 2 8 3" xfId="8178"/>
    <cellStyle name="Calculation 2 2 8 4" xfId="8179"/>
    <cellStyle name="Calculation 2 2 8 5" xfId="8180"/>
    <cellStyle name="Calculation 2 2 9" xfId="8181"/>
    <cellStyle name="Calculation 2 2 9 2" xfId="8182"/>
    <cellStyle name="Calculation 2 2 9 2 2" xfId="8183"/>
    <cellStyle name="Calculation 2 2 9 2 3" xfId="8184"/>
    <cellStyle name="Calculation 2 2 9 2 4" xfId="8185"/>
    <cellStyle name="Calculation 2 2 9 3" xfId="8186"/>
    <cellStyle name="Calculation 2 2 9 4" xfId="8187"/>
    <cellStyle name="Calculation 2 2 9 5" xfId="8188"/>
    <cellStyle name="Calculation 2 3" xfId="8189"/>
    <cellStyle name="Calculation 2 3 2" xfId="8190"/>
    <cellStyle name="Calculation 2 3 2 2" xfId="8191"/>
    <cellStyle name="Calculation 2 3 2 2 2" xfId="8192"/>
    <cellStyle name="Calculation 2 3 2 2 3" xfId="8193"/>
    <cellStyle name="Calculation 2 3 2 2 4" xfId="8194"/>
    <cellStyle name="Calculation 2 3 2 3" xfId="8195"/>
    <cellStyle name="Calculation 2 3 2 4" xfId="8196"/>
    <cellStyle name="Calculation 2 3 2 5" xfId="8197"/>
    <cellStyle name="Calculation 2 3 3" xfId="8198"/>
    <cellStyle name="Calculation 2 3 3 2" xfId="8199"/>
    <cellStyle name="Calculation 2 3 3 2 2" xfId="8200"/>
    <cellStyle name="Calculation 2 3 3 2 3" xfId="8201"/>
    <cellStyle name="Calculation 2 3 3 2 4" xfId="8202"/>
    <cellStyle name="Calculation 2 3 3 3" xfId="8203"/>
    <cellStyle name="Calculation 2 3 3 4" xfId="8204"/>
    <cellStyle name="Calculation 2 3 3 5" xfId="8205"/>
    <cellStyle name="Calculation 2 3 4" xfId="8206"/>
    <cellStyle name="Calculation 2 3 4 2" xfId="8207"/>
    <cellStyle name="Calculation 2 3 4 3" xfId="8208"/>
    <cellStyle name="Calculation 2 3 4 4" xfId="8209"/>
    <cellStyle name="Calculation 2 3 5" xfId="8210"/>
    <cellStyle name="Calculation 2 3 5 2" xfId="8211"/>
    <cellStyle name="Calculation 2 3 5 3" xfId="8212"/>
    <cellStyle name="Calculation 2 3 5 4" xfId="8213"/>
    <cellStyle name="Calculation 2 3 6" xfId="8214"/>
    <cellStyle name="Calculation 2 3 7" xfId="8215"/>
    <cellStyle name="Calculation 2 3 8" xfId="8216"/>
    <cellStyle name="Calculation 2 4" xfId="8217"/>
    <cellStyle name="Calculation 2 4 10" xfId="8218"/>
    <cellStyle name="Calculation 2 4 10 2" xfId="8219"/>
    <cellStyle name="Calculation 2 4 10 2 2" xfId="8220"/>
    <cellStyle name="Calculation 2 4 10 2 3" xfId="8221"/>
    <cellStyle name="Calculation 2 4 10 2 4" xfId="8222"/>
    <cellStyle name="Calculation 2 4 10 3" xfId="8223"/>
    <cellStyle name="Calculation 2 4 10 4" xfId="8224"/>
    <cellStyle name="Calculation 2 4 10 5" xfId="8225"/>
    <cellStyle name="Calculation 2 4 11" xfId="8226"/>
    <cellStyle name="Calculation 2 4 11 2" xfId="8227"/>
    <cellStyle name="Calculation 2 4 11 2 2" xfId="8228"/>
    <cellStyle name="Calculation 2 4 11 2 3" xfId="8229"/>
    <cellStyle name="Calculation 2 4 11 2 4" xfId="8230"/>
    <cellStyle name="Calculation 2 4 11 3" xfId="8231"/>
    <cellStyle name="Calculation 2 4 11 4" xfId="8232"/>
    <cellStyle name="Calculation 2 4 11 5" xfId="8233"/>
    <cellStyle name="Calculation 2 4 12" xfId="8234"/>
    <cellStyle name="Calculation 2 4 12 2" xfId="8235"/>
    <cellStyle name="Calculation 2 4 12 3" xfId="8236"/>
    <cellStyle name="Calculation 2 4 12 4" xfId="8237"/>
    <cellStyle name="Calculation 2 4 13" xfId="8238"/>
    <cellStyle name="Calculation 2 4 13 2" xfId="8239"/>
    <cellStyle name="Calculation 2 4 13 3" xfId="8240"/>
    <cellStyle name="Calculation 2 4 13 4" xfId="8241"/>
    <cellStyle name="Calculation 2 4 14" xfId="8242"/>
    <cellStyle name="Calculation 2 4 15" xfId="8243"/>
    <cellStyle name="Calculation 2 4 16" xfId="8244"/>
    <cellStyle name="Calculation 2 4 2" xfId="8245"/>
    <cellStyle name="Calculation 2 4 2 2" xfId="8246"/>
    <cellStyle name="Calculation 2 4 2 2 2" xfId="8247"/>
    <cellStyle name="Calculation 2 4 2 2 3" xfId="8248"/>
    <cellStyle name="Calculation 2 4 2 2 4" xfId="8249"/>
    <cellStyle name="Calculation 2 4 2 3" xfId="8250"/>
    <cellStyle name="Calculation 2 4 2 4" xfId="8251"/>
    <cellStyle name="Calculation 2 4 2 5" xfId="8252"/>
    <cellStyle name="Calculation 2 4 3" xfId="8253"/>
    <cellStyle name="Calculation 2 4 3 2" xfId="8254"/>
    <cellStyle name="Calculation 2 4 3 2 2" xfId="8255"/>
    <cellStyle name="Calculation 2 4 3 2 3" xfId="8256"/>
    <cellStyle name="Calculation 2 4 3 2 4" xfId="8257"/>
    <cellStyle name="Calculation 2 4 3 3" xfId="8258"/>
    <cellStyle name="Calculation 2 4 3 4" xfId="8259"/>
    <cellStyle name="Calculation 2 4 3 5" xfId="8260"/>
    <cellStyle name="Calculation 2 4 4" xfId="8261"/>
    <cellStyle name="Calculation 2 4 4 2" xfId="8262"/>
    <cellStyle name="Calculation 2 4 4 2 2" xfId="8263"/>
    <cellStyle name="Calculation 2 4 4 2 3" xfId="8264"/>
    <cellStyle name="Calculation 2 4 4 2 4" xfId="8265"/>
    <cellStyle name="Calculation 2 4 4 3" xfId="8266"/>
    <cellStyle name="Calculation 2 4 4 4" xfId="8267"/>
    <cellStyle name="Calculation 2 4 4 5" xfId="8268"/>
    <cellStyle name="Calculation 2 4 5" xfId="8269"/>
    <cellStyle name="Calculation 2 4 5 2" xfId="8270"/>
    <cellStyle name="Calculation 2 4 5 2 2" xfId="8271"/>
    <cellStyle name="Calculation 2 4 5 2 3" xfId="8272"/>
    <cellStyle name="Calculation 2 4 5 2 4" xfId="8273"/>
    <cellStyle name="Calculation 2 4 5 3" xfId="8274"/>
    <cellStyle name="Calculation 2 4 5 4" xfId="8275"/>
    <cellStyle name="Calculation 2 4 5 5" xfId="8276"/>
    <cellStyle name="Calculation 2 4 6" xfId="8277"/>
    <cellStyle name="Calculation 2 4 6 2" xfId="8278"/>
    <cellStyle name="Calculation 2 4 6 2 2" xfId="8279"/>
    <cellStyle name="Calculation 2 4 6 2 3" xfId="8280"/>
    <cellStyle name="Calculation 2 4 6 2 4" xfId="8281"/>
    <cellStyle name="Calculation 2 4 6 3" xfId="8282"/>
    <cellStyle name="Calculation 2 4 6 4" xfId="8283"/>
    <cellStyle name="Calculation 2 4 6 5" xfId="8284"/>
    <cellStyle name="Calculation 2 4 7" xfId="8285"/>
    <cellStyle name="Calculation 2 4 7 2" xfId="8286"/>
    <cellStyle name="Calculation 2 4 7 2 2" xfId="8287"/>
    <cellStyle name="Calculation 2 4 7 2 3" xfId="8288"/>
    <cellStyle name="Calculation 2 4 7 2 4" xfId="8289"/>
    <cellStyle name="Calculation 2 4 7 3" xfId="8290"/>
    <cellStyle name="Calculation 2 4 7 4" xfId="8291"/>
    <cellStyle name="Calculation 2 4 7 5" xfId="8292"/>
    <cellStyle name="Calculation 2 4 8" xfId="8293"/>
    <cellStyle name="Calculation 2 4 8 2" xfId="8294"/>
    <cellStyle name="Calculation 2 4 8 2 2" xfId="8295"/>
    <cellStyle name="Calculation 2 4 8 2 3" xfId="8296"/>
    <cellStyle name="Calculation 2 4 8 2 4" xfId="8297"/>
    <cellStyle name="Calculation 2 4 8 3" xfId="8298"/>
    <cellStyle name="Calculation 2 4 8 4" xfId="8299"/>
    <cellStyle name="Calculation 2 4 8 5" xfId="8300"/>
    <cellStyle name="Calculation 2 4 9" xfId="8301"/>
    <cellStyle name="Calculation 2 4 9 2" xfId="8302"/>
    <cellStyle name="Calculation 2 4 9 2 2" xfId="8303"/>
    <cellStyle name="Calculation 2 4 9 2 3" xfId="8304"/>
    <cellStyle name="Calculation 2 4 9 2 4" xfId="8305"/>
    <cellStyle name="Calculation 2 4 9 3" xfId="8306"/>
    <cellStyle name="Calculation 2 4 9 4" xfId="8307"/>
    <cellStyle name="Calculation 2 4 9 5" xfId="8308"/>
    <cellStyle name="Calculation 2 5" xfId="8309"/>
    <cellStyle name="Calculation 2 5 2" xfId="8310"/>
    <cellStyle name="Calculation 2 5 2 2" xfId="8311"/>
    <cellStyle name="Calculation 2 5 2 3" xfId="8312"/>
    <cellStyle name="Calculation 2 5 2 4" xfId="8313"/>
    <cellStyle name="Calculation 2 5 3" xfId="8314"/>
    <cellStyle name="Calculation 2 5 3 2" xfId="8315"/>
    <cellStyle name="Calculation 2 5 3 3" xfId="8316"/>
    <cellStyle name="Calculation 2 5 3 4" xfId="8317"/>
    <cellStyle name="Calculation 2 5 4" xfId="8318"/>
    <cellStyle name="Calculation 2 5 5" xfId="8319"/>
    <cellStyle name="Calculation 2 5 6" xfId="8320"/>
    <cellStyle name="Calculation 2 6" xfId="8321"/>
    <cellStyle name="Calculation 2 6 2" xfId="8322"/>
    <cellStyle name="Calculation 2 6 2 2" xfId="8323"/>
    <cellStyle name="Calculation 2 6 2 3" xfId="8324"/>
    <cellStyle name="Calculation 2 6 2 4" xfId="8325"/>
    <cellStyle name="Calculation 2 6 3" xfId="8326"/>
    <cellStyle name="Calculation 2 6 4" xfId="8327"/>
    <cellStyle name="Calculation 2 6 5" xfId="8328"/>
    <cellStyle name="Calculation 2 7" xfId="8329"/>
    <cellStyle name="Calculation 2 7 2" xfId="8330"/>
    <cellStyle name="Calculation 2 7 2 2" xfId="8331"/>
    <cellStyle name="Calculation 2 7 2 3" xfId="8332"/>
    <cellStyle name="Calculation 2 7 2 4" xfId="8333"/>
    <cellStyle name="Calculation 2 7 3" xfId="8334"/>
    <cellStyle name="Calculation 2 7 4" xfId="8335"/>
    <cellStyle name="Calculation 2 7 5" xfId="8336"/>
    <cellStyle name="Calculation 2 8" xfId="8337"/>
    <cellStyle name="Calculation 2 8 2" xfId="8338"/>
    <cellStyle name="Calculation 2 8 2 2" xfId="8339"/>
    <cellStyle name="Calculation 2 8 2 3" xfId="8340"/>
    <cellStyle name="Calculation 2 8 2 4" xfId="8341"/>
    <cellStyle name="Calculation 2 8 3" xfId="8342"/>
    <cellStyle name="Calculation 2 8 4" xfId="8343"/>
    <cellStyle name="Calculation 2 8 5" xfId="8344"/>
    <cellStyle name="Calculation 2 9" xfId="8345"/>
    <cellStyle name="Calculation 2 9 2" xfId="8346"/>
    <cellStyle name="Calculation 2 9 2 2" xfId="8347"/>
    <cellStyle name="Calculation 2 9 2 3" xfId="8348"/>
    <cellStyle name="Calculation 2 9 2 4" xfId="8349"/>
    <cellStyle name="Calculation 2 9 3" xfId="8350"/>
    <cellStyle name="Calculation 2 9 4" xfId="8351"/>
    <cellStyle name="Calculation 2 9 5" xfId="8352"/>
    <cellStyle name="Calculation 2_AH Bhainsa Estimate" xfId="8363"/>
    <cellStyle name="Calculation 20" xfId="8353"/>
    <cellStyle name="Calculation 21" xfId="8354"/>
    <cellStyle name="Calculation 22" xfId="8355"/>
    <cellStyle name="Calculation 23" xfId="8356"/>
    <cellStyle name="Calculation 24" xfId="8357"/>
    <cellStyle name="Calculation 25" xfId="8358"/>
    <cellStyle name="Calculation 26" xfId="8359"/>
    <cellStyle name="Calculation 27" xfId="8360"/>
    <cellStyle name="Calculation 28" xfId="8361"/>
    <cellStyle name="Calculation 29" xfId="8362"/>
    <cellStyle name="Calculation 3" xfId="8364"/>
    <cellStyle name="Calculation 3 10" xfId="8365"/>
    <cellStyle name="Calculation 3 10 2" xfId="8366"/>
    <cellStyle name="Calculation 3 10 3" xfId="8367"/>
    <cellStyle name="Calculation 3 10 4" xfId="8368"/>
    <cellStyle name="Calculation 3 11" xfId="8369"/>
    <cellStyle name="Calculation 3 11 2" xfId="8370"/>
    <cellStyle name="Calculation 3 11 3" xfId="8371"/>
    <cellStyle name="Calculation 3 11 4" xfId="8372"/>
    <cellStyle name="Calculation 3 12" xfId="8373"/>
    <cellStyle name="Calculation 3 13" xfId="8374"/>
    <cellStyle name="Calculation 3 14" xfId="8375"/>
    <cellStyle name="Calculation 3 2" xfId="8376"/>
    <cellStyle name="Calculation 3 2 10" xfId="8377"/>
    <cellStyle name="Calculation 3 2 10 2" xfId="8378"/>
    <cellStyle name="Calculation 3 2 10 2 2" xfId="8379"/>
    <cellStyle name="Calculation 3 2 10 2 3" xfId="8380"/>
    <cellStyle name="Calculation 3 2 10 2 4" xfId="8381"/>
    <cellStyle name="Calculation 3 2 10 3" xfId="8382"/>
    <cellStyle name="Calculation 3 2 10 4" xfId="8383"/>
    <cellStyle name="Calculation 3 2 10 5" xfId="8384"/>
    <cellStyle name="Calculation 3 2 11" xfId="8385"/>
    <cellStyle name="Calculation 3 2 11 2" xfId="8386"/>
    <cellStyle name="Calculation 3 2 11 2 2" xfId="8387"/>
    <cellStyle name="Calculation 3 2 11 2 3" xfId="8388"/>
    <cellStyle name="Calculation 3 2 11 2 4" xfId="8389"/>
    <cellStyle name="Calculation 3 2 11 3" xfId="8390"/>
    <cellStyle name="Calculation 3 2 11 4" xfId="8391"/>
    <cellStyle name="Calculation 3 2 11 5" xfId="8392"/>
    <cellStyle name="Calculation 3 2 12" xfId="8393"/>
    <cellStyle name="Calculation 3 2 12 2" xfId="8394"/>
    <cellStyle name="Calculation 3 2 12 3" xfId="8395"/>
    <cellStyle name="Calculation 3 2 12 4" xfId="8396"/>
    <cellStyle name="Calculation 3 2 13" xfId="8397"/>
    <cellStyle name="Calculation 3 2 13 2" xfId="8398"/>
    <cellStyle name="Calculation 3 2 13 3" xfId="8399"/>
    <cellStyle name="Calculation 3 2 13 4" xfId="8400"/>
    <cellStyle name="Calculation 3 2 14" xfId="8401"/>
    <cellStyle name="Calculation 3 2 15" xfId="8402"/>
    <cellStyle name="Calculation 3 2 16" xfId="8403"/>
    <cellStyle name="Calculation 3 2 2" xfId="8404"/>
    <cellStyle name="Calculation 3 2 2 2" xfId="8405"/>
    <cellStyle name="Calculation 3 2 2 2 2" xfId="8406"/>
    <cellStyle name="Calculation 3 2 2 2 3" xfId="8407"/>
    <cellStyle name="Calculation 3 2 2 2 4" xfId="8408"/>
    <cellStyle name="Calculation 3 2 2 3" xfId="8409"/>
    <cellStyle name="Calculation 3 2 2 4" xfId="8410"/>
    <cellStyle name="Calculation 3 2 2 5" xfId="8411"/>
    <cellStyle name="Calculation 3 2 3" xfId="8412"/>
    <cellStyle name="Calculation 3 2 3 2" xfId="8413"/>
    <cellStyle name="Calculation 3 2 3 2 2" xfId="8414"/>
    <cellStyle name="Calculation 3 2 3 2 3" xfId="8415"/>
    <cellStyle name="Calculation 3 2 3 2 4" xfId="8416"/>
    <cellStyle name="Calculation 3 2 3 3" xfId="8417"/>
    <cellStyle name="Calculation 3 2 3 4" xfId="8418"/>
    <cellStyle name="Calculation 3 2 3 5" xfId="8419"/>
    <cellStyle name="Calculation 3 2 4" xfId="8420"/>
    <cellStyle name="Calculation 3 2 4 2" xfId="8421"/>
    <cellStyle name="Calculation 3 2 4 2 2" xfId="8422"/>
    <cellStyle name="Calculation 3 2 4 2 3" xfId="8423"/>
    <cellStyle name="Calculation 3 2 4 2 4" xfId="8424"/>
    <cellStyle name="Calculation 3 2 4 3" xfId="8425"/>
    <cellStyle name="Calculation 3 2 4 4" xfId="8426"/>
    <cellStyle name="Calculation 3 2 4 5" xfId="8427"/>
    <cellStyle name="Calculation 3 2 5" xfId="8428"/>
    <cellStyle name="Calculation 3 2 5 2" xfId="8429"/>
    <cellStyle name="Calculation 3 2 5 2 2" xfId="8430"/>
    <cellStyle name="Calculation 3 2 5 2 3" xfId="8431"/>
    <cellStyle name="Calculation 3 2 5 2 4" xfId="8432"/>
    <cellStyle name="Calculation 3 2 5 3" xfId="8433"/>
    <cellStyle name="Calculation 3 2 5 4" xfId="8434"/>
    <cellStyle name="Calculation 3 2 5 5" xfId="8435"/>
    <cellStyle name="Calculation 3 2 6" xfId="8436"/>
    <cellStyle name="Calculation 3 2 6 2" xfId="8437"/>
    <cellStyle name="Calculation 3 2 6 2 2" xfId="8438"/>
    <cellStyle name="Calculation 3 2 6 2 3" xfId="8439"/>
    <cellStyle name="Calculation 3 2 6 2 4" xfId="8440"/>
    <cellStyle name="Calculation 3 2 6 3" xfId="8441"/>
    <cellStyle name="Calculation 3 2 6 4" xfId="8442"/>
    <cellStyle name="Calculation 3 2 6 5" xfId="8443"/>
    <cellStyle name="Calculation 3 2 7" xfId="8444"/>
    <cellStyle name="Calculation 3 2 7 2" xfId="8445"/>
    <cellStyle name="Calculation 3 2 7 2 2" xfId="8446"/>
    <cellStyle name="Calculation 3 2 7 2 3" xfId="8447"/>
    <cellStyle name="Calculation 3 2 7 2 4" xfId="8448"/>
    <cellStyle name="Calculation 3 2 7 3" xfId="8449"/>
    <cellStyle name="Calculation 3 2 7 4" xfId="8450"/>
    <cellStyle name="Calculation 3 2 7 5" xfId="8451"/>
    <cellStyle name="Calculation 3 2 8" xfId="8452"/>
    <cellStyle name="Calculation 3 2 8 2" xfId="8453"/>
    <cellStyle name="Calculation 3 2 8 2 2" xfId="8454"/>
    <cellStyle name="Calculation 3 2 8 2 3" xfId="8455"/>
    <cellStyle name="Calculation 3 2 8 2 4" xfId="8456"/>
    <cellStyle name="Calculation 3 2 8 3" xfId="8457"/>
    <cellStyle name="Calculation 3 2 8 4" xfId="8458"/>
    <cellStyle name="Calculation 3 2 8 5" xfId="8459"/>
    <cellStyle name="Calculation 3 2 9" xfId="8460"/>
    <cellStyle name="Calculation 3 2 9 2" xfId="8461"/>
    <cellStyle name="Calculation 3 2 9 2 2" xfId="8462"/>
    <cellStyle name="Calculation 3 2 9 2 3" xfId="8463"/>
    <cellStyle name="Calculation 3 2 9 2 4" xfId="8464"/>
    <cellStyle name="Calculation 3 2 9 3" xfId="8465"/>
    <cellStyle name="Calculation 3 2 9 4" xfId="8466"/>
    <cellStyle name="Calculation 3 2 9 5" xfId="8467"/>
    <cellStyle name="Calculation 3 3" xfId="8468"/>
    <cellStyle name="Calculation 3 3 2" xfId="8469"/>
    <cellStyle name="Calculation 3 3 2 2" xfId="8470"/>
    <cellStyle name="Calculation 3 3 2 2 2" xfId="8471"/>
    <cellStyle name="Calculation 3 3 2 2 3" xfId="8472"/>
    <cellStyle name="Calculation 3 3 2 2 4" xfId="8473"/>
    <cellStyle name="Calculation 3 3 2 3" xfId="8474"/>
    <cellStyle name="Calculation 3 3 2 4" xfId="8475"/>
    <cellStyle name="Calculation 3 3 2 5" xfId="8476"/>
    <cellStyle name="Calculation 3 3 3" xfId="8477"/>
    <cellStyle name="Calculation 3 3 3 2" xfId="8478"/>
    <cellStyle name="Calculation 3 3 3 2 2" xfId="8479"/>
    <cellStyle name="Calculation 3 3 3 2 3" xfId="8480"/>
    <cellStyle name="Calculation 3 3 3 2 4" xfId="8481"/>
    <cellStyle name="Calculation 3 3 3 3" xfId="8482"/>
    <cellStyle name="Calculation 3 3 3 4" xfId="8483"/>
    <cellStyle name="Calculation 3 3 3 5" xfId="8484"/>
    <cellStyle name="Calculation 3 3 4" xfId="8485"/>
    <cellStyle name="Calculation 3 3 4 2" xfId="8486"/>
    <cellStyle name="Calculation 3 3 4 3" xfId="8487"/>
    <cellStyle name="Calculation 3 3 4 4" xfId="8488"/>
    <cellStyle name="Calculation 3 3 5" xfId="8489"/>
    <cellStyle name="Calculation 3 3 6" xfId="8490"/>
    <cellStyle name="Calculation 3 3 7" xfId="8491"/>
    <cellStyle name="Calculation 3 4" xfId="8492"/>
    <cellStyle name="Calculation 3 4 2" xfId="8493"/>
    <cellStyle name="Calculation 3 4 2 2" xfId="8494"/>
    <cellStyle name="Calculation 3 4 2 2 2" xfId="8495"/>
    <cellStyle name="Calculation 3 4 2 2 3" xfId="8496"/>
    <cellStyle name="Calculation 3 4 2 2 4" xfId="8497"/>
    <cellStyle name="Calculation 3 4 2 3" xfId="8498"/>
    <cellStyle name="Calculation 3 4 2 4" xfId="8499"/>
    <cellStyle name="Calculation 3 4 2 5" xfId="8500"/>
    <cellStyle name="Calculation 3 4 3" xfId="8501"/>
    <cellStyle name="Calculation 3 4 3 2" xfId="8502"/>
    <cellStyle name="Calculation 3 4 3 2 2" xfId="8503"/>
    <cellStyle name="Calculation 3 4 3 2 3" xfId="8504"/>
    <cellStyle name="Calculation 3 4 3 2 4" xfId="8505"/>
    <cellStyle name="Calculation 3 4 3 3" xfId="8506"/>
    <cellStyle name="Calculation 3 4 3 4" xfId="8507"/>
    <cellStyle name="Calculation 3 4 3 5" xfId="8508"/>
    <cellStyle name="Calculation 3 4 4" xfId="8509"/>
    <cellStyle name="Calculation 3 4 4 2" xfId="8510"/>
    <cellStyle name="Calculation 3 4 4 3" xfId="8511"/>
    <cellStyle name="Calculation 3 4 4 4" xfId="8512"/>
    <cellStyle name="Calculation 3 4 5" xfId="8513"/>
    <cellStyle name="Calculation 3 4 6" xfId="8514"/>
    <cellStyle name="Calculation 3 4 7" xfId="8515"/>
    <cellStyle name="Calculation 3 5" xfId="8516"/>
    <cellStyle name="Calculation 3 5 2" xfId="8517"/>
    <cellStyle name="Calculation 3 5 2 2" xfId="8518"/>
    <cellStyle name="Calculation 3 5 2 3" xfId="8519"/>
    <cellStyle name="Calculation 3 5 2 4" xfId="8520"/>
    <cellStyle name="Calculation 3 5 3" xfId="8521"/>
    <cellStyle name="Calculation 3 5 4" xfId="8522"/>
    <cellStyle name="Calculation 3 5 5" xfId="8523"/>
    <cellStyle name="Calculation 3 6" xfId="8524"/>
    <cellStyle name="Calculation 3 6 2" xfId="8525"/>
    <cellStyle name="Calculation 3 6 2 2" xfId="8526"/>
    <cellStyle name="Calculation 3 6 2 3" xfId="8527"/>
    <cellStyle name="Calculation 3 6 2 4" xfId="8528"/>
    <cellStyle name="Calculation 3 6 3" xfId="8529"/>
    <cellStyle name="Calculation 3 6 4" xfId="8530"/>
    <cellStyle name="Calculation 3 6 5" xfId="8531"/>
    <cellStyle name="Calculation 3 7" xfId="8532"/>
    <cellStyle name="Calculation 3 7 2" xfId="8533"/>
    <cellStyle name="Calculation 3 7 2 2" xfId="8534"/>
    <cellStyle name="Calculation 3 7 2 3" xfId="8535"/>
    <cellStyle name="Calculation 3 7 2 4" xfId="8536"/>
    <cellStyle name="Calculation 3 7 3" xfId="8537"/>
    <cellStyle name="Calculation 3 7 4" xfId="8538"/>
    <cellStyle name="Calculation 3 7 5" xfId="8539"/>
    <cellStyle name="Calculation 3 8" xfId="8540"/>
    <cellStyle name="Calculation 3 8 2" xfId="8541"/>
    <cellStyle name="Calculation 3 8 2 2" xfId="8542"/>
    <cellStyle name="Calculation 3 8 2 3" xfId="8543"/>
    <cellStyle name="Calculation 3 8 2 4" xfId="8544"/>
    <cellStyle name="Calculation 3 8 3" xfId="8545"/>
    <cellStyle name="Calculation 3 8 4" xfId="8546"/>
    <cellStyle name="Calculation 3 8 5" xfId="8547"/>
    <cellStyle name="Calculation 3 9" xfId="8548"/>
    <cellStyle name="Calculation 3 9 2" xfId="8549"/>
    <cellStyle name="Calculation 3 9 2 2" xfId="8550"/>
    <cellStyle name="Calculation 3 9 2 3" xfId="8551"/>
    <cellStyle name="Calculation 3 9 2 4" xfId="8552"/>
    <cellStyle name="Calculation 3 9 3" xfId="8553"/>
    <cellStyle name="Calculation 3 9 4" xfId="8554"/>
    <cellStyle name="Calculation 3 9 5" xfId="8555"/>
    <cellStyle name="Calculation 3_Ramadugu_ SWGH" xfId="8573"/>
    <cellStyle name="Calculation 30" xfId="8556"/>
    <cellStyle name="Calculation 31" xfId="8557"/>
    <cellStyle name="Calculation 32" xfId="8558"/>
    <cellStyle name="Calculation 32 2" xfId="8559"/>
    <cellStyle name="Calculation 32 2 2" xfId="8560"/>
    <cellStyle name="Calculation 32 2 3" xfId="8561"/>
    <cellStyle name="Calculation 32 2 4" xfId="8562"/>
    <cellStyle name="Calculation 32 3" xfId="8563"/>
    <cellStyle name="Calculation 32 4" xfId="8564"/>
    <cellStyle name="Calculation 32 5" xfId="8565"/>
    <cellStyle name="Calculation 33" xfId="8566"/>
    <cellStyle name="Calculation 34" xfId="8567"/>
    <cellStyle name="Calculation 35" xfId="8568"/>
    <cellStyle name="Calculation 36" xfId="8569"/>
    <cellStyle name="Calculation 37" xfId="8570"/>
    <cellStyle name="Calculation 38" xfId="8571"/>
    <cellStyle name="Calculation 39" xfId="8572"/>
    <cellStyle name="Calculation 4" xfId="8574"/>
    <cellStyle name="Calculation 4 10" xfId="8575"/>
    <cellStyle name="Calculation 4 10 2" xfId="8576"/>
    <cellStyle name="Calculation 4 10 2 2" xfId="8577"/>
    <cellStyle name="Calculation 4 10 2 3" xfId="8578"/>
    <cellStyle name="Calculation 4 10 2 4" xfId="8579"/>
    <cellStyle name="Calculation 4 10 3" xfId="8580"/>
    <cellStyle name="Calculation 4 10 4" xfId="8581"/>
    <cellStyle name="Calculation 4 10 5" xfId="8582"/>
    <cellStyle name="Calculation 4 11" xfId="8583"/>
    <cellStyle name="Calculation 4 11 2" xfId="8584"/>
    <cellStyle name="Calculation 4 11 2 2" xfId="8585"/>
    <cellStyle name="Calculation 4 11 2 3" xfId="8586"/>
    <cellStyle name="Calculation 4 11 2 4" xfId="8587"/>
    <cellStyle name="Calculation 4 11 3" xfId="8588"/>
    <cellStyle name="Calculation 4 11 4" xfId="8589"/>
    <cellStyle name="Calculation 4 11 5" xfId="8590"/>
    <cellStyle name="Calculation 4 12" xfId="8591"/>
    <cellStyle name="Calculation 4 12 2" xfId="8592"/>
    <cellStyle name="Calculation 4 12 2 2" xfId="8593"/>
    <cellStyle name="Calculation 4 12 2 3" xfId="8594"/>
    <cellStyle name="Calculation 4 12 2 4" xfId="8595"/>
    <cellStyle name="Calculation 4 12 3" xfId="8596"/>
    <cellStyle name="Calculation 4 12 4" xfId="8597"/>
    <cellStyle name="Calculation 4 12 5" xfId="8598"/>
    <cellStyle name="Calculation 4 13" xfId="8599"/>
    <cellStyle name="Calculation 4 13 2" xfId="8600"/>
    <cellStyle name="Calculation 4 13 2 2" xfId="8601"/>
    <cellStyle name="Calculation 4 13 2 3" xfId="8602"/>
    <cellStyle name="Calculation 4 13 2 4" xfId="8603"/>
    <cellStyle name="Calculation 4 13 3" xfId="8604"/>
    <cellStyle name="Calculation 4 13 4" xfId="8605"/>
    <cellStyle name="Calculation 4 13 5" xfId="8606"/>
    <cellStyle name="Calculation 4 14" xfId="8607"/>
    <cellStyle name="Calculation 4 14 2" xfId="8608"/>
    <cellStyle name="Calculation 4 14 2 2" xfId="8609"/>
    <cellStyle name="Calculation 4 14 2 3" xfId="8610"/>
    <cellStyle name="Calculation 4 14 2 4" xfId="8611"/>
    <cellStyle name="Calculation 4 14 3" xfId="8612"/>
    <cellStyle name="Calculation 4 14 4" xfId="8613"/>
    <cellStyle name="Calculation 4 14 5" xfId="8614"/>
    <cellStyle name="Calculation 4 15" xfId="8615"/>
    <cellStyle name="Calculation 4 15 2" xfId="8616"/>
    <cellStyle name="Calculation 4 15 2 2" xfId="8617"/>
    <cellStyle name="Calculation 4 15 2 3" xfId="8618"/>
    <cellStyle name="Calculation 4 15 2 4" xfId="8619"/>
    <cellStyle name="Calculation 4 15 3" xfId="8620"/>
    <cellStyle name="Calculation 4 15 4" xfId="8621"/>
    <cellStyle name="Calculation 4 15 5" xfId="8622"/>
    <cellStyle name="Calculation 4 16" xfId="8623"/>
    <cellStyle name="Calculation 4 16 2" xfId="8624"/>
    <cellStyle name="Calculation 4 16 2 2" xfId="8625"/>
    <cellStyle name="Calculation 4 16 2 3" xfId="8626"/>
    <cellStyle name="Calculation 4 16 2 4" xfId="8627"/>
    <cellStyle name="Calculation 4 16 3" xfId="8628"/>
    <cellStyle name="Calculation 4 16 4" xfId="8629"/>
    <cellStyle name="Calculation 4 16 5" xfId="8630"/>
    <cellStyle name="Calculation 4 17" xfId="8631"/>
    <cellStyle name="Calculation 4 17 2" xfId="8632"/>
    <cellStyle name="Calculation 4 17 2 2" xfId="8633"/>
    <cellStyle name="Calculation 4 17 2 3" xfId="8634"/>
    <cellStyle name="Calculation 4 17 2 4" xfId="8635"/>
    <cellStyle name="Calculation 4 17 3" xfId="8636"/>
    <cellStyle name="Calculation 4 17 4" xfId="8637"/>
    <cellStyle name="Calculation 4 17 5" xfId="8638"/>
    <cellStyle name="Calculation 4 18" xfId="8639"/>
    <cellStyle name="Calculation 4 18 2" xfId="8640"/>
    <cellStyle name="Calculation 4 18 3" xfId="8641"/>
    <cellStyle name="Calculation 4 18 4" xfId="8642"/>
    <cellStyle name="Calculation 4 19" xfId="8643"/>
    <cellStyle name="Calculation 4 19 2" xfId="8644"/>
    <cellStyle name="Calculation 4 19 3" xfId="8645"/>
    <cellStyle name="Calculation 4 19 4" xfId="8646"/>
    <cellStyle name="Calculation 4 2" xfId="8647"/>
    <cellStyle name="Calculation 4 2 2" xfId="8648"/>
    <cellStyle name="Calculation 4 2 2 2" xfId="8649"/>
    <cellStyle name="Calculation 4 2 2 2 2" xfId="8650"/>
    <cellStyle name="Calculation 4 2 2 2 3" xfId="8651"/>
    <cellStyle name="Calculation 4 2 2 2 4" xfId="8652"/>
    <cellStyle name="Calculation 4 2 2 3" xfId="8653"/>
    <cellStyle name="Calculation 4 2 2 4" xfId="8654"/>
    <cellStyle name="Calculation 4 2 2 5" xfId="8655"/>
    <cellStyle name="Calculation 4 2 3" xfId="8656"/>
    <cellStyle name="Calculation 4 2 3 2" xfId="8657"/>
    <cellStyle name="Calculation 4 2 3 2 2" xfId="8658"/>
    <cellStyle name="Calculation 4 2 3 2 3" xfId="8659"/>
    <cellStyle name="Calculation 4 2 3 2 4" xfId="8660"/>
    <cellStyle name="Calculation 4 2 3 3" xfId="8661"/>
    <cellStyle name="Calculation 4 2 3 4" xfId="8662"/>
    <cellStyle name="Calculation 4 2 3 5" xfId="8663"/>
    <cellStyle name="Calculation 4 2 4" xfId="8664"/>
    <cellStyle name="Calculation 4 2 4 2" xfId="8665"/>
    <cellStyle name="Calculation 4 2 4 3" xfId="8666"/>
    <cellStyle name="Calculation 4 2 4 4" xfId="8667"/>
    <cellStyle name="Calculation 4 2 5" xfId="8668"/>
    <cellStyle name="Calculation 4 2 6" xfId="8669"/>
    <cellStyle name="Calculation 4 2 7" xfId="8670"/>
    <cellStyle name="Calculation 4 20" xfId="8671"/>
    <cellStyle name="Calculation 4 21" xfId="8672"/>
    <cellStyle name="Calculation 4 22" xfId="8673"/>
    <cellStyle name="Calculation 4 3" xfId="8674"/>
    <cellStyle name="Calculation 4 3 2" xfId="8675"/>
    <cellStyle name="Calculation 4 3 2 2" xfId="8676"/>
    <cellStyle name="Calculation 4 3 2 2 2" xfId="8677"/>
    <cellStyle name="Calculation 4 3 2 2 3" xfId="8678"/>
    <cellStyle name="Calculation 4 3 2 2 4" xfId="8679"/>
    <cellStyle name="Calculation 4 3 2 3" xfId="8680"/>
    <cellStyle name="Calculation 4 3 2 4" xfId="8681"/>
    <cellStyle name="Calculation 4 3 2 5" xfId="8682"/>
    <cellStyle name="Calculation 4 3 3" xfId="8683"/>
    <cellStyle name="Calculation 4 3 3 2" xfId="8684"/>
    <cellStyle name="Calculation 4 3 3 2 2" xfId="8685"/>
    <cellStyle name="Calculation 4 3 3 2 3" xfId="8686"/>
    <cellStyle name="Calculation 4 3 3 2 4" xfId="8687"/>
    <cellStyle name="Calculation 4 3 3 3" xfId="8688"/>
    <cellStyle name="Calculation 4 3 3 4" xfId="8689"/>
    <cellStyle name="Calculation 4 3 3 5" xfId="8690"/>
    <cellStyle name="Calculation 4 3 4" xfId="8691"/>
    <cellStyle name="Calculation 4 3 4 2" xfId="8692"/>
    <cellStyle name="Calculation 4 3 4 3" xfId="8693"/>
    <cellStyle name="Calculation 4 3 4 4" xfId="8694"/>
    <cellStyle name="Calculation 4 3 5" xfId="8695"/>
    <cellStyle name="Calculation 4 3 6" xfId="8696"/>
    <cellStyle name="Calculation 4 3 7" xfId="8697"/>
    <cellStyle name="Calculation 4 4" xfId="8698"/>
    <cellStyle name="Calculation 4 4 2" xfId="8699"/>
    <cellStyle name="Calculation 4 4 2 2" xfId="8700"/>
    <cellStyle name="Calculation 4 4 2 2 2" xfId="8701"/>
    <cellStyle name="Calculation 4 4 2 2 3" xfId="8702"/>
    <cellStyle name="Calculation 4 4 2 2 4" xfId="8703"/>
    <cellStyle name="Calculation 4 4 2 3" xfId="8704"/>
    <cellStyle name="Calculation 4 4 2 4" xfId="8705"/>
    <cellStyle name="Calculation 4 4 2 5" xfId="8706"/>
    <cellStyle name="Calculation 4 4 3" xfId="8707"/>
    <cellStyle name="Calculation 4 4 3 2" xfId="8708"/>
    <cellStyle name="Calculation 4 4 3 2 2" xfId="8709"/>
    <cellStyle name="Calculation 4 4 3 2 3" xfId="8710"/>
    <cellStyle name="Calculation 4 4 3 2 4" xfId="8711"/>
    <cellStyle name="Calculation 4 4 3 3" xfId="8712"/>
    <cellStyle name="Calculation 4 4 3 4" xfId="8713"/>
    <cellStyle name="Calculation 4 4 3 5" xfId="8714"/>
    <cellStyle name="Calculation 4 4 4" xfId="8715"/>
    <cellStyle name="Calculation 4 4 4 2" xfId="8716"/>
    <cellStyle name="Calculation 4 4 4 3" xfId="8717"/>
    <cellStyle name="Calculation 4 4 4 4" xfId="8718"/>
    <cellStyle name="Calculation 4 4 5" xfId="8719"/>
    <cellStyle name="Calculation 4 4 6" xfId="8720"/>
    <cellStyle name="Calculation 4 4 7" xfId="8721"/>
    <cellStyle name="Calculation 4 5" xfId="8722"/>
    <cellStyle name="Calculation 4 5 2" xfId="8723"/>
    <cellStyle name="Calculation 4 5 2 2" xfId="8724"/>
    <cellStyle name="Calculation 4 5 2 3" xfId="8725"/>
    <cellStyle name="Calculation 4 5 2 4" xfId="8726"/>
    <cellStyle name="Calculation 4 5 3" xfId="8727"/>
    <cellStyle name="Calculation 4 5 4" xfId="8728"/>
    <cellStyle name="Calculation 4 5 5" xfId="8729"/>
    <cellStyle name="Calculation 4 6" xfId="8730"/>
    <cellStyle name="Calculation 4 6 2" xfId="8731"/>
    <cellStyle name="Calculation 4 6 2 2" xfId="8732"/>
    <cellStyle name="Calculation 4 6 2 3" xfId="8733"/>
    <cellStyle name="Calculation 4 6 2 4" xfId="8734"/>
    <cellStyle name="Calculation 4 6 3" xfId="8735"/>
    <cellStyle name="Calculation 4 6 4" xfId="8736"/>
    <cellStyle name="Calculation 4 6 5" xfId="8737"/>
    <cellStyle name="Calculation 4 7" xfId="8738"/>
    <cellStyle name="Calculation 4 7 2" xfId="8739"/>
    <cellStyle name="Calculation 4 7 2 2" xfId="8740"/>
    <cellStyle name="Calculation 4 7 2 3" xfId="8741"/>
    <cellStyle name="Calculation 4 7 2 4" xfId="8742"/>
    <cellStyle name="Calculation 4 7 3" xfId="8743"/>
    <cellStyle name="Calculation 4 7 4" xfId="8744"/>
    <cellStyle name="Calculation 4 7 5" xfId="8745"/>
    <cellStyle name="Calculation 4 8" xfId="8746"/>
    <cellStyle name="Calculation 4 8 2" xfId="8747"/>
    <cellStyle name="Calculation 4 8 2 2" xfId="8748"/>
    <cellStyle name="Calculation 4 8 2 3" xfId="8749"/>
    <cellStyle name="Calculation 4 8 2 4" xfId="8750"/>
    <cellStyle name="Calculation 4 8 3" xfId="8751"/>
    <cellStyle name="Calculation 4 8 4" xfId="8752"/>
    <cellStyle name="Calculation 4 8 5" xfId="8753"/>
    <cellStyle name="Calculation 4 9" xfId="8754"/>
    <cellStyle name="Calculation 4 9 2" xfId="8755"/>
    <cellStyle name="Calculation 4 9 2 2" xfId="8756"/>
    <cellStyle name="Calculation 4 9 2 3" xfId="8757"/>
    <cellStyle name="Calculation 4 9 2 4" xfId="8758"/>
    <cellStyle name="Calculation 4 9 3" xfId="8759"/>
    <cellStyle name="Calculation 4 9 4" xfId="8760"/>
    <cellStyle name="Calculation 4 9 5" xfId="8761"/>
    <cellStyle name="Calculation 4_Sheet2" xfId="8762"/>
    <cellStyle name="Calculation 5" xfId="8763"/>
    <cellStyle name="Calculation 5 10" xfId="8764"/>
    <cellStyle name="Calculation 5 10 2" xfId="8765"/>
    <cellStyle name="Calculation 5 10 2 2" xfId="8766"/>
    <cellStyle name="Calculation 5 10 2 3" xfId="8767"/>
    <cellStyle name="Calculation 5 10 2 4" xfId="8768"/>
    <cellStyle name="Calculation 5 10 3" xfId="8769"/>
    <cellStyle name="Calculation 5 10 4" xfId="8770"/>
    <cellStyle name="Calculation 5 10 5" xfId="8771"/>
    <cellStyle name="Calculation 5 11" xfId="8772"/>
    <cellStyle name="Calculation 5 11 2" xfId="8773"/>
    <cellStyle name="Calculation 5 11 2 2" xfId="8774"/>
    <cellStyle name="Calculation 5 11 2 3" xfId="8775"/>
    <cellStyle name="Calculation 5 11 2 4" xfId="8776"/>
    <cellStyle name="Calculation 5 11 3" xfId="8777"/>
    <cellStyle name="Calculation 5 11 4" xfId="8778"/>
    <cellStyle name="Calculation 5 11 5" xfId="8779"/>
    <cellStyle name="Calculation 5 12" xfId="8780"/>
    <cellStyle name="Calculation 5 12 2" xfId="8781"/>
    <cellStyle name="Calculation 5 12 2 2" xfId="8782"/>
    <cellStyle name="Calculation 5 12 2 3" xfId="8783"/>
    <cellStyle name="Calculation 5 12 2 4" xfId="8784"/>
    <cellStyle name="Calculation 5 12 3" xfId="8785"/>
    <cellStyle name="Calculation 5 12 4" xfId="8786"/>
    <cellStyle name="Calculation 5 12 5" xfId="8787"/>
    <cellStyle name="Calculation 5 13" xfId="8788"/>
    <cellStyle name="Calculation 5 13 2" xfId="8789"/>
    <cellStyle name="Calculation 5 13 2 2" xfId="8790"/>
    <cellStyle name="Calculation 5 13 2 3" xfId="8791"/>
    <cellStyle name="Calculation 5 13 2 4" xfId="8792"/>
    <cellStyle name="Calculation 5 13 3" xfId="8793"/>
    <cellStyle name="Calculation 5 13 4" xfId="8794"/>
    <cellStyle name="Calculation 5 13 5" xfId="8795"/>
    <cellStyle name="Calculation 5 14" xfId="8796"/>
    <cellStyle name="Calculation 5 14 2" xfId="8797"/>
    <cellStyle name="Calculation 5 14 2 2" xfId="8798"/>
    <cellStyle name="Calculation 5 14 2 3" xfId="8799"/>
    <cellStyle name="Calculation 5 14 2 4" xfId="8800"/>
    <cellStyle name="Calculation 5 14 3" xfId="8801"/>
    <cellStyle name="Calculation 5 14 4" xfId="8802"/>
    <cellStyle name="Calculation 5 14 5" xfId="8803"/>
    <cellStyle name="Calculation 5 15" xfId="8804"/>
    <cellStyle name="Calculation 5 15 2" xfId="8805"/>
    <cellStyle name="Calculation 5 15 2 2" xfId="8806"/>
    <cellStyle name="Calculation 5 15 2 3" xfId="8807"/>
    <cellStyle name="Calculation 5 15 2 4" xfId="8808"/>
    <cellStyle name="Calculation 5 15 3" xfId="8809"/>
    <cellStyle name="Calculation 5 15 4" xfId="8810"/>
    <cellStyle name="Calculation 5 15 5" xfId="8811"/>
    <cellStyle name="Calculation 5 16" xfId="8812"/>
    <cellStyle name="Calculation 5 16 2" xfId="8813"/>
    <cellStyle name="Calculation 5 16 2 2" xfId="8814"/>
    <cellStyle name="Calculation 5 16 2 3" xfId="8815"/>
    <cellStyle name="Calculation 5 16 2 4" xfId="8816"/>
    <cellStyle name="Calculation 5 16 3" xfId="8817"/>
    <cellStyle name="Calculation 5 16 4" xfId="8818"/>
    <cellStyle name="Calculation 5 16 5" xfId="8819"/>
    <cellStyle name="Calculation 5 17" xfId="8820"/>
    <cellStyle name="Calculation 5 17 2" xfId="8821"/>
    <cellStyle name="Calculation 5 17 2 2" xfId="8822"/>
    <cellStyle name="Calculation 5 17 2 3" xfId="8823"/>
    <cellStyle name="Calculation 5 17 2 4" xfId="8824"/>
    <cellStyle name="Calculation 5 17 3" xfId="8825"/>
    <cellStyle name="Calculation 5 17 4" xfId="8826"/>
    <cellStyle name="Calculation 5 17 5" xfId="8827"/>
    <cellStyle name="Calculation 5 18" xfId="8828"/>
    <cellStyle name="Calculation 5 18 2" xfId="8829"/>
    <cellStyle name="Calculation 5 18 3" xfId="8830"/>
    <cellStyle name="Calculation 5 18 4" xfId="8831"/>
    <cellStyle name="Calculation 5 19" xfId="8832"/>
    <cellStyle name="Calculation 5 19 2" xfId="8833"/>
    <cellStyle name="Calculation 5 19 3" xfId="8834"/>
    <cellStyle name="Calculation 5 19 4" xfId="8835"/>
    <cellStyle name="Calculation 5 2" xfId="8836"/>
    <cellStyle name="Calculation 5 2 2" xfId="8837"/>
    <cellStyle name="Calculation 5 2 2 2" xfId="8838"/>
    <cellStyle name="Calculation 5 2 2 2 2" xfId="8839"/>
    <cellStyle name="Calculation 5 2 2 2 3" xfId="8840"/>
    <cellStyle name="Calculation 5 2 2 2 4" xfId="8841"/>
    <cellStyle name="Calculation 5 2 2 3" xfId="8842"/>
    <cellStyle name="Calculation 5 2 2 4" xfId="8843"/>
    <cellStyle name="Calculation 5 2 2 5" xfId="8844"/>
    <cellStyle name="Calculation 5 2 3" xfId="8845"/>
    <cellStyle name="Calculation 5 2 3 2" xfId="8846"/>
    <cellStyle name="Calculation 5 2 3 2 2" xfId="8847"/>
    <cellStyle name="Calculation 5 2 3 2 3" xfId="8848"/>
    <cellStyle name="Calculation 5 2 3 2 4" xfId="8849"/>
    <cellStyle name="Calculation 5 2 3 3" xfId="8850"/>
    <cellStyle name="Calculation 5 2 3 4" xfId="8851"/>
    <cellStyle name="Calculation 5 2 3 5" xfId="8852"/>
    <cellStyle name="Calculation 5 2 4" xfId="8853"/>
    <cellStyle name="Calculation 5 2 4 2" xfId="8854"/>
    <cellStyle name="Calculation 5 2 4 3" xfId="8855"/>
    <cellStyle name="Calculation 5 2 4 4" xfId="8856"/>
    <cellStyle name="Calculation 5 2 5" xfId="8857"/>
    <cellStyle name="Calculation 5 2 6" xfId="8858"/>
    <cellStyle name="Calculation 5 2 7" xfId="8859"/>
    <cellStyle name="Calculation 5 20" xfId="8860"/>
    <cellStyle name="Calculation 5 21" xfId="8861"/>
    <cellStyle name="Calculation 5 22" xfId="8862"/>
    <cellStyle name="Calculation 5 3" xfId="8863"/>
    <cellStyle name="Calculation 5 3 2" xfId="8864"/>
    <cellStyle name="Calculation 5 3 2 2" xfId="8865"/>
    <cellStyle name="Calculation 5 3 2 2 2" xfId="8866"/>
    <cellStyle name="Calculation 5 3 2 2 3" xfId="8867"/>
    <cellStyle name="Calculation 5 3 2 2 4" xfId="8868"/>
    <cellStyle name="Calculation 5 3 2 3" xfId="8869"/>
    <cellStyle name="Calculation 5 3 2 4" xfId="8870"/>
    <cellStyle name="Calculation 5 3 2 5" xfId="8871"/>
    <cellStyle name="Calculation 5 3 3" xfId="8872"/>
    <cellStyle name="Calculation 5 3 3 2" xfId="8873"/>
    <cellStyle name="Calculation 5 3 3 2 2" xfId="8874"/>
    <cellStyle name="Calculation 5 3 3 2 3" xfId="8875"/>
    <cellStyle name="Calculation 5 3 3 2 4" xfId="8876"/>
    <cellStyle name="Calculation 5 3 3 3" xfId="8877"/>
    <cellStyle name="Calculation 5 3 3 4" xfId="8878"/>
    <cellStyle name="Calculation 5 3 3 5" xfId="8879"/>
    <cellStyle name="Calculation 5 3 4" xfId="8880"/>
    <cellStyle name="Calculation 5 3 4 2" xfId="8881"/>
    <cellStyle name="Calculation 5 3 4 3" xfId="8882"/>
    <cellStyle name="Calculation 5 3 4 4" xfId="8883"/>
    <cellStyle name="Calculation 5 3 5" xfId="8884"/>
    <cellStyle name="Calculation 5 3 6" xfId="8885"/>
    <cellStyle name="Calculation 5 3 7" xfId="8886"/>
    <cellStyle name="Calculation 5 4" xfId="8887"/>
    <cellStyle name="Calculation 5 4 2" xfId="8888"/>
    <cellStyle name="Calculation 5 4 2 2" xfId="8889"/>
    <cellStyle name="Calculation 5 4 2 2 2" xfId="8890"/>
    <cellStyle name="Calculation 5 4 2 2 3" xfId="8891"/>
    <cellStyle name="Calculation 5 4 2 2 4" xfId="8892"/>
    <cellStyle name="Calculation 5 4 2 3" xfId="8893"/>
    <cellStyle name="Calculation 5 4 2 4" xfId="8894"/>
    <cellStyle name="Calculation 5 4 2 5" xfId="8895"/>
    <cellStyle name="Calculation 5 4 3" xfId="8896"/>
    <cellStyle name="Calculation 5 4 3 2" xfId="8897"/>
    <cellStyle name="Calculation 5 4 3 2 2" xfId="8898"/>
    <cellStyle name="Calculation 5 4 3 2 3" xfId="8899"/>
    <cellStyle name="Calculation 5 4 3 2 4" xfId="8900"/>
    <cellStyle name="Calculation 5 4 3 3" xfId="8901"/>
    <cellStyle name="Calculation 5 4 3 4" xfId="8902"/>
    <cellStyle name="Calculation 5 4 3 5" xfId="8903"/>
    <cellStyle name="Calculation 5 4 4" xfId="8904"/>
    <cellStyle name="Calculation 5 4 4 2" xfId="8905"/>
    <cellStyle name="Calculation 5 4 4 3" xfId="8906"/>
    <cellStyle name="Calculation 5 4 4 4" xfId="8907"/>
    <cellStyle name="Calculation 5 4 5" xfId="8908"/>
    <cellStyle name="Calculation 5 4 6" xfId="8909"/>
    <cellStyle name="Calculation 5 4 7" xfId="8910"/>
    <cellStyle name="Calculation 5 5" xfId="8911"/>
    <cellStyle name="Calculation 5 5 2" xfId="8912"/>
    <cellStyle name="Calculation 5 5 2 2" xfId="8913"/>
    <cellStyle name="Calculation 5 5 2 3" xfId="8914"/>
    <cellStyle name="Calculation 5 5 2 4" xfId="8915"/>
    <cellStyle name="Calculation 5 5 3" xfId="8916"/>
    <cellStyle name="Calculation 5 5 4" xfId="8917"/>
    <cellStyle name="Calculation 5 5 5" xfId="8918"/>
    <cellStyle name="Calculation 5 6" xfId="8919"/>
    <cellStyle name="Calculation 5 6 2" xfId="8920"/>
    <cellStyle name="Calculation 5 6 2 2" xfId="8921"/>
    <cellStyle name="Calculation 5 6 2 3" xfId="8922"/>
    <cellStyle name="Calculation 5 6 2 4" xfId="8923"/>
    <cellStyle name="Calculation 5 6 3" xfId="8924"/>
    <cellStyle name="Calculation 5 6 4" xfId="8925"/>
    <cellStyle name="Calculation 5 6 5" xfId="8926"/>
    <cellStyle name="Calculation 5 7" xfId="8927"/>
    <cellStyle name="Calculation 5 7 2" xfId="8928"/>
    <cellStyle name="Calculation 5 7 2 2" xfId="8929"/>
    <cellStyle name="Calculation 5 7 2 3" xfId="8930"/>
    <cellStyle name="Calculation 5 7 2 4" xfId="8931"/>
    <cellStyle name="Calculation 5 7 3" xfId="8932"/>
    <cellStyle name="Calculation 5 7 4" xfId="8933"/>
    <cellStyle name="Calculation 5 7 5" xfId="8934"/>
    <cellStyle name="Calculation 5 8" xfId="8935"/>
    <cellStyle name="Calculation 5 8 2" xfId="8936"/>
    <cellStyle name="Calculation 5 8 2 2" xfId="8937"/>
    <cellStyle name="Calculation 5 8 2 3" xfId="8938"/>
    <cellStyle name="Calculation 5 8 2 4" xfId="8939"/>
    <cellStyle name="Calculation 5 8 3" xfId="8940"/>
    <cellStyle name="Calculation 5 8 4" xfId="8941"/>
    <cellStyle name="Calculation 5 8 5" xfId="8942"/>
    <cellStyle name="Calculation 5 9" xfId="8943"/>
    <cellStyle name="Calculation 5 9 2" xfId="8944"/>
    <cellStyle name="Calculation 5 9 2 2" xfId="8945"/>
    <cellStyle name="Calculation 5 9 2 3" xfId="8946"/>
    <cellStyle name="Calculation 5 9 2 4" xfId="8947"/>
    <cellStyle name="Calculation 5 9 3" xfId="8948"/>
    <cellStyle name="Calculation 5 9 4" xfId="8949"/>
    <cellStyle name="Calculation 5 9 5" xfId="8950"/>
    <cellStyle name="Calculation 5_Sheet2" xfId="8951"/>
    <cellStyle name="Calculation 6" xfId="8952"/>
    <cellStyle name="Calculation 6 10" xfId="8953"/>
    <cellStyle name="Calculation 6 10 2" xfId="8954"/>
    <cellStyle name="Calculation 6 10 2 2" xfId="8955"/>
    <cellStyle name="Calculation 6 10 2 3" xfId="8956"/>
    <cellStyle name="Calculation 6 10 2 4" xfId="8957"/>
    <cellStyle name="Calculation 6 10 3" xfId="8958"/>
    <cellStyle name="Calculation 6 10 4" xfId="8959"/>
    <cellStyle name="Calculation 6 10 5" xfId="8960"/>
    <cellStyle name="Calculation 6 11" xfId="8961"/>
    <cellStyle name="Calculation 6 11 2" xfId="8962"/>
    <cellStyle name="Calculation 6 11 2 2" xfId="8963"/>
    <cellStyle name="Calculation 6 11 2 3" xfId="8964"/>
    <cellStyle name="Calculation 6 11 2 4" xfId="8965"/>
    <cellStyle name="Calculation 6 11 3" xfId="8966"/>
    <cellStyle name="Calculation 6 11 4" xfId="8967"/>
    <cellStyle name="Calculation 6 11 5" xfId="8968"/>
    <cellStyle name="Calculation 6 12" xfId="8969"/>
    <cellStyle name="Calculation 6 12 2" xfId="8970"/>
    <cellStyle name="Calculation 6 12 2 2" xfId="8971"/>
    <cellStyle name="Calculation 6 12 2 3" xfId="8972"/>
    <cellStyle name="Calculation 6 12 2 4" xfId="8973"/>
    <cellStyle name="Calculation 6 12 3" xfId="8974"/>
    <cellStyle name="Calculation 6 12 4" xfId="8975"/>
    <cellStyle name="Calculation 6 12 5" xfId="8976"/>
    <cellStyle name="Calculation 6 13" xfId="8977"/>
    <cellStyle name="Calculation 6 13 2" xfId="8978"/>
    <cellStyle name="Calculation 6 13 2 2" xfId="8979"/>
    <cellStyle name="Calculation 6 13 2 3" xfId="8980"/>
    <cellStyle name="Calculation 6 13 2 4" xfId="8981"/>
    <cellStyle name="Calculation 6 13 3" xfId="8982"/>
    <cellStyle name="Calculation 6 13 4" xfId="8983"/>
    <cellStyle name="Calculation 6 13 5" xfId="8984"/>
    <cellStyle name="Calculation 6 14" xfId="8985"/>
    <cellStyle name="Calculation 6 14 2" xfId="8986"/>
    <cellStyle name="Calculation 6 14 2 2" xfId="8987"/>
    <cellStyle name="Calculation 6 14 2 3" xfId="8988"/>
    <cellStyle name="Calculation 6 14 2 4" xfId="8989"/>
    <cellStyle name="Calculation 6 14 3" xfId="8990"/>
    <cellStyle name="Calculation 6 14 4" xfId="8991"/>
    <cellStyle name="Calculation 6 14 5" xfId="8992"/>
    <cellStyle name="Calculation 6 15" xfId="8993"/>
    <cellStyle name="Calculation 6 15 2" xfId="8994"/>
    <cellStyle name="Calculation 6 15 2 2" xfId="8995"/>
    <cellStyle name="Calculation 6 15 2 3" xfId="8996"/>
    <cellStyle name="Calculation 6 15 2 4" xfId="8997"/>
    <cellStyle name="Calculation 6 15 3" xfId="8998"/>
    <cellStyle name="Calculation 6 15 4" xfId="8999"/>
    <cellStyle name="Calculation 6 15 5" xfId="9000"/>
    <cellStyle name="Calculation 6 16" xfId="9001"/>
    <cellStyle name="Calculation 6 16 2" xfId="9002"/>
    <cellStyle name="Calculation 6 16 2 2" xfId="9003"/>
    <cellStyle name="Calculation 6 16 2 3" xfId="9004"/>
    <cellStyle name="Calculation 6 16 2 4" xfId="9005"/>
    <cellStyle name="Calculation 6 16 3" xfId="9006"/>
    <cellStyle name="Calculation 6 16 4" xfId="9007"/>
    <cellStyle name="Calculation 6 16 5" xfId="9008"/>
    <cellStyle name="Calculation 6 17" xfId="9009"/>
    <cellStyle name="Calculation 6 17 2" xfId="9010"/>
    <cellStyle name="Calculation 6 17 2 2" xfId="9011"/>
    <cellStyle name="Calculation 6 17 2 3" xfId="9012"/>
    <cellStyle name="Calculation 6 17 2 4" xfId="9013"/>
    <cellStyle name="Calculation 6 17 3" xfId="9014"/>
    <cellStyle name="Calculation 6 17 4" xfId="9015"/>
    <cellStyle name="Calculation 6 17 5" xfId="9016"/>
    <cellStyle name="Calculation 6 18" xfId="9017"/>
    <cellStyle name="Calculation 6 18 2" xfId="9018"/>
    <cellStyle name="Calculation 6 18 3" xfId="9019"/>
    <cellStyle name="Calculation 6 18 4" xfId="9020"/>
    <cellStyle name="Calculation 6 19" xfId="9021"/>
    <cellStyle name="Calculation 6 19 2" xfId="9022"/>
    <cellStyle name="Calculation 6 19 3" xfId="9023"/>
    <cellStyle name="Calculation 6 19 4" xfId="9024"/>
    <cellStyle name="Calculation 6 2" xfId="9025"/>
    <cellStyle name="Calculation 6 2 2" xfId="9026"/>
    <cellStyle name="Calculation 6 2 2 2" xfId="9027"/>
    <cellStyle name="Calculation 6 2 2 2 2" xfId="9028"/>
    <cellStyle name="Calculation 6 2 2 2 3" xfId="9029"/>
    <cellStyle name="Calculation 6 2 2 2 4" xfId="9030"/>
    <cellStyle name="Calculation 6 2 2 3" xfId="9031"/>
    <cellStyle name="Calculation 6 2 2 4" xfId="9032"/>
    <cellStyle name="Calculation 6 2 2 5" xfId="9033"/>
    <cellStyle name="Calculation 6 2 3" xfId="9034"/>
    <cellStyle name="Calculation 6 2 3 2" xfId="9035"/>
    <cellStyle name="Calculation 6 2 3 2 2" xfId="9036"/>
    <cellStyle name="Calculation 6 2 3 2 3" xfId="9037"/>
    <cellStyle name="Calculation 6 2 3 2 4" xfId="9038"/>
    <cellStyle name="Calculation 6 2 3 3" xfId="9039"/>
    <cellStyle name="Calculation 6 2 3 4" xfId="9040"/>
    <cellStyle name="Calculation 6 2 3 5" xfId="9041"/>
    <cellStyle name="Calculation 6 2 4" xfId="9042"/>
    <cellStyle name="Calculation 6 2 4 2" xfId="9043"/>
    <cellStyle name="Calculation 6 2 4 3" xfId="9044"/>
    <cellStyle name="Calculation 6 2 4 4" xfId="9045"/>
    <cellStyle name="Calculation 6 2 5" xfId="9046"/>
    <cellStyle name="Calculation 6 2 6" xfId="9047"/>
    <cellStyle name="Calculation 6 2 7" xfId="9048"/>
    <cellStyle name="Calculation 6 20" xfId="9049"/>
    <cellStyle name="Calculation 6 21" xfId="9050"/>
    <cellStyle name="Calculation 6 22" xfId="9051"/>
    <cellStyle name="Calculation 6 3" xfId="9052"/>
    <cellStyle name="Calculation 6 3 2" xfId="9053"/>
    <cellStyle name="Calculation 6 3 2 2" xfId="9054"/>
    <cellStyle name="Calculation 6 3 2 2 2" xfId="9055"/>
    <cellStyle name="Calculation 6 3 2 2 3" xfId="9056"/>
    <cellStyle name="Calculation 6 3 2 2 4" xfId="9057"/>
    <cellStyle name="Calculation 6 3 2 3" xfId="9058"/>
    <cellStyle name="Calculation 6 3 2 4" xfId="9059"/>
    <cellStyle name="Calculation 6 3 2 5" xfId="9060"/>
    <cellStyle name="Calculation 6 3 3" xfId="9061"/>
    <cellStyle name="Calculation 6 3 3 2" xfId="9062"/>
    <cellStyle name="Calculation 6 3 3 2 2" xfId="9063"/>
    <cellStyle name="Calculation 6 3 3 2 3" xfId="9064"/>
    <cellStyle name="Calculation 6 3 3 2 4" xfId="9065"/>
    <cellStyle name="Calculation 6 3 3 3" xfId="9066"/>
    <cellStyle name="Calculation 6 3 3 4" xfId="9067"/>
    <cellStyle name="Calculation 6 3 3 5" xfId="9068"/>
    <cellStyle name="Calculation 6 3 4" xfId="9069"/>
    <cellStyle name="Calculation 6 3 4 2" xfId="9070"/>
    <cellStyle name="Calculation 6 3 4 3" xfId="9071"/>
    <cellStyle name="Calculation 6 3 4 4" xfId="9072"/>
    <cellStyle name="Calculation 6 3 5" xfId="9073"/>
    <cellStyle name="Calculation 6 3 6" xfId="9074"/>
    <cellStyle name="Calculation 6 3 7" xfId="9075"/>
    <cellStyle name="Calculation 6 4" xfId="9076"/>
    <cellStyle name="Calculation 6 4 2" xfId="9077"/>
    <cellStyle name="Calculation 6 4 2 2" xfId="9078"/>
    <cellStyle name="Calculation 6 4 2 2 2" xfId="9079"/>
    <cellStyle name="Calculation 6 4 2 2 3" xfId="9080"/>
    <cellStyle name="Calculation 6 4 2 2 4" xfId="9081"/>
    <cellStyle name="Calculation 6 4 2 3" xfId="9082"/>
    <cellStyle name="Calculation 6 4 2 4" xfId="9083"/>
    <cellStyle name="Calculation 6 4 2 5" xfId="9084"/>
    <cellStyle name="Calculation 6 4 3" xfId="9085"/>
    <cellStyle name="Calculation 6 4 3 2" xfId="9086"/>
    <cellStyle name="Calculation 6 4 3 2 2" xfId="9087"/>
    <cellStyle name="Calculation 6 4 3 2 3" xfId="9088"/>
    <cellStyle name="Calculation 6 4 3 2 4" xfId="9089"/>
    <cellStyle name="Calculation 6 4 3 3" xfId="9090"/>
    <cellStyle name="Calculation 6 4 3 4" xfId="9091"/>
    <cellStyle name="Calculation 6 4 3 5" xfId="9092"/>
    <cellStyle name="Calculation 6 4 4" xfId="9093"/>
    <cellStyle name="Calculation 6 4 4 2" xfId="9094"/>
    <cellStyle name="Calculation 6 4 4 3" xfId="9095"/>
    <cellStyle name="Calculation 6 4 4 4" xfId="9096"/>
    <cellStyle name="Calculation 6 4 5" xfId="9097"/>
    <cellStyle name="Calculation 6 4 6" xfId="9098"/>
    <cellStyle name="Calculation 6 4 7" xfId="9099"/>
    <cellStyle name="Calculation 6 5" xfId="9100"/>
    <cellStyle name="Calculation 6 5 2" xfId="9101"/>
    <cellStyle name="Calculation 6 5 2 2" xfId="9102"/>
    <cellStyle name="Calculation 6 5 2 3" xfId="9103"/>
    <cellStyle name="Calculation 6 5 2 4" xfId="9104"/>
    <cellStyle name="Calculation 6 5 3" xfId="9105"/>
    <cellStyle name="Calculation 6 5 4" xfId="9106"/>
    <cellStyle name="Calculation 6 5 5" xfId="9107"/>
    <cellStyle name="Calculation 6 6" xfId="9108"/>
    <cellStyle name="Calculation 6 6 2" xfId="9109"/>
    <cellStyle name="Calculation 6 6 2 2" xfId="9110"/>
    <cellStyle name="Calculation 6 6 2 3" xfId="9111"/>
    <cellStyle name="Calculation 6 6 2 4" xfId="9112"/>
    <cellStyle name="Calculation 6 6 3" xfId="9113"/>
    <cellStyle name="Calculation 6 6 4" xfId="9114"/>
    <cellStyle name="Calculation 6 6 5" xfId="9115"/>
    <cellStyle name="Calculation 6 7" xfId="9116"/>
    <cellStyle name="Calculation 6 7 2" xfId="9117"/>
    <cellStyle name="Calculation 6 7 2 2" xfId="9118"/>
    <cellStyle name="Calculation 6 7 2 3" xfId="9119"/>
    <cellStyle name="Calculation 6 7 2 4" xfId="9120"/>
    <cellStyle name="Calculation 6 7 3" xfId="9121"/>
    <cellStyle name="Calculation 6 7 4" xfId="9122"/>
    <cellStyle name="Calculation 6 7 5" xfId="9123"/>
    <cellStyle name="Calculation 6 8" xfId="9124"/>
    <cellStyle name="Calculation 6 8 2" xfId="9125"/>
    <cellStyle name="Calculation 6 8 2 2" xfId="9126"/>
    <cellStyle name="Calculation 6 8 2 3" xfId="9127"/>
    <cellStyle name="Calculation 6 8 2 4" xfId="9128"/>
    <cellStyle name="Calculation 6 8 3" xfId="9129"/>
    <cellStyle name="Calculation 6 8 4" xfId="9130"/>
    <cellStyle name="Calculation 6 8 5" xfId="9131"/>
    <cellStyle name="Calculation 6 9" xfId="9132"/>
    <cellStyle name="Calculation 6 9 2" xfId="9133"/>
    <cellStyle name="Calculation 6 9 2 2" xfId="9134"/>
    <cellStyle name="Calculation 6 9 2 3" xfId="9135"/>
    <cellStyle name="Calculation 6 9 2 4" xfId="9136"/>
    <cellStyle name="Calculation 6 9 3" xfId="9137"/>
    <cellStyle name="Calculation 6 9 4" xfId="9138"/>
    <cellStyle name="Calculation 6 9 5" xfId="9139"/>
    <cellStyle name="Calculation 6_Sheet2" xfId="9140"/>
    <cellStyle name="Calculation 7" xfId="9141"/>
    <cellStyle name="Calculation 7 10" xfId="9142"/>
    <cellStyle name="Calculation 7 10 2" xfId="9143"/>
    <cellStyle name="Calculation 7 10 2 2" xfId="9144"/>
    <cellStyle name="Calculation 7 10 2 3" xfId="9145"/>
    <cellStyle name="Calculation 7 10 2 4" xfId="9146"/>
    <cellStyle name="Calculation 7 10 3" xfId="9147"/>
    <cellStyle name="Calculation 7 10 4" xfId="9148"/>
    <cellStyle name="Calculation 7 10 5" xfId="9149"/>
    <cellStyle name="Calculation 7 11" xfId="9150"/>
    <cellStyle name="Calculation 7 11 2" xfId="9151"/>
    <cellStyle name="Calculation 7 11 2 2" xfId="9152"/>
    <cellStyle name="Calculation 7 11 2 3" xfId="9153"/>
    <cellStyle name="Calculation 7 11 2 4" xfId="9154"/>
    <cellStyle name="Calculation 7 11 3" xfId="9155"/>
    <cellStyle name="Calculation 7 11 4" xfId="9156"/>
    <cellStyle name="Calculation 7 11 5" xfId="9157"/>
    <cellStyle name="Calculation 7 12" xfId="9158"/>
    <cellStyle name="Calculation 7 12 2" xfId="9159"/>
    <cellStyle name="Calculation 7 12 2 2" xfId="9160"/>
    <cellStyle name="Calculation 7 12 2 3" xfId="9161"/>
    <cellStyle name="Calculation 7 12 2 4" xfId="9162"/>
    <cellStyle name="Calculation 7 12 3" xfId="9163"/>
    <cellStyle name="Calculation 7 12 4" xfId="9164"/>
    <cellStyle name="Calculation 7 12 5" xfId="9165"/>
    <cellStyle name="Calculation 7 13" xfId="9166"/>
    <cellStyle name="Calculation 7 13 2" xfId="9167"/>
    <cellStyle name="Calculation 7 13 2 2" xfId="9168"/>
    <cellStyle name="Calculation 7 13 2 3" xfId="9169"/>
    <cellStyle name="Calculation 7 13 2 4" xfId="9170"/>
    <cellStyle name="Calculation 7 13 3" xfId="9171"/>
    <cellStyle name="Calculation 7 13 4" xfId="9172"/>
    <cellStyle name="Calculation 7 13 5" xfId="9173"/>
    <cellStyle name="Calculation 7 14" xfId="9174"/>
    <cellStyle name="Calculation 7 14 2" xfId="9175"/>
    <cellStyle name="Calculation 7 14 2 2" xfId="9176"/>
    <cellStyle name="Calculation 7 14 2 3" xfId="9177"/>
    <cellStyle name="Calculation 7 14 2 4" xfId="9178"/>
    <cellStyle name="Calculation 7 14 3" xfId="9179"/>
    <cellStyle name="Calculation 7 14 4" xfId="9180"/>
    <cellStyle name="Calculation 7 14 5" xfId="9181"/>
    <cellStyle name="Calculation 7 15" xfId="9182"/>
    <cellStyle name="Calculation 7 15 2" xfId="9183"/>
    <cellStyle name="Calculation 7 15 2 2" xfId="9184"/>
    <cellStyle name="Calculation 7 15 2 3" xfId="9185"/>
    <cellStyle name="Calculation 7 15 2 4" xfId="9186"/>
    <cellStyle name="Calculation 7 15 3" xfId="9187"/>
    <cellStyle name="Calculation 7 15 4" xfId="9188"/>
    <cellStyle name="Calculation 7 15 5" xfId="9189"/>
    <cellStyle name="Calculation 7 16" xfId="9190"/>
    <cellStyle name="Calculation 7 16 2" xfId="9191"/>
    <cellStyle name="Calculation 7 16 2 2" xfId="9192"/>
    <cellStyle name="Calculation 7 16 2 3" xfId="9193"/>
    <cellStyle name="Calculation 7 16 2 4" xfId="9194"/>
    <cellStyle name="Calculation 7 16 3" xfId="9195"/>
    <cellStyle name="Calculation 7 16 4" xfId="9196"/>
    <cellStyle name="Calculation 7 16 5" xfId="9197"/>
    <cellStyle name="Calculation 7 17" xfId="9198"/>
    <cellStyle name="Calculation 7 17 2" xfId="9199"/>
    <cellStyle name="Calculation 7 17 3" xfId="9200"/>
    <cellStyle name="Calculation 7 17 4" xfId="9201"/>
    <cellStyle name="Calculation 7 18" xfId="9202"/>
    <cellStyle name="Calculation 7 18 2" xfId="9203"/>
    <cellStyle name="Calculation 7 18 3" xfId="9204"/>
    <cellStyle name="Calculation 7 18 4" xfId="9205"/>
    <cellStyle name="Calculation 7 19" xfId="9206"/>
    <cellStyle name="Calculation 7 2" xfId="9207"/>
    <cellStyle name="Calculation 7 2 2" xfId="9208"/>
    <cellStyle name="Calculation 7 2 2 2" xfId="9209"/>
    <cellStyle name="Calculation 7 2 2 2 2" xfId="9210"/>
    <cellStyle name="Calculation 7 2 2 2 3" xfId="9211"/>
    <cellStyle name="Calculation 7 2 2 2 4" xfId="9212"/>
    <cellStyle name="Calculation 7 2 2 3" xfId="9213"/>
    <cellStyle name="Calculation 7 2 2 4" xfId="9214"/>
    <cellStyle name="Calculation 7 2 2 5" xfId="9215"/>
    <cellStyle name="Calculation 7 2 3" xfId="9216"/>
    <cellStyle name="Calculation 7 2 3 2" xfId="9217"/>
    <cellStyle name="Calculation 7 2 3 2 2" xfId="9218"/>
    <cellStyle name="Calculation 7 2 3 2 3" xfId="9219"/>
    <cellStyle name="Calculation 7 2 3 2 4" xfId="9220"/>
    <cellStyle name="Calculation 7 2 3 3" xfId="9221"/>
    <cellStyle name="Calculation 7 2 3 4" xfId="9222"/>
    <cellStyle name="Calculation 7 2 3 5" xfId="9223"/>
    <cellStyle name="Calculation 7 2 4" xfId="9224"/>
    <cellStyle name="Calculation 7 2 4 2" xfId="9225"/>
    <cellStyle name="Calculation 7 2 4 3" xfId="9226"/>
    <cellStyle name="Calculation 7 2 4 4" xfId="9227"/>
    <cellStyle name="Calculation 7 2 5" xfId="9228"/>
    <cellStyle name="Calculation 7 2 6" xfId="9229"/>
    <cellStyle name="Calculation 7 2 7" xfId="9230"/>
    <cellStyle name="Calculation 7 20" xfId="9231"/>
    <cellStyle name="Calculation 7 21" xfId="9232"/>
    <cellStyle name="Calculation 7 3" xfId="9233"/>
    <cellStyle name="Calculation 7 3 2" xfId="9234"/>
    <cellStyle name="Calculation 7 3 2 2" xfId="9235"/>
    <cellStyle name="Calculation 7 3 2 2 2" xfId="9236"/>
    <cellStyle name="Calculation 7 3 2 2 3" xfId="9237"/>
    <cellStyle name="Calculation 7 3 2 2 4" xfId="9238"/>
    <cellStyle name="Calculation 7 3 2 3" xfId="9239"/>
    <cellStyle name="Calculation 7 3 2 4" xfId="9240"/>
    <cellStyle name="Calculation 7 3 2 5" xfId="9241"/>
    <cellStyle name="Calculation 7 3 3" xfId="9242"/>
    <cellStyle name="Calculation 7 3 3 2" xfId="9243"/>
    <cellStyle name="Calculation 7 3 3 2 2" xfId="9244"/>
    <cellStyle name="Calculation 7 3 3 2 3" xfId="9245"/>
    <cellStyle name="Calculation 7 3 3 2 4" xfId="9246"/>
    <cellStyle name="Calculation 7 3 3 3" xfId="9247"/>
    <cellStyle name="Calculation 7 3 3 4" xfId="9248"/>
    <cellStyle name="Calculation 7 3 3 5" xfId="9249"/>
    <cellStyle name="Calculation 7 3 4" xfId="9250"/>
    <cellStyle name="Calculation 7 3 4 2" xfId="9251"/>
    <cellStyle name="Calculation 7 3 4 3" xfId="9252"/>
    <cellStyle name="Calculation 7 3 4 4" xfId="9253"/>
    <cellStyle name="Calculation 7 3 5" xfId="9254"/>
    <cellStyle name="Calculation 7 3 6" xfId="9255"/>
    <cellStyle name="Calculation 7 3 7" xfId="9256"/>
    <cellStyle name="Calculation 7 4" xfId="9257"/>
    <cellStyle name="Calculation 7 4 2" xfId="9258"/>
    <cellStyle name="Calculation 7 4 2 2" xfId="9259"/>
    <cellStyle name="Calculation 7 4 2 2 2" xfId="9260"/>
    <cellStyle name="Calculation 7 4 2 2 3" xfId="9261"/>
    <cellStyle name="Calculation 7 4 2 2 4" xfId="9262"/>
    <cellStyle name="Calculation 7 4 2 3" xfId="9263"/>
    <cellStyle name="Calculation 7 4 2 4" xfId="9264"/>
    <cellStyle name="Calculation 7 4 2 5" xfId="9265"/>
    <cellStyle name="Calculation 7 4 3" xfId="9266"/>
    <cellStyle name="Calculation 7 4 3 2" xfId="9267"/>
    <cellStyle name="Calculation 7 4 3 2 2" xfId="9268"/>
    <cellStyle name="Calculation 7 4 3 2 3" xfId="9269"/>
    <cellStyle name="Calculation 7 4 3 2 4" xfId="9270"/>
    <cellStyle name="Calculation 7 4 3 3" xfId="9271"/>
    <cellStyle name="Calculation 7 4 3 4" xfId="9272"/>
    <cellStyle name="Calculation 7 4 3 5" xfId="9273"/>
    <cellStyle name="Calculation 7 4 4" xfId="9274"/>
    <cellStyle name="Calculation 7 4 4 2" xfId="9275"/>
    <cellStyle name="Calculation 7 4 4 3" xfId="9276"/>
    <cellStyle name="Calculation 7 4 4 4" xfId="9277"/>
    <cellStyle name="Calculation 7 4 5" xfId="9278"/>
    <cellStyle name="Calculation 7 4 6" xfId="9279"/>
    <cellStyle name="Calculation 7 4 7" xfId="9280"/>
    <cellStyle name="Calculation 7 5" xfId="9281"/>
    <cellStyle name="Calculation 7 5 2" xfId="9282"/>
    <cellStyle name="Calculation 7 5 2 2" xfId="9283"/>
    <cellStyle name="Calculation 7 5 2 3" xfId="9284"/>
    <cellStyle name="Calculation 7 5 2 4" xfId="9285"/>
    <cellStyle name="Calculation 7 5 3" xfId="9286"/>
    <cellStyle name="Calculation 7 5 4" xfId="9287"/>
    <cellStyle name="Calculation 7 5 5" xfId="9288"/>
    <cellStyle name="Calculation 7 6" xfId="9289"/>
    <cellStyle name="Calculation 7 6 2" xfId="9290"/>
    <cellStyle name="Calculation 7 6 2 2" xfId="9291"/>
    <cellStyle name="Calculation 7 6 2 3" xfId="9292"/>
    <cellStyle name="Calculation 7 6 2 4" xfId="9293"/>
    <cellStyle name="Calculation 7 6 3" xfId="9294"/>
    <cellStyle name="Calculation 7 6 4" xfId="9295"/>
    <cellStyle name="Calculation 7 6 5" xfId="9296"/>
    <cellStyle name="Calculation 7 7" xfId="9297"/>
    <cellStyle name="Calculation 7 7 2" xfId="9298"/>
    <cellStyle name="Calculation 7 7 2 2" xfId="9299"/>
    <cellStyle name="Calculation 7 7 2 3" xfId="9300"/>
    <cellStyle name="Calculation 7 7 2 4" xfId="9301"/>
    <cellStyle name="Calculation 7 7 3" xfId="9302"/>
    <cellStyle name="Calculation 7 7 4" xfId="9303"/>
    <cellStyle name="Calculation 7 7 5" xfId="9304"/>
    <cellStyle name="Calculation 7 8" xfId="9305"/>
    <cellStyle name="Calculation 7 8 2" xfId="9306"/>
    <cellStyle name="Calculation 7 8 2 2" xfId="9307"/>
    <cellStyle name="Calculation 7 8 2 3" xfId="9308"/>
    <cellStyle name="Calculation 7 8 2 4" xfId="9309"/>
    <cellStyle name="Calculation 7 8 3" xfId="9310"/>
    <cellStyle name="Calculation 7 8 4" xfId="9311"/>
    <cellStyle name="Calculation 7 8 5" xfId="9312"/>
    <cellStyle name="Calculation 7 9" xfId="9313"/>
    <cellStyle name="Calculation 7 9 2" xfId="9314"/>
    <cellStyle name="Calculation 7 9 2 2" xfId="9315"/>
    <cellStyle name="Calculation 7 9 2 3" xfId="9316"/>
    <cellStyle name="Calculation 7 9 2 4" xfId="9317"/>
    <cellStyle name="Calculation 7 9 3" xfId="9318"/>
    <cellStyle name="Calculation 7 9 4" xfId="9319"/>
    <cellStyle name="Calculation 7 9 5" xfId="9320"/>
    <cellStyle name="Calculation 7_Sheet2" xfId="9321"/>
    <cellStyle name="Calculation 8" xfId="9322"/>
    <cellStyle name="Calculation 8 10" xfId="9323"/>
    <cellStyle name="Calculation 8 10 2" xfId="9324"/>
    <cellStyle name="Calculation 8 10 2 2" xfId="9325"/>
    <cellStyle name="Calculation 8 10 2 3" xfId="9326"/>
    <cellStyle name="Calculation 8 10 2 4" xfId="9327"/>
    <cellStyle name="Calculation 8 10 3" xfId="9328"/>
    <cellStyle name="Calculation 8 10 4" xfId="9329"/>
    <cellStyle name="Calculation 8 10 5" xfId="9330"/>
    <cellStyle name="Calculation 8 11" xfId="9331"/>
    <cellStyle name="Calculation 8 11 2" xfId="9332"/>
    <cellStyle name="Calculation 8 11 2 2" xfId="9333"/>
    <cellStyle name="Calculation 8 11 2 3" xfId="9334"/>
    <cellStyle name="Calculation 8 11 2 4" xfId="9335"/>
    <cellStyle name="Calculation 8 11 3" xfId="9336"/>
    <cellStyle name="Calculation 8 11 4" xfId="9337"/>
    <cellStyle name="Calculation 8 11 5" xfId="9338"/>
    <cellStyle name="Calculation 8 12" xfId="9339"/>
    <cellStyle name="Calculation 8 12 2" xfId="9340"/>
    <cellStyle name="Calculation 8 12 2 2" xfId="9341"/>
    <cellStyle name="Calculation 8 12 2 3" xfId="9342"/>
    <cellStyle name="Calculation 8 12 2 4" xfId="9343"/>
    <cellStyle name="Calculation 8 12 3" xfId="9344"/>
    <cellStyle name="Calculation 8 12 4" xfId="9345"/>
    <cellStyle name="Calculation 8 12 5" xfId="9346"/>
    <cellStyle name="Calculation 8 13" xfId="9347"/>
    <cellStyle name="Calculation 8 13 2" xfId="9348"/>
    <cellStyle name="Calculation 8 13 2 2" xfId="9349"/>
    <cellStyle name="Calculation 8 13 2 3" xfId="9350"/>
    <cellStyle name="Calculation 8 13 2 4" xfId="9351"/>
    <cellStyle name="Calculation 8 13 3" xfId="9352"/>
    <cellStyle name="Calculation 8 13 4" xfId="9353"/>
    <cellStyle name="Calculation 8 13 5" xfId="9354"/>
    <cellStyle name="Calculation 8 14" xfId="9355"/>
    <cellStyle name="Calculation 8 14 2" xfId="9356"/>
    <cellStyle name="Calculation 8 14 2 2" xfId="9357"/>
    <cellStyle name="Calculation 8 14 2 3" xfId="9358"/>
    <cellStyle name="Calculation 8 14 2 4" xfId="9359"/>
    <cellStyle name="Calculation 8 14 3" xfId="9360"/>
    <cellStyle name="Calculation 8 14 4" xfId="9361"/>
    <cellStyle name="Calculation 8 14 5" xfId="9362"/>
    <cellStyle name="Calculation 8 15" xfId="9363"/>
    <cellStyle name="Calculation 8 15 2" xfId="9364"/>
    <cellStyle name="Calculation 8 15 2 2" xfId="9365"/>
    <cellStyle name="Calculation 8 15 2 3" xfId="9366"/>
    <cellStyle name="Calculation 8 15 2 4" xfId="9367"/>
    <cellStyle name="Calculation 8 15 3" xfId="9368"/>
    <cellStyle name="Calculation 8 15 4" xfId="9369"/>
    <cellStyle name="Calculation 8 15 5" xfId="9370"/>
    <cellStyle name="Calculation 8 16" xfId="9371"/>
    <cellStyle name="Calculation 8 16 2" xfId="9372"/>
    <cellStyle name="Calculation 8 16 2 2" xfId="9373"/>
    <cellStyle name="Calculation 8 16 2 3" xfId="9374"/>
    <cellStyle name="Calculation 8 16 2 4" xfId="9375"/>
    <cellStyle name="Calculation 8 16 3" xfId="9376"/>
    <cellStyle name="Calculation 8 16 4" xfId="9377"/>
    <cellStyle name="Calculation 8 16 5" xfId="9378"/>
    <cellStyle name="Calculation 8 17" xfId="9379"/>
    <cellStyle name="Calculation 8 17 2" xfId="9380"/>
    <cellStyle name="Calculation 8 17 3" xfId="9381"/>
    <cellStyle name="Calculation 8 17 4" xfId="9382"/>
    <cellStyle name="Calculation 8 18" xfId="9383"/>
    <cellStyle name="Calculation 8 18 2" xfId="9384"/>
    <cellStyle name="Calculation 8 18 3" xfId="9385"/>
    <cellStyle name="Calculation 8 18 4" xfId="9386"/>
    <cellStyle name="Calculation 8 19" xfId="9387"/>
    <cellStyle name="Calculation 8 2" xfId="9388"/>
    <cellStyle name="Calculation 8 2 2" xfId="9389"/>
    <cellStyle name="Calculation 8 2 2 2" xfId="9390"/>
    <cellStyle name="Calculation 8 2 2 3" xfId="9391"/>
    <cellStyle name="Calculation 8 2 2 4" xfId="9392"/>
    <cellStyle name="Calculation 8 2 3" xfId="9393"/>
    <cellStyle name="Calculation 8 2 4" xfId="9394"/>
    <cellStyle name="Calculation 8 2 5" xfId="9395"/>
    <cellStyle name="Calculation 8 20" xfId="9396"/>
    <cellStyle name="Calculation 8 21" xfId="9397"/>
    <cellStyle name="Calculation 8 3" xfId="9398"/>
    <cellStyle name="Calculation 8 3 2" xfId="9399"/>
    <cellStyle name="Calculation 8 3 2 2" xfId="9400"/>
    <cellStyle name="Calculation 8 3 2 3" xfId="9401"/>
    <cellStyle name="Calculation 8 3 2 4" xfId="9402"/>
    <cellStyle name="Calculation 8 3 3" xfId="9403"/>
    <cellStyle name="Calculation 8 3 4" xfId="9404"/>
    <cellStyle name="Calculation 8 3 5" xfId="9405"/>
    <cellStyle name="Calculation 8 4" xfId="9406"/>
    <cellStyle name="Calculation 8 4 2" xfId="9407"/>
    <cellStyle name="Calculation 8 4 2 2" xfId="9408"/>
    <cellStyle name="Calculation 8 4 2 3" xfId="9409"/>
    <cellStyle name="Calculation 8 4 2 4" xfId="9410"/>
    <cellStyle name="Calculation 8 4 3" xfId="9411"/>
    <cellStyle name="Calculation 8 4 4" xfId="9412"/>
    <cellStyle name="Calculation 8 4 5" xfId="9413"/>
    <cellStyle name="Calculation 8 5" xfId="9414"/>
    <cellStyle name="Calculation 8 5 2" xfId="9415"/>
    <cellStyle name="Calculation 8 5 2 2" xfId="9416"/>
    <cellStyle name="Calculation 8 5 2 3" xfId="9417"/>
    <cellStyle name="Calculation 8 5 2 4" xfId="9418"/>
    <cellStyle name="Calculation 8 5 3" xfId="9419"/>
    <cellStyle name="Calculation 8 5 4" xfId="9420"/>
    <cellStyle name="Calculation 8 5 5" xfId="9421"/>
    <cellStyle name="Calculation 8 6" xfId="9422"/>
    <cellStyle name="Calculation 8 6 2" xfId="9423"/>
    <cellStyle name="Calculation 8 6 2 2" xfId="9424"/>
    <cellStyle name="Calculation 8 6 2 3" xfId="9425"/>
    <cellStyle name="Calculation 8 6 2 4" xfId="9426"/>
    <cellStyle name="Calculation 8 6 3" xfId="9427"/>
    <cellStyle name="Calculation 8 6 4" xfId="9428"/>
    <cellStyle name="Calculation 8 6 5" xfId="9429"/>
    <cellStyle name="Calculation 8 7" xfId="9430"/>
    <cellStyle name="Calculation 8 7 2" xfId="9431"/>
    <cellStyle name="Calculation 8 7 2 2" xfId="9432"/>
    <cellStyle name="Calculation 8 7 2 3" xfId="9433"/>
    <cellStyle name="Calculation 8 7 2 4" xfId="9434"/>
    <cellStyle name="Calculation 8 7 3" xfId="9435"/>
    <cellStyle name="Calculation 8 7 4" xfId="9436"/>
    <cellStyle name="Calculation 8 7 5" xfId="9437"/>
    <cellStyle name="Calculation 8 8" xfId="9438"/>
    <cellStyle name="Calculation 8 8 2" xfId="9439"/>
    <cellStyle name="Calculation 8 8 2 2" xfId="9440"/>
    <cellStyle name="Calculation 8 8 2 3" xfId="9441"/>
    <cellStyle name="Calculation 8 8 2 4" xfId="9442"/>
    <cellStyle name="Calculation 8 8 3" xfId="9443"/>
    <cellStyle name="Calculation 8 8 4" xfId="9444"/>
    <cellStyle name="Calculation 8 8 5" xfId="9445"/>
    <cellStyle name="Calculation 8 9" xfId="9446"/>
    <cellStyle name="Calculation 8 9 2" xfId="9447"/>
    <cellStyle name="Calculation 8 9 2 2" xfId="9448"/>
    <cellStyle name="Calculation 8 9 2 3" xfId="9449"/>
    <cellStyle name="Calculation 8 9 2 4" xfId="9450"/>
    <cellStyle name="Calculation 8 9 3" xfId="9451"/>
    <cellStyle name="Calculation 8 9 4" xfId="9452"/>
    <cellStyle name="Calculation 8 9 5" xfId="9453"/>
    <cellStyle name="Calculation 8_Sheet2" xfId="9454"/>
    <cellStyle name="Calculation 9" xfId="9455"/>
    <cellStyle name="Calculation 9 10" xfId="9456"/>
    <cellStyle name="Calculation 9 10 2" xfId="9457"/>
    <cellStyle name="Calculation 9 10 2 2" xfId="9458"/>
    <cellStyle name="Calculation 9 10 2 3" xfId="9459"/>
    <cellStyle name="Calculation 9 10 2 4" xfId="9460"/>
    <cellStyle name="Calculation 9 10 3" xfId="9461"/>
    <cellStyle name="Calculation 9 10 4" xfId="9462"/>
    <cellStyle name="Calculation 9 10 5" xfId="9463"/>
    <cellStyle name="Calculation 9 11" xfId="9464"/>
    <cellStyle name="Calculation 9 11 2" xfId="9465"/>
    <cellStyle name="Calculation 9 11 2 2" xfId="9466"/>
    <cellStyle name="Calculation 9 11 2 3" xfId="9467"/>
    <cellStyle name="Calculation 9 11 2 4" xfId="9468"/>
    <cellStyle name="Calculation 9 11 3" xfId="9469"/>
    <cellStyle name="Calculation 9 11 4" xfId="9470"/>
    <cellStyle name="Calculation 9 11 5" xfId="9471"/>
    <cellStyle name="Calculation 9 12" xfId="9472"/>
    <cellStyle name="Calculation 9 12 2" xfId="9473"/>
    <cellStyle name="Calculation 9 12 2 2" xfId="9474"/>
    <cellStyle name="Calculation 9 12 2 3" xfId="9475"/>
    <cellStyle name="Calculation 9 12 2 4" xfId="9476"/>
    <cellStyle name="Calculation 9 12 3" xfId="9477"/>
    <cellStyle name="Calculation 9 12 4" xfId="9478"/>
    <cellStyle name="Calculation 9 12 5" xfId="9479"/>
    <cellStyle name="Calculation 9 13" xfId="9480"/>
    <cellStyle name="Calculation 9 13 2" xfId="9481"/>
    <cellStyle name="Calculation 9 13 2 2" xfId="9482"/>
    <cellStyle name="Calculation 9 13 2 3" xfId="9483"/>
    <cellStyle name="Calculation 9 13 2 4" xfId="9484"/>
    <cellStyle name="Calculation 9 13 3" xfId="9485"/>
    <cellStyle name="Calculation 9 13 4" xfId="9486"/>
    <cellStyle name="Calculation 9 13 5" xfId="9487"/>
    <cellStyle name="Calculation 9 14" xfId="9488"/>
    <cellStyle name="Calculation 9 14 2" xfId="9489"/>
    <cellStyle name="Calculation 9 14 2 2" xfId="9490"/>
    <cellStyle name="Calculation 9 14 2 3" xfId="9491"/>
    <cellStyle name="Calculation 9 14 2 4" xfId="9492"/>
    <cellStyle name="Calculation 9 14 3" xfId="9493"/>
    <cellStyle name="Calculation 9 14 4" xfId="9494"/>
    <cellStyle name="Calculation 9 14 5" xfId="9495"/>
    <cellStyle name="Calculation 9 15" xfId="9496"/>
    <cellStyle name="Calculation 9 15 2" xfId="9497"/>
    <cellStyle name="Calculation 9 15 2 2" xfId="9498"/>
    <cellStyle name="Calculation 9 15 2 3" xfId="9499"/>
    <cellStyle name="Calculation 9 15 2 4" xfId="9500"/>
    <cellStyle name="Calculation 9 15 3" xfId="9501"/>
    <cellStyle name="Calculation 9 15 4" xfId="9502"/>
    <cellStyle name="Calculation 9 15 5" xfId="9503"/>
    <cellStyle name="Calculation 9 16" xfId="9504"/>
    <cellStyle name="Calculation 9 16 2" xfId="9505"/>
    <cellStyle name="Calculation 9 16 2 2" xfId="9506"/>
    <cellStyle name="Calculation 9 16 2 3" xfId="9507"/>
    <cellStyle name="Calculation 9 16 2 4" xfId="9508"/>
    <cellStyle name="Calculation 9 16 3" xfId="9509"/>
    <cellStyle name="Calculation 9 16 4" xfId="9510"/>
    <cellStyle name="Calculation 9 16 5" xfId="9511"/>
    <cellStyle name="Calculation 9 17" xfId="9512"/>
    <cellStyle name="Calculation 9 17 2" xfId="9513"/>
    <cellStyle name="Calculation 9 17 3" xfId="9514"/>
    <cellStyle name="Calculation 9 17 4" xfId="9515"/>
    <cellStyle name="Calculation 9 18" xfId="9516"/>
    <cellStyle name="Calculation 9 18 2" xfId="9517"/>
    <cellStyle name="Calculation 9 18 3" xfId="9518"/>
    <cellStyle name="Calculation 9 18 4" xfId="9519"/>
    <cellStyle name="Calculation 9 19" xfId="9520"/>
    <cellStyle name="Calculation 9 2" xfId="9521"/>
    <cellStyle name="Calculation 9 2 2" xfId="9522"/>
    <cellStyle name="Calculation 9 2 2 2" xfId="9523"/>
    <cellStyle name="Calculation 9 2 2 3" xfId="9524"/>
    <cellStyle name="Calculation 9 2 2 4" xfId="9525"/>
    <cellStyle name="Calculation 9 2 3" xfId="9526"/>
    <cellStyle name="Calculation 9 2 4" xfId="9527"/>
    <cellStyle name="Calculation 9 2 5" xfId="9528"/>
    <cellStyle name="Calculation 9 20" xfId="9529"/>
    <cellStyle name="Calculation 9 21" xfId="9530"/>
    <cellStyle name="Calculation 9 3" xfId="9531"/>
    <cellStyle name="Calculation 9 3 2" xfId="9532"/>
    <cellStyle name="Calculation 9 3 2 2" xfId="9533"/>
    <cellStyle name="Calculation 9 3 2 3" xfId="9534"/>
    <cellStyle name="Calculation 9 3 2 4" xfId="9535"/>
    <cellStyle name="Calculation 9 3 3" xfId="9536"/>
    <cellStyle name="Calculation 9 3 4" xfId="9537"/>
    <cellStyle name="Calculation 9 3 5" xfId="9538"/>
    <cellStyle name="Calculation 9 4" xfId="9539"/>
    <cellStyle name="Calculation 9 4 2" xfId="9540"/>
    <cellStyle name="Calculation 9 4 2 2" xfId="9541"/>
    <cellStyle name="Calculation 9 4 2 3" xfId="9542"/>
    <cellStyle name="Calculation 9 4 2 4" xfId="9543"/>
    <cellStyle name="Calculation 9 4 3" xfId="9544"/>
    <cellStyle name="Calculation 9 4 4" xfId="9545"/>
    <cellStyle name="Calculation 9 4 5" xfId="9546"/>
    <cellStyle name="Calculation 9 5" xfId="9547"/>
    <cellStyle name="Calculation 9 5 2" xfId="9548"/>
    <cellStyle name="Calculation 9 5 2 2" xfId="9549"/>
    <cellStyle name="Calculation 9 5 2 3" xfId="9550"/>
    <cellStyle name="Calculation 9 5 2 4" xfId="9551"/>
    <cellStyle name="Calculation 9 5 3" xfId="9552"/>
    <cellStyle name="Calculation 9 5 4" xfId="9553"/>
    <cellStyle name="Calculation 9 5 5" xfId="9554"/>
    <cellStyle name="Calculation 9 6" xfId="9555"/>
    <cellStyle name="Calculation 9 6 2" xfId="9556"/>
    <cellStyle name="Calculation 9 6 2 2" xfId="9557"/>
    <cellStyle name="Calculation 9 6 2 3" xfId="9558"/>
    <cellStyle name="Calculation 9 6 2 4" xfId="9559"/>
    <cellStyle name="Calculation 9 6 3" xfId="9560"/>
    <cellStyle name="Calculation 9 6 4" xfId="9561"/>
    <cellStyle name="Calculation 9 6 5" xfId="9562"/>
    <cellStyle name="Calculation 9 7" xfId="9563"/>
    <cellStyle name="Calculation 9 7 2" xfId="9564"/>
    <cellStyle name="Calculation 9 7 2 2" xfId="9565"/>
    <cellStyle name="Calculation 9 7 2 3" xfId="9566"/>
    <cellStyle name="Calculation 9 7 2 4" xfId="9567"/>
    <cellStyle name="Calculation 9 7 3" xfId="9568"/>
    <cellStyle name="Calculation 9 7 4" xfId="9569"/>
    <cellStyle name="Calculation 9 7 5" xfId="9570"/>
    <cellStyle name="Calculation 9 8" xfId="9571"/>
    <cellStyle name="Calculation 9 8 2" xfId="9572"/>
    <cellStyle name="Calculation 9 8 2 2" xfId="9573"/>
    <cellStyle name="Calculation 9 8 2 3" xfId="9574"/>
    <cellStyle name="Calculation 9 8 2 4" xfId="9575"/>
    <cellStyle name="Calculation 9 8 3" xfId="9576"/>
    <cellStyle name="Calculation 9 8 4" xfId="9577"/>
    <cellStyle name="Calculation 9 8 5" xfId="9578"/>
    <cellStyle name="Calculation 9 9" xfId="9579"/>
    <cellStyle name="Calculation 9 9 2" xfId="9580"/>
    <cellStyle name="Calculation 9 9 2 2" xfId="9581"/>
    <cellStyle name="Calculation 9 9 2 3" xfId="9582"/>
    <cellStyle name="Calculation 9 9 2 4" xfId="9583"/>
    <cellStyle name="Calculation 9 9 3" xfId="9584"/>
    <cellStyle name="Calculation 9 9 4" xfId="9585"/>
    <cellStyle name="Calculation 9 9 5" xfId="9586"/>
    <cellStyle name="category" xfId="9587"/>
    <cellStyle name="ccl-tender" xfId="9588"/>
    <cellStyle name="center" xfId="9589"/>
    <cellStyle name="Center - Style5" xfId="9590"/>
    <cellStyle name="Changeable" xfId="9591"/>
    <cellStyle name="changing styles" xfId="9592"/>
    <cellStyle name="changing styles 2" xfId="9593"/>
    <cellStyle name="Check Cell 1" xfId="9594"/>
    <cellStyle name="Check Cell 1 1" xfId="9595"/>
    <cellStyle name="Check Cell 10" xfId="9596"/>
    <cellStyle name="Check Cell 10 10" xfId="9597"/>
    <cellStyle name="Check Cell 10 11" xfId="9598"/>
    <cellStyle name="Check Cell 10 12" xfId="9599"/>
    <cellStyle name="Check Cell 10 13" xfId="9600"/>
    <cellStyle name="Check Cell 10 14" xfId="9601"/>
    <cellStyle name="Check Cell 10 15" xfId="9602"/>
    <cellStyle name="Check Cell 10 16" xfId="9603"/>
    <cellStyle name="Check Cell 10 2" xfId="9604"/>
    <cellStyle name="Check Cell 10 3" xfId="9605"/>
    <cellStyle name="Check Cell 10 4" xfId="9606"/>
    <cellStyle name="Check Cell 10 5" xfId="9607"/>
    <cellStyle name="Check Cell 10 6" xfId="9608"/>
    <cellStyle name="Check Cell 10 7" xfId="9609"/>
    <cellStyle name="Check Cell 10 8" xfId="9610"/>
    <cellStyle name="Check Cell 10 9" xfId="9611"/>
    <cellStyle name="Check Cell 11" xfId="9612"/>
    <cellStyle name="Check Cell 11 2" xfId="9613"/>
    <cellStyle name="Check Cell 11 3" xfId="9614"/>
    <cellStyle name="Check Cell 11 4" xfId="9615"/>
    <cellStyle name="Check Cell 11 5" xfId="9616"/>
    <cellStyle name="Check Cell 11 6" xfId="9617"/>
    <cellStyle name="Check Cell 11 7" xfId="9618"/>
    <cellStyle name="Check Cell 11 8" xfId="9619"/>
    <cellStyle name="Check Cell 11 9" xfId="9620"/>
    <cellStyle name="Check Cell 12" xfId="9621"/>
    <cellStyle name="Check Cell 12 2" xfId="9622"/>
    <cellStyle name="Check Cell 12 3" xfId="9623"/>
    <cellStyle name="Check Cell 12 4" xfId="9624"/>
    <cellStyle name="Check Cell 12 5" xfId="9625"/>
    <cellStyle name="Check Cell 12 6" xfId="9626"/>
    <cellStyle name="Check Cell 12 7" xfId="9627"/>
    <cellStyle name="Check Cell 12 8" xfId="9628"/>
    <cellStyle name="Check Cell 12 9" xfId="9629"/>
    <cellStyle name="Check Cell 13" xfId="9630"/>
    <cellStyle name="Check Cell 13 2" xfId="9631"/>
    <cellStyle name="Check Cell 13 3" xfId="9632"/>
    <cellStyle name="Check Cell 13 4" xfId="9633"/>
    <cellStyle name="Check Cell 13 5" xfId="9634"/>
    <cellStyle name="Check Cell 13 6" xfId="9635"/>
    <cellStyle name="Check Cell 13 7" xfId="9636"/>
    <cellStyle name="Check Cell 13 8" xfId="9637"/>
    <cellStyle name="Check Cell 13 9" xfId="9638"/>
    <cellStyle name="Check Cell 14" xfId="9639"/>
    <cellStyle name="Check Cell 14 2" xfId="9640"/>
    <cellStyle name="Check Cell 14 3" xfId="9641"/>
    <cellStyle name="Check Cell 14 4" xfId="9642"/>
    <cellStyle name="Check Cell 14 5" xfId="9643"/>
    <cellStyle name="Check Cell 14 6" xfId="9644"/>
    <cellStyle name="Check Cell 14 7" xfId="9645"/>
    <cellStyle name="Check Cell 14 8" xfId="9646"/>
    <cellStyle name="Check Cell 14 9" xfId="9647"/>
    <cellStyle name="Check Cell 15" xfId="9648"/>
    <cellStyle name="Check Cell 15 2" xfId="9649"/>
    <cellStyle name="Check Cell 15 3" xfId="9650"/>
    <cellStyle name="Check Cell 15 4" xfId="9651"/>
    <cellStyle name="Check Cell 15 5" xfId="9652"/>
    <cellStyle name="Check Cell 15 6" xfId="9653"/>
    <cellStyle name="Check Cell 15 7" xfId="9654"/>
    <cellStyle name="Check Cell 15 8" xfId="9655"/>
    <cellStyle name="Check Cell 15 9" xfId="9656"/>
    <cellStyle name="Check Cell 16" xfId="9657"/>
    <cellStyle name="Check Cell 16 2" xfId="9658"/>
    <cellStyle name="Check Cell 16 3" xfId="9659"/>
    <cellStyle name="Check Cell 16 4" xfId="9660"/>
    <cellStyle name="Check Cell 16 5" xfId="9661"/>
    <cellStyle name="Check Cell 16 6" xfId="9662"/>
    <cellStyle name="Check Cell 16 7" xfId="9663"/>
    <cellStyle name="Check Cell 16 8" xfId="9664"/>
    <cellStyle name="Check Cell 16 9" xfId="9665"/>
    <cellStyle name="Check Cell 17" xfId="9666"/>
    <cellStyle name="Check Cell 18" xfId="9667"/>
    <cellStyle name="Check Cell 19" xfId="9668"/>
    <cellStyle name="Check Cell 2" xfId="9669"/>
    <cellStyle name="Check Cell 2 2" xfId="9670"/>
    <cellStyle name="Check Cell 2 2 2" xfId="9671"/>
    <cellStyle name="Check Cell 2 2 2 2" xfId="9672"/>
    <cellStyle name="Check Cell 2 2 3" xfId="9673"/>
    <cellStyle name="Check Cell 2 2 4" xfId="9674"/>
    <cellStyle name="Check Cell 2 2 5" xfId="9675"/>
    <cellStyle name="Check Cell 2 2 6" xfId="9676"/>
    <cellStyle name="Check Cell 2 2 7" xfId="9677"/>
    <cellStyle name="Check Cell 2 2 8" xfId="9678"/>
    <cellStyle name="Check Cell 2 2 9" xfId="9679"/>
    <cellStyle name="Check Cell 2 3" xfId="9680"/>
    <cellStyle name="Check Cell 2 3 2" xfId="9681"/>
    <cellStyle name="Check Cell 2 4" xfId="9682"/>
    <cellStyle name="Check Cell 2 4 2" xfId="9683"/>
    <cellStyle name="Check Cell 2 5" xfId="9684"/>
    <cellStyle name="Check Cell 2 5 2" xfId="9685"/>
    <cellStyle name="Check Cell 2 6" xfId="9686"/>
    <cellStyle name="Check Cell 2 7" xfId="9687"/>
    <cellStyle name="Check Cell 2 8" xfId="9688"/>
    <cellStyle name="Check Cell 2 9" xfId="9689"/>
    <cellStyle name="Check Cell 2_Block-F LGF POur-II BBS" xfId="9700"/>
    <cellStyle name="Check Cell 20" xfId="9690"/>
    <cellStyle name="Check Cell 21" xfId="9691"/>
    <cellStyle name="Check Cell 22" xfId="9692"/>
    <cellStyle name="Check Cell 23" xfId="9693"/>
    <cellStyle name="Check Cell 24" xfId="9694"/>
    <cellStyle name="Check Cell 25" xfId="9695"/>
    <cellStyle name="Check Cell 26" xfId="9696"/>
    <cellStyle name="Check Cell 27" xfId="9697"/>
    <cellStyle name="Check Cell 28" xfId="9698"/>
    <cellStyle name="Check Cell 29" xfId="9699"/>
    <cellStyle name="Check Cell 3" xfId="9701"/>
    <cellStyle name="Check Cell 3 2" xfId="9702"/>
    <cellStyle name="Check Cell 3 2 2" xfId="9703"/>
    <cellStyle name="Check Cell 3 2 3" xfId="9704"/>
    <cellStyle name="Check Cell 3 2 4" xfId="9705"/>
    <cellStyle name="Check Cell 3 2 5" xfId="9706"/>
    <cellStyle name="Check Cell 3 2 6" xfId="9707"/>
    <cellStyle name="Check Cell 3 2 7" xfId="9708"/>
    <cellStyle name="Check Cell 3 2 8" xfId="9709"/>
    <cellStyle name="Check Cell 3 2 9" xfId="9710"/>
    <cellStyle name="Check Cell 3 3" xfId="9711"/>
    <cellStyle name="Check Cell 3 3 2" xfId="9712"/>
    <cellStyle name="Check Cell 3 4" xfId="9713"/>
    <cellStyle name="Check Cell 3 4 2" xfId="9714"/>
    <cellStyle name="Check Cell 3 5" xfId="9715"/>
    <cellStyle name="Check Cell 3 6" xfId="9716"/>
    <cellStyle name="Check Cell 3 7" xfId="9717"/>
    <cellStyle name="Check Cell 3 8" xfId="9718"/>
    <cellStyle name="Check Cell 3_Ramadugu_ SWGH" xfId="9729"/>
    <cellStyle name="Check Cell 30" xfId="9719"/>
    <cellStyle name="Check Cell 31" xfId="9720"/>
    <cellStyle name="Check Cell 32" xfId="9721"/>
    <cellStyle name="Check Cell 33" xfId="9722"/>
    <cellStyle name="Check Cell 34" xfId="9723"/>
    <cellStyle name="Check Cell 35" xfId="9724"/>
    <cellStyle name="Check Cell 36" xfId="9725"/>
    <cellStyle name="Check Cell 37" xfId="9726"/>
    <cellStyle name="Check Cell 38" xfId="9727"/>
    <cellStyle name="Check Cell 39" xfId="9728"/>
    <cellStyle name="Check Cell 4" xfId="9730"/>
    <cellStyle name="Check Cell 4 10" xfId="9731"/>
    <cellStyle name="Check Cell 4 11" xfId="9732"/>
    <cellStyle name="Check Cell 4 12" xfId="9733"/>
    <cellStyle name="Check Cell 4 13" xfId="9734"/>
    <cellStyle name="Check Cell 4 14" xfId="9735"/>
    <cellStyle name="Check Cell 4 15" xfId="9736"/>
    <cellStyle name="Check Cell 4 16" xfId="9737"/>
    <cellStyle name="Check Cell 4 2" xfId="9738"/>
    <cellStyle name="Check Cell 4 2 2" xfId="9739"/>
    <cellStyle name="Check Cell 4 3" xfId="9740"/>
    <cellStyle name="Check Cell 4 3 2" xfId="9741"/>
    <cellStyle name="Check Cell 4 4" xfId="9742"/>
    <cellStyle name="Check Cell 4 4 2" xfId="9743"/>
    <cellStyle name="Check Cell 4 5" xfId="9744"/>
    <cellStyle name="Check Cell 4 6" xfId="9745"/>
    <cellStyle name="Check Cell 4 7" xfId="9746"/>
    <cellStyle name="Check Cell 4 8" xfId="9747"/>
    <cellStyle name="Check Cell 4 9" xfId="9748"/>
    <cellStyle name="Check Cell 4_Sheet2" xfId="9749"/>
    <cellStyle name="Check Cell 5" xfId="9750"/>
    <cellStyle name="Check Cell 5 10" xfId="9751"/>
    <cellStyle name="Check Cell 5 11" xfId="9752"/>
    <cellStyle name="Check Cell 5 12" xfId="9753"/>
    <cellStyle name="Check Cell 5 13" xfId="9754"/>
    <cellStyle name="Check Cell 5 14" xfId="9755"/>
    <cellStyle name="Check Cell 5 15" xfId="9756"/>
    <cellStyle name="Check Cell 5 16" xfId="9757"/>
    <cellStyle name="Check Cell 5 2" xfId="9758"/>
    <cellStyle name="Check Cell 5 2 2" xfId="9759"/>
    <cellStyle name="Check Cell 5 3" xfId="9760"/>
    <cellStyle name="Check Cell 5 3 2" xfId="9761"/>
    <cellStyle name="Check Cell 5 4" xfId="9762"/>
    <cellStyle name="Check Cell 5 4 2" xfId="9763"/>
    <cellStyle name="Check Cell 5 5" xfId="9764"/>
    <cellStyle name="Check Cell 5 6" xfId="9765"/>
    <cellStyle name="Check Cell 5 7" xfId="9766"/>
    <cellStyle name="Check Cell 5 8" xfId="9767"/>
    <cellStyle name="Check Cell 5 9" xfId="9768"/>
    <cellStyle name="Check Cell 5_Sheet2" xfId="9769"/>
    <cellStyle name="Check Cell 6" xfId="9770"/>
    <cellStyle name="Check Cell 6 10" xfId="9771"/>
    <cellStyle name="Check Cell 6 11" xfId="9772"/>
    <cellStyle name="Check Cell 6 12" xfId="9773"/>
    <cellStyle name="Check Cell 6 13" xfId="9774"/>
    <cellStyle name="Check Cell 6 14" xfId="9775"/>
    <cellStyle name="Check Cell 6 15" xfId="9776"/>
    <cellStyle name="Check Cell 6 16" xfId="9777"/>
    <cellStyle name="Check Cell 6 2" xfId="9778"/>
    <cellStyle name="Check Cell 6 2 2" xfId="9779"/>
    <cellStyle name="Check Cell 6 3" xfId="9780"/>
    <cellStyle name="Check Cell 6 3 2" xfId="9781"/>
    <cellStyle name="Check Cell 6 4" xfId="9782"/>
    <cellStyle name="Check Cell 6 4 2" xfId="9783"/>
    <cellStyle name="Check Cell 6 5" xfId="9784"/>
    <cellStyle name="Check Cell 6 6" xfId="9785"/>
    <cellStyle name="Check Cell 6 7" xfId="9786"/>
    <cellStyle name="Check Cell 6 8" xfId="9787"/>
    <cellStyle name="Check Cell 6 9" xfId="9788"/>
    <cellStyle name="Check Cell 6_Sheet2" xfId="9789"/>
    <cellStyle name="Check Cell 7" xfId="9790"/>
    <cellStyle name="Check Cell 7 10" xfId="9791"/>
    <cellStyle name="Check Cell 7 11" xfId="9792"/>
    <cellStyle name="Check Cell 7 12" xfId="9793"/>
    <cellStyle name="Check Cell 7 13" xfId="9794"/>
    <cellStyle name="Check Cell 7 14" xfId="9795"/>
    <cellStyle name="Check Cell 7 15" xfId="9796"/>
    <cellStyle name="Check Cell 7 16" xfId="9797"/>
    <cellStyle name="Check Cell 7 2" xfId="9798"/>
    <cellStyle name="Check Cell 7 2 2" xfId="9799"/>
    <cellStyle name="Check Cell 7 3" xfId="9800"/>
    <cellStyle name="Check Cell 7 3 2" xfId="9801"/>
    <cellStyle name="Check Cell 7 4" xfId="9802"/>
    <cellStyle name="Check Cell 7 4 2" xfId="9803"/>
    <cellStyle name="Check Cell 7 5" xfId="9804"/>
    <cellStyle name="Check Cell 7 6" xfId="9805"/>
    <cellStyle name="Check Cell 7 7" xfId="9806"/>
    <cellStyle name="Check Cell 7 8" xfId="9807"/>
    <cellStyle name="Check Cell 7 9" xfId="9808"/>
    <cellStyle name="Check Cell 7_Sheet2" xfId="9809"/>
    <cellStyle name="Check Cell 8" xfId="9810"/>
    <cellStyle name="Check Cell 8 10" xfId="9811"/>
    <cellStyle name="Check Cell 8 11" xfId="9812"/>
    <cellStyle name="Check Cell 8 12" xfId="9813"/>
    <cellStyle name="Check Cell 8 13" xfId="9814"/>
    <cellStyle name="Check Cell 8 14" xfId="9815"/>
    <cellStyle name="Check Cell 8 15" xfId="9816"/>
    <cellStyle name="Check Cell 8 16" xfId="9817"/>
    <cellStyle name="Check Cell 8 2" xfId="9818"/>
    <cellStyle name="Check Cell 8 3" xfId="9819"/>
    <cellStyle name="Check Cell 8 4" xfId="9820"/>
    <cellStyle name="Check Cell 8 5" xfId="9821"/>
    <cellStyle name="Check Cell 8 6" xfId="9822"/>
    <cellStyle name="Check Cell 8 7" xfId="9823"/>
    <cellStyle name="Check Cell 8 8" xfId="9824"/>
    <cellStyle name="Check Cell 8 9" xfId="9825"/>
    <cellStyle name="Check Cell 8_Sheet2" xfId="9826"/>
    <cellStyle name="Check Cell 9" xfId="9827"/>
    <cellStyle name="Check Cell 9 10" xfId="9828"/>
    <cellStyle name="Check Cell 9 11" xfId="9829"/>
    <cellStyle name="Check Cell 9 12" xfId="9830"/>
    <cellStyle name="Check Cell 9 13" xfId="9831"/>
    <cellStyle name="Check Cell 9 14" xfId="9832"/>
    <cellStyle name="Check Cell 9 15" xfId="9833"/>
    <cellStyle name="Check Cell 9 16" xfId="9834"/>
    <cellStyle name="Check Cell 9 2" xfId="9835"/>
    <cellStyle name="Check Cell 9 3" xfId="9836"/>
    <cellStyle name="Check Cell 9 4" xfId="9837"/>
    <cellStyle name="Check Cell 9 5" xfId="9838"/>
    <cellStyle name="Check Cell 9 6" xfId="9839"/>
    <cellStyle name="Check Cell 9 7" xfId="9840"/>
    <cellStyle name="Check Cell 9 8" xfId="9841"/>
    <cellStyle name="Check Cell 9 9" xfId="9842"/>
    <cellStyle name="Chiffre0" xfId="9843"/>
    <cellStyle name="Chiffre2" xfId="9844"/>
    <cellStyle name="Code" xfId="9845"/>
    <cellStyle name="Code Section" xfId="9846"/>
    <cellStyle name="Code Section 2" xfId="9847"/>
    <cellStyle name="Code Section 3" xfId="9848"/>
    <cellStyle name="Code Section 4" xfId="9849"/>
    <cellStyle name="Code Section 5" xfId="9850"/>
    <cellStyle name="COL HEADINGS" xfId="9851"/>
    <cellStyle name="COL HEADINGS 2" xfId="9852"/>
    <cellStyle name="COL HEADINGS 3" xfId="9853"/>
    <cellStyle name="COL HEADINGS 4" xfId="9854"/>
    <cellStyle name="COL HEADINGS 5" xfId="9855"/>
    <cellStyle name="COL HEADINGS 6" xfId="9856"/>
    <cellStyle name="COL HEADINGS 7" xfId="9857"/>
    <cellStyle name="Col Heads" xfId="9858"/>
    <cellStyle name="Col Heads 2" xfId="9859"/>
    <cellStyle name="Col Heads 3" xfId="9860"/>
    <cellStyle name="Col Heads 4" xfId="9861"/>
    <cellStyle name="Col Heads 5" xfId="9862"/>
    <cellStyle name="Col Heads 6" xfId="9863"/>
    <cellStyle name="Col Heads 7" xfId="9864"/>
    <cellStyle name="Column centered" xfId="9865"/>
    <cellStyle name="Column centered 2" xfId="9866"/>
    <cellStyle name="Column centered 2 2" xfId="9867"/>
    <cellStyle name="Column centered 2 3" xfId="9868"/>
    <cellStyle name="Column centered 2 4" xfId="9869"/>
    <cellStyle name="Column centered 2 5" xfId="9870"/>
    <cellStyle name="Column centered 3" xfId="9871"/>
    <cellStyle name="Column centered 4" xfId="9872"/>
    <cellStyle name="Column centered 5" xfId="9873"/>
    <cellStyle name="Column centered 6" xfId="9874"/>
    <cellStyle name="Column Heading" xfId="9875"/>
    <cellStyle name="Column Heading 2" xfId="9876"/>
    <cellStyle name="Column Heading 2 2" xfId="9877"/>
    <cellStyle name="Column Heading 2 3" xfId="9878"/>
    <cellStyle name="Column Heading 2 4" xfId="9879"/>
    <cellStyle name="Column Heading 3" xfId="9880"/>
    <cellStyle name="Column Heading 4" xfId="9881"/>
    <cellStyle name="Column Heading 5" xfId="9882"/>
    <cellStyle name="Column Heading 6" xfId="9883"/>
    <cellStyle name="Column Heading 7" xfId="9884"/>
    <cellStyle name="Column Headings" xfId="9885"/>
    <cellStyle name="Column text left" xfId="9886"/>
    <cellStyle name="Column text left 2" xfId="9887"/>
    <cellStyle name="Column text left 2 2" xfId="9888"/>
    <cellStyle name="Column text left 2 3" xfId="9889"/>
    <cellStyle name="Column text left 2 4" xfId="9890"/>
    <cellStyle name="Column text left 2 5" xfId="9891"/>
    <cellStyle name="Column text left 3" xfId="9892"/>
    <cellStyle name="Column text left 4" xfId="9893"/>
    <cellStyle name="Column text left 5" xfId="9894"/>
    <cellStyle name="Column text left 6" xfId="9895"/>
    <cellStyle name="coma" xfId="9896"/>
    <cellStyle name="comm" xfId="9897"/>
    <cellStyle name="Comma  - Style1" xfId="9898"/>
    <cellStyle name="Comma  - Style1 2" xfId="9899"/>
    <cellStyle name="Comma  - Style1 2 2" xfId="9900"/>
    <cellStyle name="Comma  - Style1 2 3" xfId="9901"/>
    <cellStyle name="Comma  - Style1 2 4" xfId="9902"/>
    <cellStyle name="Comma  - Style1 2 5" xfId="9903"/>
    <cellStyle name="Comma  - Style1 2 6" xfId="9904"/>
    <cellStyle name="Comma  - Style1 2 7" xfId="9905"/>
    <cellStyle name="Comma  - Style1 2 8" xfId="9906"/>
    <cellStyle name="Comma  - Style1 2 9" xfId="9907"/>
    <cellStyle name="Comma  - Style1 3" xfId="9908"/>
    <cellStyle name="Comma  - Style1 3 2" xfId="9909"/>
    <cellStyle name="Comma  - Style1 4" xfId="9910"/>
    <cellStyle name="Comma  - Style1_COMPOUND WALL TO IWHB - CHANDRAGIRI" xfId="9911"/>
    <cellStyle name="Comma  - Style2" xfId="9912"/>
    <cellStyle name="Comma  - Style2 2" xfId="9913"/>
    <cellStyle name="Comma  - Style2 2 2" xfId="9914"/>
    <cellStyle name="Comma  - Style2 2 3" xfId="9915"/>
    <cellStyle name="Comma  - Style2 2 4" xfId="9916"/>
    <cellStyle name="Comma  - Style2 2 5" xfId="9917"/>
    <cellStyle name="Comma  - Style2 2 6" xfId="9918"/>
    <cellStyle name="Comma  - Style2 2 7" xfId="9919"/>
    <cellStyle name="Comma  - Style2 2 8" xfId="9920"/>
    <cellStyle name="Comma  - Style2 2 9" xfId="9921"/>
    <cellStyle name="Comma  - Style2 3" xfId="9922"/>
    <cellStyle name="Comma  - Style2 3 2" xfId="9923"/>
    <cellStyle name="Comma  - Style2 4" xfId="9924"/>
    <cellStyle name="Comma  - Style2_COMPOUND WALL TO IWHB - CHANDRAGIRI" xfId="9925"/>
    <cellStyle name="Comma  - Style3" xfId="9926"/>
    <cellStyle name="Comma  - Style3 10" xfId="9927"/>
    <cellStyle name="Comma  - Style3 11" xfId="9928"/>
    <cellStyle name="Comma  - Style3 12" xfId="9929"/>
    <cellStyle name="Comma  - Style3 13" xfId="9930"/>
    <cellStyle name="Comma  - Style3 14" xfId="9931"/>
    <cellStyle name="Comma  - Style3 2" xfId="9932"/>
    <cellStyle name="Comma  - Style3 2 10" xfId="9933"/>
    <cellStyle name="Comma  - Style3 2 2" xfId="9934"/>
    <cellStyle name="Comma  - Style3 2 3" xfId="9935"/>
    <cellStyle name="Comma  - Style3 2 4" xfId="9936"/>
    <cellStyle name="Comma  - Style3 2 5" xfId="9937"/>
    <cellStyle name="Comma  - Style3 2 6" xfId="9938"/>
    <cellStyle name="Comma  - Style3 2 7" xfId="9939"/>
    <cellStyle name="Comma  - Style3 2 8" xfId="9940"/>
    <cellStyle name="Comma  - Style3 2 9" xfId="9941"/>
    <cellStyle name="Comma  - Style3 3" xfId="9942"/>
    <cellStyle name="Comma  - Style3 3 2" xfId="9943"/>
    <cellStyle name="Comma  - Style3 4" xfId="9944"/>
    <cellStyle name="Comma  - Style3 5" xfId="9945"/>
    <cellStyle name="Comma  - Style3 6" xfId="9946"/>
    <cellStyle name="Comma  - Style3 7" xfId="9947"/>
    <cellStyle name="Comma  - Style3 8" xfId="9948"/>
    <cellStyle name="Comma  - Style3 9" xfId="9949"/>
    <cellStyle name="Comma  - Style3_COMPOUND WALL TO IWHB - CHANDRAGIRI" xfId="9950"/>
    <cellStyle name="Comma  - Style4" xfId="9951"/>
    <cellStyle name="Comma  - Style4 10" xfId="9952"/>
    <cellStyle name="Comma  - Style4 11" xfId="9953"/>
    <cellStyle name="Comma  - Style4 12" xfId="9954"/>
    <cellStyle name="Comma  - Style4 13" xfId="9955"/>
    <cellStyle name="Comma  - Style4 14" xfId="9956"/>
    <cellStyle name="Comma  - Style4 2" xfId="9957"/>
    <cellStyle name="Comma  - Style4 2 10" xfId="9958"/>
    <cellStyle name="Comma  - Style4 2 2" xfId="9959"/>
    <cellStyle name="Comma  - Style4 2 3" xfId="9960"/>
    <cellStyle name="Comma  - Style4 2 4" xfId="9961"/>
    <cellStyle name="Comma  - Style4 2 5" xfId="9962"/>
    <cellStyle name="Comma  - Style4 2 6" xfId="9963"/>
    <cellStyle name="Comma  - Style4 2 7" xfId="9964"/>
    <cellStyle name="Comma  - Style4 2 8" xfId="9965"/>
    <cellStyle name="Comma  - Style4 2 9" xfId="9966"/>
    <cellStyle name="Comma  - Style4 3" xfId="9967"/>
    <cellStyle name="Comma  - Style4 3 2" xfId="9968"/>
    <cellStyle name="Comma  - Style4 4" xfId="9969"/>
    <cellStyle name="Comma  - Style4 5" xfId="9970"/>
    <cellStyle name="Comma  - Style4 6" xfId="9971"/>
    <cellStyle name="Comma  - Style4 7" xfId="9972"/>
    <cellStyle name="Comma  - Style4 8" xfId="9973"/>
    <cellStyle name="Comma  - Style4 9" xfId="9974"/>
    <cellStyle name="Comma  - Style4_COMPOUND WALL TO IWHB - CHANDRAGIRI" xfId="9975"/>
    <cellStyle name="Comma  - Style5" xfId="9976"/>
    <cellStyle name="Comma  - Style5 10" xfId="9977"/>
    <cellStyle name="Comma  - Style5 11" xfId="9978"/>
    <cellStyle name="Comma  - Style5 12" xfId="9979"/>
    <cellStyle name="Comma  - Style5 13" xfId="9980"/>
    <cellStyle name="Comma  - Style5 14" xfId="9981"/>
    <cellStyle name="Comma  - Style5 2" xfId="9982"/>
    <cellStyle name="Comma  - Style5 2 10" xfId="9983"/>
    <cellStyle name="Comma  - Style5 2 2" xfId="9984"/>
    <cellStyle name="Comma  - Style5 2 3" xfId="9985"/>
    <cellStyle name="Comma  - Style5 2 4" xfId="9986"/>
    <cellStyle name="Comma  - Style5 2 5" xfId="9987"/>
    <cellStyle name="Comma  - Style5 2 6" xfId="9988"/>
    <cellStyle name="Comma  - Style5 2 7" xfId="9989"/>
    <cellStyle name="Comma  - Style5 2 8" xfId="9990"/>
    <cellStyle name="Comma  - Style5 2 9" xfId="9991"/>
    <cellStyle name="Comma  - Style5 3" xfId="9992"/>
    <cellStyle name="Comma  - Style5 3 2" xfId="9993"/>
    <cellStyle name="Comma  - Style5 4" xfId="9994"/>
    <cellStyle name="Comma  - Style5 5" xfId="9995"/>
    <cellStyle name="Comma  - Style5 6" xfId="9996"/>
    <cellStyle name="Comma  - Style5 7" xfId="9997"/>
    <cellStyle name="Comma  - Style5 8" xfId="9998"/>
    <cellStyle name="Comma  - Style5 9" xfId="9999"/>
    <cellStyle name="Comma  - Style5_COMPOUND WALL TO IWHB - CHANDRAGIRI" xfId="10000"/>
    <cellStyle name="Comma  - Style6" xfId="10001"/>
    <cellStyle name="Comma  - Style6 10" xfId="10002"/>
    <cellStyle name="Comma  - Style6 11" xfId="10003"/>
    <cellStyle name="Comma  - Style6 12" xfId="10004"/>
    <cellStyle name="Comma  - Style6 13" xfId="10005"/>
    <cellStyle name="Comma  - Style6 14" xfId="10006"/>
    <cellStyle name="Comma  - Style6 2" xfId="10007"/>
    <cellStyle name="Comma  - Style6 2 10" xfId="10008"/>
    <cellStyle name="Comma  - Style6 2 2" xfId="10009"/>
    <cellStyle name="Comma  - Style6 2 3" xfId="10010"/>
    <cellStyle name="Comma  - Style6 2 4" xfId="10011"/>
    <cellStyle name="Comma  - Style6 2 5" xfId="10012"/>
    <cellStyle name="Comma  - Style6 2 6" xfId="10013"/>
    <cellStyle name="Comma  - Style6 2 7" xfId="10014"/>
    <cellStyle name="Comma  - Style6 2 8" xfId="10015"/>
    <cellStyle name="Comma  - Style6 2 9" xfId="10016"/>
    <cellStyle name="Comma  - Style6 3" xfId="10017"/>
    <cellStyle name="Comma  - Style6 3 2" xfId="10018"/>
    <cellStyle name="Comma  - Style6 4" xfId="10019"/>
    <cellStyle name="Comma  - Style6 5" xfId="10020"/>
    <cellStyle name="Comma  - Style6 6" xfId="10021"/>
    <cellStyle name="Comma  - Style6 7" xfId="10022"/>
    <cellStyle name="Comma  - Style6 8" xfId="10023"/>
    <cellStyle name="Comma  - Style6 9" xfId="10024"/>
    <cellStyle name="Comma  - Style6_COMPOUND WALL TO IWHB - CHANDRAGIRI" xfId="10025"/>
    <cellStyle name="Comma  - Style7" xfId="10026"/>
    <cellStyle name="Comma  - Style7 10" xfId="10027"/>
    <cellStyle name="Comma  - Style7 11" xfId="10028"/>
    <cellStyle name="Comma  - Style7 12" xfId="10029"/>
    <cellStyle name="Comma  - Style7 13" xfId="10030"/>
    <cellStyle name="Comma  - Style7 14" xfId="10031"/>
    <cellStyle name="Comma  - Style7 2" xfId="10032"/>
    <cellStyle name="Comma  - Style7 2 10" xfId="10033"/>
    <cellStyle name="Comma  - Style7 2 2" xfId="10034"/>
    <cellStyle name="Comma  - Style7 2 3" xfId="10035"/>
    <cellStyle name="Comma  - Style7 2 4" xfId="10036"/>
    <cellStyle name="Comma  - Style7 2 5" xfId="10037"/>
    <cellStyle name="Comma  - Style7 2 6" xfId="10038"/>
    <cellStyle name="Comma  - Style7 2 7" xfId="10039"/>
    <cellStyle name="Comma  - Style7 2 8" xfId="10040"/>
    <cellStyle name="Comma  - Style7 2 9" xfId="10041"/>
    <cellStyle name="Comma  - Style7 3" xfId="10042"/>
    <cellStyle name="Comma  - Style7 3 2" xfId="10043"/>
    <cellStyle name="Comma  - Style7 4" xfId="10044"/>
    <cellStyle name="Comma  - Style7 5" xfId="10045"/>
    <cellStyle name="Comma  - Style7 6" xfId="10046"/>
    <cellStyle name="Comma  - Style7 7" xfId="10047"/>
    <cellStyle name="Comma  - Style7 8" xfId="10048"/>
    <cellStyle name="Comma  - Style7 9" xfId="10049"/>
    <cellStyle name="Comma  - Style7_COMPOUND WALL TO IWHB - CHANDRAGIRI" xfId="10050"/>
    <cellStyle name="Comma  - Style8" xfId="10051"/>
    <cellStyle name="Comma  - Style8 10" xfId="10052"/>
    <cellStyle name="Comma  - Style8 11" xfId="10053"/>
    <cellStyle name="Comma  - Style8 12" xfId="10054"/>
    <cellStyle name="Comma  - Style8 13" xfId="10055"/>
    <cellStyle name="Comma  - Style8 14" xfId="10056"/>
    <cellStyle name="Comma  - Style8 2" xfId="10057"/>
    <cellStyle name="Comma  - Style8 2 10" xfId="10058"/>
    <cellStyle name="Comma  - Style8 2 2" xfId="10059"/>
    <cellStyle name="Comma  - Style8 2 3" xfId="10060"/>
    <cellStyle name="Comma  - Style8 2 4" xfId="10061"/>
    <cellStyle name="Comma  - Style8 2 5" xfId="10062"/>
    <cellStyle name="Comma  - Style8 2 6" xfId="10063"/>
    <cellStyle name="Comma  - Style8 2 7" xfId="10064"/>
    <cellStyle name="Comma  - Style8 2 8" xfId="10065"/>
    <cellStyle name="Comma  - Style8 2 9" xfId="10066"/>
    <cellStyle name="Comma  - Style8 3" xfId="10067"/>
    <cellStyle name="Comma  - Style8 3 2" xfId="10068"/>
    <cellStyle name="Comma  - Style8 4" xfId="10069"/>
    <cellStyle name="Comma  - Style8 5" xfId="10070"/>
    <cellStyle name="Comma  - Style8 6" xfId="10071"/>
    <cellStyle name="Comma  - Style8 7" xfId="10072"/>
    <cellStyle name="Comma  - Style8 8" xfId="10073"/>
    <cellStyle name="Comma  - Style8 9" xfId="10074"/>
    <cellStyle name="Comma  - Style8_COMPOUND WALL TO IWHB - CHANDRAGIRI" xfId="10075"/>
    <cellStyle name="Comma (1)" xfId="10076"/>
    <cellStyle name="Comma [0] 2" xfId="11005"/>
    <cellStyle name="Comma [0] 2 2" xfId="11006"/>
    <cellStyle name="Comma [00]" xfId="10992"/>
    <cellStyle name="Comma [00] 10" xfId="10993"/>
    <cellStyle name="Comma [00] 11" xfId="10994"/>
    <cellStyle name="Comma [00] 2" xfId="10995"/>
    <cellStyle name="Comma [00] 2 2" xfId="10996"/>
    <cellStyle name="Comma [00] 3" xfId="10997"/>
    <cellStyle name="Comma [00] 3 2" xfId="10998"/>
    <cellStyle name="Comma [00] 4" xfId="10999"/>
    <cellStyle name="Comma [00] 5" xfId="11000"/>
    <cellStyle name="Comma [00] 6" xfId="11001"/>
    <cellStyle name="Comma [00] 7" xfId="11002"/>
    <cellStyle name="Comma [00] 8" xfId="11003"/>
    <cellStyle name="Comma [00] 9" xfId="11004"/>
    <cellStyle name="Comma [1]" xfId="11007"/>
    <cellStyle name="Comma [2]" xfId="11008"/>
    <cellStyle name="Comma [3]" xfId="11009"/>
    <cellStyle name="Comma 0" xfId="10077"/>
    <cellStyle name="Comma 0*" xfId="10078"/>
    <cellStyle name="Comma 0_Dealist" xfId="10079"/>
    <cellStyle name="Comma 10" xfId="10080"/>
    <cellStyle name="Comma 10 2" xfId="10081"/>
    <cellStyle name="Comma 10 2 2" xfId="10082"/>
    <cellStyle name="Comma 10 2 3" xfId="10083"/>
    <cellStyle name="Comma 10 3" xfId="10084"/>
    <cellStyle name="Comma 10 4" xfId="10085"/>
    <cellStyle name="Comma 10 5" xfId="10086"/>
    <cellStyle name="Comma 10 6" xfId="10087"/>
    <cellStyle name="Comma 10 6 2" xfId="10088"/>
    <cellStyle name="Comma 10 6 2 2" xfId="10089"/>
    <cellStyle name="Comma 10 6 2 3" xfId="10090"/>
    <cellStyle name="Comma 10 6 3" xfId="10091"/>
    <cellStyle name="Comma 10 6 4" xfId="10092"/>
    <cellStyle name="Comma 10 7" xfId="10093"/>
    <cellStyle name="Comma 10 8" xfId="10094"/>
    <cellStyle name="Comma 10_Intercontinenetal Blockwork-16.12.10" xfId="10095"/>
    <cellStyle name="Comma 11" xfId="10096"/>
    <cellStyle name="Comma 11 2" xfId="10097"/>
    <cellStyle name="Comma 11 2 2" xfId="10098"/>
    <cellStyle name="Comma 11 2 3" xfId="10099"/>
    <cellStyle name="Comma 11 3" xfId="10100"/>
    <cellStyle name="Comma 11 4" xfId="10101"/>
    <cellStyle name="Comma 11 5" xfId="10102"/>
    <cellStyle name="Comma 11 6" xfId="10103"/>
    <cellStyle name="Comma 11 7" xfId="10104"/>
    <cellStyle name="Comma 11_Sheet2" xfId="10105"/>
    <cellStyle name="Comma 12" xfId="10106"/>
    <cellStyle name="Comma 12 2" xfId="10107"/>
    <cellStyle name="Comma 12 3" xfId="10108"/>
    <cellStyle name="Comma 12 3 2" xfId="10109"/>
    <cellStyle name="Comma 12 3 2 2" xfId="10110"/>
    <cellStyle name="Comma 12 3 2 2 2" xfId="10111"/>
    <cellStyle name="Comma 12 3 2 2 3" xfId="10112"/>
    <cellStyle name="Comma 12 3 2 3" xfId="10113"/>
    <cellStyle name="Comma 12 3 2 4" xfId="10114"/>
    <cellStyle name="Comma 12 4" xfId="10115"/>
    <cellStyle name="Comma 12 5" xfId="10116"/>
    <cellStyle name="Comma 13" xfId="10117"/>
    <cellStyle name="Comma 13 2" xfId="10118"/>
    <cellStyle name="Comma 13 3" xfId="10119"/>
    <cellStyle name="Comma 13 4" xfId="10120"/>
    <cellStyle name="Comma 13 4 2" xfId="10121"/>
    <cellStyle name="Comma 13 5" xfId="10122"/>
    <cellStyle name="Comma 14" xfId="10123"/>
    <cellStyle name="Comma 14 2" xfId="10124"/>
    <cellStyle name="Comma 14 3" xfId="10125"/>
    <cellStyle name="Comma 14 4" xfId="10126"/>
    <cellStyle name="Comma 15" xfId="10127"/>
    <cellStyle name="Comma 15 2" xfId="10128"/>
    <cellStyle name="Comma 15 2 2" xfId="10129"/>
    <cellStyle name="Comma 15 2 3" xfId="10130"/>
    <cellStyle name="Comma 15 3" xfId="10131"/>
    <cellStyle name="Comma 15 4" xfId="10132"/>
    <cellStyle name="Comma 16" xfId="10133"/>
    <cellStyle name="Comma 16 2" xfId="10134"/>
    <cellStyle name="Comma 16 2 2" xfId="10135"/>
    <cellStyle name="Comma 16 2 3" xfId="10136"/>
    <cellStyle name="Comma 16 3" xfId="10137"/>
    <cellStyle name="Comma 16 4" xfId="10138"/>
    <cellStyle name="Comma 17" xfId="10139"/>
    <cellStyle name="Comma 17 2" xfId="10140"/>
    <cellStyle name="Comma 17 3" xfId="10141"/>
    <cellStyle name="Comma 18" xfId="10142"/>
    <cellStyle name="Comma 18 2" xfId="10143"/>
    <cellStyle name="Comma 18 2 2" xfId="10144"/>
    <cellStyle name="Comma 18 2 3" xfId="10145"/>
    <cellStyle name="Comma 18 2 4" xfId="10146"/>
    <cellStyle name="Comma 18 2 4 2" xfId="10147"/>
    <cellStyle name="Comma 18 2 4 3" xfId="10148"/>
    <cellStyle name="Comma 18 2 5" xfId="10149"/>
    <cellStyle name="Comma 18 2 6" xfId="10150"/>
    <cellStyle name="Comma 18 3" xfId="10151"/>
    <cellStyle name="Comma 18 4" xfId="10152"/>
    <cellStyle name="Comma 19" xfId="10153"/>
    <cellStyle name="Comma 19 2" xfId="10154"/>
    <cellStyle name="Comma 19 2 2" xfId="10155"/>
    <cellStyle name="Comma 19 2 2 2" xfId="10156"/>
    <cellStyle name="Comma 19 2 2 3" xfId="10157"/>
    <cellStyle name="Comma 19 2 3" xfId="10158"/>
    <cellStyle name="Comma 19 2 4" xfId="10159"/>
    <cellStyle name="Comma 19 3" xfId="10160"/>
    <cellStyle name="Comma 19 4" xfId="10161"/>
    <cellStyle name="Comma 2" xfId="10162"/>
    <cellStyle name="Comma 2 10" xfId="10163"/>
    <cellStyle name="Comma 2 10 2" xfId="10164"/>
    <cellStyle name="Comma 2 10 2 2" xfId="10165"/>
    <cellStyle name="Comma 2 10 3" xfId="10166"/>
    <cellStyle name="Comma 2 10 4" xfId="10167"/>
    <cellStyle name="Comma 2 10 5" xfId="10168"/>
    <cellStyle name="Comma 2 10 6" xfId="10169"/>
    <cellStyle name="Comma 2 10 7" xfId="10170"/>
    <cellStyle name="Comma 2 10 8" xfId="10171"/>
    <cellStyle name="Comma 2 10 9" xfId="10172"/>
    <cellStyle name="Comma 2 11" xfId="10173"/>
    <cellStyle name="Comma 2 11 2" xfId="10174"/>
    <cellStyle name="Comma 2 12" xfId="10175"/>
    <cellStyle name="Comma 2 12 2" xfId="10176"/>
    <cellStyle name="Comma 2 13" xfId="10177"/>
    <cellStyle name="Comma 2 13 2" xfId="10178"/>
    <cellStyle name="Comma 2 14" xfId="10179"/>
    <cellStyle name="Comma 2 14 2" xfId="10180"/>
    <cellStyle name="Comma 2 15" xfId="10181"/>
    <cellStyle name="Comma 2 15 2" xfId="10182"/>
    <cellStyle name="Comma 2 16" xfId="10183"/>
    <cellStyle name="Comma 2 16 2" xfId="10184"/>
    <cellStyle name="Comma 2 16 3" xfId="10185"/>
    <cellStyle name="Comma 2 17" xfId="10186"/>
    <cellStyle name="Comma 2 17 2" xfId="10187"/>
    <cellStyle name="Comma 2 17 3" xfId="10188"/>
    <cellStyle name="Comma 2 18" xfId="10189"/>
    <cellStyle name="Comma 2 19" xfId="10190"/>
    <cellStyle name="Comma 2 2" xfId="10191"/>
    <cellStyle name="Comma 2 2 10" xfId="10192"/>
    <cellStyle name="Comma 2 2 11" xfId="10193"/>
    <cellStyle name="Comma 2 2 12" xfId="10194"/>
    <cellStyle name="Comma 2 2 2" xfId="10195"/>
    <cellStyle name="Comma 2 2 2 10" xfId="10196"/>
    <cellStyle name="Comma 2 2 2 11" xfId="10197"/>
    <cellStyle name="Comma 2 2 2 11 2" xfId="10198"/>
    <cellStyle name="Comma 2 2 2 11 2 2" xfId="10199"/>
    <cellStyle name="Comma 2 2 2 11 2 3" xfId="10200"/>
    <cellStyle name="Comma 2 2 2 11 3" xfId="10201"/>
    <cellStyle name="Comma 2 2 2 11 4" xfId="10202"/>
    <cellStyle name="Comma 2 2 2 12" xfId="10203"/>
    <cellStyle name="Comma 2 2 2 13" xfId="10204"/>
    <cellStyle name="Comma 2 2 2 14" xfId="10205"/>
    <cellStyle name="Comma 2 2 2 15" xfId="10206"/>
    <cellStyle name="Comma 2 2 2 16" xfId="10207"/>
    <cellStyle name="Comma 2 2 2 17" xfId="10208"/>
    <cellStyle name="Comma 2 2 2 18" xfId="10209"/>
    <cellStyle name="Comma 2 2 2 19" xfId="10210"/>
    <cellStyle name="Comma 2 2 2 2" xfId="10211"/>
    <cellStyle name="Comma 2 2 2 2 2" xfId="10212"/>
    <cellStyle name="Comma 2 2 2 2 2 2" xfId="10213"/>
    <cellStyle name="Comma 2 2 2 2 2 2 2" xfId="10214"/>
    <cellStyle name="Comma 2 2 2 2 2 2 3" xfId="10215"/>
    <cellStyle name="Comma 2 2 2 2 2 3" xfId="10216"/>
    <cellStyle name="Comma 2 2 2 2 2 4" xfId="10217"/>
    <cellStyle name="Comma 2 2 2 2 2 5" xfId="10218"/>
    <cellStyle name="Comma 2 2 2 2 3" xfId="10219"/>
    <cellStyle name="Comma 2 2 2 2 3 2" xfId="10220"/>
    <cellStyle name="Comma 2 2 2 2 3 3" xfId="10221"/>
    <cellStyle name="Comma 2 2 2 2 4" xfId="10222"/>
    <cellStyle name="Comma 2 2 2 2 5" xfId="10223"/>
    <cellStyle name="Comma 2 2 2 2 6" xfId="10224"/>
    <cellStyle name="Comma 2 2 2 20" xfId="10225"/>
    <cellStyle name="Comma 2 2 2 3" xfId="10226"/>
    <cellStyle name="Comma 2 2 2 3 2" xfId="10227"/>
    <cellStyle name="Comma 2 2 2 3 3" xfId="10228"/>
    <cellStyle name="Comma 2 2 2 4" xfId="10229"/>
    <cellStyle name="Comma 2 2 2 4 2" xfId="10230"/>
    <cellStyle name="Comma 2 2 2 4 3" xfId="10231"/>
    <cellStyle name="Comma 2 2 2 5" xfId="10232"/>
    <cellStyle name="Comma 2 2 2 5 2" xfId="10233"/>
    <cellStyle name="Comma 2 2 2 5 3" xfId="10234"/>
    <cellStyle name="Comma 2 2 2 6" xfId="10235"/>
    <cellStyle name="Comma 2 2 2 6 2" xfId="10236"/>
    <cellStyle name="Comma 2 2 2 6 3" xfId="10237"/>
    <cellStyle name="Comma 2 2 2 7" xfId="10238"/>
    <cellStyle name="Comma 2 2 2 7 2" xfId="10239"/>
    <cellStyle name="Comma 2 2 2 7 3" xfId="10240"/>
    <cellStyle name="Comma 2 2 2 8" xfId="10241"/>
    <cellStyle name="Comma 2 2 2 9" xfId="10242"/>
    <cellStyle name="Comma 2 2 3" xfId="10243"/>
    <cellStyle name="Comma 2 2 3 2" xfId="10244"/>
    <cellStyle name="Comma 2 2 3 2 2" xfId="10245"/>
    <cellStyle name="Comma 2 2 3 2 3" xfId="10246"/>
    <cellStyle name="Comma 2 2 3 3" xfId="10247"/>
    <cellStyle name="Comma 2 2 4" xfId="10248"/>
    <cellStyle name="Comma 2 2 4 2" xfId="10249"/>
    <cellStyle name="Comma 2 2 4 3" xfId="10250"/>
    <cellStyle name="Comma 2 2 5" xfId="10251"/>
    <cellStyle name="Comma 2 2 5 2" xfId="10252"/>
    <cellStyle name="Comma 2 2 5 3" xfId="10253"/>
    <cellStyle name="Comma 2 2 6" xfId="10254"/>
    <cellStyle name="Comma 2 2 6 2" xfId="10255"/>
    <cellStyle name="Comma 2 2 6 3" xfId="10256"/>
    <cellStyle name="Comma 2 2 7" xfId="10257"/>
    <cellStyle name="Comma 2 2 7 2" xfId="10258"/>
    <cellStyle name="Comma 2 2 7 3" xfId="10259"/>
    <cellStyle name="Comma 2 2 8" xfId="10260"/>
    <cellStyle name="Comma 2 2 9" xfId="10261"/>
    <cellStyle name="Comma 2 2_L  T Cost Plan R2- 061011" xfId="10271"/>
    <cellStyle name="Comma 2 20" xfId="10262"/>
    <cellStyle name="Comma 2 21" xfId="10263"/>
    <cellStyle name="Comma 2 22" xfId="10264"/>
    <cellStyle name="Comma 2 23" xfId="10265"/>
    <cellStyle name="Comma 2 24" xfId="10266"/>
    <cellStyle name="Comma 2 25" xfId="10267"/>
    <cellStyle name="Comma 2 26" xfId="10268"/>
    <cellStyle name="Comma 2 27" xfId="10269"/>
    <cellStyle name="Comma 2 28" xfId="10270"/>
    <cellStyle name="Comma 2 3" xfId="10272"/>
    <cellStyle name="Comma 2 3 10" xfId="10273"/>
    <cellStyle name="Comma 2 3 2" xfId="10274"/>
    <cellStyle name="Comma 2 3 2 10" xfId="10275"/>
    <cellStyle name="Comma 2 3 2 2" xfId="10276"/>
    <cellStyle name="Comma 2 3 2 3" xfId="10277"/>
    <cellStyle name="Comma 2 3 2 4" xfId="10278"/>
    <cellStyle name="Comma 2 3 2 5" xfId="10279"/>
    <cellStyle name="Comma 2 3 2 6" xfId="10280"/>
    <cellStyle name="Comma 2 3 2 7" xfId="10281"/>
    <cellStyle name="Comma 2 3 2 8" xfId="10282"/>
    <cellStyle name="Comma 2 3 2 9" xfId="10283"/>
    <cellStyle name="Comma 2 3 3" xfId="10284"/>
    <cellStyle name="Comma 2 3 3 2" xfId="10285"/>
    <cellStyle name="Comma 2 3 3 3" xfId="10286"/>
    <cellStyle name="Comma 2 3 3 4" xfId="10287"/>
    <cellStyle name="Comma 2 3 3 5" xfId="10288"/>
    <cellStyle name="Comma 2 3 3 6" xfId="10289"/>
    <cellStyle name="Comma 2 3 3 7" xfId="10290"/>
    <cellStyle name="Comma 2 3 3 8" xfId="10291"/>
    <cellStyle name="Comma 2 3 3 9" xfId="10292"/>
    <cellStyle name="Comma 2 3 4" xfId="10293"/>
    <cellStyle name="Comma 2 3 4 2" xfId="10294"/>
    <cellStyle name="Comma 2 3 4 3" xfId="10295"/>
    <cellStyle name="Comma 2 3 4 4" xfId="10296"/>
    <cellStyle name="Comma 2 3 4 5" xfId="10297"/>
    <cellStyle name="Comma 2 3 4 6" xfId="10298"/>
    <cellStyle name="Comma 2 3 4 7" xfId="10299"/>
    <cellStyle name="Comma 2 3 4 8" xfId="10300"/>
    <cellStyle name="Comma 2 3 4 9" xfId="10301"/>
    <cellStyle name="Comma 2 3 5" xfId="10302"/>
    <cellStyle name="Comma 2 3 6" xfId="10303"/>
    <cellStyle name="Comma 2 3 7" xfId="10304"/>
    <cellStyle name="Comma 2 3 8" xfId="10305"/>
    <cellStyle name="Comma 2 3 9" xfId="10306"/>
    <cellStyle name="Comma 2 3_Sheet2" xfId="10307"/>
    <cellStyle name="Comma 2 4" xfId="10308"/>
    <cellStyle name="Comma 2 4 10" xfId="10309"/>
    <cellStyle name="Comma 2 4 11" xfId="10310"/>
    <cellStyle name="Comma 2 4 12" xfId="10311"/>
    <cellStyle name="Comma 2 4 13" xfId="10312"/>
    <cellStyle name="Comma 2 4 14" xfId="10313"/>
    <cellStyle name="Comma 2 4 15" xfId="10314"/>
    <cellStyle name="Comma 2 4 16" xfId="10315"/>
    <cellStyle name="Comma 2 4 17" xfId="10316"/>
    <cellStyle name="Comma 2 4 2" xfId="10317"/>
    <cellStyle name="Comma 2 4 2 10" xfId="10318"/>
    <cellStyle name="Comma 2 4 2 2" xfId="10319"/>
    <cellStyle name="Comma 2 4 2 3" xfId="10320"/>
    <cellStyle name="Comma 2 4 2 4" xfId="10321"/>
    <cellStyle name="Comma 2 4 2 5" xfId="10322"/>
    <cellStyle name="Comma 2 4 2 6" xfId="10323"/>
    <cellStyle name="Comma 2 4 2 7" xfId="10324"/>
    <cellStyle name="Comma 2 4 2 8" xfId="10325"/>
    <cellStyle name="Comma 2 4 2 9" xfId="10326"/>
    <cellStyle name="Comma 2 4 3" xfId="10327"/>
    <cellStyle name="Comma 2 4 4" xfId="10328"/>
    <cellStyle name="Comma 2 4 5" xfId="10329"/>
    <cellStyle name="Comma 2 4 6" xfId="10330"/>
    <cellStyle name="Comma 2 4 7" xfId="10331"/>
    <cellStyle name="Comma 2 4 8" xfId="10332"/>
    <cellStyle name="Comma 2 4 9" xfId="10333"/>
    <cellStyle name="Comma 2 5" xfId="10334"/>
    <cellStyle name="Comma 2 5 10" xfId="10335"/>
    <cellStyle name="Comma 2 5 11" xfId="10336"/>
    <cellStyle name="Comma 2 5 12" xfId="10337"/>
    <cellStyle name="Comma 2 5 13" xfId="10338"/>
    <cellStyle name="Comma 2 5 14" xfId="10339"/>
    <cellStyle name="Comma 2 5 15" xfId="10340"/>
    <cellStyle name="Comma 2 5 16" xfId="10341"/>
    <cellStyle name="Comma 2 5 17" xfId="10342"/>
    <cellStyle name="Comma 2 5 18" xfId="10343"/>
    <cellStyle name="Comma 2 5 2" xfId="10344"/>
    <cellStyle name="Comma 2 5 2 2" xfId="10345"/>
    <cellStyle name="Comma 2 5 3" xfId="10346"/>
    <cellStyle name="Comma 2 5 4" xfId="10347"/>
    <cellStyle name="Comma 2 5 5" xfId="10348"/>
    <cellStyle name="Comma 2 5 6" xfId="10349"/>
    <cellStyle name="Comma 2 5 7" xfId="10350"/>
    <cellStyle name="Comma 2 5 8" xfId="10351"/>
    <cellStyle name="Comma 2 5 9" xfId="10352"/>
    <cellStyle name="Comma 2 5_3-NON-FACTORY BUILDINGS  -061" xfId="10353"/>
    <cellStyle name="Comma 2 6" xfId="10354"/>
    <cellStyle name="Comma 2 6 2" xfId="10355"/>
    <cellStyle name="Comma 2 6 2 2" xfId="10356"/>
    <cellStyle name="Comma 2 6 3" xfId="10357"/>
    <cellStyle name="Comma 2 6 4" xfId="10358"/>
    <cellStyle name="Comma 2 6 5" xfId="10359"/>
    <cellStyle name="Comma 2 6 6" xfId="10360"/>
    <cellStyle name="Comma 2 6 7" xfId="10361"/>
    <cellStyle name="Comma 2 6 8" xfId="10362"/>
    <cellStyle name="Comma 2 6 9" xfId="10363"/>
    <cellStyle name="Comma 2 7" xfId="10364"/>
    <cellStyle name="Comma 2 7 2" xfId="10365"/>
    <cellStyle name="Comma 2 7 2 2" xfId="10366"/>
    <cellStyle name="Comma 2 7 3" xfId="10367"/>
    <cellStyle name="Comma 2 7 4" xfId="10368"/>
    <cellStyle name="Comma 2 7 5" xfId="10369"/>
    <cellStyle name="Comma 2 7 6" xfId="10370"/>
    <cellStyle name="Comma 2 7 7" xfId="10371"/>
    <cellStyle name="Comma 2 7 8" xfId="10372"/>
    <cellStyle name="Comma 2 7 9" xfId="10373"/>
    <cellStyle name="Comma 2 8" xfId="10374"/>
    <cellStyle name="Comma 2 8 2" xfId="10375"/>
    <cellStyle name="Comma 2 8 2 2" xfId="10376"/>
    <cellStyle name="Comma 2 8 3" xfId="10377"/>
    <cellStyle name="Comma 2 8 4" xfId="10378"/>
    <cellStyle name="Comma 2 8 5" xfId="10379"/>
    <cellStyle name="Comma 2 8 6" xfId="10380"/>
    <cellStyle name="Comma 2 8 7" xfId="10381"/>
    <cellStyle name="Comma 2 8 8" xfId="10382"/>
    <cellStyle name="Comma 2 8 9" xfId="10383"/>
    <cellStyle name="Comma 2 9" xfId="10384"/>
    <cellStyle name="Comma 2 9 2" xfId="10385"/>
    <cellStyle name="Comma 2 9 2 2" xfId="10386"/>
    <cellStyle name="Comma 2 9 3" xfId="10387"/>
    <cellStyle name="Comma 2 9 4" xfId="10388"/>
    <cellStyle name="Comma 2 9 5" xfId="10389"/>
    <cellStyle name="Comma 2 9 6" xfId="10390"/>
    <cellStyle name="Comma 2 9 7" xfId="10391"/>
    <cellStyle name="Comma 2 9 8" xfId="10392"/>
    <cellStyle name="Comma 2 9 9" xfId="10393"/>
    <cellStyle name="Comma 2*" xfId="10394"/>
    <cellStyle name="Comma 2_2-MACHINERY FOUNDATIONS --051" xfId="10437"/>
    <cellStyle name="Comma 20" xfId="10395"/>
    <cellStyle name="Comma 20 2" xfId="10396"/>
    <cellStyle name="Comma 20 2 2" xfId="10397"/>
    <cellStyle name="Comma 20 2 2 2" xfId="10398"/>
    <cellStyle name="Comma 20 2 2 2 2" xfId="10399"/>
    <cellStyle name="Comma 20 2 2 2 3" xfId="10400"/>
    <cellStyle name="Comma 20 2 2 3" xfId="10401"/>
    <cellStyle name="Comma 20 2 2 4" xfId="10402"/>
    <cellStyle name="Comma 21" xfId="10403"/>
    <cellStyle name="Comma 21 2" xfId="10404"/>
    <cellStyle name="Comma 21 2 2" xfId="10405"/>
    <cellStyle name="Comma 21 2 2 2" xfId="10406"/>
    <cellStyle name="Comma 21 2 2 2 2" xfId="10407"/>
    <cellStyle name="Comma 21 2 2 2 3" xfId="10408"/>
    <cellStyle name="Comma 21 2 2 3" xfId="10409"/>
    <cellStyle name="Comma 21 2 2 4" xfId="10410"/>
    <cellStyle name="Comma 21 2 3" xfId="10411"/>
    <cellStyle name="Comma 21 2 3 2" xfId="10412"/>
    <cellStyle name="Comma 21 2 3 3" xfId="10413"/>
    <cellStyle name="Comma 21 2 4" xfId="10414"/>
    <cellStyle name="Comma 21 2 5" xfId="10415"/>
    <cellStyle name="Comma 22" xfId="10416"/>
    <cellStyle name="Comma 22 2" xfId="10417"/>
    <cellStyle name="Comma 23" xfId="10418"/>
    <cellStyle name="Comma 23 2" xfId="10419"/>
    <cellStyle name="Comma 23 3" xfId="10420"/>
    <cellStyle name="Comma 24" xfId="10421"/>
    <cellStyle name="Comma 25" xfId="10422"/>
    <cellStyle name="Comma 25 2" xfId="10423"/>
    <cellStyle name="Comma 26" xfId="10424"/>
    <cellStyle name="Comma 26 2" xfId="10425"/>
    <cellStyle name="Comma 27" xfId="10426"/>
    <cellStyle name="Comma 27 2" xfId="10427"/>
    <cellStyle name="Comma 27 2 2" xfId="10428"/>
    <cellStyle name="Comma 27 2 2 2" xfId="10429"/>
    <cellStyle name="Comma 27 2 2 3" xfId="10430"/>
    <cellStyle name="Comma 27 2 3" xfId="10431"/>
    <cellStyle name="Comma 27 2 4" xfId="10432"/>
    <cellStyle name="Comma 28" xfId="10433"/>
    <cellStyle name="Comma 28 2" xfId="10434"/>
    <cellStyle name="Comma 29" xfId="10435"/>
    <cellStyle name="Comma 29 2" xfId="10436"/>
    <cellStyle name="Comma 3" xfId="10438"/>
    <cellStyle name="Comma 3 10" xfId="10439"/>
    <cellStyle name="Comma 3 10 2" xfId="10440"/>
    <cellStyle name="Comma 3 10 3" xfId="10441"/>
    <cellStyle name="Comma 3 10 4" xfId="10442"/>
    <cellStyle name="Comma 3 10 5" xfId="10443"/>
    <cellStyle name="Comma 3 10 6" xfId="10444"/>
    <cellStyle name="Comma 3 10 7" xfId="10445"/>
    <cellStyle name="Comma 3 10 8" xfId="10446"/>
    <cellStyle name="Comma 3 10 9" xfId="10447"/>
    <cellStyle name="Comma 3 11" xfId="10448"/>
    <cellStyle name="Comma 3 12" xfId="10449"/>
    <cellStyle name="Comma 3 13" xfId="10450"/>
    <cellStyle name="Comma 3 14" xfId="10451"/>
    <cellStyle name="Comma 3 15" xfId="10452"/>
    <cellStyle name="Comma 3 16" xfId="10453"/>
    <cellStyle name="Comma 3 17" xfId="10454"/>
    <cellStyle name="Comma 3 2" xfId="10455"/>
    <cellStyle name="Comma 3 2 10" xfId="10456"/>
    <cellStyle name="Comma 3 2 2" xfId="10457"/>
    <cellStyle name="Comma 3 2 2 10" xfId="10458"/>
    <cellStyle name="Comma 3 2 2 11" xfId="10459"/>
    <cellStyle name="Comma 3 2 2 2" xfId="10460"/>
    <cellStyle name="Comma 3 2 2 2 10" xfId="10461"/>
    <cellStyle name="Comma 3 2 2 2 11" xfId="10462"/>
    <cellStyle name="Comma 3 2 2 2 12" xfId="10463"/>
    <cellStyle name="Comma 3 2 2 2 2" xfId="10464"/>
    <cellStyle name="Comma 3 2 2 2 3" xfId="10465"/>
    <cellStyle name="Comma 3 2 2 2 4" xfId="10466"/>
    <cellStyle name="Comma 3 2 2 2 5" xfId="10467"/>
    <cellStyle name="Comma 3 2 2 2 6" xfId="10468"/>
    <cellStyle name="Comma 3 2 2 2 7" xfId="10469"/>
    <cellStyle name="Comma 3 2 2 2 8" xfId="10470"/>
    <cellStyle name="Comma 3 2 2 2 9" xfId="10471"/>
    <cellStyle name="Comma 3 2 2 2_RA-2 CC" xfId="10472"/>
    <cellStyle name="Comma 3 2 2 3" xfId="10473"/>
    <cellStyle name="Comma 3 2 2 4" xfId="10474"/>
    <cellStyle name="Comma 3 2 2 5" xfId="10475"/>
    <cellStyle name="Comma 3 2 2 6" xfId="10476"/>
    <cellStyle name="Comma 3 2 2 7" xfId="10477"/>
    <cellStyle name="Comma 3 2 2 8" xfId="10478"/>
    <cellStyle name="Comma 3 2 2 9" xfId="10479"/>
    <cellStyle name="Comma 3 2 3" xfId="10480"/>
    <cellStyle name="Comma 3 2 4" xfId="10481"/>
    <cellStyle name="Comma 3 2 5" xfId="10482"/>
    <cellStyle name="Comma 3 2 6" xfId="10483"/>
    <cellStyle name="Comma 3 2 7" xfId="10484"/>
    <cellStyle name="Comma 3 2 8" xfId="10485"/>
    <cellStyle name="Comma 3 2 9" xfId="10486"/>
    <cellStyle name="Comma 3 2_2-MACHINERY FOUNDATIONS --061" xfId="10487"/>
    <cellStyle name="Comma 3 3" xfId="10488"/>
    <cellStyle name="Comma 3 3 10" xfId="10489"/>
    <cellStyle name="Comma 3 3 11" xfId="10490"/>
    <cellStyle name="Comma 3 3 12" xfId="10491"/>
    <cellStyle name="Comma 3 3 13" xfId="10492"/>
    <cellStyle name="Comma 3 3 14" xfId="10493"/>
    <cellStyle name="Comma 3 3 15" xfId="10494"/>
    <cellStyle name="Comma 3 3 16" xfId="10495"/>
    <cellStyle name="Comma 3 3 17" xfId="10496"/>
    <cellStyle name="Comma 3 3 18" xfId="10497"/>
    <cellStyle name="Comma 3 3 2" xfId="10498"/>
    <cellStyle name="Comma 3 3 2 10" xfId="10499"/>
    <cellStyle name="Comma 3 3 2 11" xfId="10500"/>
    <cellStyle name="Comma 3 3 2 12" xfId="10501"/>
    <cellStyle name="Comma 3 3 2 13" xfId="10502"/>
    <cellStyle name="Comma 3 3 2 14" xfId="10503"/>
    <cellStyle name="Comma 3 3 2 15" xfId="10504"/>
    <cellStyle name="Comma 3 3 2 2" xfId="10505"/>
    <cellStyle name="Comma 3 3 2 3" xfId="10506"/>
    <cellStyle name="Comma 3 3 2 4" xfId="10507"/>
    <cellStyle name="Comma 3 3 2 5" xfId="10508"/>
    <cellStyle name="Comma 3 3 2 6" xfId="10509"/>
    <cellStyle name="Comma 3 3 2 7" xfId="10510"/>
    <cellStyle name="Comma 3 3 2 8" xfId="10511"/>
    <cellStyle name="Comma 3 3 2 9" xfId="10512"/>
    <cellStyle name="Comma 3 3 3" xfId="10513"/>
    <cellStyle name="Comma 3 3 3 2" xfId="10514"/>
    <cellStyle name="Comma 3 3 3 3" xfId="10515"/>
    <cellStyle name="Comma 3 3 3 4" xfId="10516"/>
    <cellStyle name="Comma 3 3 3 5" xfId="10517"/>
    <cellStyle name="Comma 3 3 3 6" xfId="10518"/>
    <cellStyle name="Comma 3 3 3 7" xfId="10519"/>
    <cellStyle name="Comma 3 3 3 8" xfId="10520"/>
    <cellStyle name="Comma 3 3 3 9" xfId="10521"/>
    <cellStyle name="Comma 3 3 4" xfId="10522"/>
    <cellStyle name="Comma 3 3 4 2" xfId="10523"/>
    <cellStyle name="Comma 3 3 4 3" xfId="10524"/>
    <cellStyle name="Comma 3 3 4 4" xfId="10525"/>
    <cellStyle name="Comma 3 3 4 5" xfId="10526"/>
    <cellStyle name="Comma 3 3 4 6" xfId="10527"/>
    <cellStyle name="Comma 3 3 4 7" xfId="10528"/>
    <cellStyle name="Comma 3 3 4 8" xfId="10529"/>
    <cellStyle name="Comma 3 3 4 9" xfId="10530"/>
    <cellStyle name="Comma 3 3 5" xfId="10531"/>
    <cellStyle name="Comma 3 3 6" xfId="10532"/>
    <cellStyle name="Comma 3 3 7" xfId="10533"/>
    <cellStyle name="Comma 3 3 8" xfId="10534"/>
    <cellStyle name="Comma 3 3 9" xfId="10535"/>
    <cellStyle name="Comma 3 4" xfId="10536"/>
    <cellStyle name="Comma 3 4 10" xfId="10537"/>
    <cellStyle name="Comma 3 4 11" xfId="10538"/>
    <cellStyle name="Comma 3 4 12" xfId="10539"/>
    <cellStyle name="Comma 3 4 2" xfId="10540"/>
    <cellStyle name="Comma 3 4 3" xfId="10541"/>
    <cellStyle name="Comma 3 4 4" xfId="10542"/>
    <cellStyle name="Comma 3 4 5" xfId="10543"/>
    <cellStyle name="Comma 3 4 6" xfId="10544"/>
    <cellStyle name="Comma 3 4 7" xfId="10545"/>
    <cellStyle name="Comma 3 4 8" xfId="10546"/>
    <cellStyle name="Comma 3 4 9" xfId="10547"/>
    <cellStyle name="Comma 3 5" xfId="10548"/>
    <cellStyle name="Comma 3 5 2" xfId="10549"/>
    <cellStyle name="Comma 3 5 3" xfId="10550"/>
    <cellStyle name="Comma 3 5 4" xfId="10551"/>
    <cellStyle name="Comma 3 5 5" xfId="10552"/>
    <cellStyle name="Comma 3 5 6" xfId="10553"/>
    <cellStyle name="Comma 3 5 7" xfId="10554"/>
    <cellStyle name="Comma 3 5 8" xfId="10555"/>
    <cellStyle name="Comma 3 5 9" xfId="10556"/>
    <cellStyle name="Comma 3 6" xfId="10557"/>
    <cellStyle name="Comma 3 6 2" xfId="10558"/>
    <cellStyle name="Comma 3 6 3" xfId="10559"/>
    <cellStyle name="Comma 3 6 4" xfId="10560"/>
    <cellStyle name="Comma 3 6 5" xfId="10561"/>
    <cellStyle name="Comma 3 6 6" xfId="10562"/>
    <cellStyle name="Comma 3 6 7" xfId="10563"/>
    <cellStyle name="Comma 3 6 8" xfId="10564"/>
    <cellStyle name="Comma 3 6 9" xfId="10565"/>
    <cellStyle name="Comma 3 7" xfId="10566"/>
    <cellStyle name="Comma 3 7 10" xfId="10567"/>
    <cellStyle name="Comma 3 7 2" xfId="10568"/>
    <cellStyle name="Comma 3 7 3" xfId="10569"/>
    <cellStyle name="Comma 3 7 4" xfId="10570"/>
    <cellStyle name="Comma 3 7 5" xfId="10571"/>
    <cellStyle name="Comma 3 7 6" xfId="10572"/>
    <cellStyle name="Comma 3 7 7" xfId="10573"/>
    <cellStyle name="Comma 3 7 8" xfId="10574"/>
    <cellStyle name="Comma 3 7 9" xfId="10575"/>
    <cellStyle name="Comma 3 8" xfId="10576"/>
    <cellStyle name="Comma 3 8 2" xfId="10577"/>
    <cellStyle name="Comma 3 8 3" xfId="10578"/>
    <cellStyle name="Comma 3 8 4" xfId="10579"/>
    <cellStyle name="Comma 3 8 5" xfId="10580"/>
    <cellStyle name="Comma 3 8 6" xfId="10581"/>
    <cellStyle name="Comma 3 8 7" xfId="10582"/>
    <cellStyle name="Comma 3 8 8" xfId="10583"/>
    <cellStyle name="Comma 3 8 9" xfId="10584"/>
    <cellStyle name="Comma 3 9" xfId="10585"/>
    <cellStyle name="Comma 3 9 2" xfId="10586"/>
    <cellStyle name="Comma 3 9 3" xfId="10587"/>
    <cellStyle name="Comma 3 9 4" xfId="10588"/>
    <cellStyle name="Comma 3 9 5" xfId="10589"/>
    <cellStyle name="Comma 3 9 6" xfId="10590"/>
    <cellStyle name="Comma 3 9 7" xfId="10591"/>
    <cellStyle name="Comma 3 9 8" xfId="10592"/>
    <cellStyle name="Comma 3 9 9" xfId="10593"/>
    <cellStyle name="Comma 3*" xfId="10594"/>
    <cellStyle name="Comma 3_5-CO-GEN PROJECT --051" xfId="10624"/>
    <cellStyle name="Comma 30" xfId="10595"/>
    <cellStyle name="Comma 31" xfId="10596"/>
    <cellStyle name="Comma 32" xfId="10597"/>
    <cellStyle name="Comma 33" xfId="10598"/>
    <cellStyle name="Comma 33 2" xfId="10599"/>
    <cellStyle name="Comma 34" xfId="10600"/>
    <cellStyle name="Comma 34 2" xfId="10601"/>
    <cellStyle name="Comma 35" xfId="10602"/>
    <cellStyle name="Comma 35 2" xfId="10603"/>
    <cellStyle name="Comma 35 2 2" xfId="10604"/>
    <cellStyle name="Comma 36" xfId="10605"/>
    <cellStyle name="Comma 36 2" xfId="10606"/>
    <cellStyle name="Comma 37" xfId="10607"/>
    <cellStyle name="Comma 37 2" xfId="10608"/>
    <cellStyle name="Comma 38" xfId="10609"/>
    <cellStyle name="Comma 38 2" xfId="10610"/>
    <cellStyle name="Comma 38 3" xfId="10611"/>
    <cellStyle name="Comma 38 3 2" xfId="10612"/>
    <cellStyle name="Comma 38 3 2 2" xfId="10613"/>
    <cellStyle name="Comma 38 3 2 3" xfId="10614"/>
    <cellStyle name="Comma 38 3 3" xfId="10615"/>
    <cellStyle name="Comma 38 3 4" xfId="10616"/>
    <cellStyle name="Comma 38 4" xfId="10617"/>
    <cellStyle name="Comma 38 4 2" xfId="10618"/>
    <cellStyle name="Comma 38 4 3" xfId="10619"/>
    <cellStyle name="Comma 38 5" xfId="10620"/>
    <cellStyle name="Comma 38 6" xfId="10621"/>
    <cellStyle name="Comma 39" xfId="10622"/>
    <cellStyle name="Comma 39 2" xfId="10623"/>
    <cellStyle name="Comma 4" xfId="10625"/>
    <cellStyle name="Comma 4 10" xfId="10626"/>
    <cellStyle name="Comma 4 11" xfId="10627"/>
    <cellStyle name="Comma 4 12" xfId="10628"/>
    <cellStyle name="Comma 4 13" xfId="10629"/>
    <cellStyle name="Comma 4 14" xfId="10630"/>
    <cellStyle name="Comma 4 15" xfId="10631"/>
    <cellStyle name="Comma 4 16" xfId="10632"/>
    <cellStyle name="Comma 4 17" xfId="10633"/>
    <cellStyle name="Comma 4 2" xfId="10634"/>
    <cellStyle name="Comma 4 2 10" xfId="10635"/>
    <cellStyle name="Comma 4 2 11" xfId="10636"/>
    <cellStyle name="Comma 4 2 2" xfId="10637"/>
    <cellStyle name="Comma 4 2 2 10" xfId="10638"/>
    <cellStyle name="Comma 4 2 2 2" xfId="10639"/>
    <cellStyle name="Comma 4 2 2 3" xfId="10640"/>
    <cellStyle name="Comma 4 2 2 4" xfId="10641"/>
    <cellStyle name="Comma 4 2 2 5" xfId="10642"/>
    <cellStyle name="Comma 4 2 2 6" xfId="10643"/>
    <cellStyle name="Comma 4 2 2 7" xfId="10644"/>
    <cellStyle name="Comma 4 2 2 8" xfId="10645"/>
    <cellStyle name="Comma 4 2 2 9" xfId="10646"/>
    <cellStyle name="Comma 4 2 3" xfId="10647"/>
    <cellStyle name="Comma 4 2 4" xfId="10648"/>
    <cellStyle name="Comma 4 2 5" xfId="10649"/>
    <cellStyle name="Comma 4 2 6" xfId="10650"/>
    <cellStyle name="Comma 4 2 7" xfId="10651"/>
    <cellStyle name="Comma 4 2 8" xfId="10652"/>
    <cellStyle name="Comma 4 2 9" xfId="10653"/>
    <cellStyle name="Comma 4 3" xfId="10654"/>
    <cellStyle name="Comma 4 3 10" xfId="10655"/>
    <cellStyle name="Comma 4 3 2" xfId="10656"/>
    <cellStyle name="Comma 4 3 3" xfId="10657"/>
    <cellStyle name="Comma 4 3 4" xfId="10658"/>
    <cellStyle name="Comma 4 3 5" xfId="10659"/>
    <cellStyle name="Comma 4 3 6" xfId="10660"/>
    <cellStyle name="Comma 4 3 7" xfId="10661"/>
    <cellStyle name="Comma 4 3 8" xfId="10662"/>
    <cellStyle name="Comma 4 3 9" xfId="10663"/>
    <cellStyle name="Comma 4 4" xfId="10664"/>
    <cellStyle name="Comma 4 4 10" xfId="10665"/>
    <cellStyle name="Comma 4 4 2" xfId="10666"/>
    <cellStyle name="Comma 4 4 3" xfId="10667"/>
    <cellStyle name="Comma 4 4 4" xfId="10668"/>
    <cellStyle name="Comma 4 4 5" xfId="10669"/>
    <cellStyle name="Comma 4 4 6" xfId="10670"/>
    <cellStyle name="Comma 4 4 7" xfId="10671"/>
    <cellStyle name="Comma 4 4 8" xfId="10672"/>
    <cellStyle name="Comma 4 4 9" xfId="10673"/>
    <cellStyle name="Comma 4 5" xfId="10674"/>
    <cellStyle name="Comma 4 5 2" xfId="10675"/>
    <cellStyle name="Comma 4 5 3" xfId="10676"/>
    <cellStyle name="Comma 4 5 4" xfId="10677"/>
    <cellStyle name="Comma 4 5 5" xfId="10678"/>
    <cellStyle name="Comma 4 5 6" xfId="10679"/>
    <cellStyle name="Comma 4 5 7" xfId="10680"/>
    <cellStyle name="Comma 4 6" xfId="10681"/>
    <cellStyle name="Comma 4 6 2" xfId="10682"/>
    <cellStyle name="Comma 4 6 3" xfId="10683"/>
    <cellStyle name="Comma 4 6 4" xfId="10684"/>
    <cellStyle name="Comma 4 6 5" xfId="10685"/>
    <cellStyle name="Comma 4 6 6" xfId="10686"/>
    <cellStyle name="Comma 4 6 7" xfId="10687"/>
    <cellStyle name="Comma 4 7" xfId="10688"/>
    <cellStyle name="Comma 4 7 2" xfId="10689"/>
    <cellStyle name="Comma 4 8" xfId="10690"/>
    <cellStyle name="Comma 4 8 2" xfId="10691"/>
    <cellStyle name="Comma 4 9" xfId="10692"/>
    <cellStyle name="Comma 4 9 2" xfId="10693"/>
    <cellStyle name="Comma 4_2-MACHINERY FOUNDATIONS --061" xfId="10747"/>
    <cellStyle name="Comma 40" xfId="10694"/>
    <cellStyle name="Comma 41" xfId="10695"/>
    <cellStyle name="Comma 41 2" xfId="10696"/>
    <cellStyle name="Comma 41 3" xfId="10697"/>
    <cellStyle name="Comma 41 3 2" xfId="10698"/>
    <cellStyle name="Comma 41 3 3" xfId="10699"/>
    <cellStyle name="Comma 41 4" xfId="10700"/>
    <cellStyle name="Comma 41 5" xfId="10701"/>
    <cellStyle name="Comma 42" xfId="10702"/>
    <cellStyle name="Comma 42 2" xfId="10703"/>
    <cellStyle name="Comma 42 3" xfId="10704"/>
    <cellStyle name="Comma 42 3 2" xfId="10705"/>
    <cellStyle name="Comma 42 3 3" xfId="10706"/>
    <cellStyle name="Comma 42 4" xfId="10707"/>
    <cellStyle name="Comma 42 5" xfId="10708"/>
    <cellStyle name="Comma 43" xfId="10709"/>
    <cellStyle name="Comma 43 2" xfId="10710"/>
    <cellStyle name="Comma 43 2 2" xfId="10711"/>
    <cellStyle name="Comma 43 2 3" xfId="10712"/>
    <cellStyle name="Comma 43 3" xfId="10713"/>
    <cellStyle name="Comma 43 4" xfId="10714"/>
    <cellStyle name="Comma 44" xfId="10715"/>
    <cellStyle name="Comma 44 2" xfId="10716"/>
    <cellStyle name="Comma 44 2 2" xfId="10717"/>
    <cellStyle name="Comma 44 2 2 2" xfId="10718"/>
    <cellStyle name="Comma 44 2 2 3" xfId="10719"/>
    <cellStyle name="Comma 44 2 3" xfId="10720"/>
    <cellStyle name="Comma 44 2 4" xfId="10721"/>
    <cellStyle name="Comma 45" xfId="10722"/>
    <cellStyle name="Comma 46" xfId="10723"/>
    <cellStyle name="Comma 46 2" xfId="10724"/>
    <cellStyle name="Comma 46 2 2" xfId="10725"/>
    <cellStyle name="Comma 46 2 3" xfId="10726"/>
    <cellStyle name="Comma 46 3" xfId="10727"/>
    <cellStyle name="Comma 46 4" xfId="10728"/>
    <cellStyle name="Comma 47" xfId="10729"/>
    <cellStyle name="Comma 47 2" xfId="10730"/>
    <cellStyle name="Comma 47 2 2" xfId="10731"/>
    <cellStyle name="Comma 47 2 3" xfId="10732"/>
    <cellStyle name="Comma 47 3" xfId="10733"/>
    <cellStyle name="Comma 47 4" xfId="10734"/>
    <cellStyle name="Comma 48" xfId="10735"/>
    <cellStyle name="Comma 48 2" xfId="10736"/>
    <cellStyle name="Comma 48 2 2" xfId="10737"/>
    <cellStyle name="Comma 48 2 3" xfId="10738"/>
    <cellStyle name="Comma 48 3" xfId="10739"/>
    <cellStyle name="Comma 48 4" xfId="10740"/>
    <cellStyle name="Comma 49" xfId="10741"/>
    <cellStyle name="Comma 49 2" xfId="10742"/>
    <cellStyle name="Comma 49 2 2" xfId="10743"/>
    <cellStyle name="Comma 49 2 3" xfId="10744"/>
    <cellStyle name="Comma 49 3" xfId="10745"/>
    <cellStyle name="Comma 49 4" xfId="10746"/>
    <cellStyle name="Comma 5" xfId="10748"/>
    <cellStyle name="Comma 5 10" xfId="10749"/>
    <cellStyle name="Comma 5 2" xfId="10750"/>
    <cellStyle name="Comma 5 2 10" xfId="10751"/>
    <cellStyle name="Comma 5 2 11" xfId="10752"/>
    <cellStyle name="Comma 5 2 12" xfId="10753"/>
    <cellStyle name="Comma 5 2 13" xfId="10754"/>
    <cellStyle name="Comma 5 2 2" xfId="10755"/>
    <cellStyle name="Comma 5 2 2 2" xfId="10756"/>
    <cellStyle name="Comma 5 2 3" xfId="10757"/>
    <cellStyle name="Comma 5 2 3 2" xfId="10758"/>
    <cellStyle name="Comma 5 2 4" xfId="10759"/>
    <cellStyle name="Comma 5 2 5" xfId="10760"/>
    <cellStyle name="Comma 5 2 6" xfId="10761"/>
    <cellStyle name="Comma 5 2 7" xfId="10762"/>
    <cellStyle name="Comma 5 2 8" xfId="10763"/>
    <cellStyle name="Comma 5 2 9" xfId="10764"/>
    <cellStyle name="Comma 5 3" xfId="10765"/>
    <cellStyle name="Comma 5 3 2" xfId="10766"/>
    <cellStyle name="Comma 5 3 3" xfId="10767"/>
    <cellStyle name="Comma 5 3 4" xfId="10768"/>
    <cellStyle name="Comma 5 3 5" xfId="10769"/>
    <cellStyle name="Comma 5 3 6" xfId="10770"/>
    <cellStyle name="Comma 5 3 7" xfId="10771"/>
    <cellStyle name="Comma 5 3 8" xfId="10772"/>
    <cellStyle name="Comma 5 3 9" xfId="10773"/>
    <cellStyle name="Comma 5 4" xfId="10774"/>
    <cellStyle name="Comma 5 5" xfId="10775"/>
    <cellStyle name="Comma 5 6" xfId="10776"/>
    <cellStyle name="Comma 5 7" xfId="10777"/>
    <cellStyle name="Comma 5 8" xfId="10778"/>
    <cellStyle name="Comma 5 9" xfId="10779"/>
    <cellStyle name="Comma 5_Analysis - Hodariyat - 20.06.09" xfId="10814"/>
    <cellStyle name="Comma 50" xfId="10780"/>
    <cellStyle name="Comma 50 2" xfId="10781"/>
    <cellStyle name="Comma 50 2 2" xfId="10782"/>
    <cellStyle name="Comma 50 2 3" xfId="10783"/>
    <cellStyle name="Comma 50 3" xfId="10784"/>
    <cellStyle name="Comma 50 4" xfId="10785"/>
    <cellStyle name="Comma 51" xfId="10786"/>
    <cellStyle name="Comma 51 2" xfId="10787"/>
    <cellStyle name="Comma 51 2 2" xfId="10788"/>
    <cellStyle name="Comma 51 2 3" xfId="10789"/>
    <cellStyle name="Comma 51 3" xfId="10790"/>
    <cellStyle name="Comma 51 4" xfId="10791"/>
    <cellStyle name="Comma 52" xfId="10792"/>
    <cellStyle name="Comma 52 2" xfId="10793"/>
    <cellStyle name="Comma 52 2 2" xfId="10794"/>
    <cellStyle name="Comma 52 2 3" xfId="10795"/>
    <cellStyle name="Comma 52 3" xfId="10796"/>
    <cellStyle name="Comma 52 4" xfId="10797"/>
    <cellStyle name="Comma 53" xfId="10798"/>
    <cellStyle name="Comma 53 2" xfId="10799"/>
    <cellStyle name="Comma 53 2 2" xfId="10800"/>
    <cellStyle name="Comma 53 2 3" xfId="10801"/>
    <cellStyle name="Comma 53 3" xfId="10802"/>
    <cellStyle name="Comma 53 4" xfId="10803"/>
    <cellStyle name="Comma 54" xfId="10804"/>
    <cellStyle name="Comma 54 2" xfId="10805"/>
    <cellStyle name="Comma 54 2 2" xfId="10806"/>
    <cellStyle name="Comma 54 2 3" xfId="10807"/>
    <cellStyle name="Comma 54 3" xfId="10808"/>
    <cellStyle name="Comma 54 4" xfId="10809"/>
    <cellStyle name="Comma 55" xfId="10810"/>
    <cellStyle name="Comma 56" xfId="10811"/>
    <cellStyle name="Comma 57" xfId="10812"/>
    <cellStyle name="Comma 59" xfId="10813"/>
    <cellStyle name="Comma 6" xfId="10815"/>
    <cellStyle name="Comma 6 10" xfId="10816"/>
    <cellStyle name="Comma 6 11" xfId="10817"/>
    <cellStyle name="Comma 6 12" xfId="10818"/>
    <cellStyle name="Comma 6 13" xfId="10819"/>
    <cellStyle name="Comma 6 14" xfId="10820"/>
    <cellStyle name="Comma 6 15" xfId="10821"/>
    <cellStyle name="Comma 6 16" xfId="10822"/>
    <cellStyle name="Comma 6 17" xfId="10823"/>
    <cellStyle name="Comma 6 2" xfId="10824"/>
    <cellStyle name="Comma 6 2 10" xfId="10825"/>
    <cellStyle name="Comma 6 2 11" xfId="10826"/>
    <cellStyle name="Comma 6 2 12" xfId="10827"/>
    <cellStyle name="Comma 6 2 2" xfId="10828"/>
    <cellStyle name="Comma 6 2 2 2" xfId="10829"/>
    <cellStyle name="Comma 6 2 2 2 2" xfId="10830"/>
    <cellStyle name="Comma 6 2 2 2 2 2" xfId="10831"/>
    <cellStyle name="Comma 6 2 2 3" xfId="10832"/>
    <cellStyle name="Comma 6 2 3" xfId="10833"/>
    <cellStyle name="Comma 6 2 4" xfId="10834"/>
    <cellStyle name="Comma 6 2 5" xfId="10835"/>
    <cellStyle name="Comma 6 2 6" xfId="10836"/>
    <cellStyle name="Comma 6 2 7" xfId="10837"/>
    <cellStyle name="Comma 6 2 8" xfId="10838"/>
    <cellStyle name="Comma 6 2 9" xfId="10839"/>
    <cellStyle name="Comma 6 3" xfId="10840"/>
    <cellStyle name="Comma 6 3 10" xfId="10841"/>
    <cellStyle name="Comma 6 3 11" xfId="10842"/>
    <cellStyle name="Comma 6 3 12" xfId="10843"/>
    <cellStyle name="Comma 6 3 13" xfId="10844"/>
    <cellStyle name="Comma 6 3 14" xfId="10845"/>
    <cellStyle name="Comma 6 3 2" xfId="10846"/>
    <cellStyle name="Comma 6 3 2 2" xfId="10847"/>
    <cellStyle name="Comma 6 3 2 3" xfId="10848"/>
    <cellStyle name="Comma 6 3 3" xfId="10849"/>
    <cellStyle name="Comma 6 3 4" xfId="10850"/>
    <cellStyle name="Comma 6 3 5" xfId="10851"/>
    <cellStyle name="Comma 6 3 6" xfId="10852"/>
    <cellStyle name="Comma 6 3 6 2" xfId="10853"/>
    <cellStyle name="Comma 6 3 6 2 2" xfId="10854"/>
    <cellStyle name="Comma 6 3 6 2 3" xfId="10855"/>
    <cellStyle name="Comma 6 3 6 3" xfId="10856"/>
    <cellStyle name="Comma 6 3 6 4" xfId="10857"/>
    <cellStyle name="Comma 6 3 7" xfId="10858"/>
    <cellStyle name="Comma 6 3 8" xfId="10859"/>
    <cellStyle name="Comma 6 3 9" xfId="10860"/>
    <cellStyle name="Comma 6 4" xfId="10861"/>
    <cellStyle name="Comma 6 4 2" xfId="10862"/>
    <cellStyle name="Comma 6 4 3" xfId="10863"/>
    <cellStyle name="Comma 6 5" xfId="10864"/>
    <cellStyle name="Comma 6 5 2" xfId="10865"/>
    <cellStyle name="Comma 6 6" xfId="10866"/>
    <cellStyle name="Comma 6 6 2" xfId="10867"/>
    <cellStyle name="Comma 6 7" xfId="10868"/>
    <cellStyle name="Comma 6 8" xfId="10869"/>
    <cellStyle name="Comma 6 9" xfId="10870"/>
    <cellStyle name="Comma 6_Analysis - Hodariyat - 20.06.09" xfId="10871"/>
    <cellStyle name="Comma 7" xfId="10872"/>
    <cellStyle name="Comma 7 10" xfId="10873"/>
    <cellStyle name="Comma 7 11" xfId="10874"/>
    <cellStyle name="Comma 7 12" xfId="10875"/>
    <cellStyle name="Comma 7 13" xfId="10876"/>
    <cellStyle name="Comma 7 14" xfId="10877"/>
    <cellStyle name="Comma 7 15" xfId="10878"/>
    <cellStyle name="Comma 7 2" xfId="10879"/>
    <cellStyle name="Comma 7 2 10" xfId="10880"/>
    <cellStyle name="Comma 7 2 11" xfId="10881"/>
    <cellStyle name="Comma 7 2 12" xfId="10882"/>
    <cellStyle name="Comma 7 2 2" xfId="10883"/>
    <cellStyle name="Comma 7 2 3" xfId="10884"/>
    <cellStyle name="Comma 7 2 4" xfId="10885"/>
    <cellStyle name="Comma 7 2 5" xfId="10886"/>
    <cellStyle name="Comma 7 2 6" xfId="10887"/>
    <cellStyle name="Comma 7 2 7" xfId="10888"/>
    <cellStyle name="Comma 7 2 8" xfId="10889"/>
    <cellStyle name="Comma 7 2 9" xfId="10890"/>
    <cellStyle name="Comma 7 3" xfId="10891"/>
    <cellStyle name="Comma 7 3 10" xfId="10892"/>
    <cellStyle name="Comma 7 3 2" xfId="10893"/>
    <cellStyle name="Comma 7 3 2 2" xfId="10894"/>
    <cellStyle name="Comma 7 3 3" xfId="10895"/>
    <cellStyle name="Comma 7 3 4" xfId="10896"/>
    <cellStyle name="Comma 7 3 5" xfId="10897"/>
    <cellStyle name="Comma 7 3 6" xfId="10898"/>
    <cellStyle name="Comma 7 3 7" xfId="10899"/>
    <cellStyle name="Comma 7 3 8" xfId="10900"/>
    <cellStyle name="Comma 7 3 9" xfId="10901"/>
    <cellStyle name="Comma 7 4" xfId="10902"/>
    <cellStyle name="Comma 7 4 2" xfId="10903"/>
    <cellStyle name="Comma 7 5" xfId="10904"/>
    <cellStyle name="Comma 7 6" xfId="10905"/>
    <cellStyle name="Comma 7 7" xfId="10906"/>
    <cellStyle name="Comma 7 8" xfId="10907"/>
    <cellStyle name="Comma 7 9" xfId="10908"/>
    <cellStyle name="Comma 7_BoQ-RA-Al Sowa Island-Road Works (Road P6) To Client" xfId="10918"/>
    <cellStyle name="Comma 71" xfId="10909"/>
    <cellStyle name="Comma 72" xfId="10910"/>
    <cellStyle name="Comma 73" xfId="10911"/>
    <cellStyle name="Comma 74" xfId="10912"/>
    <cellStyle name="Comma 75" xfId="10913"/>
    <cellStyle name="Comma 76" xfId="10914"/>
    <cellStyle name="Comma 77" xfId="10915"/>
    <cellStyle name="Comma 78" xfId="10916"/>
    <cellStyle name="Comma 79" xfId="10917"/>
    <cellStyle name="Comma 8" xfId="10919"/>
    <cellStyle name="Comma 8 10" xfId="10920"/>
    <cellStyle name="Comma 8 11" xfId="10921"/>
    <cellStyle name="Comma 8 12" xfId="10922"/>
    <cellStyle name="Comma 8 13" xfId="10923"/>
    <cellStyle name="Comma 8 14" xfId="10924"/>
    <cellStyle name="Comma 8 15" xfId="10925"/>
    <cellStyle name="Comma 8 16" xfId="10926"/>
    <cellStyle name="Comma 8 17" xfId="10927"/>
    <cellStyle name="Comma 8 18" xfId="10928"/>
    <cellStyle name="Comma 8 19" xfId="10929"/>
    <cellStyle name="Comma 8 2" xfId="10930"/>
    <cellStyle name="Comma 8 2 10" xfId="10931"/>
    <cellStyle name="Comma 8 2 11" xfId="10932"/>
    <cellStyle name="Comma 8 2 12" xfId="10933"/>
    <cellStyle name="Comma 8 2 2" xfId="10934"/>
    <cellStyle name="Comma 8 2 2 2" xfId="10935"/>
    <cellStyle name="Comma 8 2 3" xfId="10936"/>
    <cellStyle name="Comma 8 2 4" xfId="10937"/>
    <cellStyle name="Comma 8 2 5" xfId="10938"/>
    <cellStyle name="Comma 8 2 6" xfId="10939"/>
    <cellStyle name="Comma 8 2 7" xfId="10940"/>
    <cellStyle name="Comma 8 2 8" xfId="10941"/>
    <cellStyle name="Comma 8 2 9" xfId="10942"/>
    <cellStyle name="Comma 8 20" xfId="10943"/>
    <cellStyle name="Comma 8 3" xfId="10944"/>
    <cellStyle name="Comma 8 4" xfId="10945"/>
    <cellStyle name="Comma 8 5" xfId="10946"/>
    <cellStyle name="Comma 8 6" xfId="10947"/>
    <cellStyle name="Comma 8 7" xfId="10948"/>
    <cellStyle name="Comma 8 8" xfId="10949"/>
    <cellStyle name="Comma 8 9" xfId="10950"/>
    <cellStyle name="Comma 8_BoQ-RA-Al Sowa Island-Road Works (Road P6) To Client" xfId="10956"/>
    <cellStyle name="Comma 80" xfId="10951"/>
    <cellStyle name="Comma 81" xfId="10952"/>
    <cellStyle name="Comma 82" xfId="10953"/>
    <cellStyle name="Comma 83" xfId="10954"/>
    <cellStyle name="Comma 84" xfId="10955"/>
    <cellStyle name="Comma 9" xfId="10957"/>
    <cellStyle name="Comma 9 10" xfId="10958"/>
    <cellStyle name="Comma 9 11" xfId="10959"/>
    <cellStyle name="Comma 9 12" xfId="10960"/>
    <cellStyle name="Comma 9 13" xfId="10961"/>
    <cellStyle name="Comma 9 14" xfId="10962"/>
    <cellStyle name="Comma 9 15" xfId="10963"/>
    <cellStyle name="Comma 9 16" xfId="10964"/>
    <cellStyle name="Comma 9 17" xfId="10965"/>
    <cellStyle name="Comma 9 18" xfId="10966"/>
    <cellStyle name="Comma 9 19" xfId="10967"/>
    <cellStyle name="Comma 9 2" xfId="10968"/>
    <cellStyle name="Comma 9 2 2" xfId="10969"/>
    <cellStyle name="Comma 9 2 2 2" xfId="10970"/>
    <cellStyle name="Comma 9 2 2 3" xfId="10971"/>
    <cellStyle name="Comma 9 2 3" xfId="10972"/>
    <cellStyle name="Comma 9 2 3 2" xfId="10973"/>
    <cellStyle name="Comma 9 2 3 3" xfId="10974"/>
    <cellStyle name="Comma 9 2 4" xfId="10975"/>
    <cellStyle name="Comma 9 2 5" xfId="10976"/>
    <cellStyle name="Comma 9 2 6" xfId="10977"/>
    <cellStyle name="Comma 9 2 6 2" xfId="10978"/>
    <cellStyle name="Comma 9 2 6 3" xfId="10979"/>
    <cellStyle name="Comma 9 3" xfId="10980"/>
    <cellStyle name="Comma 9 3 2" xfId="10981"/>
    <cellStyle name="Comma 9 3 3" xfId="10982"/>
    <cellStyle name="Comma 9 3 4" xfId="10983"/>
    <cellStyle name="Comma 9 3 4 2" xfId="10984"/>
    <cellStyle name="Comma 9 3 4 3" xfId="10985"/>
    <cellStyle name="Comma 9 4" xfId="10986"/>
    <cellStyle name="Comma 9 5" xfId="10987"/>
    <cellStyle name="Comma 9 6" xfId="10988"/>
    <cellStyle name="Comma 9 7" xfId="10989"/>
    <cellStyle name="Comma 9 8" xfId="10990"/>
    <cellStyle name="Comma 9 9" xfId="10991"/>
    <cellStyle name="comma zerodec" xfId="11010"/>
    <cellStyle name="comma zerodec 2" xfId="11011"/>
    <cellStyle name="Comma*" xfId="11012"/>
    <cellStyle name="Comma,0" xfId="11013"/>
    <cellStyle name="Comma,1" xfId="11014"/>
    <cellStyle name="Comma,2" xfId="11015"/>
    <cellStyle name="comma[0]" xfId="11038"/>
    <cellStyle name="Comma0" xfId="11017"/>
    <cellStyle name="Comma0 - Style4" xfId="11018"/>
    <cellStyle name="Comma0 - Style5" xfId="11019"/>
    <cellStyle name="Comma0 10" xfId="11020"/>
    <cellStyle name="Comma0 11" xfId="11021"/>
    <cellStyle name="Comma0 2" xfId="11022"/>
    <cellStyle name="Comma0 2 2" xfId="11023"/>
    <cellStyle name="Comma0 2 3" xfId="11024"/>
    <cellStyle name="Comma0 2 4" xfId="11025"/>
    <cellStyle name="Comma0 3" xfId="11026"/>
    <cellStyle name="Comma0 4" xfId="11027"/>
    <cellStyle name="Comma0 5" xfId="11028"/>
    <cellStyle name="Comma0 6" xfId="11029"/>
    <cellStyle name="Comma0 7" xfId="11030"/>
    <cellStyle name="Comma0 8" xfId="11031"/>
    <cellStyle name="Comma0 9" xfId="11032"/>
    <cellStyle name="Comma0_Budget Oberoi Commerz 2  3 R3_08052008 (3)" xfId="11033"/>
    <cellStyle name="Comma1" xfId="11034"/>
    <cellStyle name="Comma1 - Style1" xfId="11035"/>
    <cellStyle name="Comma2" xfId="11036"/>
    <cellStyle name="Comma3" xfId="11037"/>
    <cellStyle name="comman" xfId="11039"/>
    <cellStyle name="Comma-Rounded" xfId="11016"/>
    <cellStyle name="commas" xfId="11040"/>
    <cellStyle name="Copied" xfId="11041"/>
    <cellStyle name="Copied 10" xfId="11042"/>
    <cellStyle name="Copied 2" xfId="11043"/>
    <cellStyle name="Copied 2 2" xfId="11044"/>
    <cellStyle name="Copied 2_KC720 - JCR - Mar '11" xfId="11045"/>
    <cellStyle name="Copied 3" xfId="11046"/>
    <cellStyle name="Copied 4" xfId="11047"/>
    <cellStyle name="Copied 5" xfId="11048"/>
    <cellStyle name="Copied 6" xfId="11049"/>
    <cellStyle name="Copied 7" xfId="11050"/>
    <cellStyle name="Copied 8" xfId="11051"/>
    <cellStyle name="Copied 9" xfId="11052"/>
    <cellStyle name="Copied_Boq dpl PH3 REv2" xfId="11053"/>
    <cellStyle name="COST1" xfId="11054"/>
    <cellStyle name="COURIER" xfId="11055"/>
    <cellStyle name="Cover" xfId="11056"/>
    <cellStyle name="Cover Date" xfId="11057"/>
    <cellStyle name="Cover Subtitle" xfId="11058"/>
    <cellStyle name="Cover Title" xfId="11059"/>
    <cellStyle name="COVERAGE" xfId="11060"/>
    <cellStyle name="CSI" xfId="11061"/>
    <cellStyle name="CSI 2" xfId="11062"/>
    <cellStyle name="Cur" xfId="11063"/>
    <cellStyle name="Curren - Style1" xfId="11064"/>
    <cellStyle name="Curren - Style5" xfId="11065"/>
    <cellStyle name="Curren - Style6" xfId="11066"/>
    <cellStyle name="Currencq [0]_Invoices_C" xfId="11067"/>
    <cellStyle name="Currency--" xfId="11109"/>
    <cellStyle name="Currency $" xfId="11068"/>
    <cellStyle name="Currency $ 2" xfId="11069"/>
    <cellStyle name="Currency ($)" xfId="11070"/>
    <cellStyle name="Currency (£)" xfId="11071"/>
    <cellStyle name="Currency [00]" xfId="11100"/>
    <cellStyle name="Currency [1]" xfId="11101"/>
    <cellStyle name="Currency [2]" xfId="11102"/>
    <cellStyle name="Currency [3]" xfId="11103"/>
    <cellStyle name="Currency 0" xfId="11072"/>
    <cellStyle name="Currency 2" xfId="11073"/>
    <cellStyle name="Currency 2 2" xfId="11074"/>
    <cellStyle name="Currency 2 3" xfId="11075"/>
    <cellStyle name="Currency 2 4" xfId="11076"/>
    <cellStyle name="Currency 2 5" xfId="11077"/>
    <cellStyle name="Currency 2 6" xfId="11078"/>
    <cellStyle name="Currency 2 7" xfId="11079"/>
    <cellStyle name="Currency 2*" xfId="11080"/>
    <cellStyle name="Currency 2_Assump" xfId="11081"/>
    <cellStyle name="Currency 3" xfId="11082"/>
    <cellStyle name="Currency 3 2" xfId="11083"/>
    <cellStyle name="Currency 3 2 2" xfId="11084"/>
    <cellStyle name="Currency 3 2 2 2" xfId="11085"/>
    <cellStyle name="Currency 3 3" xfId="11086"/>
    <cellStyle name="Currency 3 4" xfId="11087"/>
    <cellStyle name="Currency 3 5" xfId="11088"/>
    <cellStyle name="Currency 3 6" xfId="11089"/>
    <cellStyle name="Currency 3 7" xfId="11090"/>
    <cellStyle name="Currency 3 8" xfId="11091"/>
    <cellStyle name="Currency 3 9" xfId="11092"/>
    <cellStyle name="Currency 3*" xfId="11093"/>
    <cellStyle name="Currency 4" xfId="11094"/>
    <cellStyle name="Currency 4 2" xfId="11095"/>
    <cellStyle name="Currency 4 3" xfId="11096"/>
    <cellStyle name="Currency 5" xfId="11097"/>
    <cellStyle name="Currency 5 2" xfId="11098"/>
    <cellStyle name="Currency 6" xfId="11099"/>
    <cellStyle name="Currency Per Share" xfId="11104"/>
    <cellStyle name="Currency w/o $" xfId="11105"/>
    <cellStyle name="Currency*" xfId="11106"/>
    <cellStyle name="Currency,0" xfId="11107"/>
    <cellStyle name="Currency,2" xfId="11108"/>
    <cellStyle name="Currency--_Midland v40 (with HPI's projection)" xfId="11110"/>
    <cellStyle name="Currency0" xfId="11112"/>
    <cellStyle name="Currency0 10" xfId="11113"/>
    <cellStyle name="Currency0 11" xfId="11114"/>
    <cellStyle name="Currency0 12" xfId="11115"/>
    <cellStyle name="Currency0 13" xfId="11116"/>
    <cellStyle name="Currency0 2" xfId="11117"/>
    <cellStyle name="Currency0 2 2" xfId="11118"/>
    <cellStyle name="Currency0 2 3" xfId="11119"/>
    <cellStyle name="Currency0 2 4" xfId="11120"/>
    <cellStyle name="Currency0 3" xfId="11121"/>
    <cellStyle name="Currency0 4" xfId="11122"/>
    <cellStyle name="Currency0 5" xfId="11123"/>
    <cellStyle name="Currency0 6" xfId="11124"/>
    <cellStyle name="Currency0 7" xfId="11125"/>
    <cellStyle name="Currency0 8" xfId="11126"/>
    <cellStyle name="Currency0 9" xfId="11127"/>
    <cellStyle name="Currency0_Extra items Diff" xfId="11128"/>
    <cellStyle name="Currency1" xfId="11129"/>
    <cellStyle name="Currency1 2" xfId="11130"/>
    <cellStyle name="Currency-Rounded" xfId="11111"/>
    <cellStyle name="CUSTOM" xfId="11131"/>
    <cellStyle name="Custom - Style8" xfId="11132"/>
    <cellStyle name="CUSTOM 2" xfId="11133"/>
    <cellStyle name="CUSTOM_Amend 2 DPL CONTRACT" xfId="11134"/>
    <cellStyle name="d" xfId="11137"/>
    <cellStyle name="d mmm yy" xfId="11138"/>
    <cellStyle name="d_Budget Oberoi Commerz 2  3 R3_08052008 (3)" xfId="11139"/>
    <cellStyle name="d_Budget Oberoi Commerz 2  May_09_08" xfId="11140"/>
    <cellStyle name="d_Budget Oberoi Commerz II_May_08_08 (5)" xfId="11141"/>
    <cellStyle name="d_IBP I  - Commerz ver 3" xfId="11142"/>
    <cellStyle name="d_IBP I Hotel ver 6" xfId="11143"/>
    <cellStyle name="d_Revised budget commez Hotel+Office Bldg-R9 (3)" xfId="11144"/>
    <cellStyle name="Dash" xfId="11145"/>
    <cellStyle name="Data   - Style2" xfId="11146"/>
    <cellStyle name="Data   - Style2 2" xfId="11147"/>
    <cellStyle name="Data   - Style2 2 2" xfId="11148"/>
    <cellStyle name="Data   - Style2 2 2 2" xfId="11149"/>
    <cellStyle name="Data   - Style2 2 2 3" xfId="11150"/>
    <cellStyle name="Data   - Style2 2 2 4" xfId="11151"/>
    <cellStyle name="Data   - Style2 2 3" xfId="11152"/>
    <cellStyle name="Data   - Style2 2 4" xfId="11153"/>
    <cellStyle name="Data   - Style2 2 5" xfId="11154"/>
    <cellStyle name="Data   - Style2 3" xfId="11155"/>
    <cellStyle name="Data   - Style2 3 2" xfId="11156"/>
    <cellStyle name="Data   - Style2 3 2 2" xfId="11157"/>
    <cellStyle name="Data   - Style2 3 2 3" xfId="11158"/>
    <cellStyle name="Data   - Style2 3 2 4" xfId="11159"/>
    <cellStyle name="Data   - Style2 3 3" xfId="11160"/>
    <cellStyle name="Data   - Style2 3 4" xfId="11161"/>
    <cellStyle name="Data   - Style2 3 5" xfId="11162"/>
    <cellStyle name="Data   - Style2 4" xfId="11163"/>
    <cellStyle name="Data   - Style2 4 2" xfId="11164"/>
    <cellStyle name="Data   - Style2 4 3" xfId="11165"/>
    <cellStyle name="Data   - Style2 4 4" xfId="11166"/>
    <cellStyle name="Data   - Style2 5" xfId="11167"/>
    <cellStyle name="Data   - Style2 6" xfId="11168"/>
    <cellStyle name="Data   - Style2 7" xfId="11169"/>
    <cellStyle name="DATA_ENT" xfId="11170"/>
    <cellStyle name="Date" xfId="11171"/>
    <cellStyle name="Date - Style3" xfId="11172"/>
    <cellStyle name="Date - Style4" xfId="11173"/>
    <cellStyle name="Date [d-mmm-yy]" xfId="11188"/>
    <cellStyle name="Date [D-M-Y]" xfId="11187"/>
    <cellStyle name="Date [M/D/Y]" xfId="11190"/>
    <cellStyle name="Date [M/Y]" xfId="11191"/>
    <cellStyle name="Date [mm-d-yy]" xfId="11192"/>
    <cellStyle name="Date [mm-d-yyyy]" xfId="11193"/>
    <cellStyle name="Date [mm-d-yyyy] 2" xfId="11194"/>
    <cellStyle name="Date [mm-d-yyyy] 3" xfId="11195"/>
    <cellStyle name="Date [mm-d-yyyy] 4" xfId="11196"/>
    <cellStyle name="Date [mm-d-yyyy] 5" xfId="11197"/>
    <cellStyle name="Date [mmm-d-yyyy]" xfId="11198"/>
    <cellStyle name="Date [mmm-yy]" xfId="11199"/>
    <cellStyle name="Date [mmm-yyyy]" xfId="11200"/>
    <cellStyle name="Date [mmm-yyyy] 2" xfId="11201"/>
    <cellStyle name="Date [mmm-yyyy] 3" xfId="11202"/>
    <cellStyle name="Date [mmm-yyyy] 4" xfId="11203"/>
    <cellStyle name="Date [mmm-yyyy] 5" xfId="11204"/>
    <cellStyle name="Date [mmm-yyyy] 6" xfId="11205"/>
    <cellStyle name="Date [mmm-yyyy] 7" xfId="11206"/>
    <cellStyle name="Date [M-Y]" xfId="11189"/>
    <cellStyle name="Date 10" xfId="11174"/>
    <cellStyle name="Date 2" xfId="11175"/>
    <cellStyle name="Date 2 2" xfId="11176"/>
    <cellStyle name="Date 2 3" xfId="11177"/>
    <cellStyle name="Date 2 4" xfId="11178"/>
    <cellStyle name="Date 2_KC720 - JCR - Mar '11" xfId="11179"/>
    <cellStyle name="Date 3" xfId="11180"/>
    <cellStyle name="Date 4" xfId="11181"/>
    <cellStyle name="Date 5" xfId="11182"/>
    <cellStyle name="Date 6" xfId="11183"/>
    <cellStyle name="Date 7" xfId="11184"/>
    <cellStyle name="Date 8" xfId="11185"/>
    <cellStyle name="Date 9" xfId="11186"/>
    <cellStyle name="Date Aligned" xfId="11207"/>
    <cellStyle name="Date Aligned*" xfId="11208"/>
    <cellStyle name="Date Aligned_Assump" xfId="11209"/>
    <cellStyle name="Date Short" xfId="11210"/>
    <cellStyle name="Date_~0205992" xfId="11222"/>
    <cellStyle name="date2" xfId="11211"/>
    <cellStyle name="date2 2" xfId="11212"/>
    <cellStyle name="date2 2 2" xfId="11213"/>
    <cellStyle name="date2 2 3" xfId="11214"/>
    <cellStyle name="date2 2 4" xfId="11215"/>
    <cellStyle name="date2 3" xfId="11216"/>
    <cellStyle name="date2 4" xfId="11217"/>
    <cellStyle name="date2 5" xfId="11218"/>
    <cellStyle name="date2 6" xfId="11219"/>
    <cellStyle name="date2 7" xfId="11220"/>
    <cellStyle name="Date2h" xfId="11221"/>
    <cellStyle name="Datum(text)" xfId="11223"/>
    <cellStyle name="DB Model Standard" xfId="11224"/>
    <cellStyle name="dd" xfId="11225"/>
    <cellStyle name="ddd" xfId="11226"/>
    <cellStyle name="Default 1" xfId="11227"/>
    <cellStyle name="Default 11" xfId="11228"/>
    <cellStyle name="DELTA" xfId="11229"/>
    <cellStyle name="DELTA 10" xfId="11230"/>
    <cellStyle name="DELTA 11" xfId="11231"/>
    <cellStyle name="DELTA 2" xfId="11232"/>
    <cellStyle name="DELTA 2 2" xfId="11233"/>
    <cellStyle name="DELTA 3" xfId="11234"/>
    <cellStyle name="DELTA 3 2" xfId="11235"/>
    <cellStyle name="DELTA 4" xfId="11236"/>
    <cellStyle name="DELTA 5" xfId="11237"/>
    <cellStyle name="DELTA 6" xfId="11238"/>
    <cellStyle name="DELTA 7" xfId="11239"/>
    <cellStyle name="DELTA 8" xfId="11240"/>
    <cellStyle name="DELTA 9" xfId="11241"/>
    <cellStyle name="Description" xfId="11242"/>
    <cellStyle name="Description 2" xfId="11243"/>
    <cellStyle name="Description_DLF Capital Greens -Consolidated Finishes BOQ Phase II " xfId="11244"/>
    <cellStyle name="Dezimal [0]_A+B2400" xfId="11245"/>
    <cellStyle name="Dezimal_ Magirus " xfId="11246"/>
    <cellStyle name="dollar" xfId="11247"/>
    <cellStyle name="Dollar (zero dec)" xfId="11248"/>
    <cellStyle name="Dollar (zero dec) 2" xfId="11249"/>
    <cellStyle name="Dollar.00" xfId="11250"/>
    <cellStyle name="dollar[0]" xfId="11251"/>
    <cellStyle name="dollars" xfId="11252"/>
    <cellStyle name="Dotted Line" xfId="11253"/>
    <cellStyle name="DOWNFOOT" xfId="11254"/>
    <cellStyle name="DOWNFOOT 2" xfId="11255"/>
    <cellStyle name="DOWNFOOT 2 2" xfId="11256"/>
    <cellStyle name="DOWNFOOT 2 3" xfId="11257"/>
    <cellStyle name="DOWNFOOT 2 4" xfId="11258"/>
    <cellStyle name="DOWNFOOT 3" xfId="11259"/>
    <cellStyle name="DOWNFOOT 4" xfId="11260"/>
    <cellStyle name="DOWNFOOT 5" xfId="11261"/>
    <cellStyle name="DOWNFOOT 6" xfId="11262"/>
    <cellStyle name="DOWNFOOT 7" xfId="11263"/>
    <cellStyle name="dr" xfId="11264"/>
    <cellStyle name="ds" xfId="11265"/>
    <cellStyle name="ds 2" xfId="11266"/>
    <cellStyle name="ds 2 2" xfId="11267"/>
    <cellStyle name="ds 2 3" xfId="11268"/>
    <cellStyle name="ds 2 4" xfId="11269"/>
    <cellStyle name="ds 3" xfId="11270"/>
    <cellStyle name="ds 4" xfId="11271"/>
    <cellStyle name="ds 5" xfId="11272"/>
    <cellStyle name="ds 6" xfId="11273"/>
    <cellStyle name="ds 7" xfId="11274"/>
    <cellStyle name="Editable" xfId="11275"/>
    <cellStyle name="EI Code" xfId="11276"/>
    <cellStyle name="EI Code 2" xfId="11277"/>
    <cellStyle name="EI Code 3" xfId="11278"/>
    <cellStyle name="EI Code 4" xfId="11279"/>
    <cellStyle name="EI Code 5" xfId="11280"/>
    <cellStyle name="Eingabe" xfId="11281"/>
    <cellStyle name="Eingabe 2" xfId="11282"/>
    <cellStyle name="Eingabe 2 2" xfId="11283"/>
    <cellStyle name="Eingabe 2 3" xfId="11284"/>
    <cellStyle name="Eingabe 2 4" xfId="11285"/>
    <cellStyle name="Eingabe 3" xfId="11286"/>
    <cellStyle name="Eingabe 4" xfId="11287"/>
    <cellStyle name="Eingabe 5" xfId="11288"/>
    <cellStyle name="Emphasis 1" xfId="11289"/>
    <cellStyle name="Emphasis 1 2" xfId="11290"/>
    <cellStyle name="Emphasis 1 3" xfId="11291"/>
    <cellStyle name="Emphasis 1 4" xfId="11292"/>
    <cellStyle name="Emphasis 1 5" xfId="11293"/>
    <cellStyle name="Emphasis 1 6" xfId="11294"/>
    <cellStyle name="Emphasis 1 7" xfId="11295"/>
    <cellStyle name="Emphasis 1 8" xfId="11296"/>
    <cellStyle name="Emphasis 1 9" xfId="11297"/>
    <cellStyle name="Emphasis 2" xfId="11298"/>
    <cellStyle name="Emphasis 2 2" xfId="11299"/>
    <cellStyle name="Emphasis 2 3" xfId="11300"/>
    <cellStyle name="Emphasis 2 4" xfId="11301"/>
    <cellStyle name="Emphasis 2 5" xfId="11302"/>
    <cellStyle name="Emphasis 2 6" xfId="11303"/>
    <cellStyle name="Emphasis 2 7" xfId="11304"/>
    <cellStyle name="Emphasis 2 8" xfId="11305"/>
    <cellStyle name="Emphasis 2 9" xfId="11306"/>
    <cellStyle name="Emphasis 3" xfId="11307"/>
    <cellStyle name="Emphasis 3 2" xfId="11308"/>
    <cellStyle name="Emphasis 3 3" xfId="11309"/>
    <cellStyle name="Emphasis 3 4" xfId="11310"/>
    <cellStyle name="Emphasis 3 5" xfId="11311"/>
    <cellStyle name="Emphasis 3 6" xfId="11312"/>
    <cellStyle name="Emphasis 3 7" xfId="11313"/>
    <cellStyle name="Emphasis 3 8" xfId="11314"/>
    <cellStyle name="Emphasis 3 9" xfId="11315"/>
    <cellStyle name="Enter Currency (0)" xfId="11318"/>
    <cellStyle name="Enter Currency (0) 10" xfId="11319"/>
    <cellStyle name="Enter Currency (0) 11" xfId="11320"/>
    <cellStyle name="Enter Currency (0) 2" xfId="11321"/>
    <cellStyle name="Enter Currency (0) 2 2" xfId="11322"/>
    <cellStyle name="Enter Currency (0) 3" xfId="11323"/>
    <cellStyle name="Enter Currency (0) 3 2" xfId="11324"/>
    <cellStyle name="Enter Currency (0) 4" xfId="11325"/>
    <cellStyle name="Enter Currency (0) 5" xfId="11326"/>
    <cellStyle name="Enter Currency (0) 6" xfId="11327"/>
    <cellStyle name="Enter Currency (0) 7" xfId="11328"/>
    <cellStyle name="Enter Currency (0) 8" xfId="11329"/>
    <cellStyle name="Enter Currency (0) 9" xfId="11330"/>
    <cellStyle name="Enter Currency (2)" xfId="11331"/>
    <cellStyle name="Enter Units (0)" xfId="11332"/>
    <cellStyle name="Enter Units (0) 10" xfId="11333"/>
    <cellStyle name="Enter Units (0) 11" xfId="11334"/>
    <cellStyle name="Enter Units (0) 2" xfId="11335"/>
    <cellStyle name="Enter Units (0) 2 2" xfId="11336"/>
    <cellStyle name="Enter Units (0) 3" xfId="11337"/>
    <cellStyle name="Enter Units (0) 3 2" xfId="11338"/>
    <cellStyle name="Enter Units (0) 4" xfId="11339"/>
    <cellStyle name="Enter Units (0) 5" xfId="11340"/>
    <cellStyle name="Enter Units (0) 6" xfId="11341"/>
    <cellStyle name="Enter Units (0) 7" xfId="11342"/>
    <cellStyle name="Enter Units (0) 8" xfId="11343"/>
    <cellStyle name="Enter Units (0) 9" xfId="11344"/>
    <cellStyle name="Enter Units (1)" xfId="11345"/>
    <cellStyle name="Enter Units (1) 10" xfId="11346"/>
    <cellStyle name="Enter Units (1) 11" xfId="11347"/>
    <cellStyle name="Enter Units (1) 2" xfId="11348"/>
    <cellStyle name="Enter Units (1) 2 2" xfId="11349"/>
    <cellStyle name="Enter Units (1) 3" xfId="11350"/>
    <cellStyle name="Enter Units (1) 3 2" xfId="11351"/>
    <cellStyle name="Enter Units (1) 4" xfId="11352"/>
    <cellStyle name="Enter Units (1) 5" xfId="11353"/>
    <cellStyle name="Enter Units (1) 6" xfId="11354"/>
    <cellStyle name="Enter Units (1) 7" xfId="11355"/>
    <cellStyle name="Enter Units (1) 8" xfId="11356"/>
    <cellStyle name="Enter Units (1) 9" xfId="11357"/>
    <cellStyle name="Enter Units (2)" xfId="11358"/>
    <cellStyle name="Entered" xfId="11359"/>
    <cellStyle name="Entered 10" xfId="11360"/>
    <cellStyle name="Entered 2" xfId="11361"/>
    <cellStyle name="Entered 2 2" xfId="11362"/>
    <cellStyle name="Entered 2_KC720 - JCR - Mar '11" xfId="11363"/>
    <cellStyle name="Entered 3" xfId="11364"/>
    <cellStyle name="Entered 4" xfId="11365"/>
    <cellStyle name="Entered 5" xfId="11366"/>
    <cellStyle name="Entered 6" xfId="11367"/>
    <cellStyle name="Entered 7" xfId="11368"/>
    <cellStyle name="Entered 8" xfId="11369"/>
    <cellStyle name="Entered 9" xfId="11370"/>
    <cellStyle name="Entered_Boq dpl PH3 REv2" xfId="11371"/>
    <cellStyle name="En-tête 1" xfId="11316"/>
    <cellStyle name="En-tête 2" xfId="11317"/>
    <cellStyle name="EPS" xfId="11372"/>
    <cellStyle name="Ergebnis" xfId="11373"/>
    <cellStyle name="Ergebnis 2" xfId="11374"/>
    <cellStyle name="Ergebnis 2 2" xfId="11375"/>
    <cellStyle name="Ergebnis 2 3" xfId="11376"/>
    <cellStyle name="Ergebnis 2 4" xfId="11377"/>
    <cellStyle name="Ergebnis 3" xfId="11378"/>
    <cellStyle name="Ergebnis 4" xfId="11379"/>
    <cellStyle name="Ergebnis 5" xfId="11380"/>
    <cellStyle name="Erklärender Text" xfId="11381"/>
    <cellStyle name="Error 1" xfId="11382"/>
    <cellStyle name="Error 10" xfId="11383"/>
    <cellStyle name="Error 12" xfId="11384"/>
    <cellStyle name="Error 2" xfId="11385"/>
    <cellStyle name="Error 3" xfId="11386"/>
    <cellStyle name="Euro" xfId="11387"/>
    <cellStyle name="Euro 10" xfId="11388"/>
    <cellStyle name="Euro 11" xfId="11389"/>
    <cellStyle name="Euro 2" xfId="11390"/>
    <cellStyle name="Euro 3" xfId="11391"/>
    <cellStyle name="Euro 4" xfId="11392"/>
    <cellStyle name="Euro 5" xfId="11393"/>
    <cellStyle name="Euro 6" xfId="11394"/>
    <cellStyle name="Euro 7" xfId="11395"/>
    <cellStyle name="Euro 8" xfId="11396"/>
    <cellStyle name="Euro 9" xfId="11397"/>
    <cellStyle name="Excel_5f_BuiltIn_5f_Comma" xfId="11398"/>
    <cellStyle name="Explanatory Text 1" xfId="11399"/>
    <cellStyle name="Explanatory Text 1 1" xfId="11400"/>
    <cellStyle name="Explanatory Text 10" xfId="11401"/>
    <cellStyle name="Explanatory Text 11" xfId="11402"/>
    <cellStyle name="Explanatory Text 12" xfId="11403"/>
    <cellStyle name="Explanatory Text 13" xfId="11404"/>
    <cellStyle name="Explanatory Text 14" xfId="11405"/>
    <cellStyle name="Explanatory Text 15" xfId="11406"/>
    <cellStyle name="Explanatory Text 16" xfId="11407"/>
    <cellStyle name="Explanatory Text 17" xfId="11408"/>
    <cellStyle name="Explanatory Text 18" xfId="11409"/>
    <cellStyle name="Explanatory Text 19" xfId="11410"/>
    <cellStyle name="Explanatory Text 2" xfId="11411"/>
    <cellStyle name="Explanatory Text 2 2" xfId="11412"/>
    <cellStyle name="Explanatory Text 2 3" xfId="11413"/>
    <cellStyle name="Explanatory Text 2 4" xfId="11414"/>
    <cellStyle name="Explanatory Text 2 5" xfId="11415"/>
    <cellStyle name="Explanatory Text 2 6" xfId="11416"/>
    <cellStyle name="Explanatory Text 2_Block-F LGF POur-II BBS" xfId="11427"/>
    <cellStyle name="Explanatory Text 20" xfId="11417"/>
    <cellStyle name="Explanatory Text 21" xfId="11418"/>
    <cellStyle name="Explanatory Text 22" xfId="11419"/>
    <cellStyle name="Explanatory Text 23" xfId="11420"/>
    <cellStyle name="Explanatory Text 24" xfId="11421"/>
    <cellStyle name="Explanatory Text 25" xfId="11422"/>
    <cellStyle name="Explanatory Text 26" xfId="11423"/>
    <cellStyle name="Explanatory Text 27" xfId="11424"/>
    <cellStyle name="Explanatory Text 28" xfId="11425"/>
    <cellStyle name="Explanatory Text 29" xfId="11426"/>
    <cellStyle name="Explanatory Text 3" xfId="11428"/>
    <cellStyle name="Explanatory Text 3 2" xfId="11429"/>
    <cellStyle name="Explanatory Text 3 3" xfId="11430"/>
    <cellStyle name="Explanatory Text 3 4" xfId="11431"/>
    <cellStyle name="Explanatory Text 3_Sheet2" xfId="11442"/>
    <cellStyle name="Explanatory Text 30" xfId="11432"/>
    <cellStyle name="Explanatory Text 31" xfId="11433"/>
    <cellStyle name="Explanatory Text 32" xfId="11434"/>
    <cellStyle name="Explanatory Text 33" xfId="11435"/>
    <cellStyle name="Explanatory Text 34" xfId="11436"/>
    <cellStyle name="Explanatory Text 35" xfId="11437"/>
    <cellStyle name="Explanatory Text 36" xfId="11438"/>
    <cellStyle name="Explanatory Text 37" xfId="11439"/>
    <cellStyle name="Explanatory Text 38" xfId="11440"/>
    <cellStyle name="Explanatory Text 39" xfId="11441"/>
    <cellStyle name="Explanatory Text 4" xfId="11443"/>
    <cellStyle name="Explanatory Text 4 2" xfId="11444"/>
    <cellStyle name="Explanatory Text 4 3" xfId="11445"/>
    <cellStyle name="Explanatory Text 4 4" xfId="11446"/>
    <cellStyle name="Explanatory Text 4_Sheet2" xfId="11447"/>
    <cellStyle name="Explanatory Text 5" xfId="11448"/>
    <cellStyle name="Explanatory Text 5 2" xfId="11449"/>
    <cellStyle name="Explanatory Text 5 3" xfId="11450"/>
    <cellStyle name="Explanatory Text 5 4" xfId="11451"/>
    <cellStyle name="Explanatory Text 5_Sheet2" xfId="11452"/>
    <cellStyle name="Explanatory Text 6" xfId="11453"/>
    <cellStyle name="Explanatory Text 6 2" xfId="11454"/>
    <cellStyle name="Explanatory Text 6 3" xfId="11455"/>
    <cellStyle name="Explanatory Text 6 4" xfId="11456"/>
    <cellStyle name="Explanatory Text 6_Sheet2" xfId="11457"/>
    <cellStyle name="Explanatory Text 7" xfId="11458"/>
    <cellStyle name="Explanatory Text 7 2" xfId="11459"/>
    <cellStyle name="Explanatory Text 7 3" xfId="11460"/>
    <cellStyle name="Explanatory Text 7 4" xfId="11461"/>
    <cellStyle name="Explanatory Text 7_Sheet2" xfId="11462"/>
    <cellStyle name="Explanatory Text 8" xfId="11463"/>
    <cellStyle name="Explanatory Text 8 2" xfId="11464"/>
    <cellStyle name="Explanatory Text 8 3" xfId="11465"/>
    <cellStyle name="Explanatory Text 8_Sheet2" xfId="11466"/>
    <cellStyle name="Explanatory Text 9" xfId="11467"/>
    <cellStyle name="EY House" xfId="11468"/>
    <cellStyle name="EY0dp" xfId="11469"/>
    <cellStyle name="EYtext" xfId="11470"/>
    <cellStyle name="f" xfId="11471"/>
    <cellStyle name="f_Cinderella Model v1" xfId="11479"/>
    <cellStyle name="f_Cinderella Model v1May 29" xfId="11480"/>
    <cellStyle name="f_Cinderella Model v8" xfId="11481"/>
    <cellStyle name="f_Cinderella Model v9_ML number" xfId="11482"/>
    <cellStyle name="f_Gazelle DDM May-15-2003" xfId="11483"/>
    <cellStyle name="F2" xfId="11472"/>
    <cellStyle name="F3" xfId="11473"/>
    <cellStyle name="F4" xfId="11474"/>
    <cellStyle name="F5" xfId="11475"/>
    <cellStyle name="F6" xfId="11476"/>
    <cellStyle name="F7" xfId="11477"/>
    <cellStyle name="F8" xfId="11478"/>
    <cellStyle name="fact" xfId="11484"/>
    <cellStyle name="fact 2" xfId="11485"/>
    <cellStyle name="fact 3" xfId="11486"/>
    <cellStyle name="fact 4" xfId="11487"/>
    <cellStyle name="fact 5" xfId="11488"/>
    <cellStyle name="FDC-Pos" xfId="11489"/>
    <cellStyle name="ff" xfId="11490"/>
    <cellStyle name="fff" xfId="11491"/>
    <cellStyle name="Financier0" xfId="11492"/>
    <cellStyle name="Fixed" xfId="11493"/>
    <cellStyle name="Fixed [0]" xfId="11516"/>
    <cellStyle name="Fixed 10" xfId="11494"/>
    <cellStyle name="Fixed 2" xfId="11495"/>
    <cellStyle name="Fixed 2 10" xfId="11496"/>
    <cellStyle name="Fixed 2 11" xfId="11497"/>
    <cellStyle name="Fixed 2 12" xfId="11498"/>
    <cellStyle name="Fixed 2 2" xfId="11499"/>
    <cellStyle name="Fixed 2 3" xfId="11500"/>
    <cellStyle name="Fixed 2 4" xfId="11501"/>
    <cellStyle name="Fixed 2 5" xfId="11502"/>
    <cellStyle name="Fixed 2 6" xfId="11503"/>
    <cellStyle name="Fixed 2 7" xfId="11504"/>
    <cellStyle name="Fixed 2 8" xfId="11505"/>
    <cellStyle name="Fixed 2 9" xfId="11506"/>
    <cellStyle name="Fixed 2_KC720 - JCR - Mar '11" xfId="11507"/>
    <cellStyle name="Fixed 3" xfId="11508"/>
    <cellStyle name="Fixed 3 2" xfId="11509"/>
    <cellStyle name="Fixed 4" xfId="11510"/>
    <cellStyle name="Fixed 5" xfId="11511"/>
    <cellStyle name="Fixed 6" xfId="11512"/>
    <cellStyle name="Fixed 7" xfId="11513"/>
    <cellStyle name="Fixed 8" xfId="11514"/>
    <cellStyle name="Fixed 9" xfId="11515"/>
    <cellStyle name="Fixed_Boq dpl PH3 REv2" xfId="11518"/>
    <cellStyle name="Fixed3 - Style3" xfId="11517"/>
    <cellStyle name="fn" xfId="11519"/>
    <cellStyle name="ƒnƒCƒp[ƒŠƒ“ƒN" xfId="30859"/>
    <cellStyle name="Followed Hyperlink 2" xfId="11520"/>
    <cellStyle name="Footer SBILogo1" xfId="11521"/>
    <cellStyle name="Footer SBILogo2" xfId="11522"/>
    <cellStyle name="footnoe" xfId="11523"/>
    <cellStyle name="Footnote 1" xfId="11524"/>
    <cellStyle name="Footnote 11" xfId="11525"/>
    <cellStyle name="Footnote 13" xfId="11526"/>
    <cellStyle name="Footnote 2" xfId="11527"/>
    <cellStyle name="Footnote 3" xfId="11528"/>
    <cellStyle name="Footnote Reference" xfId="11529"/>
    <cellStyle name="Footnote_Budget Oberoi Commerz 2  3 R3_08052008 (3)" xfId="11530"/>
    <cellStyle name="Foottitle" xfId="11531"/>
    <cellStyle name="Foottitle 2" xfId="11532"/>
    <cellStyle name="FORM" xfId="11533"/>
    <cellStyle name="FORM 2" xfId="11534"/>
    <cellStyle name="FORM_Extra items Diff" xfId="11984"/>
    <cellStyle name="Form-name" xfId="11535"/>
    <cellStyle name="Form-nr" xfId="11536"/>
    <cellStyle name="Form-nr 10" xfId="11537"/>
    <cellStyle name="Form-nr 11" xfId="11538"/>
    <cellStyle name="Form-nr 12" xfId="11539"/>
    <cellStyle name="Form-nr 13" xfId="11540"/>
    <cellStyle name="Form-nr 2" xfId="11541"/>
    <cellStyle name="Form-nr 2 10" xfId="11542"/>
    <cellStyle name="Form-nr 2 11" xfId="11543"/>
    <cellStyle name="Form-nr 2 12" xfId="11544"/>
    <cellStyle name="Form-nr 2 2" xfId="11545"/>
    <cellStyle name="Form-nr 2 2 10" xfId="11546"/>
    <cellStyle name="Form-nr 2 2 11" xfId="11547"/>
    <cellStyle name="Form-nr 2 2 2" xfId="11548"/>
    <cellStyle name="Form-nr 2 2 2 10" xfId="11549"/>
    <cellStyle name="Form-nr 2 2 2 2" xfId="11550"/>
    <cellStyle name="Form-nr 2 2 2 2 2" xfId="11551"/>
    <cellStyle name="Form-nr 2 2 2 2 2 2" xfId="11552"/>
    <cellStyle name="Form-nr 2 2 2 2 2 2 2" xfId="11553"/>
    <cellStyle name="Form-nr 2 2 2 2 2 2 3" xfId="11554"/>
    <cellStyle name="Form-nr 2 2 2 2 2 2 4" xfId="11555"/>
    <cellStyle name="Form-nr 2 2 2 2 2 2 5" xfId="11556"/>
    <cellStyle name="Form-nr 2 2 2 2 2 2 6" xfId="11557"/>
    <cellStyle name="Form-nr 2 2 2 2 2 2 7" xfId="11558"/>
    <cellStyle name="Form-nr 2 2 2 2 2 3" xfId="11559"/>
    <cellStyle name="Form-nr 2 2 2 2 2 4" xfId="11560"/>
    <cellStyle name="Form-nr 2 2 2 2 2 5" xfId="11561"/>
    <cellStyle name="Form-nr 2 2 2 2 2 6" xfId="11562"/>
    <cellStyle name="Form-nr 2 2 2 2 2 7" xfId="11563"/>
    <cellStyle name="Form-nr 2 2 2 2 2 8" xfId="11564"/>
    <cellStyle name="Form-nr 2 2 2 2 3" xfId="11565"/>
    <cellStyle name="Form-nr 2 2 2 2 3 2" xfId="11566"/>
    <cellStyle name="Form-nr 2 2 2 2 3 3" xfId="11567"/>
    <cellStyle name="Form-nr 2 2 2 2 3 4" xfId="11568"/>
    <cellStyle name="Form-nr 2 2 2 2 3 5" xfId="11569"/>
    <cellStyle name="Form-nr 2 2 2 2 3 6" xfId="11570"/>
    <cellStyle name="Form-nr 2 2 2 2 3 7" xfId="11571"/>
    <cellStyle name="Form-nr 2 2 2 2 4" xfId="11572"/>
    <cellStyle name="Form-nr 2 2 2 2 5" xfId="11573"/>
    <cellStyle name="Form-nr 2 2 2 2 6" xfId="11574"/>
    <cellStyle name="Form-nr 2 2 2 2 7" xfId="11575"/>
    <cellStyle name="Form-nr 2 2 2 2 8" xfId="11576"/>
    <cellStyle name="Form-nr 2 2 2 2 9" xfId="11577"/>
    <cellStyle name="Form-nr 2 2 2 3" xfId="11578"/>
    <cellStyle name="Form-nr 2 2 2 3 2" xfId="11579"/>
    <cellStyle name="Form-nr 2 2 2 3 2 2" xfId="11580"/>
    <cellStyle name="Form-nr 2 2 2 3 2 3" xfId="11581"/>
    <cellStyle name="Form-nr 2 2 2 3 2 4" xfId="11582"/>
    <cellStyle name="Form-nr 2 2 2 3 2 5" xfId="11583"/>
    <cellStyle name="Form-nr 2 2 2 3 2 6" xfId="11584"/>
    <cellStyle name="Form-nr 2 2 2 3 2 7" xfId="11585"/>
    <cellStyle name="Form-nr 2 2 2 3 3" xfId="11586"/>
    <cellStyle name="Form-nr 2 2 2 3 4" xfId="11587"/>
    <cellStyle name="Form-nr 2 2 2 3 5" xfId="11588"/>
    <cellStyle name="Form-nr 2 2 2 3 6" xfId="11589"/>
    <cellStyle name="Form-nr 2 2 2 3 7" xfId="11590"/>
    <cellStyle name="Form-nr 2 2 2 3 8" xfId="11591"/>
    <cellStyle name="Form-nr 2 2 2 4" xfId="11592"/>
    <cellStyle name="Form-nr 2 2 2 4 2" xfId="11593"/>
    <cellStyle name="Form-nr 2 2 2 4 3" xfId="11594"/>
    <cellStyle name="Form-nr 2 2 2 4 4" xfId="11595"/>
    <cellStyle name="Form-nr 2 2 2 4 5" xfId="11596"/>
    <cellStyle name="Form-nr 2 2 2 4 6" xfId="11597"/>
    <cellStyle name="Form-nr 2 2 2 4 7" xfId="11598"/>
    <cellStyle name="Form-nr 2 2 2 5" xfId="11599"/>
    <cellStyle name="Form-nr 2 2 2 6" xfId="11600"/>
    <cellStyle name="Form-nr 2 2 2 7" xfId="11601"/>
    <cellStyle name="Form-nr 2 2 2 8" xfId="11602"/>
    <cellStyle name="Form-nr 2 2 2 9" xfId="11603"/>
    <cellStyle name="Form-nr 2 2 3" xfId="11604"/>
    <cellStyle name="Form-nr 2 2 3 2" xfId="11605"/>
    <cellStyle name="Form-nr 2 2 3 2 2" xfId="11606"/>
    <cellStyle name="Form-nr 2 2 3 2 2 2" xfId="11607"/>
    <cellStyle name="Form-nr 2 2 3 2 2 3" xfId="11608"/>
    <cellStyle name="Form-nr 2 2 3 2 2 4" xfId="11609"/>
    <cellStyle name="Form-nr 2 2 3 2 2 5" xfId="11610"/>
    <cellStyle name="Form-nr 2 2 3 2 2 6" xfId="11611"/>
    <cellStyle name="Form-nr 2 2 3 2 2 7" xfId="11612"/>
    <cellStyle name="Form-nr 2 2 3 2 3" xfId="11613"/>
    <cellStyle name="Form-nr 2 2 3 2 4" xfId="11614"/>
    <cellStyle name="Form-nr 2 2 3 2 5" xfId="11615"/>
    <cellStyle name="Form-nr 2 2 3 2 6" xfId="11616"/>
    <cellStyle name="Form-nr 2 2 3 2 7" xfId="11617"/>
    <cellStyle name="Form-nr 2 2 3 2 8" xfId="11618"/>
    <cellStyle name="Form-nr 2 2 3 3" xfId="11619"/>
    <cellStyle name="Form-nr 2 2 3 3 2" xfId="11620"/>
    <cellStyle name="Form-nr 2 2 3 3 3" xfId="11621"/>
    <cellStyle name="Form-nr 2 2 3 3 4" xfId="11622"/>
    <cellStyle name="Form-nr 2 2 3 3 5" xfId="11623"/>
    <cellStyle name="Form-nr 2 2 3 3 6" xfId="11624"/>
    <cellStyle name="Form-nr 2 2 3 3 7" xfId="11625"/>
    <cellStyle name="Form-nr 2 2 3 4" xfId="11626"/>
    <cellStyle name="Form-nr 2 2 3 5" xfId="11627"/>
    <cellStyle name="Form-nr 2 2 3 6" xfId="11628"/>
    <cellStyle name="Form-nr 2 2 3 7" xfId="11629"/>
    <cellStyle name="Form-nr 2 2 3 8" xfId="11630"/>
    <cellStyle name="Form-nr 2 2 3 9" xfId="11631"/>
    <cellStyle name="Form-nr 2 2 4" xfId="11632"/>
    <cellStyle name="Form-nr 2 2 4 2" xfId="11633"/>
    <cellStyle name="Form-nr 2 2 4 2 2" xfId="11634"/>
    <cellStyle name="Form-nr 2 2 4 2 3" xfId="11635"/>
    <cellStyle name="Form-nr 2 2 4 2 4" xfId="11636"/>
    <cellStyle name="Form-nr 2 2 4 2 5" xfId="11637"/>
    <cellStyle name="Form-nr 2 2 4 2 6" xfId="11638"/>
    <cellStyle name="Form-nr 2 2 4 2 7" xfId="11639"/>
    <cellStyle name="Form-nr 2 2 4 3" xfId="11640"/>
    <cellStyle name="Form-nr 2 2 4 4" xfId="11641"/>
    <cellStyle name="Form-nr 2 2 4 5" xfId="11642"/>
    <cellStyle name="Form-nr 2 2 4 6" xfId="11643"/>
    <cellStyle name="Form-nr 2 2 4 7" xfId="11644"/>
    <cellStyle name="Form-nr 2 2 4 8" xfId="11645"/>
    <cellStyle name="Form-nr 2 2 5" xfId="11646"/>
    <cellStyle name="Form-nr 2 2 5 2" xfId="11647"/>
    <cellStyle name="Form-nr 2 2 5 3" xfId="11648"/>
    <cellStyle name="Form-nr 2 2 5 4" xfId="11649"/>
    <cellStyle name="Form-nr 2 2 5 5" xfId="11650"/>
    <cellStyle name="Form-nr 2 2 5 6" xfId="11651"/>
    <cellStyle name="Form-nr 2 2 5 7" xfId="11652"/>
    <cellStyle name="Form-nr 2 2 6" xfId="11653"/>
    <cellStyle name="Form-nr 2 2 7" xfId="11654"/>
    <cellStyle name="Form-nr 2 2 8" xfId="11655"/>
    <cellStyle name="Form-nr 2 2 9" xfId="11656"/>
    <cellStyle name="Form-nr 2 3" xfId="11657"/>
    <cellStyle name="Form-nr 2 3 10" xfId="11658"/>
    <cellStyle name="Form-nr 2 3 2" xfId="11659"/>
    <cellStyle name="Form-nr 2 3 2 2" xfId="11660"/>
    <cellStyle name="Form-nr 2 3 2 2 2" xfId="11661"/>
    <cellStyle name="Form-nr 2 3 2 2 2 2" xfId="11662"/>
    <cellStyle name="Form-nr 2 3 2 2 2 3" xfId="11663"/>
    <cellStyle name="Form-nr 2 3 2 2 2 4" xfId="11664"/>
    <cellStyle name="Form-nr 2 3 2 2 2 5" xfId="11665"/>
    <cellStyle name="Form-nr 2 3 2 2 2 6" xfId="11666"/>
    <cellStyle name="Form-nr 2 3 2 2 2 7" xfId="11667"/>
    <cellStyle name="Form-nr 2 3 2 2 3" xfId="11668"/>
    <cellStyle name="Form-nr 2 3 2 2 4" xfId="11669"/>
    <cellStyle name="Form-nr 2 3 2 2 5" xfId="11670"/>
    <cellStyle name="Form-nr 2 3 2 2 6" xfId="11671"/>
    <cellStyle name="Form-nr 2 3 2 2 7" xfId="11672"/>
    <cellStyle name="Form-nr 2 3 2 2 8" xfId="11673"/>
    <cellStyle name="Form-nr 2 3 2 3" xfId="11674"/>
    <cellStyle name="Form-nr 2 3 2 3 2" xfId="11675"/>
    <cellStyle name="Form-nr 2 3 2 3 3" xfId="11676"/>
    <cellStyle name="Form-nr 2 3 2 3 4" xfId="11677"/>
    <cellStyle name="Form-nr 2 3 2 3 5" xfId="11678"/>
    <cellStyle name="Form-nr 2 3 2 3 6" xfId="11679"/>
    <cellStyle name="Form-nr 2 3 2 3 7" xfId="11680"/>
    <cellStyle name="Form-nr 2 3 2 4" xfId="11681"/>
    <cellStyle name="Form-nr 2 3 2 5" xfId="11682"/>
    <cellStyle name="Form-nr 2 3 2 6" xfId="11683"/>
    <cellStyle name="Form-nr 2 3 2 7" xfId="11684"/>
    <cellStyle name="Form-nr 2 3 2 8" xfId="11685"/>
    <cellStyle name="Form-nr 2 3 2 9" xfId="11686"/>
    <cellStyle name="Form-nr 2 3 3" xfId="11687"/>
    <cellStyle name="Form-nr 2 3 3 2" xfId="11688"/>
    <cellStyle name="Form-nr 2 3 3 2 2" xfId="11689"/>
    <cellStyle name="Form-nr 2 3 3 2 3" xfId="11690"/>
    <cellStyle name="Form-nr 2 3 3 2 4" xfId="11691"/>
    <cellStyle name="Form-nr 2 3 3 2 5" xfId="11692"/>
    <cellStyle name="Form-nr 2 3 3 2 6" xfId="11693"/>
    <cellStyle name="Form-nr 2 3 3 2 7" xfId="11694"/>
    <cellStyle name="Form-nr 2 3 3 3" xfId="11695"/>
    <cellStyle name="Form-nr 2 3 3 4" xfId="11696"/>
    <cellStyle name="Form-nr 2 3 3 5" xfId="11697"/>
    <cellStyle name="Form-nr 2 3 3 6" xfId="11698"/>
    <cellStyle name="Form-nr 2 3 3 7" xfId="11699"/>
    <cellStyle name="Form-nr 2 3 3 8" xfId="11700"/>
    <cellStyle name="Form-nr 2 3 4" xfId="11701"/>
    <cellStyle name="Form-nr 2 3 4 2" xfId="11702"/>
    <cellStyle name="Form-nr 2 3 4 3" xfId="11703"/>
    <cellStyle name="Form-nr 2 3 4 4" xfId="11704"/>
    <cellStyle name="Form-nr 2 3 4 5" xfId="11705"/>
    <cellStyle name="Form-nr 2 3 4 6" xfId="11706"/>
    <cellStyle name="Form-nr 2 3 4 7" xfId="11707"/>
    <cellStyle name="Form-nr 2 3 5" xfId="11708"/>
    <cellStyle name="Form-nr 2 3 6" xfId="11709"/>
    <cellStyle name="Form-nr 2 3 7" xfId="11710"/>
    <cellStyle name="Form-nr 2 3 8" xfId="11711"/>
    <cellStyle name="Form-nr 2 3 9" xfId="11712"/>
    <cellStyle name="Form-nr 2 4" xfId="11713"/>
    <cellStyle name="Form-nr 2 4 2" xfId="11714"/>
    <cellStyle name="Form-nr 2 4 2 2" xfId="11715"/>
    <cellStyle name="Form-nr 2 4 2 2 2" xfId="11716"/>
    <cellStyle name="Form-nr 2 4 2 2 3" xfId="11717"/>
    <cellStyle name="Form-nr 2 4 2 2 4" xfId="11718"/>
    <cellStyle name="Form-nr 2 4 2 2 5" xfId="11719"/>
    <cellStyle name="Form-nr 2 4 2 2 6" xfId="11720"/>
    <cellStyle name="Form-nr 2 4 2 2 7" xfId="11721"/>
    <cellStyle name="Form-nr 2 4 2 3" xfId="11722"/>
    <cellStyle name="Form-nr 2 4 2 4" xfId="11723"/>
    <cellStyle name="Form-nr 2 4 2 5" xfId="11724"/>
    <cellStyle name="Form-nr 2 4 2 6" xfId="11725"/>
    <cellStyle name="Form-nr 2 4 2 7" xfId="11726"/>
    <cellStyle name="Form-nr 2 4 2 8" xfId="11727"/>
    <cellStyle name="Form-nr 2 4 3" xfId="11728"/>
    <cellStyle name="Form-nr 2 4 3 2" xfId="11729"/>
    <cellStyle name="Form-nr 2 4 3 3" xfId="11730"/>
    <cellStyle name="Form-nr 2 4 3 4" xfId="11731"/>
    <cellStyle name="Form-nr 2 4 3 5" xfId="11732"/>
    <cellStyle name="Form-nr 2 4 3 6" xfId="11733"/>
    <cellStyle name="Form-nr 2 4 3 7" xfId="11734"/>
    <cellStyle name="Form-nr 2 4 4" xfId="11735"/>
    <cellStyle name="Form-nr 2 4 5" xfId="11736"/>
    <cellStyle name="Form-nr 2 4 6" xfId="11737"/>
    <cellStyle name="Form-nr 2 4 7" xfId="11738"/>
    <cellStyle name="Form-nr 2 4 8" xfId="11739"/>
    <cellStyle name="Form-nr 2 4 9" xfId="11740"/>
    <cellStyle name="Form-nr 2 5" xfId="11741"/>
    <cellStyle name="Form-nr 2 5 2" xfId="11742"/>
    <cellStyle name="Form-nr 2 5 2 2" xfId="11743"/>
    <cellStyle name="Form-nr 2 5 2 3" xfId="11744"/>
    <cellStyle name="Form-nr 2 5 2 4" xfId="11745"/>
    <cellStyle name="Form-nr 2 5 2 5" xfId="11746"/>
    <cellStyle name="Form-nr 2 5 2 6" xfId="11747"/>
    <cellStyle name="Form-nr 2 5 2 7" xfId="11748"/>
    <cellStyle name="Form-nr 2 5 3" xfId="11749"/>
    <cellStyle name="Form-nr 2 5 4" xfId="11750"/>
    <cellStyle name="Form-nr 2 5 5" xfId="11751"/>
    <cellStyle name="Form-nr 2 5 6" xfId="11752"/>
    <cellStyle name="Form-nr 2 5 7" xfId="11753"/>
    <cellStyle name="Form-nr 2 5 8" xfId="11754"/>
    <cellStyle name="Form-nr 2 6" xfId="11755"/>
    <cellStyle name="Form-nr 2 6 2" xfId="11756"/>
    <cellStyle name="Form-nr 2 6 3" xfId="11757"/>
    <cellStyle name="Form-nr 2 6 4" xfId="11758"/>
    <cellStyle name="Form-nr 2 6 5" xfId="11759"/>
    <cellStyle name="Form-nr 2 6 6" xfId="11760"/>
    <cellStyle name="Form-nr 2 6 7" xfId="11761"/>
    <cellStyle name="Form-nr 2 7" xfId="11762"/>
    <cellStyle name="Form-nr 2 8" xfId="11763"/>
    <cellStyle name="Form-nr 2 9" xfId="11764"/>
    <cellStyle name="Form-nr 3" xfId="11765"/>
    <cellStyle name="Form-nr 3 10" xfId="11766"/>
    <cellStyle name="Form-nr 3 11" xfId="11767"/>
    <cellStyle name="Form-nr 3 2" xfId="11768"/>
    <cellStyle name="Form-nr 3 2 10" xfId="11769"/>
    <cellStyle name="Form-nr 3 2 2" xfId="11770"/>
    <cellStyle name="Form-nr 3 2 2 2" xfId="11771"/>
    <cellStyle name="Form-nr 3 2 2 2 2" xfId="11772"/>
    <cellStyle name="Form-nr 3 2 2 2 2 2" xfId="11773"/>
    <cellStyle name="Form-nr 3 2 2 2 2 3" xfId="11774"/>
    <cellStyle name="Form-nr 3 2 2 2 2 4" xfId="11775"/>
    <cellStyle name="Form-nr 3 2 2 2 2 5" xfId="11776"/>
    <cellStyle name="Form-nr 3 2 2 2 2 6" xfId="11777"/>
    <cellStyle name="Form-nr 3 2 2 2 2 7" xfId="11778"/>
    <cellStyle name="Form-nr 3 2 2 2 3" xfId="11779"/>
    <cellStyle name="Form-nr 3 2 2 2 4" xfId="11780"/>
    <cellStyle name="Form-nr 3 2 2 2 5" xfId="11781"/>
    <cellStyle name="Form-nr 3 2 2 2 6" xfId="11782"/>
    <cellStyle name="Form-nr 3 2 2 2 7" xfId="11783"/>
    <cellStyle name="Form-nr 3 2 2 2 8" xfId="11784"/>
    <cellStyle name="Form-nr 3 2 2 3" xfId="11785"/>
    <cellStyle name="Form-nr 3 2 2 3 2" xfId="11786"/>
    <cellStyle name="Form-nr 3 2 2 3 3" xfId="11787"/>
    <cellStyle name="Form-nr 3 2 2 3 4" xfId="11788"/>
    <cellStyle name="Form-nr 3 2 2 3 5" xfId="11789"/>
    <cellStyle name="Form-nr 3 2 2 3 6" xfId="11790"/>
    <cellStyle name="Form-nr 3 2 2 3 7" xfId="11791"/>
    <cellStyle name="Form-nr 3 2 2 4" xfId="11792"/>
    <cellStyle name="Form-nr 3 2 2 5" xfId="11793"/>
    <cellStyle name="Form-nr 3 2 2 6" xfId="11794"/>
    <cellStyle name="Form-nr 3 2 2 7" xfId="11795"/>
    <cellStyle name="Form-nr 3 2 2 8" xfId="11796"/>
    <cellStyle name="Form-nr 3 2 2 9" xfId="11797"/>
    <cellStyle name="Form-nr 3 2 3" xfId="11798"/>
    <cellStyle name="Form-nr 3 2 3 2" xfId="11799"/>
    <cellStyle name="Form-nr 3 2 3 2 2" xfId="11800"/>
    <cellStyle name="Form-nr 3 2 3 2 3" xfId="11801"/>
    <cellStyle name="Form-nr 3 2 3 2 4" xfId="11802"/>
    <cellStyle name="Form-nr 3 2 3 2 5" xfId="11803"/>
    <cellStyle name="Form-nr 3 2 3 2 6" xfId="11804"/>
    <cellStyle name="Form-nr 3 2 3 2 7" xfId="11805"/>
    <cellStyle name="Form-nr 3 2 3 3" xfId="11806"/>
    <cellStyle name="Form-nr 3 2 3 4" xfId="11807"/>
    <cellStyle name="Form-nr 3 2 3 5" xfId="11808"/>
    <cellStyle name="Form-nr 3 2 3 6" xfId="11809"/>
    <cellStyle name="Form-nr 3 2 3 7" xfId="11810"/>
    <cellStyle name="Form-nr 3 2 3 8" xfId="11811"/>
    <cellStyle name="Form-nr 3 2 4" xfId="11812"/>
    <cellStyle name="Form-nr 3 2 4 2" xfId="11813"/>
    <cellStyle name="Form-nr 3 2 4 3" xfId="11814"/>
    <cellStyle name="Form-nr 3 2 4 4" xfId="11815"/>
    <cellStyle name="Form-nr 3 2 4 5" xfId="11816"/>
    <cellStyle name="Form-nr 3 2 4 6" xfId="11817"/>
    <cellStyle name="Form-nr 3 2 4 7" xfId="11818"/>
    <cellStyle name="Form-nr 3 2 5" xfId="11819"/>
    <cellStyle name="Form-nr 3 2 6" xfId="11820"/>
    <cellStyle name="Form-nr 3 2 7" xfId="11821"/>
    <cellStyle name="Form-nr 3 2 8" xfId="11822"/>
    <cellStyle name="Form-nr 3 2 9" xfId="11823"/>
    <cellStyle name="Form-nr 3 3" xfId="11824"/>
    <cellStyle name="Form-nr 3 3 2" xfId="11825"/>
    <cellStyle name="Form-nr 3 3 2 2" xfId="11826"/>
    <cellStyle name="Form-nr 3 3 2 2 2" xfId="11827"/>
    <cellStyle name="Form-nr 3 3 2 2 3" xfId="11828"/>
    <cellStyle name="Form-nr 3 3 2 2 4" xfId="11829"/>
    <cellStyle name="Form-nr 3 3 2 2 5" xfId="11830"/>
    <cellStyle name="Form-nr 3 3 2 2 6" xfId="11831"/>
    <cellStyle name="Form-nr 3 3 2 2 7" xfId="11832"/>
    <cellStyle name="Form-nr 3 3 2 3" xfId="11833"/>
    <cellStyle name="Form-nr 3 3 2 4" xfId="11834"/>
    <cellStyle name="Form-nr 3 3 2 5" xfId="11835"/>
    <cellStyle name="Form-nr 3 3 2 6" xfId="11836"/>
    <cellStyle name="Form-nr 3 3 2 7" xfId="11837"/>
    <cellStyle name="Form-nr 3 3 2 8" xfId="11838"/>
    <cellStyle name="Form-nr 3 3 3" xfId="11839"/>
    <cellStyle name="Form-nr 3 3 3 2" xfId="11840"/>
    <cellStyle name="Form-nr 3 3 3 3" xfId="11841"/>
    <cellStyle name="Form-nr 3 3 3 4" xfId="11842"/>
    <cellStyle name="Form-nr 3 3 3 5" xfId="11843"/>
    <cellStyle name="Form-nr 3 3 3 6" xfId="11844"/>
    <cellStyle name="Form-nr 3 3 3 7" xfId="11845"/>
    <cellStyle name="Form-nr 3 3 4" xfId="11846"/>
    <cellStyle name="Form-nr 3 3 5" xfId="11847"/>
    <cellStyle name="Form-nr 3 3 6" xfId="11848"/>
    <cellStyle name="Form-nr 3 3 7" xfId="11849"/>
    <cellStyle name="Form-nr 3 3 8" xfId="11850"/>
    <cellStyle name="Form-nr 3 3 9" xfId="11851"/>
    <cellStyle name="Form-nr 3 4" xfId="11852"/>
    <cellStyle name="Form-nr 3 4 2" xfId="11853"/>
    <cellStyle name="Form-nr 3 4 2 2" xfId="11854"/>
    <cellStyle name="Form-nr 3 4 2 3" xfId="11855"/>
    <cellStyle name="Form-nr 3 4 2 4" xfId="11856"/>
    <cellStyle name="Form-nr 3 4 2 5" xfId="11857"/>
    <cellStyle name="Form-nr 3 4 2 6" xfId="11858"/>
    <cellStyle name="Form-nr 3 4 2 7" xfId="11859"/>
    <cellStyle name="Form-nr 3 4 3" xfId="11860"/>
    <cellStyle name="Form-nr 3 4 4" xfId="11861"/>
    <cellStyle name="Form-nr 3 4 5" xfId="11862"/>
    <cellStyle name="Form-nr 3 4 6" xfId="11863"/>
    <cellStyle name="Form-nr 3 4 7" xfId="11864"/>
    <cellStyle name="Form-nr 3 4 8" xfId="11865"/>
    <cellStyle name="Form-nr 3 5" xfId="11866"/>
    <cellStyle name="Form-nr 3 5 2" xfId="11867"/>
    <cellStyle name="Form-nr 3 5 3" xfId="11868"/>
    <cellStyle name="Form-nr 3 5 4" xfId="11869"/>
    <cellStyle name="Form-nr 3 5 5" xfId="11870"/>
    <cellStyle name="Form-nr 3 5 6" xfId="11871"/>
    <cellStyle name="Form-nr 3 5 7" xfId="11872"/>
    <cellStyle name="Form-nr 3 6" xfId="11873"/>
    <cellStyle name="Form-nr 3 7" xfId="11874"/>
    <cellStyle name="Form-nr 3 8" xfId="11875"/>
    <cellStyle name="Form-nr 3 9" xfId="11876"/>
    <cellStyle name="Form-nr 4" xfId="11877"/>
    <cellStyle name="Form-nr 4 10" xfId="11878"/>
    <cellStyle name="Form-nr 4 2" xfId="11879"/>
    <cellStyle name="Form-nr 4 2 2" xfId="11880"/>
    <cellStyle name="Form-nr 4 2 2 2" xfId="11881"/>
    <cellStyle name="Form-nr 4 2 2 2 2" xfId="11882"/>
    <cellStyle name="Form-nr 4 2 2 2 3" xfId="11883"/>
    <cellStyle name="Form-nr 4 2 2 2 4" xfId="11884"/>
    <cellStyle name="Form-nr 4 2 2 2 5" xfId="11885"/>
    <cellStyle name="Form-nr 4 2 2 2 6" xfId="11886"/>
    <cellStyle name="Form-nr 4 2 2 2 7" xfId="11887"/>
    <cellStyle name="Form-nr 4 2 2 3" xfId="11888"/>
    <cellStyle name="Form-nr 4 2 2 4" xfId="11889"/>
    <cellStyle name="Form-nr 4 2 2 5" xfId="11890"/>
    <cellStyle name="Form-nr 4 2 2 6" xfId="11891"/>
    <cellStyle name="Form-nr 4 2 2 7" xfId="11892"/>
    <cellStyle name="Form-nr 4 2 2 8" xfId="11893"/>
    <cellStyle name="Form-nr 4 2 3" xfId="11894"/>
    <cellStyle name="Form-nr 4 2 3 2" xfId="11895"/>
    <cellStyle name="Form-nr 4 2 3 3" xfId="11896"/>
    <cellStyle name="Form-nr 4 2 3 4" xfId="11897"/>
    <cellStyle name="Form-nr 4 2 3 5" xfId="11898"/>
    <cellStyle name="Form-nr 4 2 3 6" xfId="11899"/>
    <cellStyle name="Form-nr 4 2 3 7" xfId="11900"/>
    <cellStyle name="Form-nr 4 2 4" xfId="11901"/>
    <cellStyle name="Form-nr 4 2 5" xfId="11902"/>
    <cellStyle name="Form-nr 4 2 6" xfId="11903"/>
    <cellStyle name="Form-nr 4 2 7" xfId="11904"/>
    <cellStyle name="Form-nr 4 2 8" xfId="11905"/>
    <cellStyle name="Form-nr 4 2 9" xfId="11906"/>
    <cellStyle name="Form-nr 4 3" xfId="11907"/>
    <cellStyle name="Form-nr 4 3 2" xfId="11908"/>
    <cellStyle name="Form-nr 4 3 2 2" xfId="11909"/>
    <cellStyle name="Form-nr 4 3 2 3" xfId="11910"/>
    <cellStyle name="Form-nr 4 3 2 4" xfId="11911"/>
    <cellStyle name="Form-nr 4 3 2 5" xfId="11912"/>
    <cellStyle name="Form-nr 4 3 2 6" xfId="11913"/>
    <cellStyle name="Form-nr 4 3 2 7" xfId="11914"/>
    <cellStyle name="Form-nr 4 3 3" xfId="11915"/>
    <cellStyle name="Form-nr 4 3 4" xfId="11916"/>
    <cellStyle name="Form-nr 4 3 5" xfId="11917"/>
    <cellStyle name="Form-nr 4 3 6" xfId="11918"/>
    <cellStyle name="Form-nr 4 3 7" xfId="11919"/>
    <cellStyle name="Form-nr 4 3 8" xfId="11920"/>
    <cellStyle name="Form-nr 4 4" xfId="11921"/>
    <cellStyle name="Form-nr 4 4 2" xfId="11922"/>
    <cellStyle name="Form-nr 4 4 3" xfId="11923"/>
    <cellStyle name="Form-nr 4 4 4" xfId="11924"/>
    <cellStyle name="Form-nr 4 4 5" xfId="11925"/>
    <cellStyle name="Form-nr 4 4 6" xfId="11926"/>
    <cellStyle name="Form-nr 4 4 7" xfId="11927"/>
    <cellStyle name="Form-nr 4 5" xfId="11928"/>
    <cellStyle name="Form-nr 4 6" xfId="11929"/>
    <cellStyle name="Form-nr 4 7" xfId="11930"/>
    <cellStyle name="Form-nr 4 8" xfId="11931"/>
    <cellStyle name="Form-nr 4 9" xfId="11932"/>
    <cellStyle name="Form-nr 5" xfId="11933"/>
    <cellStyle name="Form-nr 5 2" xfId="11934"/>
    <cellStyle name="Form-nr 5 2 2" xfId="11935"/>
    <cellStyle name="Form-nr 5 2 2 2" xfId="11936"/>
    <cellStyle name="Form-nr 5 2 2 3" xfId="11937"/>
    <cellStyle name="Form-nr 5 2 2 4" xfId="11938"/>
    <cellStyle name="Form-nr 5 2 2 5" xfId="11939"/>
    <cellStyle name="Form-nr 5 2 2 6" xfId="11940"/>
    <cellStyle name="Form-nr 5 2 2 7" xfId="11941"/>
    <cellStyle name="Form-nr 5 2 3" xfId="11942"/>
    <cellStyle name="Form-nr 5 2 4" xfId="11943"/>
    <cellStyle name="Form-nr 5 2 5" xfId="11944"/>
    <cellStyle name="Form-nr 5 2 6" xfId="11945"/>
    <cellStyle name="Form-nr 5 2 7" xfId="11946"/>
    <cellStyle name="Form-nr 5 2 8" xfId="11947"/>
    <cellStyle name="Form-nr 5 3" xfId="11948"/>
    <cellStyle name="Form-nr 5 3 2" xfId="11949"/>
    <cellStyle name="Form-nr 5 3 3" xfId="11950"/>
    <cellStyle name="Form-nr 5 3 4" xfId="11951"/>
    <cellStyle name="Form-nr 5 3 5" xfId="11952"/>
    <cellStyle name="Form-nr 5 3 6" xfId="11953"/>
    <cellStyle name="Form-nr 5 3 7" xfId="11954"/>
    <cellStyle name="Form-nr 5 4" xfId="11955"/>
    <cellStyle name="Form-nr 5 5" xfId="11956"/>
    <cellStyle name="Form-nr 5 6" xfId="11957"/>
    <cellStyle name="Form-nr 5 7" xfId="11958"/>
    <cellStyle name="Form-nr 5 8" xfId="11959"/>
    <cellStyle name="Form-nr 5 9" xfId="11960"/>
    <cellStyle name="Form-nr 6" xfId="11961"/>
    <cellStyle name="Form-nr 6 2" xfId="11962"/>
    <cellStyle name="Form-nr 6 2 2" xfId="11963"/>
    <cellStyle name="Form-nr 6 2 3" xfId="11964"/>
    <cellStyle name="Form-nr 6 2 4" xfId="11965"/>
    <cellStyle name="Form-nr 6 2 5" xfId="11966"/>
    <cellStyle name="Form-nr 6 2 6" xfId="11967"/>
    <cellStyle name="Form-nr 6 2 7" xfId="11968"/>
    <cellStyle name="Form-nr 6 3" xfId="11969"/>
    <cellStyle name="Form-nr 6 4" xfId="11970"/>
    <cellStyle name="Form-nr 6 5" xfId="11971"/>
    <cellStyle name="Form-nr 6 6" xfId="11972"/>
    <cellStyle name="Form-nr 6 7" xfId="11973"/>
    <cellStyle name="Form-nr 6 8" xfId="11974"/>
    <cellStyle name="Form-nr 7" xfId="11975"/>
    <cellStyle name="Form-nr 7 2" xfId="11976"/>
    <cellStyle name="Form-nr 7 3" xfId="11977"/>
    <cellStyle name="Form-nr 7 4" xfId="11978"/>
    <cellStyle name="Form-nr 7 5" xfId="11979"/>
    <cellStyle name="Form-nr 7 6" xfId="11980"/>
    <cellStyle name="Form-nr 7 7" xfId="11981"/>
    <cellStyle name="Form-nr 8" xfId="11982"/>
    <cellStyle name="Form-nr 9" xfId="11983"/>
    <cellStyle name="Formula" xfId="11985"/>
    <cellStyle name="Formula 2" xfId="11986"/>
    <cellStyle name="Formula 2 2" xfId="11987"/>
    <cellStyle name="Formula 2 3" xfId="11988"/>
    <cellStyle name="Formula 2 4" xfId="11989"/>
    <cellStyle name="Formula 2 5" xfId="11990"/>
    <cellStyle name="Formula 2 6" xfId="11991"/>
    <cellStyle name="Formula 2 7" xfId="11992"/>
    <cellStyle name="Formula 3" xfId="11993"/>
    <cellStyle name="Formula 4" xfId="11994"/>
    <cellStyle name="Formula 5" xfId="11995"/>
    <cellStyle name="Formula 6" xfId="11996"/>
    <cellStyle name="Formula 7" xfId="11997"/>
    <cellStyle name="Formula 8" xfId="11998"/>
    <cellStyle name="Formula_Extra items Diff" xfId="11999"/>
    <cellStyle name="Fraction" xfId="12000"/>
    <cellStyle name="Fraction [8]" xfId="12001"/>
    <cellStyle name="Fraction [Bl]" xfId="12002"/>
    <cellStyle name="fy" xfId="12003"/>
    <cellStyle name="general" xfId="12004"/>
    <cellStyle name="general 2" xfId="12005"/>
    <cellStyle name="Good 1" xfId="12006"/>
    <cellStyle name="Good 10" xfId="12007"/>
    <cellStyle name="Good 10 2" xfId="12008"/>
    <cellStyle name="Good 10 3" xfId="12009"/>
    <cellStyle name="Good 10 4" xfId="12010"/>
    <cellStyle name="Good 10 5" xfId="12011"/>
    <cellStyle name="Good 10 6" xfId="12012"/>
    <cellStyle name="Good 10 7" xfId="12013"/>
    <cellStyle name="Good 10 8" xfId="12014"/>
    <cellStyle name="Good 10 9" xfId="12015"/>
    <cellStyle name="Good 11" xfId="12016"/>
    <cellStyle name="Good 11 2" xfId="12017"/>
    <cellStyle name="Good 11 3" xfId="12018"/>
    <cellStyle name="Good 11 4" xfId="12019"/>
    <cellStyle name="Good 11 5" xfId="12020"/>
    <cellStyle name="Good 11 6" xfId="12021"/>
    <cellStyle name="Good 11 7" xfId="12022"/>
    <cellStyle name="Good 11 8" xfId="12023"/>
    <cellStyle name="Good 11 9" xfId="12024"/>
    <cellStyle name="Good 12" xfId="12025"/>
    <cellStyle name="Good 12 2" xfId="12026"/>
    <cellStyle name="Good 12 3" xfId="12027"/>
    <cellStyle name="Good 12 4" xfId="12028"/>
    <cellStyle name="Good 12 5" xfId="12029"/>
    <cellStyle name="Good 12 6" xfId="12030"/>
    <cellStyle name="Good 12 7" xfId="12031"/>
    <cellStyle name="Good 12 8" xfId="12032"/>
    <cellStyle name="Good 12 9" xfId="12033"/>
    <cellStyle name="Good 13" xfId="12034"/>
    <cellStyle name="Good 13 2" xfId="12035"/>
    <cellStyle name="Good 13 3" xfId="12036"/>
    <cellStyle name="Good 13 4" xfId="12037"/>
    <cellStyle name="Good 13 5" xfId="12038"/>
    <cellStyle name="Good 13 6" xfId="12039"/>
    <cellStyle name="Good 13 7" xfId="12040"/>
    <cellStyle name="Good 13 8" xfId="12041"/>
    <cellStyle name="Good 13 9" xfId="12042"/>
    <cellStyle name="Good 14" xfId="12043"/>
    <cellStyle name="Good 14 2" xfId="12044"/>
    <cellStyle name="Good 14 3" xfId="12045"/>
    <cellStyle name="Good 14 4" xfId="12046"/>
    <cellStyle name="Good 14 5" xfId="12047"/>
    <cellStyle name="Good 14 6" xfId="12048"/>
    <cellStyle name="Good 14 7" xfId="12049"/>
    <cellStyle name="Good 14 8" xfId="12050"/>
    <cellStyle name="Good 14 9" xfId="12051"/>
    <cellStyle name="Good 15" xfId="12052"/>
    <cellStyle name="Good 15 2" xfId="12053"/>
    <cellStyle name="Good 15 3" xfId="12054"/>
    <cellStyle name="Good 15 4" xfId="12055"/>
    <cellStyle name="Good 15 5" xfId="12056"/>
    <cellStyle name="Good 15 6" xfId="12057"/>
    <cellStyle name="Good 15 7" xfId="12058"/>
    <cellStyle name="Good 15 8" xfId="12059"/>
    <cellStyle name="Good 15 9" xfId="12060"/>
    <cellStyle name="Good 16" xfId="12061"/>
    <cellStyle name="Good 16 2" xfId="12062"/>
    <cellStyle name="Good 16 3" xfId="12063"/>
    <cellStyle name="Good 16 4" xfId="12064"/>
    <cellStyle name="Good 16 5" xfId="12065"/>
    <cellStyle name="Good 16 6" xfId="12066"/>
    <cellStyle name="Good 16 7" xfId="12067"/>
    <cellStyle name="Good 16 8" xfId="12068"/>
    <cellStyle name="Good 16 9" xfId="12069"/>
    <cellStyle name="Good 17" xfId="12070"/>
    <cellStyle name="Good 18" xfId="12071"/>
    <cellStyle name="Good 19" xfId="12072"/>
    <cellStyle name="Good 2" xfId="12073"/>
    <cellStyle name="Good 2 2" xfId="12074"/>
    <cellStyle name="Good 2 2 2" xfId="12075"/>
    <cellStyle name="Good 2 2 2 2" xfId="12076"/>
    <cellStyle name="Good 2 2 3" xfId="12077"/>
    <cellStyle name="Good 2 2 4" xfId="12078"/>
    <cellStyle name="Good 2 2 5" xfId="12079"/>
    <cellStyle name="Good 2 2 6" xfId="12080"/>
    <cellStyle name="Good 2 2 7" xfId="12081"/>
    <cellStyle name="Good 2 2 8" xfId="12082"/>
    <cellStyle name="Good 2 2 9" xfId="12083"/>
    <cellStyle name="Good 2 3" xfId="12084"/>
    <cellStyle name="Good 2 4" xfId="12085"/>
    <cellStyle name="Good 2 5" xfId="12086"/>
    <cellStyle name="Good 2 6" xfId="12087"/>
    <cellStyle name="Good 2_Block-F LGF POur-II BBS" xfId="12098"/>
    <cellStyle name="Good 20" xfId="12088"/>
    <cellStyle name="Good 21" xfId="12089"/>
    <cellStyle name="Good 22" xfId="12090"/>
    <cellStyle name="Good 23" xfId="12091"/>
    <cellStyle name="Good 24" xfId="12092"/>
    <cellStyle name="Good 25" xfId="12093"/>
    <cellStyle name="Good 26" xfId="12094"/>
    <cellStyle name="Good 27" xfId="12095"/>
    <cellStyle name="Good 28" xfId="12096"/>
    <cellStyle name="Good 29" xfId="12097"/>
    <cellStyle name="Good 3" xfId="12099"/>
    <cellStyle name="Good 3 2" xfId="12100"/>
    <cellStyle name="Good 3 2 2" xfId="12101"/>
    <cellStyle name="Good 3 2 3" xfId="12102"/>
    <cellStyle name="Good 3 2 4" xfId="12103"/>
    <cellStyle name="Good 3 2 5" xfId="12104"/>
    <cellStyle name="Good 3 2 6" xfId="12105"/>
    <cellStyle name="Good 3 2 7" xfId="12106"/>
    <cellStyle name="Good 3 2 8" xfId="12107"/>
    <cellStyle name="Good 3 2 9" xfId="12108"/>
    <cellStyle name="Good 3 3" xfId="12109"/>
    <cellStyle name="Good 3 4" xfId="12110"/>
    <cellStyle name="Good 3_Ramadugu_ SWGH" xfId="12121"/>
    <cellStyle name="Good 30" xfId="12111"/>
    <cellStyle name="Good 31" xfId="12112"/>
    <cellStyle name="Good 32" xfId="12113"/>
    <cellStyle name="Good 33" xfId="12114"/>
    <cellStyle name="Good 34" xfId="12115"/>
    <cellStyle name="Good 35" xfId="12116"/>
    <cellStyle name="Good 36" xfId="12117"/>
    <cellStyle name="Good 37" xfId="12118"/>
    <cellStyle name="Good 38" xfId="12119"/>
    <cellStyle name="Good 39" xfId="12120"/>
    <cellStyle name="Good 4" xfId="12122"/>
    <cellStyle name="Good 4 10" xfId="12123"/>
    <cellStyle name="Good 4 11" xfId="12124"/>
    <cellStyle name="Good 4 12" xfId="12125"/>
    <cellStyle name="Good 4 2" xfId="12126"/>
    <cellStyle name="Good 4 2 2" xfId="12127"/>
    <cellStyle name="Good 4 3" xfId="12128"/>
    <cellStyle name="Good 4 4" xfId="12129"/>
    <cellStyle name="Good 4 5" xfId="12130"/>
    <cellStyle name="Good 4 6" xfId="12131"/>
    <cellStyle name="Good 4 7" xfId="12132"/>
    <cellStyle name="Good 4 8" xfId="12133"/>
    <cellStyle name="Good 4 9" xfId="12134"/>
    <cellStyle name="Good 4_Sheet2" xfId="12135"/>
    <cellStyle name="Good 5" xfId="12136"/>
    <cellStyle name="Good 5 10" xfId="12137"/>
    <cellStyle name="Good 5 11" xfId="12138"/>
    <cellStyle name="Good 5 12" xfId="12139"/>
    <cellStyle name="Good 5 2" xfId="12140"/>
    <cellStyle name="Good 5 2 2" xfId="12141"/>
    <cellStyle name="Good 5 3" xfId="12142"/>
    <cellStyle name="Good 5 4" xfId="12143"/>
    <cellStyle name="Good 5 5" xfId="12144"/>
    <cellStyle name="Good 5 6" xfId="12145"/>
    <cellStyle name="Good 5 7" xfId="12146"/>
    <cellStyle name="Good 5 8" xfId="12147"/>
    <cellStyle name="Good 5 9" xfId="12148"/>
    <cellStyle name="Good 5_Sheet2" xfId="12149"/>
    <cellStyle name="Good 6" xfId="12150"/>
    <cellStyle name="Good 6 10" xfId="12151"/>
    <cellStyle name="Good 6 11" xfId="12152"/>
    <cellStyle name="Good 6 12" xfId="12153"/>
    <cellStyle name="Good 6 2" xfId="12154"/>
    <cellStyle name="Good 6 3" xfId="12155"/>
    <cellStyle name="Good 6 4" xfId="12156"/>
    <cellStyle name="Good 6 5" xfId="12157"/>
    <cellStyle name="Good 6 6" xfId="12158"/>
    <cellStyle name="Good 6 7" xfId="12159"/>
    <cellStyle name="Good 6 8" xfId="12160"/>
    <cellStyle name="Good 6 9" xfId="12161"/>
    <cellStyle name="Good 6_Sheet2" xfId="12162"/>
    <cellStyle name="Good 7" xfId="12163"/>
    <cellStyle name="Good 7 10" xfId="12164"/>
    <cellStyle name="Good 7 11" xfId="12165"/>
    <cellStyle name="Good 7 12" xfId="12166"/>
    <cellStyle name="Good 7 2" xfId="12167"/>
    <cellStyle name="Good 7 3" xfId="12168"/>
    <cellStyle name="Good 7 4" xfId="12169"/>
    <cellStyle name="Good 7 5" xfId="12170"/>
    <cellStyle name="Good 7 6" xfId="12171"/>
    <cellStyle name="Good 7 7" xfId="12172"/>
    <cellStyle name="Good 7 8" xfId="12173"/>
    <cellStyle name="Good 7 9" xfId="12174"/>
    <cellStyle name="Good 7_Sheet2" xfId="12175"/>
    <cellStyle name="Good 8" xfId="12176"/>
    <cellStyle name="Good 8 10" xfId="12177"/>
    <cellStyle name="Good 8 11" xfId="12178"/>
    <cellStyle name="Good 8 2" xfId="12179"/>
    <cellStyle name="Good 8 3" xfId="12180"/>
    <cellStyle name="Good 8 4" xfId="12181"/>
    <cellStyle name="Good 8 5" xfId="12182"/>
    <cellStyle name="Good 8 6" xfId="12183"/>
    <cellStyle name="Good 8 7" xfId="12184"/>
    <cellStyle name="Good 8 8" xfId="12185"/>
    <cellStyle name="Good 8 9" xfId="12186"/>
    <cellStyle name="Good 8_Sheet2" xfId="12187"/>
    <cellStyle name="Good 9" xfId="12188"/>
    <cellStyle name="Good 9 2" xfId="12189"/>
    <cellStyle name="Good 9 3" xfId="12190"/>
    <cellStyle name="Good 9 4" xfId="12191"/>
    <cellStyle name="Good 9 5" xfId="12192"/>
    <cellStyle name="Good 9 6" xfId="12193"/>
    <cellStyle name="Good 9 7" xfId="12194"/>
    <cellStyle name="Good 9 8" xfId="12195"/>
    <cellStyle name="Good 9 9" xfId="12196"/>
    <cellStyle name="Grey" xfId="12197"/>
    <cellStyle name="Grey 10" xfId="12198"/>
    <cellStyle name="Grey 11" xfId="12199"/>
    <cellStyle name="Grey 12" xfId="12200"/>
    <cellStyle name="Grey 13" xfId="12201"/>
    <cellStyle name="Grey 2" xfId="12202"/>
    <cellStyle name="Grey 3" xfId="12203"/>
    <cellStyle name="Grey 4" xfId="12204"/>
    <cellStyle name="Grey 5" xfId="12205"/>
    <cellStyle name="Grey 6" xfId="12206"/>
    <cellStyle name="Grey 7" xfId="12207"/>
    <cellStyle name="Grey 8" xfId="12208"/>
    <cellStyle name="Grey 9" xfId="12209"/>
    <cellStyle name="Grey_DLF Capital Greens -Consolidated Finishes BOQ Phase II " xfId="12210"/>
    <cellStyle name="Gross Margin" xfId="12211"/>
    <cellStyle name="Gut" xfId="12212"/>
    <cellStyle name="GWh" xfId="12213"/>
    <cellStyle name="h" xfId="12214"/>
    <cellStyle name="H 2" xfId="12215"/>
    <cellStyle name="h1" xfId="12216"/>
    <cellStyle name="h2" xfId="12217"/>
    <cellStyle name="Hard Percent" xfId="12218"/>
    <cellStyle name="header" xfId="12219"/>
    <cellStyle name="Header Draft Stamp" xfId="12220"/>
    <cellStyle name="Header_Budget Oberoi Commerz 2  3 R3_08052008 (3)" xfId="12261"/>
    <cellStyle name="Header1" xfId="12221"/>
    <cellStyle name="Header1 2" xfId="12222"/>
    <cellStyle name="Header1_DLF Capital Greens -Consolidated Finishes BOQ Phase II " xfId="12223"/>
    <cellStyle name="Header2" xfId="12224"/>
    <cellStyle name="Header2 2" xfId="12225"/>
    <cellStyle name="Header2 2 2" xfId="12226"/>
    <cellStyle name="Header2 2 2 2" xfId="12227"/>
    <cellStyle name="Header2 2 2 3" xfId="12228"/>
    <cellStyle name="Header2 2 2 4" xfId="12229"/>
    <cellStyle name="Header2 2 3" xfId="12230"/>
    <cellStyle name="Header2 2 3 2" xfId="12231"/>
    <cellStyle name="Header2 2 3 3" xfId="12232"/>
    <cellStyle name="Header2 2 3 4" xfId="12233"/>
    <cellStyle name="Header2 2 4" xfId="12234"/>
    <cellStyle name="Header2 2 5" xfId="12235"/>
    <cellStyle name="Header2 2 6" xfId="12236"/>
    <cellStyle name="Header2 2 7" xfId="12237"/>
    <cellStyle name="Header2 3" xfId="12238"/>
    <cellStyle name="Header2 3 2" xfId="12239"/>
    <cellStyle name="Header2 3 2 2" xfId="12240"/>
    <cellStyle name="Header2 3 2 3" xfId="12241"/>
    <cellStyle name="Header2 3 2 4" xfId="12242"/>
    <cellStyle name="Header2 3 3" xfId="12243"/>
    <cellStyle name="Header2 3 4" xfId="12244"/>
    <cellStyle name="Header2 3 5" xfId="12245"/>
    <cellStyle name="Header2 3 6" xfId="12246"/>
    <cellStyle name="Header2 3 7" xfId="12247"/>
    <cellStyle name="Header2 4" xfId="12248"/>
    <cellStyle name="Header2 4 2" xfId="12249"/>
    <cellStyle name="Header2 4 3" xfId="12250"/>
    <cellStyle name="Header2 4 4" xfId="12251"/>
    <cellStyle name="Header2 5" xfId="12252"/>
    <cellStyle name="Header2 5 2" xfId="12253"/>
    <cellStyle name="Header2 5 3" xfId="12254"/>
    <cellStyle name="Header2 5 4" xfId="12255"/>
    <cellStyle name="Header2 6" xfId="12256"/>
    <cellStyle name="Header2 7" xfId="12257"/>
    <cellStyle name="Header2 8" xfId="12258"/>
    <cellStyle name="Header2 9" xfId="12259"/>
    <cellStyle name="Header2_DLF Capital Greens -Consolidated Finishes BOQ Phase II " xfId="12260"/>
    <cellStyle name="Heading 1 1" xfId="12262"/>
    <cellStyle name="Heading 1 10" xfId="12263"/>
    <cellStyle name="Heading 1 10 2" xfId="12264"/>
    <cellStyle name="Heading 1 10 3" xfId="12265"/>
    <cellStyle name="Heading 1 10 4" xfId="12266"/>
    <cellStyle name="Heading 1 10 5" xfId="12267"/>
    <cellStyle name="Heading 1 10 6" xfId="12268"/>
    <cellStyle name="Heading 1 10 7" xfId="12269"/>
    <cellStyle name="Heading 1 10 8" xfId="12270"/>
    <cellStyle name="Heading 1 10 9" xfId="12271"/>
    <cellStyle name="Heading 1 11" xfId="12272"/>
    <cellStyle name="Heading 1 11 2" xfId="12273"/>
    <cellStyle name="Heading 1 11 3" xfId="12274"/>
    <cellStyle name="Heading 1 11 4" xfId="12275"/>
    <cellStyle name="Heading 1 11 5" xfId="12276"/>
    <cellStyle name="Heading 1 11 6" xfId="12277"/>
    <cellStyle name="Heading 1 11 7" xfId="12278"/>
    <cellStyle name="Heading 1 11 8" xfId="12279"/>
    <cellStyle name="Heading 1 11 9" xfId="12280"/>
    <cellStyle name="Heading 1 12" xfId="12281"/>
    <cellStyle name="Heading 1 12 2" xfId="12282"/>
    <cellStyle name="Heading 1 12 3" xfId="12283"/>
    <cellStyle name="Heading 1 12 4" xfId="12284"/>
    <cellStyle name="Heading 1 12 5" xfId="12285"/>
    <cellStyle name="Heading 1 12 6" xfId="12286"/>
    <cellStyle name="Heading 1 12 7" xfId="12287"/>
    <cellStyle name="Heading 1 12 8" xfId="12288"/>
    <cellStyle name="Heading 1 12 9" xfId="12289"/>
    <cellStyle name="Heading 1 13" xfId="12290"/>
    <cellStyle name="Heading 1 13 2" xfId="12291"/>
    <cellStyle name="Heading 1 13 3" xfId="12292"/>
    <cellStyle name="Heading 1 13 4" xfId="12293"/>
    <cellStyle name="Heading 1 13 5" xfId="12294"/>
    <cellStyle name="Heading 1 13 6" xfId="12295"/>
    <cellStyle name="Heading 1 13 7" xfId="12296"/>
    <cellStyle name="Heading 1 13 8" xfId="12297"/>
    <cellStyle name="Heading 1 13 9" xfId="12298"/>
    <cellStyle name="Heading 1 14" xfId="12299"/>
    <cellStyle name="Heading 1 14 2" xfId="12300"/>
    <cellStyle name="Heading 1 14 3" xfId="12301"/>
    <cellStyle name="Heading 1 14 4" xfId="12302"/>
    <cellStyle name="Heading 1 14 5" xfId="12303"/>
    <cellStyle name="Heading 1 14 6" xfId="12304"/>
    <cellStyle name="Heading 1 14 7" xfId="12305"/>
    <cellStyle name="Heading 1 14 8" xfId="12306"/>
    <cellStyle name="Heading 1 14 9" xfId="12307"/>
    <cellStyle name="Heading 1 15" xfId="12308"/>
    <cellStyle name="Heading 1 15 2" xfId="12309"/>
    <cellStyle name="Heading 1 15 3" xfId="12310"/>
    <cellStyle name="Heading 1 15 4" xfId="12311"/>
    <cellStyle name="Heading 1 15 5" xfId="12312"/>
    <cellStyle name="Heading 1 15 6" xfId="12313"/>
    <cellStyle name="Heading 1 15 7" xfId="12314"/>
    <cellStyle name="Heading 1 15 8" xfId="12315"/>
    <cellStyle name="Heading 1 15 9" xfId="12316"/>
    <cellStyle name="Heading 1 16" xfId="12317"/>
    <cellStyle name="Heading 1 16 2" xfId="12318"/>
    <cellStyle name="Heading 1 16 3" xfId="12319"/>
    <cellStyle name="Heading 1 16 4" xfId="12320"/>
    <cellStyle name="Heading 1 16 5" xfId="12321"/>
    <cellStyle name="Heading 1 16 6" xfId="12322"/>
    <cellStyle name="Heading 1 16 7" xfId="12323"/>
    <cellStyle name="Heading 1 16 8" xfId="12324"/>
    <cellStyle name="Heading 1 16 9" xfId="12325"/>
    <cellStyle name="Heading 1 17" xfId="12326"/>
    <cellStyle name="Heading 1 18" xfId="12327"/>
    <cellStyle name="Heading 1 19" xfId="12328"/>
    <cellStyle name="Heading 1 2" xfId="12329"/>
    <cellStyle name="Heading 1 2 10" xfId="12330"/>
    <cellStyle name="Heading 1 2 11" xfId="12331"/>
    <cellStyle name="Heading 1 2 12" xfId="12332"/>
    <cellStyle name="Heading 1 2 13" xfId="12333"/>
    <cellStyle name="Heading 1 2 14" xfId="12334"/>
    <cellStyle name="Heading 1 2 2" xfId="12335"/>
    <cellStyle name="Heading 1 2 2 2" xfId="12336"/>
    <cellStyle name="Heading 1 2 2 2 2" xfId="12337"/>
    <cellStyle name="Heading 1 2 2 3" xfId="12338"/>
    <cellStyle name="Heading 1 2 2 4" xfId="12339"/>
    <cellStyle name="Heading 1 2 2 5" xfId="12340"/>
    <cellStyle name="Heading 1 2 2 6" xfId="12341"/>
    <cellStyle name="Heading 1 2 2 7" xfId="12342"/>
    <cellStyle name="Heading 1 2 2 8" xfId="12343"/>
    <cellStyle name="Heading 1 2 2 9" xfId="12344"/>
    <cellStyle name="Heading 1 2 3" xfId="12345"/>
    <cellStyle name="Heading 1 2 4" xfId="12346"/>
    <cellStyle name="Heading 1 2 5" xfId="12347"/>
    <cellStyle name="Heading 1 2 5 2" xfId="12348"/>
    <cellStyle name="Heading 1 2 6" xfId="12349"/>
    <cellStyle name="Heading 1 2 7" xfId="12350"/>
    <cellStyle name="Heading 1 2 8" xfId="12351"/>
    <cellStyle name="Heading 1 2 9" xfId="12352"/>
    <cellStyle name="Heading 1 2_Block-F LGF POur-II BBS" xfId="12363"/>
    <cellStyle name="Heading 1 20" xfId="12353"/>
    <cellStyle name="Heading 1 21" xfId="12354"/>
    <cellStyle name="Heading 1 22" xfId="12355"/>
    <cellStyle name="Heading 1 23" xfId="12356"/>
    <cellStyle name="Heading 1 24" xfId="12357"/>
    <cellStyle name="Heading 1 25" xfId="12358"/>
    <cellStyle name="Heading 1 26" xfId="12359"/>
    <cellStyle name="Heading 1 27" xfId="12360"/>
    <cellStyle name="Heading 1 28" xfId="12361"/>
    <cellStyle name="Heading 1 29" xfId="12362"/>
    <cellStyle name="Heading 1 3" xfId="12364"/>
    <cellStyle name="Heading 1 3 2" xfId="12365"/>
    <cellStyle name="Heading 1 3 2 2" xfId="12366"/>
    <cellStyle name="Heading 1 3 2 3" xfId="12367"/>
    <cellStyle name="Heading 1 3 2 4" xfId="12368"/>
    <cellStyle name="Heading 1 3 2 5" xfId="12369"/>
    <cellStyle name="Heading 1 3 2 6" xfId="12370"/>
    <cellStyle name="Heading 1 3 2 7" xfId="12371"/>
    <cellStyle name="Heading 1 3 2 8" xfId="12372"/>
    <cellStyle name="Heading 1 3 2 9" xfId="12373"/>
    <cellStyle name="Heading 1 3 3" xfId="12374"/>
    <cellStyle name="Heading 1 3 4" xfId="12375"/>
    <cellStyle name="Heading 1 3 5" xfId="12376"/>
    <cellStyle name="Heading 1 3_Ramadugu_ SWGH" xfId="12387"/>
    <cellStyle name="Heading 1 30" xfId="12377"/>
    <cellStyle name="Heading 1 31" xfId="12378"/>
    <cellStyle name="Heading 1 32" xfId="12379"/>
    <cellStyle name="Heading 1 33" xfId="12380"/>
    <cellStyle name="Heading 1 34" xfId="12381"/>
    <cellStyle name="Heading 1 35" xfId="12382"/>
    <cellStyle name="Heading 1 36" xfId="12383"/>
    <cellStyle name="Heading 1 37" xfId="12384"/>
    <cellStyle name="Heading 1 38" xfId="12385"/>
    <cellStyle name="Heading 1 39" xfId="12386"/>
    <cellStyle name="Heading 1 4" xfId="12388"/>
    <cellStyle name="Heading 1 4 10" xfId="12389"/>
    <cellStyle name="Heading 1 4 11" xfId="12390"/>
    <cellStyle name="Heading 1 4 12" xfId="12391"/>
    <cellStyle name="Heading 1 4 13" xfId="12392"/>
    <cellStyle name="Heading 1 4 2" xfId="12393"/>
    <cellStyle name="Heading 1 4 2 2" xfId="12394"/>
    <cellStyle name="Heading 1 4 3" xfId="12395"/>
    <cellStyle name="Heading 1 4 4" xfId="12396"/>
    <cellStyle name="Heading 1 4 5" xfId="12397"/>
    <cellStyle name="Heading 1 4 6" xfId="12398"/>
    <cellStyle name="Heading 1 4 7" xfId="12399"/>
    <cellStyle name="Heading 1 4 8" xfId="12400"/>
    <cellStyle name="Heading 1 4 9" xfId="12401"/>
    <cellStyle name="Heading 1 4_Sheet2" xfId="12402"/>
    <cellStyle name="Heading 1 5" xfId="12403"/>
    <cellStyle name="Heading 1 5 10" xfId="12404"/>
    <cellStyle name="Heading 1 5 11" xfId="12405"/>
    <cellStyle name="Heading 1 5 12" xfId="12406"/>
    <cellStyle name="Heading 1 5 2" xfId="12407"/>
    <cellStyle name="Heading 1 5 2 2" xfId="12408"/>
    <cellStyle name="Heading 1 5 3" xfId="12409"/>
    <cellStyle name="Heading 1 5 4" xfId="12410"/>
    <cellStyle name="Heading 1 5 5" xfId="12411"/>
    <cellStyle name="Heading 1 5 6" xfId="12412"/>
    <cellStyle name="Heading 1 5 7" xfId="12413"/>
    <cellStyle name="Heading 1 5 8" xfId="12414"/>
    <cellStyle name="Heading 1 5 9" xfId="12415"/>
    <cellStyle name="Heading 1 5_Sheet2" xfId="12416"/>
    <cellStyle name="Heading 1 6" xfId="12417"/>
    <cellStyle name="Heading 1 6 10" xfId="12418"/>
    <cellStyle name="Heading 1 6 11" xfId="12419"/>
    <cellStyle name="Heading 1 6 12" xfId="12420"/>
    <cellStyle name="Heading 1 6 2" xfId="12421"/>
    <cellStyle name="Heading 1 6 3" xfId="12422"/>
    <cellStyle name="Heading 1 6 4" xfId="12423"/>
    <cellStyle name="Heading 1 6 5" xfId="12424"/>
    <cellStyle name="Heading 1 6 6" xfId="12425"/>
    <cellStyle name="Heading 1 6 7" xfId="12426"/>
    <cellStyle name="Heading 1 6 8" xfId="12427"/>
    <cellStyle name="Heading 1 6 9" xfId="12428"/>
    <cellStyle name="Heading 1 6_Sheet2" xfId="12429"/>
    <cellStyle name="Heading 1 7" xfId="12430"/>
    <cellStyle name="Heading 1 7 10" xfId="12431"/>
    <cellStyle name="Heading 1 7 11" xfId="12432"/>
    <cellStyle name="Heading 1 7 12" xfId="12433"/>
    <cellStyle name="Heading 1 7 2" xfId="12434"/>
    <cellStyle name="Heading 1 7 3" xfId="12435"/>
    <cellStyle name="Heading 1 7 4" xfId="12436"/>
    <cellStyle name="Heading 1 7 5" xfId="12437"/>
    <cellStyle name="Heading 1 7 6" xfId="12438"/>
    <cellStyle name="Heading 1 7 7" xfId="12439"/>
    <cellStyle name="Heading 1 7 8" xfId="12440"/>
    <cellStyle name="Heading 1 7 9" xfId="12441"/>
    <cellStyle name="Heading 1 7_Sheet2" xfId="12442"/>
    <cellStyle name="Heading 1 8" xfId="12443"/>
    <cellStyle name="Heading 1 8 10" xfId="12444"/>
    <cellStyle name="Heading 1 8 11" xfId="12445"/>
    <cellStyle name="Heading 1 8 2" xfId="12446"/>
    <cellStyle name="Heading 1 8 3" xfId="12447"/>
    <cellStyle name="Heading 1 8 4" xfId="12448"/>
    <cellStyle name="Heading 1 8 5" xfId="12449"/>
    <cellStyle name="Heading 1 8 6" xfId="12450"/>
    <cellStyle name="Heading 1 8 7" xfId="12451"/>
    <cellStyle name="Heading 1 8 8" xfId="12452"/>
    <cellStyle name="Heading 1 8 9" xfId="12453"/>
    <cellStyle name="Heading 1 8_Sheet2" xfId="12454"/>
    <cellStyle name="Heading 1 9" xfId="12455"/>
    <cellStyle name="Heading 1 9 2" xfId="12456"/>
    <cellStyle name="Heading 1 9 3" xfId="12457"/>
    <cellStyle name="Heading 1 9 4" xfId="12458"/>
    <cellStyle name="Heading 1 9 5" xfId="12459"/>
    <cellStyle name="Heading 1 9 6" xfId="12460"/>
    <cellStyle name="Heading 1 9 7" xfId="12461"/>
    <cellStyle name="Heading 1 9 8" xfId="12462"/>
    <cellStyle name="Heading 1 9 9" xfId="12463"/>
    <cellStyle name="Heading 1 Above" xfId="12464"/>
    <cellStyle name="Heading 1+" xfId="12465"/>
    <cellStyle name="Heading 1+ 2" xfId="12466"/>
    <cellStyle name="Heading 1+ 3" xfId="12467"/>
    <cellStyle name="Heading 1+ 4" xfId="12468"/>
    <cellStyle name="Heading 1+ 5" xfId="12469"/>
    <cellStyle name="Heading 10" xfId="12470"/>
    <cellStyle name="Heading 12" xfId="12471"/>
    <cellStyle name="HEADING 14" xfId="12472"/>
    <cellStyle name="Heading 2 1" xfId="12473"/>
    <cellStyle name="Heading 2 10" xfId="12474"/>
    <cellStyle name="Heading 2 10 2" xfId="12475"/>
    <cellStyle name="Heading 2 10 3" xfId="12476"/>
    <cellStyle name="Heading 2 10 4" xfId="12477"/>
    <cellStyle name="Heading 2 10 5" xfId="12478"/>
    <cellStyle name="Heading 2 10 6" xfId="12479"/>
    <cellStyle name="Heading 2 10 7" xfId="12480"/>
    <cellStyle name="Heading 2 10 8" xfId="12481"/>
    <cellStyle name="Heading 2 10 9" xfId="12482"/>
    <cellStyle name="Heading 2 11" xfId="12483"/>
    <cellStyle name="Heading 2 11 2" xfId="12484"/>
    <cellStyle name="Heading 2 11 3" xfId="12485"/>
    <cellStyle name="Heading 2 11 4" xfId="12486"/>
    <cellStyle name="Heading 2 11 5" xfId="12487"/>
    <cellStyle name="Heading 2 11 6" xfId="12488"/>
    <cellStyle name="Heading 2 11 7" xfId="12489"/>
    <cellStyle name="Heading 2 11 8" xfId="12490"/>
    <cellStyle name="Heading 2 11 9" xfId="12491"/>
    <cellStyle name="Heading 2 12" xfId="12492"/>
    <cellStyle name="Heading 2 12 2" xfId="12493"/>
    <cellStyle name="Heading 2 12 3" xfId="12494"/>
    <cellStyle name="Heading 2 12 4" xfId="12495"/>
    <cellStyle name="Heading 2 12 5" xfId="12496"/>
    <cellStyle name="Heading 2 12 6" xfId="12497"/>
    <cellStyle name="Heading 2 12 7" xfId="12498"/>
    <cellStyle name="Heading 2 12 8" xfId="12499"/>
    <cellStyle name="Heading 2 12 9" xfId="12500"/>
    <cellStyle name="Heading 2 13" xfId="12501"/>
    <cellStyle name="Heading 2 13 2" xfId="12502"/>
    <cellStyle name="Heading 2 13 3" xfId="12503"/>
    <cellStyle name="Heading 2 13 4" xfId="12504"/>
    <cellStyle name="Heading 2 13 5" xfId="12505"/>
    <cellStyle name="Heading 2 13 6" xfId="12506"/>
    <cellStyle name="Heading 2 13 7" xfId="12507"/>
    <cellStyle name="Heading 2 13 8" xfId="12508"/>
    <cellStyle name="Heading 2 13 9" xfId="12509"/>
    <cellStyle name="Heading 2 14" xfId="12510"/>
    <cellStyle name="Heading 2 14 2" xfId="12511"/>
    <cellStyle name="Heading 2 14 3" xfId="12512"/>
    <cellStyle name="Heading 2 14 4" xfId="12513"/>
    <cellStyle name="Heading 2 14 5" xfId="12514"/>
    <cellStyle name="Heading 2 14 6" xfId="12515"/>
    <cellStyle name="Heading 2 14 7" xfId="12516"/>
    <cellStyle name="Heading 2 14 8" xfId="12517"/>
    <cellStyle name="Heading 2 14 9" xfId="12518"/>
    <cellStyle name="Heading 2 15" xfId="12519"/>
    <cellStyle name="Heading 2 15 2" xfId="12520"/>
    <cellStyle name="Heading 2 15 3" xfId="12521"/>
    <cellStyle name="Heading 2 15 4" xfId="12522"/>
    <cellStyle name="Heading 2 15 5" xfId="12523"/>
    <cellStyle name="Heading 2 15 6" xfId="12524"/>
    <cellStyle name="Heading 2 15 7" xfId="12525"/>
    <cellStyle name="Heading 2 15 8" xfId="12526"/>
    <cellStyle name="Heading 2 15 9" xfId="12527"/>
    <cellStyle name="Heading 2 16" xfId="12528"/>
    <cellStyle name="Heading 2 16 2" xfId="12529"/>
    <cellStyle name="Heading 2 16 3" xfId="12530"/>
    <cellStyle name="Heading 2 16 4" xfId="12531"/>
    <cellStyle name="Heading 2 16 5" xfId="12532"/>
    <cellStyle name="Heading 2 16 6" xfId="12533"/>
    <cellStyle name="Heading 2 16 7" xfId="12534"/>
    <cellStyle name="Heading 2 16 8" xfId="12535"/>
    <cellStyle name="Heading 2 16 9" xfId="12536"/>
    <cellStyle name="Heading 2 17" xfId="12537"/>
    <cellStyle name="Heading 2 18" xfId="12538"/>
    <cellStyle name="Heading 2 19" xfId="12539"/>
    <cellStyle name="Heading 2 2" xfId="12540"/>
    <cellStyle name="Heading 2 2 10" xfId="12541"/>
    <cellStyle name="Heading 2 2 11" xfId="12542"/>
    <cellStyle name="Heading 2 2 12" xfId="12543"/>
    <cellStyle name="Heading 2 2 13" xfId="12544"/>
    <cellStyle name="Heading 2 2 14" xfId="12545"/>
    <cellStyle name="Heading 2 2 2" xfId="12546"/>
    <cellStyle name="Heading 2 2 2 2" xfId="12547"/>
    <cellStyle name="Heading 2 2 2 2 2" xfId="12548"/>
    <cellStyle name="Heading 2 2 2 3" xfId="12549"/>
    <cellStyle name="Heading 2 2 2 4" xfId="12550"/>
    <cellStyle name="Heading 2 2 2 5" xfId="12551"/>
    <cellStyle name="Heading 2 2 2 6" xfId="12552"/>
    <cellStyle name="Heading 2 2 2 7" xfId="12553"/>
    <cellStyle name="Heading 2 2 2 8" xfId="12554"/>
    <cellStyle name="Heading 2 2 2 9" xfId="12555"/>
    <cellStyle name="Heading 2 2 3" xfId="12556"/>
    <cellStyle name="Heading 2 2 4" xfId="12557"/>
    <cellStyle name="Heading 2 2 5" xfId="12558"/>
    <cellStyle name="Heading 2 2 5 2" xfId="12559"/>
    <cellStyle name="Heading 2 2 6" xfId="12560"/>
    <cellStyle name="Heading 2 2 7" xfId="12561"/>
    <cellStyle name="Heading 2 2 8" xfId="12562"/>
    <cellStyle name="Heading 2 2 9" xfId="12563"/>
    <cellStyle name="Heading 2 2_Block-F LGF POur-II BBS" xfId="12574"/>
    <cellStyle name="Heading 2 20" xfId="12564"/>
    <cellStyle name="Heading 2 21" xfId="12565"/>
    <cellStyle name="Heading 2 22" xfId="12566"/>
    <cellStyle name="Heading 2 23" xfId="12567"/>
    <cellStyle name="Heading 2 24" xfId="12568"/>
    <cellStyle name="Heading 2 25" xfId="12569"/>
    <cellStyle name="Heading 2 26" xfId="12570"/>
    <cellStyle name="Heading 2 27" xfId="12571"/>
    <cellStyle name="Heading 2 28" xfId="12572"/>
    <cellStyle name="Heading 2 29" xfId="12573"/>
    <cellStyle name="Heading 2 3" xfId="12575"/>
    <cellStyle name="Heading 2 3 2" xfId="12576"/>
    <cellStyle name="Heading 2 3 2 2" xfId="12577"/>
    <cellStyle name="Heading 2 3 2 3" xfId="12578"/>
    <cellStyle name="Heading 2 3 2 4" xfId="12579"/>
    <cellStyle name="Heading 2 3 2 5" xfId="12580"/>
    <cellStyle name="Heading 2 3 2 6" xfId="12581"/>
    <cellStyle name="Heading 2 3 2 7" xfId="12582"/>
    <cellStyle name="Heading 2 3 2 8" xfId="12583"/>
    <cellStyle name="Heading 2 3 2 9" xfId="12584"/>
    <cellStyle name="Heading 2 3 3" xfId="12585"/>
    <cellStyle name="Heading 2 3 4" xfId="12586"/>
    <cellStyle name="Heading 2 3 5" xfId="12587"/>
    <cellStyle name="Heading 2 3_Ramadugu_ SWGH" xfId="12598"/>
    <cellStyle name="Heading 2 30" xfId="12588"/>
    <cellStyle name="Heading 2 31" xfId="12589"/>
    <cellStyle name="Heading 2 32" xfId="12590"/>
    <cellStyle name="Heading 2 33" xfId="12591"/>
    <cellStyle name="Heading 2 34" xfId="12592"/>
    <cellStyle name="Heading 2 35" xfId="12593"/>
    <cellStyle name="Heading 2 36" xfId="12594"/>
    <cellStyle name="Heading 2 37" xfId="12595"/>
    <cellStyle name="Heading 2 38" xfId="12596"/>
    <cellStyle name="Heading 2 39" xfId="12597"/>
    <cellStyle name="Heading 2 4" xfId="12599"/>
    <cellStyle name="Heading 2 4 10" xfId="12600"/>
    <cellStyle name="Heading 2 4 11" xfId="12601"/>
    <cellStyle name="Heading 2 4 12" xfId="12602"/>
    <cellStyle name="Heading 2 4 13" xfId="12603"/>
    <cellStyle name="Heading 2 4 2" xfId="12604"/>
    <cellStyle name="Heading 2 4 2 2" xfId="12605"/>
    <cellStyle name="Heading 2 4 3" xfId="12606"/>
    <cellStyle name="Heading 2 4 4" xfId="12607"/>
    <cellStyle name="Heading 2 4 5" xfId="12608"/>
    <cellStyle name="Heading 2 4 6" xfId="12609"/>
    <cellStyle name="Heading 2 4 7" xfId="12610"/>
    <cellStyle name="Heading 2 4 8" xfId="12611"/>
    <cellStyle name="Heading 2 4 9" xfId="12612"/>
    <cellStyle name="Heading 2 4_Sheet2" xfId="12613"/>
    <cellStyle name="Heading 2 5" xfId="12614"/>
    <cellStyle name="Heading 2 5 10" xfId="12615"/>
    <cellStyle name="Heading 2 5 11" xfId="12616"/>
    <cellStyle name="Heading 2 5 12" xfId="12617"/>
    <cellStyle name="Heading 2 5 2" xfId="12618"/>
    <cellStyle name="Heading 2 5 2 2" xfId="12619"/>
    <cellStyle name="Heading 2 5 3" xfId="12620"/>
    <cellStyle name="Heading 2 5 4" xfId="12621"/>
    <cellStyle name="Heading 2 5 5" xfId="12622"/>
    <cellStyle name="Heading 2 5 6" xfId="12623"/>
    <cellStyle name="Heading 2 5 7" xfId="12624"/>
    <cellStyle name="Heading 2 5 8" xfId="12625"/>
    <cellStyle name="Heading 2 5 9" xfId="12626"/>
    <cellStyle name="Heading 2 5_Sheet2" xfId="12627"/>
    <cellStyle name="Heading 2 6" xfId="12628"/>
    <cellStyle name="Heading 2 6 10" xfId="12629"/>
    <cellStyle name="Heading 2 6 11" xfId="12630"/>
    <cellStyle name="Heading 2 6 12" xfId="12631"/>
    <cellStyle name="Heading 2 6 2" xfId="12632"/>
    <cellStyle name="Heading 2 6 3" xfId="12633"/>
    <cellStyle name="Heading 2 6 4" xfId="12634"/>
    <cellStyle name="Heading 2 6 5" xfId="12635"/>
    <cellStyle name="Heading 2 6 6" xfId="12636"/>
    <cellStyle name="Heading 2 6 7" xfId="12637"/>
    <cellStyle name="Heading 2 6 8" xfId="12638"/>
    <cellStyle name="Heading 2 6 9" xfId="12639"/>
    <cellStyle name="Heading 2 6_Sheet2" xfId="12640"/>
    <cellStyle name="Heading 2 7" xfId="12641"/>
    <cellStyle name="Heading 2 7 10" xfId="12642"/>
    <cellStyle name="Heading 2 7 11" xfId="12643"/>
    <cellStyle name="Heading 2 7 12" xfId="12644"/>
    <cellStyle name="Heading 2 7 2" xfId="12645"/>
    <cellStyle name="Heading 2 7 3" xfId="12646"/>
    <cellStyle name="Heading 2 7 4" xfId="12647"/>
    <cellStyle name="Heading 2 7 5" xfId="12648"/>
    <cellStyle name="Heading 2 7 6" xfId="12649"/>
    <cellStyle name="Heading 2 7 7" xfId="12650"/>
    <cellStyle name="Heading 2 7 8" xfId="12651"/>
    <cellStyle name="Heading 2 7 9" xfId="12652"/>
    <cellStyle name="Heading 2 7_Sheet2" xfId="12653"/>
    <cellStyle name="Heading 2 8" xfId="12654"/>
    <cellStyle name="Heading 2 8 10" xfId="12655"/>
    <cellStyle name="Heading 2 8 11" xfId="12656"/>
    <cellStyle name="Heading 2 8 2" xfId="12657"/>
    <cellStyle name="Heading 2 8 3" xfId="12658"/>
    <cellStyle name="Heading 2 8 4" xfId="12659"/>
    <cellStyle name="Heading 2 8 5" xfId="12660"/>
    <cellStyle name="Heading 2 8 6" xfId="12661"/>
    <cellStyle name="Heading 2 8 7" xfId="12662"/>
    <cellStyle name="Heading 2 8 8" xfId="12663"/>
    <cellStyle name="Heading 2 8 9" xfId="12664"/>
    <cellStyle name="Heading 2 8_Sheet2" xfId="12665"/>
    <cellStyle name="Heading 2 9" xfId="12666"/>
    <cellStyle name="Heading 2 9 2" xfId="12667"/>
    <cellStyle name="Heading 2 9 3" xfId="12668"/>
    <cellStyle name="Heading 2 9 4" xfId="12669"/>
    <cellStyle name="Heading 2 9 5" xfId="12670"/>
    <cellStyle name="Heading 2 9 6" xfId="12671"/>
    <cellStyle name="Heading 2 9 7" xfId="12672"/>
    <cellStyle name="Heading 2 9 8" xfId="12673"/>
    <cellStyle name="Heading 2 9 9" xfId="12674"/>
    <cellStyle name="Heading 2 Below" xfId="12675"/>
    <cellStyle name="Heading 2+" xfId="12676"/>
    <cellStyle name="Heading 2+ 2" xfId="12677"/>
    <cellStyle name="Heading 2+ 3" xfId="12678"/>
    <cellStyle name="Heading 2+ 4" xfId="12679"/>
    <cellStyle name="Heading 2+ 5" xfId="12680"/>
    <cellStyle name="HEADING 3" xfId="12681"/>
    <cellStyle name="Heading 3 10" xfId="12682"/>
    <cellStyle name="Heading 3 10 2" xfId="12683"/>
    <cellStyle name="Heading 3 10 3" xfId="12684"/>
    <cellStyle name="Heading 3 10 4" xfId="12685"/>
    <cellStyle name="Heading 3 10 5" xfId="12686"/>
    <cellStyle name="Heading 3 10 6" xfId="12687"/>
    <cellStyle name="Heading 3 10 7" xfId="12688"/>
    <cellStyle name="Heading 3 10 8" xfId="12689"/>
    <cellStyle name="Heading 3 10 9" xfId="12690"/>
    <cellStyle name="Heading 3 11" xfId="12691"/>
    <cellStyle name="Heading 3 11 2" xfId="12692"/>
    <cellStyle name="Heading 3 11 3" xfId="12693"/>
    <cellStyle name="Heading 3 11 4" xfId="12694"/>
    <cellStyle name="Heading 3 11 5" xfId="12695"/>
    <cellStyle name="Heading 3 11 6" xfId="12696"/>
    <cellStyle name="Heading 3 11 7" xfId="12697"/>
    <cellStyle name="Heading 3 11 8" xfId="12698"/>
    <cellStyle name="Heading 3 11 9" xfId="12699"/>
    <cellStyle name="Heading 3 12" xfId="12700"/>
    <cellStyle name="Heading 3 12 2" xfId="12701"/>
    <cellStyle name="Heading 3 12 3" xfId="12702"/>
    <cellStyle name="Heading 3 12 4" xfId="12703"/>
    <cellStyle name="Heading 3 12 5" xfId="12704"/>
    <cellStyle name="Heading 3 12 6" xfId="12705"/>
    <cellStyle name="Heading 3 12 7" xfId="12706"/>
    <cellStyle name="Heading 3 12 8" xfId="12707"/>
    <cellStyle name="Heading 3 12 9" xfId="12708"/>
    <cellStyle name="Heading 3 13" xfId="12709"/>
    <cellStyle name="Heading 3 13 2" xfId="12710"/>
    <cellStyle name="Heading 3 13 3" xfId="12711"/>
    <cellStyle name="Heading 3 13 4" xfId="12712"/>
    <cellStyle name="Heading 3 13 5" xfId="12713"/>
    <cellStyle name="Heading 3 13 6" xfId="12714"/>
    <cellStyle name="Heading 3 13 7" xfId="12715"/>
    <cellStyle name="Heading 3 13 8" xfId="12716"/>
    <cellStyle name="Heading 3 13 9" xfId="12717"/>
    <cellStyle name="Heading 3 14" xfId="12718"/>
    <cellStyle name="Heading 3 14 2" xfId="12719"/>
    <cellStyle name="Heading 3 14 3" xfId="12720"/>
    <cellStyle name="Heading 3 14 4" xfId="12721"/>
    <cellStyle name="Heading 3 14 5" xfId="12722"/>
    <cellStyle name="Heading 3 14 6" xfId="12723"/>
    <cellStyle name="Heading 3 14 7" xfId="12724"/>
    <cellStyle name="Heading 3 14 8" xfId="12725"/>
    <cellStyle name="Heading 3 14 9" xfId="12726"/>
    <cellStyle name="Heading 3 15" xfId="12727"/>
    <cellStyle name="Heading 3 15 2" xfId="12728"/>
    <cellStyle name="Heading 3 15 3" xfId="12729"/>
    <cellStyle name="Heading 3 15 4" xfId="12730"/>
    <cellStyle name="Heading 3 15 5" xfId="12731"/>
    <cellStyle name="Heading 3 15 6" xfId="12732"/>
    <cellStyle name="Heading 3 15 7" xfId="12733"/>
    <cellStyle name="Heading 3 15 8" xfId="12734"/>
    <cellStyle name="Heading 3 15 9" xfId="12735"/>
    <cellStyle name="Heading 3 16" xfId="12736"/>
    <cellStyle name="Heading 3 16 2" xfId="12737"/>
    <cellStyle name="Heading 3 16 3" xfId="12738"/>
    <cellStyle name="Heading 3 16 4" xfId="12739"/>
    <cellStyle name="Heading 3 16 5" xfId="12740"/>
    <cellStyle name="Heading 3 16 6" xfId="12741"/>
    <cellStyle name="Heading 3 16 7" xfId="12742"/>
    <cellStyle name="Heading 3 16 8" xfId="12743"/>
    <cellStyle name="Heading 3 16 9" xfId="12744"/>
    <cellStyle name="Heading 3 17" xfId="12745"/>
    <cellStyle name="Heading 3 18" xfId="12746"/>
    <cellStyle name="Heading 3 19" xfId="12747"/>
    <cellStyle name="Heading 3 2" xfId="12748"/>
    <cellStyle name="Heading 3 2 10" xfId="12749"/>
    <cellStyle name="Heading 3 2 11" xfId="12750"/>
    <cellStyle name="Heading 3 2 12" xfId="12751"/>
    <cellStyle name="Heading 3 2 13" xfId="12752"/>
    <cellStyle name="Heading 3 2 14" xfId="12753"/>
    <cellStyle name="Heading 3 2 2" xfId="12754"/>
    <cellStyle name="Heading 3 2 2 10" xfId="12755"/>
    <cellStyle name="Heading 3 2 2 11" xfId="12756"/>
    <cellStyle name="Heading 3 2 2 2" xfId="12757"/>
    <cellStyle name="Heading 3 2 2 2 2" xfId="12758"/>
    <cellStyle name="Heading 3 2 2 3" xfId="12759"/>
    <cellStyle name="Heading 3 2 2 4" xfId="12760"/>
    <cellStyle name="Heading 3 2 2 5" xfId="12761"/>
    <cellStyle name="Heading 3 2 2 6" xfId="12762"/>
    <cellStyle name="Heading 3 2 2 7" xfId="12763"/>
    <cellStyle name="Heading 3 2 2 8" xfId="12764"/>
    <cellStyle name="Heading 3 2 2 9" xfId="12765"/>
    <cellStyle name="Heading 3 2 3" xfId="12766"/>
    <cellStyle name="Heading 3 2 3 2" xfId="12767"/>
    <cellStyle name="Heading 3 2 3 3" xfId="12768"/>
    <cellStyle name="Heading 3 2 4" xfId="12769"/>
    <cellStyle name="Heading 3 2 4 2" xfId="12770"/>
    <cellStyle name="Heading 3 2 4 3" xfId="12771"/>
    <cellStyle name="Heading 3 2 5" xfId="12772"/>
    <cellStyle name="Heading 3 2 6" xfId="12773"/>
    <cellStyle name="Heading 3 2 7" xfId="12774"/>
    <cellStyle name="Heading 3 2 8" xfId="12775"/>
    <cellStyle name="Heading 3 2 9" xfId="12776"/>
    <cellStyle name="Heading 3 2_Block-F LGF POur-II BBS" xfId="12787"/>
    <cellStyle name="Heading 3 20" xfId="12777"/>
    <cellStyle name="Heading 3 21" xfId="12778"/>
    <cellStyle name="Heading 3 22" xfId="12779"/>
    <cellStyle name="Heading 3 23" xfId="12780"/>
    <cellStyle name="Heading 3 24" xfId="12781"/>
    <cellStyle name="Heading 3 25" xfId="12782"/>
    <cellStyle name="Heading 3 26" xfId="12783"/>
    <cellStyle name="Heading 3 27" xfId="12784"/>
    <cellStyle name="Heading 3 28" xfId="12785"/>
    <cellStyle name="Heading 3 29" xfId="12786"/>
    <cellStyle name="Heading 3 3" xfId="12788"/>
    <cellStyle name="Heading 3 3 2" xfId="12789"/>
    <cellStyle name="Heading 3 3 2 10" xfId="12790"/>
    <cellStyle name="Heading 3 3 2 11" xfId="12791"/>
    <cellStyle name="Heading 3 3 2 2" xfId="12792"/>
    <cellStyle name="Heading 3 3 2 3" xfId="12793"/>
    <cellStyle name="Heading 3 3 2 4" xfId="12794"/>
    <cellStyle name="Heading 3 3 2 5" xfId="12795"/>
    <cellStyle name="Heading 3 3 2 6" xfId="12796"/>
    <cellStyle name="Heading 3 3 2 7" xfId="12797"/>
    <cellStyle name="Heading 3 3 2 8" xfId="12798"/>
    <cellStyle name="Heading 3 3 2 9" xfId="12799"/>
    <cellStyle name="Heading 3 3 3" xfId="12800"/>
    <cellStyle name="Heading 3 3 3 2" xfId="12801"/>
    <cellStyle name="Heading 3 3 3 3" xfId="12802"/>
    <cellStyle name="Heading 3 3 4" xfId="12803"/>
    <cellStyle name="Heading 3 3 4 2" xfId="12804"/>
    <cellStyle name="Heading 3 3 4 3" xfId="12805"/>
    <cellStyle name="Heading 3 3 5" xfId="12806"/>
    <cellStyle name="Heading 3 3 6" xfId="12807"/>
    <cellStyle name="Heading 3 3_Ramadugu_ SWGH" xfId="12818"/>
    <cellStyle name="Heading 3 30" xfId="12808"/>
    <cellStyle name="Heading 3 31" xfId="12809"/>
    <cellStyle name="Heading 3 32" xfId="12810"/>
    <cellStyle name="Heading 3 33" xfId="12811"/>
    <cellStyle name="Heading 3 34" xfId="12812"/>
    <cellStyle name="Heading 3 35" xfId="12813"/>
    <cellStyle name="Heading 3 36" xfId="12814"/>
    <cellStyle name="Heading 3 37" xfId="12815"/>
    <cellStyle name="Heading 3 38" xfId="12816"/>
    <cellStyle name="Heading 3 39" xfId="12817"/>
    <cellStyle name="Heading 3 4" xfId="12819"/>
    <cellStyle name="Heading 3 4 10" xfId="12820"/>
    <cellStyle name="Heading 3 4 11" xfId="12821"/>
    <cellStyle name="Heading 3 4 12" xfId="12822"/>
    <cellStyle name="Heading 3 4 13" xfId="12823"/>
    <cellStyle name="Heading 3 4 14" xfId="12824"/>
    <cellStyle name="Heading 3 4 2" xfId="12825"/>
    <cellStyle name="Heading 3 4 2 2" xfId="12826"/>
    <cellStyle name="Heading 3 4 2 3" xfId="12827"/>
    <cellStyle name="Heading 3 4 3" xfId="12828"/>
    <cellStyle name="Heading 3 4 3 2" xfId="12829"/>
    <cellStyle name="Heading 3 4 3 3" xfId="12830"/>
    <cellStyle name="Heading 3 4 4" xfId="12831"/>
    <cellStyle name="Heading 3 4 4 2" xfId="12832"/>
    <cellStyle name="Heading 3 4 4 3" xfId="12833"/>
    <cellStyle name="Heading 3 4 5" xfId="12834"/>
    <cellStyle name="Heading 3 4 6" xfId="12835"/>
    <cellStyle name="Heading 3 4 7" xfId="12836"/>
    <cellStyle name="Heading 3 4 8" xfId="12837"/>
    <cellStyle name="Heading 3 4 9" xfId="12838"/>
    <cellStyle name="Heading 3 4_Sheet2" xfId="12839"/>
    <cellStyle name="Heading 3 5" xfId="12840"/>
    <cellStyle name="Heading 3 5 10" xfId="12841"/>
    <cellStyle name="Heading 3 5 11" xfId="12842"/>
    <cellStyle name="Heading 3 5 12" xfId="12843"/>
    <cellStyle name="Heading 3 5 2" xfId="12844"/>
    <cellStyle name="Heading 3 5 2 2" xfId="12845"/>
    <cellStyle name="Heading 3 5 2 3" xfId="12846"/>
    <cellStyle name="Heading 3 5 3" xfId="12847"/>
    <cellStyle name="Heading 3 5 3 2" xfId="12848"/>
    <cellStyle name="Heading 3 5 3 3" xfId="12849"/>
    <cellStyle name="Heading 3 5 4" xfId="12850"/>
    <cellStyle name="Heading 3 5 4 2" xfId="12851"/>
    <cellStyle name="Heading 3 5 4 3" xfId="12852"/>
    <cellStyle name="Heading 3 5 5" xfId="12853"/>
    <cellStyle name="Heading 3 5 6" xfId="12854"/>
    <cellStyle name="Heading 3 5 7" xfId="12855"/>
    <cellStyle name="Heading 3 5 8" xfId="12856"/>
    <cellStyle name="Heading 3 5 9" xfId="12857"/>
    <cellStyle name="Heading 3 5_Sheet2" xfId="12858"/>
    <cellStyle name="Heading 3 6" xfId="12859"/>
    <cellStyle name="Heading 3 6 10" xfId="12860"/>
    <cellStyle name="Heading 3 6 11" xfId="12861"/>
    <cellStyle name="Heading 3 6 12" xfId="12862"/>
    <cellStyle name="Heading 3 6 2" xfId="12863"/>
    <cellStyle name="Heading 3 6 2 2" xfId="12864"/>
    <cellStyle name="Heading 3 6 2 3" xfId="12865"/>
    <cellStyle name="Heading 3 6 3" xfId="12866"/>
    <cellStyle name="Heading 3 6 3 2" xfId="12867"/>
    <cellStyle name="Heading 3 6 3 3" xfId="12868"/>
    <cellStyle name="Heading 3 6 4" xfId="12869"/>
    <cellStyle name="Heading 3 6 4 2" xfId="12870"/>
    <cellStyle name="Heading 3 6 4 3" xfId="12871"/>
    <cellStyle name="Heading 3 6 5" xfId="12872"/>
    <cellStyle name="Heading 3 6 6" xfId="12873"/>
    <cellStyle name="Heading 3 6 7" xfId="12874"/>
    <cellStyle name="Heading 3 6 8" xfId="12875"/>
    <cellStyle name="Heading 3 6 9" xfId="12876"/>
    <cellStyle name="Heading 3 6_Sheet2" xfId="12877"/>
    <cellStyle name="Heading 3 7" xfId="12878"/>
    <cellStyle name="Heading 3 7 10" xfId="12879"/>
    <cellStyle name="Heading 3 7 11" xfId="12880"/>
    <cellStyle name="Heading 3 7 12" xfId="12881"/>
    <cellStyle name="Heading 3 7 2" xfId="12882"/>
    <cellStyle name="Heading 3 7 2 2" xfId="12883"/>
    <cellStyle name="Heading 3 7 2 3" xfId="12884"/>
    <cellStyle name="Heading 3 7 3" xfId="12885"/>
    <cellStyle name="Heading 3 7 3 2" xfId="12886"/>
    <cellStyle name="Heading 3 7 3 3" xfId="12887"/>
    <cellStyle name="Heading 3 7 4" xfId="12888"/>
    <cellStyle name="Heading 3 7 4 2" xfId="12889"/>
    <cellStyle name="Heading 3 7 4 3" xfId="12890"/>
    <cellStyle name="Heading 3 7 5" xfId="12891"/>
    <cellStyle name="Heading 3 7 6" xfId="12892"/>
    <cellStyle name="Heading 3 7 7" xfId="12893"/>
    <cellStyle name="Heading 3 7 8" xfId="12894"/>
    <cellStyle name="Heading 3 7 9" xfId="12895"/>
    <cellStyle name="Heading 3 7_Sheet2" xfId="12896"/>
    <cellStyle name="Heading 3 8" xfId="12897"/>
    <cellStyle name="Heading 3 8 10" xfId="12898"/>
    <cellStyle name="Heading 3 8 11" xfId="12899"/>
    <cellStyle name="Heading 3 8 2" xfId="12900"/>
    <cellStyle name="Heading 3 8 3" xfId="12901"/>
    <cellStyle name="Heading 3 8 4" xfId="12902"/>
    <cellStyle name="Heading 3 8 5" xfId="12903"/>
    <cellStyle name="Heading 3 8 6" xfId="12904"/>
    <cellStyle name="Heading 3 8 7" xfId="12905"/>
    <cellStyle name="Heading 3 8 8" xfId="12906"/>
    <cellStyle name="Heading 3 8 9" xfId="12907"/>
    <cellStyle name="Heading 3 8_Sheet2" xfId="12908"/>
    <cellStyle name="Heading 3 9" xfId="12909"/>
    <cellStyle name="Heading 3 9 2" xfId="12910"/>
    <cellStyle name="Heading 3 9 3" xfId="12911"/>
    <cellStyle name="Heading 3 9 4" xfId="12912"/>
    <cellStyle name="Heading 3 9 5" xfId="12913"/>
    <cellStyle name="Heading 3 9 6" xfId="12914"/>
    <cellStyle name="Heading 3 9 7" xfId="12915"/>
    <cellStyle name="Heading 3 9 8" xfId="12916"/>
    <cellStyle name="Heading 3 9 9" xfId="12917"/>
    <cellStyle name="Heading 3+" xfId="12918"/>
    <cellStyle name="Heading 4 10" xfId="12919"/>
    <cellStyle name="Heading 4 10 2" xfId="12920"/>
    <cellStyle name="Heading 4 10 3" xfId="12921"/>
    <cellStyle name="Heading 4 10 4" xfId="12922"/>
    <cellStyle name="Heading 4 10 5" xfId="12923"/>
    <cellStyle name="Heading 4 10 6" xfId="12924"/>
    <cellStyle name="Heading 4 10 7" xfId="12925"/>
    <cellStyle name="Heading 4 10 8" xfId="12926"/>
    <cellStyle name="Heading 4 10 9" xfId="12927"/>
    <cellStyle name="Heading 4 11" xfId="12928"/>
    <cellStyle name="Heading 4 11 2" xfId="12929"/>
    <cellStyle name="Heading 4 11 3" xfId="12930"/>
    <cellStyle name="Heading 4 11 4" xfId="12931"/>
    <cellStyle name="Heading 4 11 5" xfId="12932"/>
    <cellStyle name="Heading 4 11 6" xfId="12933"/>
    <cellStyle name="Heading 4 11 7" xfId="12934"/>
    <cellStyle name="Heading 4 11 8" xfId="12935"/>
    <cellStyle name="Heading 4 11 9" xfId="12936"/>
    <cellStyle name="Heading 4 12" xfId="12937"/>
    <cellStyle name="Heading 4 12 2" xfId="12938"/>
    <cellStyle name="Heading 4 12 3" xfId="12939"/>
    <cellStyle name="Heading 4 12 4" xfId="12940"/>
    <cellStyle name="Heading 4 12 5" xfId="12941"/>
    <cellStyle name="Heading 4 12 6" xfId="12942"/>
    <cellStyle name="Heading 4 12 7" xfId="12943"/>
    <cellStyle name="Heading 4 12 8" xfId="12944"/>
    <cellStyle name="Heading 4 12 9" xfId="12945"/>
    <cellStyle name="Heading 4 13" xfId="12946"/>
    <cellStyle name="Heading 4 13 2" xfId="12947"/>
    <cellStyle name="Heading 4 13 3" xfId="12948"/>
    <cellStyle name="Heading 4 13 4" xfId="12949"/>
    <cellStyle name="Heading 4 13 5" xfId="12950"/>
    <cellStyle name="Heading 4 13 6" xfId="12951"/>
    <cellStyle name="Heading 4 13 7" xfId="12952"/>
    <cellStyle name="Heading 4 13 8" xfId="12953"/>
    <cellStyle name="Heading 4 13 9" xfId="12954"/>
    <cellStyle name="Heading 4 14" xfId="12955"/>
    <cellStyle name="Heading 4 14 2" xfId="12956"/>
    <cellStyle name="Heading 4 14 3" xfId="12957"/>
    <cellStyle name="Heading 4 14 4" xfId="12958"/>
    <cellStyle name="Heading 4 14 5" xfId="12959"/>
    <cellStyle name="Heading 4 14 6" xfId="12960"/>
    <cellStyle name="Heading 4 14 7" xfId="12961"/>
    <cellStyle name="Heading 4 14 8" xfId="12962"/>
    <cellStyle name="Heading 4 14 9" xfId="12963"/>
    <cellStyle name="Heading 4 15" xfId="12964"/>
    <cellStyle name="Heading 4 15 2" xfId="12965"/>
    <cellStyle name="Heading 4 15 3" xfId="12966"/>
    <cellStyle name="Heading 4 15 4" xfId="12967"/>
    <cellStyle name="Heading 4 15 5" xfId="12968"/>
    <cellStyle name="Heading 4 15 6" xfId="12969"/>
    <cellStyle name="Heading 4 15 7" xfId="12970"/>
    <cellStyle name="Heading 4 15 8" xfId="12971"/>
    <cellStyle name="Heading 4 15 9" xfId="12972"/>
    <cellStyle name="Heading 4 16" xfId="12973"/>
    <cellStyle name="Heading 4 16 2" xfId="12974"/>
    <cellStyle name="Heading 4 16 3" xfId="12975"/>
    <cellStyle name="Heading 4 16 4" xfId="12976"/>
    <cellStyle name="Heading 4 16 5" xfId="12977"/>
    <cellStyle name="Heading 4 16 6" xfId="12978"/>
    <cellStyle name="Heading 4 16 7" xfId="12979"/>
    <cellStyle name="Heading 4 16 8" xfId="12980"/>
    <cellStyle name="Heading 4 16 9" xfId="12981"/>
    <cellStyle name="Heading 4 17" xfId="12982"/>
    <cellStyle name="Heading 4 18" xfId="12983"/>
    <cellStyle name="Heading 4 19" xfId="12984"/>
    <cellStyle name="Heading 4 2" xfId="12985"/>
    <cellStyle name="Heading 4 2 2" xfId="12986"/>
    <cellStyle name="Heading 4 2 2 2" xfId="12987"/>
    <cellStyle name="Heading 4 2 2 2 2" xfId="12988"/>
    <cellStyle name="Heading 4 2 2 3" xfId="12989"/>
    <cellStyle name="Heading 4 2 2 4" xfId="12990"/>
    <cellStyle name="Heading 4 2 2 5" xfId="12991"/>
    <cellStyle name="Heading 4 2 2 6" xfId="12992"/>
    <cellStyle name="Heading 4 2 2 7" xfId="12993"/>
    <cellStyle name="Heading 4 2 2 8" xfId="12994"/>
    <cellStyle name="Heading 4 2 2 9" xfId="12995"/>
    <cellStyle name="Heading 4 2 3" xfId="12996"/>
    <cellStyle name="Heading 4 2 4" xfId="12997"/>
    <cellStyle name="Heading 4 2 5" xfId="12998"/>
    <cellStyle name="Heading 4 2 6" xfId="12999"/>
    <cellStyle name="Heading 4 2_Block-F LGF POur-II BBS" xfId="13010"/>
    <cellStyle name="Heading 4 20" xfId="13000"/>
    <cellStyle name="Heading 4 21" xfId="13001"/>
    <cellStyle name="Heading 4 22" xfId="13002"/>
    <cellStyle name="Heading 4 23" xfId="13003"/>
    <cellStyle name="Heading 4 24" xfId="13004"/>
    <cellStyle name="Heading 4 25" xfId="13005"/>
    <cellStyle name="Heading 4 26" xfId="13006"/>
    <cellStyle name="Heading 4 27" xfId="13007"/>
    <cellStyle name="Heading 4 28" xfId="13008"/>
    <cellStyle name="Heading 4 29" xfId="13009"/>
    <cellStyle name="Heading 4 3" xfId="13011"/>
    <cellStyle name="Heading 4 3 2" xfId="13012"/>
    <cellStyle name="Heading 4 3 2 2" xfId="13013"/>
    <cellStyle name="Heading 4 3 2 3" xfId="13014"/>
    <cellStyle name="Heading 4 3 2 4" xfId="13015"/>
    <cellStyle name="Heading 4 3 2 5" xfId="13016"/>
    <cellStyle name="Heading 4 3 2 6" xfId="13017"/>
    <cellStyle name="Heading 4 3 2 7" xfId="13018"/>
    <cellStyle name="Heading 4 3 2 8" xfId="13019"/>
    <cellStyle name="Heading 4 3 2 9" xfId="13020"/>
    <cellStyle name="Heading 4 3 3" xfId="13021"/>
    <cellStyle name="Heading 4 3 4" xfId="13022"/>
    <cellStyle name="Heading 4 3_Ramadugu_ SWGH" xfId="13033"/>
    <cellStyle name="Heading 4 30" xfId="13023"/>
    <cellStyle name="Heading 4 31" xfId="13024"/>
    <cellStyle name="Heading 4 32" xfId="13025"/>
    <cellStyle name="Heading 4 33" xfId="13026"/>
    <cellStyle name="Heading 4 34" xfId="13027"/>
    <cellStyle name="Heading 4 35" xfId="13028"/>
    <cellStyle name="Heading 4 36" xfId="13029"/>
    <cellStyle name="Heading 4 37" xfId="13030"/>
    <cellStyle name="Heading 4 38" xfId="13031"/>
    <cellStyle name="Heading 4 39" xfId="13032"/>
    <cellStyle name="Heading 4 4" xfId="13034"/>
    <cellStyle name="Heading 4 4 10" xfId="13035"/>
    <cellStyle name="Heading 4 4 11" xfId="13036"/>
    <cellStyle name="Heading 4 4 12" xfId="13037"/>
    <cellStyle name="Heading 4 4 2" xfId="13038"/>
    <cellStyle name="Heading 4 4 2 2" xfId="13039"/>
    <cellStyle name="Heading 4 4 3" xfId="13040"/>
    <cellStyle name="Heading 4 4 4" xfId="13041"/>
    <cellStyle name="Heading 4 4 5" xfId="13042"/>
    <cellStyle name="Heading 4 4 6" xfId="13043"/>
    <cellStyle name="Heading 4 4 7" xfId="13044"/>
    <cellStyle name="Heading 4 4 8" xfId="13045"/>
    <cellStyle name="Heading 4 4 9" xfId="13046"/>
    <cellStyle name="Heading 4 4_Sheet2" xfId="13047"/>
    <cellStyle name="Heading 4 5" xfId="13048"/>
    <cellStyle name="Heading 4 5 10" xfId="13049"/>
    <cellStyle name="Heading 4 5 11" xfId="13050"/>
    <cellStyle name="Heading 4 5 12" xfId="13051"/>
    <cellStyle name="Heading 4 5 2" xfId="13052"/>
    <cellStyle name="Heading 4 5 2 2" xfId="13053"/>
    <cellStyle name="Heading 4 5 3" xfId="13054"/>
    <cellStyle name="Heading 4 5 4" xfId="13055"/>
    <cellStyle name="Heading 4 5 5" xfId="13056"/>
    <cellStyle name="Heading 4 5 6" xfId="13057"/>
    <cellStyle name="Heading 4 5 7" xfId="13058"/>
    <cellStyle name="Heading 4 5 8" xfId="13059"/>
    <cellStyle name="Heading 4 5 9" xfId="13060"/>
    <cellStyle name="Heading 4 5_Sheet2" xfId="13061"/>
    <cellStyle name="Heading 4 6" xfId="13062"/>
    <cellStyle name="Heading 4 6 10" xfId="13063"/>
    <cellStyle name="Heading 4 6 11" xfId="13064"/>
    <cellStyle name="Heading 4 6 12" xfId="13065"/>
    <cellStyle name="Heading 4 6 2" xfId="13066"/>
    <cellStyle name="Heading 4 6 3" xfId="13067"/>
    <cellStyle name="Heading 4 6 4" xfId="13068"/>
    <cellStyle name="Heading 4 6 5" xfId="13069"/>
    <cellStyle name="Heading 4 6 6" xfId="13070"/>
    <cellStyle name="Heading 4 6 7" xfId="13071"/>
    <cellStyle name="Heading 4 6 8" xfId="13072"/>
    <cellStyle name="Heading 4 6 9" xfId="13073"/>
    <cellStyle name="Heading 4 6_Sheet2" xfId="13074"/>
    <cellStyle name="Heading 4 7" xfId="13075"/>
    <cellStyle name="Heading 4 7 10" xfId="13076"/>
    <cellStyle name="Heading 4 7 11" xfId="13077"/>
    <cellStyle name="Heading 4 7 12" xfId="13078"/>
    <cellStyle name="Heading 4 7 2" xfId="13079"/>
    <cellStyle name="Heading 4 7 3" xfId="13080"/>
    <cellStyle name="Heading 4 7 4" xfId="13081"/>
    <cellStyle name="Heading 4 7 5" xfId="13082"/>
    <cellStyle name="Heading 4 7 6" xfId="13083"/>
    <cellStyle name="Heading 4 7 7" xfId="13084"/>
    <cellStyle name="Heading 4 7 8" xfId="13085"/>
    <cellStyle name="Heading 4 7 9" xfId="13086"/>
    <cellStyle name="Heading 4 7_Sheet2" xfId="13087"/>
    <cellStyle name="Heading 4 8" xfId="13088"/>
    <cellStyle name="Heading 4 8 10" xfId="13089"/>
    <cellStyle name="Heading 4 8 11" xfId="13090"/>
    <cellStyle name="Heading 4 8 2" xfId="13091"/>
    <cellStyle name="Heading 4 8 3" xfId="13092"/>
    <cellStyle name="Heading 4 8 4" xfId="13093"/>
    <cellStyle name="Heading 4 8 5" xfId="13094"/>
    <cellStyle name="Heading 4 8 6" xfId="13095"/>
    <cellStyle name="Heading 4 8 7" xfId="13096"/>
    <cellStyle name="Heading 4 8 8" xfId="13097"/>
    <cellStyle name="Heading 4 8 9" xfId="13098"/>
    <cellStyle name="Heading 4 8_Sheet2" xfId="13099"/>
    <cellStyle name="Heading 4 9" xfId="13100"/>
    <cellStyle name="Heading 4 9 2" xfId="13101"/>
    <cellStyle name="Heading 4 9 3" xfId="13102"/>
    <cellStyle name="Heading 4 9 4" xfId="13103"/>
    <cellStyle name="Heading 4 9 5" xfId="13104"/>
    <cellStyle name="Heading 4 9 6" xfId="13105"/>
    <cellStyle name="Heading 4 9 7" xfId="13106"/>
    <cellStyle name="Heading 4 9 8" xfId="13107"/>
    <cellStyle name="Heading 4 9 9" xfId="13108"/>
    <cellStyle name="Heading 5" xfId="13109"/>
    <cellStyle name="Heading 6" xfId="13110"/>
    <cellStyle name="Heading 7" xfId="13111"/>
    <cellStyle name="Heading 8" xfId="13112"/>
    <cellStyle name="Heading 9" xfId="13113"/>
    <cellStyle name="Heading Bar" xfId="13114"/>
    <cellStyle name="Heading1" xfId="13115"/>
    <cellStyle name="Heading1 1" xfId="13116"/>
    <cellStyle name="Heading1 2" xfId="13117"/>
    <cellStyle name="Heading1 2 2" xfId="13118"/>
    <cellStyle name="Heading1 2_KC720 - JCR - Mar '11" xfId="13119"/>
    <cellStyle name="Heading1 3" xfId="13120"/>
    <cellStyle name="Heading1 4" xfId="13121"/>
    <cellStyle name="Heading1_2 Taj Dwarka_Costing_07.03.09" xfId="13122"/>
    <cellStyle name="Heading2" xfId="13123"/>
    <cellStyle name="Heading2 2" xfId="13124"/>
    <cellStyle name="Heading2 2 2" xfId="13125"/>
    <cellStyle name="Heading2 2_KC720 - JCR - Mar '11" xfId="13126"/>
    <cellStyle name="Heading2 3" xfId="13127"/>
    <cellStyle name="Heading2 4" xfId="13128"/>
    <cellStyle name="Heading2_Boq dpl PH3 REv2" xfId="13129"/>
    <cellStyle name="HeadRow" xfId="13130"/>
    <cellStyle name="HeadRowCol" xfId="13131"/>
    <cellStyle name="helv" xfId="13132"/>
    <cellStyle name="helv 2" xfId="13133"/>
    <cellStyle name="helv 2 2" xfId="13134"/>
    <cellStyle name="helv 2 3" xfId="13135"/>
    <cellStyle name="helv 2 4" xfId="13136"/>
    <cellStyle name="helv 3" xfId="13137"/>
    <cellStyle name="helv 4" xfId="13138"/>
    <cellStyle name="helv 5" xfId="13139"/>
    <cellStyle name="helv 6" xfId="13140"/>
    <cellStyle name="helv 7" xfId="13141"/>
    <cellStyle name="hh" xfId="13142"/>
    <cellStyle name="Hidden" xfId="13143"/>
    <cellStyle name="Hide" xfId="13144"/>
    <cellStyle name="Hide'" xfId="13145"/>
    <cellStyle name="Hide_Financings v5" xfId="13146"/>
    <cellStyle name="hj" xfId="13147"/>
    <cellStyle name="Hyperlink 10" xfId="13148"/>
    <cellStyle name="Hyperlink 11" xfId="13149"/>
    <cellStyle name="Hyperlink 2" xfId="13150"/>
    <cellStyle name="Hyperlink 2 2" xfId="13151"/>
    <cellStyle name="Hyperlink 2 3" xfId="13152"/>
    <cellStyle name="Hyperlink 2 3 2" xfId="13153"/>
    <cellStyle name="Hyperlink 2 4" xfId="13154"/>
    <cellStyle name="Hyperlink 2 5" xfId="13155"/>
    <cellStyle name="Hyperlink 2 6" xfId="13156"/>
    <cellStyle name="Hyperlink 2_500 KL OHSR 21.60m Staging" xfId="13157"/>
    <cellStyle name="Hyperlink 3" xfId="13158"/>
    <cellStyle name="Hyperlink 4" xfId="13159"/>
    <cellStyle name="Hyperlink 4 2" xfId="13160"/>
    <cellStyle name="Hyperlink 4 3" xfId="13161"/>
    <cellStyle name="Hyperlink 5" xfId="13162"/>
    <cellStyle name="Hyperlink 6" xfId="13163"/>
    <cellStyle name="Hyperlink 7" xfId="13164"/>
    <cellStyle name="Hyperlink 8" xfId="13165"/>
    <cellStyle name="Hyperlink 9" xfId="13166"/>
    <cellStyle name="Hypertextový odkaz" xfId="13167"/>
    <cellStyle name="Hypertextový odkaz 2" xfId="13168"/>
    <cellStyle name="Hypertextový odkaz_Extra items Diff" xfId="13169"/>
    <cellStyle name="i" xfId="13170"/>
    <cellStyle name="i_BEA Merger Analysis Nov 20" xfId="13171"/>
    <cellStyle name="i_BEA Merger Analysis Nov 20 2" xfId="13172"/>
    <cellStyle name="i_BEA Merger Analysis Nov 20 2 2" xfId="13173"/>
    <cellStyle name="i_BEA Merger Analysis Nov 20 2 3" xfId="13174"/>
    <cellStyle name="i_BEA Merger Analysis Nov 20 2 4" xfId="13175"/>
    <cellStyle name="i_BEA Merger Analysis Nov 20 3" xfId="13176"/>
    <cellStyle name="i_BEA Merger Analysis Nov 20 4" xfId="13177"/>
    <cellStyle name="i_BEA Merger Analysis Nov 20 5" xfId="13178"/>
    <cellStyle name="i_BEA Merger Analysis Nov 20 6" xfId="13179"/>
    <cellStyle name="i_BEA Merger Analysis Nov 20 7" xfId="13180"/>
    <cellStyle name="i_Cinderella Model v22a" xfId="13181"/>
    <cellStyle name="i_Mars Model v28" xfId="13182"/>
    <cellStyle name="Í¢" xfId="30828"/>
    <cellStyle name="ii" xfId="13183"/>
    <cellStyle name="iii" xfId="13184"/>
    <cellStyle name="INCHES" xfId="13185"/>
    <cellStyle name="INCHES 10" xfId="13186"/>
    <cellStyle name="INCHES 11" xfId="13187"/>
    <cellStyle name="INCHES 12" xfId="13188"/>
    <cellStyle name="INCHES 13" xfId="13189"/>
    <cellStyle name="INCHES 2" xfId="13190"/>
    <cellStyle name="INCHES 2 2" xfId="13191"/>
    <cellStyle name="INCHES 2 3" xfId="13192"/>
    <cellStyle name="INCHES 2 4" xfId="13193"/>
    <cellStyle name="INCHES 3" xfId="13194"/>
    <cellStyle name="INCHES 4" xfId="13195"/>
    <cellStyle name="INCHES 5" xfId="13196"/>
    <cellStyle name="INCHES 6" xfId="13197"/>
    <cellStyle name="INCHES 7" xfId="13198"/>
    <cellStyle name="INCHES 8" xfId="13199"/>
    <cellStyle name="INCHES 9" xfId="13200"/>
    <cellStyle name="INCHES_Extra items Diff" xfId="13201"/>
    <cellStyle name="Indent" xfId="13202"/>
    <cellStyle name="Input [yellow]" xfId="14658"/>
    <cellStyle name="Input [yellow] 10" xfId="14659"/>
    <cellStyle name="Input [yellow] 10 2" xfId="14660"/>
    <cellStyle name="Input [yellow] 10 2 2" xfId="14661"/>
    <cellStyle name="Input [yellow] 10 2 3" xfId="14662"/>
    <cellStyle name="Input [yellow] 10 2 4" xfId="14663"/>
    <cellStyle name="Input [yellow] 10 3" xfId="14664"/>
    <cellStyle name="Input [yellow] 10 4" xfId="14665"/>
    <cellStyle name="Input [yellow] 10 5" xfId="14666"/>
    <cellStyle name="Input [yellow] 10 6" xfId="14667"/>
    <cellStyle name="Input [yellow] 10 7" xfId="14668"/>
    <cellStyle name="Input [yellow] 11" xfId="14669"/>
    <cellStyle name="Input [yellow] 11 2" xfId="14670"/>
    <cellStyle name="Input [yellow] 11 2 2" xfId="14671"/>
    <cellStyle name="Input [yellow] 11 2 3" xfId="14672"/>
    <cellStyle name="Input [yellow] 11 2 4" xfId="14673"/>
    <cellStyle name="Input [yellow] 11 3" xfId="14674"/>
    <cellStyle name="Input [yellow] 11 4" xfId="14675"/>
    <cellStyle name="Input [yellow] 11 5" xfId="14676"/>
    <cellStyle name="Input [yellow] 11 6" xfId="14677"/>
    <cellStyle name="Input [yellow] 11 7" xfId="14678"/>
    <cellStyle name="Input [yellow] 12" xfId="14679"/>
    <cellStyle name="Input [yellow] 12 2" xfId="14680"/>
    <cellStyle name="Input [yellow] 12 2 2" xfId="14681"/>
    <cellStyle name="Input [yellow] 12 2 3" xfId="14682"/>
    <cellStyle name="Input [yellow] 12 2 4" xfId="14683"/>
    <cellStyle name="Input [yellow] 12 3" xfId="14684"/>
    <cellStyle name="Input [yellow] 12 4" xfId="14685"/>
    <cellStyle name="Input [yellow] 12 5" xfId="14686"/>
    <cellStyle name="Input [yellow] 12 6" xfId="14687"/>
    <cellStyle name="Input [yellow] 12 7" xfId="14688"/>
    <cellStyle name="Input [yellow] 13" xfId="14689"/>
    <cellStyle name="Input [yellow] 13 2" xfId="14690"/>
    <cellStyle name="Input [yellow] 13 2 2" xfId="14691"/>
    <cellStyle name="Input [yellow] 13 2 3" xfId="14692"/>
    <cellStyle name="Input [yellow] 13 2 4" xfId="14693"/>
    <cellStyle name="Input [yellow] 13 3" xfId="14694"/>
    <cellStyle name="Input [yellow] 13 4" xfId="14695"/>
    <cellStyle name="Input [yellow] 13 5" xfId="14696"/>
    <cellStyle name="Input [yellow] 13 6" xfId="14697"/>
    <cellStyle name="Input [yellow] 13 7" xfId="14698"/>
    <cellStyle name="Input [yellow] 14" xfId="14699"/>
    <cellStyle name="Input [yellow] 14 2" xfId="14700"/>
    <cellStyle name="Input [yellow] 14 3" xfId="14701"/>
    <cellStyle name="Input [yellow] 14 4" xfId="14702"/>
    <cellStyle name="Input [yellow] 15" xfId="14703"/>
    <cellStyle name="Input [yellow] 15 2" xfId="14704"/>
    <cellStyle name="Input [yellow] 15 3" xfId="14705"/>
    <cellStyle name="Input [yellow] 15 4" xfId="14706"/>
    <cellStyle name="Input [yellow] 16" xfId="14707"/>
    <cellStyle name="Input [yellow] 17" xfId="14708"/>
    <cellStyle name="Input [yellow] 18" xfId="14709"/>
    <cellStyle name="Input [yellow] 19" xfId="14710"/>
    <cellStyle name="Input [yellow] 2" xfId="14711"/>
    <cellStyle name="Input [yellow] 2 2" xfId="14712"/>
    <cellStyle name="Input [yellow] 2 2 2" xfId="14713"/>
    <cellStyle name="Input [yellow] 2 2 3" xfId="14714"/>
    <cellStyle name="Input [yellow] 2 2 4" xfId="14715"/>
    <cellStyle name="Input [yellow] 2 3" xfId="14716"/>
    <cellStyle name="Input [yellow] 2 4" xfId="14717"/>
    <cellStyle name="Input [yellow] 2 5" xfId="14718"/>
    <cellStyle name="Input [yellow] 2 6" xfId="14719"/>
    <cellStyle name="Input [yellow] 2 7" xfId="14720"/>
    <cellStyle name="Input [yellow] 3" xfId="14721"/>
    <cellStyle name="Input [yellow] 3 2" xfId="14722"/>
    <cellStyle name="Input [yellow] 3 2 2" xfId="14723"/>
    <cellStyle name="Input [yellow] 3 2 3" xfId="14724"/>
    <cellStyle name="Input [yellow] 3 2 4" xfId="14725"/>
    <cellStyle name="Input [yellow] 3 3" xfId="14726"/>
    <cellStyle name="Input [yellow] 3 4" xfId="14727"/>
    <cellStyle name="Input [yellow] 3 5" xfId="14728"/>
    <cellStyle name="Input [yellow] 3 6" xfId="14729"/>
    <cellStyle name="Input [yellow] 3 7" xfId="14730"/>
    <cellStyle name="Input [yellow] 4" xfId="14731"/>
    <cellStyle name="Input [yellow] 4 2" xfId="14732"/>
    <cellStyle name="Input [yellow] 4 2 2" xfId="14733"/>
    <cellStyle name="Input [yellow] 4 2 3" xfId="14734"/>
    <cellStyle name="Input [yellow] 4 2 4" xfId="14735"/>
    <cellStyle name="Input [yellow] 4 3" xfId="14736"/>
    <cellStyle name="Input [yellow] 4 4" xfId="14737"/>
    <cellStyle name="Input [yellow] 4 5" xfId="14738"/>
    <cellStyle name="Input [yellow] 4 6" xfId="14739"/>
    <cellStyle name="Input [yellow] 4 7" xfId="14740"/>
    <cellStyle name="Input [yellow] 5" xfId="14741"/>
    <cellStyle name="Input [yellow] 5 2" xfId="14742"/>
    <cellStyle name="Input [yellow] 5 2 2" xfId="14743"/>
    <cellStyle name="Input [yellow] 5 2 3" xfId="14744"/>
    <cellStyle name="Input [yellow] 5 2 4" xfId="14745"/>
    <cellStyle name="Input [yellow] 5 3" xfId="14746"/>
    <cellStyle name="Input [yellow] 5 4" xfId="14747"/>
    <cellStyle name="Input [yellow] 5 5" xfId="14748"/>
    <cellStyle name="Input [yellow] 5 6" xfId="14749"/>
    <cellStyle name="Input [yellow] 5 7" xfId="14750"/>
    <cellStyle name="Input [yellow] 6" xfId="14751"/>
    <cellStyle name="Input [yellow] 6 2" xfId="14752"/>
    <cellStyle name="Input [yellow] 6 2 2" xfId="14753"/>
    <cellStyle name="Input [yellow] 6 2 3" xfId="14754"/>
    <cellStyle name="Input [yellow] 6 2 4" xfId="14755"/>
    <cellStyle name="Input [yellow] 6 3" xfId="14756"/>
    <cellStyle name="Input [yellow] 6 4" xfId="14757"/>
    <cellStyle name="Input [yellow] 6 5" xfId="14758"/>
    <cellStyle name="Input [yellow] 6 6" xfId="14759"/>
    <cellStyle name="Input [yellow] 6 7" xfId="14760"/>
    <cellStyle name="Input [yellow] 7" xfId="14761"/>
    <cellStyle name="Input [yellow] 7 2" xfId="14762"/>
    <cellStyle name="Input [yellow] 7 2 2" xfId="14763"/>
    <cellStyle name="Input [yellow] 7 2 3" xfId="14764"/>
    <cellStyle name="Input [yellow] 7 2 4" xfId="14765"/>
    <cellStyle name="Input [yellow] 7 3" xfId="14766"/>
    <cellStyle name="Input [yellow] 7 4" xfId="14767"/>
    <cellStyle name="Input [yellow] 7 5" xfId="14768"/>
    <cellStyle name="Input [yellow] 7 6" xfId="14769"/>
    <cellStyle name="Input [yellow] 7 7" xfId="14770"/>
    <cellStyle name="Input [yellow] 8" xfId="14771"/>
    <cellStyle name="Input [yellow] 8 2" xfId="14772"/>
    <cellStyle name="Input [yellow] 8 2 2" xfId="14773"/>
    <cellStyle name="Input [yellow] 8 2 3" xfId="14774"/>
    <cellStyle name="Input [yellow] 8 2 4" xfId="14775"/>
    <cellStyle name="Input [yellow] 8 3" xfId="14776"/>
    <cellStyle name="Input [yellow] 8 4" xfId="14777"/>
    <cellStyle name="Input [yellow] 8 5" xfId="14778"/>
    <cellStyle name="Input [yellow] 8 6" xfId="14779"/>
    <cellStyle name="Input [yellow] 8 7" xfId="14780"/>
    <cellStyle name="Input [yellow] 9" xfId="14781"/>
    <cellStyle name="Input [yellow] 9 2" xfId="14782"/>
    <cellStyle name="Input [yellow] 9 2 2" xfId="14783"/>
    <cellStyle name="Input [yellow] 9 2 3" xfId="14784"/>
    <cellStyle name="Input [yellow] 9 2 4" xfId="14785"/>
    <cellStyle name="Input [yellow] 9 3" xfId="14786"/>
    <cellStyle name="Input [yellow] 9 4" xfId="14787"/>
    <cellStyle name="Input [yellow] 9 5" xfId="14788"/>
    <cellStyle name="Input [yellow] 9 6" xfId="14789"/>
    <cellStyle name="Input [yellow] 9 7" xfId="14790"/>
    <cellStyle name="Input [yellow]_DLF Capital Greens -Consolidated Finishes BOQ Phase II " xfId="14791"/>
    <cellStyle name="Input 10" xfId="13203"/>
    <cellStyle name="Input 10 10" xfId="13204"/>
    <cellStyle name="Input 10 10 2" xfId="13205"/>
    <cellStyle name="Input 10 10 3" xfId="13206"/>
    <cellStyle name="Input 10 10 4" xfId="13207"/>
    <cellStyle name="Input 10 11" xfId="13208"/>
    <cellStyle name="Input 10 11 2" xfId="13209"/>
    <cellStyle name="Input 10 11 3" xfId="13210"/>
    <cellStyle name="Input 10 11 4" xfId="13211"/>
    <cellStyle name="Input 10 12" xfId="13212"/>
    <cellStyle name="Input 10 13" xfId="13213"/>
    <cellStyle name="Input 10 14" xfId="13214"/>
    <cellStyle name="Input 10 2" xfId="13215"/>
    <cellStyle name="Input 10 2 2" xfId="13216"/>
    <cellStyle name="Input 10 2 2 2" xfId="13217"/>
    <cellStyle name="Input 10 2 2 3" xfId="13218"/>
    <cellStyle name="Input 10 2 2 4" xfId="13219"/>
    <cellStyle name="Input 10 2 3" xfId="13220"/>
    <cellStyle name="Input 10 2 4" xfId="13221"/>
    <cellStyle name="Input 10 2 5" xfId="13222"/>
    <cellStyle name="Input 10 3" xfId="13223"/>
    <cellStyle name="Input 10 3 2" xfId="13224"/>
    <cellStyle name="Input 10 3 2 2" xfId="13225"/>
    <cellStyle name="Input 10 3 2 3" xfId="13226"/>
    <cellStyle name="Input 10 3 2 4" xfId="13227"/>
    <cellStyle name="Input 10 3 3" xfId="13228"/>
    <cellStyle name="Input 10 3 4" xfId="13229"/>
    <cellStyle name="Input 10 3 5" xfId="13230"/>
    <cellStyle name="Input 10 4" xfId="13231"/>
    <cellStyle name="Input 10 4 2" xfId="13232"/>
    <cellStyle name="Input 10 4 2 2" xfId="13233"/>
    <cellStyle name="Input 10 4 2 3" xfId="13234"/>
    <cellStyle name="Input 10 4 2 4" xfId="13235"/>
    <cellStyle name="Input 10 4 3" xfId="13236"/>
    <cellStyle name="Input 10 4 4" xfId="13237"/>
    <cellStyle name="Input 10 4 5" xfId="13238"/>
    <cellStyle name="Input 10 5" xfId="13239"/>
    <cellStyle name="Input 10 5 2" xfId="13240"/>
    <cellStyle name="Input 10 5 2 2" xfId="13241"/>
    <cellStyle name="Input 10 5 2 3" xfId="13242"/>
    <cellStyle name="Input 10 5 2 4" xfId="13243"/>
    <cellStyle name="Input 10 5 3" xfId="13244"/>
    <cellStyle name="Input 10 5 4" xfId="13245"/>
    <cellStyle name="Input 10 5 5" xfId="13246"/>
    <cellStyle name="Input 10 6" xfId="13247"/>
    <cellStyle name="Input 10 6 2" xfId="13248"/>
    <cellStyle name="Input 10 6 2 2" xfId="13249"/>
    <cellStyle name="Input 10 6 2 3" xfId="13250"/>
    <cellStyle name="Input 10 6 2 4" xfId="13251"/>
    <cellStyle name="Input 10 6 3" xfId="13252"/>
    <cellStyle name="Input 10 6 4" xfId="13253"/>
    <cellStyle name="Input 10 6 5" xfId="13254"/>
    <cellStyle name="Input 10 7" xfId="13255"/>
    <cellStyle name="Input 10 7 2" xfId="13256"/>
    <cellStyle name="Input 10 7 2 2" xfId="13257"/>
    <cellStyle name="Input 10 7 2 3" xfId="13258"/>
    <cellStyle name="Input 10 7 2 4" xfId="13259"/>
    <cellStyle name="Input 10 7 3" xfId="13260"/>
    <cellStyle name="Input 10 7 4" xfId="13261"/>
    <cellStyle name="Input 10 7 5" xfId="13262"/>
    <cellStyle name="Input 10 8" xfId="13263"/>
    <cellStyle name="Input 10 8 2" xfId="13264"/>
    <cellStyle name="Input 10 8 2 2" xfId="13265"/>
    <cellStyle name="Input 10 8 2 3" xfId="13266"/>
    <cellStyle name="Input 10 8 2 4" xfId="13267"/>
    <cellStyle name="Input 10 8 3" xfId="13268"/>
    <cellStyle name="Input 10 8 4" xfId="13269"/>
    <cellStyle name="Input 10 8 5" xfId="13270"/>
    <cellStyle name="Input 10 9" xfId="13271"/>
    <cellStyle name="Input 10 9 2" xfId="13272"/>
    <cellStyle name="Input 10 9 2 2" xfId="13273"/>
    <cellStyle name="Input 10 9 2 3" xfId="13274"/>
    <cellStyle name="Input 10 9 2 4" xfId="13275"/>
    <cellStyle name="Input 10 9 3" xfId="13276"/>
    <cellStyle name="Input 10 9 4" xfId="13277"/>
    <cellStyle name="Input 10 9 5" xfId="13278"/>
    <cellStyle name="Input 11" xfId="13279"/>
    <cellStyle name="Input 11 10" xfId="13280"/>
    <cellStyle name="Input 11 10 2" xfId="13281"/>
    <cellStyle name="Input 11 10 3" xfId="13282"/>
    <cellStyle name="Input 11 10 4" xfId="13283"/>
    <cellStyle name="Input 11 11" xfId="13284"/>
    <cellStyle name="Input 11 11 2" xfId="13285"/>
    <cellStyle name="Input 11 11 3" xfId="13286"/>
    <cellStyle name="Input 11 11 4" xfId="13287"/>
    <cellStyle name="Input 11 12" xfId="13288"/>
    <cellStyle name="Input 11 13" xfId="13289"/>
    <cellStyle name="Input 11 14" xfId="13290"/>
    <cellStyle name="Input 11 2" xfId="13291"/>
    <cellStyle name="Input 11 3" xfId="13292"/>
    <cellStyle name="Input 11 4" xfId="13293"/>
    <cellStyle name="Input 11 5" xfId="13294"/>
    <cellStyle name="Input 11 6" xfId="13295"/>
    <cellStyle name="Input 11 7" xfId="13296"/>
    <cellStyle name="Input 11 8" xfId="13297"/>
    <cellStyle name="Input 11 9" xfId="13298"/>
    <cellStyle name="Input 12" xfId="13299"/>
    <cellStyle name="Input 12 10" xfId="13300"/>
    <cellStyle name="Input 12 10 2" xfId="13301"/>
    <cellStyle name="Input 12 10 3" xfId="13302"/>
    <cellStyle name="Input 12 10 4" xfId="13303"/>
    <cellStyle name="Input 12 11" xfId="13304"/>
    <cellStyle name="Input 12 11 2" xfId="13305"/>
    <cellStyle name="Input 12 11 3" xfId="13306"/>
    <cellStyle name="Input 12 11 4" xfId="13307"/>
    <cellStyle name="Input 12 12" xfId="13308"/>
    <cellStyle name="Input 12 13" xfId="13309"/>
    <cellStyle name="Input 12 14" xfId="13310"/>
    <cellStyle name="Input 12 2" xfId="13311"/>
    <cellStyle name="Input 12 3" xfId="13312"/>
    <cellStyle name="Input 12 4" xfId="13313"/>
    <cellStyle name="Input 12 5" xfId="13314"/>
    <cellStyle name="Input 12 6" xfId="13315"/>
    <cellStyle name="Input 12 7" xfId="13316"/>
    <cellStyle name="Input 12 8" xfId="13317"/>
    <cellStyle name="Input 12 9" xfId="13318"/>
    <cellStyle name="Input 13" xfId="13319"/>
    <cellStyle name="Input 13 10" xfId="13320"/>
    <cellStyle name="Input 13 10 2" xfId="13321"/>
    <cellStyle name="Input 13 10 3" xfId="13322"/>
    <cellStyle name="Input 13 10 4" xfId="13323"/>
    <cellStyle name="Input 13 11" xfId="13324"/>
    <cellStyle name="Input 13 11 2" xfId="13325"/>
    <cellStyle name="Input 13 11 3" xfId="13326"/>
    <cellStyle name="Input 13 11 4" xfId="13327"/>
    <cellStyle name="Input 13 12" xfId="13328"/>
    <cellStyle name="Input 13 13" xfId="13329"/>
    <cellStyle name="Input 13 14" xfId="13330"/>
    <cellStyle name="Input 13 2" xfId="13331"/>
    <cellStyle name="Input 13 3" xfId="13332"/>
    <cellStyle name="Input 13 4" xfId="13333"/>
    <cellStyle name="Input 13 5" xfId="13334"/>
    <cellStyle name="Input 13 6" xfId="13335"/>
    <cellStyle name="Input 13 7" xfId="13336"/>
    <cellStyle name="Input 13 8" xfId="13337"/>
    <cellStyle name="Input 13 9" xfId="13338"/>
    <cellStyle name="Input 14" xfId="13339"/>
    <cellStyle name="Input 14 10" xfId="13340"/>
    <cellStyle name="Input 14 10 2" xfId="13341"/>
    <cellStyle name="Input 14 10 3" xfId="13342"/>
    <cellStyle name="Input 14 10 4" xfId="13343"/>
    <cellStyle name="Input 14 11" xfId="13344"/>
    <cellStyle name="Input 14 11 2" xfId="13345"/>
    <cellStyle name="Input 14 11 3" xfId="13346"/>
    <cellStyle name="Input 14 11 4" xfId="13347"/>
    <cellStyle name="Input 14 12" xfId="13348"/>
    <cellStyle name="Input 14 13" xfId="13349"/>
    <cellStyle name="Input 14 14" xfId="13350"/>
    <cellStyle name="Input 14 2" xfId="13351"/>
    <cellStyle name="Input 14 3" xfId="13352"/>
    <cellStyle name="Input 14 4" xfId="13353"/>
    <cellStyle name="Input 14 5" xfId="13354"/>
    <cellStyle name="Input 14 6" xfId="13355"/>
    <cellStyle name="Input 14 7" xfId="13356"/>
    <cellStyle name="Input 14 8" xfId="13357"/>
    <cellStyle name="Input 14 9" xfId="13358"/>
    <cellStyle name="Input 15" xfId="13359"/>
    <cellStyle name="Input 15 10" xfId="13360"/>
    <cellStyle name="Input 15 10 2" xfId="13361"/>
    <cellStyle name="Input 15 10 3" xfId="13362"/>
    <cellStyle name="Input 15 10 4" xfId="13363"/>
    <cellStyle name="Input 15 11" xfId="13364"/>
    <cellStyle name="Input 15 11 2" xfId="13365"/>
    <cellStyle name="Input 15 11 3" xfId="13366"/>
    <cellStyle name="Input 15 11 4" xfId="13367"/>
    <cellStyle name="Input 15 12" xfId="13368"/>
    <cellStyle name="Input 15 13" xfId="13369"/>
    <cellStyle name="Input 15 14" xfId="13370"/>
    <cellStyle name="Input 15 2" xfId="13371"/>
    <cellStyle name="Input 15 3" xfId="13372"/>
    <cellStyle name="Input 15 4" xfId="13373"/>
    <cellStyle name="Input 15 5" xfId="13374"/>
    <cellStyle name="Input 15 6" xfId="13375"/>
    <cellStyle name="Input 15 7" xfId="13376"/>
    <cellStyle name="Input 15 8" xfId="13377"/>
    <cellStyle name="Input 15 9" xfId="13378"/>
    <cellStyle name="Input 16" xfId="13379"/>
    <cellStyle name="Input 16 10" xfId="13380"/>
    <cellStyle name="Input 16 10 2" xfId="13381"/>
    <cellStyle name="Input 16 10 3" xfId="13382"/>
    <cellStyle name="Input 16 10 4" xfId="13383"/>
    <cellStyle name="Input 16 11" xfId="13384"/>
    <cellStyle name="Input 16 11 2" xfId="13385"/>
    <cellStyle name="Input 16 11 3" xfId="13386"/>
    <cellStyle name="Input 16 11 4" xfId="13387"/>
    <cellStyle name="Input 16 12" xfId="13388"/>
    <cellStyle name="Input 16 13" xfId="13389"/>
    <cellStyle name="Input 16 14" xfId="13390"/>
    <cellStyle name="Input 16 2" xfId="13391"/>
    <cellStyle name="Input 16 3" xfId="13392"/>
    <cellStyle name="Input 16 4" xfId="13393"/>
    <cellStyle name="Input 16 5" xfId="13394"/>
    <cellStyle name="Input 16 6" xfId="13395"/>
    <cellStyle name="Input 16 7" xfId="13396"/>
    <cellStyle name="Input 16 8" xfId="13397"/>
    <cellStyle name="Input 16 9" xfId="13398"/>
    <cellStyle name="Input 17" xfId="13399"/>
    <cellStyle name="Input 18" xfId="13400"/>
    <cellStyle name="Input 19" xfId="13401"/>
    <cellStyle name="Input 2" xfId="13402"/>
    <cellStyle name="Input 2 10" xfId="13403"/>
    <cellStyle name="Input 2 11" xfId="13404"/>
    <cellStyle name="Input 2 2" xfId="13405"/>
    <cellStyle name="Input 2 2 10" xfId="13406"/>
    <cellStyle name="Input 2 2 10 2" xfId="13407"/>
    <cellStyle name="Input 2 2 10 2 2" xfId="13408"/>
    <cellStyle name="Input 2 2 10 2 3" xfId="13409"/>
    <cellStyle name="Input 2 2 10 2 4" xfId="13410"/>
    <cellStyle name="Input 2 2 10 3" xfId="13411"/>
    <cellStyle name="Input 2 2 10 4" xfId="13412"/>
    <cellStyle name="Input 2 2 10 5" xfId="13413"/>
    <cellStyle name="Input 2 2 11" xfId="13414"/>
    <cellStyle name="Input 2 2 11 2" xfId="13415"/>
    <cellStyle name="Input 2 2 11 2 2" xfId="13416"/>
    <cellStyle name="Input 2 2 11 2 3" xfId="13417"/>
    <cellStyle name="Input 2 2 11 2 4" xfId="13418"/>
    <cellStyle name="Input 2 2 11 3" xfId="13419"/>
    <cellStyle name="Input 2 2 11 4" xfId="13420"/>
    <cellStyle name="Input 2 2 11 5" xfId="13421"/>
    <cellStyle name="Input 2 2 12" xfId="13422"/>
    <cellStyle name="Input 2 2 12 2" xfId="13423"/>
    <cellStyle name="Input 2 2 12 3" xfId="13424"/>
    <cellStyle name="Input 2 2 12 4" xfId="13425"/>
    <cellStyle name="Input 2 2 13" xfId="13426"/>
    <cellStyle name="Input 2 2 13 2" xfId="13427"/>
    <cellStyle name="Input 2 2 13 3" xfId="13428"/>
    <cellStyle name="Input 2 2 13 4" xfId="13429"/>
    <cellStyle name="Input 2 2 14" xfId="13430"/>
    <cellStyle name="Input 2 2 15" xfId="13431"/>
    <cellStyle name="Input 2 2 16" xfId="13432"/>
    <cellStyle name="Input 2 2 2" xfId="13433"/>
    <cellStyle name="Input 2 2 2 2" xfId="13434"/>
    <cellStyle name="Input 2 2 2 2 2" xfId="13435"/>
    <cellStyle name="Input 2 2 2 2 3" xfId="13436"/>
    <cellStyle name="Input 2 2 2 2 4" xfId="13437"/>
    <cellStyle name="Input 2 2 2 3" xfId="13438"/>
    <cellStyle name="Input 2 2 2 4" xfId="13439"/>
    <cellStyle name="Input 2 2 2 5" xfId="13440"/>
    <cellStyle name="Input 2 2 3" xfId="13441"/>
    <cellStyle name="Input 2 2 3 2" xfId="13442"/>
    <cellStyle name="Input 2 2 3 2 2" xfId="13443"/>
    <cellStyle name="Input 2 2 3 2 3" xfId="13444"/>
    <cellStyle name="Input 2 2 3 2 4" xfId="13445"/>
    <cellStyle name="Input 2 2 3 3" xfId="13446"/>
    <cellStyle name="Input 2 2 3 4" xfId="13447"/>
    <cellStyle name="Input 2 2 3 5" xfId="13448"/>
    <cellStyle name="Input 2 2 4" xfId="13449"/>
    <cellStyle name="Input 2 2 4 2" xfId="13450"/>
    <cellStyle name="Input 2 2 4 2 2" xfId="13451"/>
    <cellStyle name="Input 2 2 4 2 3" xfId="13452"/>
    <cellStyle name="Input 2 2 4 2 4" xfId="13453"/>
    <cellStyle name="Input 2 2 4 3" xfId="13454"/>
    <cellStyle name="Input 2 2 4 4" xfId="13455"/>
    <cellStyle name="Input 2 2 4 5" xfId="13456"/>
    <cellStyle name="Input 2 2 5" xfId="13457"/>
    <cellStyle name="Input 2 2 5 2" xfId="13458"/>
    <cellStyle name="Input 2 2 5 2 2" xfId="13459"/>
    <cellStyle name="Input 2 2 5 2 3" xfId="13460"/>
    <cellStyle name="Input 2 2 5 2 4" xfId="13461"/>
    <cellStyle name="Input 2 2 5 3" xfId="13462"/>
    <cellStyle name="Input 2 2 5 4" xfId="13463"/>
    <cellStyle name="Input 2 2 5 5" xfId="13464"/>
    <cellStyle name="Input 2 2 6" xfId="13465"/>
    <cellStyle name="Input 2 2 6 2" xfId="13466"/>
    <cellStyle name="Input 2 2 6 2 2" xfId="13467"/>
    <cellStyle name="Input 2 2 6 2 3" xfId="13468"/>
    <cellStyle name="Input 2 2 6 2 4" xfId="13469"/>
    <cellStyle name="Input 2 2 6 3" xfId="13470"/>
    <cellStyle name="Input 2 2 6 4" xfId="13471"/>
    <cellStyle name="Input 2 2 6 5" xfId="13472"/>
    <cellStyle name="Input 2 2 7" xfId="13473"/>
    <cellStyle name="Input 2 2 7 2" xfId="13474"/>
    <cellStyle name="Input 2 2 7 2 2" xfId="13475"/>
    <cellStyle name="Input 2 2 7 2 3" xfId="13476"/>
    <cellStyle name="Input 2 2 7 2 4" xfId="13477"/>
    <cellStyle name="Input 2 2 7 3" xfId="13478"/>
    <cellStyle name="Input 2 2 7 4" xfId="13479"/>
    <cellStyle name="Input 2 2 7 5" xfId="13480"/>
    <cellStyle name="Input 2 2 8" xfId="13481"/>
    <cellStyle name="Input 2 2 8 2" xfId="13482"/>
    <cellStyle name="Input 2 2 8 2 2" xfId="13483"/>
    <cellStyle name="Input 2 2 8 2 3" xfId="13484"/>
    <cellStyle name="Input 2 2 8 2 4" xfId="13485"/>
    <cellStyle name="Input 2 2 8 3" xfId="13486"/>
    <cellStyle name="Input 2 2 8 4" xfId="13487"/>
    <cellStyle name="Input 2 2 8 5" xfId="13488"/>
    <cellStyle name="Input 2 2 9" xfId="13489"/>
    <cellStyle name="Input 2 2 9 2" xfId="13490"/>
    <cellStyle name="Input 2 2 9 2 2" xfId="13491"/>
    <cellStyle name="Input 2 2 9 2 3" xfId="13492"/>
    <cellStyle name="Input 2 2 9 2 4" xfId="13493"/>
    <cellStyle name="Input 2 2 9 3" xfId="13494"/>
    <cellStyle name="Input 2 2 9 4" xfId="13495"/>
    <cellStyle name="Input 2 2 9 5" xfId="13496"/>
    <cellStyle name="Input 2 3" xfId="13497"/>
    <cellStyle name="Input 2 3 2" xfId="13498"/>
    <cellStyle name="Input 2 3 2 2" xfId="13499"/>
    <cellStyle name="Input 2 3 2 2 2" xfId="13500"/>
    <cellStyle name="Input 2 3 2 2 3" xfId="13501"/>
    <cellStyle name="Input 2 3 2 2 4" xfId="13502"/>
    <cellStyle name="Input 2 3 2 3" xfId="13503"/>
    <cellStyle name="Input 2 3 2 4" xfId="13504"/>
    <cellStyle name="Input 2 3 2 5" xfId="13505"/>
    <cellStyle name="Input 2 3 3" xfId="13506"/>
    <cellStyle name="Input 2 3 3 2" xfId="13507"/>
    <cellStyle name="Input 2 3 3 2 2" xfId="13508"/>
    <cellStyle name="Input 2 3 3 2 3" xfId="13509"/>
    <cellStyle name="Input 2 3 3 2 4" xfId="13510"/>
    <cellStyle name="Input 2 3 3 3" xfId="13511"/>
    <cellStyle name="Input 2 3 3 4" xfId="13512"/>
    <cellStyle name="Input 2 3 3 5" xfId="13513"/>
    <cellStyle name="Input 2 3 4" xfId="13514"/>
    <cellStyle name="Input 2 3 4 2" xfId="13515"/>
    <cellStyle name="Input 2 3 4 3" xfId="13516"/>
    <cellStyle name="Input 2 3 4 4" xfId="13517"/>
    <cellStyle name="Input 2 3 5" xfId="13518"/>
    <cellStyle name="Input 2 3 5 2" xfId="13519"/>
    <cellStyle name="Input 2 3 5 3" xfId="13520"/>
    <cellStyle name="Input 2 3 5 4" xfId="13521"/>
    <cellStyle name="Input 2 3 6" xfId="13522"/>
    <cellStyle name="Input 2 3 7" xfId="13523"/>
    <cellStyle name="Input 2 3 8" xfId="13524"/>
    <cellStyle name="Input 2 4" xfId="13525"/>
    <cellStyle name="Input 2 4 2" xfId="13526"/>
    <cellStyle name="Input 2 4 2 2" xfId="13527"/>
    <cellStyle name="Input 2 4 2 2 2" xfId="13528"/>
    <cellStyle name="Input 2 4 2 2 3" xfId="13529"/>
    <cellStyle name="Input 2 4 2 2 4" xfId="13530"/>
    <cellStyle name="Input 2 4 2 3" xfId="13531"/>
    <cellStyle name="Input 2 4 2 4" xfId="13532"/>
    <cellStyle name="Input 2 4 2 5" xfId="13533"/>
    <cellStyle name="Input 2 4 3" xfId="13534"/>
    <cellStyle name="Input 2 4 3 2" xfId="13535"/>
    <cellStyle name="Input 2 4 3 2 2" xfId="13536"/>
    <cellStyle name="Input 2 4 3 2 3" xfId="13537"/>
    <cellStyle name="Input 2 4 3 2 4" xfId="13538"/>
    <cellStyle name="Input 2 4 3 3" xfId="13539"/>
    <cellStyle name="Input 2 4 3 4" xfId="13540"/>
    <cellStyle name="Input 2 4 3 5" xfId="13541"/>
    <cellStyle name="Input 2 4 4" xfId="13542"/>
    <cellStyle name="Input 2 4 4 2" xfId="13543"/>
    <cellStyle name="Input 2 4 4 3" xfId="13544"/>
    <cellStyle name="Input 2 4 4 4" xfId="13545"/>
    <cellStyle name="Input 2 4 5" xfId="13546"/>
    <cellStyle name="Input 2 4 5 2" xfId="13547"/>
    <cellStyle name="Input 2 4 5 3" xfId="13548"/>
    <cellStyle name="Input 2 4 5 4" xfId="13549"/>
    <cellStyle name="Input 2 4 6" xfId="13550"/>
    <cellStyle name="Input 2 4 7" xfId="13551"/>
    <cellStyle name="Input 2 4 8" xfId="13552"/>
    <cellStyle name="Input 2 5" xfId="13553"/>
    <cellStyle name="Input 2 5 2" xfId="13554"/>
    <cellStyle name="Input 2 5 2 2" xfId="13555"/>
    <cellStyle name="Input 2 5 2 3" xfId="13556"/>
    <cellStyle name="Input 2 5 2 4" xfId="13557"/>
    <cellStyle name="Input 2 5 3" xfId="13558"/>
    <cellStyle name="Input 2 5 3 2" xfId="13559"/>
    <cellStyle name="Input 2 5 3 3" xfId="13560"/>
    <cellStyle name="Input 2 5 3 4" xfId="13561"/>
    <cellStyle name="Input 2 5 4" xfId="13562"/>
    <cellStyle name="Input 2 5 5" xfId="13563"/>
    <cellStyle name="Input 2 5 6" xfId="13564"/>
    <cellStyle name="Input 2 6" xfId="13565"/>
    <cellStyle name="Input 2 7" xfId="13566"/>
    <cellStyle name="Input 2 7 2" xfId="13567"/>
    <cellStyle name="Input 2 7 3" xfId="13568"/>
    <cellStyle name="Input 2 7 4" xfId="13569"/>
    <cellStyle name="Input 2 8" xfId="13570"/>
    <cellStyle name="Input 2 8 2" xfId="13571"/>
    <cellStyle name="Input 2 8 3" xfId="13572"/>
    <cellStyle name="Input 2 8 4" xfId="13573"/>
    <cellStyle name="Input 2 9" xfId="13574"/>
    <cellStyle name="Input 2_Block-F LGF POur-II BBS" xfId="13585"/>
    <cellStyle name="Input 20" xfId="13575"/>
    <cellStyle name="Input 21" xfId="13576"/>
    <cellStyle name="Input 22" xfId="13577"/>
    <cellStyle name="Input 23" xfId="13578"/>
    <cellStyle name="Input 24" xfId="13579"/>
    <cellStyle name="Input 25" xfId="13580"/>
    <cellStyle name="Input 26" xfId="13581"/>
    <cellStyle name="Input 27" xfId="13582"/>
    <cellStyle name="Input 28" xfId="13583"/>
    <cellStyle name="Input 29" xfId="13584"/>
    <cellStyle name="Input 3" xfId="13586"/>
    <cellStyle name="Input 3 10" xfId="13587"/>
    <cellStyle name="Input 3 11" xfId="13588"/>
    <cellStyle name="Input 3 2" xfId="13589"/>
    <cellStyle name="Input 3 2 10" xfId="13590"/>
    <cellStyle name="Input 3 2 10 2" xfId="13591"/>
    <cellStyle name="Input 3 2 10 2 2" xfId="13592"/>
    <cellStyle name="Input 3 2 10 2 3" xfId="13593"/>
    <cellStyle name="Input 3 2 10 2 4" xfId="13594"/>
    <cellStyle name="Input 3 2 10 3" xfId="13595"/>
    <cellStyle name="Input 3 2 10 4" xfId="13596"/>
    <cellStyle name="Input 3 2 10 5" xfId="13597"/>
    <cellStyle name="Input 3 2 11" xfId="13598"/>
    <cellStyle name="Input 3 2 11 2" xfId="13599"/>
    <cellStyle name="Input 3 2 11 2 2" xfId="13600"/>
    <cellStyle name="Input 3 2 11 2 3" xfId="13601"/>
    <cellStyle name="Input 3 2 11 2 4" xfId="13602"/>
    <cellStyle name="Input 3 2 11 3" xfId="13603"/>
    <cellStyle name="Input 3 2 11 4" xfId="13604"/>
    <cellStyle name="Input 3 2 11 5" xfId="13605"/>
    <cellStyle name="Input 3 2 12" xfId="13606"/>
    <cellStyle name="Input 3 2 12 2" xfId="13607"/>
    <cellStyle name="Input 3 2 12 3" xfId="13608"/>
    <cellStyle name="Input 3 2 12 4" xfId="13609"/>
    <cellStyle name="Input 3 2 13" xfId="13610"/>
    <cellStyle name="Input 3 2 13 2" xfId="13611"/>
    <cellStyle name="Input 3 2 13 3" xfId="13612"/>
    <cellStyle name="Input 3 2 13 4" xfId="13613"/>
    <cellStyle name="Input 3 2 14" xfId="13614"/>
    <cellStyle name="Input 3 2 15" xfId="13615"/>
    <cellStyle name="Input 3 2 16" xfId="13616"/>
    <cellStyle name="Input 3 2 2" xfId="13617"/>
    <cellStyle name="Input 3 2 2 2" xfId="13618"/>
    <cellStyle name="Input 3 2 2 2 2" xfId="13619"/>
    <cellStyle name="Input 3 2 2 2 3" xfId="13620"/>
    <cellStyle name="Input 3 2 2 2 4" xfId="13621"/>
    <cellStyle name="Input 3 2 2 3" xfId="13622"/>
    <cellStyle name="Input 3 2 2 4" xfId="13623"/>
    <cellStyle name="Input 3 2 2 5" xfId="13624"/>
    <cellStyle name="Input 3 2 3" xfId="13625"/>
    <cellStyle name="Input 3 2 3 2" xfId="13626"/>
    <cellStyle name="Input 3 2 3 2 2" xfId="13627"/>
    <cellStyle name="Input 3 2 3 2 3" xfId="13628"/>
    <cellStyle name="Input 3 2 3 2 4" xfId="13629"/>
    <cellStyle name="Input 3 2 3 3" xfId="13630"/>
    <cellStyle name="Input 3 2 3 4" xfId="13631"/>
    <cellStyle name="Input 3 2 3 5" xfId="13632"/>
    <cellStyle name="Input 3 2 4" xfId="13633"/>
    <cellStyle name="Input 3 2 4 2" xfId="13634"/>
    <cellStyle name="Input 3 2 4 2 2" xfId="13635"/>
    <cellStyle name="Input 3 2 4 2 3" xfId="13636"/>
    <cellStyle name="Input 3 2 4 2 4" xfId="13637"/>
    <cellStyle name="Input 3 2 4 3" xfId="13638"/>
    <cellStyle name="Input 3 2 4 4" xfId="13639"/>
    <cellStyle name="Input 3 2 4 5" xfId="13640"/>
    <cellStyle name="Input 3 2 5" xfId="13641"/>
    <cellStyle name="Input 3 2 5 2" xfId="13642"/>
    <cellStyle name="Input 3 2 5 2 2" xfId="13643"/>
    <cellStyle name="Input 3 2 5 2 3" xfId="13644"/>
    <cellStyle name="Input 3 2 5 2 4" xfId="13645"/>
    <cellStyle name="Input 3 2 5 3" xfId="13646"/>
    <cellStyle name="Input 3 2 5 4" xfId="13647"/>
    <cellStyle name="Input 3 2 5 5" xfId="13648"/>
    <cellStyle name="Input 3 2 6" xfId="13649"/>
    <cellStyle name="Input 3 2 6 2" xfId="13650"/>
    <cellStyle name="Input 3 2 6 2 2" xfId="13651"/>
    <cellStyle name="Input 3 2 6 2 3" xfId="13652"/>
    <cellStyle name="Input 3 2 6 2 4" xfId="13653"/>
    <cellStyle name="Input 3 2 6 3" xfId="13654"/>
    <cellStyle name="Input 3 2 6 4" xfId="13655"/>
    <cellStyle name="Input 3 2 6 5" xfId="13656"/>
    <cellStyle name="Input 3 2 7" xfId="13657"/>
    <cellStyle name="Input 3 2 7 2" xfId="13658"/>
    <cellStyle name="Input 3 2 7 2 2" xfId="13659"/>
    <cellStyle name="Input 3 2 7 2 3" xfId="13660"/>
    <cellStyle name="Input 3 2 7 2 4" xfId="13661"/>
    <cellStyle name="Input 3 2 7 3" xfId="13662"/>
    <cellStyle name="Input 3 2 7 4" xfId="13663"/>
    <cellStyle name="Input 3 2 7 5" xfId="13664"/>
    <cellStyle name="Input 3 2 8" xfId="13665"/>
    <cellStyle name="Input 3 2 8 2" xfId="13666"/>
    <cellStyle name="Input 3 2 8 2 2" xfId="13667"/>
    <cellStyle name="Input 3 2 8 2 3" xfId="13668"/>
    <cellStyle name="Input 3 2 8 2 4" xfId="13669"/>
    <cellStyle name="Input 3 2 8 3" xfId="13670"/>
    <cellStyle name="Input 3 2 8 4" xfId="13671"/>
    <cellStyle name="Input 3 2 8 5" xfId="13672"/>
    <cellStyle name="Input 3 2 9" xfId="13673"/>
    <cellStyle name="Input 3 2 9 2" xfId="13674"/>
    <cellStyle name="Input 3 2 9 2 2" xfId="13675"/>
    <cellStyle name="Input 3 2 9 2 3" xfId="13676"/>
    <cellStyle name="Input 3 2 9 2 4" xfId="13677"/>
    <cellStyle name="Input 3 2 9 3" xfId="13678"/>
    <cellStyle name="Input 3 2 9 4" xfId="13679"/>
    <cellStyle name="Input 3 2 9 5" xfId="13680"/>
    <cellStyle name="Input 3 3" xfId="13681"/>
    <cellStyle name="Input 3 3 2" xfId="13682"/>
    <cellStyle name="Input 3 3 2 2" xfId="13683"/>
    <cellStyle name="Input 3 3 2 2 2" xfId="13684"/>
    <cellStyle name="Input 3 3 2 2 3" xfId="13685"/>
    <cellStyle name="Input 3 3 2 2 4" xfId="13686"/>
    <cellStyle name="Input 3 3 2 3" xfId="13687"/>
    <cellStyle name="Input 3 3 2 4" xfId="13688"/>
    <cellStyle name="Input 3 3 2 5" xfId="13689"/>
    <cellStyle name="Input 3 3 3" xfId="13690"/>
    <cellStyle name="Input 3 3 3 2" xfId="13691"/>
    <cellStyle name="Input 3 3 3 2 2" xfId="13692"/>
    <cellStyle name="Input 3 3 3 2 3" xfId="13693"/>
    <cellStyle name="Input 3 3 3 2 4" xfId="13694"/>
    <cellStyle name="Input 3 3 3 3" xfId="13695"/>
    <cellStyle name="Input 3 3 3 4" xfId="13696"/>
    <cellStyle name="Input 3 3 3 5" xfId="13697"/>
    <cellStyle name="Input 3 3 4" xfId="13698"/>
    <cellStyle name="Input 3 3 4 2" xfId="13699"/>
    <cellStyle name="Input 3 3 4 3" xfId="13700"/>
    <cellStyle name="Input 3 3 4 4" xfId="13701"/>
    <cellStyle name="Input 3 3 5" xfId="13702"/>
    <cellStyle name="Input 3 3 6" xfId="13703"/>
    <cellStyle name="Input 3 3 7" xfId="13704"/>
    <cellStyle name="Input 3 4" xfId="13705"/>
    <cellStyle name="Input 3 4 2" xfId="13706"/>
    <cellStyle name="Input 3 4 2 2" xfId="13707"/>
    <cellStyle name="Input 3 4 2 2 2" xfId="13708"/>
    <cellStyle name="Input 3 4 2 2 3" xfId="13709"/>
    <cellStyle name="Input 3 4 2 2 4" xfId="13710"/>
    <cellStyle name="Input 3 4 2 3" xfId="13711"/>
    <cellStyle name="Input 3 4 2 4" xfId="13712"/>
    <cellStyle name="Input 3 4 2 5" xfId="13713"/>
    <cellStyle name="Input 3 4 3" xfId="13714"/>
    <cellStyle name="Input 3 4 3 2" xfId="13715"/>
    <cellStyle name="Input 3 4 3 2 2" xfId="13716"/>
    <cellStyle name="Input 3 4 3 2 3" xfId="13717"/>
    <cellStyle name="Input 3 4 3 2 4" xfId="13718"/>
    <cellStyle name="Input 3 4 3 3" xfId="13719"/>
    <cellStyle name="Input 3 4 3 4" xfId="13720"/>
    <cellStyle name="Input 3 4 3 5" xfId="13721"/>
    <cellStyle name="Input 3 4 4" xfId="13722"/>
    <cellStyle name="Input 3 4 4 2" xfId="13723"/>
    <cellStyle name="Input 3 4 4 3" xfId="13724"/>
    <cellStyle name="Input 3 4 4 4" xfId="13725"/>
    <cellStyle name="Input 3 4 5" xfId="13726"/>
    <cellStyle name="Input 3 4 6" xfId="13727"/>
    <cellStyle name="Input 3 4 7" xfId="13728"/>
    <cellStyle name="Input 3 5" xfId="13729"/>
    <cellStyle name="Input 3 5 2" xfId="13730"/>
    <cellStyle name="Input 3 5 2 2" xfId="13731"/>
    <cellStyle name="Input 3 5 2 3" xfId="13732"/>
    <cellStyle name="Input 3 5 2 4" xfId="13733"/>
    <cellStyle name="Input 3 5 3" xfId="13734"/>
    <cellStyle name="Input 3 5 4" xfId="13735"/>
    <cellStyle name="Input 3 5 5" xfId="13736"/>
    <cellStyle name="Input 3 6" xfId="13737"/>
    <cellStyle name="Input 3 6 2" xfId="13738"/>
    <cellStyle name="Input 3 6 2 2" xfId="13739"/>
    <cellStyle name="Input 3 6 2 3" xfId="13740"/>
    <cellStyle name="Input 3 6 2 4" xfId="13741"/>
    <cellStyle name="Input 3 6 3" xfId="13742"/>
    <cellStyle name="Input 3 6 4" xfId="13743"/>
    <cellStyle name="Input 3 6 5" xfId="13744"/>
    <cellStyle name="Input 3 7" xfId="13745"/>
    <cellStyle name="Input 3 7 2" xfId="13746"/>
    <cellStyle name="Input 3 7 3" xfId="13747"/>
    <cellStyle name="Input 3 7 4" xfId="13748"/>
    <cellStyle name="Input 3 8" xfId="13749"/>
    <cellStyle name="Input 3 8 2" xfId="13750"/>
    <cellStyle name="Input 3 8 3" xfId="13751"/>
    <cellStyle name="Input 3 8 4" xfId="13752"/>
    <cellStyle name="Input 3 9" xfId="13753"/>
    <cellStyle name="Input 3_Ramadugu_ SWGH" xfId="13820"/>
    <cellStyle name="Input 30" xfId="13754"/>
    <cellStyle name="Input 31" xfId="13755"/>
    <cellStyle name="Input 32" xfId="13756"/>
    <cellStyle name="Input 32 2" xfId="13757"/>
    <cellStyle name="Input 32 2 2" xfId="13758"/>
    <cellStyle name="Input 32 2 3" xfId="13759"/>
    <cellStyle name="Input 32 2 4" xfId="13760"/>
    <cellStyle name="Input 32 3" xfId="13761"/>
    <cellStyle name="Input 32 4" xfId="13762"/>
    <cellStyle name="Input 32 5" xfId="13763"/>
    <cellStyle name="Input 33" xfId="13764"/>
    <cellStyle name="Input 33 2" xfId="13765"/>
    <cellStyle name="Input 33 2 2" xfId="13766"/>
    <cellStyle name="Input 33 2 3" xfId="13767"/>
    <cellStyle name="Input 33 2 4" xfId="13768"/>
    <cellStyle name="Input 33 3" xfId="13769"/>
    <cellStyle name="Input 33 4" xfId="13770"/>
    <cellStyle name="Input 33 5" xfId="13771"/>
    <cellStyle name="Input 34" xfId="13772"/>
    <cellStyle name="Input 34 2" xfId="13773"/>
    <cellStyle name="Input 34 2 2" xfId="13774"/>
    <cellStyle name="Input 34 2 3" xfId="13775"/>
    <cellStyle name="Input 34 2 4" xfId="13776"/>
    <cellStyle name="Input 34 3" xfId="13777"/>
    <cellStyle name="Input 34 4" xfId="13778"/>
    <cellStyle name="Input 34 5" xfId="13779"/>
    <cellStyle name="Input 35" xfId="13780"/>
    <cellStyle name="Input 35 2" xfId="13781"/>
    <cellStyle name="Input 35 2 2" xfId="13782"/>
    <cellStyle name="Input 35 2 3" xfId="13783"/>
    <cellStyle name="Input 35 2 4" xfId="13784"/>
    <cellStyle name="Input 35 3" xfId="13785"/>
    <cellStyle name="Input 35 4" xfId="13786"/>
    <cellStyle name="Input 35 5" xfId="13787"/>
    <cellStyle name="Input 36" xfId="13788"/>
    <cellStyle name="Input 36 2" xfId="13789"/>
    <cellStyle name="Input 36 2 2" xfId="13790"/>
    <cellStyle name="Input 36 2 3" xfId="13791"/>
    <cellStyle name="Input 36 2 4" xfId="13792"/>
    <cellStyle name="Input 36 3" xfId="13793"/>
    <cellStyle name="Input 36 4" xfId="13794"/>
    <cellStyle name="Input 36 5" xfId="13795"/>
    <cellStyle name="Input 37" xfId="13796"/>
    <cellStyle name="Input 37 2" xfId="13797"/>
    <cellStyle name="Input 37 2 2" xfId="13798"/>
    <cellStyle name="Input 37 2 3" xfId="13799"/>
    <cellStyle name="Input 37 2 4" xfId="13800"/>
    <cellStyle name="Input 37 3" xfId="13801"/>
    <cellStyle name="Input 37 4" xfId="13802"/>
    <cellStyle name="Input 37 5" xfId="13803"/>
    <cellStyle name="Input 38" xfId="13804"/>
    <cellStyle name="Input 38 2" xfId="13805"/>
    <cellStyle name="Input 38 2 2" xfId="13806"/>
    <cellStyle name="Input 38 2 3" xfId="13807"/>
    <cellStyle name="Input 38 2 4" xfId="13808"/>
    <cellStyle name="Input 38 3" xfId="13809"/>
    <cellStyle name="Input 38 4" xfId="13810"/>
    <cellStyle name="Input 38 5" xfId="13811"/>
    <cellStyle name="Input 39" xfId="13812"/>
    <cellStyle name="Input 39 2" xfId="13813"/>
    <cellStyle name="Input 39 2 2" xfId="13814"/>
    <cellStyle name="Input 39 2 3" xfId="13815"/>
    <cellStyle name="Input 39 2 4" xfId="13816"/>
    <cellStyle name="Input 39 3" xfId="13817"/>
    <cellStyle name="Input 39 4" xfId="13818"/>
    <cellStyle name="Input 39 5" xfId="13819"/>
    <cellStyle name="Input 4" xfId="13821"/>
    <cellStyle name="Input 4 10" xfId="13822"/>
    <cellStyle name="Input 4 10 2" xfId="13823"/>
    <cellStyle name="Input 4 10 2 2" xfId="13824"/>
    <cellStyle name="Input 4 10 2 3" xfId="13825"/>
    <cellStyle name="Input 4 10 2 4" xfId="13826"/>
    <cellStyle name="Input 4 10 3" xfId="13827"/>
    <cellStyle name="Input 4 10 4" xfId="13828"/>
    <cellStyle name="Input 4 10 5" xfId="13829"/>
    <cellStyle name="Input 4 11" xfId="13830"/>
    <cellStyle name="Input 4 11 2" xfId="13831"/>
    <cellStyle name="Input 4 11 2 2" xfId="13832"/>
    <cellStyle name="Input 4 11 2 3" xfId="13833"/>
    <cellStyle name="Input 4 11 2 4" xfId="13834"/>
    <cellStyle name="Input 4 11 3" xfId="13835"/>
    <cellStyle name="Input 4 11 4" xfId="13836"/>
    <cellStyle name="Input 4 11 5" xfId="13837"/>
    <cellStyle name="Input 4 12" xfId="13838"/>
    <cellStyle name="Input 4 12 2" xfId="13839"/>
    <cellStyle name="Input 4 12 2 2" xfId="13840"/>
    <cellStyle name="Input 4 12 2 3" xfId="13841"/>
    <cellStyle name="Input 4 12 2 4" xfId="13842"/>
    <cellStyle name="Input 4 12 3" xfId="13843"/>
    <cellStyle name="Input 4 12 4" xfId="13844"/>
    <cellStyle name="Input 4 12 5" xfId="13845"/>
    <cellStyle name="Input 4 13" xfId="13846"/>
    <cellStyle name="Input 4 13 2" xfId="13847"/>
    <cellStyle name="Input 4 13 2 2" xfId="13848"/>
    <cellStyle name="Input 4 13 2 3" xfId="13849"/>
    <cellStyle name="Input 4 13 2 4" xfId="13850"/>
    <cellStyle name="Input 4 13 3" xfId="13851"/>
    <cellStyle name="Input 4 13 4" xfId="13852"/>
    <cellStyle name="Input 4 13 5" xfId="13853"/>
    <cellStyle name="Input 4 14" xfId="13854"/>
    <cellStyle name="Input 4 14 2" xfId="13855"/>
    <cellStyle name="Input 4 14 2 2" xfId="13856"/>
    <cellStyle name="Input 4 14 2 3" xfId="13857"/>
    <cellStyle name="Input 4 14 2 4" xfId="13858"/>
    <cellStyle name="Input 4 14 3" xfId="13859"/>
    <cellStyle name="Input 4 14 4" xfId="13860"/>
    <cellStyle name="Input 4 14 5" xfId="13861"/>
    <cellStyle name="Input 4 15" xfId="13862"/>
    <cellStyle name="Input 4 15 2" xfId="13863"/>
    <cellStyle name="Input 4 15 3" xfId="13864"/>
    <cellStyle name="Input 4 15 4" xfId="13865"/>
    <cellStyle name="Input 4 16" xfId="13866"/>
    <cellStyle name="Input 4 16 2" xfId="13867"/>
    <cellStyle name="Input 4 16 3" xfId="13868"/>
    <cellStyle name="Input 4 16 4" xfId="13869"/>
    <cellStyle name="Input 4 17" xfId="13870"/>
    <cellStyle name="Input 4 18" xfId="13871"/>
    <cellStyle name="Input 4 19" xfId="13872"/>
    <cellStyle name="Input 4 2" xfId="13873"/>
    <cellStyle name="Input 4 2 2" xfId="13874"/>
    <cellStyle name="Input 4 2 2 2" xfId="13875"/>
    <cellStyle name="Input 4 2 2 2 2" xfId="13876"/>
    <cellStyle name="Input 4 2 2 2 3" xfId="13877"/>
    <cellStyle name="Input 4 2 2 2 4" xfId="13878"/>
    <cellStyle name="Input 4 2 2 3" xfId="13879"/>
    <cellStyle name="Input 4 2 2 4" xfId="13880"/>
    <cellStyle name="Input 4 2 2 5" xfId="13881"/>
    <cellStyle name="Input 4 2 3" xfId="13882"/>
    <cellStyle name="Input 4 2 3 2" xfId="13883"/>
    <cellStyle name="Input 4 2 3 2 2" xfId="13884"/>
    <cellStyle name="Input 4 2 3 2 3" xfId="13885"/>
    <cellStyle name="Input 4 2 3 2 4" xfId="13886"/>
    <cellStyle name="Input 4 2 3 3" xfId="13887"/>
    <cellStyle name="Input 4 2 3 4" xfId="13888"/>
    <cellStyle name="Input 4 2 3 5" xfId="13889"/>
    <cellStyle name="Input 4 2 4" xfId="13890"/>
    <cellStyle name="Input 4 2 4 2" xfId="13891"/>
    <cellStyle name="Input 4 2 4 3" xfId="13892"/>
    <cellStyle name="Input 4 2 4 4" xfId="13893"/>
    <cellStyle name="Input 4 2 5" xfId="13894"/>
    <cellStyle name="Input 4 2 6" xfId="13895"/>
    <cellStyle name="Input 4 2 7" xfId="13896"/>
    <cellStyle name="Input 4 3" xfId="13897"/>
    <cellStyle name="Input 4 3 2" xfId="13898"/>
    <cellStyle name="Input 4 3 2 2" xfId="13899"/>
    <cellStyle name="Input 4 3 2 2 2" xfId="13900"/>
    <cellStyle name="Input 4 3 2 2 3" xfId="13901"/>
    <cellStyle name="Input 4 3 2 2 4" xfId="13902"/>
    <cellStyle name="Input 4 3 2 3" xfId="13903"/>
    <cellStyle name="Input 4 3 2 4" xfId="13904"/>
    <cellStyle name="Input 4 3 2 5" xfId="13905"/>
    <cellStyle name="Input 4 3 3" xfId="13906"/>
    <cellStyle name="Input 4 3 3 2" xfId="13907"/>
    <cellStyle name="Input 4 3 3 2 2" xfId="13908"/>
    <cellStyle name="Input 4 3 3 2 3" xfId="13909"/>
    <cellStyle name="Input 4 3 3 2 4" xfId="13910"/>
    <cellStyle name="Input 4 3 3 3" xfId="13911"/>
    <cellStyle name="Input 4 3 3 4" xfId="13912"/>
    <cellStyle name="Input 4 3 3 5" xfId="13913"/>
    <cellStyle name="Input 4 3 4" xfId="13914"/>
    <cellStyle name="Input 4 3 4 2" xfId="13915"/>
    <cellStyle name="Input 4 3 4 3" xfId="13916"/>
    <cellStyle name="Input 4 3 4 4" xfId="13917"/>
    <cellStyle name="Input 4 3 5" xfId="13918"/>
    <cellStyle name="Input 4 3 6" xfId="13919"/>
    <cellStyle name="Input 4 3 7" xfId="13920"/>
    <cellStyle name="Input 4 4" xfId="13921"/>
    <cellStyle name="Input 4 4 2" xfId="13922"/>
    <cellStyle name="Input 4 4 2 2" xfId="13923"/>
    <cellStyle name="Input 4 4 2 2 2" xfId="13924"/>
    <cellStyle name="Input 4 4 2 2 3" xfId="13925"/>
    <cellStyle name="Input 4 4 2 2 4" xfId="13926"/>
    <cellStyle name="Input 4 4 2 3" xfId="13927"/>
    <cellStyle name="Input 4 4 2 4" xfId="13928"/>
    <cellStyle name="Input 4 4 2 5" xfId="13929"/>
    <cellStyle name="Input 4 4 3" xfId="13930"/>
    <cellStyle name="Input 4 4 3 2" xfId="13931"/>
    <cellStyle name="Input 4 4 3 2 2" xfId="13932"/>
    <cellStyle name="Input 4 4 3 2 3" xfId="13933"/>
    <cellStyle name="Input 4 4 3 2 4" xfId="13934"/>
    <cellStyle name="Input 4 4 3 3" xfId="13935"/>
    <cellStyle name="Input 4 4 3 4" xfId="13936"/>
    <cellStyle name="Input 4 4 3 5" xfId="13937"/>
    <cellStyle name="Input 4 4 4" xfId="13938"/>
    <cellStyle name="Input 4 4 4 2" xfId="13939"/>
    <cellStyle name="Input 4 4 4 3" xfId="13940"/>
    <cellStyle name="Input 4 4 4 4" xfId="13941"/>
    <cellStyle name="Input 4 4 5" xfId="13942"/>
    <cellStyle name="Input 4 4 6" xfId="13943"/>
    <cellStyle name="Input 4 4 7" xfId="13944"/>
    <cellStyle name="Input 4 5" xfId="13945"/>
    <cellStyle name="Input 4 5 2" xfId="13946"/>
    <cellStyle name="Input 4 5 2 2" xfId="13947"/>
    <cellStyle name="Input 4 5 2 3" xfId="13948"/>
    <cellStyle name="Input 4 5 2 4" xfId="13949"/>
    <cellStyle name="Input 4 5 3" xfId="13950"/>
    <cellStyle name="Input 4 5 4" xfId="13951"/>
    <cellStyle name="Input 4 5 5" xfId="13952"/>
    <cellStyle name="Input 4 6" xfId="13953"/>
    <cellStyle name="Input 4 6 2" xfId="13954"/>
    <cellStyle name="Input 4 6 2 2" xfId="13955"/>
    <cellStyle name="Input 4 6 2 3" xfId="13956"/>
    <cellStyle name="Input 4 6 2 4" xfId="13957"/>
    <cellStyle name="Input 4 6 3" xfId="13958"/>
    <cellStyle name="Input 4 6 4" xfId="13959"/>
    <cellStyle name="Input 4 6 5" xfId="13960"/>
    <cellStyle name="Input 4 7" xfId="13961"/>
    <cellStyle name="Input 4 7 2" xfId="13962"/>
    <cellStyle name="Input 4 7 2 2" xfId="13963"/>
    <cellStyle name="Input 4 7 2 3" xfId="13964"/>
    <cellStyle name="Input 4 7 2 4" xfId="13965"/>
    <cellStyle name="Input 4 7 3" xfId="13966"/>
    <cellStyle name="Input 4 7 4" xfId="13967"/>
    <cellStyle name="Input 4 7 5" xfId="13968"/>
    <cellStyle name="Input 4 8" xfId="13969"/>
    <cellStyle name="Input 4 8 2" xfId="13970"/>
    <cellStyle name="Input 4 8 2 2" xfId="13971"/>
    <cellStyle name="Input 4 8 2 3" xfId="13972"/>
    <cellStyle name="Input 4 8 2 4" xfId="13973"/>
    <cellStyle name="Input 4 8 3" xfId="13974"/>
    <cellStyle name="Input 4 8 4" xfId="13975"/>
    <cellStyle name="Input 4 8 5" xfId="13976"/>
    <cellStyle name="Input 4 9" xfId="13977"/>
    <cellStyle name="Input 4 9 2" xfId="13978"/>
    <cellStyle name="Input 4 9 2 2" xfId="13979"/>
    <cellStyle name="Input 4 9 2 3" xfId="13980"/>
    <cellStyle name="Input 4 9 2 4" xfId="13981"/>
    <cellStyle name="Input 4 9 3" xfId="13982"/>
    <cellStyle name="Input 4 9 4" xfId="13983"/>
    <cellStyle name="Input 4 9 5" xfId="13984"/>
    <cellStyle name="Input 4_Sheet2" xfId="14044"/>
    <cellStyle name="Input 40" xfId="13985"/>
    <cellStyle name="Input 40 2" xfId="13986"/>
    <cellStyle name="Input 40 2 2" xfId="13987"/>
    <cellStyle name="Input 40 2 3" xfId="13988"/>
    <cellStyle name="Input 40 2 4" xfId="13989"/>
    <cellStyle name="Input 40 3" xfId="13990"/>
    <cellStyle name="Input 40 4" xfId="13991"/>
    <cellStyle name="Input 40 5" xfId="13992"/>
    <cellStyle name="Input 41" xfId="13993"/>
    <cellStyle name="Input 41 2" xfId="13994"/>
    <cellStyle name="Input 41 2 2" xfId="13995"/>
    <cellStyle name="Input 41 2 3" xfId="13996"/>
    <cellStyle name="Input 41 2 4" xfId="13997"/>
    <cellStyle name="Input 41 3" xfId="13998"/>
    <cellStyle name="Input 41 4" xfId="13999"/>
    <cellStyle name="Input 41 5" xfId="14000"/>
    <cellStyle name="Input 42" xfId="14001"/>
    <cellStyle name="Input 42 2" xfId="14002"/>
    <cellStyle name="Input 42 2 2" xfId="14003"/>
    <cellStyle name="Input 42 2 3" xfId="14004"/>
    <cellStyle name="Input 42 2 4" xfId="14005"/>
    <cellStyle name="Input 42 3" xfId="14006"/>
    <cellStyle name="Input 42 4" xfId="14007"/>
    <cellStyle name="Input 42 5" xfId="14008"/>
    <cellStyle name="Input 43" xfId="14009"/>
    <cellStyle name="Input 43 2" xfId="14010"/>
    <cellStyle name="Input 43 2 2" xfId="14011"/>
    <cellStyle name="Input 43 2 3" xfId="14012"/>
    <cellStyle name="Input 43 2 4" xfId="14013"/>
    <cellStyle name="Input 43 3" xfId="14014"/>
    <cellStyle name="Input 43 4" xfId="14015"/>
    <cellStyle name="Input 43 5" xfId="14016"/>
    <cellStyle name="Input 44" xfId="14017"/>
    <cellStyle name="Input 44 2" xfId="14018"/>
    <cellStyle name="Input 44 2 2" xfId="14019"/>
    <cellStyle name="Input 44 2 3" xfId="14020"/>
    <cellStyle name="Input 44 2 4" xfId="14021"/>
    <cellStyle name="Input 44 3" xfId="14022"/>
    <cellStyle name="Input 44 4" xfId="14023"/>
    <cellStyle name="Input 44 5" xfId="14024"/>
    <cellStyle name="Input 45" xfId="14025"/>
    <cellStyle name="Input 45 2" xfId="14026"/>
    <cellStyle name="Input 45 2 2" xfId="14027"/>
    <cellStyle name="Input 45 2 3" xfId="14028"/>
    <cellStyle name="Input 45 2 4" xfId="14029"/>
    <cellStyle name="Input 45 3" xfId="14030"/>
    <cellStyle name="Input 45 4" xfId="14031"/>
    <cellStyle name="Input 45 5" xfId="14032"/>
    <cellStyle name="Input 46" xfId="14033"/>
    <cellStyle name="Input 46 2" xfId="14034"/>
    <cellStyle name="Input 46 2 2" xfId="14035"/>
    <cellStyle name="Input 46 2 3" xfId="14036"/>
    <cellStyle name="Input 46 2 4" xfId="14037"/>
    <cellStyle name="Input 46 3" xfId="14038"/>
    <cellStyle name="Input 46 4" xfId="14039"/>
    <cellStyle name="Input 46 5" xfId="14040"/>
    <cellStyle name="Input 47" xfId="14041"/>
    <cellStyle name="Input 48" xfId="14042"/>
    <cellStyle name="Input 49" xfId="14043"/>
    <cellStyle name="Input 5" xfId="14045"/>
    <cellStyle name="Input 5 10" xfId="14046"/>
    <cellStyle name="Input 5 10 2" xfId="14047"/>
    <cellStyle name="Input 5 10 2 2" xfId="14048"/>
    <cellStyle name="Input 5 10 2 3" xfId="14049"/>
    <cellStyle name="Input 5 10 2 4" xfId="14050"/>
    <cellStyle name="Input 5 10 3" xfId="14051"/>
    <cellStyle name="Input 5 10 4" xfId="14052"/>
    <cellStyle name="Input 5 10 5" xfId="14053"/>
    <cellStyle name="Input 5 11" xfId="14054"/>
    <cellStyle name="Input 5 11 2" xfId="14055"/>
    <cellStyle name="Input 5 11 2 2" xfId="14056"/>
    <cellStyle name="Input 5 11 2 3" xfId="14057"/>
    <cellStyle name="Input 5 11 2 4" xfId="14058"/>
    <cellStyle name="Input 5 11 3" xfId="14059"/>
    <cellStyle name="Input 5 11 4" xfId="14060"/>
    <cellStyle name="Input 5 11 5" xfId="14061"/>
    <cellStyle name="Input 5 12" xfId="14062"/>
    <cellStyle name="Input 5 12 2" xfId="14063"/>
    <cellStyle name="Input 5 12 2 2" xfId="14064"/>
    <cellStyle name="Input 5 12 2 3" xfId="14065"/>
    <cellStyle name="Input 5 12 2 4" xfId="14066"/>
    <cellStyle name="Input 5 12 3" xfId="14067"/>
    <cellStyle name="Input 5 12 4" xfId="14068"/>
    <cellStyle name="Input 5 12 5" xfId="14069"/>
    <cellStyle name="Input 5 13" xfId="14070"/>
    <cellStyle name="Input 5 13 2" xfId="14071"/>
    <cellStyle name="Input 5 13 3" xfId="14072"/>
    <cellStyle name="Input 5 13 4" xfId="14073"/>
    <cellStyle name="Input 5 14" xfId="14074"/>
    <cellStyle name="Input 5 14 2" xfId="14075"/>
    <cellStyle name="Input 5 14 3" xfId="14076"/>
    <cellStyle name="Input 5 14 4" xfId="14077"/>
    <cellStyle name="Input 5 15" xfId="14078"/>
    <cellStyle name="Input 5 16" xfId="14079"/>
    <cellStyle name="Input 5 17" xfId="14080"/>
    <cellStyle name="Input 5 2" xfId="14081"/>
    <cellStyle name="Input 5 2 2" xfId="14082"/>
    <cellStyle name="Input 5 2 2 2" xfId="14083"/>
    <cellStyle name="Input 5 2 2 2 2" xfId="14084"/>
    <cellStyle name="Input 5 2 2 2 3" xfId="14085"/>
    <cellStyle name="Input 5 2 2 2 4" xfId="14086"/>
    <cellStyle name="Input 5 2 2 3" xfId="14087"/>
    <cellStyle name="Input 5 2 2 4" xfId="14088"/>
    <cellStyle name="Input 5 2 2 5" xfId="14089"/>
    <cellStyle name="Input 5 2 3" xfId="14090"/>
    <cellStyle name="Input 5 2 3 2" xfId="14091"/>
    <cellStyle name="Input 5 2 3 2 2" xfId="14092"/>
    <cellStyle name="Input 5 2 3 2 3" xfId="14093"/>
    <cellStyle name="Input 5 2 3 2 4" xfId="14094"/>
    <cellStyle name="Input 5 2 3 3" xfId="14095"/>
    <cellStyle name="Input 5 2 3 4" xfId="14096"/>
    <cellStyle name="Input 5 2 3 5" xfId="14097"/>
    <cellStyle name="Input 5 2 4" xfId="14098"/>
    <cellStyle name="Input 5 2 4 2" xfId="14099"/>
    <cellStyle name="Input 5 2 4 3" xfId="14100"/>
    <cellStyle name="Input 5 2 4 4" xfId="14101"/>
    <cellStyle name="Input 5 2 5" xfId="14102"/>
    <cellStyle name="Input 5 2 6" xfId="14103"/>
    <cellStyle name="Input 5 2 7" xfId="14104"/>
    <cellStyle name="Input 5 3" xfId="14105"/>
    <cellStyle name="Input 5 3 2" xfId="14106"/>
    <cellStyle name="Input 5 3 2 2" xfId="14107"/>
    <cellStyle name="Input 5 3 2 2 2" xfId="14108"/>
    <cellStyle name="Input 5 3 2 2 3" xfId="14109"/>
    <cellStyle name="Input 5 3 2 2 4" xfId="14110"/>
    <cellStyle name="Input 5 3 2 3" xfId="14111"/>
    <cellStyle name="Input 5 3 2 4" xfId="14112"/>
    <cellStyle name="Input 5 3 2 5" xfId="14113"/>
    <cellStyle name="Input 5 3 3" xfId="14114"/>
    <cellStyle name="Input 5 3 3 2" xfId="14115"/>
    <cellStyle name="Input 5 3 3 2 2" xfId="14116"/>
    <cellStyle name="Input 5 3 3 2 3" xfId="14117"/>
    <cellStyle name="Input 5 3 3 2 4" xfId="14118"/>
    <cellStyle name="Input 5 3 3 3" xfId="14119"/>
    <cellStyle name="Input 5 3 3 4" xfId="14120"/>
    <cellStyle name="Input 5 3 3 5" xfId="14121"/>
    <cellStyle name="Input 5 3 4" xfId="14122"/>
    <cellStyle name="Input 5 3 4 2" xfId="14123"/>
    <cellStyle name="Input 5 3 4 3" xfId="14124"/>
    <cellStyle name="Input 5 3 4 4" xfId="14125"/>
    <cellStyle name="Input 5 3 5" xfId="14126"/>
    <cellStyle name="Input 5 3 6" xfId="14127"/>
    <cellStyle name="Input 5 3 7" xfId="14128"/>
    <cellStyle name="Input 5 4" xfId="14129"/>
    <cellStyle name="Input 5 4 2" xfId="14130"/>
    <cellStyle name="Input 5 4 2 2" xfId="14131"/>
    <cellStyle name="Input 5 4 2 2 2" xfId="14132"/>
    <cellStyle name="Input 5 4 2 2 3" xfId="14133"/>
    <cellStyle name="Input 5 4 2 2 4" xfId="14134"/>
    <cellStyle name="Input 5 4 2 3" xfId="14135"/>
    <cellStyle name="Input 5 4 2 4" xfId="14136"/>
    <cellStyle name="Input 5 4 2 5" xfId="14137"/>
    <cellStyle name="Input 5 4 3" xfId="14138"/>
    <cellStyle name="Input 5 4 3 2" xfId="14139"/>
    <cellStyle name="Input 5 4 3 2 2" xfId="14140"/>
    <cellStyle name="Input 5 4 3 2 3" xfId="14141"/>
    <cellStyle name="Input 5 4 3 2 4" xfId="14142"/>
    <cellStyle name="Input 5 4 3 3" xfId="14143"/>
    <cellStyle name="Input 5 4 3 4" xfId="14144"/>
    <cellStyle name="Input 5 4 3 5" xfId="14145"/>
    <cellStyle name="Input 5 4 4" xfId="14146"/>
    <cellStyle name="Input 5 4 4 2" xfId="14147"/>
    <cellStyle name="Input 5 4 4 3" xfId="14148"/>
    <cellStyle name="Input 5 4 4 4" xfId="14149"/>
    <cellStyle name="Input 5 4 5" xfId="14150"/>
    <cellStyle name="Input 5 4 6" xfId="14151"/>
    <cellStyle name="Input 5 4 7" xfId="14152"/>
    <cellStyle name="Input 5 5" xfId="14153"/>
    <cellStyle name="Input 5 5 2" xfId="14154"/>
    <cellStyle name="Input 5 5 2 2" xfId="14155"/>
    <cellStyle name="Input 5 5 2 3" xfId="14156"/>
    <cellStyle name="Input 5 5 2 4" xfId="14157"/>
    <cellStyle name="Input 5 5 3" xfId="14158"/>
    <cellStyle name="Input 5 5 4" xfId="14159"/>
    <cellStyle name="Input 5 5 5" xfId="14160"/>
    <cellStyle name="Input 5 6" xfId="14161"/>
    <cellStyle name="Input 5 6 2" xfId="14162"/>
    <cellStyle name="Input 5 6 2 2" xfId="14163"/>
    <cellStyle name="Input 5 6 2 3" xfId="14164"/>
    <cellStyle name="Input 5 6 2 4" xfId="14165"/>
    <cellStyle name="Input 5 6 3" xfId="14166"/>
    <cellStyle name="Input 5 6 4" xfId="14167"/>
    <cellStyle name="Input 5 6 5" xfId="14168"/>
    <cellStyle name="Input 5 7" xfId="14169"/>
    <cellStyle name="Input 5 7 2" xfId="14170"/>
    <cellStyle name="Input 5 7 2 2" xfId="14171"/>
    <cellStyle name="Input 5 7 2 3" xfId="14172"/>
    <cellStyle name="Input 5 7 2 4" xfId="14173"/>
    <cellStyle name="Input 5 7 3" xfId="14174"/>
    <cellStyle name="Input 5 7 4" xfId="14175"/>
    <cellStyle name="Input 5 7 5" xfId="14176"/>
    <cellStyle name="Input 5 8" xfId="14177"/>
    <cellStyle name="Input 5 8 2" xfId="14178"/>
    <cellStyle name="Input 5 8 2 2" xfId="14179"/>
    <cellStyle name="Input 5 8 2 3" xfId="14180"/>
    <cellStyle name="Input 5 8 2 4" xfId="14181"/>
    <cellStyle name="Input 5 8 3" xfId="14182"/>
    <cellStyle name="Input 5 8 4" xfId="14183"/>
    <cellStyle name="Input 5 8 5" xfId="14184"/>
    <cellStyle name="Input 5 9" xfId="14185"/>
    <cellStyle name="Input 5 9 2" xfId="14186"/>
    <cellStyle name="Input 5 9 2 2" xfId="14187"/>
    <cellStyle name="Input 5 9 2 3" xfId="14188"/>
    <cellStyle name="Input 5 9 2 4" xfId="14189"/>
    <cellStyle name="Input 5 9 3" xfId="14190"/>
    <cellStyle name="Input 5 9 4" xfId="14191"/>
    <cellStyle name="Input 5 9 5" xfId="14192"/>
    <cellStyle name="Input 5_Sheet2" xfId="14197"/>
    <cellStyle name="Input 50" xfId="14193"/>
    <cellStyle name="Input 51" xfId="14194"/>
    <cellStyle name="Input 52" xfId="14195"/>
    <cellStyle name="Input 53" xfId="14196"/>
    <cellStyle name="Input 6" xfId="14198"/>
    <cellStyle name="Input 6 10" xfId="14199"/>
    <cellStyle name="Input 6 10 2" xfId="14200"/>
    <cellStyle name="Input 6 10 2 2" xfId="14201"/>
    <cellStyle name="Input 6 10 2 3" xfId="14202"/>
    <cellStyle name="Input 6 10 2 4" xfId="14203"/>
    <cellStyle name="Input 6 10 3" xfId="14204"/>
    <cellStyle name="Input 6 10 4" xfId="14205"/>
    <cellStyle name="Input 6 10 5" xfId="14206"/>
    <cellStyle name="Input 6 11" xfId="14207"/>
    <cellStyle name="Input 6 11 2" xfId="14208"/>
    <cellStyle name="Input 6 11 2 2" xfId="14209"/>
    <cellStyle name="Input 6 11 2 3" xfId="14210"/>
    <cellStyle name="Input 6 11 2 4" xfId="14211"/>
    <cellStyle name="Input 6 11 3" xfId="14212"/>
    <cellStyle name="Input 6 11 4" xfId="14213"/>
    <cellStyle name="Input 6 11 5" xfId="14214"/>
    <cellStyle name="Input 6 12" xfId="14215"/>
    <cellStyle name="Input 6 12 2" xfId="14216"/>
    <cellStyle name="Input 6 12 2 2" xfId="14217"/>
    <cellStyle name="Input 6 12 2 3" xfId="14218"/>
    <cellStyle name="Input 6 12 2 4" xfId="14219"/>
    <cellStyle name="Input 6 12 3" xfId="14220"/>
    <cellStyle name="Input 6 12 4" xfId="14221"/>
    <cellStyle name="Input 6 12 5" xfId="14222"/>
    <cellStyle name="Input 6 13" xfId="14223"/>
    <cellStyle name="Input 6 13 2" xfId="14224"/>
    <cellStyle name="Input 6 13 3" xfId="14225"/>
    <cellStyle name="Input 6 13 4" xfId="14226"/>
    <cellStyle name="Input 6 14" xfId="14227"/>
    <cellStyle name="Input 6 14 2" xfId="14228"/>
    <cellStyle name="Input 6 14 3" xfId="14229"/>
    <cellStyle name="Input 6 14 4" xfId="14230"/>
    <cellStyle name="Input 6 15" xfId="14231"/>
    <cellStyle name="Input 6 16" xfId="14232"/>
    <cellStyle name="Input 6 17" xfId="14233"/>
    <cellStyle name="Input 6 2" xfId="14234"/>
    <cellStyle name="Input 6 2 2" xfId="14235"/>
    <cellStyle name="Input 6 2 2 2" xfId="14236"/>
    <cellStyle name="Input 6 2 2 2 2" xfId="14237"/>
    <cellStyle name="Input 6 2 2 2 3" xfId="14238"/>
    <cellStyle name="Input 6 2 2 2 4" xfId="14239"/>
    <cellStyle name="Input 6 2 2 3" xfId="14240"/>
    <cellStyle name="Input 6 2 2 4" xfId="14241"/>
    <cellStyle name="Input 6 2 2 5" xfId="14242"/>
    <cellStyle name="Input 6 2 3" xfId="14243"/>
    <cellStyle name="Input 6 2 3 2" xfId="14244"/>
    <cellStyle name="Input 6 2 3 2 2" xfId="14245"/>
    <cellStyle name="Input 6 2 3 2 3" xfId="14246"/>
    <cellStyle name="Input 6 2 3 2 4" xfId="14247"/>
    <cellStyle name="Input 6 2 3 3" xfId="14248"/>
    <cellStyle name="Input 6 2 3 4" xfId="14249"/>
    <cellStyle name="Input 6 2 3 5" xfId="14250"/>
    <cellStyle name="Input 6 2 4" xfId="14251"/>
    <cellStyle name="Input 6 2 4 2" xfId="14252"/>
    <cellStyle name="Input 6 2 4 3" xfId="14253"/>
    <cellStyle name="Input 6 2 4 4" xfId="14254"/>
    <cellStyle name="Input 6 2 5" xfId="14255"/>
    <cellStyle name="Input 6 2 6" xfId="14256"/>
    <cellStyle name="Input 6 2 7" xfId="14257"/>
    <cellStyle name="Input 6 3" xfId="14258"/>
    <cellStyle name="Input 6 3 2" xfId="14259"/>
    <cellStyle name="Input 6 3 2 2" xfId="14260"/>
    <cellStyle name="Input 6 3 2 2 2" xfId="14261"/>
    <cellStyle name="Input 6 3 2 2 3" xfId="14262"/>
    <cellStyle name="Input 6 3 2 2 4" xfId="14263"/>
    <cellStyle name="Input 6 3 2 3" xfId="14264"/>
    <cellStyle name="Input 6 3 2 4" xfId="14265"/>
    <cellStyle name="Input 6 3 2 5" xfId="14266"/>
    <cellStyle name="Input 6 3 3" xfId="14267"/>
    <cellStyle name="Input 6 3 3 2" xfId="14268"/>
    <cellStyle name="Input 6 3 3 2 2" xfId="14269"/>
    <cellStyle name="Input 6 3 3 2 3" xfId="14270"/>
    <cellStyle name="Input 6 3 3 2 4" xfId="14271"/>
    <cellStyle name="Input 6 3 3 3" xfId="14272"/>
    <cellStyle name="Input 6 3 3 4" xfId="14273"/>
    <cellStyle name="Input 6 3 3 5" xfId="14274"/>
    <cellStyle name="Input 6 3 4" xfId="14275"/>
    <cellStyle name="Input 6 3 4 2" xfId="14276"/>
    <cellStyle name="Input 6 3 4 3" xfId="14277"/>
    <cellStyle name="Input 6 3 4 4" xfId="14278"/>
    <cellStyle name="Input 6 3 5" xfId="14279"/>
    <cellStyle name="Input 6 3 6" xfId="14280"/>
    <cellStyle name="Input 6 3 7" xfId="14281"/>
    <cellStyle name="Input 6 4" xfId="14282"/>
    <cellStyle name="Input 6 4 2" xfId="14283"/>
    <cellStyle name="Input 6 4 2 2" xfId="14284"/>
    <cellStyle name="Input 6 4 2 2 2" xfId="14285"/>
    <cellStyle name="Input 6 4 2 2 3" xfId="14286"/>
    <cellStyle name="Input 6 4 2 2 4" xfId="14287"/>
    <cellStyle name="Input 6 4 2 3" xfId="14288"/>
    <cellStyle name="Input 6 4 2 4" xfId="14289"/>
    <cellStyle name="Input 6 4 2 5" xfId="14290"/>
    <cellStyle name="Input 6 4 3" xfId="14291"/>
    <cellStyle name="Input 6 4 3 2" xfId="14292"/>
    <cellStyle name="Input 6 4 3 2 2" xfId="14293"/>
    <cellStyle name="Input 6 4 3 2 3" xfId="14294"/>
    <cellStyle name="Input 6 4 3 2 4" xfId="14295"/>
    <cellStyle name="Input 6 4 3 3" xfId="14296"/>
    <cellStyle name="Input 6 4 3 4" xfId="14297"/>
    <cellStyle name="Input 6 4 3 5" xfId="14298"/>
    <cellStyle name="Input 6 4 4" xfId="14299"/>
    <cellStyle name="Input 6 4 4 2" xfId="14300"/>
    <cellStyle name="Input 6 4 4 3" xfId="14301"/>
    <cellStyle name="Input 6 4 4 4" xfId="14302"/>
    <cellStyle name="Input 6 4 5" xfId="14303"/>
    <cellStyle name="Input 6 4 6" xfId="14304"/>
    <cellStyle name="Input 6 4 7" xfId="14305"/>
    <cellStyle name="Input 6 5" xfId="14306"/>
    <cellStyle name="Input 6 5 2" xfId="14307"/>
    <cellStyle name="Input 6 5 2 2" xfId="14308"/>
    <cellStyle name="Input 6 5 2 3" xfId="14309"/>
    <cellStyle name="Input 6 5 2 4" xfId="14310"/>
    <cellStyle name="Input 6 5 3" xfId="14311"/>
    <cellStyle name="Input 6 5 4" xfId="14312"/>
    <cellStyle name="Input 6 5 5" xfId="14313"/>
    <cellStyle name="Input 6 6" xfId="14314"/>
    <cellStyle name="Input 6 6 2" xfId="14315"/>
    <cellStyle name="Input 6 6 2 2" xfId="14316"/>
    <cellStyle name="Input 6 6 2 3" xfId="14317"/>
    <cellStyle name="Input 6 6 2 4" xfId="14318"/>
    <cellStyle name="Input 6 6 3" xfId="14319"/>
    <cellStyle name="Input 6 6 4" xfId="14320"/>
    <cellStyle name="Input 6 6 5" xfId="14321"/>
    <cellStyle name="Input 6 7" xfId="14322"/>
    <cellStyle name="Input 6 7 2" xfId="14323"/>
    <cellStyle name="Input 6 7 2 2" xfId="14324"/>
    <cellStyle name="Input 6 7 2 3" xfId="14325"/>
    <cellStyle name="Input 6 7 2 4" xfId="14326"/>
    <cellStyle name="Input 6 7 3" xfId="14327"/>
    <cellStyle name="Input 6 7 4" xfId="14328"/>
    <cellStyle name="Input 6 7 5" xfId="14329"/>
    <cellStyle name="Input 6 8" xfId="14330"/>
    <cellStyle name="Input 6 8 2" xfId="14331"/>
    <cellStyle name="Input 6 8 2 2" xfId="14332"/>
    <cellStyle name="Input 6 8 2 3" xfId="14333"/>
    <cellStyle name="Input 6 8 2 4" xfId="14334"/>
    <cellStyle name="Input 6 8 3" xfId="14335"/>
    <cellStyle name="Input 6 8 4" xfId="14336"/>
    <cellStyle name="Input 6 8 5" xfId="14337"/>
    <cellStyle name="Input 6 9" xfId="14338"/>
    <cellStyle name="Input 6 9 2" xfId="14339"/>
    <cellStyle name="Input 6 9 2 2" xfId="14340"/>
    <cellStyle name="Input 6 9 2 3" xfId="14341"/>
    <cellStyle name="Input 6 9 2 4" xfId="14342"/>
    <cellStyle name="Input 6 9 3" xfId="14343"/>
    <cellStyle name="Input 6 9 4" xfId="14344"/>
    <cellStyle name="Input 6 9 5" xfId="14345"/>
    <cellStyle name="Input 6_Sheet2" xfId="14346"/>
    <cellStyle name="Input 7" xfId="14347"/>
    <cellStyle name="Input 7 10" xfId="14348"/>
    <cellStyle name="Input 7 10 2" xfId="14349"/>
    <cellStyle name="Input 7 10 2 2" xfId="14350"/>
    <cellStyle name="Input 7 10 2 3" xfId="14351"/>
    <cellStyle name="Input 7 10 2 4" xfId="14352"/>
    <cellStyle name="Input 7 10 3" xfId="14353"/>
    <cellStyle name="Input 7 10 4" xfId="14354"/>
    <cellStyle name="Input 7 10 5" xfId="14355"/>
    <cellStyle name="Input 7 11" xfId="14356"/>
    <cellStyle name="Input 7 11 2" xfId="14357"/>
    <cellStyle name="Input 7 11 2 2" xfId="14358"/>
    <cellStyle name="Input 7 11 2 3" xfId="14359"/>
    <cellStyle name="Input 7 11 2 4" xfId="14360"/>
    <cellStyle name="Input 7 11 3" xfId="14361"/>
    <cellStyle name="Input 7 11 4" xfId="14362"/>
    <cellStyle name="Input 7 11 5" xfId="14363"/>
    <cellStyle name="Input 7 12" xfId="14364"/>
    <cellStyle name="Input 7 12 2" xfId="14365"/>
    <cellStyle name="Input 7 12 2 2" xfId="14366"/>
    <cellStyle name="Input 7 12 2 3" xfId="14367"/>
    <cellStyle name="Input 7 12 2 4" xfId="14368"/>
    <cellStyle name="Input 7 12 3" xfId="14369"/>
    <cellStyle name="Input 7 12 4" xfId="14370"/>
    <cellStyle name="Input 7 12 5" xfId="14371"/>
    <cellStyle name="Input 7 13" xfId="14372"/>
    <cellStyle name="Input 7 13 2" xfId="14373"/>
    <cellStyle name="Input 7 13 3" xfId="14374"/>
    <cellStyle name="Input 7 13 4" xfId="14375"/>
    <cellStyle name="Input 7 14" xfId="14376"/>
    <cellStyle name="Input 7 14 2" xfId="14377"/>
    <cellStyle name="Input 7 14 3" xfId="14378"/>
    <cellStyle name="Input 7 14 4" xfId="14379"/>
    <cellStyle name="Input 7 15" xfId="14380"/>
    <cellStyle name="Input 7 16" xfId="14381"/>
    <cellStyle name="Input 7 17" xfId="14382"/>
    <cellStyle name="Input 7 2" xfId="14383"/>
    <cellStyle name="Input 7 2 2" xfId="14384"/>
    <cellStyle name="Input 7 2 2 2" xfId="14385"/>
    <cellStyle name="Input 7 2 2 2 2" xfId="14386"/>
    <cellStyle name="Input 7 2 2 2 3" xfId="14387"/>
    <cellStyle name="Input 7 2 2 2 4" xfId="14388"/>
    <cellStyle name="Input 7 2 2 3" xfId="14389"/>
    <cellStyle name="Input 7 2 2 4" xfId="14390"/>
    <cellStyle name="Input 7 2 2 5" xfId="14391"/>
    <cellStyle name="Input 7 2 3" xfId="14392"/>
    <cellStyle name="Input 7 2 3 2" xfId="14393"/>
    <cellStyle name="Input 7 2 3 2 2" xfId="14394"/>
    <cellStyle name="Input 7 2 3 2 3" xfId="14395"/>
    <cellStyle name="Input 7 2 3 2 4" xfId="14396"/>
    <cellStyle name="Input 7 2 3 3" xfId="14397"/>
    <cellStyle name="Input 7 2 3 4" xfId="14398"/>
    <cellStyle name="Input 7 2 3 5" xfId="14399"/>
    <cellStyle name="Input 7 2 4" xfId="14400"/>
    <cellStyle name="Input 7 2 4 2" xfId="14401"/>
    <cellStyle name="Input 7 2 4 3" xfId="14402"/>
    <cellStyle name="Input 7 2 4 4" xfId="14403"/>
    <cellStyle name="Input 7 2 5" xfId="14404"/>
    <cellStyle name="Input 7 2 6" xfId="14405"/>
    <cellStyle name="Input 7 2 7" xfId="14406"/>
    <cellStyle name="Input 7 3" xfId="14407"/>
    <cellStyle name="Input 7 3 2" xfId="14408"/>
    <cellStyle name="Input 7 3 2 2" xfId="14409"/>
    <cellStyle name="Input 7 3 2 2 2" xfId="14410"/>
    <cellStyle name="Input 7 3 2 2 3" xfId="14411"/>
    <cellStyle name="Input 7 3 2 2 4" xfId="14412"/>
    <cellStyle name="Input 7 3 2 3" xfId="14413"/>
    <cellStyle name="Input 7 3 2 4" xfId="14414"/>
    <cellStyle name="Input 7 3 2 5" xfId="14415"/>
    <cellStyle name="Input 7 3 3" xfId="14416"/>
    <cellStyle name="Input 7 3 3 2" xfId="14417"/>
    <cellStyle name="Input 7 3 3 2 2" xfId="14418"/>
    <cellStyle name="Input 7 3 3 2 3" xfId="14419"/>
    <cellStyle name="Input 7 3 3 2 4" xfId="14420"/>
    <cellStyle name="Input 7 3 3 3" xfId="14421"/>
    <cellStyle name="Input 7 3 3 4" xfId="14422"/>
    <cellStyle name="Input 7 3 3 5" xfId="14423"/>
    <cellStyle name="Input 7 3 4" xfId="14424"/>
    <cellStyle name="Input 7 3 4 2" xfId="14425"/>
    <cellStyle name="Input 7 3 4 3" xfId="14426"/>
    <cellStyle name="Input 7 3 4 4" xfId="14427"/>
    <cellStyle name="Input 7 3 5" xfId="14428"/>
    <cellStyle name="Input 7 3 6" xfId="14429"/>
    <cellStyle name="Input 7 3 7" xfId="14430"/>
    <cellStyle name="Input 7 4" xfId="14431"/>
    <cellStyle name="Input 7 4 2" xfId="14432"/>
    <cellStyle name="Input 7 4 2 2" xfId="14433"/>
    <cellStyle name="Input 7 4 2 2 2" xfId="14434"/>
    <cellStyle name="Input 7 4 2 2 3" xfId="14435"/>
    <cellStyle name="Input 7 4 2 2 4" xfId="14436"/>
    <cellStyle name="Input 7 4 2 3" xfId="14437"/>
    <cellStyle name="Input 7 4 2 4" xfId="14438"/>
    <cellStyle name="Input 7 4 2 5" xfId="14439"/>
    <cellStyle name="Input 7 4 3" xfId="14440"/>
    <cellStyle name="Input 7 4 3 2" xfId="14441"/>
    <cellStyle name="Input 7 4 3 2 2" xfId="14442"/>
    <cellStyle name="Input 7 4 3 2 3" xfId="14443"/>
    <cellStyle name="Input 7 4 3 2 4" xfId="14444"/>
    <cellStyle name="Input 7 4 3 3" xfId="14445"/>
    <cellStyle name="Input 7 4 3 4" xfId="14446"/>
    <cellStyle name="Input 7 4 3 5" xfId="14447"/>
    <cellStyle name="Input 7 4 4" xfId="14448"/>
    <cellStyle name="Input 7 4 4 2" xfId="14449"/>
    <cellStyle name="Input 7 4 4 3" xfId="14450"/>
    <cellStyle name="Input 7 4 4 4" xfId="14451"/>
    <cellStyle name="Input 7 4 5" xfId="14452"/>
    <cellStyle name="Input 7 4 6" xfId="14453"/>
    <cellStyle name="Input 7 4 7" xfId="14454"/>
    <cellStyle name="Input 7 5" xfId="14455"/>
    <cellStyle name="Input 7 5 2" xfId="14456"/>
    <cellStyle name="Input 7 5 2 2" xfId="14457"/>
    <cellStyle name="Input 7 5 2 3" xfId="14458"/>
    <cellStyle name="Input 7 5 2 4" xfId="14459"/>
    <cellStyle name="Input 7 5 3" xfId="14460"/>
    <cellStyle name="Input 7 5 4" xfId="14461"/>
    <cellStyle name="Input 7 5 5" xfId="14462"/>
    <cellStyle name="Input 7 6" xfId="14463"/>
    <cellStyle name="Input 7 6 2" xfId="14464"/>
    <cellStyle name="Input 7 6 2 2" xfId="14465"/>
    <cellStyle name="Input 7 6 2 3" xfId="14466"/>
    <cellStyle name="Input 7 6 2 4" xfId="14467"/>
    <cellStyle name="Input 7 6 3" xfId="14468"/>
    <cellStyle name="Input 7 6 4" xfId="14469"/>
    <cellStyle name="Input 7 6 5" xfId="14470"/>
    <cellStyle name="Input 7 7" xfId="14471"/>
    <cellStyle name="Input 7 7 2" xfId="14472"/>
    <cellStyle name="Input 7 7 2 2" xfId="14473"/>
    <cellStyle name="Input 7 7 2 3" xfId="14474"/>
    <cellStyle name="Input 7 7 2 4" xfId="14475"/>
    <cellStyle name="Input 7 7 3" xfId="14476"/>
    <cellStyle name="Input 7 7 4" xfId="14477"/>
    <cellStyle name="Input 7 7 5" xfId="14478"/>
    <cellStyle name="Input 7 8" xfId="14479"/>
    <cellStyle name="Input 7 8 2" xfId="14480"/>
    <cellStyle name="Input 7 8 2 2" xfId="14481"/>
    <cellStyle name="Input 7 8 2 3" xfId="14482"/>
    <cellStyle name="Input 7 8 2 4" xfId="14483"/>
    <cellStyle name="Input 7 8 3" xfId="14484"/>
    <cellStyle name="Input 7 8 4" xfId="14485"/>
    <cellStyle name="Input 7 8 5" xfId="14486"/>
    <cellStyle name="Input 7 9" xfId="14487"/>
    <cellStyle name="Input 7 9 2" xfId="14488"/>
    <cellStyle name="Input 7 9 2 2" xfId="14489"/>
    <cellStyle name="Input 7 9 2 3" xfId="14490"/>
    <cellStyle name="Input 7 9 2 4" xfId="14491"/>
    <cellStyle name="Input 7 9 3" xfId="14492"/>
    <cellStyle name="Input 7 9 4" xfId="14493"/>
    <cellStyle name="Input 7 9 5" xfId="14494"/>
    <cellStyle name="Input 7_Sheet2" xfId="14495"/>
    <cellStyle name="Input 8" xfId="14496"/>
    <cellStyle name="Input 8 10" xfId="14497"/>
    <cellStyle name="Input 8 10 2" xfId="14498"/>
    <cellStyle name="Input 8 10 2 2" xfId="14499"/>
    <cellStyle name="Input 8 10 2 3" xfId="14500"/>
    <cellStyle name="Input 8 10 2 4" xfId="14501"/>
    <cellStyle name="Input 8 10 3" xfId="14502"/>
    <cellStyle name="Input 8 10 4" xfId="14503"/>
    <cellStyle name="Input 8 10 5" xfId="14504"/>
    <cellStyle name="Input 8 11" xfId="14505"/>
    <cellStyle name="Input 8 11 2" xfId="14506"/>
    <cellStyle name="Input 8 11 2 2" xfId="14507"/>
    <cellStyle name="Input 8 11 2 3" xfId="14508"/>
    <cellStyle name="Input 8 11 2 4" xfId="14509"/>
    <cellStyle name="Input 8 11 3" xfId="14510"/>
    <cellStyle name="Input 8 11 4" xfId="14511"/>
    <cellStyle name="Input 8 11 5" xfId="14512"/>
    <cellStyle name="Input 8 12" xfId="14513"/>
    <cellStyle name="Input 8 12 2" xfId="14514"/>
    <cellStyle name="Input 8 12 3" xfId="14515"/>
    <cellStyle name="Input 8 12 4" xfId="14516"/>
    <cellStyle name="Input 8 13" xfId="14517"/>
    <cellStyle name="Input 8 13 2" xfId="14518"/>
    <cellStyle name="Input 8 13 3" xfId="14519"/>
    <cellStyle name="Input 8 13 4" xfId="14520"/>
    <cellStyle name="Input 8 14" xfId="14521"/>
    <cellStyle name="Input 8 15" xfId="14522"/>
    <cellStyle name="Input 8 16" xfId="14523"/>
    <cellStyle name="Input 8 2" xfId="14524"/>
    <cellStyle name="Input 8 2 2" xfId="14525"/>
    <cellStyle name="Input 8 2 2 2" xfId="14526"/>
    <cellStyle name="Input 8 2 2 3" xfId="14527"/>
    <cellStyle name="Input 8 2 2 4" xfId="14528"/>
    <cellStyle name="Input 8 2 3" xfId="14529"/>
    <cellStyle name="Input 8 2 4" xfId="14530"/>
    <cellStyle name="Input 8 2 5" xfId="14531"/>
    <cellStyle name="Input 8 3" xfId="14532"/>
    <cellStyle name="Input 8 4" xfId="14533"/>
    <cellStyle name="Input 8 4 2" xfId="14534"/>
    <cellStyle name="Input 8 4 2 2" xfId="14535"/>
    <cellStyle name="Input 8 4 2 3" xfId="14536"/>
    <cellStyle name="Input 8 4 2 4" xfId="14537"/>
    <cellStyle name="Input 8 4 3" xfId="14538"/>
    <cellStyle name="Input 8 4 4" xfId="14539"/>
    <cellStyle name="Input 8 4 5" xfId="14540"/>
    <cellStyle name="Input 8 5" xfId="14541"/>
    <cellStyle name="Input 8 5 2" xfId="14542"/>
    <cellStyle name="Input 8 5 2 2" xfId="14543"/>
    <cellStyle name="Input 8 5 2 3" xfId="14544"/>
    <cellStyle name="Input 8 5 2 4" xfId="14545"/>
    <cellStyle name="Input 8 5 3" xfId="14546"/>
    <cellStyle name="Input 8 5 4" xfId="14547"/>
    <cellStyle name="Input 8 5 5" xfId="14548"/>
    <cellStyle name="Input 8 6" xfId="14549"/>
    <cellStyle name="Input 8 6 2" xfId="14550"/>
    <cellStyle name="Input 8 6 2 2" xfId="14551"/>
    <cellStyle name="Input 8 6 2 3" xfId="14552"/>
    <cellStyle name="Input 8 6 2 4" xfId="14553"/>
    <cellStyle name="Input 8 6 3" xfId="14554"/>
    <cellStyle name="Input 8 6 4" xfId="14555"/>
    <cellStyle name="Input 8 6 5" xfId="14556"/>
    <cellStyle name="Input 8 7" xfId="14557"/>
    <cellStyle name="Input 8 7 2" xfId="14558"/>
    <cellStyle name="Input 8 7 2 2" xfId="14559"/>
    <cellStyle name="Input 8 7 2 3" xfId="14560"/>
    <cellStyle name="Input 8 7 2 4" xfId="14561"/>
    <cellStyle name="Input 8 7 3" xfId="14562"/>
    <cellStyle name="Input 8 7 4" xfId="14563"/>
    <cellStyle name="Input 8 7 5" xfId="14564"/>
    <cellStyle name="Input 8 8" xfId="14565"/>
    <cellStyle name="Input 8 8 2" xfId="14566"/>
    <cellStyle name="Input 8 8 2 2" xfId="14567"/>
    <cellStyle name="Input 8 8 2 3" xfId="14568"/>
    <cellStyle name="Input 8 8 2 4" xfId="14569"/>
    <cellStyle name="Input 8 8 3" xfId="14570"/>
    <cellStyle name="Input 8 8 4" xfId="14571"/>
    <cellStyle name="Input 8 8 5" xfId="14572"/>
    <cellStyle name="Input 8 9" xfId="14573"/>
    <cellStyle name="Input 8 9 2" xfId="14574"/>
    <cellStyle name="Input 8 9 2 2" xfId="14575"/>
    <cellStyle name="Input 8 9 2 3" xfId="14576"/>
    <cellStyle name="Input 8 9 2 4" xfId="14577"/>
    <cellStyle name="Input 8 9 3" xfId="14578"/>
    <cellStyle name="Input 8 9 4" xfId="14579"/>
    <cellStyle name="Input 8 9 5" xfId="14580"/>
    <cellStyle name="Input 8_Sheet2" xfId="14581"/>
    <cellStyle name="Input 9" xfId="14582"/>
    <cellStyle name="Input 9 10" xfId="14583"/>
    <cellStyle name="Input 9 10 2" xfId="14584"/>
    <cellStyle name="Input 9 10 3" xfId="14585"/>
    <cellStyle name="Input 9 10 4" xfId="14586"/>
    <cellStyle name="Input 9 11" xfId="14587"/>
    <cellStyle name="Input 9 11 2" xfId="14588"/>
    <cellStyle name="Input 9 11 3" xfId="14589"/>
    <cellStyle name="Input 9 11 4" xfId="14590"/>
    <cellStyle name="Input 9 12" xfId="14591"/>
    <cellStyle name="Input 9 13" xfId="14592"/>
    <cellStyle name="Input 9 14" xfId="14593"/>
    <cellStyle name="Input 9 2" xfId="14594"/>
    <cellStyle name="Input 9 2 2" xfId="14595"/>
    <cellStyle name="Input 9 2 2 2" xfId="14596"/>
    <cellStyle name="Input 9 2 2 3" xfId="14597"/>
    <cellStyle name="Input 9 2 2 4" xfId="14598"/>
    <cellStyle name="Input 9 2 3" xfId="14599"/>
    <cellStyle name="Input 9 2 4" xfId="14600"/>
    <cellStyle name="Input 9 2 5" xfId="14601"/>
    <cellStyle name="Input 9 3" xfId="14602"/>
    <cellStyle name="Input 9 3 2" xfId="14603"/>
    <cellStyle name="Input 9 3 2 2" xfId="14604"/>
    <cellStyle name="Input 9 3 2 3" xfId="14605"/>
    <cellStyle name="Input 9 3 2 4" xfId="14606"/>
    <cellStyle name="Input 9 3 3" xfId="14607"/>
    <cellStyle name="Input 9 3 4" xfId="14608"/>
    <cellStyle name="Input 9 3 5" xfId="14609"/>
    <cellStyle name="Input 9 4" xfId="14610"/>
    <cellStyle name="Input 9 4 2" xfId="14611"/>
    <cellStyle name="Input 9 4 2 2" xfId="14612"/>
    <cellStyle name="Input 9 4 2 3" xfId="14613"/>
    <cellStyle name="Input 9 4 2 4" xfId="14614"/>
    <cellStyle name="Input 9 4 3" xfId="14615"/>
    <cellStyle name="Input 9 4 4" xfId="14616"/>
    <cellStyle name="Input 9 4 5" xfId="14617"/>
    <cellStyle name="Input 9 5" xfId="14618"/>
    <cellStyle name="Input 9 5 2" xfId="14619"/>
    <cellStyle name="Input 9 5 2 2" xfId="14620"/>
    <cellStyle name="Input 9 5 2 3" xfId="14621"/>
    <cellStyle name="Input 9 5 2 4" xfId="14622"/>
    <cellStyle name="Input 9 5 3" xfId="14623"/>
    <cellStyle name="Input 9 5 4" xfId="14624"/>
    <cellStyle name="Input 9 5 5" xfId="14625"/>
    <cellStyle name="Input 9 6" xfId="14626"/>
    <cellStyle name="Input 9 6 2" xfId="14627"/>
    <cellStyle name="Input 9 6 2 2" xfId="14628"/>
    <cellStyle name="Input 9 6 2 3" xfId="14629"/>
    <cellStyle name="Input 9 6 2 4" xfId="14630"/>
    <cellStyle name="Input 9 6 3" xfId="14631"/>
    <cellStyle name="Input 9 6 4" xfId="14632"/>
    <cellStyle name="Input 9 6 5" xfId="14633"/>
    <cellStyle name="Input 9 7" xfId="14634"/>
    <cellStyle name="Input 9 7 2" xfId="14635"/>
    <cellStyle name="Input 9 7 2 2" xfId="14636"/>
    <cellStyle name="Input 9 7 2 3" xfId="14637"/>
    <cellStyle name="Input 9 7 2 4" xfId="14638"/>
    <cellStyle name="Input 9 7 3" xfId="14639"/>
    <cellStyle name="Input 9 7 4" xfId="14640"/>
    <cellStyle name="Input 9 7 5" xfId="14641"/>
    <cellStyle name="Input 9 8" xfId="14642"/>
    <cellStyle name="Input 9 8 2" xfId="14643"/>
    <cellStyle name="Input 9 8 2 2" xfId="14644"/>
    <cellStyle name="Input 9 8 2 3" xfId="14645"/>
    <cellStyle name="Input 9 8 2 4" xfId="14646"/>
    <cellStyle name="Input 9 8 3" xfId="14647"/>
    <cellStyle name="Input 9 8 4" xfId="14648"/>
    <cellStyle name="Input 9 8 5" xfId="14649"/>
    <cellStyle name="Input 9 9" xfId="14650"/>
    <cellStyle name="Input 9 9 2" xfId="14651"/>
    <cellStyle name="Input 9 9 2 2" xfId="14652"/>
    <cellStyle name="Input 9 9 2 3" xfId="14653"/>
    <cellStyle name="Input 9 9 2 4" xfId="14654"/>
    <cellStyle name="Input 9 9 3" xfId="14655"/>
    <cellStyle name="Input 9 9 4" xfId="14656"/>
    <cellStyle name="Input 9 9 5" xfId="14657"/>
    <cellStyle name="Input Cells" xfId="14792"/>
    <cellStyle name="Input Currency" xfId="14793"/>
    <cellStyle name="Input Currency 2" xfId="14794"/>
    <cellStyle name="Input Currency_Budget Oberoi Commerz 2  3 R3_08052008 (3)" xfId="14795"/>
    <cellStyle name="Input Date" xfId="14796"/>
    <cellStyle name="Input Fixed [0]" xfId="14797"/>
    <cellStyle name="Input Multiple" xfId="14798"/>
    <cellStyle name="Input Normal" xfId="14799"/>
    <cellStyle name="Input Percent" xfId="14800"/>
    <cellStyle name="Input Percent [2]" xfId="14801"/>
    <cellStyle name="Input Percent_Budget Oberoi Commerz 2  3 R3_08052008 (3)" xfId="14802"/>
    <cellStyle name="Input Titles" xfId="14803"/>
    <cellStyle name="input value" xfId="14804"/>
    <cellStyle name="Input1" xfId="14805"/>
    <cellStyle name="Input2" xfId="14806"/>
    <cellStyle name="Input2 2" xfId="14807"/>
    <cellStyle name="Input2 3" xfId="14808"/>
    <cellStyle name="Input2 4" xfId="14809"/>
    <cellStyle name="Input2 5" xfId="14810"/>
    <cellStyle name="Input2 6" xfId="14811"/>
    <cellStyle name="Input2 7" xfId="14812"/>
    <cellStyle name="InputBlueFont" xfId="14813"/>
    <cellStyle name="InputCurrency" xfId="14814"/>
    <cellStyle name="InputNormal" xfId="14815"/>
    <cellStyle name="Integer Text" xfId="14816"/>
    <cellStyle name="iu" xfId="14817"/>
    <cellStyle name="Jun" xfId="14818"/>
    <cellStyle name="Jun 2 2" xfId="14819"/>
    <cellStyle name="Jun 3" xfId="14820"/>
    <cellStyle name="k" xfId="14821"/>
    <cellStyle name="k 2" xfId="14822"/>
    <cellStyle name="KGName" xfId="14824"/>
    <cellStyle name="KG-Nr" xfId="14823"/>
    <cellStyle name="Kol.-Titel" xfId="14825"/>
    <cellStyle name="KP_Normal" xfId="14826"/>
    <cellStyle name="kutch" xfId="14827"/>
    <cellStyle name="L" xfId="14828"/>
    <cellStyle name="L 2" xfId="14829"/>
    <cellStyle name="L_004 - May' 08 - Reconcilation" xfId="14830"/>
    <cellStyle name="L_005- June '08- Reconciliation" xfId="14831"/>
    <cellStyle name="L_006- July '08- Reconciliation" xfId="14832"/>
    <cellStyle name="L_22nd RA Bill- March-10 @ Magnolia B L Gupta" xfId="14833"/>
    <cellStyle name="L_adj 15acre Jun08" xfId="14834"/>
    <cellStyle name="L_Adj 7B Report June 07- Feb 08" xfId="14835"/>
    <cellStyle name="L_adjustment 7A Apr-Oct08" xfId="14836"/>
    <cellStyle name="L_Billing New Formet" xfId="14837"/>
    <cellStyle name="L_Blank formats annexures -  Cost plus" xfId="14838"/>
    <cellStyle name="L_Book1" xfId="14839"/>
    <cellStyle name="L_Book1 (39)" xfId="14840"/>
    <cellStyle name="L_Book3" xfId="14841"/>
    <cellStyle name="L_BOQ" xfId="14842"/>
    <cellStyle name="L_Budget &amp; Costing - MICO" xfId="14843"/>
    <cellStyle name="L_CONTRACT REVIEW- JASOLA TOWERS-FEB07" xfId="14844"/>
    <cellStyle name="L_Copy of Costing" xfId="14845"/>
    <cellStyle name="L_Copy of Costing_Gurgaon 1 _29.07.04 _ MDS" xfId="14846"/>
    <cellStyle name="L_Copy of Oberoi RA Bill 22 August 0804.09.08 Revised " xfId="14847"/>
    <cellStyle name="L_Copy of Oberoi RA Bill 22 August 0804.09.08 Revised  2" xfId="14848"/>
    <cellStyle name="L_Copy of Oberoi RA Bill 22 August 0804.09.08 Revised  3" xfId="14849"/>
    <cellStyle name="L_Copy of Oberoi RA Bill 22 August 0804.09.08 Revised  4" xfId="14850"/>
    <cellStyle name="L_Copy of Oberoi RA Bill 22 August 0804.09.08 Revised  5" xfId="14851"/>
    <cellStyle name="L_Copy of Oberoi RA Bill 22 August 0804.09.08 Revised  6" xfId="14852"/>
    <cellStyle name="L_Copy of Oberoi RA Bill 22 August 0804.09.08 Revised  7" xfId="14853"/>
    <cellStyle name="L_Copy of Oberoi RA Bill 22 August 0804.09.08 Revised  8" xfId="14854"/>
    <cellStyle name="L_Copy of Plant  eqpt (2)" xfId="14855"/>
    <cellStyle name="L_Copy of Progress tracker Mar Apr 08" xfId="14856"/>
    <cellStyle name="L_Copy of PSE-IT Noida-r 3" xfId="14857"/>
    <cellStyle name="L_Copy of Transferable Material VAT Liablity - SBM Homes (Sep-2010) (2) (2)" xfId="14858"/>
    <cellStyle name="L_Costing - ITC Main Revised Qty- 11.01_ ITC Main" xfId="14859"/>
    <cellStyle name="L_Costing - MBD Books-20.12" xfId="14860"/>
    <cellStyle name="L_Costing_Birla Sugar_9.4.05" xfId="14861"/>
    <cellStyle name="L_Costing_District Court" xfId="14862"/>
    <cellStyle name="L_Costing_Hero Honda_Haridwar" xfId="14863"/>
    <cellStyle name="L_Costing_Indian Chancery_4.06.06" xfId="14864"/>
    <cellStyle name="L_Costing_Inst. Bld-Emirates Group-Noida-13.06.06" xfId="14865"/>
    <cellStyle name="L_Costing_Nicholas_21.12.04" xfId="14866"/>
    <cellStyle name="L_Disallowed Cost 200309" xfId="14867"/>
    <cellStyle name="L_Disallowed cost MOI" xfId="14868"/>
    <cellStyle name="L_DLF Agrrement _ Formats _10A" xfId="14869"/>
    <cellStyle name="L_DLF Capital Greens -Consolidated Finishes BOQ Phase I " xfId="14870"/>
    <cellStyle name="L_DLF Capital Greens -Consolidated Finishes BOQ Phase I  2" xfId="14871"/>
    <cellStyle name="L_DLF Capital Greens -Consolidated Finishes BOQ Phase I  3" xfId="14872"/>
    <cellStyle name="L_DLF Capital Greens -Consolidated Finishes BOQ Phase I  4" xfId="14873"/>
    <cellStyle name="L_DLF Capital Greens -Consolidated Finishes BOQ Phase I  5" xfId="14874"/>
    <cellStyle name="L_DLF Capital Greens -Consolidated Finishes BOQ Phase I  6" xfId="14875"/>
    <cellStyle name="L_DLF Capital Greens -Consolidated Finishes BOQ Phase I  7" xfId="14876"/>
    <cellStyle name="L_DLF Capital Greens -Consolidated Finishes BOQ Phase I  8" xfId="14877"/>
    <cellStyle name="L_DLF Capital Greens -Consolidated Finishes BOQ Phase II " xfId="14878"/>
    <cellStyle name="L_DLF Capital Greens -Consolidated Finishes BOQ Phase II  2" xfId="14879"/>
    <cellStyle name="L_DLF Capital Greens -Consolidated Finishes BOQ Phase II  3" xfId="14880"/>
    <cellStyle name="L_DLF Capital Greens -Consolidated Finishes BOQ Phase II  4" xfId="14881"/>
    <cellStyle name="L_DLF Capital Greens -Consolidated Finishes BOQ Phase II  5" xfId="14882"/>
    <cellStyle name="L_DLF Capital Greens -Consolidated Finishes BOQ Phase II  6" xfId="14883"/>
    <cellStyle name="L_DLF Capital Greens -Consolidated Finishes BOQ Phase II  7" xfId="14884"/>
    <cellStyle name="L_DLF Capital Greens -Consolidated Finishes BOQ Phase II  8" xfId="14885"/>
    <cellStyle name="L_DLF Cyber Tower _02.06.05 l" xfId="14886"/>
    <cellStyle name="L_Drawing Release Schedule" xfId="14887"/>
    <cellStyle name="L_drawings Register" xfId="14888"/>
    <cellStyle name="L_drawings Register as on 01-12-08" xfId="14889"/>
    <cellStyle name="L_drawings Register as on 040409" xfId="14890"/>
    <cellStyle name="L_drawings Register as on 040909" xfId="14891"/>
    <cellStyle name="L_drawings Register as on 240409" xfId="14892"/>
    <cellStyle name="L_drawings Register as on 240909" xfId="14893"/>
    <cellStyle name="L_drawings Register as on 28-1-09" xfId="14894"/>
    <cellStyle name="L_drawings Register as on 300609" xfId="14895"/>
    <cellStyle name="L_drawings Register as on 310709" xfId="14896"/>
    <cellStyle name="L_drawings Register as on02-3-09" xfId="14897"/>
    <cellStyle name="L_Final Report-JUne 07" xfId="14898"/>
    <cellStyle name="L_Final Summary IT HYderabad June 08" xfId="14899"/>
    <cellStyle name="L_form" xfId="14900"/>
    <cellStyle name="L_IRS-Civil" xfId="14901"/>
    <cellStyle name="L_IRS-Civil (4)" xfId="14902"/>
    <cellStyle name="L_it noida_budget_draft_200506" xfId="14903"/>
    <cellStyle name="L_IT PARK GACHIBOWLI_P &amp; M HIRE CHARGES" xfId="14904"/>
    <cellStyle name="L_Item Rate Bill RA-10 March 11 (Homes)" xfId="14905"/>
    <cellStyle name="L_ITN AUG MPR" xfId="14906"/>
    <cellStyle name="L_Jasola Recon April-08" xfId="14907"/>
    <cellStyle name="L_Jasola Recon Feb-07" xfId="14908"/>
    <cellStyle name="L_kks" xfId="14909"/>
    <cellStyle name="L_Major quantities _Inst. Bld-Emirates Group-Noida" xfId="14910"/>
    <cellStyle name="L_Major quantities_Hero Honda_Haridwar" xfId="14911"/>
    <cellStyle name="L_Material Reco (SBM Homes)" xfId="14912"/>
    <cellStyle name="L_Material Reco May-2011 (SBM Homes)" xfId="14913"/>
    <cellStyle name="L_May Photos" xfId="14914"/>
    <cellStyle name="L_medicity_26.09.05 _ MDS" xfId="14915"/>
    <cellStyle name="L_Monthwise Idling cost - Magnolias (rev 2)" xfId="14916"/>
    <cellStyle name="L_MPR Jan 2009" xfId="14917"/>
    <cellStyle name="L_MPR OCT" xfId="14918"/>
    <cellStyle name="L_MPR_July_08" xfId="14920"/>
    <cellStyle name="L_MPR1 as per June'08" xfId="14919"/>
    <cellStyle name="L_Noida Mall Cost Audit Reply Mar 08 090608" xfId="14921"/>
    <cellStyle name="L_Oberoi RA Bill 23 Sept 08 061008" xfId="14922"/>
    <cellStyle name="L_Org Chart" xfId="14923"/>
    <cellStyle name="L_P &amp; M STAFF" xfId="14924"/>
    <cellStyle name="L_P&amp;E Trail_1" xfId="14925"/>
    <cellStyle name="L_Pogress tracker June 08" xfId="14926"/>
    <cellStyle name="L_Pogress tracker May 08" xfId="14927"/>
    <cellStyle name="L_PresentationCONTRACT REVIEW" xfId="14928"/>
    <cellStyle name="L_Programme_Vytilla_DLF Riverside" xfId="14929"/>
    <cellStyle name="L_PSE-IT Noida-r 3" xfId="14930"/>
    <cellStyle name="L_R F I  LOG" xfId="14931"/>
    <cellStyle name="L_Rate Ana " xfId="14932"/>
    <cellStyle name="L_Rate Ana  2" xfId="14933"/>
    <cellStyle name="L_Rate Ana  3" xfId="14934"/>
    <cellStyle name="L_Rate Ana  4" xfId="14935"/>
    <cellStyle name="L_Rate Ana  5" xfId="14936"/>
    <cellStyle name="L_Rate Ana  6" xfId="14937"/>
    <cellStyle name="L_Rate Ana  7" xfId="14938"/>
    <cellStyle name="L_Rate Ana  8" xfId="14939"/>
    <cellStyle name="L_RATE ANALYSIS_Sample" xfId="14940"/>
    <cellStyle name="L_Reconciliation for May '08" xfId="14941"/>
    <cellStyle name="L_reconcillation upto sep-08" xfId="14942"/>
    <cellStyle name="L_Register" xfId="14943"/>
    <cellStyle name="L_Res-Item Rate Analysis-r2_ RAP4" xfId="14944"/>
    <cellStyle name="L_Res-Item Rate Analysis-r2_Tapan" xfId="14945"/>
    <cellStyle name="L_SBM School 6th RA Bill 09 Feb-10 Rev" xfId="14946"/>
    <cellStyle name="L_SBM School 8th RA Bill-April-10" xfId="14947"/>
    <cellStyle name="L_SBM School Final Bill-(10-05 to12-2010)" xfId="14948"/>
    <cellStyle name="L_SCOPE OF WORK STR-FIN-SPCL-CONTRACT" xfId="14949"/>
    <cellStyle name="L_Sheet1" xfId="14950"/>
    <cellStyle name="L_Submitted_27.10.05" xfId="14951"/>
    <cellStyle name="L_Summary 15 acre Final" xfId="14952"/>
    <cellStyle name="L_Transferable Material VAT Liablity - SBM Homes (Sep-2010)" xfId="14953"/>
    <cellStyle name="L_Vytilla-Cochin" xfId="14954"/>
    <cellStyle name="L_Working_Submitted" xfId="14955"/>
    <cellStyle name="L_WPR 21 to 27 Jan '08" xfId="14956"/>
    <cellStyle name="L_WPR 28th Jan 08 to 03rd Feb '08" xfId="14957"/>
    <cellStyle name="L_WPR- DLF INFOCITY CHENNAI - 13.08.07 TO 19.08.07" xfId="14958"/>
    <cellStyle name="L_WPR_25th Aug_to_31st Aug_08" xfId="14959"/>
    <cellStyle name="L_WPR_31st_Mar_to_5th_Apr_08" xfId="14960"/>
    <cellStyle name="L_Z-Labour Camp Detail" xfId="14961"/>
    <cellStyle name="Labels - Style3" xfId="14962"/>
    <cellStyle name="Labels - Style3 2" xfId="14963"/>
    <cellStyle name="Labels - Style3 2 2" xfId="14964"/>
    <cellStyle name="Labels - Style3 2 2 2" xfId="14965"/>
    <cellStyle name="Labels - Style3 2 2 3" xfId="14966"/>
    <cellStyle name="Labels - Style3 2 2 4" xfId="14967"/>
    <cellStyle name="Labels - Style3 2 3" xfId="14968"/>
    <cellStyle name="Labels - Style3 2 4" xfId="14969"/>
    <cellStyle name="Labels - Style3 2 5" xfId="14970"/>
    <cellStyle name="Labels - Style3 3" xfId="14971"/>
    <cellStyle name="Labels - Style3 3 2" xfId="14972"/>
    <cellStyle name="Labels - Style3 3 2 2" xfId="14973"/>
    <cellStyle name="Labels - Style3 3 2 3" xfId="14974"/>
    <cellStyle name="Labels - Style3 3 2 4" xfId="14975"/>
    <cellStyle name="Labels - Style3 3 3" xfId="14976"/>
    <cellStyle name="Labels - Style3 3 4" xfId="14977"/>
    <cellStyle name="Labels - Style3 3 5" xfId="14978"/>
    <cellStyle name="Labels - Style3 4" xfId="14979"/>
    <cellStyle name="Labels - Style3 4 2" xfId="14980"/>
    <cellStyle name="Labels - Style3 4 3" xfId="14981"/>
    <cellStyle name="Labels - Style3 4 4" xfId="14982"/>
    <cellStyle name="Labels - Style3 5" xfId="14983"/>
    <cellStyle name="Labels - Style3 6" xfId="14984"/>
    <cellStyle name="Labels - Style3 7" xfId="14985"/>
    <cellStyle name="Large Page Heading" xfId="14986"/>
    <cellStyle name="Length" xfId="14987"/>
    <cellStyle name="Length 2" xfId="14988"/>
    <cellStyle name="Length_DLF Capital Greens -Consolidated Finishes BOQ Phase II " xfId="14989"/>
    <cellStyle name="Level 2 Total" xfId="14990"/>
    <cellStyle name="Level 2 Total 2" xfId="14991"/>
    <cellStyle name="Level 2 Total 2 2" xfId="14992"/>
    <cellStyle name="Level 2 Total 2 3" xfId="14993"/>
    <cellStyle name="Level 2 Total 2 4" xfId="14994"/>
    <cellStyle name="Level 2 Total 3" xfId="14995"/>
    <cellStyle name="Level 2 Total 4" xfId="14996"/>
    <cellStyle name="Level 2 Total 5" xfId="14997"/>
    <cellStyle name="Level 2 Total 6" xfId="14998"/>
    <cellStyle name="Level 2 Total 7" xfId="14999"/>
    <cellStyle name="level 3" xfId="15000"/>
    <cellStyle name="level3" xfId="15001"/>
    <cellStyle name="level3 2" xfId="15002"/>
    <cellStyle name="Lien hypertexte" xfId="15003"/>
    <cellStyle name="Lien hypertexte visité" xfId="15004"/>
    <cellStyle name="Lien hypertexte_PROJ J1 01 IN AFT 0701 COST FW  0001 C 071207 Sourcing Plan" xfId="15005"/>
    <cellStyle name="ligne_detail" xfId="15006"/>
    <cellStyle name="Line No." xfId="15007"/>
    <cellStyle name="LineItem" xfId="15008"/>
    <cellStyle name="Linie" xfId="15009"/>
    <cellStyle name="Linie-nr" xfId="15010"/>
    <cellStyle name="Linie-nr 2" xfId="15011"/>
    <cellStyle name="Linie-nr 3" xfId="15012"/>
    <cellStyle name="Linie-nr 4" xfId="15013"/>
    <cellStyle name="Linie-nr 5" xfId="15014"/>
    <cellStyle name="Linie-nr 6" xfId="15015"/>
    <cellStyle name="Link" xfId="15016"/>
    <cellStyle name="Link Currency (0)" xfId="15017"/>
    <cellStyle name="Link Currency (0) 10" xfId="15018"/>
    <cellStyle name="Link Currency (0) 11" xfId="15019"/>
    <cellStyle name="Link Currency (0) 2" xfId="15020"/>
    <cellStyle name="Link Currency (0) 2 2" xfId="15021"/>
    <cellStyle name="Link Currency (0) 3" xfId="15022"/>
    <cellStyle name="Link Currency (0) 3 2" xfId="15023"/>
    <cellStyle name="Link Currency (0) 4" xfId="15024"/>
    <cellStyle name="Link Currency (0) 5" xfId="15025"/>
    <cellStyle name="Link Currency (0) 6" xfId="15026"/>
    <cellStyle name="Link Currency (0) 7" xfId="15027"/>
    <cellStyle name="Link Currency (0) 8" xfId="15028"/>
    <cellStyle name="Link Currency (0) 9" xfId="15029"/>
    <cellStyle name="Link Currency (2)" xfId="15030"/>
    <cellStyle name="Link Units (0)" xfId="15031"/>
    <cellStyle name="Link Units (0) 10" xfId="15032"/>
    <cellStyle name="Link Units (0) 11" xfId="15033"/>
    <cellStyle name="Link Units (0) 2" xfId="15034"/>
    <cellStyle name="Link Units (0) 2 2" xfId="15035"/>
    <cellStyle name="Link Units (0) 3" xfId="15036"/>
    <cellStyle name="Link Units (0) 3 2" xfId="15037"/>
    <cellStyle name="Link Units (0) 4" xfId="15038"/>
    <cellStyle name="Link Units (0) 5" xfId="15039"/>
    <cellStyle name="Link Units (0) 6" xfId="15040"/>
    <cellStyle name="Link Units (0) 7" xfId="15041"/>
    <cellStyle name="Link Units (0) 8" xfId="15042"/>
    <cellStyle name="Link Units (0) 9" xfId="15043"/>
    <cellStyle name="Link Units (1)" xfId="15044"/>
    <cellStyle name="Link Units (1) 10" xfId="15045"/>
    <cellStyle name="Link Units (1) 11" xfId="15046"/>
    <cellStyle name="Link Units (1) 2" xfId="15047"/>
    <cellStyle name="Link Units (1) 2 2" xfId="15048"/>
    <cellStyle name="Link Units (1) 3" xfId="15049"/>
    <cellStyle name="Link Units (1) 3 2" xfId="15050"/>
    <cellStyle name="Link Units (1) 4" xfId="15051"/>
    <cellStyle name="Link Units (1) 5" xfId="15052"/>
    <cellStyle name="Link Units (1) 6" xfId="15053"/>
    <cellStyle name="Link Units (1) 7" xfId="15054"/>
    <cellStyle name="Link Units (1) 8" xfId="15055"/>
    <cellStyle name="Link Units (1) 9" xfId="15056"/>
    <cellStyle name="Link Units (2)" xfId="15057"/>
    <cellStyle name="Linked Cell 10" xfId="15058"/>
    <cellStyle name="Linked Cell 10 2" xfId="15059"/>
    <cellStyle name="Linked Cell 10 3" xfId="15060"/>
    <cellStyle name="Linked Cell 10 4" xfId="15061"/>
    <cellStyle name="Linked Cell 10 5" xfId="15062"/>
    <cellStyle name="Linked Cell 10 6" xfId="15063"/>
    <cellStyle name="Linked Cell 10 7" xfId="15064"/>
    <cellStyle name="Linked Cell 10 8" xfId="15065"/>
    <cellStyle name="Linked Cell 10 9" xfId="15066"/>
    <cellStyle name="Linked Cell 11" xfId="15067"/>
    <cellStyle name="Linked Cell 11 2" xfId="15068"/>
    <cellStyle name="Linked Cell 11 3" xfId="15069"/>
    <cellStyle name="Linked Cell 11 4" xfId="15070"/>
    <cellStyle name="Linked Cell 11 5" xfId="15071"/>
    <cellStyle name="Linked Cell 11 6" xfId="15072"/>
    <cellStyle name="Linked Cell 11 7" xfId="15073"/>
    <cellStyle name="Linked Cell 11 8" xfId="15074"/>
    <cellStyle name="Linked Cell 11 9" xfId="15075"/>
    <cellStyle name="Linked Cell 12" xfId="15076"/>
    <cellStyle name="Linked Cell 12 2" xfId="15077"/>
    <cellStyle name="Linked Cell 12 3" xfId="15078"/>
    <cellStyle name="Linked Cell 12 4" xfId="15079"/>
    <cellStyle name="Linked Cell 12 5" xfId="15080"/>
    <cellStyle name="Linked Cell 12 6" xfId="15081"/>
    <cellStyle name="Linked Cell 12 7" xfId="15082"/>
    <cellStyle name="Linked Cell 12 8" xfId="15083"/>
    <cellStyle name="Linked Cell 12 9" xfId="15084"/>
    <cellStyle name="Linked Cell 13" xfId="15085"/>
    <cellStyle name="Linked Cell 13 2" xfId="15086"/>
    <cellStyle name="Linked Cell 13 3" xfId="15087"/>
    <cellStyle name="Linked Cell 13 4" xfId="15088"/>
    <cellStyle name="Linked Cell 13 5" xfId="15089"/>
    <cellStyle name="Linked Cell 13 6" xfId="15090"/>
    <cellStyle name="Linked Cell 13 7" xfId="15091"/>
    <cellStyle name="Linked Cell 13 8" xfId="15092"/>
    <cellStyle name="Linked Cell 13 9" xfId="15093"/>
    <cellStyle name="Linked Cell 14" xfId="15094"/>
    <cellStyle name="Linked Cell 14 2" xfId="15095"/>
    <cellStyle name="Linked Cell 14 3" xfId="15096"/>
    <cellStyle name="Linked Cell 14 4" xfId="15097"/>
    <cellStyle name="Linked Cell 14 5" xfId="15098"/>
    <cellStyle name="Linked Cell 14 6" xfId="15099"/>
    <cellStyle name="Linked Cell 14 7" xfId="15100"/>
    <cellStyle name="Linked Cell 14 8" xfId="15101"/>
    <cellStyle name="Linked Cell 14 9" xfId="15102"/>
    <cellStyle name="Linked Cell 15" xfId="15103"/>
    <cellStyle name="Linked Cell 15 2" xfId="15104"/>
    <cellStyle name="Linked Cell 15 3" xfId="15105"/>
    <cellStyle name="Linked Cell 15 4" xfId="15106"/>
    <cellStyle name="Linked Cell 15 5" xfId="15107"/>
    <cellStyle name="Linked Cell 15 6" xfId="15108"/>
    <cellStyle name="Linked Cell 15 7" xfId="15109"/>
    <cellStyle name="Linked Cell 15 8" xfId="15110"/>
    <cellStyle name="Linked Cell 15 9" xfId="15111"/>
    <cellStyle name="Linked Cell 16" xfId="15112"/>
    <cellStyle name="Linked Cell 16 2" xfId="15113"/>
    <cellStyle name="Linked Cell 16 3" xfId="15114"/>
    <cellStyle name="Linked Cell 16 4" xfId="15115"/>
    <cellStyle name="Linked Cell 16 5" xfId="15116"/>
    <cellStyle name="Linked Cell 16 6" xfId="15117"/>
    <cellStyle name="Linked Cell 16 7" xfId="15118"/>
    <cellStyle name="Linked Cell 16 8" xfId="15119"/>
    <cellStyle name="Linked Cell 16 9" xfId="15120"/>
    <cellStyle name="Linked Cell 17" xfId="15121"/>
    <cellStyle name="Linked Cell 18" xfId="15122"/>
    <cellStyle name="Linked Cell 19" xfId="15123"/>
    <cellStyle name="Linked Cell 2" xfId="15124"/>
    <cellStyle name="Linked Cell 2 2" xfId="15125"/>
    <cellStyle name="Linked Cell 2 2 2" xfId="15126"/>
    <cellStyle name="Linked Cell 2 2 2 2" xfId="15127"/>
    <cellStyle name="Linked Cell 2 2 3" xfId="15128"/>
    <cellStyle name="Linked Cell 2 2 4" xfId="15129"/>
    <cellStyle name="Linked Cell 2 2 5" xfId="15130"/>
    <cellStyle name="Linked Cell 2 2 6" xfId="15131"/>
    <cellStyle name="Linked Cell 2 2 7" xfId="15132"/>
    <cellStyle name="Linked Cell 2 2 8" xfId="15133"/>
    <cellStyle name="Linked Cell 2 2 9" xfId="15134"/>
    <cellStyle name="Linked Cell 2 3" xfId="15135"/>
    <cellStyle name="Linked Cell 2 4" xfId="15136"/>
    <cellStyle name="Linked Cell 2 5" xfId="15137"/>
    <cellStyle name="Linked Cell 2_Block-F LGF POur-II BBS" xfId="15148"/>
    <cellStyle name="Linked Cell 20" xfId="15138"/>
    <cellStyle name="Linked Cell 21" xfId="15139"/>
    <cellStyle name="Linked Cell 22" xfId="15140"/>
    <cellStyle name="Linked Cell 23" xfId="15141"/>
    <cellStyle name="Linked Cell 24" xfId="15142"/>
    <cellStyle name="Linked Cell 25" xfId="15143"/>
    <cellStyle name="Linked Cell 26" xfId="15144"/>
    <cellStyle name="Linked Cell 27" xfId="15145"/>
    <cellStyle name="Linked Cell 28" xfId="15146"/>
    <cellStyle name="Linked Cell 29" xfId="15147"/>
    <cellStyle name="Linked Cell 3" xfId="15149"/>
    <cellStyle name="Linked Cell 3 2" xfId="15150"/>
    <cellStyle name="Linked Cell 3 2 2" xfId="15151"/>
    <cellStyle name="Linked Cell 3 2 3" xfId="15152"/>
    <cellStyle name="Linked Cell 3 2 4" xfId="15153"/>
    <cellStyle name="Linked Cell 3 2 5" xfId="15154"/>
    <cellStyle name="Linked Cell 3 2 6" xfId="15155"/>
    <cellStyle name="Linked Cell 3 2 7" xfId="15156"/>
    <cellStyle name="Linked Cell 3 2 8" xfId="15157"/>
    <cellStyle name="Linked Cell 3 2 9" xfId="15158"/>
    <cellStyle name="Linked Cell 3 3" xfId="15159"/>
    <cellStyle name="Linked Cell 3 4" xfId="15160"/>
    <cellStyle name="Linked Cell 3_Ramadugu_ SWGH" xfId="15170"/>
    <cellStyle name="Linked Cell 30" xfId="15161"/>
    <cellStyle name="Linked Cell 31" xfId="15162"/>
    <cellStyle name="Linked Cell 32" xfId="15163"/>
    <cellStyle name="Linked Cell 33" xfId="15164"/>
    <cellStyle name="Linked Cell 34" xfId="15165"/>
    <cellStyle name="Linked Cell 35" xfId="15166"/>
    <cellStyle name="Linked Cell 36" xfId="15167"/>
    <cellStyle name="Linked Cell 37" xfId="15168"/>
    <cellStyle name="Linked Cell 38" xfId="15169"/>
    <cellStyle name="Linked Cell 4" xfId="15171"/>
    <cellStyle name="Linked Cell 4 10" xfId="15172"/>
    <cellStyle name="Linked Cell 4 11" xfId="15173"/>
    <cellStyle name="Linked Cell 4 12" xfId="15174"/>
    <cellStyle name="Linked Cell 4 2" xfId="15175"/>
    <cellStyle name="Linked Cell 4 2 2" xfId="15176"/>
    <cellStyle name="Linked Cell 4 3" xfId="15177"/>
    <cellStyle name="Linked Cell 4 4" xfId="15178"/>
    <cellStyle name="Linked Cell 4 5" xfId="15179"/>
    <cellStyle name="Linked Cell 4 6" xfId="15180"/>
    <cellStyle name="Linked Cell 4 7" xfId="15181"/>
    <cellStyle name="Linked Cell 4 8" xfId="15182"/>
    <cellStyle name="Linked Cell 4 9" xfId="15183"/>
    <cellStyle name="Linked Cell 5" xfId="15184"/>
    <cellStyle name="Linked Cell 5 10" xfId="15185"/>
    <cellStyle name="Linked Cell 5 11" xfId="15186"/>
    <cellStyle name="Linked Cell 5 12" xfId="15187"/>
    <cellStyle name="Linked Cell 5 2" xfId="15188"/>
    <cellStyle name="Linked Cell 5 2 2" xfId="15189"/>
    <cellStyle name="Linked Cell 5 3" xfId="15190"/>
    <cellStyle name="Linked Cell 5 4" xfId="15191"/>
    <cellStyle name="Linked Cell 5 5" xfId="15192"/>
    <cellStyle name="Linked Cell 5 6" xfId="15193"/>
    <cellStyle name="Linked Cell 5 7" xfId="15194"/>
    <cellStyle name="Linked Cell 5 8" xfId="15195"/>
    <cellStyle name="Linked Cell 5 9" xfId="15196"/>
    <cellStyle name="Linked Cell 6" xfId="15197"/>
    <cellStyle name="Linked Cell 6 10" xfId="15198"/>
    <cellStyle name="Linked Cell 6 11" xfId="15199"/>
    <cellStyle name="Linked Cell 6 12" xfId="15200"/>
    <cellStyle name="Linked Cell 6 2" xfId="15201"/>
    <cellStyle name="Linked Cell 6 3" xfId="15202"/>
    <cellStyle name="Linked Cell 6 4" xfId="15203"/>
    <cellStyle name="Linked Cell 6 5" xfId="15204"/>
    <cellStyle name="Linked Cell 6 6" xfId="15205"/>
    <cellStyle name="Linked Cell 6 7" xfId="15206"/>
    <cellStyle name="Linked Cell 6 8" xfId="15207"/>
    <cellStyle name="Linked Cell 6 9" xfId="15208"/>
    <cellStyle name="Linked Cell 7" xfId="15209"/>
    <cellStyle name="Linked Cell 7 10" xfId="15210"/>
    <cellStyle name="Linked Cell 7 11" xfId="15211"/>
    <cellStyle name="Linked Cell 7 12" xfId="15212"/>
    <cellStyle name="Linked Cell 7 2" xfId="15213"/>
    <cellStyle name="Linked Cell 7 3" xfId="15214"/>
    <cellStyle name="Linked Cell 7 4" xfId="15215"/>
    <cellStyle name="Linked Cell 7 5" xfId="15216"/>
    <cellStyle name="Linked Cell 7 6" xfId="15217"/>
    <cellStyle name="Linked Cell 7 7" xfId="15218"/>
    <cellStyle name="Linked Cell 7 8" xfId="15219"/>
    <cellStyle name="Linked Cell 7 9" xfId="15220"/>
    <cellStyle name="Linked Cell 8" xfId="15221"/>
    <cellStyle name="Linked Cell 8 2" xfId="15222"/>
    <cellStyle name="Linked Cell 8 3" xfId="15223"/>
    <cellStyle name="Linked Cell 8 4" xfId="15224"/>
    <cellStyle name="Linked Cell 8 5" xfId="15225"/>
    <cellStyle name="Linked Cell 8 6" xfId="15226"/>
    <cellStyle name="Linked Cell 8 7" xfId="15227"/>
    <cellStyle name="Linked Cell 8 8" xfId="15228"/>
    <cellStyle name="Linked Cell 8 9" xfId="15229"/>
    <cellStyle name="Linked Cell 9" xfId="15230"/>
    <cellStyle name="Linked Cell 9 2" xfId="15231"/>
    <cellStyle name="Linked Cell 9 3" xfId="15232"/>
    <cellStyle name="Linked Cell 9 4" xfId="15233"/>
    <cellStyle name="Linked Cell 9 5" xfId="15234"/>
    <cellStyle name="Linked Cell 9 6" xfId="15235"/>
    <cellStyle name="Linked Cell 9 7" xfId="15236"/>
    <cellStyle name="Linked Cell 9 8" xfId="15237"/>
    <cellStyle name="Linked Cell 9 9" xfId="15238"/>
    <cellStyle name="Linked Cells" xfId="15239"/>
    <cellStyle name="M" xfId="15240"/>
    <cellStyle name="M 2" xfId="15241"/>
    <cellStyle name="M head" xfId="15242"/>
    <cellStyle name="M head 2" xfId="15243"/>
    <cellStyle name="M head_Raipole to Polkampally" xfId="15244"/>
    <cellStyle name="m/d/yy" xfId="15251"/>
    <cellStyle name="m/d/yy 2" xfId="15252"/>
    <cellStyle name="m/d/yy 3" xfId="15253"/>
    <cellStyle name="m/d/yy 4" xfId="15254"/>
    <cellStyle name="m/d/yy 5" xfId="15255"/>
    <cellStyle name="m/d/yy 6" xfId="15256"/>
    <cellStyle name="m/d/yy 7" xfId="15257"/>
    <cellStyle name="M_004 - May' 08 - Reconcilation" xfId="15258"/>
    <cellStyle name="M_005- June '08- Reconciliation" xfId="15259"/>
    <cellStyle name="M_006- July '08- Reconciliation" xfId="15260"/>
    <cellStyle name="M_22nd RA Bill- March-10 @ Magnolia B L Gupta" xfId="15261"/>
    <cellStyle name="M_adj 15acre Jun08" xfId="15262"/>
    <cellStyle name="M_Adj 7B Report June 07- Feb 08" xfId="15263"/>
    <cellStyle name="M_adjustment 7A Apr-Oct08" xfId="15264"/>
    <cellStyle name="M_Billing New Formet" xfId="15265"/>
    <cellStyle name="M_Blank formats annexures -  Cost plus" xfId="15266"/>
    <cellStyle name="M_Book1" xfId="15267"/>
    <cellStyle name="M_Book1 (39)" xfId="15268"/>
    <cellStyle name="M_Book3" xfId="15269"/>
    <cellStyle name="M_BOQ" xfId="15270"/>
    <cellStyle name="M_Budget &amp; Costing - MICO" xfId="15271"/>
    <cellStyle name="M_CONTRACT REVIEW- JASOLA TOWERS-FEB07" xfId="15272"/>
    <cellStyle name="M_Copy of Costing" xfId="15273"/>
    <cellStyle name="M_Copy of Costing_Gurgaon 1 _29.07.04 _ MDS" xfId="15274"/>
    <cellStyle name="M_Copy of Oberoi RA Bill 22 August 0804.09.08 Revised " xfId="15275"/>
    <cellStyle name="M_Copy of Oberoi RA Bill 22 August 0804.09.08 Revised  2" xfId="15276"/>
    <cellStyle name="M_Copy of Oberoi RA Bill 22 August 0804.09.08 Revised  3" xfId="15277"/>
    <cellStyle name="M_Copy of Oberoi RA Bill 22 August 0804.09.08 Revised  4" xfId="15278"/>
    <cellStyle name="M_Copy of Oberoi RA Bill 22 August 0804.09.08 Revised  5" xfId="15279"/>
    <cellStyle name="M_Copy of Oberoi RA Bill 22 August 0804.09.08 Revised  6" xfId="15280"/>
    <cellStyle name="M_Copy of Oberoi RA Bill 22 August 0804.09.08 Revised  7" xfId="15281"/>
    <cellStyle name="M_Copy of Oberoi RA Bill 22 August 0804.09.08 Revised  8" xfId="15282"/>
    <cellStyle name="M_Copy of Plant  eqpt (2)" xfId="15283"/>
    <cellStyle name="M_Copy of Progress tracker Mar Apr 08" xfId="15284"/>
    <cellStyle name="M_Copy of PSE-IT Noida-r 3" xfId="15285"/>
    <cellStyle name="M_Copy of Transferable Material VAT Liablity - SBM Homes (Sep-2010) (2) (2)" xfId="15286"/>
    <cellStyle name="M_Costing - ITC Main Revised Qty- 11.01_ ITC Main" xfId="15287"/>
    <cellStyle name="M_Costing - MBD Books-20.12" xfId="15288"/>
    <cellStyle name="M_Costing_Birla Sugar_9.4.05" xfId="15289"/>
    <cellStyle name="M_Costing_District Court" xfId="15290"/>
    <cellStyle name="M_Costing_Hero Honda_Haridwar" xfId="15291"/>
    <cellStyle name="M_Costing_Indian Chancery_4.06.06" xfId="15292"/>
    <cellStyle name="M_Costing_Inst. Bld-Emirates Group-Noida-13.06.06" xfId="15293"/>
    <cellStyle name="M_Costing_Nicholas_21.12.04" xfId="15294"/>
    <cellStyle name="M_Disallowed Cost 200309" xfId="15295"/>
    <cellStyle name="M_Disallowed cost MOI" xfId="15296"/>
    <cellStyle name="M_DLF Agrrement _ Formats _10A" xfId="15297"/>
    <cellStyle name="M_DLF Capital Greens -Consolidated Finishes BOQ Phase I " xfId="15298"/>
    <cellStyle name="M_DLF Capital Greens -Consolidated Finishes BOQ Phase I  2" xfId="15299"/>
    <cellStyle name="M_DLF Capital Greens -Consolidated Finishes BOQ Phase I  3" xfId="15300"/>
    <cellStyle name="M_DLF Capital Greens -Consolidated Finishes BOQ Phase I  4" xfId="15301"/>
    <cellStyle name="M_DLF Capital Greens -Consolidated Finishes BOQ Phase I  5" xfId="15302"/>
    <cellStyle name="M_DLF Capital Greens -Consolidated Finishes BOQ Phase I  6" xfId="15303"/>
    <cellStyle name="M_DLF Capital Greens -Consolidated Finishes BOQ Phase I  7" xfId="15304"/>
    <cellStyle name="M_DLF Capital Greens -Consolidated Finishes BOQ Phase I  8" xfId="15305"/>
    <cellStyle name="M_DLF Capital Greens -Consolidated Finishes BOQ Phase II " xfId="15306"/>
    <cellStyle name="M_DLF Capital Greens -Consolidated Finishes BOQ Phase II  2" xfId="15307"/>
    <cellStyle name="M_DLF Capital Greens -Consolidated Finishes BOQ Phase II  3" xfId="15308"/>
    <cellStyle name="M_DLF Capital Greens -Consolidated Finishes BOQ Phase II  4" xfId="15309"/>
    <cellStyle name="M_DLF Capital Greens -Consolidated Finishes BOQ Phase II  5" xfId="15310"/>
    <cellStyle name="M_DLF Capital Greens -Consolidated Finishes BOQ Phase II  6" xfId="15311"/>
    <cellStyle name="M_DLF Capital Greens -Consolidated Finishes BOQ Phase II  7" xfId="15312"/>
    <cellStyle name="M_DLF Capital Greens -Consolidated Finishes BOQ Phase II  8" xfId="15313"/>
    <cellStyle name="M_DLF Cyber Tower _02.06.05 l" xfId="15314"/>
    <cellStyle name="M_Drawing Release Schedule" xfId="15315"/>
    <cellStyle name="M_drawings Register" xfId="15316"/>
    <cellStyle name="M_drawings Register as on 01-12-08" xfId="15317"/>
    <cellStyle name="M_drawings Register as on 040409" xfId="15318"/>
    <cellStyle name="M_drawings Register as on 040909" xfId="15319"/>
    <cellStyle name="M_drawings Register as on 240409" xfId="15320"/>
    <cellStyle name="M_drawings Register as on 240909" xfId="15321"/>
    <cellStyle name="M_drawings Register as on 28-1-09" xfId="15322"/>
    <cellStyle name="M_drawings Register as on 300609" xfId="15323"/>
    <cellStyle name="M_drawings Register as on 310709" xfId="15324"/>
    <cellStyle name="M_drawings Register as on02-3-09" xfId="15325"/>
    <cellStyle name="M_Final Report-JUne 07" xfId="15326"/>
    <cellStyle name="M_Final Summary IT HYderabad June 08" xfId="15327"/>
    <cellStyle name="M_form" xfId="15328"/>
    <cellStyle name="M_IRS-Civil" xfId="15329"/>
    <cellStyle name="M_IRS-Civil (4)" xfId="15330"/>
    <cellStyle name="M_it noida_budget_draft_200506" xfId="15331"/>
    <cellStyle name="M_IT PARK GACHIBOWLI_P &amp; M HIRE CHARGES" xfId="15332"/>
    <cellStyle name="M_Item Rate Bill RA-10 March 11 (Homes)" xfId="15333"/>
    <cellStyle name="M_ITN AUG MPR" xfId="15334"/>
    <cellStyle name="M_Jasola Recon April-08" xfId="15335"/>
    <cellStyle name="M_Jasola Recon Feb-07" xfId="15336"/>
    <cellStyle name="M_kks" xfId="15337"/>
    <cellStyle name="m_Macros" xfId="15338"/>
    <cellStyle name="M_Major quantities _Inst. Bld-Emirates Group-Noida" xfId="15339"/>
    <cellStyle name="M_Major quantities_Hero Honda_Haridwar" xfId="15340"/>
    <cellStyle name="m_Manager" xfId="15341"/>
    <cellStyle name="M_Material Reco (SBM Homes)" xfId="15342"/>
    <cellStyle name="M_Material Reco May-2011 (SBM Homes)" xfId="15343"/>
    <cellStyle name="M_May Photos" xfId="15344"/>
    <cellStyle name="M_medicity_26.09.05 _ MDS" xfId="15345"/>
    <cellStyle name="M_Monthwise Idling cost - Magnolias (rev 2)" xfId="15346"/>
    <cellStyle name="M_MPR Jan 2009" xfId="15347"/>
    <cellStyle name="M_MPR OCT" xfId="15348"/>
    <cellStyle name="M_MPR_July_08" xfId="15350"/>
    <cellStyle name="M_MPR1 as per June'08" xfId="15349"/>
    <cellStyle name="M_Noida Mall Cost Audit Reply Mar 08 090608" xfId="15351"/>
    <cellStyle name="M_Oberoi RA Bill 23 Sept 08 061008" xfId="15352"/>
    <cellStyle name="M_Org Chart" xfId="15353"/>
    <cellStyle name="M_P &amp; M STAFF" xfId="15354"/>
    <cellStyle name="M_P&amp;E Trail_1" xfId="15355"/>
    <cellStyle name="M_Pogress tracker June 08" xfId="15356"/>
    <cellStyle name="M_Pogress tracker May 08" xfId="15357"/>
    <cellStyle name="M_PresentationCONTRACT REVIEW" xfId="15358"/>
    <cellStyle name="M_Programme_Vytilla_DLF Riverside" xfId="15359"/>
    <cellStyle name="M_PSE-IT Noida-r 3" xfId="15360"/>
    <cellStyle name="M_R F I  LOG" xfId="15361"/>
    <cellStyle name="M_Rate Ana " xfId="15362"/>
    <cellStyle name="M_Rate Ana  2" xfId="15363"/>
    <cellStyle name="M_Rate Ana  3" xfId="15364"/>
    <cellStyle name="M_Rate Ana  4" xfId="15365"/>
    <cellStyle name="M_Rate Ana  5" xfId="15366"/>
    <cellStyle name="M_Rate Ana  6" xfId="15367"/>
    <cellStyle name="M_Rate Ana  7" xfId="15368"/>
    <cellStyle name="M_Rate Ana  8" xfId="15369"/>
    <cellStyle name="M_RATE ANALYSIS_Sample" xfId="15370"/>
    <cellStyle name="M_Reconciliation for May '08" xfId="15371"/>
    <cellStyle name="M_reconcillation upto sep-08" xfId="15372"/>
    <cellStyle name="M_Register" xfId="15373"/>
    <cellStyle name="M_Res-Item Rate Analysis-r2_ RAP4" xfId="15374"/>
    <cellStyle name="M_Res-Item Rate Analysis-r2_Tapan" xfId="15375"/>
    <cellStyle name="M_SBM School 6th RA Bill 09 Feb-10 Rev" xfId="15376"/>
    <cellStyle name="M_SBM School 8th RA Bill-April-10" xfId="15377"/>
    <cellStyle name="M_SBM School Final Bill-(10-05 to12-2010)" xfId="15378"/>
    <cellStyle name="M_SCOPE OF WORK STR-FIN-SPCL-CONTRACT" xfId="15379"/>
    <cellStyle name="M_Sheet1" xfId="15380"/>
    <cellStyle name="M_Submitted_27.10.05" xfId="15381"/>
    <cellStyle name="M_Summary 15 acre Final" xfId="15382"/>
    <cellStyle name="M_Transferable Material VAT Liablity - SBM Homes (Sep-2010)" xfId="15383"/>
    <cellStyle name="M_Vytilla-Cochin" xfId="15384"/>
    <cellStyle name="M_Working_Submitted" xfId="15385"/>
    <cellStyle name="M_WPR 21 to 27 Jan '08" xfId="15386"/>
    <cellStyle name="M_WPR 28th Jan 08 to 03rd Feb '08" xfId="15387"/>
    <cellStyle name="M_WPR- DLF INFOCITY CHENNAI - 13.08.07 TO 19.08.07" xfId="15388"/>
    <cellStyle name="M_WPR_25th Aug_to_31st Aug_08" xfId="15389"/>
    <cellStyle name="M_WPR_31st_Mar_to_5th_Apr_08" xfId="15390"/>
    <cellStyle name="M_Z-Labour Camp Detail" xfId="15391"/>
    <cellStyle name="M-0" xfId="15245"/>
    <cellStyle name="M-0 2" xfId="15246"/>
    <cellStyle name="M-0_DLF Capital Greens -Consolidated Finishes BOQ Phase II " xfId="15247"/>
    <cellStyle name="MacroCode" xfId="15392"/>
    <cellStyle name="MacroCode 2" xfId="15393"/>
    <cellStyle name="MacroCode 3" xfId="15394"/>
    <cellStyle name="MacroCode 4" xfId="15395"/>
    <cellStyle name="MacroCode 5" xfId="15396"/>
    <cellStyle name="Main Heading" xfId="15397"/>
    <cellStyle name="MainDescription" xfId="15398"/>
    <cellStyle name="Major Total" xfId="15399"/>
    <cellStyle name="Major Total 2" xfId="15400"/>
    <cellStyle name="Major Total 2 2" xfId="15401"/>
    <cellStyle name="Major Total 2 3" xfId="15402"/>
    <cellStyle name="Major Total 2 4" xfId="15403"/>
    <cellStyle name="Major Total 3" xfId="15404"/>
    <cellStyle name="Major Total 4" xfId="15405"/>
    <cellStyle name="MANKAD" xfId="15406"/>
    <cellStyle name="MANKAD 2" xfId="15407"/>
    <cellStyle name="MANKAD 3" xfId="15408"/>
    <cellStyle name="MANKAD_AH Mancherial Estimate" xfId="15409"/>
    <cellStyle name="Marge" xfId="15410"/>
    <cellStyle name="Measure" xfId="15411"/>
    <cellStyle name="Measure 2" xfId="15412"/>
    <cellStyle name="Microsoft Excel found an error in the formula you entered. Do you want to accept the correction proposed below?&#10;&#10;|&#10;&#10;• To accept the correction, click Yes.&#10;• To close this message and correct the formula yourself, click No." xfId="15413"/>
    <cellStyle name="MidTotal" xfId="15414"/>
    <cellStyle name="MidTotal 2" xfId="15415"/>
    <cellStyle name="MidTotal 2 2" xfId="15416"/>
    <cellStyle name="MidTotal 2 2 2" xfId="15417"/>
    <cellStyle name="MidTotal 2 2 3" xfId="15418"/>
    <cellStyle name="MidTotal 2 2 4" xfId="15419"/>
    <cellStyle name="MidTotal 2 3" xfId="15420"/>
    <cellStyle name="MidTotal 2 4" xfId="15421"/>
    <cellStyle name="MidTotal 2 5" xfId="15422"/>
    <cellStyle name="MidTotal 2 6" xfId="15423"/>
    <cellStyle name="MidTotal 2 7" xfId="15424"/>
    <cellStyle name="MidTotal 3" xfId="15425"/>
    <cellStyle name="MidTotal 3 2" xfId="15426"/>
    <cellStyle name="MidTotal 3 3" xfId="15427"/>
    <cellStyle name="MidTotal 3 4" xfId="15428"/>
    <cellStyle name="MidTotal 4" xfId="15429"/>
    <cellStyle name="MidTotal 5" xfId="15430"/>
    <cellStyle name="MidTotal 6" xfId="15431"/>
    <cellStyle name="MidTotal 7" xfId="15432"/>
    <cellStyle name="MidTotal 8" xfId="15433"/>
    <cellStyle name="Migliaia (0)_Camera matrimoniale (3) megaros" xfId="15434"/>
    <cellStyle name="Migliaia_cross border" xfId="15435"/>
    <cellStyle name="Mike" xfId="15436"/>
    <cellStyle name="mike1" xfId="15437"/>
    <cellStyle name="mike2" xfId="15438"/>
    <cellStyle name="mil" xfId="15439"/>
    <cellStyle name="Millares [0]_2AV_M_M " xfId="15440"/>
    <cellStyle name="Millares_2AV_M_M " xfId="15441"/>
    <cellStyle name="Milliers [0]_!!!GO" xfId="15442"/>
    <cellStyle name="Milliers_!!!GO" xfId="15443"/>
    <cellStyle name="Minor Head" xfId="15444"/>
    <cellStyle name="Minor Head 2" xfId="15445"/>
    <cellStyle name="Minor Head 2 2" xfId="15446"/>
    <cellStyle name="Minor Head 2 3" xfId="15447"/>
    <cellStyle name="Minor Head 2 4" xfId="15448"/>
    <cellStyle name="Minor Head 3" xfId="15449"/>
    <cellStyle name="Minor Head 4" xfId="15450"/>
    <cellStyle name="Minor Head 5" xfId="15451"/>
    <cellStyle name="m-o" xfId="15248"/>
    <cellStyle name="m-o 2" xfId="15249"/>
    <cellStyle name="m-o_DLF Capital Greens -Consolidated Finishes BOQ Phase II " xfId="15250"/>
    <cellStyle name="Model" xfId="15452"/>
    <cellStyle name="Moeda [0]_Bow_Acq" xfId="15453"/>
    <cellStyle name="Moeda_Bow_Acq" xfId="15454"/>
    <cellStyle name="Moneda [0]_2AV_M_M" xfId="15455"/>
    <cellStyle name="Moneda_2AV_M_M " xfId="15456"/>
    <cellStyle name="Monétaire [0]_!!!GO" xfId="15457"/>
    <cellStyle name="Monétaire_!!!GO" xfId="15459"/>
    <cellStyle name="Monétaire0" xfId="15458"/>
    <cellStyle name="MS_Arabic" xfId="15460"/>
    <cellStyle name="mult" xfId="15461"/>
    <cellStyle name="Multiple" xfId="15462"/>
    <cellStyle name="Multiple [0]" xfId="15463"/>
    <cellStyle name="Multiple [0] 2" xfId="15464"/>
    <cellStyle name="Multiple [1]" xfId="15465"/>
    <cellStyle name="Multiple_~0205992" xfId="15466"/>
    <cellStyle name="MultipleBelow" xfId="15467"/>
    <cellStyle name="multiples" xfId="15468"/>
    <cellStyle name="multipoles" xfId="15469"/>
    <cellStyle name="n" xfId="15470"/>
    <cellStyle name="n 2" xfId="15471"/>
    <cellStyle name="n2" xfId="15472"/>
    <cellStyle name="NA is zero" xfId="15473"/>
    <cellStyle name="Neutral 1" xfId="15474"/>
    <cellStyle name="Neutral 10" xfId="15475"/>
    <cellStyle name="Neutral 10 2" xfId="15476"/>
    <cellStyle name="Neutral 10 3" xfId="15477"/>
    <cellStyle name="Neutral 10 4" xfId="15478"/>
    <cellStyle name="Neutral 10 5" xfId="15479"/>
    <cellStyle name="Neutral 10 6" xfId="15480"/>
    <cellStyle name="Neutral 10 7" xfId="15481"/>
    <cellStyle name="Neutral 10 8" xfId="15482"/>
    <cellStyle name="Neutral 10 9" xfId="15483"/>
    <cellStyle name="Neutral 11" xfId="15484"/>
    <cellStyle name="Neutral 11 2" xfId="15485"/>
    <cellStyle name="Neutral 11 3" xfId="15486"/>
    <cellStyle name="Neutral 11 4" xfId="15487"/>
    <cellStyle name="Neutral 11 5" xfId="15488"/>
    <cellStyle name="Neutral 11 6" xfId="15489"/>
    <cellStyle name="Neutral 11 7" xfId="15490"/>
    <cellStyle name="Neutral 11 8" xfId="15491"/>
    <cellStyle name="Neutral 11 9" xfId="15492"/>
    <cellStyle name="Neutral 12" xfId="15493"/>
    <cellStyle name="Neutral 12 2" xfId="15494"/>
    <cellStyle name="Neutral 12 3" xfId="15495"/>
    <cellStyle name="Neutral 12 4" xfId="15496"/>
    <cellStyle name="Neutral 12 5" xfId="15497"/>
    <cellStyle name="Neutral 12 6" xfId="15498"/>
    <cellStyle name="Neutral 12 7" xfId="15499"/>
    <cellStyle name="Neutral 12 8" xfId="15500"/>
    <cellStyle name="Neutral 12 9" xfId="15501"/>
    <cellStyle name="Neutral 13" xfId="15502"/>
    <cellStyle name="Neutral 13 2" xfId="15503"/>
    <cellStyle name="Neutral 13 3" xfId="15504"/>
    <cellStyle name="Neutral 13 4" xfId="15505"/>
    <cellStyle name="Neutral 13 5" xfId="15506"/>
    <cellStyle name="Neutral 13 6" xfId="15507"/>
    <cellStyle name="Neutral 13 7" xfId="15508"/>
    <cellStyle name="Neutral 13 8" xfId="15509"/>
    <cellStyle name="Neutral 13 9" xfId="15510"/>
    <cellStyle name="Neutral 14" xfId="15511"/>
    <cellStyle name="Neutral 14 2" xfId="15512"/>
    <cellStyle name="Neutral 14 3" xfId="15513"/>
    <cellStyle name="Neutral 14 4" xfId="15514"/>
    <cellStyle name="Neutral 14 5" xfId="15515"/>
    <cellStyle name="Neutral 14 6" xfId="15516"/>
    <cellStyle name="Neutral 14 7" xfId="15517"/>
    <cellStyle name="Neutral 14 8" xfId="15518"/>
    <cellStyle name="Neutral 14 9" xfId="15519"/>
    <cellStyle name="Neutral 15" xfId="15520"/>
    <cellStyle name="Neutral 15 2" xfId="15521"/>
    <cellStyle name="Neutral 15 3" xfId="15522"/>
    <cellStyle name="Neutral 15 4" xfId="15523"/>
    <cellStyle name="Neutral 15 5" xfId="15524"/>
    <cellStyle name="Neutral 15 6" xfId="15525"/>
    <cellStyle name="Neutral 15 7" xfId="15526"/>
    <cellStyle name="Neutral 15 8" xfId="15527"/>
    <cellStyle name="Neutral 15 9" xfId="15528"/>
    <cellStyle name="Neutral 16" xfId="15529"/>
    <cellStyle name="Neutral 16 2" xfId="15530"/>
    <cellStyle name="Neutral 16 3" xfId="15531"/>
    <cellStyle name="Neutral 16 4" xfId="15532"/>
    <cellStyle name="Neutral 16 5" xfId="15533"/>
    <cellStyle name="Neutral 16 6" xfId="15534"/>
    <cellStyle name="Neutral 16 7" xfId="15535"/>
    <cellStyle name="Neutral 16 8" xfId="15536"/>
    <cellStyle name="Neutral 16 9" xfId="15537"/>
    <cellStyle name="Neutral 17" xfId="15538"/>
    <cellStyle name="Neutral 18" xfId="15539"/>
    <cellStyle name="Neutral 19" xfId="15540"/>
    <cellStyle name="Neutral 2" xfId="15541"/>
    <cellStyle name="Neutral 2 2" xfId="15542"/>
    <cellStyle name="Neutral 2 2 2" xfId="15543"/>
    <cellStyle name="Neutral 2 2 2 2" xfId="15544"/>
    <cellStyle name="Neutral 2 2 3" xfId="15545"/>
    <cellStyle name="Neutral 2 2 4" xfId="15546"/>
    <cellStyle name="Neutral 2 2 5" xfId="15547"/>
    <cellStyle name="Neutral 2 2 6" xfId="15548"/>
    <cellStyle name="Neutral 2 2 7" xfId="15549"/>
    <cellStyle name="Neutral 2 2 8" xfId="15550"/>
    <cellStyle name="Neutral 2 2 9" xfId="15551"/>
    <cellStyle name="Neutral 2 3" xfId="15552"/>
    <cellStyle name="Neutral 2 4" xfId="15553"/>
    <cellStyle name="Neutral 2 5" xfId="15554"/>
    <cellStyle name="Neutral 2 6" xfId="15555"/>
    <cellStyle name="Neutral 2_Block-F LGF POur-II BBS" xfId="15566"/>
    <cellStyle name="Neutral 20" xfId="15556"/>
    <cellStyle name="Neutral 21" xfId="15557"/>
    <cellStyle name="Neutral 22" xfId="15558"/>
    <cellStyle name="Neutral 23" xfId="15559"/>
    <cellStyle name="Neutral 24" xfId="15560"/>
    <cellStyle name="Neutral 25" xfId="15561"/>
    <cellStyle name="Neutral 26" xfId="15562"/>
    <cellStyle name="Neutral 27" xfId="15563"/>
    <cellStyle name="Neutral 28" xfId="15564"/>
    <cellStyle name="Neutral 29" xfId="15565"/>
    <cellStyle name="Neutral 3" xfId="15567"/>
    <cellStyle name="Neutral 3 2" xfId="15568"/>
    <cellStyle name="Neutral 3 2 2" xfId="15569"/>
    <cellStyle name="Neutral 3 2 3" xfId="15570"/>
    <cellStyle name="Neutral 3 2 4" xfId="15571"/>
    <cellStyle name="Neutral 3 2 5" xfId="15572"/>
    <cellStyle name="Neutral 3 2 6" xfId="15573"/>
    <cellStyle name="Neutral 3 2 7" xfId="15574"/>
    <cellStyle name="Neutral 3 2 8" xfId="15575"/>
    <cellStyle name="Neutral 3 2 9" xfId="15576"/>
    <cellStyle name="Neutral 3 3" xfId="15577"/>
    <cellStyle name="Neutral 3 4" xfId="15578"/>
    <cellStyle name="Neutral 3_Ramadugu_ SWGH" xfId="15589"/>
    <cellStyle name="Neutral 30" xfId="15579"/>
    <cellStyle name="Neutral 31" xfId="15580"/>
    <cellStyle name="Neutral 32" xfId="15581"/>
    <cellStyle name="Neutral 33" xfId="15582"/>
    <cellStyle name="Neutral 34" xfId="15583"/>
    <cellStyle name="Neutral 35" xfId="15584"/>
    <cellStyle name="Neutral 36" xfId="15585"/>
    <cellStyle name="Neutral 37" xfId="15586"/>
    <cellStyle name="Neutral 38" xfId="15587"/>
    <cellStyle name="Neutral 39" xfId="15588"/>
    <cellStyle name="Neutral 4" xfId="15590"/>
    <cellStyle name="Neutral 4 10" xfId="15591"/>
    <cellStyle name="Neutral 4 11" xfId="15592"/>
    <cellStyle name="Neutral 4 12" xfId="15593"/>
    <cellStyle name="Neutral 4 2" xfId="15594"/>
    <cellStyle name="Neutral 4 2 2" xfId="15595"/>
    <cellStyle name="Neutral 4 3" xfId="15596"/>
    <cellStyle name="Neutral 4 4" xfId="15597"/>
    <cellStyle name="Neutral 4 5" xfId="15598"/>
    <cellStyle name="Neutral 4 6" xfId="15599"/>
    <cellStyle name="Neutral 4 7" xfId="15600"/>
    <cellStyle name="Neutral 4 8" xfId="15601"/>
    <cellStyle name="Neutral 4 9" xfId="15602"/>
    <cellStyle name="Neutral 4_Sheet2" xfId="15603"/>
    <cellStyle name="Neutral 5" xfId="15604"/>
    <cellStyle name="Neutral 5 10" xfId="15605"/>
    <cellStyle name="Neutral 5 11" xfId="15606"/>
    <cellStyle name="Neutral 5 12" xfId="15607"/>
    <cellStyle name="Neutral 5 2" xfId="15608"/>
    <cellStyle name="Neutral 5 2 2" xfId="15609"/>
    <cellStyle name="Neutral 5 3" xfId="15610"/>
    <cellStyle name="Neutral 5 4" xfId="15611"/>
    <cellStyle name="Neutral 5 5" xfId="15612"/>
    <cellStyle name="Neutral 5 6" xfId="15613"/>
    <cellStyle name="Neutral 5 7" xfId="15614"/>
    <cellStyle name="Neutral 5 8" xfId="15615"/>
    <cellStyle name="Neutral 5 9" xfId="15616"/>
    <cellStyle name="Neutral 5_Sheet2" xfId="15617"/>
    <cellStyle name="Neutral 6" xfId="15618"/>
    <cellStyle name="Neutral 6 10" xfId="15619"/>
    <cellStyle name="Neutral 6 11" xfId="15620"/>
    <cellStyle name="Neutral 6 12" xfId="15621"/>
    <cellStyle name="Neutral 6 2" xfId="15622"/>
    <cellStyle name="Neutral 6 3" xfId="15623"/>
    <cellStyle name="Neutral 6 4" xfId="15624"/>
    <cellStyle name="Neutral 6 5" xfId="15625"/>
    <cellStyle name="Neutral 6 6" xfId="15626"/>
    <cellStyle name="Neutral 6 7" xfId="15627"/>
    <cellStyle name="Neutral 6 8" xfId="15628"/>
    <cellStyle name="Neutral 6 9" xfId="15629"/>
    <cellStyle name="Neutral 6_Sheet2" xfId="15630"/>
    <cellStyle name="Neutral 7" xfId="15631"/>
    <cellStyle name="Neutral 7 10" xfId="15632"/>
    <cellStyle name="Neutral 7 11" xfId="15633"/>
    <cellStyle name="Neutral 7 12" xfId="15634"/>
    <cellStyle name="Neutral 7 2" xfId="15635"/>
    <cellStyle name="Neutral 7 3" xfId="15636"/>
    <cellStyle name="Neutral 7 4" xfId="15637"/>
    <cellStyle name="Neutral 7 5" xfId="15638"/>
    <cellStyle name="Neutral 7 6" xfId="15639"/>
    <cellStyle name="Neutral 7 7" xfId="15640"/>
    <cellStyle name="Neutral 7 8" xfId="15641"/>
    <cellStyle name="Neutral 7 9" xfId="15642"/>
    <cellStyle name="Neutral 7_Sheet2" xfId="15643"/>
    <cellStyle name="Neutral 8" xfId="15644"/>
    <cellStyle name="Neutral 8 10" xfId="15645"/>
    <cellStyle name="Neutral 8 11" xfId="15646"/>
    <cellStyle name="Neutral 8 2" xfId="15647"/>
    <cellStyle name="Neutral 8 3" xfId="15648"/>
    <cellStyle name="Neutral 8 4" xfId="15649"/>
    <cellStyle name="Neutral 8 5" xfId="15650"/>
    <cellStyle name="Neutral 8 6" xfId="15651"/>
    <cellStyle name="Neutral 8 7" xfId="15652"/>
    <cellStyle name="Neutral 8 8" xfId="15653"/>
    <cellStyle name="Neutral 8 9" xfId="15654"/>
    <cellStyle name="Neutral 8_Sheet2" xfId="15655"/>
    <cellStyle name="Neutral 9" xfId="15656"/>
    <cellStyle name="Neutral 9 2" xfId="15657"/>
    <cellStyle name="Neutral 9 3" xfId="15658"/>
    <cellStyle name="Neutral 9 4" xfId="15659"/>
    <cellStyle name="Neutral 9 5" xfId="15660"/>
    <cellStyle name="Neutral 9 6" xfId="15661"/>
    <cellStyle name="Neutral 9 7" xfId="15662"/>
    <cellStyle name="Neutral 9 8" xfId="15663"/>
    <cellStyle name="Neutral 9 9" xfId="15664"/>
    <cellStyle name="New Times Roman" xfId="15665"/>
    <cellStyle name="NewPeso" xfId="15666"/>
    <cellStyle name="nf" xfId="15667"/>
    <cellStyle name="no dec" xfId="15668"/>
    <cellStyle name="no dec 2" xfId="15669"/>
    <cellStyle name="no dec 3" xfId="15670"/>
    <cellStyle name="no dec_COMPOUND WALL TO IWHB - CHANDRAGIRI" xfId="15671"/>
    <cellStyle name="No-definido" xfId="15672"/>
    <cellStyle name="Non défini" xfId="15673"/>
    <cellStyle name="norma" xfId="15674"/>
    <cellStyle name="Normal" xfId="0" builtinId="0"/>
    <cellStyle name="Normal--" xfId="27518"/>
    <cellStyle name="Normal - Style1" xfId="15675"/>
    <cellStyle name="Normal - Style1 10" xfId="15676"/>
    <cellStyle name="Normal - Style1 11" xfId="15677"/>
    <cellStyle name="Normal - Style1 12" xfId="15678"/>
    <cellStyle name="Normal - Style1 2" xfId="15679"/>
    <cellStyle name="Normal - Style1 2 10" xfId="15680"/>
    <cellStyle name="Normal - Style1 2 2" xfId="15681"/>
    <cellStyle name="Normal - Style1 2 2 2" xfId="15682"/>
    <cellStyle name="Normal - Style1 2 3" xfId="15683"/>
    <cellStyle name="Normal - Style1 2 4" xfId="15684"/>
    <cellStyle name="Normal - Style1 2 5" xfId="15685"/>
    <cellStyle name="Normal - Style1 2 6" xfId="15686"/>
    <cellStyle name="Normal - Style1 2 7" xfId="15687"/>
    <cellStyle name="Normal - Style1 2 8" xfId="15688"/>
    <cellStyle name="Normal - Style1 2 9" xfId="15689"/>
    <cellStyle name="Normal - Style1 2_1) NREGS  Report Uppudi" xfId="15690"/>
    <cellStyle name="Normal - Style1 3" xfId="15691"/>
    <cellStyle name="Normal - Style1 3 2" xfId="15692"/>
    <cellStyle name="Normal - Style1 4" xfId="15693"/>
    <cellStyle name="Normal - Style1 5" xfId="15694"/>
    <cellStyle name="Normal - Style1 6" xfId="15695"/>
    <cellStyle name="Normal - Style1 7" xfId="15696"/>
    <cellStyle name="Normal - Style1 8" xfId="15697"/>
    <cellStyle name="Normal - Style1 9" xfId="15698"/>
    <cellStyle name="Normal - Style1_1_Pattapupalem_road estt-NCRMP" xfId="15699"/>
    <cellStyle name="Normal [0]" xfId="27510"/>
    <cellStyle name="Normal [1]" xfId="27511"/>
    <cellStyle name="Normal [2]" xfId="27512"/>
    <cellStyle name="Normal [3]" xfId="27513"/>
    <cellStyle name="Normal 10" xfId="15700"/>
    <cellStyle name="Normal 10 10" xfId="15701"/>
    <cellStyle name="Normal 10 11" xfId="15702"/>
    <cellStyle name="Normal 10 12" xfId="15703"/>
    <cellStyle name="Normal 10 13" xfId="15704"/>
    <cellStyle name="Normal 10 14" xfId="15705"/>
    <cellStyle name="Normal 10 14 2" xfId="15706"/>
    <cellStyle name="Normal 10 14 2 2" xfId="15707"/>
    <cellStyle name="Normal 10 14 2 2 2" xfId="15708"/>
    <cellStyle name="Normal 10 14 2 2 3" xfId="15709"/>
    <cellStyle name="Normal 10 14 2 3" xfId="15710"/>
    <cellStyle name="Normal 10 14 2 4" xfId="15711"/>
    <cellStyle name="Normal 10 14 3" xfId="15712"/>
    <cellStyle name="Normal 10 14 4" xfId="15713"/>
    <cellStyle name="Normal 10 14 4 2" xfId="15714"/>
    <cellStyle name="Normal 10 14 4 3" xfId="15715"/>
    <cellStyle name="Normal 10 14 5" xfId="15716"/>
    <cellStyle name="Normal 10 14 6" xfId="15717"/>
    <cellStyle name="Normal 10 15" xfId="15718"/>
    <cellStyle name="Normal 10 16" xfId="15719"/>
    <cellStyle name="Normal 10 17" xfId="15720"/>
    <cellStyle name="Normal 10 18" xfId="30880"/>
    <cellStyle name="Normal 10 2" xfId="15721"/>
    <cellStyle name="Normal 10 2 2" xfId="15722"/>
    <cellStyle name="Normal 10 2 2 10" xfId="15723"/>
    <cellStyle name="Normal 10 2 2 2" xfId="15724"/>
    <cellStyle name="Normal 10 2 2 3" xfId="15725"/>
    <cellStyle name="Normal 10 2 2 4" xfId="15726"/>
    <cellStyle name="Normal 10 2 2 5" xfId="15727"/>
    <cellStyle name="Normal 10 2 2 6" xfId="15728"/>
    <cellStyle name="Normal 10 2 2 7" xfId="15729"/>
    <cellStyle name="Normal 10 2 2 8" xfId="15730"/>
    <cellStyle name="Normal 10 2 2 9" xfId="15731"/>
    <cellStyle name="Normal 10 2 3" xfId="15732"/>
    <cellStyle name="Normal 10 2 3 2" xfId="15733"/>
    <cellStyle name="Normal 10 2 3 2 2" xfId="15734"/>
    <cellStyle name="Normal 10 2 3 2 2 2" xfId="15735"/>
    <cellStyle name="Normal 10 2 3 2 2 3" xfId="15736"/>
    <cellStyle name="Normal 10 2 3 2 3" xfId="15737"/>
    <cellStyle name="Normal 10 2 3 2 4" xfId="15738"/>
    <cellStyle name="Normal 10 2 4" xfId="15739"/>
    <cellStyle name="Normal 10 2_NERELLA ADDITIONAL CLASS ROOMS IN FF" xfId="15740"/>
    <cellStyle name="Normal 10 3" xfId="15741"/>
    <cellStyle name="Normal 10 3 2" xfId="15742"/>
    <cellStyle name="Normal 10 3 3" xfId="15743"/>
    <cellStyle name="Normal 10 4" xfId="15744"/>
    <cellStyle name="Normal 10 4 2" xfId="15745"/>
    <cellStyle name="Normal 10 4 3" xfId="15746"/>
    <cellStyle name="Normal 10 5" xfId="15747"/>
    <cellStyle name="Normal 10 6" xfId="15748"/>
    <cellStyle name="Normal 10 7" xfId="15749"/>
    <cellStyle name="Normal 10 8" xfId="15750"/>
    <cellStyle name="Normal 10 9" xfId="15751"/>
    <cellStyle name="Normal 10_B-Internal Peinting Qtys." xfId="15824"/>
    <cellStyle name="Normal 100" xfId="15752"/>
    <cellStyle name="Normal 100 2" xfId="15753"/>
    <cellStyle name="Normal 100 3" xfId="15754"/>
    <cellStyle name="Normal 101" xfId="15755"/>
    <cellStyle name="Normal 101 2" xfId="15756"/>
    <cellStyle name="Normal 101 3" xfId="15757"/>
    <cellStyle name="Normal 102" xfId="15758"/>
    <cellStyle name="Normal 102 2" xfId="15759"/>
    <cellStyle name="Normal 102 3" xfId="15760"/>
    <cellStyle name="Normal 103" xfId="15761"/>
    <cellStyle name="Normal 103 2" xfId="15762"/>
    <cellStyle name="Normal 103 3" xfId="15763"/>
    <cellStyle name="Normal 103 4" xfId="15764"/>
    <cellStyle name="Normal 103 4 2" xfId="15765"/>
    <cellStyle name="Normal 103 4 3" xfId="15766"/>
    <cellStyle name="Normal 103 5" xfId="15767"/>
    <cellStyle name="Normal 103 6" xfId="15768"/>
    <cellStyle name="Normal 104" xfId="15769"/>
    <cellStyle name="Normal 104 2" xfId="15770"/>
    <cellStyle name="Normal 104 2 2" xfId="15771"/>
    <cellStyle name="Normal 104 2 2 2" xfId="15772"/>
    <cellStyle name="Normal 104 2 2 3" xfId="15773"/>
    <cellStyle name="Normal 104 2 3" xfId="15774"/>
    <cellStyle name="Normal 104 2 4" xfId="15775"/>
    <cellStyle name="Normal 104 3" xfId="15776"/>
    <cellStyle name="Normal 104 4" xfId="15777"/>
    <cellStyle name="Normal 104 4 2" xfId="15778"/>
    <cellStyle name="Normal 104 4 3" xfId="15779"/>
    <cellStyle name="Normal 104 5" xfId="15780"/>
    <cellStyle name="Normal 104 6" xfId="15781"/>
    <cellStyle name="Normal 105" xfId="15782"/>
    <cellStyle name="Normal 105 2" xfId="15783"/>
    <cellStyle name="Normal 105 3" xfId="15784"/>
    <cellStyle name="Normal 105 4" xfId="15785"/>
    <cellStyle name="Normal 105 4 2" xfId="15786"/>
    <cellStyle name="Normal 105 4 3" xfId="15787"/>
    <cellStyle name="Normal 105 5" xfId="15788"/>
    <cellStyle name="Normal 105 6" xfId="15789"/>
    <cellStyle name="Normal 106" xfId="15790"/>
    <cellStyle name="Normal 106 2" xfId="15791"/>
    <cellStyle name="Normal 106 3" xfId="15792"/>
    <cellStyle name="Normal 106 3 2" xfId="15793"/>
    <cellStyle name="Normal 106 3 3" xfId="15794"/>
    <cellStyle name="Normal 106 4" xfId="15795"/>
    <cellStyle name="Normal 106 5" xfId="15796"/>
    <cellStyle name="Normal 107" xfId="15797"/>
    <cellStyle name="Normal 107 2" xfId="15798"/>
    <cellStyle name="Normal 107 3" xfId="15799"/>
    <cellStyle name="Normal 107 3 2" xfId="15800"/>
    <cellStyle name="Normal 107 3 3" xfId="15801"/>
    <cellStyle name="Normal 107 4" xfId="15802"/>
    <cellStyle name="Normal 107 5" xfId="15803"/>
    <cellStyle name="Normal 108" xfId="15804"/>
    <cellStyle name="Normal 108 2" xfId="15805"/>
    <cellStyle name="Normal 108 3" xfId="15806"/>
    <cellStyle name="Normal 108 4" xfId="15807"/>
    <cellStyle name="Normal 108 4 2" xfId="15808"/>
    <cellStyle name="Normal 108 4 3" xfId="15809"/>
    <cellStyle name="Normal 108 5" xfId="15810"/>
    <cellStyle name="Normal 108 6" xfId="15811"/>
    <cellStyle name="Normal 109" xfId="15812"/>
    <cellStyle name="Normal 109 2" xfId="15813"/>
    <cellStyle name="Normal 109 2 2" xfId="15814"/>
    <cellStyle name="Normal 109 2 2 2" xfId="15815"/>
    <cellStyle name="Normal 109 2 2 3" xfId="15816"/>
    <cellStyle name="Normal 109 2 3" xfId="15817"/>
    <cellStyle name="Normal 109 2 4" xfId="15818"/>
    <cellStyle name="Normal 109 3" xfId="15819"/>
    <cellStyle name="Normal 109 3 2" xfId="15820"/>
    <cellStyle name="Normal 109 3 3" xfId="15821"/>
    <cellStyle name="Normal 109 4" xfId="15822"/>
    <cellStyle name="Normal 109 5" xfId="15823"/>
    <cellStyle name="Normal 11" xfId="15825"/>
    <cellStyle name="Normal 11 10" xfId="15826"/>
    <cellStyle name="Normal 11 11" xfId="15827"/>
    <cellStyle name="Normal 11 12" xfId="15828"/>
    <cellStyle name="Normal 11 13" xfId="15829"/>
    <cellStyle name="Normal 11 14" xfId="15830"/>
    <cellStyle name="Normal 11 14 2" xfId="15831"/>
    <cellStyle name="Normal 11 14 2 2" xfId="15832"/>
    <cellStyle name="Normal 11 14 2 2 2" xfId="15833"/>
    <cellStyle name="Normal 11 14 2 2 2 2" xfId="15834"/>
    <cellStyle name="Normal 11 14 2 2 2 3" xfId="15835"/>
    <cellStyle name="Normal 11 14 2 2 3" xfId="15836"/>
    <cellStyle name="Normal 11 14 2 2 4" xfId="15837"/>
    <cellStyle name="Normal 11 14 2 3" xfId="15838"/>
    <cellStyle name="Normal 11 14 2 3 2" xfId="15839"/>
    <cellStyle name="Normal 11 14 2 3 2 2" xfId="15840"/>
    <cellStyle name="Normal 11 14 2 3 2 3" xfId="15841"/>
    <cellStyle name="Normal 11 14 2 3 3" xfId="15842"/>
    <cellStyle name="Normal 11 14 2 3 4" xfId="15843"/>
    <cellStyle name="Normal 11 14 2 4" xfId="15844"/>
    <cellStyle name="Normal 11 14 2 4 2" xfId="15845"/>
    <cellStyle name="Normal 11 14 2 4 3" xfId="15846"/>
    <cellStyle name="Normal 11 14 2 5" xfId="15847"/>
    <cellStyle name="Normal 11 14 2 6" xfId="15848"/>
    <cellStyle name="Normal 11 15" xfId="15849"/>
    <cellStyle name="Normal 11 16" xfId="15850"/>
    <cellStyle name="Normal 11 17" xfId="15851"/>
    <cellStyle name="Normal 11 17 2" xfId="15852"/>
    <cellStyle name="Normal 11 17 2 2" xfId="15853"/>
    <cellStyle name="Normal 11 17 2 3" xfId="15854"/>
    <cellStyle name="Normal 11 17 3" xfId="15855"/>
    <cellStyle name="Normal 11 17 4" xfId="15856"/>
    <cellStyle name="Normal 11 18" xfId="15857"/>
    <cellStyle name="Normal 11 19" xfId="15858"/>
    <cellStyle name="Normal 11 2" xfId="15859"/>
    <cellStyle name="Normal 11 2 10" xfId="15860"/>
    <cellStyle name="Normal 11 2 11" xfId="15861"/>
    <cellStyle name="Normal 11 2 12" xfId="15862"/>
    <cellStyle name="Normal 11 2 13" xfId="15863"/>
    <cellStyle name="Normal 11 2 14" xfId="15864"/>
    <cellStyle name="Normal 11 2 15" xfId="15865"/>
    <cellStyle name="Normal 11 2 16" xfId="15866"/>
    <cellStyle name="Normal 11 2 17" xfId="15867"/>
    <cellStyle name="Normal 11 2 18" xfId="15868"/>
    <cellStyle name="Normal 11 2 2" xfId="15869"/>
    <cellStyle name="Normal 11 2 2 10" xfId="15870"/>
    <cellStyle name="Normal 11 2 2 11" xfId="15871"/>
    <cellStyle name="Normal 11 2 2 12" xfId="15872"/>
    <cellStyle name="Normal 11 2 2 13" xfId="15873"/>
    <cellStyle name="Normal 11 2 2 14" xfId="15874"/>
    <cellStyle name="Normal 11 2 2 15" xfId="15875"/>
    <cellStyle name="Normal 11 2 2 2" xfId="15876"/>
    <cellStyle name="Normal 11 2 2 2 10" xfId="15877"/>
    <cellStyle name="Normal 11 2 2 2 11" xfId="15878"/>
    <cellStyle name="Normal 11 2 2 2 12" xfId="15879"/>
    <cellStyle name="Normal 11 2 2 2 13" xfId="15880"/>
    <cellStyle name="Normal 11 2 2 2 14" xfId="15881"/>
    <cellStyle name="Normal 11 2 2 2 15" xfId="15882"/>
    <cellStyle name="Normal 11 2 2 2 2" xfId="15883"/>
    <cellStyle name="Normal 11 2 2 2 3" xfId="15884"/>
    <cellStyle name="Normal 11 2 2 2 4" xfId="15885"/>
    <cellStyle name="Normal 11 2 2 2 5" xfId="15886"/>
    <cellStyle name="Normal 11 2 2 2 6" xfId="15887"/>
    <cellStyle name="Normal 11 2 2 2 7" xfId="15888"/>
    <cellStyle name="Normal 11 2 2 2 8" xfId="15889"/>
    <cellStyle name="Normal 11 2 2 2 9" xfId="15890"/>
    <cellStyle name="Normal 11 2 2 3" xfId="15891"/>
    <cellStyle name="Normal 11 2 2 4" xfId="15892"/>
    <cellStyle name="Normal 11 2 2 5" xfId="15893"/>
    <cellStyle name="Normal 11 2 2 6" xfId="15894"/>
    <cellStyle name="Normal 11 2 2 7" xfId="15895"/>
    <cellStyle name="Normal 11 2 2 8" xfId="15896"/>
    <cellStyle name="Normal 11 2 2 9" xfId="15897"/>
    <cellStyle name="Normal 11 2 3" xfId="15898"/>
    <cellStyle name="Normal 11 2 3 2" xfId="15899"/>
    <cellStyle name="Normal 11 2 3 2 2" xfId="15900"/>
    <cellStyle name="Normal 11 2 3 2 3" xfId="15901"/>
    <cellStyle name="Normal 11 2 3 3" xfId="15902"/>
    <cellStyle name="Normal 11 2 3 4" xfId="15903"/>
    <cellStyle name="Normal 11 2 4" xfId="15904"/>
    <cellStyle name="Normal 11 2 5" xfId="15905"/>
    <cellStyle name="Normal 11 2 6" xfId="15906"/>
    <cellStyle name="Normal 11 2 7" xfId="15907"/>
    <cellStyle name="Normal 11 2 8" xfId="15908"/>
    <cellStyle name="Normal 11 2 9" xfId="15909"/>
    <cellStyle name="Normal 11 20" xfId="15910"/>
    <cellStyle name="Normal 11 3" xfId="15911"/>
    <cellStyle name="Normal 11 3 2" xfId="15912"/>
    <cellStyle name="Normal 11 3 3" xfId="15913"/>
    <cellStyle name="Normal 11 4" xfId="15914"/>
    <cellStyle name="Normal 11 5" xfId="15915"/>
    <cellStyle name="Normal 11 6" xfId="15916"/>
    <cellStyle name="Normal 11 7" xfId="15917"/>
    <cellStyle name="Normal 11 8" xfId="15918"/>
    <cellStyle name="Normal 11 9" xfId="15919"/>
    <cellStyle name="Normal 11_Block-A-UGF-Pour-1-QTY CORRECTED" xfId="15984"/>
    <cellStyle name="Normal 110" xfId="15920"/>
    <cellStyle name="Normal 110 2" xfId="15921"/>
    <cellStyle name="Normal 110 3" xfId="15922"/>
    <cellStyle name="Normal 110 4" xfId="15923"/>
    <cellStyle name="Normal 110 4 2" xfId="15924"/>
    <cellStyle name="Normal 110 4 3" xfId="15925"/>
    <cellStyle name="Normal 110 5" xfId="15926"/>
    <cellStyle name="Normal 110 6" xfId="15927"/>
    <cellStyle name="Normal 111" xfId="15928"/>
    <cellStyle name="Normal 111 2" xfId="15929"/>
    <cellStyle name="Normal 111 3" xfId="15930"/>
    <cellStyle name="Normal 111 4" xfId="15931"/>
    <cellStyle name="Normal 111 4 2" xfId="15932"/>
    <cellStyle name="Normal 111 4 3" xfId="15933"/>
    <cellStyle name="Normal 111 5" xfId="15934"/>
    <cellStyle name="Normal 111 6" xfId="15935"/>
    <cellStyle name="Normal 112" xfId="15936"/>
    <cellStyle name="Normal 112 2" xfId="15937"/>
    <cellStyle name="Normal 112 3" xfId="15938"/>
    <cellStyle name="Normal 112 4" xfId="15939"/>
    <cellStyle name="Normal 112 4 2" xfId="15940"/>
    <cellStyle name="Normal 112 4 3" xfId="15941"/>
    <cellStyle name="Normal 112 5" xfId="15942"/>
    <cellStyle name="Normal 112 6" xfId="15943"/>
    <cellStyle name="Normal 113" xfId="15944"/>
    <cellStyle name="Normal 113 2" xfId="15945"/>
    <cellStyle name="Normal 113 3" xfId="15946"/>
    <cellStyle name="Normal 113 4" xfId="15947"/>
    <cellStyle name="Normal 113 4 2" xfId="15948"/>
    <cellStyle name="Normal 113 4 3" xfId="15949"/>
    <cellStyle name="Normal 113 5" xfId="15950"/>
    <cellStyle name="Normal 113 6" xfId="15951"/>
    <cellStyle name="Normal 114" xfId="15952"/>
    <cellStyle name="Normal 114 2" xfId="15953"/>
    <cellStyle name="Normal 114 3" xfId="15954"/>
    <cellStyle name="Normal 114 4" xfId="15955"/>
    <cellStyle name="Normal 114 4 2" xfId="15956"/>
    <cellStyle name="Normal 114 4 3" xfId="15957"/>
    <cellStyle name="Normal 114 5" xfId="15958"/>
    <cellStyle name="Normal 114 6" xfId="15959"/>
    <cellStyle name="Normal 115" xfId="15960"/>
    <cellStyle name="Normal 115 2" xfId="15961"/>
    <cellStyle name="Normal 115 3" xfId="15962"/>
    <cellStyle name="Normal 115 4" xfId="15963"/>
    <cellStyle name="Normal 115 5" xfId="15964"/>
    <cellStyle name="Normal 116" xfId="15965"/>
    <cellStyle name="Normal 116 2" xfId="15966"/>
    <cellStyle name="Normal 116 3" xfId="15967"/>
    <cellStyle name="Normal 117" xfId="15968"/>
    <cellStyle name="Normal 117 2" xfId="15969"/>
    <cellStyle name="Normal 117 3" xfId="15970"/>
    <cellStyle name="Normal 117 4" xfId="15971"/>
    <cellStyle name="Normal 117 4 2" xfId="15972"/>
    <cellStyle name="Normal 117 4 3" xfId="15973"/>
    <cellStyle name="Normal 117 5" xfId="15974"/>
    <cellStyle name="Normal 117 6" xfId="15975"/>
    <cellStyle name="Normal 118" xfId="15976"/>
    <cellStyle name="Normal 118 2" xfId="15977"/>
    <cellStyle name="Normal 118 2 2" xfId="15978"/>
    <cellStyle name="Normal 118 2 3" xfId="15979"/>
    <cellStyle name="Normal 118 3" xfId="15980"/>
    <cellStyle name="Normal 118 4" xfId="15981"/>
    <cellStyle name="Normal 119" xfId="15982"/>
    <cellStyle name="Normal 119 2" xfId="15983"/>
    <cellStyle name="Normal 12" xfId="15985"/>
    <cellStyle name="Normal 12 10" xfId="15986"/>
    <cellStyle name="Normal 12 11" xfId="15987"/>
    <cellStyle name="Normal 12 12" xfId="15988"/>
    <cellStyle name="Normal 12 13" xfId="15989"/>
    <cellStyle name="Normal 12 14" xfId="15990"/>
    <cellStyle name="Normal 12 15" xfId="15991"/>
    <cellStyle name="Normal 12 16" xfId="15992"/>
    <cellStyle name="Normal 12 17" xfId="15993"/>
    <cellStyle name="Normal 12 18" xfId="15994"/>
    <cellStyle name="Normal 12 19" xfId="15995"/>
    <cellStyle name="Normal 12 2" xfId="15996"/>
    <cellStyle name="Normal 12 2 2" xfId="15997"/>
    <cellStyle name="Normal 12 2 2 2" xfId="15998"/>
    <cellStyle name="Normal 12 2 2 2 2" xfId="15999"/>
    <cellStyle name="Normal 12 2 2 2 2 2" xfId="16000"/>
    <cellStyle name="Normal 12 2 2 2 2 3" xfId="16001"/>
    <cellStyle name="Normal 12 2 2 2 3" xfId="16002"/>
    <cellStyle name="Normal 12 2 2 2 4" xfId="16003"/>
    <cellStyle name="Normal 12 2 2 3" xfId="16004"/>
    <cellStyle name="Normal 12 2 2 3 2" xfId="16005"/>
    <cellStyle name="Normal 12 2 2 3 3" xfId="16006"/>
    <cellStyle name="Normal 12 2 2 4" xfId="16007"/>
    <cellStyle name="Normal 12 2 2 5" xfId="16008"/>
    <cellStyle name="Normal 12 20" xfId="16009"/>
    <cellStyle name="Normal 12 21" xfId="16010"/>
    <cellStyle name="Normal 12 22" xfId="16011"/>
    <cellStyle name="Normal 12 23" xfId="16012"/>
    <cellStyle name="Normal 12 24" xfId="16013"/>
    <cellStyle name="Normal 12 25" xfId="16014"/>
    <cellStyle name="Normal 12 26" xfId="16015"/>
    <cellStyle name="Normal 12 27" xfId="16016"/>
    <cellStyle name="Normal 12 28" xfId="16017"/>
    <cellStyle name="Normal 12 29" xfId="16018"/>
    <cellStyle name="Normal 12 29 2" xfId="16019"/>
    <cellStyle name="Normal 12 29 2 2" xfId="16020"/>
    <cellStyle name="Normal 12 29 2 2 2" xfId="16021"/>
    <cellStyle name="Normal 12 29 2 2 3" xfId="16022"/>
    <cellStyle name="Normal 12 29 2 3" xfId="16023"/>
    <cellStyle name="Normal 12 29 2 4" xfId="16024"/>
    <cellStyle name="Normal 12 29 3" xfId="16025"/>
    <cellStyle name="Normal 12 29 3 2" xfId="16026"/>
    <cellStyle name="Normal 12 29 3 3" xfId="16027"/>
    <cellStyle name="Normal 12 29 4" xfId="16028"/>
    <cellStyle name="Normal 12 29 5" xfId="16029"/>
    <cellStyle name="Normal 12 3" xfId="16030"/>
    <cellStyle name="Normal 12 3 10" xfId="16031"/>
    <cellStyle name="Normal 12 3 2" xfId="16032"/>
    <cellStyle name="Normal 12 3 3" xfId="16033"/>
    <cellStyle name="Normal 12 3 4" xfId="16034"/>
    <cellStyle name="Normal 12 3 5" xfId="16035"/>
    <cellStyle name="Normal 12 3 6" xfId="16036"/>
    <cellStyle name="Normal 12 3 7" xfId="16037"/>
    <cellStyle name="Normal 12 3 8" xfId="16038"/>
    <cellStyle name="Normal 12 3 9" xfId="16039"/>
    <cellStyle name="Normal 12 30" xfId="16040"/>
    <cellStyle name="Normal 12 30 2" xfId="16041"/>
    <cellStyle name="Normal 12 30 2 2" xfId="16042"/>
    <cellStyle name="Normal 12 30 2 2 2" xfId="16043"/>
    <cellStyle name="Normal 12 30 2 2 2 2" xfId="16044"/>
    <cellStyle name="Normal 12 30 2 2 2 3" xfId="16045"/>
    <cellStyle name="Normal 12 30 2 2 3" xfId="16046"/>
    <cellStyle name="Normal 12 30 2 2 4" xfId="16047"/>
    <cellStyle name="Normal 12 30 2 3" xfId="16048"/>
    <cellStyle name="Normal 12 30 2 3 2" xfId="16049"/>
    <cellStyle name="Normal 12 30 2 3 3" xfId="16050"/>
    <cellStyle name="Normal 12 30 2 4" xfId="16051"/>
    <cellStyle name="Normal 12 30 2 5" xfId="16052"/>
    <cellStyle name="Normal 12 31" xfId="16053"/>
    <cellStyle name="Normal 12 31 2" xfId="16054"/>
    <cellStyle name="Normal 12 4" xfId="16055"/>
    <cellStyle name="Normal 12 4 10" xfId="16056"/>
    <cellStyle name="Normal 12 4 11" xfId="16057"/>
    <cellStyle name="Normal 12 4 12" xfId="16058"/>
    <cellStyle name="Normal 12 4 13" xfId="16059"/>
    <cellStyle name="Normal 12 4 14" xfId="16060"/>
    <cellStyle name="Normal 12 4 15" xfId="16061"/>
    <cellStyle name="Normal 12 4 2" xfId="16062"/>
    <cellStyle name="Normal 12 4 3" xfId="16063"/>
    <cellStyle name="Normal 12 4 4" xfId="16064"/>
    <cellStyle name="Normal 12 4 5" xfId="16065"/>
    <cellStyle name="Normal 12 4 6" xfId="16066"/>
    <cellStyle name="Normal 12 4 7" xfId="16067"/>
    <cellStyle name="Normal 12 4 8" xfId="16068"/>
    <cellStyle name="Normal 12 4 9" xfId="16069"/>
    <cellStyle name="Normal 12 5" xfId="16070"/>
    <cellStyle name="Normal 12 6" xfId="16071"/>
    <cellStyle name="Normal 12 7" xfId="16072"/>
    <cellStyle name="Normal 12 8" xfId="16073"/>
    <cellStyle name="Normal 12 9" xfId="16074"/>
    <cellStyle name="Normal 12_B Block  Column LGF to UGF Lvl" xfId="16117"/>
    <cellStyle name="Normal 120" xfId="16075"/>
    <cellStyle name="Normal 121" xfId="16076"/>
    <cellStyle name="Normal 122" xfId="16077"/>
    <cellStyle name="Normal 122 2" xfId="16078"/>
    <cellStyle name="Normal 122 2 2" xfId="16079"/>
    <cellStyle name="Normal 122 2 3" xfId="16080"/>
    <cellStyle name="Normal 122 3" xfId="16081"/>
    <cellStyle name="Normal 122 4" xfId="16082"/>
    <cellStyle name="Normal 123" xfId="16083"/>
    <cellStyle name="Normal 123 2" xfId="16084"/>
    <cellStyle name="Normal 124" xfId="16085"/>
    <cellStyle name="Normal 124 2" xfId="16086"/>
    <cellStyle name="Normal 124 3" xfId="16087"/>
    <cellStyle name="Normal 124 4" xfId="16088"/>
    <cellStyle name="Normal 124 4 2" xfId="16089"/>
    <cellStyle name="Normal 124 5" xfId="16090"/>
    <cellStyle name="Normal 124 5 2" xfId="16091"/>
    <cellStyle name="Normal 125" xfId="16092"/>
    <cellStyle name="Normal 125 2" xfId="16093"/>
    <cellStyle name="Normal 125 3" xfId="16094"/>
    <cellStyle name="Normal 125 3 2" xfId="16095"/>
    <cellStyle name="Normal 125 3 3" xfId="16096"/>
    <cellStyle name="Normal 125 3 4" xfId="16097"/>
    <cellStyle name="Normal 125 4" xfId="16098"/>
    <cellStyle name="Normal 126" xfId="16099"/>
    <cellStyle name="Normal 126 2" xfId="16100"/>
    <cellStyle name="Normal 126 3" xfId="16101"/>
    <cellStyle name="Normal 127" xfId="16102"/>
    <cellStyle name="Normal 127 2" xfId="16103"/>
    <cellStyle name="Normal 127 3" xfId="16104"/>
    <cellStyle name="Normal 127 3 2" xfId="16105"/>
    <cellStyle name="Normal 127 3 2 2" xfId="16106"/>
    <cellStyle name="Normal 127 3 2 3" xfId="16107"/>
    <cellStyle name="Normal 127 3 3" xfId="16108"/>
    <cellStyle name="Normal 127 3 4" xfId="16109"/>
    <cellStyle name="Normal 127 4" xfId="16110"/>
    <cellStyle name="Normal 128" xfId="16111"/>
    <cellStyle name="Normal 128 2" xfId="16112"/>
    <cellStyle name="Normal 129" xfId="16113"/>
    <cellStyle name="Normal 129 2" xfId="16114"/>
    <cellStyle name="Normal 129 3" xfId="16115"/>
    <cellStyle name="Normal 129 4" xfId="16116"/>
    <cellStyle name="Normal 13" xfId="16118"/>
    <cellStyle name="Normal 13 10" xfId="16119"/>
    <cellStyle name="Normal 13 11" xfId="16120"/>
    <cellStyle name="Normal 13 12" xfId="16121"/>
    <cellStyle name="Normal 13 13" xfId="16122"/>
    <cellStyle name="Normal 13 14" xfId="16123"/>
    <cellStyle name="Normal 13 15" xfId="16124"/>
    <cellStyle name="Normal 13 16" xfId="16125"/>
    <cellStyle name="Normal 13 17" xfId="16126"/>
    <cellStyle name="Normal 13 18" xfId="16127"/>
    <cellStyle name="Normal 13 2" xfId="16128"/>
    <cellStyle name="Normal 13 2 2" xfId="16129"/>
    <cellStyle name="Normal 13 2 2 10" xfId="16130"/>
    <cellStyle name="Normal 13 2 2 10 2" xfId="16131"/>
    <cellStyle name="Normal 13 2 2 10 3" xfId="16132"/>
    <cellStyle name="Normal 13 2 2 11" xfId="16133"/>
    <cellStyle name="Normal 13 2 2 11 2" xfId="16134"/>
    <cellStyle name="Normal 13 2 2 11 3" xfId="16135"/>
    <cellStyle name="Normal 13 2 2 12" xfId="16136"/>
    <cellStyle name="Normal 13 2 2 13" xfId="16137"/>
    <cellStyle name="Normal 13 2 2 2" xfId="16138"/>
    <cellStyle name="Normal 13 2 2 2 2" xfId="16139"/>
    <cellStyle name="Normal 13 2 2 2 2 2" xfId="16140"/>
    <cellStyle name="Normal 13 2 2 2 2 2 2" xfId="16141"/>
    <cellStyle name="Normal 13 2 2 2 2 2 3" xfId="16142"/>
    <cellStyle name="Normal 13 2 2 2 2 3" xfId="16143"/>
    <cellStyle name="Normal 13 2 2 2 2 4" xfId="16144"/>
    <cellStyle name="Normal 13 2 2 2 3" xfId="16145"/>
    <cellStyle name="Normal 13 2 2 2 3 2" xfId="16146"/>
    <cellStyle name="Normal 13 2 2 2 3 2 2" xfId="16147"/>
    <cellStyle name="Normal 13 2 2 2 3 2 3" xfId="16148"/>
    <cellStyle name="Normal 13 2 2 2 3 3" xfId="16149"/>
    <cellStyle name="Normal 13 2 2 2 3 4" xfId="16150"/>
    <cellStyle name="Normal 13 2 2 2 4" xfId="16151"/>
    <cellStyle name="Normal 13 2 2 2 4 2" xfId="16152"/>
    <cellStyle name="Normal 13 2 2 2 4 2 2" xfId="16153"/>
    <cellStyle name="Normal 13 2 2 2 4 2 3" xfId="16154"/>
    <cellStyle name="Normal 13 2 2 2 4 3" xfId="16155"/>
    <cellStyle name="Normal 13 2 2 2 4 4" xfId="16156"/>
    <cellStyle name="Normal 13 2 2 2 5" xfId="16157"/>
    <cellStyle name="Normal 13 2 2 2 5 2" xfId="16158"/>
    <cellStyle name="Normal 13 2 2 2 5 3" xfId="16159"/>
    <cellStyle name="Normal 13 2 2 2 6" xfId="16160"/>
    <cellStyle name="Normal 13 2 2 2 6 2" xfId="16161"/>
    <cellStyle name="Normal 13 2 2 2 6 3" xfId="16162"/>
    <cellStyle name="Normal 13 2 2 2 7" xfId="16163"/>
    <cellStyle name="Normal 13 2 2 2 8" xfId="16164"/>
    <cellStyle name="Normal 13 2 2 3" xfId="16165"/>
    <cellStyle name="Normal 13 2 2 3 2" xfId="16166"/>
    <cellStyle name="Normal 13 2 2 3 2 2" xfId="16167"/>
    <cellStyle name="Normal 13 2 2 3 2 2 2" xfId="16168"/>
    <cellStyle name="Normal 13 2 2 3 2 2 3" xfId="16169"/>
    <cellStyle name="Normal 13 2 2 3 2 3" xfId="16170"/>
    <cellStyle name="Normal 13 2 2 3 2 4" xfId="16171"/>
    <cellStyle name="Normal 13 2 2 3 2 5" xfId="16172"/>
    <cellStyle name="Normal 13 2 2 3 2 6" xfId="16173"/>
    <cellStyle name="Normal 13 2 2 3 2 7" xfId="16174"/>
    <cellStyle name="Normal 13 2 2 3 2 8" xfId="16175"/>
    <cellStyle name="Normal 13 2 2 3 3" xfId="16176"/>
    <cellStyle name="Normal 13 2 2 3 3 2" xfId="16177"/>
    <cellStyle name="Normal 13 2 2 3 3 3" xfId="16178"/>
    <cellStyle name="Normal 13 2 2 3 4" xfId="16179"/>
    <cellStyle name="Normal 13 2 2 3 5" xfId="16180"/>
    <cellStyle name="Normal 13 2 2 4" xfId="16181"/>
    <cellStyle name="Normal 13 2 2 4 2" xfId="16182"/>
    <cellStyle name="Normal 13 2 2 4 2 2" xfId="16183"/>
    <cellStyle name="Normal 13 2 2 4 2 3" xfId="16184"/>
    <cellStyle name="Normal 13 2 2 4 3" xfId="16185"/>
    <cellStyle name="Normal 13 2 2 4 4" xfId="16186"/>
    <cellStyle name="Normal 13 2 2 5" xfId="16187"/>
    <cellStyle name="Normal 13 2 2 5 2" xfId="16188"/>
    <cellStyle name="Normal 13 2 2 5 2 2" xfId="16189"/>
    <cellStyle name="Normal 13 2 2 5 2 3" xfId="16190"/>
    <cellStyle name="Normal 13 2 2 5 3" xfId="16191"/>
    <cellStyle name="Normal 13 2 2 5 4" xfId="16192"/>
    <cellStyle name="Normal 13 2 2 6" xfId="16193"/>
    <cellStyle name="Normal 13 2 2 6 2" xfId="16194"/>
    <cellStyle name="Normal 13 2 2 6 2 2" xfId="16195"/>
    <cellStyle name="Normal 13 2 2 6 2 2 2" xfId="16196"/>
    <cellStyle name="Normal 13 2 2 6 2 2 3" xfId="16197"/>
    <cellStyle name="Normal 13 2 2 6 2 3" xfId="16198"/>
    <cellStyle name="Normal 13 2 2 6 2 4" xfId="16199"/>
    <cellStyle name="Normal 13 2 2 6 3" xfId="16200"/>
    <cellStyle name="Normal 13 2 2 6 3 2" xfId="16201"/>
    <cellStyle name="Normal 13 2 2 6 3 3" xfId="16202"/>
    <cellStyle name="Normal 13 2 2 6 4" xfId="16203"/>
    <cellStyle name="Normal 13 2 2 6 5" xfId="16204"/>
    <cellStyle name="Normal 13 2 2 7" xfId="16205"/>
    <cellStyle name="Normal 13 2 2 7 2" xfId="16206"/>
    <cellStyle name="Normal 13 2 2 7 2 2" xfId="16207"/>
    <cellStyle name="Normal 13 2 2 7 2 2 2" xfId="16208"/>
    <cellStyle name="Normal 13 2 2 7 2 2 3" xfId="16209"/>
    <cellStyle name="Normal 13 2 2 7 2 3" xfId="16210"/>
    <cellStyle name="Normal 13 2 2 7 2 4" xfId="16211"/>
    <cellStyle name="Normal 13 2 2 7 3" xfId="16212"/>
    <cellStyle name="Normal 13 2 2 7 3 2" xfId="16213"/>
    <cellStyle name="Normal 13 2 2 7 3 3" xfId="16214"/>
    <cellStyle name="Normal 13 2 2 7 4" xfId="16215"/>
    <cellStyle name="Normal 13 2 2 7 5" xfId="16216"/>
    <cellStyle name="Normal 13 2 2 8" xfId="16217"/>
    <cellStyle name="Normal 13 2 2 8 2" xfId="16218"/>
    <cellStyle name="Normal 13 2 2 8 2 2" xfId="16219"/>
    <cellStyle name="Normal 13 2 2 8 2 3" xfId="16220"/>
    <cellStyle name="Normal 13 2 2 8 3" xfId="16221"/>
    <cellStyle name="Normal 13 2 2 8 4" xfId="16222"/>
    <cellStyle name="Normal 13 2 2 9" xfId="16223"/>
    <cellStyle name="Normal 13 2 2 9 2" xfId="16224"/>
    <cellStyle name="Normal 13 2 2 9 2 2" xfId="16225"/>
    <cellStyle name="Normal 13 2 2 9 2 3" xfId="16226"/>
    <cellStyle name="Normal 13 2 2 9 3" xfId="16227"/>
    <cellStyle name="Normal 13 2 2 9 4" xfId="16228"/>
    <cellStyle name="Normal 13 2 2_Sheet2" xfId="16229"/>
    <cellStyle name="Normal 13 2 3" xfId="16230"/>
    <cellStyle name="Normal 13 2 3 2" xfId="16231"/>
    <cellStyle name="Normal 13 2 3 2 2" xfId="16232"/>
    <cellStyle name="Normal 13 2 3 2 2 2" xfId="16233"/>
    <cellStyle name="Normal 13 2 3 2 2 3" xfId="16234"/>
    <cellStyle name="Normal 13 2 3 2 3" xfId="16235"/>
    <cellStyle name="Normal 13 2 3 2 4" xfId="16236"/>
    <cellStyle name="Normal 13 2 3 3" xfId="16237"/>
    <cellStyle name="Normal 13 2 3 3 2" xfId="16238"/>
    <cellStyle name="Normal 13 2 3 3 2 2" xfId="16239"/>
    <cellStyle name="Normal 13 2 3 3 2 3" xfId="16240"/>
    <cellStyle name="Normal 13 2 3 3 3" xfId="16241"/>
    <cellStyle name="Normal 13 2 3 3 4" xfId="16242"/>
    <cellStyle name="Normal 13 2 3 4" xfId="16243"/>
    <cellStyle name="Normal 13 2 3 4 2" xfId="16244"/>
    <cellStyle name="Normal 13 2 3 4 3" xfId="16245"/>
    <cellStyle name="Normal 13 2 3 5" xfId="16246"/>
    <cellStyle name="Normal 13 2 3 6" xfId="16247"/>
    <cellStyle name="Normal 13 2 4" xfId="16248"/>
    <cellStyle name="Normal 13 2 4 2" xfId="16249"/>
    <cellStyle name="Normal 13 2 4 2 2" xfId="16250"/>
    <cellStyle name="Normal 13 2 4 2 3" xfId="16251"/>
    <cellStyle name="Normal 13 2 4 3" xfId="16252"/>
    <cellStyle name="Normal 13 2 4 4" xfId="16253"/>
    <cellStyle name="Normal 13 2 5" xfId="16254"/>
    <cellStyle name="Normal 13 2 5 2" xfId="16255"/>
    <cellStyle name="Normal 13 2 5 2 2" xfId="16256"/>
    <cellStyle name="Normal 13 2 5 2 3" xfId="16257"/>
    <cellStyle name="Normal 13 2 5 3" xfId="16258"/>
    <cellStyle name="Normal 13 2 5 4" xfId="16259"/>
    <cellStyle name="Normal 13 2 6" xfId="16260"/>
    <cellStyle name="Normal 13 2 6 2" xfId="16261"/>
    <cellStyle name="Normal 13 2 6 2 2" xfId="16262"/>
    <cellStyle name="Normal 13 2 6 2 3" xfId="16263"/>
    <cellStyle name="Normal 13 2 6 3" xfId="16264"/>
    <cellStyle name="Normal 13 2 6 4" xfId="16265"/>
    <cellStyle name="Normal 13 2 7" xfId="16266"/>
    <cellStyle name="Normal 13 2 8" xfId="16267"/>
    <cellStyle name="Normal 13 2 8 2" xfId="16268"/>
    <cellStyle name="Normal 13 2 8 2 2" xfId="16269"/>
    <cellStyle name="Normal 13 2 8 2 2 2" xfId="16270"/>
    <cellStyle name="Normal 13 2 8 2 2 3" xfId="16271"/>
    <cellStyle name="Normal 13 2 8 2 3" xfId="16272"/>
    <cellStyle name="Normal 13 2 8 2 4" xfId="16273"/>
    <cellStyle name="Normal 13 2 8 3" xfId="16274"/>
    <cellStyle name="Normal 13 2 8 3 2" xfId="16275"/>
    <cellStyle name="Normal 13 2 8 3 3" xfId="16276"/>
    <cellStyle name="Normal 13 2 8 4" xfId="16277"/>
    <cellStyle name="Normal 13 2 8 5" xfId="16278"/>
    <cellStyle name="Normal 13 2 9" xfId="16279"/>
    <cellStyle name="Normal 13 2 9 2" xfId="16280"/>
    <cellStyle name="Normal 13 2 9 2 2" xfId="16281"/>
    <cellStyle name="Normal 13 2 9 2 3" xfId="16282"/>
    <cellStyle name="Normal 13 2 9 3" xfId="16283"/>
    <cellStyle name="Normal 13 2 9 4" xfId="16284"/>
    <cellStyle name="Normal 13 2_Ibrahimnagar SSR 2014-15 (PART A &amp; B)" xfId="16285"/>
    <cellStyle name="Normal 13 3" xfId="16286"/>
    <cellStyle name="Normal 13 3 2" xfId="16287"/>
    <cellStyle name="Normal 13 3 2 2" xfId="16288"/>
    <cellStyle name="Normal 13 3 2 3" xfId="16289"/>
    <cellStyle name="Normal 13 3 2 3 2" xfId="16290"/>
    <cellStyle name="Normal 13 3 2 3 2 2" xfId="16291"/>
    <cellStyle name="Normal 13 3 2 3 2 2 2" xfId="16292"/>
    <cellStyle name="Normal 13 3 2 3 2 2 3" xfId="16293"/>
    <cellStyle name="Normal 13 3 2 3 2 3" xfId="16294"/>
    <cellStyle name="Normal 13 3 2 3 2 4" xfId="16295"/>
    <cellStyle name="Normal 13 3 2 3 3" xfId="16296"/>
    <cellStyle name="Normal 13 3 2 3 3 2" xfId="16297"/>
    <cellStyle name="Normal 13 3 2 3 3 3" xfId="16298"/>
    <cellStyle name="Normal 13 3 2 3 4" xfId="16299"/>
    <cellStyle name="Normal 13 3 2 3 5" xfId="16300"/>
    <cellStyle name="Normal 13 3 2 4" xfId="16301"/>
    <cellStyle name="Normal 13 3 2 4 2" xfId="16302"/>
    <cellStyle name="Normal 13 3 2 4 3" xfId="16303"/>
    <cellStyle name="Normal 13 3 2 5" xfId="16304"/>
    <cellStyle name="Normal 13 3 2 6" xfId="16305"/>
    <cellStyle name="Normal 13 3 3" xfId="16306"/>
    <cellStyle name="Normal 13 3 3 2" xfId="16307"/>
    <cellStyle name="Normal 13 3 3 2 2" xfId="16308"/>
    <cellStyle name="Normal 13 3 3 2 3" xfId="16309"/>
    <cellStyle name="Normal 13 3 3 3" xfId="16310"/>
    <cellStyle name="Normal 13 3 3 4" xfId="16311"/>
    <cellStyle name="Normal 13 3 4" xfId="16312"/>
    <cellStyle name="Normal 13 3 4 2" xfId="16313"/>
    <cellStyle name="Normal 13 3 4 2 2" xfId="16314"/>
    <cellStyle name="Normal 13 3 4 2 3" xfId="16315"/>
    <cellStyle name="Normal 13 3 4 3" xfId="16316"/>
    <cellStyle name="Normal 13 3 4 4" xfId="16317"/>
    <cellStyle name="Normal 13 3 5" xfId="16318"/>
    <cellStyle name="Normal 13 3 5 2" xfId="16319"/>
    <cellStyle name="Normal 13 3 5 2 2" xfId="16320"/>
    <cellStyle name="Normal 13 3 5 2 2 2" xfId="16321"/>
    <cellStyle name="Normal 13 3 5 2 2 3" xfId="16322"/>
    <cellStyle name="Normal 13 3 5 2 3" xfId="16323"/>
    <cellStyle name="Normal 13 3 5 2 4" xfId="16324"/>
    <cellStyle name="Normal 13 3 5 3" xfId="16325"/>
    <cellStyle name="Normal 13 3 5 3 2" xfId="16326"/>
    <cellStyle name="Normal 13 3 5 3 3" xfId="16327"/>
    <cellStyle name="Normal 13 3 5 4" xfId="16328"/>
    <cellStyle name="Normal 13 3 5 5" xfId="16329"/>
    <cellStyle name="Normal 13 3 6" xfId="16330"/>
    <cellStyle name="Normal 13 3 6 2" xfId="16331"/>
    <cellStyle name="Normal 13 3 6 3" xfId="16332"/>
    <cellStyle name="Normal 13 3 7" xfId="16333"/>
    <cellStyle name="Normal 13 3 8" xfId="16334"/>
    <cellStyle name="Normal 13 4" xfId="16335"/>
    <cellStyle name="Normal 13 5" xfId="16336"/>
    <cellStyle name="Normal 13 6" xfId="16337"/>
    <cellStyle name="Normal 13 6 2" xfId="16338"/>
    <cellStyle name="Normal 13 6 2 2" xfId="16339"/>
    <cellStyle name="Normal 13 6 2 2 2" xfId="16340"/>
    <cellStyle name="Normal 13 6 2 2 3" xfId="16341"/>
    <cellStyle name="Normal 13 6 2 3" xfId="16342"/>
    <cellStyle name="Normal 13 6 2 4" xfId="16343"/>
    <cellStyle name="Normal 13 7" xfId="16344"/>
    <cellStyle name="Normal 13 8" xfId="16345"/>
    <cellStyle name="Normal 13 9" xfId="16346"/>
    <cellStyle name="Normal 13_Girls Hostel attached to Model School at Munipally WDE (Final) Modified (05.09.2014)" xfId="16367"/>
    <cellStyle name="Normal 130" xfId="16347"/>
    <cellStyle name="Normal 130 2" xfId="16348"/>
    <cellStyle name="Normal 131" xfId="16349"/>
    <cellStyle name="Normal 131 2" xfId="16350"/>
    <cellStyle name="Normal 132" xfId="16351"/>
    <cellStyle name="Normal 132 2" xfId="16352"/>
    <cellStyle name="Normal 133" xfId="16353"/>
    <cellStyle name="Normal 134" xfId="16354"/>
    <cellStyle name="Normal 135" xfId="16355"/>
    <cellStyle name="Normal 136" xfId="16356"/>
    <cellStyle name="Normal 137" xfId="16357"/>
    <cellStyle name="Normal 138" xfId="16358"/>
    <cellStyle name="Normal 138 2" xfId="16359"/>
    <cellStyle name="Normal 138 2 3" xfId="16360"/>
    <cellStyle name="Normal 138 2 3 2" xfId="16361"/>
    <cellStyle name="Normal 138 2 3 2 2" xfId="16362"/>
    <cellStyle name="Normal 138 2 3 2 3" xfId="16363"/>
    <cellStyle name="Normal 138 2 3 3" xfId="16364"/>
    <cellStyle name="Normal 138 2 3 4" xfId="16365"/>
    <cellStyle name="Normal 139" xfId="16366"/>
    <cellStyle name="Normal 14" xfId="16368"/>
    <cellStyle name="Normal 14 2" xfId="16369"/>
    <cellStyle name="Normal 14 2 2" xfId="16370"/>
    <cellStyle name="Normal 14 2 2 2" xfId="16371"/>
    <cellStyle name="Normal 14 2 3" xfId="16372"/>
    <cellStyle name="Normal 14 2_Sheet2" xfId="16373"/>
    <cellStyle name="Normal 14 3" xfId="16374"/>
    <cellStyle name="Normal 14 3 2" xfId="16375"/>
    <cellStyle name="Normal 14 3 2 2" xfId="16376"/>
    <cellStyle name="Normal 14 3 2 3" xfId="16377"/>
    <cellStyle name="Normal 14 3 3" xfId="16378"/>
    <cellStyle name="Normal 14 3 4" xfId="16379"/>
    <cellStyle name="Normal 14 5" xfId="16380"/>
    <cellStyle name="Normal 14_Sheet2" xfId="16391"/>
    <cellStyle name="Normal 140" xfId="16381"/>
    <cellStyle name="Normal 141" xfId="16382"/>
    <cellStyle name="Normal 142" xfId="16383"/>
    <cellStyle name="Normal 143" xfId="16384"/>
    <cellStyle name="Normal 144" xfId="16385"/>
    <cellStyle name="Normal 145" xfId="16386"/>
    <cellStyle name="Normal 146" xfId="16387"/>
    <cellStyle name="Normal 147" xfId="16388"/>
    <cellStyle name="Normal 148" xfId="16389"/>
    <cellStyle name="Normal 149" xfId="16390"/>
    <cellStyle name="Normal 15" xfId="16392"/>
    <cellStyle name="Normal 15 10" xfId="16393"/>
    <cellStyle name="Normal 15 11" xfId="16394"/>
    <cellStyle name="Normal 15 12" xfId="16395"/>
    <cellStyle name="Normal 15 13" xfId="16396"/>
    <cellStyle name="Normal 15 14" xfId="16397"/>
    <cellStyle name="Normal 15 15" xfId="16398"/>
    <cellStyle name="Normal 15 16" xfId="16399"/>
    <cellStyle name="Normal 15 17" xfId="16400"/>
    <cellStyle name="Normal 15 18" xfId="16401"/>
    <cellStyle name="Normal 15 19" xfId="16402"/>
    <cellStyle name="Normal 15 2" xfId="16403"/>
    <cellStyle name="Normal 15 2 10" xfId="16404"/>
    <cellStyle name="Normal 15 2 11" xfId="16405"/>
    <cellStyle name="Normal 15 2 12" xfId="16406"/>
    <cellStyle name="Normal 15 2 13" xfId="16407"/>
    <cellStyle name="Normal 15 2 14" xfId="16408"/>
    <cellStyle name="Normal 15 2 15" xfId="16409"/>
    <cellStyle name="Normal 15 2 16" xfId="16410"/>
    <cellStyle name="Normal 15 2 17" xfId="16411"/>
    <cellStyle name="Normal 15 2 18" xfId="16412"/>
    <cellStyle name="Normal 15 2 19" xfId="16413"/>
    <cellStyle name="Normal 15 2 2" xfId="16414"/>
    <cellStyle name="Normal 15 2 3" xfId="16415"/>
    <cellStyle name="Normal 15 2 4" xfId="16416"/>
    <cellStyle name="Normal 15 2 5" xfId="16417"/>
    <cellStyle name="Normal 15 2 6" xfId="16418"/>
    <cellStyle name="Normal 15 2 7" xfId="16419"/>
    <cellStyle name="Normal 15 2 8" xfId="16420"/>
    <cellStyle name="Normal 15 2 9" xfId="16421"/>
    <cellStyle name="Normal 15 3" xfId="16422"/>
    <cellStyle name="Normal 15 3 2" xfId="16423"/>
    <cellStyle name="Normal 15 3 2 2" xfId="16424"/>
    <cellStyle name="Normal 15 3 2 3" xfId="16425"/>
    <cellStyle name="Normal 15 3 3" xfId="16426"/>
    <cellStyle name="Normal 15 3 4" xfId="16427"/>
    <cellStyle name="Normal 15 4" xfId="16428"/>
    <cellStyle name="Normal 15 5" xfId="16429"/>
    <cellStyle name="Normal 15 6" xfId="16430"/>
    <cellStyle name="Normal 15 7" xfId="16431"/>
    <cellStyle name="Normal 15 8" xfId="16432"/>
    <cellStyle name="Normal 15 9" xfId="16433"/>
    <cellStyle name="Normal 15_Ramaipally RMSA 2012-13 (Final 07.10.2014)" xfId="16467"/>
    <cellStyle name="Normal 150" xfId="16434"/>
    <cellStyle name="Normal 151" xfId="16435"/>
    <cellStyle name="Normal 152" xfId="16436"/>
    <cellStyle name="Normal 153" xfId="16437"/>
    <cellStyle name="Normal 153 2" xfId="16438"/>
    <cellStyle name="Normal 153 3" xfId="16439"/>
    <cellStyle name="Normal 154" xfId="16440"/>
    <cellStyle name="Normal 154 2" xfId="16441"/>
    <cellStyle name="Normal 154 2 2" xfId="16442"/>
    <cellStyle name="Normal 155" xfId="16443"/>
    <cellStyle name="Normal 155 2" xfId="16444"/>
    <cellStyle name="Normal 155 2 2" xfId="16445"/>
    <cellStyle name="Normal 155 2 3" xfId="16446"/>
    <cellStyle name="Normal 155 3" xfId="16447"/>
    <cellStyle name="Normal 155 4" xfId="16448"/>
    <cellStyle name="Normal 155 5" xfId="30882"/>
    <cellStyle name="Normal 156" xfId="16449"/>
    <cellStyle name="Normal 156 2" xfId="16450"/>
    <cellStyle name="Normal 156 2 2" xfId="30884"/>
    <cellStyle name="Normal 156 3" xfId="16451"/>
    <cellStyle name="Normal 157" xfId="16452"/>
    <cellStyle name="Normal 157 2" xfId="16453"/>
    <cellStyle name="Normal 157 2 2" xfId="16454"/>
    <cellStyle name="Normal 157 2 3" xfId="16455"/>
    <cellStyle name="Normal 157 3" xfId="16456"/>
    <cellStyle name="Normal 157 4" xfId="16457"/>
    <cellStyle name="Normal 158" xfId="16458"/>
    <cellStyle name="Normal 158 2" xfId="16459"/>
    <cellStyle name="Normal 158 2 2" xfId="16460"/>
    <cellStyle name="Normal 159" xfId="16461"/>
    <cellStyle name="Normal 159 2" xfId="16462"/>
    <cellStyle name="Normal 159 2 2" xfId="16463"/>
    <cellStyle name="Normal 159 2 3" xfId="16464"/>
    <cellStyle name="Normal 159 3" xfId="16465"/>
    <cellStyle name="Normal 159 4" xfId="16466"/>
    <cellStyle name="Normal 16" xfId="16468"/>
    <cellStyle name="Normal 16 10" xfId="16469"/>
    <cellStyle name="Normal 16 11" xfId="16470"/>
    <cellStyle name="Normal 16 12" xfId="16471"/>
    <cellStyle name="Normal 16 13" xfId="16472"/>
    <cellStyle name="Normal 16 14" xfId="16473"/>
    <cellStyle name="Normal 16 15" xfId="16474"/>
    <cellStyle name="Normal 16 16" xfId="16475"/>
    <cellStyle name="Normal 16 17" xfId="16476"/>
    <cellStyle name="Normal 16 18" xfId="16477"/>
    <cellStyle name="Normal 16 19" xfId="16478"/>
    <cellStyle name="Normal 16 2" xfId="16479"/>
    <cellStyle name="Normal 16 2 2" xfId="16480"/>
    <cellStyle name="Normal 16 2 3" xfId="16481"/>
    <cellStyle name="Normal 16 3" xfId="16482"/>
    <cellStyle name="Normal 16 3 2" xfId="16483"/>
    <cellStyle name="Normal 16 3 3" xfId="16484"/>
    <cellStyle name="Normal 16 3 4" xfId="16485"/>
    <cellStyle name="Normal 16 3 5" xfId="16486"/>
    <cellStyle name="Normal 16 3 6" xfId="16487"/>
    <cellStyle name="Normal 16 3 7" xfId="16488"/>
    <cellStyle name="Normal 16 3 8" xfId="16489"/>
    <cellStyle name="Normal 16 3 9" xfId="16490"/>
    <cellStyle name="Normal 16 4" xfId="16491"/>
    <cellStyle name="Normal 16 5" xfId="16492"/>
    <cellStyle name="Normal 16 6" xfId="16493"/>
    <cellStyle name="Normal 16 7" xfId="16494"/>
    <cellStyle name="Normal 16 8" xfId="16495"/>
    <cellStyle name="Normal 16 9" xfId="16496"/>
    <cellStyle name="Normal 16_NERELLA ADDITIONAL CLASS ROOMS IN FF" xfId="16518"/>
    <cellStyle name="Normal 160" xfId="16497"/>
    <cellStyle name="Normal 161" xfId="16498"/>
    <cellStyle name="Normal 162" xfId="16499"/>
    <cellStyle name="Normal 162 2" xfId="16500"/>
    <cellStyle name="Normal 162 2 2" xfId="16501"/>
    <cellStyle name="Normal 162 2 3" xfId="16502"/>
    <cellStyle name="Normal 162 3" xfId="16503"/>
    <cellStyle name="Normal 162 4" xfId="16504"/>
    <cellStyle name="Normal 163" xfId="16505"/>
    <cellStyle name="Normal 163 2" xfId="16506"/>
    <cellStyle name="Normal 163 2 2" xfId="16507"/>
    <cellStyle name="Normal 163 2 3" xfId="16508"/>
    <cellStyle name="Normal 163 3" xfId="16509"/>
    <cellStyle name="Normal 163 4" xfId="16510"/>
    <cellStyle name="Normal 164" xfId="16511"/>
    <cellStyle name="Normal 164 2" xfId="16512"/>
    <cellStyle name="Normal 164 3" xfId="30881"/>
    <cellStyle name="Normal 165" xfId="16513"/>
    <cellStyle name="Normal 166" xfId="16514"/>
    <cellStyle name="Normal 167" xfId="16515"/>
    <cellStyle name="Normal 168" xfId="16516"/>
    <cellStyle name="Normal 169" xfId="16517"/>
    <cellStyle name="Normal 17" xfId="16519"/>
    <cellStyle name="Normal 17 2" xfId="16520"/>
    <cellStyle name="Normal 17 2 10" xfId="16521"/>
    <cellStyle name="Normal 17 2 2" xfId="16522"/>
    <cellStyle name="Normal 17 2 2 2" xfId="16523"/>
    <cellStyle name="Normal 17 2 2 2 2" xfId="16524"/>
    <cellStyle name="Normal 17 2 2 2 2 2" xfId="16525"/>
    <cellStyle name="Normal 17 2 2 2 2 3" xfId="16526"/>
    <cellStyle name="Normal 17 2 2 2 3" xfId="16527"/>
    <cellStyle name="Normal 17 2 2 2 4" xfId="16528"/>
    <cellStyle name="Normal 17 2 2 3" xfId="16529"/>
    <cellStyle name="Normal 17 2 2 3 2" xfId="16530"/>
    <cellStyle name="Normal 17 2 2 3 2 2" xfId="16531"/>
    <cellStyle name="Normal 17 2 2 3 2 3" xfId="16532"/>
    <cellStyle name="Normal 17 2 2 3 3" xfId="16533"/>
    <cellStyle name="Normal 17 2 2 3 4" xfId="16534"/>
    <cellStyle name="Normal 17 2 2 4" xfId="16535"/>
    <cellStyle name="Normal 17 2 2 4 2" xfId="16536"/>
    <cellStyle name="Normal 17 2 2 4 2 2" xfId="16537"/>
    <cellStyle name="Normal 17 2 2 4 2 3" xfId="16538"/>
    <cellStyle name="Normal 17 2 2 4 3" xfId="16539"/>
    <cellStyle name="Normal 17 2 2 4 4" xfId="16540"/>
    <cellStyle name="Normal 17 2 2 5" xfId="16541"/>
    <cellStyle name="Normal 17 2 2 5 2" xfId="16542"/>
    <cellStyle name="Normal 17 2 2 5 2 2" xfId="16543"/>
    <cellStyle name="Normal 17 2 2 5 2 3" xfId="16544"/>
    <cellStyle name="Normal 17 2 2 5 3" xfId="16545"/>
    <cellStyle name="Normal 17 2 2 5 4" xfId="16546"/>
    <cellStyle name="Normal 17 2 2 6" xfId="16547"/>
    <cellStyle name="Normal 17 2 2 6 2" xfId="16548"/>
    <cellStyle name="Normal 17 2 2 6 2 2" xfId="16549"/>
    <cellStyle name="Normal 17 2 2 6 2 3" xfId="16550"/>
    <cellStyle name="Normal 17 2 2 6 3" xfId="16551"/>
    <cellStyle name="Normal 17 2 2 6 4" xfId="16552"/>
    <cellStyle name="Normal 17 2 2 7" xfId="16553"/>
    <cellStyle name="Normal 17 2 2 7 2" xfId="16554"/>
    <cellStyle name="Normal 17 2 2 7 2 2" xfId="16555"/>
    <cellStyle name="Normal 17 2 2 7 2 3" xfId="16556"/>
    <cellStyle name="Normal 17 2 2 7 3" xfId="16557"/>
    <cellStyle name="Normal 17 2 2 7 4" xfId="16558"/>
    <cellStyle name="Normal 17 2 2 8" xfId="16559"/>
    <cellStyle name="Normal 17 2 2 8 2" xfId="16560"/>
    <cellStyle name="Normal 17 2 2 8 2 2" xfId="16561"/>
    <cellStyle name="Normal 17 2 2 8 2 3" xfId="16562"/>
    <cellStyle name="Normal 17 2 2 8 3" xfId="16563"/>
    <cellStyle name="Normal 17 2 2 8 4" xfId="16564"/>
    <cellStyle name="Normal 17 2 2 9" xfId="16565"/>
    <cellStyle name="Normal 17 2 2 9 2" xfId="16566"/>
    <cellStyle name="Normal 17 2 2 9 2 2" xfId="16567"/>
    <cellStyle name="Normal 17 2 2 9 2 3" xfId="16568"/>
    <cellStyle name="Normal 17 2 2 9 3" xfId="16569"/>
    <cellStyle name="Normal 17 2 2 9 4" xfId="16570"/>
    <cellStyle name="Normal 17 2 3" xfId="16571"/>
    <cellStyle name="Normal 17 2 4" xfId="16572"/>
    <cellStyle name="Normal 17 2 5" xfId="16573"/>
    <cellStyle name="Normal 17 2 6" xfId="16574"/>
    <cellStyle name="Normal 17 2 7" xfId="16575"/>
    <cellStyle name="Normal 17 2 8" xfId="16576"/>
    <cellStyle name="Normal 17 2 9" xfId="16577"/>
    <cellStyle name="Normal 17 2_NERELLA ADDITIONAL CLASS ROOMS IN FF" xfId="16578"/>
    <cellStyle name="Normal 17 3" xfId="16579"/>
    <cellStyle name="Normal 17 3 10" xfId="16580"/>
    <cellStyle name="Normal 17 3 2" xfId="16581"/>
    <cellStyle name="Normal 17 3 2 2" xfId="16582"/>
    <cellStyle name="Normal 17 3 2 2 2" xfId="16583"/>
    <cellStyle name="Normal 17 3 2 2 3" xfId="16584"/>
    <cellStyle name="Normal 17 3 2 3" xfId="16585"/>
    <cellStyle name="Normal 17 3 2 4" xfId="16586"/>
    <cellStyle name="Normal 17 3 3" xfId="16587"/>
    <cellStyle name="Normal 17 3 4" xfId="16588"/>
    <cellStyle name="Normal 17 3 5" xfId="16589"/>
    <cellStyle name="Normal 17 3 6" xfId="16590"/>
    <cellStyle name="Normal 17 3 7" xfId="16591"/>
    <cellStyle name="Normal 17 3 8" xfId="16592"/>
    <cellStyle name="Normal 17 3 9" xfId="16593"/>
    <cellStyle name="Normal 17 3_Sheet2" xfId="16594"/>
    <cellStyle name="Normal 17 4" xfId="16595"/>
    <cellStyle name="Normal 17 4 10" xfId="16596"/>
    <cellStyle name="Normal 17 4 2" xfId="16597"/>
    <cellStyle name="Normal 17 4 2 2" xfId="16598"/>
    <cellStyle name="Normal 17 4 2 2 2" xfId="16599"/>
    <cellStyle name="Normal 17 4 2 2 3" xfId="16600"/>
    <cellStyle name="Normal 17 4 2 3" xfId="16601"/>
    <cellStyle name="Normal 17 4 2 4" xfId="16602"/>
    <cellStyle name="Normal 17 4 3" xfId="16603"/>
    <cellStyle name="Normal 17 4 4" xfId="16604"/>
    <cellStyle name="Normal 17 4 5" xfId="16605"/>
    <cellStyle name="Normal 17 4 6" xfId="16606"/>
    <cellStyle name="Normal 17 4 7" xfId="16607"/>
    <cellStyle name="Normal 17 4 8" xfId="16608"/>
    <cellStyle name="Normal 17 4 9" xfId="16609"/>
    <cellStyle name="Normal 17 4_Sheet2" xfId="16610"/>
    <cellStyle name="Normal 17 5" xfId="16611"/>
    <cellStyle name="Normal 17 6" xfId="16612"/>
    <cellStyle name="Normal 17 6 2" xfId="16613"/>
    <cellStyle name="Normal 17 6 2 2" xfId="16614"/>
    <cellStyle name="Normal 17 6 2 3" xfId="16615"/>
    <cellStyle name="Normal 17 6 3" xfId="16616"/>
    <cellStyle name="Normal 17 6 4" xfId="16617"/>
    <cellStyle name="Normal 17 7" xfId="16618"/>
    <cellStyle name="Normal 17 7 2" xfId="16619"/>
    <cellStyle name="Normal 17 7 2 2" xfId="16620"/>
    <cellStyle name="Normal 17 7 2 3" xfId="16621"/>
    <cellStyle name="Normal 17 7 3" xfId="16622"/>
    <cellStyle name="Normal 17 7 4" xfId="16623"/>
    <cellStyle name="Normal 17 8" xfId="16624"/>
    <cellStyle name="Normal 17 8 2" xfId="16625"/>
    <cellStyle name="Normal 17 8 2 2" xfId="16626"/>
    <cellStyle name="Normal 17 8 2 3" xfId="16627"/>
    <cellStyle name="Normal 17 8 3" xfId="16628"/>
    <cellStyle name="Normal 17 8 4" xfId="16629"/>
    <cellStyle name="Normal 17 9" xfId="16630"/>
    <cellStyle name="Normal 17 9 2" xfId="16631"/>
    <cellStyle name="Normal 17 9 2 2" xfId="16632"/>
    <cellStyle name="Normal 17 9 2 3" xfId="16633"/>
    <cellStyle name="Normal 17 9 3" xfId="16634"/>
    <cellStyle name="Normal 17 9 4" xfId="16635"/>
    <cellStyle name="Normal 17_Abst for J.P.nagar" xfId="16652"/>
    <cellStyle name="Normal 170" xfId="16636"/>
    <cellStyle name="Normal 171" xfId="16637"/>
    <cellStyle name="Normal 172" xfId="16638"/>
    <cellStyle name="Normal 172 2" xfId="16639"/>
    <cellStyle name="Normal 172 2 2" xfId="16640"/>
    <cellStyle name="Normal 172 2 3" xfId="16641"/>
    <cellStyle name="Normal 172 3" xfId="16642"/>
    <cellStyle name="Normal 172 4" xfId="16643"/>
    <cellStyle name="Normal 173" xfId="16644"/>
    <cellStyle name="Normal 174" xfId="16645"/>
    <cellStyle name="Normal 175" xfId="16646"/>
    <cellStyle name="Normal 176" xfId="16647"/>
    <cellStyle name="Normal 176 2" xfId="16648"/>
    <cellStyle name="Normal 177" xfId="16649"/>
    <cellStyle name="Normal 178" xfId="16650"/>
    <cellStyle name="Normal 179" xfId="16651"/>
    <cellStyle name="Normal 18" xfId="16653"/>
    <cellStyle name="Normal 18 2" xfId="16654"/>
    <cellStyle name="Normal 18 2 2" xfId="16655"/>
    <cellStyle name="Normal 18 2 2 2" xfId="16656"/>
    <cellStyle name="Normal 18 3" xfId="16657"/>
    <cellStyle name="Normal 18 3 2" xfId="16658"/>
    <cellStyle name="Normal 18 3 3" xfId="16659"/>
    <cellStyle name="Normal 18 3 4" xfId="16660"/>
    <cellStyle name="Normal 18 3 5" xfId="16661"/>
    <cellStyle name="Normal 18 3 6" xfId="16662"/>
    <cellStyle name="Normal 18 3 7" xfId="16663"/>
    <cellStyle name="Normal 18 3 8" xfId="16664"/>
    <cellStyle name="Normal 18 3 9" xfId="16665"/>
    <cellStyle name="Normal 18 4" xfId="16666"/>
    <cellStyle name="Normal 18 5" xfId="16667"/>
    <cellStyle name="Normal 18_CHC Asifabad Estimate" xfId="16680"/>
    <cellStyle name="Normal 180" xfId="16668"/>
    <cellStyle name="Normal 181" xfId="16669"/>
    <cellStyle name="Normal 182" xfId="16670"/>
    <cellStyle name="Normal 183" xfId="16671"/>
    <cellStyle name="Normal 184" xfId="16672"/>
    <cellStyle name="Normal 185" xfId="16673"/>
    <cellStyle name="Normal 186" xfId="16674"/>
    <cellStyle name="Normal 186 2" xfId="16675"/>
    <cellStyle name="Normal 187" xfId="16676"/>
    <cellStyle name="Normal 187 2" xfId="16677"/>
    <cellStyle name="Normal 188" xfId="16678"/>
    <cellStyle name="Normal 189" xfId="16679"/>
    <cellStyle name="Normal 19" xfId="16681"/>
    <cellStyle name="Normal 19 2" xfId="16682"/>
    <cellStyle name="Normal 19 2 2" xfId="16683"/>
    <cellStyle name="Normal 19 2 2 2" xfId="16684"/>
    <cellStyle name="Normal 19 2 2 2 2" xfId="16685"/>
    <cellStyle name="Normal 19 2 2 2 2 2" xfId="16686"/>
    <cellStyle name="Normal 19 2 2 2 2 2 2" xfId="16687"/>
    <cellStyle name="Normal 19 2 2 2 2 2 2 2" xfId="16688"/>
    <cellStyle name="Normal 19 2 2 2 2 2 2 2 2" xfId="16689"/>
    <cellStyle name="Normal 19 2 2 2 2 2 2 2 2 2" xfId="16690"/>
    <cellStyle name="Normal 19 2 2 2 2 2 2 2 2 2 2" xfId="16691"/>
    <cellStyle name="Normal 19 2 2 2 2 2 2 2 2 2 3" xfId="16692"/>
    <cellStyle name="Normal 19 2 2 2 2 2 2 2 2 3" xfId="16693"/>
    <cellStyle name="Normal 19 2 2 2 2 2 2 2 2 4" xfId="16694"/>
    <cellStyle name="Normal 19 2 2 2 2 2 2 2 3" xfId="16695"/>
    <cellStyle name="Normal 19 2 2 2 2 2 2 2 3 2" xfId="16696"/>
    <cellStyle name="Normal 19 2 2 2 2 2 2 2 3 3" xfId="16697"/>
    <cellStyle name="Normal 19 2 2 2 2 2 2 2 4" xfId="16698"/>
    <cellStyle name="Normal 19 2 2 2 2 2 2 2 5" xfId="16699"/>
    <cellStyle name="Normal 19 2 2 2 2 2 2 3" xfId="16700"/>
    <cellStyle name="Normal 19 2 2 2 2 2 2 3 2" xfId="16701"/>
    <cellStyle name="Normal 19 2 2 2 2 2 2 3 3" xfId="16702"/>
    <cellStyle name="Normal 19 2 2 2 2 2 2 4" xfId="16703"/>
    <cellStyle name="Normal 19 2 2 2 2 2 2 5" xfId="16704"/>
    <cellStyle name="Normal 19 2 2 2 2 2 3" xfId="16705"/>
    <cellStyle name="Normal 19 2 2 2 2 2 3 2" xfId="16706"/>
    <cellStyle name="Normal 19 2 2 2 2 2 3 3" xfId="16707"/>
    <cellStyle name="Normal 19 2 2 2 2 2 4" xfId="16708"/>
    <cellStyle name="Normal 19 2 2 2 2 2 5" xfId="16709"/>
    <cellStyle name="Normal 19 2 2 2 2 3" xfId="16710"/>
    <cellStyle name="Normal 19 2 2 2 2 3 2" xfId="16711"/>
    <cellStyle name="Normal 19 2 2 2 2 3 2 2" xfId="16712"/>
    <cellStyle name="Normal 19 2 2 2 2 3 2 2 2" xfId="16713"/>
    <cellStyle name="Normal 19 2 2 2 2 3 2 2 2 2" xfId="16714"/>
    <cellStyle name="Normal 19 2 2 2 2 3 2 2 2 2 2" xfId="16715"/>
    <cellStyle name="Normal 19 2 2 2 2 3 2 2 2 2 3" xfId="16716"/>
    <cellStyle name="Normal 19 2 2 2 2 3 2 2 2 3" xfId="16717"/>
    <cellStyle name="Normal 19 2 2 2 2 3 2 2 2 4" xfId="16718"/>
    <cellStyle name="Normal 19 2 2 2 2 3 2 2 3" xfId="16719"/>
    <cellStyle name="Normal 19 2 2 2 2 3 2 2 3 2" xfId="16720"/>
    <cellStyle name="Normal 19 2 2 2 2 3 2 2 3 3" xfId="16721"/>
    <cellStyle name="Normal 19 2 2 2 2 3 2 2 4" xfId="16722"/>
    <cellStyle name="Normal 19 2 2 2 2 3 2 2 5" xfId="16723"/>
    <cellStyle name="Normal 19 2 2 2 2 3 2 3" xfId="16724"/>
    <cellStyle name="Normal 19 2 2 2 2 3 2 3 2" xfId="16725"/>
    <cellStyle name="Normal 19 2 2 2 2 3 2 3 3" xfId="16726"/>
    <cellStyle name="Normal 19 2 2 2 2 3 2 4" xfId="16727"/>
    <cellStyle name="Normal 19 2 2 2 2 3 2 5" xfId="16728"/>
    <cellStyle name="Normal 19 2 2 2 2 3 3" xfId="16729"/>
    <cellStyle name="Normal 19 2 2 2 2 3 3 2" xfId="16730"/>
    <cellStyle name="Normal 19 2 2 2 2 3 3 2 2" xfId="16731"/>
    <cellStyle name="Normal 19 2 2 2 2 3 3 2 3" xfId="16732"/>
    <cellStyle name="Normal 19 2 2 2 2 3 3 3" xfId="16733"/>
    <cellStyle name="Normal 19 2 2 2 2 3 3 4" xfId="16734"/>
    <cellStyle name="Normal 19 2 2 2 2 3 4" xfId="16735"/>
    <cellStyle name="Normal 19 2 2 2 2 3 4 2" xfId="16736"/>
    <cellStyle name="Normal 19 2 2 2 2 3 4 2 2" xfId="16737"/>
    <cellStyle name="Normal 19 2 2 2 2 3 4 2 3" xfId="16738"/>
    <cellStyle name="Normal 19 2 2 2 2 3 4 3" xfId="16739"/>
    <cellStyle name="Normal 19 2 2 2 2 3 4 4" xfId="16740"/>
    <cellStyle name="Normal 19 2 2 2 2 3 5" xfId="16741"/>
    <cellStyle name="Normal 19 2 2 2 2 3 5 2" xfId="16742"/>
    <cellStyle name="Normal 19 2 2 2 2 3 5 3" xfId="16743"/>
    <cellStyle name="Normal 19 2 2 2 2 3 6" xfId="16744"/>
    <cellStyle name="Normal 19 2 2 2 2 3 7" xfId="16745"/>
    <cellStyle name="Normal 19 2 2 2 2 4" xfId="16746"/>
    <cellStyle name="Normal 19 2 2 2 2 4 2" xfId="16747"/>
    <cellStyle name="Normal 19 2 2 2 2 4 3" xfId="16748"/>
    <cellStyle name="Normal 19 2 2 2 2 5" xfId="16749"/>
    <cellStyle name="Normal 19 2 2 2 2 6" xfId="16750"/>
    <cellStyle name="Normal 19 2 2 2 3" xfId="16751"/>
    <cellStyle name="Normal 19 2 2 2 3 2" xfId="16752"/>
    <cellStyle name="Normal 19 2 2 2 3 2 2" xfId="16753"/>
    <cellStyle name="Normal 19 2 2 2 3 2 3" xfId="16754"/>
    <cellStyle name="Normal 19 2 2 2 3 3" xfId="16755"/>
    <cellStyle name="Normal 19 2 2 2 3 4" xfId="16756"/>
    <cellStyle name="Normal 19 2 2 2 4" xfId="16757"/>
    <cellStyle name="Normal 19 2 2 2 4 2" xfId="16758"/>
    <cellStyle name="Normal 19 2 2 2 4 2 2" xfId="16759"/>
    <cellStyle name="Normal 19 2 2 2 4 2 2 2" xfId="16760"/>
    <cellStyle name="Normal 19 2 2 2 4 2 2 2 2" xfId="16761"/>
    <cellStyle name="Normal 19 2 2 2 4 2 2 2 2 2" xfId="16762"/>
    <cellStyle name="Normal 19 2 2 2 4 2 2 2 2 2 2" xfId="16763"/>
    <cellStyle name="Normal 19 2 2 2 4 2 2 2 2 2 2 2" xfId="16764"/>
    <cellStyle name="Normal 19 2 2 2 4 2 2 2 2 2 2 3" xfId="16765"/>
    <cellStyle name="Normal 19 2 2 2 4 2 2 2 2 2 3" xfId="16766"/>
    <cellStyle name="Normal 19 2 2 2 4 2 2 2 2 2 4" xfId="16767"/>
    <cellStyle name="Normal 19 2 2 2 4 2 2 2 2 3" xfId="16768"/>
    <cellStyle name="Normal 19 2 2 2 4 2 2 2 2 3 2" xfId="16769"/>
    <cellStyle name="Normal 19 2 2 2 4 2 2 2 2 3 2 2" xfId="16770"/>
    <cellStyle name="Normal 19 2 2 2 4 2 2 2 2 3 2 2 2" xfId="16771"/>
    <cellStyle name="Normal 19 2 2 2 4 2 2 2 2 3 2 2 2 2" xfId="16772"/>
    <cellStyle name="Normal 19 2 2 2 4 2 2 2 2 3 2 2 2 2 2" xfId="16773"/>
    <cellStyle name="Normal 19 2 2 2 4 2 2 2 2 3 2 2 2 2 2 2" xfId="16774"/>
    <cellStyle name="Normal 19 2 2 2 4 2 2 2 2 3 2 2 2 2 2 2 2" xfId="16775"/>
    <cellStyle name="Normal 19 2 2 2 4 2 2 2 2 3 2 2 2 2 2 2 2 2" xfId="16776"/>
    <cellStyle name="Normal 19 2 2 2 4 2 2 2 2 3 2 2 2 2 2 2 2 2 2" xfId="16777"/>
    <cellStyle name="Normal 19 2 2 2 4 2 2 2 2 3 2 2 2 2 2 2 2 2 2 2" xfId="16778"/>
    <cellStyle name="Normal 19 2 2 2 4 2 2 2 2 3 2 2 2 2 2 2 2 2 2 2 2" xfId="16779"/>
    <cellStyle name="Normal 19 2 2 2 4 2 2 2 2 3 2 2 2 2 2 2 2 2 2 2 3" xfId="16780"/>
    <cellStyle name="Normal 19 2 2 2 4 2 2 2 2 3 2 2 2 2 2 2 2 2 2 3" xfId="16781"/>
    <cellStyle name="Normal 19 2 2 2 4 2 2 2 2 3 2 2 2 2 2 2 2 2 2 3 2" xfId="16782"/>
    <cellStyle name="Normal 19 2 2 2 4 2 2 2 2 3 2 2 2 2 2 2 2 2 2 3 2 2" xfId="16783"/>
    <cellStyle name="Normal 19 2 2 2 4 2 2 2 2 3 2 2 2 2 2 2 2 2 2 3 2 3" xfId="16784"/>
    <cellStyle name="Normal 19 2 2 2 4 2 2 2 2 3 2 2 2 2 2 2 2 2 2 3 3" xfId="16785"/>
    <cellStyle name="Normal 19 2 2 2 4 2 2 2 2 3 2 2 2 2 2 2 2 2 2 3 4" xfId="16786"/>
    <cellStyle name="Normal 19 2 2 2 4 2 2 2 2 3 2 2 2 2 2 2 2 2 2 4" xfId="16787"/>
    <cellStyle name="Normal 19 2 2 2 4 2 2 2 2 3 2 2 2 2 2 2 2 2 2 4 2" xfId="16788"/>
    <cellStyle name="Normal 19 2 2 2 4 2 2 2 2 3 2 2 2 2 2 2 2 2 2 4 2 2" xfId="16789"/>
    <cellStyle name="Normal 19 2 2 2 4 2 2 2 2 3 2 2 2 2 2 2 2 2 2 4 2 2 2" xfId="16790"/>
    <cellStyle name="Normal 19 2 2 2 4 2 2 2 2 3 2 2 2 2 2 2 2 2 2 4 2 2 3" xfId="16791"/>
    <cellStyle name="Normal 19 2 2 2 4 2 2 2 2 3 2 2 2 2 2 2 2 2 2 4 2 3" xfId="16792"/>
    <cellStyle name="Normal 19 2 2 2 4 2 2 2 2 3 2 2 2 2 2 2 2 2 2 4 2 4" xfId="16793"/>
    <cellStyle name="Normal 19 2 2 2 4 2 2 2 2 3 2 2 2 2 2 2 2 2 2 4 3" xfId="16794"/>
    <cellStyle name="Normal 19 2 2 2 4 2 2 2 2 3 2 2 2 2 2 2 2 2 2 4 3 2" xfId="16795"/>
    <cellStyle name="Normal 19 2 2 2 4 2 2 2 2 3 2 2 2 2 2 2 2 2 2 4 3 3" xfId="16796"/>
    <cellStyle name="Normal 19 2 2 2 4 2 2 2 2 3 2 2 2 2 2 2 2 2 2 4 4" xfId="16797"/>
    <cellStyle name="Normal 19 2 2 2 4 2 2 2 2 3 2 2 2 2 2 2 2 2 2 4 5" xfId="16798"/>
    <cellStyle name="Normal 19 2 2 2 4 2 2 2 2 3 2 2 2 2 2 2 2 2 2 5" xfId="16799"/>
    <cellStyle name="Normal 19 2 2 2 4 2 2 2 2 3 2 2 2 2 2 2 2 2 2 6" xfId="16800"/>
    <cellStyle name="Normal 19 2 2 2 4 2 2 2 2 3 2 2 2 2 2 2 2 2 3" xfId="16801"/>
    <cellStyle name="Normal 19 2 2 2 4 2 2 2 2 3 2 2 2 2 2 2 2 2 3 2" xfId="16802"/>
    <cellStyle name="Normal 19 2 2 2 4 2 2 2 2 3 2 2 2 2 2 2 2 2 3 3" xfId="16803"/>
    <cellStyle name="Normal 19 2 2 2 4 2 2 2 2 3 2 2 2 2 2 2 2 2 4" xfId="16804"/>
    <cellStyle name="Normal 19 2 2 2 4 2 2 2 2 3 2 2 2 2 2 2 2 2 5" xfId="16805"/>
    <cellStyle name="Normal 19 2 2 2 4 2 2 2 2 3 2 2 2 2 2 2 2 3" xfId="16806"/>
    <cellStyle name="Normal 19 2 2 2 4 2 2 2 2 3 2 2 2 2 2 2 2 3 2" xfId="16807"/>
    <cellStyle name="Normal 19 2 2 2 4 2 2 2 2 3 2 2 2 2 2 2 2 3 2 2" xfId="16808"/>
    <cellStyle name="Normal 19 2 2 2 4 2 2 2 2 3 2 2 2 2 2 2 2 3 2 3" xfId="16809"/>
    <cellStyle name="Normal 19 2 2 2 4 2 2 2 2 3 2 2 2 2 2 2 2 3 3" xfId="16810"/>
    <cellStyle name="Normal 19 2 2 2 4 2 2 2 2 3 2 2 2 2 2 2 2 3 4" xfId="16811"/>
    <cellStyle name="Normal 19 2 2 2 4 2 2 2 2 3 2 2 2 2 2 2 2 4" xfId="16812"/>
    <cellStyle name="Normal 19 2 2 2 4 2 2 2 2 3 2 2 2 2 2 2 2 4 2" xfId="16813"/>
    <cellStyle name="Normal 19 2 2 2 4 2 2 2 2 3 2 2 2 2 2 2 2 4 3" xfId="16814"/>
    <cellStyle name="Normal 19 2 2 2 4 2 2 2 2 3 2 2 2 2 2 2 2 5" xfId="16815"/>
    <cellStyle name="Normal 19 2 2 2 4 2 2 2 2 3 2 2 2 2 2 2 2 6" xfId="16816"/>
    <cellStyle name="Normal 19 2 2 2 4 2 2 2 2 3 2 2 2 2 2 2 3" xfId="16817"/>
    <cellStyle name="Normal 19 2 2 2 4 2 2 2 2 3 2 2 2 2 2 2 3 2" xfId="16818"/>
    <cellStyle name="Normal 19 2 2 2 4 2 2 2 2 3 2 2 2 2 2 2 3 3" xfId="16819"/>
    <cellStyle name="Normal 19 2 2 2 4 2 2 2 2 3 2 2 2 2 2 2 4" xfId="16820"/>
    <cellStyle name="Normal 19 2 2 2 4 2 2 2 2 3 2 2 2 2 2 2 5" xfId="16821"/>
    <cellStyle name="Normal 19 2 2 2 4 2 2 2 2 3 2 2 2 2 2 3" xfId="16822"/>
    <cellStyle name="Normal 19 2 2 2 4 2 2 2 2 3 2 2 2 2 2 3 2" xfId="16823"/>
    <cellStyle name="Normal 19 2 2 2 4 2 2 2 2 3 2 2 2 2 2 3 3" xfId="16824"/>
    <cellStyle name="Normal 19 2 2 2 4 2 2 2 2 3 2 2 2 2 2 4" xfId="16825"/>
    <cellStyle name="Normal 19 2 2 2 4 2 2 2 2 3 2 2 2 2 2 5" xfId="16826"/>
    <cellStyle name="Normal 19 2 2 2 4 2 2 2 2 3 2 2 2 2 3" xfId="16827"/>
    <cellStyle name="Normal 19 2 2 2 4 2 2 2 2 3 2 2 2 2 3 2" xfId="16828"/>
    <cellStyle name="Normal 19 2 2 2 4 2 2 2 2 3 2 2 2 2 3 3" xfId="16829"/>
    <cellStyle name="Normal 19 2 2 2 4 2 2 2 2 3 2 2 2 2 4" xfId="16830"/>
    <cellStyle name="Normal 19 2 2 2 4 2 2 2 2 3 2 2 2 2 5" xfId="16831"/>
    <cellStyle name="Normal 19 2 2 2 4 2 2 2 2 3 2 2 2 3" xfId="16832"/>
    <cellStyle name="Normal 19 2 2 2 4 2 2 2 2 3 2 2 2 3 2" xfId="16833"/>
    <cellStyle name="Normal 19 2 2 2 4 2 2 2 2 3 2 2 2 3 3" xfId="16834"/>
    <cellStyle name="Normal 19 2 2 2 4 2 2 2 2 3 2 2 2 4" xfId="16835"/>
    <cellStyle name="Normal 19 2 2 2 4 2 2 2 2 3 2 2 2 5" xfId="16836"/>
    <cellStyle name="Normal 19 2 2 2 4 2 2 2 2 3 2 2 2 5 2" xfId="16837"/>
    <cellStyle name="Normal 19 2 2 2 4 2 2 2 2 3 2 2 2 5 2 2" xfId="16838"/>
    <cellStyle name="Normal 19 2 2 2 4 2 2 2 2 3 2 2 2 5 2 3" xfId="16839"/>
    <cellStyle name="Normal 19 2 2 2 4 2 2 2 2 3 2 2 2 5 3" xfId="16840"/>
    <cellStyle name="Normal 19 2 2 2 4 2 2 2 2 3 2 2 2 5 4" xfId="16841"/>
    <cellStyle name="Normal 19 2 2 2 4 2 2 2 2 3 2 2 2 6" xfId="16842"/>
    <cellStyle name="Normal 19 2 2 2 4 2 2 2 2 3 2 2 3" xfId="16843"/>
    <cellStyle name="Normal 19 2 2 2 4 2 2 2 2 3 2 2 3 2" xfId="16844"/>
    <cellStyle name="Normal 19 2 2 2 4 2 2 2 2 3 2 2 3 2 2" xfId="16845"/>
    <cellStyle name="Normal 19 2 2 2 4 2 2 2 2 3 2 2 3 2 3" xfId="16846"/>
    <cellStyle name="Normal 19 2 2 2 4 2 2 2 2 3 2 2 3 3" xfId="16847"/>
    <cellStyle name="Normal 19 2 2 2 4 2 2 2 2 3 2 2 3 3 2" xfId="16848"/>
    <cellStyle name="Normal 19 2 2 2 4 2 2 2 2 3 2 2 3 3 2 2" xfId="16849"/>
    <cellStyle name="Normal 19 2 2 2 4 2 2 2 2 3 2 2 3 3 2 3" xfId="16850"/>
    <cellStyle name="Normal 19 2 2 2 4 2 2 2 2 3 2 2 3 3 3" xfId="16851"/>
    <cellStyle name="Normal 19 2 2 2 4 2 2 2 2 3 2 2 3 3 3 2" xfId="16852"/>
    <cellStyle name="Normal 19 2 2 2 4 2 2 2 2 3 2 2 3 3 3 2 2" xfId="16853"/>
    <cellStyle name="Normal 19 2 2 2 4 2 2 2 2 3 2 2 3 3 3 2 3" xfId="16854"/>
    <cellStyle name="Normal 19 2 2 2 4 2 2 2 2 3 2 2 3 3 3 3" xfId="16855"/>
    <cellStyle name="Normal 19 2 2 2 4 2 2 2 2 3 2 2 3 3 3 4" xfId="16856"/>
    <cellStyle name="Normal 19 2 2 2 4 2 2 2 2 3 2 2 3 3 4" xfId="16857"/>
    <cellStyle name="Normal 19 2 2 2 4 2 2 2 2 3 2 2 3 3 5" xfId="16858"/>
    <cellStyle name="Normal 19 2 2 2 4 2 2 2 2 3 2 2 3 4" xfId="16859"/>
    <cellStyle name="Normal 19 2 2 2 4 2 2 2 2 3 2 2 3 4 2" xfId="16860"/>
    <cellStyle name="Normal 19 2 2 2 4 2 2 2 2 3 2 2 3 4 2 2" xfId="16861"/>
    <cellStyle name="Normal 19 2 2 2 4 2 2 2 2 3 2 2 3 4 2 3" xfId="16862"/>
    <cellStyle name="Normal 19 2 2 2 4 2 2 2 2 3 2 2 3 4 3" xfId="16863"/>
    <cellStyle name="Normal 19 2 2 2 4 2 2 2 2 3 2 2 3 4 3 2" xfId="16864"/>
    <cellStyle name="Normal 19 2 2 2 4 2 2 2 2 3 2 2 3 4 3 2 2" xfId="16865"/>
    <cellStyle name="Normal 19 2 2 2 4 2 2 2 2 3 2 2 3 4 3 2 3" xfId="16866"/>
    <cellStyle name="Normal 19 2 2 2 4 2 2 2 2 3 2 2 3 4 3 3" xfId="16867"/>
    <cellStyle name="Normal 19 2 2 2 4 2 2 2 2 3 2 2 3 4 3 4" xfId="16868"/>
    <cellStyle name="Normal 19 2 2 2 4 2 2 2 2 3 2 2 3 4 4" xfId="16869"/>
    <cellStyle name="Normal 19 2 2 2 4 2 2 2 2 3 2 2 3 4 5" xfId="16870"/>
    <cellStyle name="Normal 19 2 2 2 4 2 2 2 2 3 2 2 3 5" xfId="16871"/>
    <cellStyle name="Normal 19 2 2 2 4 2 2 2 2 3 2 2 3 5 2" xfId="16872"/>
    <cellStyle name="Normal 19 2 2 2 4 2 2 2 2 3 2 2 3 5 2 2" xfId="16873"/>
    <cellStyle name="Normal 19 2 2 2 4 2 2 2 2 3 2 2 3 5 2 2 2" xfId="16874"/>
    <cellStyle name="Normal 19 2 2 2 4 2 2 2 2 3 2 2 3 5 2 2 3" xfId="16875"/>
    <cellStyle name="Normal 19 2 2 2 4 2 2 2 2 3 2 2 3 5 2 3" xfId="16876"/>
    <cellStyle name="Normal 19 2 2 2 4 2 2 2 2 3 2 2 3 5 2 4" xfId="16877"/>
    <cellStyle name="Normal 19 2 2 2 4 2 2 2 2 3 2 2 3 5 3" xfId="16878"/>
    <cellStyle name="Normal 19 2 2 2 4 2 2 2 2 3 2 2 3 5 3 2" xfId="16879"/>
    <cellStyle name="Normal 19 2 2 2 4 2 2 2 2 3 2 2 3 5 3 2 2" xfId="16880"/>
    <cellStyle name="Normal 19 2 2 2 4 2 2 2 2 3 2 2 3 5 3 2 2 2" xfId="16881"/>
    <cellStyle name="Normal 19 2 2 2 4 2 2 2 2 3 2 2 3 5 3 2 2 3" xfId="16882"/>
    <cellStyle name="Normal 19 2 2 2 4 2 2 2 2 3 2 2 3 5 3 2 3" xfId="16883"/>
    <cellStyle name="Normal 19 2 2 2 4 2 2 2 2 3 2 2 3 5 3 2 4" xfId="16884"/>
    <cellStyle name="Normal 19 2 2 2 4 2 2 2 2 3 2 2 3 5 3 3" xfId="16885"/>
    <cellStyle name="Normal 19 2 2 2 4 2 2 2 2 3 2 2 3 5 3 3 2" xfId="16886"/>
    <cellStyle name="Normal 19 2 2 2 4 2 2 2 2 3 2 2 3 5 3 3 3" xfId="16887"/>
    <cellStyle name="Normal 19 2 2 2 4 2 2 2 2 3 2 2 3 5 3 4" xfId="16888"/>
    <cellStyle name="Normal 19 2 2 2 4 2 2 2 2 3 2 2 3 5 3 5" xfId="16889"/>
    <cellStyle name="Normal 19 2 2 2 4 2 2 2 2 3 2 2 3 5 4" xfId="16890"/>
    <cellStyle name="Normal 19 2 2 2 4 2 2 2 2 3 2 2 3 5 4 2" xfId="16891"/>
    <cellStyle name="Normal 19 2 2 2 4 2 2 2 2 3 2 2 3 5 4 3" xfId="16892"/>
    <cellStyle name="Normal 19 2 2 2 4 2 2 2 2 3 2 2 3 5 5" xfId="16893"/>
    <cellStyle name="Normal 19 2 2 2 4 2 2 2 2 3 2 2 3 5 6" xfId="16894"/>
    <cellStyle name="Normal 19 2 2 2 4 2 2 2 2 3 2 2 3 6" xfId="16895"/>
    <cellStyle name="Normal 19 2 2 2 4 2 2 2 2 3 2 2 3 7" xfId="16896"/>
    <cellStyle name="Normal 19 2 2 2 4 2 2 2 2 3 2 2 4" xfId="16897"/>
    <cellStyle name="Normal 19 2 2 2 4 2 2 2 2 3 2 2 4 2" xfId="16898"/>
    <cellStyle name="Normal 19 2 2 2 4 2 2 2 2 3 2 2 4 3" xfId="16899"/>
    <cellStyle name="Normal 19 2 2 2 4 2 2 2 2 3 2 2 5" xfId="16900"/>
    <cellStyle name="Normal 19 2 2 2 4 2 2 2 2 3 2 2 6" xfId="16901"/>
    <cellStyle name="Normal 19 2 2 2 4 2 2 2 2 3 2 3" xfId="16902"/>
    <cellStyle name="Normal 19 2 2 2 4 2 2 2 2 3 2 3 2" xfId="16903"/>
    <cellStyle name="Normal 19 2 2 2 4 2 2 2 2 3 2 3 2 2" xfId="16904"/>
    <cellStyle name="Normal 19 2 2 2 4 2 2 2 2 3 2 3 2 2 2" xfId="16905"/>
    <cellStyle name="Normal 19 2 2 2 4 2 2 2 2 3 2 3 2 2 2 2" xfId="16906"/>
    <cellStyle name="Normal 19 2 2 2 4 2 2 2 2 3 2 3 2 2 2 3" xfId="16907"/>
    <cellStyle name="Normal 19 2 2 2 4 2 2 2 2 3 2 3 2 2 3" xfId="16908"/>
    <cellStyle name="Normal 19 2 2 2 4 2 2 2 2 3 2 3 2 2 4" xfId="16909"/>
    <cellStyle name="Normal 19 2 2 2 4 2 2 2 2 3 2 3 2 3" xfId="16910"/>
    <cellStyle name="Normal 19 2 2 2 4 2 2 2 2 3 2 3 2 3 2" xfId="16911"/>
    <cellStyle name="Normal 19 2 2 2 4 2 2 2 2 3 2 3 2 3 3" xfId="16912"/>
    <cellStyle name="Normal 19 2 2 2 4 2 2 2 2 3 2 3 2 4" xfId="16913"/>
    <cellStyle name="Normal 19 2 2 2 4 2 2 2 2 3 2 3 2 5" xfId="16914"/>
    <cellStyle name="Normal 19 2 2 2 4 2 2 2 2 3 2 3 3" xfId="16915"/>
    <cellStyle name="Normal 19 2 2 2 4 2 2 2 2 3 2 3 3 2" xfId="16916"/>
    <cellStyle name="Normal 19 2 2 2 4 2 2 2 2 3 2 3 3 2 2" xfId="16917"/>
    <cellStyle name="Normal 19 2 2 2 4 2 2 2 2 3 2 3 3 2 3" xfId="16918"/>
    <cellStyle name="Normal 19 2 2 2 4 2 2 2 2 3 2 3 3 3" xfId="16919"/>
    <cellStyle name="Normal 19 2 2 2 4 2 2 2 2 3 2 3 3 4" xfId="16920"/>
    <cellStyle name="Normal 19 2 2 2 4 2 2 2 2 3 2 3 4" xfId="16921"/>
    <cellStyle name="Normal 19 2 2 2 4 2 2 2 2 3 2 3 4 2" xfId="16922"/>
    <cellStyle name="Normal 19 2 2 2 4 2 2 2 2 3 2 3 4 3" xfId="16923"/>
    <cellStyle name="Normal 19 2 2 2 4 2 2 2 2 3 2 3 5" xfId="16924"/>
    <cellStyle name="Normal 19 2 2 2 4 2 2 2 2 3 2 3 6" xfId="16925"/>
    <cellStyle name="Normal 19 2 2 2 4 2 2 2 2 3 2 4" xfId="16926"/>
    <cellStyle name="Normal 19 2 2 2 4 2 2 2 2 3 2 4 2" xfId="16927"/>
    <cellStyle name="Normal 19 2 2 2 4 2 2 2 2 3 2 4 2 2" xfId="16928"/>
    <cellStyle name="Normal 19 2 2 2 4 2 2 2 2 3 2 4 2 2 2" xfId="16929"/>
    <cellStyle name="Normal 19 2 2 2 4 2 2 2 2 3 2 4 2 2 2 2" xfId="16930"/>
    <cellStyle name="Normal 19 2 2 2 4 2 2 2 2 3 2 4 2 2 2 3" xfId="16931"/>
    <cellStyle name="Normal 19 2 2 2 4 2 2 2 2 3 2 4 2 2 3" xfId="16932"/>
    <cellStyle name="Normal 19 2 2 2 4 2 2 2 2 3 2 4 2 2 4" xfId="16933"/>
    <cellStyle name="Normal 19 2 2 2 4 2 2 2 2 3 2 4 2 3" xfId="16934"/>
    <cellStyle name="Normal 19 2 2 2 4 2 2 2 2 3 2 4 2 3 2" xfId="16935"/>
    <cellStyle name="Normal 19 2 2 2 4 2 2 2 2 3 2 4 2 3 2 2" xfId="16936"/>
    <cellStyle name="Normal 19 2 2 2 4 2 2 2 2 3 2 4 2 3 2 3" xfId="16937"/>
    <cellStyle name="Normal 19 2 2 2 4 2 2 2 2 3 2 4 2 3 3" xfId="16938"/>
    <cellStyle name="Normal 19 2 2 2 4 2 2 2 2 3 2 4 2 3 4" xfId="16939"/>
    <cellStyle name="Normal 19 2 2 2 4 2 2 2 2 3 2 4 2 4" xfId="16940"/>
    <cellStyle name="Normal 19 2 2 2 4 2 2 2 2 3 2 4 2 4 2" xfId="16941"/>
    <cellStyle name="Normal 19 2 2 2 4 2 2 2 2 3 2 4 2 4 2 2" xfId="16942"/>
    <cellStyle name="Normal 19 2 2 2 4 2 2 2 2 3 2 4 2 4 2 2 2" xfId="16943"/>
    <cellStyle name="Normal 19 2 2 2 4 2 2 2 2 3 2 4 2 4 2 2 3" xfId="16944"/>
    <cellStyle name="Normal 19 2 2 2 4 2 2 2 2 3 2 4 2 4 2 3" xfId="16945"/>
    <cellStyle name="Normal 19 2 2 2 4 2 2 2 2 3 2 4 2 4 2 4" xfId="16946"/>
    <cellStyle name="Normal 19 2 2 2 4 2 2 2 2 3 2 4 2 4 3" xfId="16947"/>
    <cellStyle name="Normal 19 2 2 2 4 2 2 2 2 3 2 4 2 4 3 2" xfId="16948"/>
    <cellStyle name="Normal 19 2 2 2 4 2 2 2 2 3 2 4 2 4 3 2 2" xfId="16949"/>
    <cellStyle name="Normal 19 2 2 2 4 2 2 2 2 3 2 4 2 4 3 2 3" xfId="16950"/>
    <cellStyle name="Normal 19 2 2 2 4 2 2 2 2 3 2 4 2 4 3 3" xfId="16951"/>
    <cellStyle name="Normal 19 2 2 2 4 2 2 2 2 3 2 4 2 4 3 3 2" xfId="16952"/>
    <cellStyle name="Normal 19 2 2 2 4 2 2 2 2 3 2 4 2 4 3 3 2 2" xfId="16953"/>
    <cellStyle name="Normal 19 2 2 2 4 2 2 2 2 3 2 4 2 4 3 3 2 3" xfId="16954"/>
    <cellStyle name="Normal 19 2 2 2 4 2 2 2 2 3 2 4 2 4 3 3 3" xfId="16955"/>
    <cellStyle name="Normal 19 2 2 2 4 2 2 2 2 3 2 4 2 4 3 3 4" xfId="16956"/>
    <cellStyle name="Normal 19 2 2 2 4 2 2 2 2 3 2 4 2 4 3 4" xfId="16957"/>
    <cellStyle name="Normal 19 2 2 2 4 2 2 2 2 3 2 4 2 4 3 5" xfId="16958"/>
    <cellStyle name="Normal 19 2 2 2 4 2 2 2 2 3 2 4 2 4 4" xfId="16959"/>
    <cellStyle name="Normal 19 2 2 2 4 2 2 2 2 3 2 4 2 4 4 2" xfId="16960"/>
    <cellStyle name="Normal 19 2 2 2 4 2 2 2 2 3 2 4 2 4 4 2 2" xfId="16961"/>
    <cellStyle name="Normal 19 2 2 2 4 2 2 2 2 3 2 4 2 4 4 2 3" xfId="16962"/>
    <cellStyle name="Normal 19 2 2 2 4 2 2 2 2 3 2 4 2 4 4 3" xfId="16963"/>
    <cellStyle name="Normal 19 2 2 2 4 2 2 2 2 3 2 4 2 4 4 4" xfId="16964"/>
    <cellStyle name="Normal 19 2 2 2 4 2 2 2 2 3 2 4 2 4 5" xfId="16965"/>
    <cellStyle name="Normal 19 2 2 2 4 2 2 2 2 3 2 4 2 4 5 2" xfId="16966"/>
    <cellStyle name="Normal 19 2 2 2 4 2 2 2 2 3 2 4 2 4 5 3" xfId="16967"/>
    <cellStyle name="Normal 19 2 2 2 4 2 2 2 2 3 2 4 2 4 6" xfId="16968"/>
    <cellStyle name="Normal 19 2 2 2 4 2 2 2 2 3 2 4 2 4 7" xfId="16969"/>
    <cellStyle name="Normal 19 2 2 2 4 2 2 2 2 3 2 4 2 5" xfId="16970"/>
    <cellStyle name="Normal 19 2 2 2 4 2 2 2 2 3 2 4 2 5 2" xfId="16971"/>
    <cellStyle name="Normal 19 2 2 2 4 2 2 2 2 3 2 4 2 5 3" xfId="16972"/>
    <cellStyle name="Normal 19 2 2 2 4 2 2 2 2 3 2 4 2 6" xfId="16973"/>
    <cellStyle name="Normal 19 2 2 2 4 2 2 2 2 3 2 4 2 7" xfId="16974"/>
    <cellStyle name="Normal 19 2 2 2 4 2 2 2 2 3 2 4 3" xfId="16975"/>
    <cellStyle name="Normal 19 2 2 2 4 2 2 2 2 3 2 4 3 2" xfId="16976"/>
    <cellStyle name="Normal 19 2 2 2 4 2 2 2 2 3 2 4 3 3" xfId="16977"/>
    <cellStyle name="Normal 19 2 2 2 4 2 2 2 2 3 2 4 4" xfId="16978"/>
    <cellStyle name="Normal 19 2 2 2 4 2 2 2 2 3 2 4 5" xfId="16979"/>
    <cellStyle name="Normal 19 2 2 2 4 2 2 2 2 3 2 5" xfId="16980"/>
    <cellStyle name="Normal 19 2 2 2 4 2 2 2 2 3 2 5 2" xfId="16981"/>
    <cellStyle name="Normal 19 2 2 2 4 2 2 2 2 3 2 5 3" xfId="16982"/>
    <cellStyle name="Normal 19 2 2 2 4 2 2 2 2 3 2 6" xfId="16983"/>
    <cellStyle name="Normal 19 2 2 2 4 2 2 2 2 3 2 7" xfId="16984"/>
    <cellStyle name="Normal 19 2 2 2 4 2 2 2 2 3 3" xfId="16985"/>
    <cellStyle name="Normal 19 2 2 2 4 2 2 2 2 3 3 2" xfId="16986"/>
    <cellStyle name="Normal 19 2 2 2 4 2 2 2 2 3 3 2 2" xfId="16987"/>
    <cellStyle name="Normal 19 2 2 2 4 2 2 2 2 3 3 2 2 4" xfId="16988"/>
    <cellStyle name="Normal 19 2 2 2 4 2 2 2 2 3 3 2 2 4 2" xfId="16989"/>
    <cellStyle name="Normal 19 2 2 2 4 2 2 2 2 3 3 2 2 4 2 2" xfId="16990"/>
    <cellStyle name="Normal 19 2 2 2 4 2 2 2 2 3 3 2 2 4 2 3" xfId="16991"/>
    <cellStyle name="Normal 19 2 2 2 4 2 2 2 2 3 3 2 2 4 3" xfId="16992"/>
    <cellStyle name="Normal 19 2 2 2 4 2 2 2 2 3 3 2 2 4 4" xfId="16993"/>
    <cellStyle name="Normal 19 2 2 2 4 2 2 2 2 3 3 2 3" xfId="16994"/>
    <cellStyle name="Normal 19 2 2 2 4 2 2 2 2 3 3 3" xfId="16995"/>
    <cellStyle name="Normal 19 2 2 2 4 2 2 2 2 3 3 4" xfId="16996"/>
    <cellStyle name="Normal 19 2 2 2 4 2 2 2 2 3 4" xfId="16997"/>
    <cellStyle name="Normal 19 2 2 2 4 2 2 2 2 3 4 2" xfId="16998"/>
    <cellStyle name="Normal 19 2 2 2 4 2 2 2 2 3 4 3" xfId="16999"/>
    <cellStyle name="Normal 19 2 2 2 4 2 2 2 2 3 5" xfId="17000"/>
    <cellStyle name="Normal 19 2 2 2 4 2 2 2 2 3 6" xfId="17001"/>
    <cellStyle name="Normal 19 2 2 2 4 2 2 2 2 4" xfId="17002"/>
    <cellStyle name="Normal 19 2 2 2 4 2 2 2 2 4 2" xfId="17003"/>
    <cellStyle name="Normal 19 2 2 2 4 2 2 2 2 4 2 2" xfId="17004"/>
    <cellStyle name="Normal 19 2 2 2 4 2 2 2 2 4 2 2 2" xfId="17005"/>
    <cellStyle name="Normal 19 2 2 2 4 2 2 2 2 4 2 2 3" xfId="17006"/>
    <cellStyle name="Normal 19 2 2 2 4 2 2 2 2 4 2 3" xfId="17007"/>
    <cellStyle name="Normal 19 2 2 2 4 2 2 2 2 4 2 4" xfId="17008"/>
    <cellStyle name="Normal 19 2 2 2 4 2 2 2 2 4 3" xfId="17009"/>
    <cellStyle name="Normal 19 2 2 2 4 2 2 2 2 4 3 2" xfId="17010"/>
    <cellStyle name="Normal 19 2 2 2 4 2 2 2 2 4 3 3" xfId="17011"/>
    <cellStyle name="Normal 19 2 2 2 4 2 2 2 2 4 4" xfId="17012"/>
    <cellStyle name="Normal 19 2 2 2 4 2 2 2 2 4 5" xfId="17013"/>
    <cellStyle name="Normal 19 2 2 2 4 2 2 2 2 5" xfId="17014"/>
    <cellStyle name="Normal 19 2 2 2 4 2 2 2 2 5 2" xfId="17015"/>
    <cellStyle name="Normal 19 2 2 2 4 2 2 2 2 5 2 2" xfId="17016"/>
    <cellStyle name="Normal 19 2 2 2 4 2 2 2 2 5 2 3" xfId="17017"/>
    <cellStyle name="Normal 19 2 2 2 4 2 2 2 2 5 3" xfId="17018"/>
    <cellStyle name="Normal 19 2 2 2 4 2 2 2 2 5 4" xfId="17019"/>
    <cellStyle name="Normal 19 2 2 2 4 2 2 2 2 6" xfId="17020"/>
    <cellStyle name="Normal 19 2 2 2 4 2 2 2 2 6 2" xfId="17021"/>
    <cellStyle name="Normal 19 2 2 2 4 2 2 2 2 6 3" xfId="17022"/>
    <cellStyle name="Normal 19 2 2 2 4 2 2 2 2 7" xfId="17023"/>
    <cellStyle name="Normal 19 2 2 2 4 2 2 2 2 8" xfId="17024"/>
    <cellStyle name="Normal 19 2 2 2 4 2 2 2 3" xfId="17025"/>
    <cellStyle name="Normal 19 2 2 2 4 2 2 2 3 2" xfId="17026"/>
    <cellStyle name="Normal 19 2 2 2 4 2 2 2 3 2 2" xfId="17027"/>
    <cellStyle name="Normal 19 2 2 2 4 2 2 2 3 2 3" xfId="17028"/>
    <cellStyle name="Normal 19 2 2 2 4 2 2 2 3 3" xfId="17029"/>
    <cellStyle name="Normal 19 2 2 2 4 2 2 2 3 4" xfId="17030"/>
    <cellStyle name="Normal 19 2 2 2 4 2 2 2 4" xfId="17031"/>
    <cellStyle name="Normal 19 2 2 2 4 2 2 2 4 2" xfId="17032"/>
    <cellStyle name="Normal 19 2 2 2 4 2 2 2 4 3" xfId="17033"/>
    <cellStyle name="Normal 19 2 2 2 4 2 2 2 5" xfId="17034"/>
    <cellStyle name="Normal 19 2 2 2 4 2 2 2 6" xfId="17035"/>
    <cellStyle name="Normal 19 2 2 2 4 2 2 3" xfId="17036"/>
    <cellStyle name="Normal 19 2 2 2 4 2 2 3 2" xfId="17037"/>
    <cellStyle name="Normal 19 2 2 2 4 2 2 3 3" xfId="17038"/>
    <cellStyle name="Normal 19 2 2 2 4 2 2 4" xfId="17039"/>
    <cellStyle name="Normal 19 2 2 2 4 2 2 5" xfId="17040"/>
    <cellStyle name="Normal 19 2 2 2 4 2 3" xfId="17041"/>
    <cellStyle name="Normal 19 2 2 2 4 2 3 2" xfId="17042"/>
    <cellStyle name="Normal 19 2 2 2 4 2 3 3" xfId="17043"/>
    <cellStyle name="Normal 19 2 2 2 4 2 4" xfId="17044"/>
    <cellStyle name="Normal 19 2 2 2 4 2 5" xfId="17045"/>
    <cellStyle name="Normal 19 2 2 2 4 3" xfId="17046"/>
    <cellStyle name="Normal 19 2 2 2 4 3 2" xfId="17047"/>
    <cellStyle name="Normal 19 2 2 2 4 3 2 2" xfId="17048"/>
    <cellStyle name="Normal 19 2 2 2 4 3 2 2 2" xfId="17049"/>
    <cellStyle name="Normal 19 2 2 2 4 3 2 2 2 2" xfId="17050"/>
    <cellStyle name="Normal 19 2 2 2 4 3 2 2 2 2 2" xfId="17051"/>
    <cellStyle name="Normal 19 2 2 2 4 3 2 2 2 2 2 2" xfId="17052"/>
    <cellStyle name="Normal 19 2 2 2 4 3 2 2 2 2 2 3" xfId="17053"/>
    <cellStyle name="Normal 19 2 2 2 4 3 2 2 2 2 3" xfId="17054"/>
    <cellStyle name="Normal 19 2 2 2 4 3 2 2 2 2 4" xfId="17055"/>
    <cellStyle name="Normal 19 2 2 2 4 3 2 2 2 3" xfId="17056"/>
    <cellStyle name="Normal 19 2 2 2 4 3 2 2 2 3 2" xfId="17057"/>
    <cellStyle name="Normal 19 2 2 2 4 3 2 2 2 3 3" xfId="17058"/>
    <cellStyle name="Normal 19 2 2 2 4 3 2 2 2 4" xfId="17059"/>
    <cellStyle name="Normal 19 2 2 2 4 3 2 2 2 5" xfId="17060"/>
    <cellStyle name="Normal 19 2 2 2 4 3 2 2 3" xfId="17061"/>
    <cellStyle name="Normal 19 2 2 2 4 3 2 2 3 2" xfId="17062"/>
    <cellStyle name="Normal 19 2 2 2 4 3 2 2 3 2 2" xfId="17063"/>
    <cellStyle name="Normal 19 2 2 2 4 3 2 2 3 2 2 2" xfId="17064"/>
    <cellStyle name="Normal 19 2 2 2 4 3 2 2 3 2 2 3" xfId="17065"/>
    <cellStyle name="Normal 19 2 2 2 4 3 2 2 3 2 3" xfId="17066"/>
    <cellStyle name="Normal 19 2 2 2 4 3 2 2 3 2 4" xfId="17067"/>
    <cellStyle name="Normal 19 2 2 2 4 3 2 2 3 3" xfId="17068"/>
    <cellStyle name="Normal 19 2 2 2 4 3 2 2 3 3 2" xfId="17069"/>
    <cellStyle name="Normal 19 2 2 2 4 3 2 2 3 3 3" xfId="17070"/>
    <cellStyle name="Normal 19 2 2 2 4 3 2 2 3 4" xfId="17071"/>
    <cellStyle name="Normal 19 2 2 2 4 3 2 2 3 5" xfId="17072"/>
    <cellStyle name="Normal 19 2 2 2 4 3 2 2 4" xfId="17073"/>
    <cellStyle name="Normal 19 2 2 2 4 3 2 2 4 2" xfId="17074"/>
    <cellStyle name="Normal 19 2 2 2 4 3 2 2 4 2 2" xfId="17075"/>
    <cellStyle name="Normal 19 2 2 2 4 3 2 2 4 2 2 2" xfId="17076"/>
    <cellStyle name="Normal 19 2 2 2 4 3 2 2 4 2 2 2 2" xfId="17077"/>
    <cellStyle name="Normal 19 2 2 2 4 3 2 2 4 2 2 2 2 2" xfId="17078"/>
    <cellStyle name="Normal 19 2 2 2 4 3 2 2 4 2 2 2 2 2 2" xfId="17079"/>
    <cellStyle name="Normal 19 2 2 2 4 3 2 2 4 2 2 2 2 2 2 2" xfId="17080"/>
    <cellStyle name="Normal 19 2 2 2 4 3 2 2 4 2 2 2 2 2 2 2 2" xfId="17081"/>
    <cellStyle name="Normal 19 2 2 2 4 3 2 2 4 2 2 2 2 2 2 2 3" xfId="17082"/>
    <cellStyle name="Normal 19 2 2 2 4 3 2 2 4 2 2 2 2 2 2 3" xfId="17083"/>
    <cellStyle name="Normal 19 2 2 2 4 3 2 2 4 2 2 2 2 2 2 4" xfId="17084"/>
    <cellStyle name="Normal 19 2 2 2 4 3 2 2 4 2 2 2 2 2 3" xfId="17085"/>
    <cellStyle name="Normal 19 2 2 2 4 3 2 2 4 2 2 2 2 2 3 2" xfId="17086"/>
    <cellStyle name="Normal 19 2 2 2 4 3 2 2 4 2 2 2 2 2 3 3" xfId="17087"/>
    <cellStyle name="Normal 19 2 2 2 4 3 2 2 4 2 2 2 2 2 4" xfId="17088"/>
    <cellStyle name="Normal 19 2 2 2 4 3 2 2 4 2 2 2 2 2 5" xfId="17089"/>
    <cellStyle name="Normal 19 2 2 2 4 3 2 2 4 2 2 2 2 3" xfId="17090"/>
    <cellStyle name="Normal 19 2 2 2 4 3 2 2 4 2 2 2 2 3 2" xfId="17091"/>
    <cellStyle name="Normal 19 2 2 2 4 3 2 2 4 2 2 2 2 3 3" xfId="17092"/>
    <cellStyle name="Normal 19 2 2 2 4 3 2 2 4 2 2 2 2 4" xfId="17093"/>
    <cellStyle name="Normal 19 2 2 2 4 3 2 2 4 2 2 2 2 5" xfId="17094"/>
    <cellStyle name="Normal 19 2 2 2 4 3 2 2 4 2 2 2 3" xfId="17095"/>
    <cellStyle name="Normal 19 2 2 2 4 3 2 2 4 2 2 2 3 2" xfId="17096"/>
    <cellStyle name="Normal 19 2 2 2 4 3 2 2 4 2 2 2 3 2 2" xfId="17097"/>
    <cellStyle name="Normal 19 2 2 2 4 3 2 2 4 2 2 2 3 2 3" xfId="17098"/>
    <cellStyle name="Normal 19 2 2 2 4 3 2 2 4 2 2 2 3 3" xfId="17099"/>
    <cellStyle name="Normal 19 2 2 2 4 3 2 2 4 2 2 2 3 4" xfId="17100"/>
    <cellStyle name="Normal 19 2 2 2 4 3 2 2 4 2 2 2 4" xfId="17101"/>
    <cellStyle name="Normal 19 2 2 2 4 3 2 2 4 2 2 2 4 2" xfId="17102"/>
    <cellStyle name="Normal 19 2 2 2 4 3 2 2 4 2 2 2 4 3" xfId="17103"/>
    <cellStyle name="Normal 19 2 2 2 4 3 2 2 4 2 2 2 4 3 2" xfId="17104"/>
    <cellStyle name="Normal 19 2 2 2 4 3 2 2 4 2 2 2 4 3 2 2" xfId="17105"/>
    <cellStyle name="Normal 19 2 2 2 4 3 2 2 4 2 2 2 4 3 2 3" xfId="17106"/>
    <cellStyle name="Normal 19 2 2 2 4 3 2 2 4 2 2 2 4 3 3" xfId="17107"/>
    <cellStyle name="Normal 19 2 2 2 4 3 2 2 4 2 2 2 4 3 4" xfId="17108"/>
    <cellStyle name="Normal 19 2 2 2 4 3 2 2 4 2 2 2 4 4" xfId="17109"/>
    <cellStyle name="Normal 19 2 2 2 4 3 2 2 4 2 2 2 5" xfId="17110"/>
    <cellStyle name="Normal 19 2 2 2 4 3 2 2 4 2 2 2 6" xfId="17111"/>
    <cellStyle name="Normal 19 2 2 2 4 3 2 2 4 2 2 3" xfId="17112"/>
    <cellStyle name="Normal 19 2 2 2 4 3 2 2 4 2 2 3 2" xfId="17113"/>
    <cellStyle name="Normal 19 2 2 2 4 3 2 2 4 2 2 3 3" xfId="17114"/>
    <cellStyle name="Normal 19 2 2 2 4 3 2 2 4 2 2 4" xfId="17115"/>
    <cellStyle name="Normal 19 2 2 2 4 3 2 2 4 2 2 5" xfId="17116"/>
    <cellStyle name="Normal 19 2 2 2 4 3 2 2 4 2 2 6" xfId="17117"/>
    <cellStyle name="Normal 19 2 2 2 4 3 2 2 4 2 2 6 2" xfId="17118"/>
    <cellStyle name="Normal 19 2 2 2 4 3 2 2 4 2 2 6 2 2" xfId="17119"/>
    <cellStyle name="Normal 19 2 2 2 4 3 2 2 4 2 2 6 2 3" xfId="17120"/>
    <cellStyle name="Normal 19 2 2 2 4 3 2 2 4 2 2 6 3" xfId="17121"/>
    <cellStyle name="Normal 19 2 2 2 4 3 2 2 4 2 2 6 4" xfId="17122"/>
    <cellStyle name="Normal 19 2 2 2 4 3 2 2 4 2 3" xfId="17123"/>
    <cellStyle name="Normal 19 2 2 2 4 3 2 2 4 2 3 2" xfId="17124"/>
    <cellStyle name="Normal 19 2 2 2 4 3 2 2 4 2 3 3" xfId="17125"/>
    <cellStyle name="Normal 19 2 2 2 4 3 2 2 4 2 4" xfId="17126"/>
    <cellStyle name="Normal 19 2 2 2 4 3 2 2 4 2 5" xfId="17127"/>
    <cellStyle name="Normal 19 2 2 2 4 3 2 2 4 3" xfId="17128"/>
    <cellStyle name="Normal 19 2 2 2 4 3 2 2 4 3 2" xfId="17129"/>
    <cellStyle name="Normal 19 2 2 2 4 3 2 2 4 3 3" xfId="17130"/>
    <cellStyle name="Normal 19 2 2 2 4 3 2 2 4 4" xfId="17131"/>
    <cellStyle name="Normal 19 2 2 2 4 3 2 2 4 5" xfId="17132"/>
    <cellStyle name="Normal 19 2 2 2 4 3 2 2 5" xfId="17133"/>
    <cellStyle name="Normal 19 2 2 2 4 3 2 2 5 2" xfId="17134"/>
    <cellStyle name="Normal 19 2 2 2 4 3 2 2 5 2 2" xfId="17135"/>
    <cellStyle name="Normal 19 2 2 2 4 3 2 2 5 2 3" xfId="17136"/>
    <cellStyle name="Normal 19 2 2 2 4 3 2 2 5 3" xfId="17137"/>
    <cellStyle name="Normal 19 2 2 2 4 3 2 2 5 4" xfId="17138"/>
    <cellStyle name="Normal 19 2 2 2 4 3 2 2 6" xfId="17139"/>
    <cellStyle name="Normal 19 2 2 2 4 3 2 2 6 2" xfId="17140"/>
    <cellStyle name="Normal 19 2 2 2 4 3 2 2 6 3" xfId="17141"/>
    <cellStyle name="Normal 19 2 2 2 4 3 2 2 7" xfId="17142"/>
    <cellStyle name="Normal 19 2 2 2 4 3 2 2 8" xfId="17143"/>
    <cellStyle name="Normal 19 2 2 2 4 3 2 3" xfId="17144"/>
    <cellStyle name="Normal 19 2 2 2 4 3 2 3 2" xfId="17145"/>
    <cellStyle name="Normal 19 2 2 2 4 3 2 3 3" xfId="17146"/>
    <cellStyle name="Normal 19 2 2 2 4 3 2 4" xfId="17147"/>
    <cellStyle name="Normal 19 2 2 2 4 3 2 5" xfId="17148"/>
    <cellStyle name="Normal 19 2 2 2 4 3 3" xfId="17149"/>
    <cellStyle name="Normal 19 2 2 2 4 3 3 2" xfId="17150"/>
    <cellStyle name="Normal 19 2 2 2 4 3 3 3" xfId="17151"/>
    <cellStyle name="Normal 19 2 2 2 4 3 4" xfId="17152"/>
    <cellStyle name="Normal 19 2 2 2 4 3 5" xfId="17153"/>
    <cellStyle name="Normal 19 2 2 2 4 4" xfId="17154"/>
    <cellStyle name="Normal 19 2 2 2 4 4 2" xfId="17155"/>
    <cellStyle name="Normal 19 2 2 2 4 4 2 2" xfId="17156"/>
    <cellStyle name="Normal 19 2 2 2 4 4 2 2 2" xfId="17157"/>
    <cellStyle name="Normal 19 2 2 2 4 4 2 2 3" xfId="17158"/>
    <cellStyle name="Normal 19 2 2 2 4 4 2 3" xfId="17159"/>
    <cellStyle name="Normal 19 2 2 2 4 4 2 4" xfId="17160"/>
    <cellStyle name="Normal 19 2 2 2 4 4 3" xfId="17161"/>
    <cellStyle name="Normal 19 2 2 2 4 4 3 2" xfId="17162"/>
    <cellStyle name="Normal 19 2 2 2 4 4 3 3" xfId="17163"/>
    <cellStyle name="Normal 19 2 2 2 4 4 4" xfId="17164"/>
    <cellStyle name="Normal 19 2 2 2 4 4 5" xfId="17165"/>
    <cellStyle name="Normal 19 2 2 2 4 5" xfId="17166"/>
    <cellStyle name="Normal 19 2 2 2 4 5 2" xfId="17167"/>
    <cellStyle name="Normal 19 2 2 2 4 5 2 2" xfId="17168"/>
    <cellStyle name="Normal 19 2 2 2 4 5 2 3" xfId="17169"/>
    <cellStyle name="Normal 19 2 2 2 4 5 3" xfId="17170"/>
    <cellStyle name="Normal 19 2 2 2 4 5 4" xfId="17171"/>
    <cellStyle name="Normal 19 2 2 2 4 6" xfId="17172"/>
    <cellStyle name="Normal 19 2 2 2 4 6 2" xfId="17173"/>
    <cellStyle name="Normal 19 2 2 2 4 6 2 2" xfId="17174"/>
    <cellStyle name="Normal 19 2 2 2 4 6 2 2 2" xfId="17175"/>
    <cellStyle name="Normal 19 2 2 2 4 6 2 2 3" xfId="17176"/>
    <cellStyle name="Normal 19 2 2 2 4 6 2 3" xfId="17177"/>
    <cellStyle name="Normal 19 2 2 2 4 6 2 4" xfId="17178"/>
    <cellStyle name="Normal 19 2 2 2 4 6 3" xfId="17179"/>
    <cellStyle name="Normal 19 2 2 2 4 6 3 2" xfId="17180"/>
    <cellStyle name="Normal 19 2 2 2 4 6 3 3" xfId="17181"/>
    <cellStyle name="Normal 19 2 2 2 4 6 4" xfId="17182"/>
    <cellStyle name="Normal 19 2 2 2 4 6 5" xfId="17183"/>
    <cellStyle name="Normal 19 2 2 2 4 7" xfId="17184"/>
    <cellStyle name="Normal 19 2 2 2 4 7 2" xfId="17185"/>
    <cellStyle name="Normal 19 2 2 2 4 7 3" xfId="17186"/>
    <cellStyle name="Normal 19 2 2 2 4 8" xfId="17187"/>
    <cellStyle name="Normal 19 2 2 2 4 9" xfId="17188"/>
    <cellStyle name="Normal 19 2 2 2 5" xfId="17189"/>
    <cellStyle name="Normal 19 2 2 2 5 2" xfId="17190"/>
    <cellStyle name="Normal 19 2 2 2 5 2 2" xfId="17191"/>
    <cellStyle name="Normal 19 2 2 2 5 2 2 2" xfId="17192"/>
    <cellStyle name="Normal 19 2 2 2 5 2 2 2 2" xfId="17193"/>
    <cellStyle name="Normal 19 2 2 2 5 2 2 2 2 2" xfId="17194"/>
    <cellStyle name="Normal 19 2 2 2 5 2 2 2 2 2 2" xfId="17195"/>
    <cellStyle name="Normal 19 2 2 2 5 2 2 2 2 2 2 2" xfId="17196"/>
    <cellStyle name="Normal 19 2 2 2 5 2 2 2 2 2 2 3" xfId="17197"/>
    <cellStyle name="Normal 19 2 2 2 5 2 2 2 2 2 3" xfId="17198"/>
    <cellStyle name="Normal 19 2 2 2 5 2 2 2 2 2 4" xfId="17199"/>
    <cellStyle name="Normal 19 2 2 2 5 2 2 2 2 3" xfId="17200"/>
    <cellStyle name="Normal 19 2 2 2 5 2 2 2 2 3 2" xfId="17201"/>
    <cellStyle name="Normal 19 2 2 2 5 2 2 2 2 3 3" xfId="17202"/>
    <cellStyle name="Normal 19 2 2 2 5 2 2 2 2 4" xfId="17203"/>
    <cellStyle name="Normal 19 2 2 2 5 2 2 2 2 5" xfId="17204"/>
    <cellStyle name="Normal 19 2 2 2 5 2 2 2 3" xfId="17205"/>
    <cellStyle name="Normal 19 2 2 2 5 2 2 2 3 2" xfId="17206"/>
    <cellStyle name="Normal 19 2 2 2 5 2 2 2 3 2 2" xfId="17207"/>
    <cellStyle name="Normal 19 2 2 2 5 2 2 2 3 2 2 2" xfId="17208"/>
    <cellStyle name="Normal 19 2 2 2 5 2 2 2 3 2 2 3" xfId="17209"/>
    <cellStyle name="Normal 19 2 2 2 5 2 2 2 3 2 3" xfId="17210"/>
    <cellStyle name="Normal 19 2 2 2 5 2 2 2 3 2 3 2" xfId="17211"/>
    <cellStyle name="Normal 19 2 2 2 5 2 2 2 3 2 3 2 2" xfId="17212"/>
    <cellStyle name="Normal 19 2 2 2 5 2 2 2 3 2 3 2 3" xfId="17213"/>
    <cellStyle name="Normal 19 2 2 2 5 2 2 2 3 2 3 3" xfId="17214"/>
    <cellStyle name="Normal 19 2 2 2 5 2 2 2 3 2 3 4" xfId="17215"/>
    <cellStyle name="Normal 19 2 2 2 5 2 2 2 3 2 4" xfId="17216"/>
    <cellStyle name="Normal 19 2 2 2 5 2 2 2 3 2 5" xfId="17217"/>
    <cellStyle name="Normal 19 2 2 2 5 2 2 2 3 3" xfId="17218"/>
    <cellStyle name="Normal 19 2 2 2 5 2 2 2 3 3 2" xfId="17219"/>
    <cellStyle name="Normal 19 2 2 2 5 2 2 2 3 3 3" xfId="17220"/>
    <cellStyle name="Normal 19 2 2 2 5 2 2 2 3 4" xfId="17221"/>
    <cellStyle name="Normal 19 2 2 2 5 2 2 2 3 5" xfId="17222"/>
    <cellStyle name="Normal 19 2 2 2 5 2 2 2 4" xfId="17223"/>
    <cellStyle name="Normal 19 2 2 2 5 2 2 2 4 2" xfId="17224"/>
    <cellStyle name="Normal 19 2 2 2 5 2 2 2 4 3" xfId="17225"/>
    <cellStyle name="Normal 19 2 2 2 5 2 2 2 5" xfId="17226"/>
    <cellStyle name="Normal 19 2 2 2 5 2 2 2 6" xfId="17227"/>
    <cellStyle name="Normal 19 2 2 2 5 2 2 3" xfId="17228"/>
    <cellStyle name="Normal 19 2 2 2 5 2 2 3 2" xfId="17229"/>
    <cellStyle name="Normal 19 2 2 2 5 2 2 3 2 2" xfId="17230"/>
    <cellStyle name="Normal 19 2 2 2 5 2 2 3 2 2 2" xfId="17231"/>
    <cellStyle name="Normal 19 2 2 2 5 2 2 3 2 2 2 2" xfId="17232"/>
    <cellStyle name="Normal 19 2 2 2 5 2 2 3 2 2 2 3" xfId="17233"/>
    <cellStyle name="Normal 19 2 2 2 5 2 2 3 2 2 3" xfId="17234"/>
    <cellStyle name="Normal 19 2 2 2 5 2 2 3 2 2 4" xfId="17235"/>
    <cellStyle name="Normal 19 2 2 2 5 2 2 3 2 3" xfId="17236"/>
    <cellStyle name="Normal 19 2 2 2 5 2 2 3 2 3 2" xfId="17237"/>
    <cellStyle name="Normal 19 2 2 2 5 2 2 3 2 3 3" xfId="17238"/>
    <cellStyle name="Normal 19 2 2 2 5 2 2 3 2 4" xfId="17239"/>
    <cellStyle name="Normal 19 2 2 2 5 2 2 3 2 5" xfId="17240"/>
    <cellStyle name="Normal 19 2 2 2 5 2 2 3 3" xfId="17241"/>
    <cellStyle name="Normal 19 2 2 2 5 2 2 3 3 2" xfId="17242"/>
    <cellStyle name="Normal 19 2 2 2 5 2 2 3 3 3" xfId="17243"/>
    <cellStyle name="Normal 19 2 2 2 5 2 2 3 4" xfId="17244"/>
    <cellStyle name="Normal 19 2 2 2 5 2 2 3 5" xfId="17245"/>
    <cellStyle name="Normal 19 2 2 2 5 2 2 4" xfId="17246"/>
    <cellStyle name="Normal 19 2 2 2 5 2 2 4 2" xfId="17247"/>
    <cellStyle name="Normal 19 2 2 2 5 2 2 4 3" xfId="17248"/>
    <cellStyle name="Normal 19 2 2 2 5 2 2 5" xfId="17249"/>
    <cellStyle name="Normal 19 2 2 2 5 2 2 6" xfId="17250"/>
    <cellStyle name="Normal 19 2 2 2 5 2 3" xfId="17251"/>
    <cellStyle name="Normal 19 2 2 2 5 2 3 2" xfId="17252"/>
    <cellStyle name="Normal 19 2 2 2 5 2 3 2 2" xfId="17253"/>
    <cellStyle name="Normal 19 2 2 2 5 2 3 2 2 2" xfId="17254"/>
    <cellStyle name="Normal 19 2 2 2 5 2 3 2 2 3" xfId="17255"/>
    <cellStyle name="Normal 19 2 2 2 5 2 3 2 3" xfId="17256"/>
    <cellStyle name="Normal 19 2 2 2 5 2 3 2 4" xfId="17257"/>
    <cellStyle name="Normal 19 2 2 2 5 2 3 3" xfId="17258"/>
    <cellStyle name="Normal 19 2 2 2 5 2 3 3 2" xfId="17259"/>
    <cellStyle name="Normal 19 2 2 2 5 2 3 3 2 2" xfId="17260"/>
    <cellStyle name="Normal 19 2 2 2 5 2 3 3 2 3" xfId="17261"/>
    <cellStyle name="Normal 19 2 2 2 5 2 3 3 3" xfId="17262"/>
    <cellStyle name="Normal 19 2 2 2 5 2 3 3 4" xfId="17263"/>
    <cellStyle name="Normal 19 2 2 2 5 2 3 4" xfId="17264"/>
    <cellStyle name="Normal 19 2 2 2 5 2 3 4 2" xfId="17265"/>
    <cellStyle name="Normal 19 2 2 2 5 2 3 4 2 2" xfId="17266"/>
    <cellStyle name="Normal 19 2 2 2 5 2 3 4 2 3" xfId="17267"/>
    <cellStyle name="Normal 19 2 2 2 5 2 3 4 3" xfId="17268"/>
    <cellStyle name="Normal 19 2 2 2 5 2 3 4 4" xfId="17269"/>
    <cellStyle name="Normal 19 2 2 2 5 2 3 5" xfId="17270"/>
    <cellStyle name="Normal 19 2 2 2 5 2 3 5 2" xfId="17271"/>
    <cellStyle name="Normal 19 2 2 2 5 2 3 5 2 2" xfId="17272"/>
    <cellStyle name="Normal 19 2 2 2 5 2 3 5 2 3" xfId="17273"/>
    <cellStyle name="Normal 19 2 2 2 5 2 3 5 3" xfId="17274"/>
    <cellStyle name="Normal 19 2 2 2 5 2 3 5 4" xfId="17275"/>
    <cellStyle name="Normal 19 2 2 2 5 2 3 6" xfId="17276"/>
    <cellStyle name="Normal 19 2 2 2 5 2 3 6 2" xfId="17277"/>
    <cellStyle name="Normal 19 2 2 2 5 2 3 6 3" xfId="17278"/>
    <cellStyle name="Normal 19 2 2 2 5 2 3 7" xfId="17279"/>
    <cellStyle name="Normal 19 2 2 2 5 2 3 8" xfId="17280"/>
    <cellStyle name="Normal 19 2 2 2 5 2 4" xfId="17281"/>
    <cellStyle name="Normal 19 2 2 2 5 2 4 2" xfId="17282"/>
    <cellStyle name="Normal 19 2 2 2 5 2 4 2 2" xfId="17283"/>
    <cellStyle name="Normal 19 2 2 2 5 2 4 2 2 2" xfId="17284"/>
    <cellStyle name="Normal 19 2 2 2 5 2 4 2 2 3" xfId="17285"/>
    <cellStyle name="Normal 19 2 2 2 5 2 4 2 3" xfId="17286"/>
    <cellStyle name="Normal 19 2 2 2 5 2 4 2 4" xfId="17287"/>
    <cellStyle name="Normal 19 2 2 2 5 2 4 3" xfId="17288"/>
    <cellStyle name="Normal 19 2 2 2 5 2 4 3 2" xfId="17289"/>
    <cellStyle name="Normal 19 2 2 2 5 2 4 3 3" xfId="17290"/>
    <cellStyle name="Normal 19 2 2 2 5 2 4 4" xfId="17291"/>
    <cellStyle name="Normal 19 2 2 2 5 2 4 5" xfId="17292"/>
    <cellStyle name="Normal 19 2 2 2 5 2 5" xfId="17293"/>
    <cellStyle name="Normal 19 2 2 2 5 2 5 2" xfId="17294"/>
    <cellStyle name="Normal 19 2 2 2 5 2 5 2 2" xfId="17295"/>
    <cellStyle name="Normal 19 2 2 2 5 2 5 2 3" xfId="17296"/>
    <cellStyle name="Normal 19 2 2 2 5 2 5 3" xfId="17297"/>
    <cellStyle name="Normal 19 2 2 2 5 2 5 4" xfId="17298"/>
    <cellStyle name="Normal 19 2 2 2 5 2 6" xfId="17299"/>
    <cellStyle name="Normal 19 2 2 2 5 2 6 2" xfId="17300"/>
    <cellStyle name="Normal 19 2 2 2 5 2 6 3" xfId="17301"/>
    <cellStyle name="Normal 19 2 2 2 5 2 7" xfId="17302"/>
    <cellStyle name="Normal 19 2 2 2 5 2 8" xfId="17303"/>
    <cellStyle name="Normal 19 2 2 2 5 3" xfId="17304"/>
    <cellStyle name="Normal 19 2 2 2 5 3 2" xfId="17305"/>
    <cellStyle name="Normal 19 2 2 2 5 3 3" xfId="17306"/>
    <cellStyle name="Normal 19 2 2 2 5 4" xfId="17307"/>
    <cellStyle name="Normal 19 2 2 2 5 5" xfId="17308"/>
    <cellStyle name="Normal 19 2 2 2 6" xfId="17309"/>
    <cellStyle name="Normal 19 2 2 2 6 2" xfId="17310"/>
    <cellStyle name="Normal 19 2 2 2 6 2 2" xfId="17311"/>
    <cellStyle name="Normal 19 2 2 2 6 2 2 2" xfId="17312"/>
    <cellStyle name="Normal 19 2 2 2 6 2 2 2 2" xfId="17313"/>
    <cellStyle name="Normal 19 2 2 2 6 2 2 2 3" xfId="17314"/>
    <cellStyle name="Normal 19 2 2 2 6 2 2 3" xfId="17315"/>
    <cellStyle name="Normal 19 2 2 2 6 2 2 4" xfId="17316"/>
    <cellStyle name="Normal 19 2 2 2 6 2 3" xfId="17317"/>
    <cellStyle name="Normal 19 2 2 2 6 2 3 2" xfId="17318"/>
    <cellStyle name="Normal 19 2 2 2 6 2 3 3" xfId="17319"/>
    <cellStyle name="Normal 19 2 2 2 6 2 4" xfId="17320"/>
    <cellStyle name="Normal 19 2 2 2 6 2 5" xfId="17321"/>
    <cellStyle name="Normal 19 2 2 2 6 3" xfId="17322"/>
    <cellStyle name="Normal 19 2 2 2 6 3 2" xfId="17323"/>
    <cellStyle name="Normal 19 2 2 2 6 3 3" xfId="17324"/>
    <cellStyle name="Normal 19 2 2 2 6 4" xfId="17325"/>
    <cellStyle name="Normal 19 2 2 2 6 5" xfId="17326"/>
    <cellStyle name="Normal 19 2 2 2 7" xfId="17327"/>
    <cellStyle name="Normal 19 2 2 2 7 2" xfId="17328"/>
    <cellStyle name="Normal 19 2 2 2 7 3" xfId="17329"/>
    <cellStyle name="Normal 19 2 2 2 8" xfId="17330"/>
    <cellStyle name="Normal 19 2 2 2 9" xfId="17331"/>
    <cellStyle name="Normal 19 2 2 3" xfId="17332"/>
    <cellStyle name="Normal 19 2 2 3 2" xfId="17333"/>
    <cellStyle name="Normal 19 2 2 3 2 2" xfId="17334"/>
    <cellStyle name="Normal 19 2 2 3 2 3" xfId="17335"/>
    <cellStyle name="Normal 19 2 2 3 3" xfId="17336"/>
    <cellStyle name="Normal 19 2 2 3 4" xfId="17337"/>
    <cellStyle name="Normal 19 2 2 4" xfId="17338"/>
    <cellStyle name="Normal 19 2 2 4 2" xfId="17339"/>
    <cellStyle name="Normal 19 2 2 4 2 2" xfId="17340"/>
    <cellStyle name="Normal 19 2 2 4 2 2 2" xfId="17341"/>
    <cellStyle name="Normal 19 2 2 4 2 2 2 2" xfId="17342"/>
    <cellStyle name="Normal 19 2 2 4 2 2 2 3" xfId="17343"/>
    <cellStyle name="Normal 19 2 2 4 2 2 3" xfId="17344"/>
    <cellStyle name="Normal 19 2 2 4 2 2 4" xfId="17345"/>
    <cellStyle name="Normal 19 2 2 4 2 3" xfId="17346"/>
    <cellStyle name="Normal 19 2 2 4 2 3 2" xfId="17347"/>
    <cellStyle name="Normal 19 2 2 4 2 3 3" xfId="17348"/>
    <cellStyle name="Normal 19 2 2 4 2 4" xfId="17349"/>
    <cellStyle name="Normal 19 2 2 4 2 5" xfId="17350"/>
    <cellStyle name="Normal 19 2 2 4 3" xfId="17351"/>
    <cellStyle name="Normal 19 2 2 4 3 2" xfId="17352"/>
    <cellStyle name="Normal 19 2 2 4 3 3" xfId="17353"/>
    <cellStyle name="Normal 19 2 2 4 4" xfId="17354"/>
    <cellStyle name="Normal 19 2 2 4 5" xfId="17355"/>
    <cellStyle name="Normal 19 2 2 5" xfId="17356"/>
    <cellStyle name="Normal 19 2 2 5 2" xfId="17357"/>
    <cellStyle name="Normal 19 2 2 5 3" xfId="17358"/>
    <cellStyle name="Normal 19 2 2 6" xfId="17359"/>
    <cellStyle name="Normal 19 2 2 7" xfId="17360"/>
    <cellStyle name="Normal 19 2 3" xfId="17361"/>
    <cellStyle name="Normal 19 2 3 2" xfId="17362"/>
    <cellStyle name="Normal 19 2 3 2 2" xfId="17363"/>
    <cellStyle name="Normal 19 2 3 2 3" xfId="17364"/>
    <cellStyle name="Normal 19 2 3 3" xfId="17365"/>
    <cellStyle name="Normal 19 2 3 4" xfId="17366"/>
    <cellStyle name="Normal 19 2 4" xfId="17367"/>
    <cellStyle name="Normal 19 2 4 2" xfId="17368"/>
    <cellStyle name="Normal 19 2 4 2 2" xfId="17369"/>
    <cellStyle name="Normal 19 2 4 2 3" xfId="17370"/>
    <cellStyle name="Normal 19 2 4 3" xfId="17371"/>
    <cellStyle name="Normal 19 2 4 4" xfId="17372"/>
    <cellStyle name="Normal 19 2_Sheet2" xfId="17373"/>
    <cellStyle name="Normal 19 3" xfId="17374"/>
    <cellStyle name="Normal 19 3 2" xfId="17375"/>
    <cellStyle name="Normal 19 3 2 2" xfId="17376"/>
    <cellStyle name="Normal 19 3 2 2 2" xfId="17377"/>
    <cellStyle name="Normal 19 3 2 2 2 2" xfId="17378"/>
    <cellStyle name="Normal 19 3 2 2 2 3" xfId="17379"/>
    <cellStyle name="Normal 19 3 2 2 3" xfId="17380"/>
    <cellStyle name="Normal 19 3 2 2 4" xfId="17381"/>
    <cellStyle name="Normal 19 3 2 3" xfId="17382"/>
    <cellStyle name="Normal 19 3 2 3 2" xfId="17383"/>
    <cellStyle name="Normal 19 3 2 3 3" xfId="17384"/>
    <cellStyle name="Normal 19 3 2 4" xfId="17385"/>
    <cellStyle name="Normal 19 3 2 5" xfId="17386"/>
    <cellStyle name="Normal 19 3 3" xfId="17387"/>
    <cellStyle name="Normal 19 3 3 2" xfId="17388"/>
    <cellStyle name="Normal 19 3 3 2 2" xfId="17389"/>
    <cellStyle name="Normal 19 3 3 2 2 2" xfId="17390"/>
    <cellStyle name="Normal 19 3 3 2 2 2 2" xfId="17391"/>
    <cellStyle name="Normal 19 3 3 2 2 2 3" xfId="17392"/>
    <cellStyle name="Normal 19 3 3 2 2 3" xfId="17393"/>
    <cellStyle name="Normal 19 3 3 2 2 4" xfId="17394"/>
    <cellStyle name="Normal 19 3 3 2 3" xfId="17395"/>
    <cellStyle name="Normal 19 3 3 2 3 2" xfId="17396"/>
    <cellStyle name="Normal 19 3 3 2 3 3" xfId="17397"/>
    <cellStyle name="Normal 19 3 3 2 4" xfId="17398"/>
    <cellStyle name="Normal 19 3 3 2 5" xfId="17399"/>
    <cellStyle name="Normal 19 3 3 3" xfId="17400"/>
    <cellStyle name="Normal 19 3 3 3 2" xfId="17401"/>
    <cellStyle name="Normal 19 3 3 3 2 2" xfId="17402"/>
    <cellStyle name="Normal 19 3 3 3 2 2 2" xfId="17403"/>
    <cellStyle name="Normal 19 3 3 3 2 2 3" xfId="17404"/>
    <cellStyle name="Normal 19 3 3 3 2 3" xfId="17405"/>
    <cellStyle name="Normal 19 3 3 3 2 4" xfId="17406"/>
    <cellStyle name="Normal 19 3 3 3 3" xfId="17407"/>
    <cellStyle name="Normal 19 3 3 3 3 2" xfId="17408"/>
    <cellStyle name="Normal 19 3 3 3 3 2 2" xfId="17409"/>
    <cellStyle name="Normal 19 3 3 3 3 2 3" xfId="17410"/>
    <cellStyle name="Normal 19 3 3 3 3 3" xfId="17411"/>
    <cellStyle name="Normal 19 3 3 3 3 4" xfId="17412"/>
    <cellStyle name="Normal 19 3 3 3 4" xfId="17413"/>
    <cellStyle name="Normal 19 3 3 3 4 2" xfId="17414"/>
    <cellStyle name="Normal 19 3 3 3 4 3" xfId="17415"/>
    <cellStyle name="Normal 19 3 3 3 5" xfId="17416"/>
    <cellStyle name="Normal 19 3 3 3 6" xfId="17417"/>
    <cellStyle name="Normal 19 3 3 4" xfId="17418"/>
    <cellStyle name="Normal 19 3 3 4 2" xfId="17419"/>
    <cellStyle name="Normal 19 3 3 4 2 2" xfId="17420"/>
    <cellStyle name="Normal 19 3 3 4 2 3" xfId="17421"/>
    <cellStyle name="Normal 19 3 3 4 3" xfId="17422"/>
    <cellStyle name="Normal 19 3 3 4 4" xfId="17423"/>
    <cellStyle name="Normal 19 3 3 5" xfId="17424"/>
    <cellStyle name="Normal 19 3 3 5 2" xfId="17425"/>
    <cellStyle name="Normal 19 3 3 5 3" xfId="17426"/>
    <cellStyle name="Normal 19 3 3 6" xfId="17427"/>
    <cellStyle name="Normal 19 3 3 7" xfId="17428"/>
    <cellStyle name="Normal 19 3 4" xfId="17429"/>
    <cellStyle name="Normal 19 3 4 2" xfId="17430"/>
    <cellStyle name="Normal 19 3 4 2 2" xfId="17431"/>
    <cellStyle name="Normal 19 3 4 2 3" xfId="17432"/>
    <cellStyle name="Normal 19 3 4 3" xfId="17433"/>
    <cellStyle name="Normal 19 3 4 4" xfId="17434"/>
    <cellStyle name="Normal 19 3 5" xfId="17435"/>
    <cellStyle name="Normal 19 3 5 2" xfId="17436"/>
    <cellStyle name="Normal 19 3 5 2 2" xfId="17437"/>
    <cellStyle name="Normal 19 3 5 2 3" xfId="17438"/>
    <cellStyle name="Normal 19 3 5 3" xfId="17439"/>
    <cellStyle name="Normal 19 3 5 4" xfId="17440"/>
    <cellStyle name="Normal 19 3 6" xfId="17441"/>
    <cellStyle name="Normal 19 3 6 2" xfId="17442"/>
    <cellStyle name="Normal 19 3 6 2 2" xfId="17443"/>
    <cellStyle name="Normal 19 3 6 2 3" xfId="17444"/>
    <cellStyle name="Normal 19 3 6 3" xfId="17445"/>
    <cellStyle name="Normal 19 3 6 4" xfId="17446"/>
    <cellStyle name="Normal 19 3 7" xfId="17447"/>
    <cellStyle name="Normal 19 3 7 2" xfId="17448"/>
    <cellStyle name="Normal 19 3 7 2 2" xfId="17449"/>
    <cellStyle name="Normal 19 3 7 2 3" xfId="17450"/>
    <cellStyle name="Normal 19 3 7 3" xfId="17451"/>
    <cellStyle name="Normal 19 3 7 4" xfId="17452"/>
    <cellStyle name="Normal 19 3 8" xfId="17453"/>
    <cellStyle name="Normal 19 3 8 2" xfId="17454"/>
    <cellStyle name="Normal 19 3 8 2 2" xfId="17455"/>
    <cellStyle name="Normal 19 3 8 2 3" xfId="17456"/>
    <cellStyle name="Normal 19 3 8 3" xfId="17457"/>
    <cellStyle name="Normal 19 3 8 4" xfId="17458"/>
    <cellStyle name="Normal 19 3 9" xfId="17459"/>
    <cellStyle name="Normal 19 3 9 2" xfId="17460"/>
    <cellStyle name="Normal 19 3 9 2 2" xfId="17461"/>
    <cellStyle name="Normal 19 3 9 2 3" xfId="17462"/>
    <cellStyle name="Normal 19 3 9 3" xfId="17463"/>
    <cellStyle name="Normal 19 3 9 4" xfId="17464"/>
    <cellStyle name="Normal 19 4" xfId="17465"/>
    <cellStyle name="Normal 19 4 2" xfId="17466"/>
    <cellStyle name="Normal 19 4 2 2" xfId="17467"/>
    <cellStyle name="Normal 19 4 2 2 2" xfId="17468"/>
    <cellStyle name="Normal 19 4 2 2 3" xfId="17469"/>
    <cellStyle name="Normal 19 4 2 3" xfId="17470"/>
    <cellStyle name="Normal 19 4 2 4" xfId="17471"/>
    <cellStyle name="Normal 19 5" xfId="17472"/>
    <cellStyle name="Normal 19 5 2" xfId="17473"/>
    <cellStyle name="Normal 19 5 2 2" xfId="17474"/>
    <cellStyle name="Normal 19 5 2 3" xfId="17475"/>
    <cellStyle name="Normal 19 5 3" xfId="17476"/>
    <cellStyle name="Normal 19 5 4" xfId="17477"/>
    <cellStyle name="Normal 19 6" xfId="17478"/>
    <cellStyle name="Normal 19 6 2" xfId="17479"/>
    <cellStyle name="Normal 19 6 2 2" xfId="17480"/>
    <cellStyle name="Normal 19 6 2 3" xfId="17481"/>
    <cellStyle name="Normal 19 6 3" xfId="17482"/>
    <cellStyle name="Normal 19 6 4" xfId="17483"/>
    <cellStyle name="Normal 19 7" xfId="17484"/>
    <cellStyle name="Normal 19 7 2" xfId="17485"/>
    <cellStyle name="Normal 19 7 2 2" xfId="17486"/>
    <cellStyle name="Normal 19 7 2 3" xfId="17487"/>
    <cellStyle name="Normal 19 7 3" xfId="17488"/>
    <cellStyle name="Normal 19 7 4" xfId="17489"/>
    <cellStyle name="Normal 19_CHC Asifabad Estimate" xfId="17491"/>
    <cellStyle name="Normal 190" xfId="17490"/>
    <cellStyle name="Normal 191" xfId="30878"/>
    <cellStyle name="Normal 2" xfId="17492"/>
    <cellStyle name="Normal 2 10" xfId="17493"/>
    <cellStyle name="Normal 2 10 11" xfId="17494"/>
    <cellStyle name="Normal 2 10 2" xfId="17495"/>
    <cellStyle name="Normal 2 10 2 2" xfId="17496"/>
    <cellStyle name="Normal 2 10 3" xfId="17497"/>
    <cellStyle name="Normal 2 10 4" xfId="17498"/>
    <cellStyle name="Normal 2 10 5" xfId="17499"/>
    <cellStyle name="Normal 2 11" xfId="17500"/>
    <cellStyle name="Normal 2 11 2" xfId="17501"/>
    <cellStyle name="Normal 2 11 2 2" xfId="17502"/>
    <cellStyle name="Normal 2 11 3" xfId="17503"/>
    <cellStyle name="Normal 2 12" xfId="17504"/>
    <cellStyle name="Normal 2 12 2" xfId="17505"/>
    <cellStyle name="Normal 2 12 2 2" xfId="17506"/>
    <cellStyle name="Normal 2 12 3" xfId="17507"/>
    <cellStyle name="Normal 2 13" xfId="17508"/>
    <cellStyle name="Normal 2 13 2" xfId="17509"/>
    <cellStyle name="Normal 2 13 3" xfId="17510"/>
    <cellStyle name="Normal 2 14" xfId="17511"/>
    <cellStyle name="Normal 2 14 2" xfId="17512"/>
    <cellStyle name="Normal 2 14 3" xfId="17513"/>
    <cellStyle name="Normal 2 15" xfId="17514"/>
    <cellStyle name="Normal 2 15 2" xfId="17515"/>
    <cellStyle name="Normal 2 15 3" xfId="17516"/>
    <cellStyle name="Normal 2 16" xfId="17517"/>
    <cellStyle name="Normal 2 16 2" xfId="17518"/>
    <cellStyle name="Normal 2 16 3" xfId="17519"/>
    <cellStyle name="Normal 2 17" xfId="17520"/>
    <cellStyle name="Normal 2 17 2" xfId="17521"/>
    <cellStyle name="Normal 2 17 3" xfId="17522"/>
    <cellStyle name="Normal 2 18" xfId="17523"/>
    <cellStyle name="Normal 2 18 2" xfId="17524"/>
    <cellStyle name="Normal 2 18 3" xfId="17525"/>
    <cellStyle name="Normal 2 19" xfId="17526"/>
    <cellStyle name="Normal 2 19 2" xfId="17527"/>
    <cellStyle name="Normal 2 19 3" xfId="17528"/>
    <cellStyle name="Normal 2 2" xfId="17529"/>
    <cellStyle name="Normal 2 2 10" xfId="17530"/>
    <cellStyle name="Normal 2 2 11" xfId="17531"/>
    <cellStyle name="Normal 2 2 12" xfId="17532"/>
    <cellStyle name="Normal 2 2 13" xfId="17533"/>
    <cellStyle name="Normal 2 2 14" xfId="17534"/>
    <cellStyle name="Normal 2 2 15" xfId="17535"/>
    <cellStyle name="Normal 2 2 16" xfId="17536"/>
    <cellStyle name="Normal 2 2 17" xfId="17537"/>
    <cellStyle name="Normal 2 2 18" xfId="17538"/>
    <cellStyle name="Normal 2 2 19" xfId="17539"/>
    <cellStyle name="Normal 2 2 2" xfId="17540"/>
    <cellStyle name="Normal 2 2 2 10" xfId="17541"/>
    <cellStyle name="Normal 2 2 2 11" xfId="17542"/>
    <cellStyle name="Normal 2 2 2 12" xfId="17543"/>
    <cellStyle name="Normal 2 2 2 13" xfId="17544"/>
    <cellStyle name="Normal 2 2 2 14" xfId="17545"/>
    <cellStyle name="Normal 2 2 2 2" xfId="17546"/>
    <cellStyle name="Normal 2 2 2 2 2" xfId="17547"/>
    <cellStyle name="Normal 2 2 2 3" xfId="17548"/>
    <cellStyle name="Normal 2 2 2 3 2" xfId="17549"/>
    <cellStyle name="Normal 2 2 2 3 2 2" xfId="17550"/>
    <cellStyle name="Normal 2 2 2 3 2 3" xfId="17551"/>
    <cellStyle name="Normal 2 2 2 3 3" xfId="17552"/>
    <cellStyle name="Normal 2 2 2 3 4" xfId="17553"/>
    <cellStyle name="Normal 2 2 2 4" xfId="17554"/>
    <cellStyle name="Normal 2 2 2 5" xfId="17555"/>
    <cellStyle name="Normal 2 2 2 5 2" xfId="17556"/>
    <cellStyle name="Normal 2 2 2 5 2 2" xfId="17557"/>
    <cellStyle name="Normal 2 2 2 5 2 3" xfId="17558"/>
    <cellStyle name="Normal 2 2 2 5 3" xfId="17559"/>
    <cellStyle name="Normal 2 2 2 5 4" xfId="17560"/>
    <cellStyle name="Normal 2 2 2 6" xfId="17561"/>
    <cellStyle name="Normal 2 2 2 6 2" xfId="17562"/>
    <cellStyle name="Normal 2 2 2 7" xfId="17563"/>
    <cellStyle name="Normal 2 2 2 8" xfId="17564"/>
    <cellStyle name="Normal 2 2 2 9" xfId="17565"/>
    <cellStyle name="Normal 2 2 2_EDIT Rupees" xfId="17576"/>
    <cellStyle name="Normal 2 2 20" xfId="17566"/>
    <cellStyle name="Normal 2 2 21" xfId="17567"/>
    <cellStyle name="Normal 2 2 22" xfId="17568"/>
    <cellStyle name="Normal 2 2 23" xfId="17569"/>
    <cellStyle name="Normal 2 2 24" xfId="17570"/>
    <cellStyle name="Normal 2 2 25" xfId="17571"/>
    <cellStyle name="Normal 2 2 26" xfId="17572"/>
    <cellStyle name="Normal 2 2 27" xfId="17573"/>
    <cellStyle name="Normal 2 2 28" xfId="17574"/>
    <cellStyle name="Normal 2 2 29" xfId="17575"/>
    <cellStyle name="Normal 2 2 3" xfId="17577"/>
    <cellStyle name="Normal 2 2 3 2" xfId="17578"/>
    <cellStyle name="Normal 2 2 30" xfId="17579"/>
    <cellStyle name="Normal 2 2 31" xfId="17580"/>
    <cellStyle name="Normal 2 2 31 2" xfId="17581"/>
    <cellStyle name="Normal 2 2 31 3" xfId="17582"/>
    <cellStyle name="Normal 2 2 32" xfId="17583"/>
    <cellStyle name="Normal 2 2 33" xfId="17584"/>
    <cellStyle name="Normal 2 2 34" xfId="17585"/>
    <cellStyle name="Normal 2 2 35" xfId="17586"/>
    <cellStyle name="Normal 2 2 36" xfId="17587"/>
    <cellStyle name="Normal 2 2 37" xfId="17588"/>
    <cellStyle name="Normal 2 2 38" xfId="17589"/>
    <cellStyle name="Normal 2 2 4" xfId="17590"/>
    <cellStyle name="Normal 2 2 4 2" xfId="17591"/>
    <cellStyle name="Normal 2 2 4 2 2" xfId="17592"/>
    <cellStyle name="Normal 2 2 4 2 2 2" xfId="17593"/>
    <cellStyle name="Normal 2 2 4 2 2 3" xfId="17594"/>
    <cellStyle name="Normal 2 2 4 2 3" xfId="17595"/>
    <cellStyle name="Normal 2 2 4 2 4" xfId="17596"/>
    <cellStyle name="Normal 2 2 4 3" xfId="17597"/>
    <cellStyle name="Normal 2 2 4 3 2" xfId="17598"/>
    <cellStyle name="Normal 2 2 4 3 3" xfId="17599"/>
    <cellStyle name="Normal 2 2 4 4" xfId="17600"/>
    <cellStyle name="Normal 2 2 4 5" xfId="17601"/>
    <cellStyle name="Normal 2 2 5" xfId="17602"/>
    <cellStyle name="Normal 2 2 5 2" xfId="17603"/>
    <cellStyle name="Normal 2 2 5 2 2" xfId="17604"/>
    <cellStyle name="Normal 2 2 5 2 3" xfId="17605"/>
    <cellStyle name="Normal 2 2 5 3" xfId="17606"/>
    <cellStyle name="Normal 2 2 5 4" xfId="17607"/>
    <cellStyle name="Normal 2 2 6" xfId="17608"/>
    <cellStyle name="Normal 2 2 7" xfId="17609"/>
    <cellStyle name="Normal 2 2 8" xfId="17610"/>
    <cellStyle name="Normal 2 2 8 2" xfId="17611"/>
    <cellStyle name="Normal 2 2 8 2 2" xfId="17612"/>
    <cellStyle name="Normal 2 2 8 2 3" xfId="17613"/>
    <cellStyle name="Normal 2 2 8 3" xfId="17614"/>
    <cellStyle name="Normal 2 2 8 4" xfId="17615"/>
    <cellStyle name="Normal 2 2 9" xfId="17616"/>
    <cellStyle name="Normal 2 2_2_AP02X016 - KP Kunta" xfId="17682"/>
    <cellStyle name="Normal 2 20" xfId="17617"/>
    <cellStyle name="Normal 2 20 2" xfId="17618"/>
    <cellStyle name="Normal 2 20 3" xfId="17619"/>
    <cellStyle name="Normal 2 21" xfId="17620"/>
    <cellStyle name="Normal 2 21 2" xfId="17621"/>
    <cellStyle name="Normal 2 21 3" xfId="17622"/>
    <cellStyle name="Normal 2 22" xfId="17623"/>
    <cellStyle name="Normal 2 22 2" xfId="17624"/>
    <cellStyle name="Normal 2 22 3" xfId="17625"/>
    <cellStyle name="Normal 2 23" xfId="17626"/>
    <cellStyle name="Normal 2 23 2" xfId="17627"/>
    <cellStyle name="Normal 2 23 3" xfId="17628"/>
    <cellStyle name="Normal 2 23 4" xfId="17629"/>
    <cellStyle name="Normal 2 23 5" xfId="17630"/>
    <cellStyle name="Normal 2 23 6" xfId="17631"/>
    <cellStyle name="Normal 2 23 7" xfId="17632"/>
    <cellStyle name="Normal 2 23 8" xfId="17633"/>
    <cellStyle name="Normal 2 24" xfId="17634"/>
    <cellStyle name="Normal 2 24 2" xfId="17635"/>
    <cellStyle name="Normal 2 24 3" xfId="17636"/>
    <cellStyle name="Normal 2 24 4" xfId="17637"/>
    <cellStyle name="Normal 2 24 5" xfId="17638"/>
    <cellStyle name="Normal 2 24 6" xfId="17639"/>
    <cellStyle name="Normal 2 24 7" xfId="17640"/>
    <cellStyle name="Normal 2 24 8" xfId="17641"/>
    <cellStyle name="Normal 2 25" xfId="17642"/>
    <cellStyle name="Normal 2 25 2" xfId="17643"/>
    <cellStyle name="Normal 2 25 3" xfId="17644"/>
    <cellStyle name="Normal 2 25 4" xfId="17645"/>
    <cellStyle name="Normal 2 25 5" xfId="17646"/>
    <cellStyle name="Normal 2 25 6" xfId="17647"/>
    <cellStyle name="Normal 2 25 7" xfId="17648"/>
    <cellStyle name="Normal 2 25 8" xfId="17649"/>
    <cellStyle name="Normal 2 26" xfId="17650"/>
    <cellStyle name="Normal 2 26 2" xfId="17651"/>
    <cellStyle name="Normal 2 26 3" xfId="17652"/>
    <cellStyle name="Normal 2 26 4" xfId="17653"/>
    <cellStyle name="Normal 2 26 5" xfId="17654"/>
    <cellStyle name="Normal 2 26 6" xfId="17655"/>
    <cellStyle name="Normal 2 26 7" xfId="17656"/>
    <cellStyle name="Normal 2 26 8" xfId="17657"/>
    <cellStyle name="Normal 2 27" xfId="17658"/>
    <cellStyle name="Normal 2 27 2" xfId="17659"/>
    <cellStyle name="Normal 2 27 3" xfId="17660"/>
    <cellStyle name="Normal 2 27 4" xfId="17661"/>
    <cellStyle name="Normal 2 27 5" xfId="17662"/>
    <cellStyle name="Normal 2 27 6" xfId="17663"/>
    <cellStyle name="Normal 2 27 7" xfId="17664"/>
    <cellStyle name="Normal 2 27 8" xfId="17665"/>
    <cellStyle name="Normal 2 28" xfId="17666"/>
    <cellStyle name="Normal 2 28 2" xfId="17667"/>
    <cellStyle name="Normal 2 28 3" xfId="17668"/>
    <cellStyle name="Normal 2 28 4" xfId="17669"/>
    <cellStyle name="Normal 2 28 5" xfId="17670"/>
    <cellStyle name="Normal 2 28 6" xfId="17671"/>
    <cellStyle name="Normal 2 28 7" xfId="17672"/>
    <cellStyle name="Normal 2 28 8" xfId="17673"/>
    <cellStyle name="Normal 2 29" xfId="17674"/>
    <cellStyle name="Normal 2 29 2" xfId="17675"/>
    <cellStyle name="Normal 2 29 3" xfId="17676"/>
    <cellStyle name="Normal 2 29 4" xfId="17677"/>
    <cellStyle name="Normal 2 29 5" xfId="17678"/>
    <cellStyle name="Normal 2 29 6" xfId="17679"/>
    <cellStyle name="Normal 2 29 7" xfId="17680"/>
    <cellStyle name="Normal 2 29 8" xfId="17681"/>
    <cellStyle name="Normal 2 3" xfId="17683"/>
    <cellStyle name="Normal 2 3 10" xfId="17684"/>
    <cellStyle name="Normal 2 3 11" xfId="17685"/>
    <cellStyle name="Normal 2 3 12" xfId="17686"/>
    <cellStyle name="Normal 2 3 13" xfId="17687"/>
    <cellStyle name="Normal 2 3 14" xfId="17688"/>
    <cellStyle name="Normal 2 3 15" xfId="17689"/>
    <cellStyle name="Normal 2 3 16" xfId="17690"/>
    <cellStyle name="Normal 2 3 17" xfId="17691"/>
    <cellStyle name="Normal 2 3 18" xfId="17692"/>
    <cellStyle name="Normal 2 3 19" xfId="17693"/>
    <cellStyle name="Normal 2 3 2" xfId="17694"/>
    <cellStyle name="Normal 2 3 2 10" xfId="17695"/>
    <cellStyle name="Normal 2 3 2 11" xfId="17696"/>
    <cellStyle name="Normal 2 3 2 12" xfId="17697"/>
    <cellStyle name="Normal 2 3 2 13" xfId="17698"/>
    <cellStyle name="Normal 2 3 2 14" xfId="17699"/>
    <cellStyle name="Normal 2 3 2 15" xfId="17700"/>
    <cellStyle name="Normal 2 3 2 16" xfId="17701"/>
    <cellStyle name="Normal 2 3 2 17" xfId="17702"/>
    <cellStyle name="Normal 2 3 2 18" xfId="17703"/>
    <cellStyle name="Normal 2 3 2 19" xfId="17704"/>
    <cellStyle name="Normal 2 3 2 2" xfId="17705"/>
    <cellStyle name="Normal 2 3 2 2 2" xfId="17706"/>
    <cellStyle name="Normal 2 3 2 2 2 2" xfId="17707"/>
    <cellStyle name="Normal 2 3 2 2 2 3" xfId="17708"/>
    <cellStyle name="Normal 2 3 2 2 3" xfId="17709"/>
    <cellStyle name="Normal 2 3 2 2 4" xfId="30883"/>
    <cellStyle name="Normal 2 3 2 2_A- Internal Painting Qtys." xfId="17720"/>
    <cellStyle name="Normal 2 3 2 20" xfId="17710"/>
    <cellStyle name="Normal 2 3 2 21" xfId="17711"/>
    <cellStyle name="Normal 2 3 2 22" xfId="17712"/>
    <cellStyle name="Normal 2 3 2 23" xfId="17713"/>
    <cellStyle name="Normal 2 3 2 24" xfId="17714"/>
    <cellStyle name="Normal 2 3 2 25" xfId="17715"/>
    <cellStyle name="Normal 2 3 2 26" xfId="17716"/>
    <cellStyle name="Normal 2 3 2 27" xfId="17717"/>
    <cellStyle name="Normal 2 3 2 28" xfId="17718"/>
    <cellStyle name="Normal 2 3 2 29" xfId="17719"/>
    <cellStyle name="Normal 2 3 2 3" xfId="17721"/>
    <cellStyle name="Normal 2 3 2 3 2" xfId="17722"/>
    <cellStyle name="Normal 2 3 2 30" xfId="17723"/>
    <cellStyle name="Normal 2 3 2 31" xfId="17724"/>
    <cellStyle name="Normal 2 3 2 32" xfId="17725"/>
    <cellStyle name="Normal 2 3 2 33" xfId="17726"/>
    <cellStyle name="Normal 2 3 2 34" xfId="17727"/>
    <cellStyle name="Normal 2 3 2 35" xfId="17728"/>
    <cellStyle name="Normal 2 3 2 4" xfId="17729"/>
    <cellStyle name="Normal 2 3 2 4 2" xfId="17730"/>
    <cellStyle name="Normal 2 3 2 5" xfId="17731"/>
    <cellStyle name="Normal 2 3 2 6" xfId="17732"/>
    <cellStyle name="Normal 2 3 2 7" xfId="17733"/>
    <cellStyle name="Normal 2 3 2 8" xfId="17734"/>
    <cellStyle name="Normal 2 3 2 9" xfId="17735"/>
    <cellStyle name="Normal 2 3 2_A- Internal Painting Qtys." xfId="17746"/>
    <cellStyle name="Normal 2 3 20" xfId="17736"/>
    <cellStyle name="Normal 2 3 21" xfId="17737"/>
    <cellStyle name="Normal 2 3 22" xfId="17738"/>
    <cellStyle name="Normal 2 3 23" xfId="17739"/>
    <cellStyle name="Normal 2 3 24" xfId="17740"/>
    <cellStyle name="Normal 2 3 25" xfId="17741"/>
    <cellStyle name="Normal 2 3 26" xfId="17742"/>
    <cellStyle name="Normal 2 3 27" xfId="17743"/>
    <cellStyle name="Normal 2 3 28" xfId="17744"/>
    <cellStyle name="Normal 2 3 29" xfId="17745"/>
    <cellStyle name="Normal 2 3 3" xfId="17747"/>
    <cellStyle name="Normal 2 3 3 2" xfId="17748"/>
    <cellStyle name="Normal 2 3 30" xfId="17749"/>
    <cellStyle name="Normal 2 3 31" xfId="17750"/>
    <cellStyle name="Normal 2 3 32" xfId="17751"/>
    <cellStyle name="Normal 2 3 33" xfId="17752"/>
    <cellStyle name="Normal 2 3 34" xfId="17753"/>
    <cellStyle name="Normal 2 3 35" xfId="17754"/>
    <cellStyle name="Normal 2 3 36" xfId="17755"/>
    <cellStyle name="Normal 2 3 37" xfId="17756"/>
    <cellStyle name="Normal 2 3 4" xfId="17757"/>
    <cellStyle name="Normal 2 3 4 2" xfId="17758"/>
    <cellStyle name="Normal 2 3 5" xfId="17759"/>
    <cellStyle name="Normal 2 3 5 2" xfId="17760"/>
    <cellStyle name="Normal 2 3 6" xfId="17761"/>
    <cellStyle name="Normal 2 3 6 2" xfId="17762"/>
    <cellStyle name="Normal 2 3 7" xfId="17763"/>
    <cellStyle name="Normal 2 3 7 2" xfId="17764"/>
    <cellStyle name="Normal 2 3 8" xfId="17765"/>
    <cellStyle name="Normal 2 3 8 2" xfId="17766"/>
    <cellStyle name="Normal 2 3 9" xfId="17767"/>
    <cellStyle name="Normal 2 3 9 2" xfId="17768"/>
    <cellStyle name="Normal 2 3 9 2 2" xfId="17769"/>
    <cellStyle name="Normal 2 3 9 2 3" xfId="17770"/>
    <cellStyle name="Normal 2 3 9 2 4" xfId="17771"/>
    <cellStyle name="Normal 2 3 9 2 5" xfId="17772"/>
    <cellStyle name="Normal 2 3 9 3" xfId="17773"/>
    <cellStyle name="Normal 2 3 9 4" xfId="17774"/>
    <cellStyle name="Normal 2 3 9 5" xfId="17775"/>
    <cellStyle name="Normal 2 3_A- Internal Painting Qtys." xfId="17856"/>
    <cellStyle name="Normal 2 30" xfId="17776"/>
    <cellStyle name="Normal 2 30 2" xfId="17777"/>
    <cellStyle name="Normal 2 30 3" xfId="17778"/>
    <cellStyle name="Normal 2 30 4" xfId="17779"/>
    <cellStyle name="Normal 2 30 5" xfId="17780"/>
    <cellStyle name="Normal 2 30 6" xfId="17781"/>
    <cellStyle name="Normal 2 30 7" xfId="17782"/>
    <cellStyle name="Normal 2 30 8" xfId="17783"/>
    <cellStyle name="Normal 2 31" xfId="17784"/>
    <cellStyle name="Normal 2 31 2" xfId="17785"/>
    <cellStyle name="Normal 2 31 3" xfId="17786"/>
    <cellStyle name="Normal 2 31 4" xfId="17787"/>
    <cellStyle name="Normal 2 31 5" xfId="17788"/>
    <cellStyle name="Normal 2 31 6" xfId="17789"/>
    <cellStyle name="Normal 2 31 7" xfId="17790"/>
    <cellStyle name="Normal 2 31 8" xfId="17791"/>
    <cellStyle name="Normal 2 32" xfId="17792"/>
    <cellStyle name="Normal 2 32 2" xfId="17793"/>
    <cellStyle name="Normal 2 32 3" xfId="17794"/>
    <cellStyle name="Normal 2 32 4" xfId="17795"/>
    <cellStyle name="Normal 2 32 5" xfId="17796"/>
    <cellStyle name="Normal 2 32 6" xfId="17797"/>
    <cellStyle name="Normal 2 32 7" xfId="17798"/>
    <cellStyle name="Normal 2 32 8" xfId="17799"/>
    <cellStyle name="Normal 2 33" xfId="17800"/>
    <cellStyle name="Normal 2 33 2" xfId="17801"/>
    <cellStyle name="Normal 2 33 3" xfId="17802"/>
    <cellStyle name="Normal 2 33 4" xfId="17803"/>
    <cellStyle name="Normal 2 33 5" xfId="17804"/>
    <cellStyle name="Normal 2 33 6" xfId="17805"/>
    <cellStyle name="Normal 2 33 7" xfId="17806"/>
    <cellStyle name="Normal 2 33 8" xfId="17807"/>
    <cellStyle name="Normal 2 34" xfId="17808"/>
    <cellStyle name="Normal 2 34 2" xfId="17809"/>
    <cellStyle name="Normal 2 34 3" xfId="17810"/>
    <cellStyle name="Normal 2 34 4" xfId="17811"/>
    <cellStyle name="Normal 2 34 5" xfId="17812"/>
    <cellStyle name="Normal 2 34 6" xfId="17813"/>
    <cellStyle name="Normal 2 34 7" xfId="17814"/>
    <cellStyle name="Normal 2 34 8" xfId="17815"/>
    <cellStyle name="Normal 2 35" xfId="17816"/>
    <cellStyle name="Normal 2 35 2" xfId="17817"/>
    <cellStyle name="Normal 2 35 3" xfId="17818"/>
    <cellStyle name="Normal 2 35 4" xfId="17819"/>
    <cellStyle name="Normal 2 35 5" xfId="17820"/>
    <cellStyle name="Normal 2 35 6" xfId="17821"/>
    <cellStyle name="Normal 2 35 7" xfId="17822"/>
    <cellStyle name="Normal 2 35 8" xfId="17823"/>
    <cellStyle name="Normal 2 36" xfId="17824"/>
    <cellStyle name="Normal 2 36 2" xfId="17825"/>
    <cellStyle name="Normal 2 36 3" xfId="17826"/>
    <cellStyle name="Normal 2 36 4" xfId="17827"/>
    <cellStyle name="Normal 2 36 5" xfId="17828"/>
    <cellStyle name="Normal 2 36 6" xfId="17829"/>
    <cellStyle name="Normal 2 36 7" xfId="17830"/>
    <cellStyle name="Normal 2 36 8" xfId="17831"/>
    <cellStyle name="Normal 2 37" xfId="17832"/>
    <cellStyle name="Normal 2 37 2" xfId="17833"/>
    <cellStyle name="Normal 2 37 3" xfId="17834"/>
    <cellStyle name="Normal 2 37 4" xfId="17835"/>
    <cellStyle name="Normal 2 37 5" xfId="17836"/>
    <cellStyle name="Normal 2 37 6" xfId="17837"/>
    <cellStyle name="Normal 2 37 7" xfId="17838"/>
    <cellStyle name="Normal 2 37 8" xfId="17839"/>
    <cellStyle name="Normal 2 38" xfId="17840"/>
    <cellStyle name="Normal 2 38 2" xfId="17841"/>
    <cellStyle name="Normal 2 38 3" xfId="17842"/>
    <cellStyle name="Normal 2 38 4" xfId="17843"/>
    <cellStyle name="Normal 2 38 5" xfId="17844"/>
    <cellStyle name="Normal 2 38 6" xfId="17845"/>
    <cellStyle name="Normal 2 38 7" xfId="17846"/>
    <cellStyle name="Normal 2 38 8" xfId="17847"/>
    <cellStyle name="Normal 2 39" xfId="17848"/>
    <cellStyle name="Normal 2 39 2" xfId="17849"/>
    <cellStyle name="Normal 2 39 3" xfId="17850"/>
    <cellStyle name="Normal 2 39 4" xfId="17851"/>
    <cellStyle name="Normal 2 39 5" xfId="17852"/>
    <cellStyle name="Normal 2 39 6" xfId="17853"/>
    <cellStyle name="Normal 2 39 7" xfId="17854"/>
    <cellStyle name="Normal 2 39 8" xfId="17855"/>
    <cellStyle name="Normal 2 4" xfId="17857"/>
    <cellStyle name="Normal 2 4 2" xfId="17858"/>
    <cellStyle name="Normal 2 4 2 10" xfId="17859"/>
    <cellStyle name="Normal 2 4 2 2" xfId="17860"/>
    <cellStyle name="Normal 2 4 2 3" xfId="17861"/>
    <cellStyle name="Normal 2 4 2 4" xfId="17862"/>
    <cellStyle name="Normal 2 4 2 5" xfId="17863"/>
    <cellStyle name="Normal 2 4 2 6" xfId="17864"/>
    <cellStyle name="Normal 2 4 2 7" xfId="17865"/>
    <cellStyle name="Normal 2 4 2 8" xfId="17866"/>
    <cellStyle name="Normal 2 4 2 9" xfId="17867"/>
    <cellStyle name="Normal 2 4 2_NERELLA ADDITIONAL CLASS ROOMS IN FF" xfId="17868"/>
    <cellStyle name="Normal 2 4 3" xfId="17869"/>
    <cellStyle name="Normal 2 4 4" xfId="17870"/>
    <cellStyle name="Normal 2 4 4 2" xfId="17871"/>
    <cellStyle name="Normal 2 4 4 2 2" xfId="17872"/>
    <cellStyle name="Normal 2 4 4 2 2 2" xfId="17873"/>
    <cellStyle name="Normal 2 4 4 2 2 3" xfId="17874"/>
    <cellStyle name="Normal 2 4 4 2 3" xfId="17875"/>
    <cellStyle name="Normal 2 4 4 2 3 2" xfId="17876"/>
    <cellStyle name="Normal 2 4 4 2 3 3" xfId="17877"/>
    <cellStyle name="Normal 2 4 4 2 4" xfId="17878"/>
    <cellStyle name="Normal 2 4 4 2 5" xfId="17879"/>
    <cellStyle name="Normal 2 4 4 3" xfId="17880"/>
    <cellStyle name="Normal 2 4 4 3 2" xfId="17881"/>
    <cellStyle name="Normal 2 4 4 3 2 2" xfId="17882"/>
    <cellStyle name="Normal 2 4 4 3 2 3" xfId="17883"/>
    <cellStyle name="Normal 2 4 4 3 3" xfId="17884"/>
    <cellStyle name="Normal 2 4 4 3 4" xfId="17885"/>
    <cellStyle name="Normal 2 4 4 4" xfId="17886"/>
    <cellStyle name="Normal 2 4 4 4 2" xfId="17887"/>
    <cellStyle name="Normal 2 4 4 4 2 2" xfId="17888"/>
    <cellStyle name="Normal 2 4 4 4 2 3" xfId="17889"/>
    <cellStyle name="Normal 2 4 4 4 3" xfId="17890"/>
    <cellStyle name="Normal 2 4 4 4 4" xfId="17891"/>
    <cellStyle name="Normal 2 4 4 5" xfId="17892"/>
    <cellStyle name="Normal 2 4 4 5 2" xfId="17893"/>
    <cellStyle name="Normal 2 4 4 5 3" xfId="17894"/>
    <cellStyle name="Normal 2 4 4 6" xfId="17895"/>
    <cellStyle name="Normal 2 4 4 6 2" xfId="17896"/>
    <cellStyle name="Normal 2 4 4 6 3" xfId="17897"/>
    <cellStyle name="Normal 2 4 4 7" xfId="17898"/>
    <cellStyle name="Normal 2 4 4 8" xfId="17899"/>
    <cellStyle name="Normal 2 4 5" xfId="17900"/>
    <cellStyle name="Normal 2 4_AH Mancherial Estimate" xfId="17981"/>
    <cellStyle name="Normal 2 40" xfId="17901"/>
    <cellStyle name="Normal 2 40 2" xfId="17902"/>
    <cellStyle name="Normal 2 40 3" xfId="17903"/>
    <cellStyle name="Normal 2 40 4" xfId="17904"/>
    <cellStyle name="Normal 2 40 5" xfId="17905"/>
    <cellStyle name="Normal 2 40 6" xfId="17906"/>
    <cellStyle name="Normal 2 40 7" xfId="17907"/>
    <cellStyle name="Normal 2 40 8" xfId="17908"/>
    <cellStyle name="Normal 2 41" xfId="17909"/>
    <cellStyle name="Normal 2 41 2" xfId="17910"/>
    <cellStyle name="Normal 2 41 3" xfId="17911"/>
    <cellStyle name="Normal 2 41 4" xfId="17912"/>
    <cellStyle name="Normal 2 41 5" xfId="17913"/>
    <cellStyle name="Normal 2 41 6" xfId="17914"/>
    <cellStyle name="Normal 2 41 7" xfId="17915"/>
    <cellStyle name="Normal 2 41 8" xfId="17916"/>
    <cellStyle name="Normal 2 42" xfId="17917"/>
    <cellStyle name="Normal 2 42 2" xfId="17918"/>
    <cellStyle name="Normal 2 42 3" xfId="17919"/>
    <cellStyle name="Normal 2 42 4" xfId="17920"/>
    <cellStyle name="Normal 2 42 5" xfId="17921"/>
    <cellStyle name="Normal 2 42 6" xfId="17922"/>
    <cellStyle name="Normal 2 42 7" xfId="17923"/>
    <cellStyle name="Normal 2 42 8" xfId="17924"/>
    <cellStyle name="Normal 2 43" xfId="17925"/>
    <cellStyle name="Normal 2 43 2" xfId="17926"/>
    <cellStyle name="Normal 2 43 3" xfId="17927"/>
    <cellStyle name="Normal 2 43 4" xfId="17928"/>
    <cellStyle name="Normal 2 43 5" xfId="17929"/>
    <cellStyle name="Normal 2 43 6" xfId="17930"/>
    <cellStyle name="Normal 2 43 7" xfId="17931"/>
    <cellStyle name="Normal 2 43 8" xfId="17932"/>
    <cellStyle name="Normal 2 44" xfId="17933"/>
    <cellStyle name="Normal 2 44 2" xfId="17934"/>
    <cellStyle name="Normal 2 44 3" xfId="17935"/>
    <cellStyle name="Normal 2 44 4" xfId="17936"/>
    <cellStyle name="Normal 2 44 5" xfId="17937"/>
    <cellStyle name="Normal 2 44 6" xfId="17938"/>
    <cellStyle name="Normal 2 44 7" xfId="17939"/>
    <cellStyle name="Normal 2 44 8" xfId="17940"/>
    <cellStyle name="Normal 2 45" xfId="17941"/>
    <cellStyle name="Normal 2 45 2" xfId="17942"/>
    <cellStyle name="Normal 2 45 3" xfId="17943"/>
    <cellStyle name="Normal 2 45 4" xfId="17944"/>
    <cellStyle name="Normal 2 45 5" xfId="17945"/>
    <cellStyle name="Normal 2 45 6" xfId="17946"/>
    <cellStyle name="Normal 2 45 7" xfId="17947"/>
    <cellStyle name="Normal 2 45 8" xfId="17948"/>
    <cellStyle name="Normal 2 46" xfId="17949"/>
    <cellStyle name="Normal 2 46 2" xfId="17950"/>
    <cellStyle name="Normal 2 46 3" xfId="17951"/>
    <cellStyle name="Normal 2 46 4" xfId="17952"/>
    <cellStyle name="Normal 2 46 5" xfId="17953"/>
    <cellStyle name="Normal 2 46 6" xfId="17954"/>
    <cellStyle name="Normal 2 46 7" xfId="17955"/>
    <cellStyle name="Normal 2 46 8" xfId="17956"/>
    <cellStyle name="Normal 2 47" xfId="17957"/>
    <cellStyle name="Normal 2 47 2" xfId="17958"/>
    <cellStyle name="Normal 2 47 3" xfId="17959"/>
    <cellStyle name="Normal 2 47 4" xfId="17960"/>
    <cellStyle name="Normal 2 47 5" xfId="17961"/>
    <cellStyle name="Normal 2 47 6" xfId="17962"/>
    <cellStyle name="Normal 2 47 7" xfId="17963"/>
    <cellStyle name="Normal 2 47 8" xfId="17964"/>
    <cellStyle name="Normal 2 48" xfId="17965"/>
    <cellStyle name="Normal 2 48 2" xfId="17966"/>
    <cellStyle name="Normal 2 48 3" xfId="17967"/>
    <cellStyle name="Normal 2 48 4" xfId="17968"/>
    <cellStyle name="Normal 2 48 5" xfId="17969"/>
    <cellStyle name="Normal 2 48 6" xfId="17970"/>
    <cellStyle name="Normal 2 48 7" xfId="17971"/>
    <cellStyle name="Normal 2 48 8" xfId="17972"/>
    <cellStyle name="Normal 2 49" xfId="17973"/>
    <cellStyle name="Normal 2 49 2" xfId="17974"/>
    <cellStyle name="Normal 2 49 3" xfId="17975"/>
    <cellStyle name="Normal 2 49 4" xfId="17976"/>
    <cellStyle name="Normal 2 49 5" xfId="17977"/>
    <cellStyle name="Normal 2 49 6" xfId="17978"/>
    <cellStyle name="Normal 2 49 7" xfId="17979"/>
    <cellStyle name="Normal 2 49 8" xfId="17980"/>
    <cellStyle name="Normal 2 5" xfId="17982"/>
    <cellStyle name="Normal 2 5 2" xfId="17983"/>
    <cellStyle name="Normal 2 5 2 2" xfId="17984"/>
    <cellStyle name="Normal 2 5 2 3" xfId="17985"/>
    <cellStyle name="Normal 2 5 2 3 2" xfId="17986"/>
    <cellStyle name="Normal 2 5 2 3 2 2" xfId="17987"/>
    <cellStyle name="Normal 2 5 2 3 2 3" xfId="17988"/>
    <cellStyle name="Normal 2 5 2 3 3" xfId="17989"/>
    <cellStyle name="Normal 2 5 2 3 4" xfId="17990"/>
    <cellStyle name="Normal 2 5 2 4" xfId="17991"/>
    <cellStyle name="Normal 2 5 2 4 2" xfId="17992"/>
    <cellStyle name="Normal 2 5 2 4 3" xfId="17993"/>
    <cellStyle name="Normal 2 5 2 5" xfId="17994"/>
    <cellStyle name="Normal 2 5 2 6" xfId="17995"/>
    <cellStyle name="Normal 2 5 3" xfId="17996"/>
    <cellStyle name="Normal 2 5 3 2" xfId="17997"/>
    <cellStyle name="Normal 2 5 3 2 2" xfId="17998"/>
    <cellStyle name="Normal 2 5 3 2 3" xfId="17999"/>
    <cellStyle name="Normal 2 5 3 3" xfId="18000"/>
    <cellStyle name="Normal 2 5 3 4" xfId="18001"/>
    <cellStyle name="Normal 2 5 4" xfId="18002"/>
    <cellStyle name="Normal 2 5 4 2" xfId="18003"/>
    <cellStyle name="Normal 2 5 4 2 2" xfId="18004"/>
    <cellStyle name="Normal 2 5 4 2 3" xfId="18005"/>
    <cellStyle name="Normal 2 5 4 3" xfId="18006"/>
    <cellStyle name="Normal 2 5 4 4" xfId="18007"/>
    <cellStyle name="Normal 2 5 5" xfId="18008"/>
    <cellStyle name="Normal 2 5 5 2" xfId="18009"/>
    <cellStyle name="Normal 2 5 5 2 2" xfId="18010"/>
    <cellStyle name="Normal 2 5 5 2 3" xfId="18011"/>
    <cellStyle name="Normal 2 5 5 3" xfId="18012"/>
    <cellStyle name="Normal 2 5 5 4" xfId="18013"/>
    <cellStyle name="Normal 2 5 6" xfId="18014"/>
    <cellStyle name="Normal 2 5 6 2" xfId="18015"/>
    <cellStyle name="Normal 2 5 6 2 2" xfId="18016"/>
    <cellStyle name="Normal 2 5 6 2 3" xfId="18017"/>
    <cellStyle name="Normal 2 5 6 3" xfId="18018"/>
    <cellStyle name="Normal 2 5 6 4" xfId="18019"/>
    <cellStyle name="Normal 2 50" xfId="18020"/>
    <cellStyle name="Normal 2 50 2" xfId="18021"/>
    <cellStyle name="Normal 2 50 3" xfId="18022"/>
    <cellStyle name="Normal 2 50 4" xfId="18023"/>
    <cellStyle name="Normal 2 50 5" xfId="18024"/>
    <cellStyle name="Normal 2 50 6" xfId="18025"/>
    <cellStyle name="Normal 2 50 7" xfId="18026"/>
    <cellStyle name="Normal 2 50 8" xfId="18027"/>
    <cellStyle name="Normal 2 51" xfId="18028"/>
    <cellStyle name="Normal 2 51 2" xfId="18029"/>
    <cellStyle name="Normal 2 51 3" xfId="18030"/>
    <cellStyle name="Normal 2 51 4" xfId="18031"/>
    <cellStyle name="Normal 2 51 5" xfId="18032"/>
    <cellStyle name="Normal 2 51 6" xfId="18033"/>
    <cellStyle name="Normal 2 51 7" xfId="18034"/>
    <cellStyle name="Normal 2 51 8" xfId="18035"/>
    <cellStyle name="Normal 2 52" xfId="18036"/>
    <cellStyle name="Normal 2 52 2" xfId="18037"/>
    <cellStyle name="Normal 2 52 3" xfId="18038"/>
    <cellStyle name="Normal 2 52 4" xfId="18039"/>
    <cellStyle name="Normal 2 52 5" xfId="18040"/>
    <cellStyle name="Normal 2 52 6" xfId="18041"/>
    <cellStyle name="Normal 2 52 7" xfId="18042"/>
    <cellStyle name="Normal 2 52 8" xfId="18043"/>
    <cellStyle name="Normal 2 53" xfId="18044"/>
    <cellStyle name="Normal 2 53 2" xfId="18045"/>
    <cellStyle name="Normal 2 53 3" xfId="18046"/>
    <cellStyle name="Normal 2 53 4" xfId="18047"/>
    <cellStyle name="Normal 2 53 5" xfId="18048"/>
    <cellStyle name="Normal 2 53 6" xfId="18049"/>
    <cellStyle name="Normal 2 53 7" xfId="18050"/>
    <cellStyle name="Normal 2 53 8" xfId="18051"/>
    <cellStyle name="Normal 2 54" xfId="18052"/>
    <cellStyle name="Normal 2 54 2" xfId="18053"/>
    <cellStyle name="Normal 2 54 3" xfId="18054"/>
    <cellStyle name="Normal 2 54 4" xfId="18055"/>
    <cellStyle name="Normal 2 54 5" xfId="18056"/>
    <cellStyle name="Normal 2 54 6" xfId="18057"/>
    <cellStyle name="Normal 2 54 7" xfId="18058"/>
    <cellStyle name="Normal 2 54 8" xfId="18059"/>
    <cellStyle name="Normal 2 55" xfId="18060"/>
    <cellStyle name="Normal 2 55 2" xfId="18061"/>
    <cellStyle name="Normal 2 55 3" xfId="18062"/>
    <cellStyle name="Normal 2 55 4" xfId="18063"/>
    <cellStyle name="Normal 2 55 5" xfId="18064"/>
    <cellStyle name="Normal 2 55 6" xfId="18065"/>
    <cellStyle name="Normal 2 55 7" xfId="18066"/>
    <cellStyle name="Normal 2 55 8" xfId="18067"/>
    <cellStyle name="Normal 2 56" xfId="18068"/>
    <cellStyle name="Normal 2 56 2" xfId="18069"/>
    <cellStyle name="Normal 2 56 3" xfId="18070"/>
    <cellStyle name="Normal 2 56 4" xfId="18071"/>
    <cellStyle name="Normal 2 56 5" xfId="18072"/>
    <cellStyle name="Normal 2 56 6" xfId="18073"/>
    <cellStyle name="Normal 2 56 7" xfId="18074"/>
    <cellStyle name="Normal 2 56 8" xfId="18075"/>
    <cellStyle name="Normal 2 57" xfId="18076"/>
    <cellStyle name="Normal 2 57 2" xfId="18077"/>
    <cellStyle name="Normal 2 57 3" xfId="18078"/>
    <cellStyle name="Normal 2 57 4" xfId="18079"/>
    <cellStyle name="Normal 2 57 5" xfId="18080"/>
    <cellStyle name="Normal 2 57 6" xfId="18081"/>
    <cellStyle name="Normal 2 57 7" xfId="18082"/>
    <cellStyle name="Normal 2 57 8" xfId="18083"/>
    <cellStyle name="Normal 2 58" xfId="18084"/>
    <cellStyle name="Normal 2 58 2" xfId="18085"/>
    <cellStyle name="Normal 2 58 3" xfId="18086"/>
    <cellStyle name="Normal 2 58 4" xfId="18087"/>
    <cellStyle name="Normal 2 58 5" xfId="18088"/>
    <cellStyle name="Normal 2 58 6" xfId="18089"/>
    <cellStyle name="Normal 2 58 7" xfId="18090"/>
    <cellStyle name="Normal 2 58 8" xfId="18091"/>
    <cellStyle name="Normal 2 59" xfId="18092"/>
    <cellStyle name="Normal 2 59 2" xfId="18093"/>
    <cellStyle name="Normal 2 59 3" xfId="18094"/>
    <cellStyle name="Normal 2 59 4" xfId="18095"/>
    <cellStyle name="Normal 2 59 5" xfId="18096"/>
    <cellStyle name="Normal 2 59 6" xfId="18097"/>
    <cellStyle name="Normal 2 59 7" xfId="18098"/>
    <cellStyle name="Normal 2 59 8" xfId="18099"/>
    <cellStyle name="Normal 2 6" xfId="18100"/>
    <cellStyle name="Normal 2 6 10" xfId="18101"/>
    <cellStyle name="Normal 2 6 11" xfId="18102"/>
    <cellStyle name="Normal 2 6 12" xfId="18103"/>
    <cellStyle name="Normal 2 6 13" xfId="18104"/>
    <cellStyle name="Normal 2 6 14" xfId="18105"/>
    <cellStyle name="Normal 2 6 15" xfId="18106"/>
    <cellStyle name="Normal 2 6 16" xfId="18107"/>
    <cellStyle name="Normal 2 6 17" xfId="18108"/>
    <cellStyle name="Normal 2 6 18" xfId="18109"/>
    <cellStyle name="Normal 2 6 19" xfId="18110"/>
    <cellStyle name="Normal 2 6 2" xfId="18111"/>
    <cellStyle name="Normal 2 6 2 2" xfId="18112"/>
    <cellStyle name="Normal 2 6 2 2 2" xfId="18113"/>
    <cellStyle name="Normal 2 6 2 2 2 2" xfId="18114"/>
    <cellStyle name="Normal 2 6 2 2 2 2 2" xfId="18115"/>
    <cellStyle name="Normal 2 6 2 2 2 2 3" xfId="18116"/>
    <cellStyle name="Normal 2 6 2 2 2 3" xfId="18117"/>
    <cellStyle name="Normal 2 6 2 2 2 4" xfId="18118"/>
    <cellStyle name="Normal 2 6 3" xfId="18119"/>
    <cellStyle name="Normal 2 6 4" xfId="18120"/>
    <cellStyle name="Normal 2 6 5" xfId="18121"/>
    <cellStyle name="Normal 2 6 6" xfId="18122"/>
    <cellStyle name="Normal 2 6 7" xfId="18123"/>
    <cellStyle name="Normal 2 6 8" xfId="18124"/>
    <cellStyle name="Normal 2 6 9" xfId="18125"/>
    <cellStyle name="Normal 2 60" xfId="18126"/>
    <cellStyle name="Normal 2 60 2" xfId="18127"/>
    <cellStyle name="Normal 2 60 3" xfId="18128"/>
    <cellStyle name="Normal 2 60 4" xfId="18129"/>
    <cellStyle name="Normal 2 60 5" xfId="18130"/>
    <cellStyle name="Normal 2 60 6" xfId="18131"/>
    <cellStyle name="Normal 2 60 7" xfId="18132"/>
    <cellStyle name="Normal 2 60 8" xfId="18133"/>
    <cellStyle name="Normal 2 61" xfId="18134"/>
    <cellStyle name="Normal 2 61 2" xfId="18135"/>
    <cellStyle name="Normal 2 61 3" xfId="18136"/>
    <cellStyle name="Normal 2 61 4" xfId="18137"/>
    <cellStyle name="Normal 2 61 5" xfId="18138"/>
    <cellStyle name="Normal 2 61 6" xfId="18139"/>
    <cellStyle name="Normal 2 61 7" xfId="18140"/>
    <cellStyle name="Normal 2 61 8" xfId="18141"/>
    <cellStyle name="Normal 2 61 9" xfId="18142"/>
    <cellStyle name="Normal 2 62" xfId="18143"/>
    <cellStyle name="Normal 2 62 2" xfId="18144"/>
    <cellStyle name="Normal 2 62 3" xfId="18145"/>
    <cellStyle name="Normal 2 62 4" xfId="18146"/>
    <cellStyle name="Normal 2 62 5" xfId="18147"/>
    <cellStyle name="Normal 2 62 6" xfId="18148"/>
    <cellStyle name="Normal 2 62 7" xfId="18149"/>
    <cellStyle name="Normal 2 62 8" xfId="18150"/>
    <cellStyle name="Normal 2 63" xfId="18151"/>
    <cellStyle name="Normal 2 63 2" xfId="18152"/>
    <cellStyle name="Normal 2 63 3" xfId="18153"/>
    <cellStyle name="Normal 2 63 4" xfId="18154"/>
    <cellStyle name="Normal 2 63 5" xfId="18155"/>
    <cellStyle name="Normal 2 63 6" xfId="18156"/>
    <cellStyle name="Normal 2 63 7" xfId="18157"/>
    <cellStyle name="Normal 2 63 8" xfId="18158"/>
    <cellStyle name="Normal 2 64" xfId="18159"/>
    <cellStyle name="Normal 2 65" xfId="18160"/>
    <cellStyle name="Normal 2 66" xfId="18161"/>
    <cellStyle name="Normal 2 67" xfId="18162"/>
    <cellStyle name="Normal 2 68" xfId="18163"/>
    <cellStyle name="Normal 2 7" xfId="18164"/>
    <cellStyle name="Normal 2 7 10" xfId="18165"/>
    <cellStyle name="Normal 2 7 11" xfId="18166"/>
    <cellStyle name="Normal 2 7 2" xfId="18167"/>
    <cellStyle name="Normal 2 7 2 2" xfId="18168"/>
    <cellStyle name="Normal 2 7 3" xfId="18169"/>
    <cellStyle name="Normal 2 7 4" xfId="18170"/>
    <cellStyle name="Normal 2 7 5" xfId="18171"/>
    <cellStyle name="Normal 2 7 6" xfId="18172"/>
    <cellStyle name="Normal 2 7 7" xfId="18173"/>
    <cellStyle name="Normal 2 7 8" xfId="18174"/>
    <cellStyle name="Normal 2 7 9" xfId="18175"/>
    <cellStyle name="Normal 2 8" xfId="18176"/>
    <cellStyle name="Normal 2 8 2" xfId="18177"/>
    <cellStyle name="Normal 2 8 2 2" xfId="18178"/>
    <cellStyle name="Normal 2 8 3" xfId="18179"/>
    <cellStyle name="Normal 2 9" xfId="18180"/>
    <cellStyle name="Normal 2 9 2" xfId="18181"/>
    <cellStyle name="Normal 2 9 2 2" xfId="18182"/>
    <cellStyle name="Normal 2 9 3" xfId="18183"/>
    <cellStyle name="Normal 2_ ZPHS (G) at Enkoor (V&amp;M) 22.08 L" xfId="22342"/>
    <cellStyle name="Normal 20" xfId="18184"/>
    <cellStyle name="Normal 20 2" xfId="18185"/>
    <cellStyle name="Normal 20 2 2" xfId="18186"/>
    <cellStyle name="Normal 20 2 2 2" xfId="18187"/>
    <cellStyle name="Normal 20 2 2 2 2" xfId="18188"/>
    <cellStyle name="Normal 20 2 2 2 3" xfId="18189"/>
    <cellStyle name="Normal 20 2 2 3" xfId="18190"/>
    <cellStyle name="Normal 20 2 2 3 2" xfId="18191"/>
    <cellStyle name="Normal 20 2 2 3 3" xfId="18192"/>
    <cellStyle name="Normal 20 2 2 4" xfId="18193"/>
    <cellStyle name="Normal 20 2 2 5" xfId="18194"/>
    <cellStyle name="Normal 20 2 3" xfId="18195"/>
    <cellStyle name="Normal 20 2 4" xfId="18196"/>
    <cellStyle name="Normal 20 2 4 2" xfId="18197"/>
    <cellStyle name="Normal 20 2 4 2 2" xfId="18198"/>
    <cellStyle name="Normal 20 2 4 2 3" xfId="18199"/>
    <cellStyle name="Normal 20 2 4 3" xfId="18200"/>
    <cellStyle name="Normal 20 2 4 4" xfId="18201"/>
    <cellStyle name="Normal 20 2 5" xfId="18202"/>
    <cellStyle name="Normal 20 2 5 2" xfId="18203"/>
    <cellStyle name="Normal 20 2 5 3" xfId="18204"/>
    <cellStyle name="Normal 20 2 6" xfId="18205"/>
    <cellStyle name="Normal 20 2 6 2" xfId="18206"/>
    <cellStyle name="Normal 20 2 6 3" xfId="18207"/>
    <cellStyle name="Normal 20 2 7" xfId="18208"/>
    <cellStyle name="Normal 20 2 8" xfId="18209"/>
    <cellStyle name="Normal 20 3" xfId="18210"/>
    <cellStyle name="Normal 20 4" xfId="18211"/>
    <cellStyle name="Normal 20 4 2" xfId="18212"/>
    <cellStyle name="Normal 20 4 2 2" xfId="18213"/>
    <cellStyle name="Normal 20 4 2 3" xfId="18214"/>
    <cellStyle name="Normal 20 4 3" xfId="18215"/>
    <cellStyle name="Normal 20 4 4" xfId="18216"/>
    <cellStyle name="Normal 20 5" xfId="18217"/>
    <cellStyle name="Normal 20 5 2" xfId="18218"/>
    <cellStyle name="Normal 20 5 2 2" xfId="18219"/>
    <cellStyle name="Normal 20 5 2 3" xfId="18220"/>
    <cellStyle name="Normal 20 5 3" xfId="18221"/>
    <cellStyle name="Normal 20 5 4" xfId="18222"/>
    <cellStyle name="Normal 20 6" xfId="18223"/>
    <cellStyle name="Normal 20 6 2" xfId="18224"/>
    <cellStyle name="Normal 20 6 2 2" xfId="18225"/>
    <cellStyle name="Normal 20 6 2 3" xfId="18226"/>
    <cellStyle name="Normal 20 6 3" xfId="18227"/>
    <cellStyle name="Normal 20 6 4" xfId="18228"/>
    <cellStyle name="Normal 20 7" xfId="18229"/>
    <cellStyle name="Normal 20 7 2" xfId="18230"/>
    <cellStyle name="Normal 20 7 2 2" xfId="18231"/>
    <cellStyle name="Normal 20 7 2 3" xfId="18232"/>
    <cellStyle name="Normal 20 7 3" xfId="18233"/>
    <cellStyle name="Normal 20 7 4" xfId="18234"/>
    <cellStyle name="Normal 20_M.BOOK" xfId="18235"/>
    <cellStyle name="Normal 21" xfId="18236"/>
    <cellStyle name="Normal 21 10" xfId="18237"/>
    <cellStyle name="Normal 21 11" xfId="18238"/>
    <cellStyle name="Normal 21 2" xfId="18239"/>
    <cellStyle name="Normal 21 2 2" xfId="18240"/>
    <cellStyle name="Normal 21 2 2 2" xfId="18241"/>
    <cellStyle name="Normal 21 2 2 2 2" xfId="18242"/>
    <cellStyle name="Normal 21 2 2 2 3" xfId="18243"/>
    <cellStyle name="Normal 21 2 2 3" xfId="18244"/>
    <cellStyle name="Normal 21 2 2 4" xfId="18245"/>
    <cellStyle name="Normal 21 2 3" xfId="18246"/>
    <cellStyle name="Normal 21 3" xfId="18247"/>
    <cellStyle name="Normal 21 3 10" xfId="18248"/>
    <cellStyle name="Normal 21 3 11" xfId="18249"/>
    <cellStyle name="Normal 21 3 12" xfId="18250"/>
    <cellStyle name="Normal 21 3 13" xfId="18251"/>
    <cellStyle name="Normal 21 3 14" xfId="18252"/>
    <cellStyle name="Normal 21 3 15" xfId="18253"/>
    <cellStyle name="Normal 21 3 16" xfId="18254"/>
    <cellStyle name="Normal 21 3 17" xfId="18255"/>
    <cellStyle name="Normal 21 3 2" xfId="18256"/>
    <cellStyle name="Normal 21 3 2 10" xfId="18257"/>
    <cellStyle name="Normal 21 3 2 11" xfId="18258"/>
    <cellStyle name="Normal 21 3 2 12" xfId="18259"/>
    <cellStyle name="Normal 21 3 2 13" xfId="18260"/>
    <cellStyle name="Normal 21 3 2 14" xfId="18261"/>
    <cellStyle name="Normal 21 3 2 15" xfId="18262"/>
    <cellStyle name="Normal 21 3 2 16" xfId="18263"/>
    <cellStyle name="Normal 21 3 2 2" xfId="18264"/>
    <cellStyle name="Normal 21 3 2 2 2" xfId="18265"/>
    <cellStyle name="Normal 21 3 2 2 2 2" xfId="18266"/>
    <cellStyle name="Normal 21 3 2 2 2 2 2" xfId="18267"/>
    <cellStyle name="Normal 21 3 2 2 2 2 2 2" xfId="18268"/>
    <cellStyle name="Normal 21 3 2 2 2 2 2 2 2" xfId="18269"/>
    <cellStyle name="Normal 21 3 2 2 2 2 2 2 2 2" xfId="18270"/>
    <cellStyle name="Normal 21 3 2 2 2 2 2 2 2 2 2" xfId="18271"/>
    <cellStyle name="Normal 21 3 2 2 2 2 2 2 2 2 3" xfId="18272"/>
    <cellStyle name="Normal 21 3 2 2 2 2 2 2 2 3" xfId="18273"/>
    <cellStyle name="Normal 21 3 2 2 2 2 2 2 2 4" xfId="18274"/>
    <cellStyle name="Normal 21 3 2 2 2 2 2 2 3" xfId="18275"/>
    <cellStyle name="Normal 21 3 2 2 2 2 2 2 3 2" xfId="18276"/>
    <cellStyle name="Normal 21 3 2 2 2 2 2 2 3 3" xfId="18277"/>
    <cellStyle name="Normal 21 3 2 2 2 2 2 2 4" xfId="18278"/>
    <cellStyle name="Normal 21 3 2 2 2 2 2 2 5" xfId="18279"/>
    <cellStyle name="Normal 21 3 2 2 2 2 2 3" xfId="18280"/>
    <cellStyle name="Normal 21 3 2 2 2 2 2 3 2" xfId="18281"/>
    <cellStyle name="Normal 21 3 2 2 2 2 2 3 3" xfId="18282"/>
    <cellStyle name="Normal 21 3 2 2 2 2 2 4" xfId="18283"/>
    <cellStyle name="Normal 21 3 2 2 2 2 2 5" xfId="18284"/>
    <cellStyle name="Normal 21 3 2 2 2 2 3" xfId="18285"/>
    <cellStyle name="Normal 21 3 2 2 2 2 3 2" xfId="18286"/>
    <cellStyle name="Normal 21 3 2 2 2 2 3 3" xfId="18287"/>
    <cellStyle name="Normal 21 3 2 2 2 2 4" xfId="18288"/>
    <cellStyle name="Normal 21 3 2 2 2 2 5" xfId="18289"/>
    <cellStyle name="Normal 21 3 2 2 2 3" xfId="18290"/>
    <cellStyle name="Normal 21 3 2 2 2 3 2" xfId="18291"/>
    <cellStyle name="Normal 21 3 2 2 2 3 2 2" xfId="18292"/>
    <cellStyle name="Normal 21 3 2 2 2 3 2 3" xfId="18293"/>
    <cellStyle name="Normal 21 3 2 2 2 3 3" xfId="18294"/>
    <cellStyle name="Normal 21 3 2 2 2 3 4" xfId="18295"/>
    <cellStyle name="Normal 21 3 2 2 2 4" xfId="18296"/>
    <cellStyle name="Normal 21 3 2 2 2 4 2" xfId="18297"/>
    <cellStyle name="Normal 21 3 2 2 2 4 3" xfId="18298"/>
    <cellStyle name="Normal 21 3 2 2 2 5" xfId="18299"/>
    <cellStyle name="Normal 21 3 2 2 2 6" xfId="18300"/>
    <cellStyle name="Normal 21 3 2 2 3" xfId="18301"/>
    <cellStyle name="Normal 21 3 2 2 3 2" xfId="18302"/>
    <cellStyle name="Normal 21 3 2 2 3 3" xfId="18303"/>
    <cellStyle name="Normal 21 3 2 2 4" xfId="18304"/>
    <cellStyle name="Normal 21 3 2 2 5" xfId="18305"/>
    <cellStyle name="Normal 21 3 2 3" xfId="18306"/>
    <cellStyle name="Normal 21 3 2 4" xfId="18307"/>
    <cellStyle name="Normal 21 3 2 5" xfId="18308"/>
    <cellStyle name="Normal 21 3 2 6" xfId="18309"/>
    <cellStyle name="Normal 21 3 2 7" xfId="18310"/>
    <cellStyle name="Normal 21 3 2 8" xfId="18311"/>
    <cellStyle name="Normal 21 3 2 9" xfId="18312"/>
    <cellStyle name="Normal 21 3 3" xfId="18313"/>
    <cellStyle name="Normal 21 3 3 2" xfId="18314"/>
    <cellStyle name="Normal 21 3 3 2 2" xfId="18315"/>
    <cellStyle name="Normal 21 3 3 2 3" xfId="18316"/>
    <cellStyle name="Normal 21 3 3 3" xfId="18317"/>
    <cellStyle name="Normal 21 3 3 4" xfId="18318"/>
    <cellStyle name="Normal 21 3 4" xfId="18319"/>
    <cellStyle name="Normal 21 3 4 2" xfId="18320"/>
    <cellStyle name="Normal 21 3 4 2 2" xfId="18321"/>
    <cellStyle name="Normal 21 3 4 2 2 2" xfId="18322"/>
    <cellStyle name="Normal 21 3 4 2 2 2 2" xfId="18323"/>
    <cellStyle name="Normal 21 3 4 2 2 2 3" xfId="18324"/>
    <cellStyle name="Normal 21 3 4 2 2 3" xfId="18325"/>
    <cellStyle name="Normal 21 3 4 2 2 4" xfId="18326"/>
    <cellStyle name="Normal 21 3 4 2 3" xfId="18327"/>
    <cellStyle name="Normal 21 3 4 2 3 2" xfId="18328"/>
    <cellStyle name="Normal 21 3 4 2 3 3" xfId="18329"/>
    <cellStyle name="Normal 21 3 4 2 4" xfId="18330"/>
    <cellStyle name="Normal 21 3 4 2 5" xfId="18331"/>
    <cellStyle name="Normal 21 3 4 3" xfId="18332"/>
    <cellStyle name="Normal 21 3 4 3 2" xfId="18333"/>
    <cellStyle name="Normal 21 3 4 3 2 2" xfId="18334"/>
    <cellStyle name="Normal 21 3 4 3 2 2 2" xfId="18335"/>
    <cellStyle name="Normal 21 3 4 3 2 2 2 2" xfId="18336"/>
    <cellStyle name="Normal 21 3 4 3 2 2 2 3" xfId="18337"/>
    <cellStyle name="Normal 21 3 4 3 2 2 3" xfId="18338"/>
    <cellStyle name="Normal 21 3 4 3 2 2 4" xfId="18339"/>
    <cellStyle name="Normal 21 3 4 3 2 3" xfId="18340"/>
    <cellStyle name="Normal 21 3 4 3 2 4" xfId="18341"/>
    <cellStyle name="Normal 21 3 4 3 3" xfId="18342"/>
    <cellStyle name="Normal 21 3 4 3 4" xfId="18343"/>
    <cellStyle name="Normal 21 3 4 4" xfId="18344"/>
    <cellStyle name="Normal 21 3 4 4 2" xfId="18345"/>
    <cellStyle name="Normal 21 3 4 4 2 2" xfId="18346"/>
    <cellStyle name="Normal 21 3 4 4 2 3" xfId="18347"/>
    <cellStyle name="Normal 21 3 4 4 3" xfId="18348"/>
    <cellStyle name="Normal 21 3 4 4 4" xfId="18349"/>
    <cellStyle name="Normal 21 3 4 5" xfId="18350"/>
    <cellStyle name="Normal 21 3 4 5 2" xfId="18351"/>
    <cellStyle name="Normal 21 3 4 5 2 2" xfId="18352"/>
    <cellStyle name="Normal 21 3 4 5 2 2 2" xfId="18353"/>
    <cellStyle name="Normal 21 3 4 5 2 2 2 2" xfId="18354"/>
    <cellStyle name="Normal 21 3 4 5 2 2 2 2 2" xfId="18355"/>
    <cellStyle name="Normal 21 3 4 5 2 2 2 2 2 2" xfId="18356"/>
    <cellStyle name="Normal 21 3 4 5 2 2 2 2 2 3" xfId="18357"/>
    <cellStyle name="Normal 21 3 4 5 2 2 2 2 3" xfId="18358"/>
    <cellStyle name="Normal 21 3 4 5 2 2 2 2 3 2" xfId="18359"/>
    <cellStyle name="Normal 21 3 4 5 2 2 2 2 3 2 2" xfId="18360"/>
    <cellStyle name="Normal 21 3 4 5 2 2 2 2 3 2 2 2" xfId="18361"/>
    <cellStyle name="Normal 21 3 4 5 2 2 2 2 3 2 2 3" xfId="18362"/>
    <cellStyle name="Normal 21 3 4 5 2 2 2 2 3 2 3" xfId="18363"/>
    <cellStyle name="Normal 21 3 4 5 2 2 2 2 3 2 4" xfId="18364"/>
    <cellStyle name="Normal 21 3 4 5 2 2 2 2 3 3" xfId="18365"/>
    <cellStyle name="Normal 21 3 4 5 2 2 2 2 3 3 2" xfId="18366"/>
    <cellStyle name="Normal 21 3 4 5 2 2 2 2 3 3 3" xfId="18367"/>
    <cellStyle name="Normal 21 3 4 5 2 2 2 2 3 4" xfId="18368"/>
    <cellStyle name="Normal 21 3 4 5 2 2 2 2 3 5" xfId="18369"/>
    <cellStyle name="Normal 21 3 4 5 2 2 2 2 4" xfId="18370"/>
    <cellStyle name="Normal 21 3 4 5 2 2 2 2 5" xfId="18371"/>
    <cellStyle name="Normal 21 3 4 5 2 2 2 3" xfId="18372"/>
    <cellStyle name="Normal 21 3 4 5 2 2 2 3 2" xfId="18373"/>
    <cellStyle name="Normal 21 3 4 5 2 2 2 3 3" xfId="18374"/>
    <cellStyle name="Normal 21 3 4 5 2 2 2 4" xfId="18375"/>
    <cellStyle name="Normal 21 3 4 5 2 2 2 5" xfId="18376"/>
    <cellStyle name="Normal 21 3 4 5 2 2 3" xfId="18377"/>
    <cellStyle name="Normal 21 3 4 5 2 2 3 2" xfId="18378"/>
    <cellStyle name="Normal 21 3 4 5 2 2 3 3" xfId="18379"/>
    <cellStyle name="Normal 21 3 4 5 2 2 4" xfId="18380"/>
    <cellStyle name="Normal 21 3 4 5 2 2 4 2" xfId="18381"/>
    <cellStyle name="Normal 21 3 4 5 2 2 4 2 2" xfId="18382"/>
    <cellStyle name="Normal 21 3 4 5 2 2 4 2 3" xfId="18383"/>
    <cellStyle name="Normal 21 3 4 5 2 2 4 3" xfId="18384"/>
    <cellStyle name="Normal 21 3 4 5 2 2 4 4" xfId="18385"/>
    <cellStyle name="Normal 21 3 4 5 2 2 5" xfId="18386"/>
    <cellStyle name="Normal 21 3 4 5 2 2 6" xfId="18387"/>
    <cellStyle name="Normal 21 3 4 5 2 3" xfId="18388"/>
    <cellStyle name="Normal 21 3 4 5 2 3 2" xfId="18389"/>
    <cellStyle name="Normal 21 3 4 5 2 3 3" xfId="18390"/>
    <cellStyle name="Normal 21 3 4 5 2 4" xfId="18391"/>
    <cellStyle name="Normal 21 3 4 5 2 5" xfId="18392"/>
    <cellStyle name="Normal 21 3 4 5 3" xfId="18393"/>
    <cellStyle name="Normal 21 3 4 5 3 2" xfId="18394"/>
    <cellStyle name="Normal 21 3 4 5 3 3" xfId="18395"/>
    <cellStyle name="Normal 21 3 4 5 4" xfId="18396"/>
    <cellStyle name="Normal 21 3 4 5 5" xfId="18397"/>
    <cellStyle name="Normal 21 3 4 6" xfId="18398"/>
    <cellStyle name="Normal 21 3 4 6 2" xfId="18399"/>
    <cellStyle name="Normal 21 3 4 6 3" xfId="18400"/>
    <cellStyle name="Normal 21 3 4 7" xfId="18401"/>
    <cellStyle name="Normal 21 3 4 8" xfId="18402"/>
    <cellStyle name="Normal 21 3 5" xfId="18403"/>
    <cellStyle name="Normal 21 3 5 2" xfId="18404"/>
    <cellStyle name="Normal 21 3 5 2 2" xfId="18405"/>
    <cellStyle name="Normal 21 3 5 2 2 2" xfId="18406"/>
    <cellStyle name="Normal 21 3 5 2 2 2 2" xfId="18407"/>
    <cellStyle name="Normal 21 3 5 2 2 2 3" xfId="18408"/>
    <cellStyle name="Normal 21 3 5 2 2 3" xfId="18409"/>
    <cellStyle name="Normal 21 3 5 2 2 4" xfId="18410"/>
    <cellStyle name="Normal 21 3 5 2 3" xfId="18411"/>
    <cellStyle name="Normal 21 3 5 2 3 2" xfId="18412"/>
    <cellStyle name="Normal 21 3 5 2 3 3" xfId="18413"/>
    <cellStyle name="Normal 21 3 5 2 4" xfId="18414"/>
    <cellStyle name="Normal 21 3 5 2 5" xfId="18415"/>
    <cellStyle name="Normal 21 3 5 3" xfId="18416"/>
    <cellStyle name="Normal 21 3 5 3 2" xfId="18417"/>
    <cellStyle name="Normal 21 3 5 3 3" xfId="18418"/>
    <cellStyle name="Normal 21 3 5 4" xfId="18419"/>
    <cellStyle name="Normal 21 3 5 5" xfId="18420"/>
    <cellStyle name="Normal 21 3 6" xfId="18421"/>
    <cellStyle name="Normal 21 3 6 2" xfId="18422"/>
    <cellStyle name="Normal 21 3 6 2 2" xfId="18423"/>
    <cellStyle name="Normal 21 3 6 2 3" xfId="18424"/>
    <cellStyle name="Normal 21 3 6 3" xfId="18425"/>
    <cellStyle name="Normal 21 3 6 4" xfId="18426"/>
    <cellStyle name="Normal 21 3 7" xfId="18427"/>
    <cellStyle name="Normal 21 3 8" xfId="18428"/>
    <cellStyle name="Normal 21 3 9" xfId="18429"/>
    <cellStyle name="Normal 21 4" xfId="18430"/>
    <cellStyle name="Normal 21 4 2" xfId="18431"/>
    <cellStyle name="Normal 21 4 2 10" xfId="18432"/>
    <cellStyle name="Normal 21 4 2 10 2" xfId="18433"/>
    <cellStyle name="Normal 21 4 2 10 3" xfId="18434"/>
    <cellStyle name="Normal 21 4 2 11" xfId="18435"/>
    <cellStyle name="Normal 21 4 2 12" xfId="18436"/>
    <cellStyle name="Normal 21 4 2 13" xfId="18437"/>
    <cellStyle name="Normal 21 4 2 2" xfId="18438"/>
    <cellStyle name="Normal 21 4 2 2 2" xfId="18439"/>
    <cellStyle name="Normal 21 4 2 3" xfId="18440"/>
    <cellStyle name="Normal 21 4 2 3 2" xfId="18441"/>
    <cellStyle name="Normal 21 4 2 3 2 2" xfId="18442"/>
    <cellStyle name="Normal 21 4 2 3 2 3" xfId="18443"/>
    <cellStyle name="Normal 21 4 2 3 3" xfId="18444"/>
    <cellStyle name="Normal 21 4 2 3 3 2" xfId="18445"/>
    <cellStyle name="Normal 21 4 2 3 3 3" xfId="18446"/>
    <cellStyle name="Normal 21 4 2 3 4" xfId="18447"/>
    <cellStyle name="Normal 21 4 2 3 5" xfId="18448"/>
    <cellStyle name="Normal 21 4 2 4" xfId="18449"/>
    <cellStyle name="Normal 21 4 2 4 2" xfId="18450"/>
    <cellStyle name="Normal 21 4 2 4 3" xfId="18451"/>
    <cellStyle name="Normal 21 4 2 5" xfId="18452"/>
    <cellStyle name="Normal 21 4 2 5 2" xfId="18453"/>
    <cellStyle name="Normal 21 4 2 5 3" xfId="18454"/>
    <cellStyle name="Normal 21 4 2 6" xfId="18455"/>
    <cellStyle name="Normal 21 4 2 6 2" xfId="18456"/>
    <cellStyle name="Normal 21 4 2 6 3" xfId="18457"/>
    <cellStyle name="Normal 21 4 2 7" xfId="18458"/>
    <cellStyle name="Normal 21 4 2 7 2" xfId="18459"/>
    <cellStyle name="Normal 21 4 2 7 3" xfId="18460"/>
    <cellStyle name="Normal 21 4 2 8" xfId="18461"/>
    <cellStyle name="Normal 21 4 2 8 2" xfId="18462"/>
    <cellStyle name="Normal 21 4 2 8 3" xfId="18463"/>
    <cellStyle name="Normal 21 4 2 9" xfId="18464"/>
    <cellStyle name="Normal 21 4 2 9 2" xfId="18465"/>
    <cellStyle name="Normal 21 4 2 9 3" xfId="18466"/>
    <cellStyle name="Normal 21 4 3" xfId="18467"/>
    <cellStyle name="Normal 21 4 3 2" xfId="18468"/>
    <cellStyle name="Normal 21 4 4" xfId="18469"/>
    <cellStyle name="Normal 21 4 5" xfId="18470"/>
    <cellStyle name="Normal 21 4 6" xfId="18471"/>
    <cellStyle name="Normal 21 4 7" xfId="18472"/>
    <cellStyle name="Normal 21 5" xfId="18473"/>
    <cellStyle name="Normal 21 5 2" xfId="18474"/>
    <cellStyle name="Normal 21 5 2 2" xfId="18475"/>
    <cellStyle name="Normal 21 5 2 2 2" xfId="18476"/>
    <cellStyle name="Normal 21 5 2 2 2 2" xfId="18477"/>
    <cellStyle name="Normal 21 5 2 2 2 2 2" xfId="18478"/>
    <cellStyle name="Normal 21 5 2 2 2 2 3" xfId="18479"/>
    <cellStyle name="Normal 21 5 2 2 2 3" xfId="18480"/>
    <cellStyle name="Normal 21 5 2 2 2 4" xfId="18481"/>
    <cellStyle name="Normal 21 5 2 2 3" xfId="18482"/>
    <cellStyle name="Normal 21 5 2 2 3 2" xfId="18483"/>
    <cellStyle name="Normal 21 5 2 2 3 2 2" xfId="18484"/>
    <cellStyle name="Normal 21 5 2 2 3 2 3" xfId="18485"/>
    <cellStyle name="Normal 21 5 2 2 3 3" xfId="18486"/>
    <cellStyle name="Normal 21 5 2 2 3 4" xfId="18487"/>
    <cellStyle name="Normal 21 5 2 2 4" xfId="18488"/>
    <cellStyle name="Normal 21 5 2 2 4 2" xfId="18489"/>
    <cellStyle name="Normal 21 5 2 2 4 3" xfId="18490"/>
    <cellStyle name="Normal 21 5 2 2 5" xfId="18491"/>
    <cellStyle name="Normal 21 5 2 2 6" xfId="18492"/>
    <cellStyle name="Normal 21 5 2 3" xfId="18493"/>
    <cellStyle name="Normal 21 5 2 3 2" xfId="18494"/>
    <cellStyle name="Normal 21 5 2 3 3" xfId="18495"/>
    <cellStyle name="Normal 21 5 2 4" xfId="18496"/>
    <cellStyle name="Normal 21 5 2 5" xfId="18497"/>
    <cellStyle name="Normal 21 5 3" xfId="18498"/>
    <cellStyle name="Normal 21 5 3 2" xfId="18499"/>
    <cellStyle name="Normal 21 5 3 2 2" xfId="18500"/>
    <cellStyle name="Normal 21 5 3 2 2 2" xfId="18501"/>
    <cellStyle name="Normal 21 5 3 2 2 2 2" xfId="18502"/>
    <cellStyle name="Normal 21 5 3 2 2 2 3" xfId="18503"/>
    <cellStyle name="Normal 21 5 3 2 2 3" xfId="18504"/>
    <cellStyle name="Normal 21 5 3 2 2 4" xfId="18505"/>
    <cellStyle name="Normal 21 5 3 2 3" xfId="18506"/>
    <cellStyle name="Normal 21 5 3 2 3 2" xfId="18507"/>
    <cellStyle name="Normal 21 5 3 2 3 3" xfId="18508"/>
    <cellStyle name="Normal 21 5 3 2 4" xfId="18509"/>
    <cellStyle name="Normal 21 5 3 2 5" xfId="18510"/>
    <cellStyle name="Normal 21 5 4" xfId="18511"/>
    <cellStyle name="Normal 21 5 4 2" xfId="18512"/>
    <cellStyle name="Normal 21 5 4 2 2" xfId="18513"/>
    <cellStyle name="Normal 21 5 4 2 2 2" xfId="18514"/>
    <cellStyle name="Normal 21 5 4 2 2 2 2" xfId="18515"/>
    <cellStyle name="Normal 21 5 4 2 2 2 3" xfId="18516"/>
    <cellStyle name="Normal 21 5 4 2 2 3" xfId="18517"/>
    <cellStyle name="Normal 21 5 4 2 2 4" xfId="18518"/>
    <cellStyle name="Normal 21 5 4 2 3" xfId="18519"/>
    <cellStyle name="Normal 21 5 4 2 3 2" xfId="18520"/>
    <cellStyle name="Normal 21 5 4 2 3 3" xfId="18521"/>
    <cellStyle name="Normal 21 5 4 2 4" xfId="18522"/>
    <cellStyle name="Normal 21 5 4 2 5" xfId="18523"/>
    <cellStyle name="Normal 21 5 4 3" xfId="18524"/>
    <cellStyle name="Normal 21 5 4 3 2" xfId="18525"/>
    <cellStyle name="Normal 21 5 4 3 3" xfId="18526"/>
    <cellStyle name="Normal 21 5 4 4" xfId="18527"/>
    <cellStyle name="Normal 21 5 4 5" xfId="18528"/>
    <cellStyle name="Normal 21 6" xfId="18529"/>
    <cellStyle name="Normal 21 6 2" xfId="18530"/>
    <cellStyle name="Normal 21 6 2 10" xfId="18531"/>
    <cellStyle name="Normal 21 6 2 11" xfId="18532"/>
    <cellStyle name="Normal 21 6 2 12" xfId="18533"/>
    <cellStyle name="Normal 21 6 2 2" xfId="18534"/>
    <cellStyle name="Normal 21 6 2 2 2" xfId="18535"/>
    <cellStyle name="Normal 21 6 2 2 3" xfId="18536"/>
    <cellStyle name="Normal 21 6 2 3" xfId="18537"/>
    <cellStyle name="Normal 21 6 2 3 2" xfId="18538"/>
    <cellStyle name="Normal 21 6 2 3 3" xfId="18539"/>
    <cellStyle name="Normal 21 6 2 4" xfId="18540"/>
    <cellStyle name="Normal 21 6 2 4 2" xfId="18541"/>
    <cellStyle name="Normal 21 6 2 4 3" xfId="18542"/>
    <cellStyle name="Normal 21 6 2 5" xfId="18543"/>
    <cellStyle name="Normal 21 6 2 5 2" xfId="18544"/>
    <cellStyle name="Normal 21 6 2 5 3" xfId="18545"/>
    <cellStyle name="Normal 21 6 2 6" xfId="18546"/>
    <cellStyle name="Normal 21 6 2 6 2" xfId="18547"/>
    <cellStyle name="Normal 21 6 2 6 3" xfId="18548"/>
    <cellStyle name="Normal 21 6 2 7" xfId="18549"/>
    <cellStyle name="Normal 21 6 2 7 2" xfId="18550"/>
    <cellStyle name="Normal 21 6 2 7 3" xfId="18551"/>
    <cellStyle name="Normal 21 6 2 8" xfId="18552"/>
    <cellStyle name="Normal 21 6 2 8 2" xfId="18553"/>
    <cellStyle name="Normal 21 6 2 8 3" xfId="18554"/>
    <cellStyle name="Normal 21 6 2 9" xfId="18555"/>
    <cellStyle name="Normal 21 6 2 9 2" xfId="18556"/>
    <cellStyle name="Normal 21 6 2 9 3" xfId="18557"/>
    <cellStyle name="Normal 21 7" xfId="18558"/>
    <cellStyle name="Normal 21 7 2" xfId="18559"/>
    <cellStyle name="Normal 21 8" xfId="18560"/>
    <cellStyle name="Normal 21 9" xfId="18561"/>
    <cellStyle name="Normal 21_CHC Asifabad Estimate" xfId="18562"/>
    <cellStyle name="Normal 22" xfId="18563"/>
    <cellStyle name="Normal 22 10" xfId="18564"/>
    <cellStyle name="Normal 22 10 10" xfId="18565"/>
    <cellStyle name="Normal 22 10 10 2" xfId="18566"/>
    <cellStyle name="Normal 22 10 10 2 2" xfId="18567"/>
    <cellStyle name="Normal 22 10 10 2 3" xfId="18568"/>
    <cellStyle name="Normal 22 10 10 3" xfId="18569"/>
    <cellStyle name="Normal 22 10 10 4" xfId="18570"/>
    <cellStyle name="Normal 22 10 11" xfId="18571"/>
    <cellStyle name="Normal 22 10 11 2" xfId="18572"/>
    <cellStyle name="Normal 22 10 11 2 2" xfId="18573"/>
    <cellStyle name="Normal 22 10 11 2 2 2" xfId="18574"/>
    <cellStyle name="Normal 22 10 11 2 2 3" xfId="18575"/>
    <cellStyle name="Normal 22 10 11 2 3" xfId="18576"/>
    <cellStyle name="Normal 22 10 11 2 4" xfId="18577"/>
    <cellStyle name="Normal 22 10 11 3" xfId="18578"/>
    <cellStyle name="Normal 22 10 11 3 2" xfId="18579"/>
    <cellStyle name="Normal 22 10 11 3 2 2" xfId="18580"/>
    <cellStyle name="Normal 22 10 11 3 2 3" xfId="18581"/>
    <cellStyle name="Normal 22 10 11 3 3" xfId="18582"/>
    <cellStyle name="Normal 22 10 11 3 4" xfId="18583"/>
    <cellStyle name="Normal 22 10 11 4" xfId="18584"/>
    <cellStyle name="Normal 22 10 11 4 2" xfId="18585"/>
    <cellStyle name="Normal 22 10 11 4 2 2" xfId="18586"/>
    <cellStyle name="Normal 22 10 11 4 2 2 2" xfId="18587"/>
    <cellStyle name="Normal 22 10 11 4 2 2 2 2" xfId="18588"/>
    <cellStyle name="Normal 22 10 11 4 2 2 2 2 2" xfId="18589"/>
    <cellStyle name="Normal 22 10 11 4 2 2 2 2 2 2" xfId="18590"/>
    <cellStyle name="Normal 22 10 11 4 2 2 2 2 2 3" xfId="18591"/>
    <cellStyle name="Normal 22 10 11 4 2 2 2 2 3" xfId="18592"/>
    <cellStyle name="Normal 22 10 11 4 2 2 2 2 4" xfId="18593"/>
    <cellStyle name="Normal 22 10 11 4 2 2 2 3" xfId="18594"/>
    <cellStyle name="Normal 22 10 11 4 2 2 2 3 2" xfId="18595"/>
    <cellStyle name="Normal 22 10 11 4 2 2 2 3 2 2" xfId="18596"/>
    <cellStyle name="Normal 22 10 11 4 2 2 2 3 2 3" xfId="18597"/>
    <cellStyle name="Normal 22 10 11 4 2 2 2 3 3" xfId="18598"/>
    <cellStyle name="Normal 22 10 11 4 2 2 2 3 4" xfId="18599"/>
    <cellStyle name="Normal 22 10 11 4 2 2 2 4" xfId="18600"/>
    <cellStyle name="Normal 22 10 11 4 2 2 2 4 2" xfId="18601"/>
    <cellStyle name="Normal 22 10 11 4 2 2 2 4 3" xfId="18602"/>
    <cellStyle name="Normal 22 10 11 4 2 2 2 5" xfId="18603"/>
    <cellStyle name="Normal 22 10 11 4 2 2 2 6" xfId="18604"/>
    <cellStyle name="Normal 22 10 11 4 2 2 3" xfId="18605"/>
    <cellStyle name="Normal 22 10 11 4 2 2 3 2" xfId="18606"/>
    <cellStyle name="Normal 22 10 11 4 2 2 3 3" xfId="18607"/>
    <cellStyle name="Normal 22 10 11 4 2 2 4" xfId="18608"/>
    <cellStyle name="Normal 22 10 11 4 2 2 5" xfId="18609"/>
    <cellStyle name="Normal 22 10 11 4 2 3" xfId="18610"/>
    <cellStyle name="Normal 22 10 11 4 2 3 2" xfId="18611"/>
    <cellStyle name="Normal 22 10 11 4 2 3 2 2" xfId="18612"/>
    <cellStyle name="Normal 22 10 11 4 2 3 2 3" xfId="18613"/>
    <cellStyle name="Normal 22 10 11 4 2 3 3" xfId="18614"/>
    <cellStyle name="Normal 22 10 11 4 2 3 4" xfId="18615"/>
    <cellStyle name="Normal 22 10 11 4 2 4" xfId="18616"/>
    <cellStyle name="Normal 22 10 11 4 2 4 2" xfId="18617"/>
    <cellStyle name="Normal 22 10 11 4 2 4 3" xfId="18618"/>
    <cellStyle name="Normal 22 10 11 4 2 5" xfId="18619"/>
    <cellStyle name="Normal 22 10 11 4 2 6" xfId="18620"/>
    <cellStyle name="Normal 22 10 11 4 3" xfId="18621"/>
    <cellStyle name="Normal 22 10 11 4 3 2" xfId="18622"/>
    <cellStyle name="Normal 22 10 11 4 3 3" xfId="18623"/>
    <cellStyle name="Normal 22 10 11 4 4" xfId="18624"/>
    <cellStyle name="Normal 22 10 11 4 5" xfId="18625"/>
    <cellStyle name="Normal 22 10 11 5" xfId="18626"/>
    <cellStyle name="Normal 22 10 11 5 2" xfId="18627"/>
    <cellStyle name="Normal 22 10 11 5 2 2" xfId="18628"/>
    <cellStyle name="Normal 22 10 11 5 2 2 2" xfId="18629"/>
    <cellStyle name="Normal 22 10 11 5 2 2 3" xfId="18630"/>
    <cellStyle name="Normal 22 10 11 5 2 3" xfId="18631"/>
    <cellStyle name="Normal 22 10 11 5 2 4" xfId="18632"/>
    <cellStyle name="Normal 22 10 11 5 3" xfId="18633"/>
    <cellStyle name="Normal 22 10 11 5 3 2" xfId="18634"/>
    <cellStyle name="Normal 22 10 11 5 3 3" xfId="18635"/>
    <cellStyle name="Normal 22 10 11 5 4" xfId="18636"/>
    <cellStyle name="Normal 22 10 11 5 5" xfId="18637"/>
    <cellStyle name="Normal 22 10 11 6" xfId="18638"/>
    <cellStyle name="Normal 22 10 11 6 2" xfId="18639"/>
    <cellStyle name="Normal 22 10 11 6 3" xfId="18640"/>
    <cellStyle name="Normal 22 10 11 7" xfId="18641"/>
    <cellStyle name="Normal 22 10 11 8" xfId="18642"/>
    <cellStyle name="Normal 22 10 12" xfId="18643"/>
    <cellStyle name="Normal 22 10 12 2" xfId="18644"/>
    <cellStyle name="Normal 22 10 12 2 2" xfId="18645"/>
    <cellStyle name="Normal 22 10 12 2 3" xfId="18646"/>
    <cellStyle name="Normal 22 10 12 3" xfId="18647"/>
    <cellStyle name="Normal 22 10 12 4" xfId="18648"/>
    <cellStyle name="Normal 22 10 13" xfId="18649"/>
    <cellStyle name="Normal 22 10 13 2" xfId="18650"/>
    <cellStyle name="Normal 22 10 13 2 2" xfId="18651"/>
    <cellStyle name="Normal 22 10 13 2 2 2" xfId="18652"/>
    <cellStyle name="Normal 22 10 13 2 2 3" xfId="18653"/>
    <cellStyle name="Normal 22 10 13 2 3" xfId="18654"/>
    <cellStyle name="Normal 22 10 13 2 4" xfId="18655"/>
    <cellStyle name="Normal 22 10 13 3" xfId="18656"/>
    <cellStyle name="Normal 22 10 13 3 2" xfId="18657"/>
    <cellStyle name="Normal 22 10 13 3 3" xfId="18658"/>
    <cellStyle name="Normal 22 10 13 4" xfId="18659"/>
    <cellStyle name="Normal 22 10 13 5" xfId="18660"/>
    <cellStyle name="Normal 22 10 2" xfId="18661"/>
    <cellStyle name="Normal 22 10 2 2" xfId="18662"/>
    <cellStyle name="Normal 22 10 2 2 2" xfId="18663"/>
    <cellStyle name="Normal 22 10 2 2 2 2" xfId="18664"/>
    <cellStyle name="Normal 22 10 2 2 2 3" xfId="18665"/>
    <cellStyle name="Normal 22 10 2 2 3" xfId="18666"/>
    <cellStyle name="Normal 22 10 2 2 4" xfId="18667"/>
    <cellStyle name="Normal 22 10 2 3" xfId="18668"/>
    <cellStyle name="Normal 22 10 2 3 2" xfId="18669"/>
    <cellStyle name="Normal 22 10 2 3 3" xfId="18670"/>
    <cellStyle name="Normal 22 10 2 4" xfId="18671"/>
    <cellStyle name="Normal 22 10 2 5" xfId="18672"/>
    <cellStyle name="Normal 22 10 3" xfId="18673"/>
    <cellStyle name="Normal 22 10 3 2" xfId="18674"/>
    <cellStyle name="Normal 22 10 3 2 2" xfId="18675"/>
    <cellStyle name="Normal 22 10 3 2 3" xfId="18676"/>
    <cellStyle name="Normal 22 10 3 3" xfId="18677"/>
    <cellStyle name="Normal 22 10 3 4" xfId="18678"/>
    <cellStyle name="Normal 22 10 4" xfId="18679"/>
    <cellStyle name="Normal 22 10 4 2" xfId="18680"/>
    <cellStyle name="Normal 22 10 4 2 2" xfId="18681"/>
    <cellStyle name="Normal 22 10 4 2 2 2" xfId="18682"/>
    <cellStyle name="Normal 22 10 4 2 2 3" xfId="18683"/>
    <cellStyle name="Normal 22 10 4 2 3" xfId="18684"/>
    <cellStyle name="Normal 22 10 4 2 4" xfId="18685"/>
    <cellStyle name="Normal 22 10 4 3" xfId="18686"/>
    <cellStyle name="Normal 22 10 4 3 2" xfId="18687"/>
    <cellStyle name="Normal 22 10 4 3 2 2" xfId="18688"/>
    <cellStyle name="Normal 22 10 4 3 2 3" xfId="18689"/>
    <cellStyle name="Normal 22 10 4 3 3" xfId="18690"/>
    <cellStyle name="Normal 22 10 4 3 4" xfId="18691"/>
    <cellStyle name="Normal 22 10 4 4" xfId="18692"/>
    <cellStyle name="Normal 22 10 4 4 2" xfId="18693"/>
    <cellStyle name="Normal 22 10 4 4 3" xfId="18694"/>
    <cellStyle name="Normal 22 10 4 5" xfId="18695"/>
    <cellStyle name="Normal 22 10 4 6" xfId="18696"/>
    <cellStyle name="Normal 22 10 5" xfId="18697"/>
    <cellStyle name="Normal 22 10 5 10" xfId="18698"/>
    <cellStyle name="Normal 22 10 5 10 2" xfId="18699"/>
    <cellStyle name="Normal 22 10 5 10 2 2" xfId="18700"/>
    <cellStyle name="Normal 22 10 5 10 2 2 2" xfId="18701"/>
    <cellStyle name="Normal 22 10 5 10 2 2 3" xfId="18702"/>
    <cellStyle name="Normal 22 10 5 10 2 3" xfId="18703"/>
    <cellStyle name="Normal 22 10 5 10 2 4" xfId="18704"/>
    <cellStyle name="Normal 22 10 5 10 3" xfId="18705"/>
    <cellStyle name="Normal 22 10 5 10 3 2" xfId="18706"/>
    <cellStyle name="Normal 22 10 5 10 3 3" xfId="18707"/>
    <cellStyle name="Normal 22 10 5 10 4" xfId="18708"/>
    <cellStyle name="Normal 22 10 5 10 5" xfId="18709"/>
    <cellStyle name="Normal 22 10 5 11" xfId="18710"/>
    <cellStyle name="Normal 22 10 5 11 2" xfId="18711"/>
    <cellStyle name="Normal 22 10 5 11 3" xfId="18712"/>
    <cellStyle name="Normal 22 10 5 12" xfId="18713"/>
    <cellStyle name="Normal 22 10 5 13" xfId="18714"/>
    <cellStyle name="Normal 22 10 5 2" xfId="18715"/>
    <cellStyle name="Normal 22 10 5 2 2" xfId="18716"/>
    <cellStyle name="Normal 22 10 5 2 2 2" xfId="18717"/>
    <cellStyle name="Normal 22 10 5 2 2 3" xfId="18718"/>
    <cellStyle name="Normal 22 10 5 2 3" xfId="18719"/>
    <cellStyle name="Normal 22 10 5 2 4" xfId="18720"/>
    <cellStyle name="Normal 22 10 5 3" xfId="18721"/>
    <cellStyle name="Normal 22 10 5 3 2" xfId="18722"/>
    <cellStyle name="Normal 22 10 5 3 2 2" xfId="18723"/>
    <cellStyle name="Normal 22 10 5 3 2 3" xfId="18724"/>
    <cellStyle name="Normal 22 10 5 3 3" xfId="18725"/>
    <cellStyle name="Normal 22 10 5 3 4" xfId="18726"/>
    <cellStyle name="Normal 22 10 5 4" xfId="18727"/>
    <cellStyle name="Normal 22 10 5 4 2" xfId="18728"/>
    <cellStyle name="Normal 22 10 5 4 2 2" xfId="18729"/>
    <cellStyle name="Normal 22 10 5 4 2 3" xfId="18730"/>
    <cellStyle name="Normal 22 10 5 4 3" xfId="18731"/>
    <cellStyle name="Normal 22 10 5 4 4" xfId="18732"/>
    <cellStyle name="Normal 22 10 5 5" xfId="18733"/>
    <cellStyle name="Normal 22 10 5 5 2" xfId="18734"/>
    <cellStyle name="Normal 22 10 5 5 2 2" xfId="18735"/>
    <cellStyle name="Normal 22 10 5 5 2 3" xfId="18736"/>
    <cellStyle name="Normal 22 10 5 5 3" xfId="18737"/>
    <cellStyle name="Normal 22 10 5 5 4" xfId="18738"/>
    <cellStyle name="Normal 22 10 5 6" xfId="18739"/>
    <cellStyle name="Normal 22 10 5 6 2" xfId="18740"/>
    <cellStyle name="Normal 22 10 5 6 2 2" xfId="18741"/>
    <cellStyle name="Normal 22 10 5 6 2 3" xfId="18742"/>
    <cellStyle name="Normal 22 10 5 6 3" xfId="18743"/>
    <cellStyle name="Normal 22 10 5 6 4" xfId="18744"/>
    <cellStyle name="Normal 22 10 5 7" xfId="18745"/>
    <cellStyle name="Normal 22 10 5 7 2" xfId="18746"/>
    <cellStyle name="Normal 22 10 5 7 2 2" xfId="18747"/>
    <cellStyle name="Normal 22 10 5 7 2 2 2" xfId="18748"/>
    <cellStyle name="Normal 22 10 5 7 2 2 2 2" xfId="18749"/>
    <cellStyle name="Normal 22 10 5 7 2 2 2 3" xfId="18750"/>
    <cellStyle name="Normal 22 10 5 7 2 2 3" xfId="18751"/>
    <cellStyle name="Normal 22 10 5 7 2 2 4" xfId="18752"/>
    <cellStyle name="Normal 22 10 5 7 2 3" xfId="18753"/>
    <cellStyle name="Normal 22 10 5 7 2 3 2" xfId="18754"/>
    <cellStyle name="Normal 22 10 5 7 2 3 3" xfId="18755"/>
    <cellStyle name="Normal 22 10 5 7 2 4" xfId="18756"/>
    <cellStyle name="Normal 22 10 5 7 2 5" xfId="18757"/>
    <cellStyle name="Normal 22 10 5 7 3" xfId="18758"/>
    <cellStyle name="Normal 22 10 5 7 3 2" xfId="18759"/>
    <cellStyle name="Normal 22 10 5 7 3 3" xfId="18760"/>
    <cellStyle name="Normal 22 10 5 7 4" xfId="18761"/>
    <cellStyle name="Normal 22 10 5 7 5" xfId="18762"/>
    <cellStyle name="Normal 22 10 5 8" xfId="18763"/>
    <cellStyle name="Normal 22 10 5 8 2" xfId="18764"/>
    <cellStyle name="Normal 22 10 5 8 2 2" xfId="18765"/>
    <cellStyle name="Normal 22 10 5 8 2 3" xfId="18766"/>
    <cellStyle name="Normal 22 10 5 8 3" xfId="18767"/>
    <cellStyle name="Normal 22 10 5 8 4" xfId="18768"/>
    <cellStyle name="Normal 22 10 5 9" xfId="18769"/>
    <cellStyle name="Normal 22 10 5 9 2" xfId="18770"/>
    <cellStyle name="Normal 22 10 5 9 2 2" xfId="18771"/>
    <cellStyle name="Normal 22 10 5 9 2 3" xfId="18772"/>
    <cellStyle name="Normal 22 10 5 9 3" xfId="18773"/>
    <cellStyle name="Normal 22 10 5 9 4" xfId="18774"/>
    <cellStyle name="Normal 22 10 6" xfId="18775"/>
    <cellStyle name="Normal 22 10 6 2" xfId="18776"/>
    <cellStyle name="Normal 22 10 6 2 2" xfId="18777"/>
    <cellStyle name="Normal 22 10 6 2 3" xfId="18778"/>
    <cellStyle name="Normal 22 10 6 3" xfId="18779"/>
    <cellStyle name="Normal 22 10 6 4" xfId="18780"/>
    <cellStyle name="Normal 22 10 7" xfId="18781"/>
    <cellStyle name="Normal 22 10 7 2" xfId="18782"/>
    <cellStyle name="Normal 22 10 7 2 2" xfId="18783"/>
    <cellStyle name="Normal 22 10 7 2 2 2" xfId="18784"/>
    <cellStyle name="Normal 22 10 7 2 2 3" xfId="18785"/>
    <cellStyle name="Normal 22 10 7 2 3" xfId="18786"/>
    <cellStyle name="Normal 22 10 7 2 4" xfId="18787"/>
    <cellStyle name="Normal 22 10 7 3" xfId="18788"/>
    <cellStyle name="Normal 22 10 7 3 2" xfId="18789"/>
    <cellStyle name="Normal 22 10 7 3 3" xfId="18790"/>
    <cellStyle name="Normal 22 10 7 4" xfId="18791"/>
    <cellStyle name="Normal 22 10 7 5" xfId="18792"/>
    <cellStyle name="Normal 22 10 8" xfId="18793"/>
    <cellStyle name="Normal 22 10 8 2" xfId="18794"/>
    <cellStyle name="Normal 22 10 8 2 2" xfId="18795"/>
    <cellStyle name="Normal 22 10 8 2 3" xfId="18796"/>
    <cellStyle name="Normal 22 10 8 3" xfId="18797"/>
    <cellStyle name="Normal 22 10 8 4" xfId="18798"/>
    <cellStyle name="Normal 22 10 9" xfId="18799"/>
    <cellStyle name="Normal 22 10 9 2" xfId="18800"/>
    <cellStyle name="Normal 22 10 9 2 2" xfId="18801"/>
    <cellStyle name="Normal 22 10 9 2 3" xfId="18802"/>
    <cellStyle name="Normal 22 10 9 3" xfId="18803"/>
    <cellStyle name="Normal 22 10 9 4" xfId="18804"/>
    <cellStyle name="Normal 22 11" xfId="18805"/>
    <cellStyle name="Normal 22 12" xfId="18806"/>
    <cellStyle name="Normal 22 12 2" xfId="18807"/>
    <cellStyle name="Normal 22 12 2 2" xfId="18808"/>
    <cellStyle name="Normal 22 12 2 2 2" xfId="18809"/>
    <cellStyle name="Normal 22 12 2 2 2 2" xfId="18810"/>
    <cellStyle name="Normal 22 12 2 2 2 3" xfId="18811"/>
    <cellStyle name="Normal 22 12 2 2 3" xfId="18812"/>
    <cellStyle name="Normal 22 12 2 2 4" xfId="18813"/>
    <cellStyle name="Normal 22 12 2 3" xfId="18814"/>
    <cellStyle name="Normal 22 12 2 3 2" xfId="18815"/>
    <cellStyle name="Normal 22 12 2 3 2 2" xfId="18816"/>
    <cellStyle name="Normal 22 12 2 3 2 2 2" xfId="18817"/>
    <cellStyle name="Normal 22 12 2 3 2 2 2 2" xfId="18818"/>
    <cellStyle name="Normal 22 12 2 3 2 2 2 3" xfId="18819"/>
    <cellStyle name="Normal 22 12 2 3 2 2 3" xfId="18820"/>
    <cellStyle name="Normal 22 12 2 3 2 2 4" xfId="18821"/>
    <cellStyle name="Normal 22 12 2 3 2 3" xfId="18822"/>
    <cellStyle name="Normal 22 12 2 3 2 3 2" xfId="18823"/>
    <cellStyle name="Normal 22 12 2 3 2 3 3" xfId="18824"/>
    <cellStyle name="Normal 22 12 2 3 2 4" xfId="18825"/>
    <cellStyle name="Normal 22 12 2 3 2 5" xfId="18826"/>
    <cellStyle name="Normal 22 12 2 3 3" xfId="18827"/>
    <cellStyle name="Normal 22 12 2 3 3 2" xfId="18828"/>
    <cellStyle name="Normal 22 12 2 3 3 2 2" xfId="18829"/>
    <cellStyle name="Normal 22 12 2 3 3 2 3" xfId="18830"/>
    <cellStyle name="Normal 22 12 2 3 3 3" xfId="18831"/>
    <cellStyle name="Normal 22 12 2 3 3 4" xfId="18832"/>
    <cellStyle name="Normal 22 12 2 3 4" xfId="18833"/>
    <cellStyle name="Normal 22 12 2 3 4 2" xfId="18834"/>
    <cellStyle name="Normal 22 12 2 3 4 3" xfId="18835"/>
    <cellStyle name="Normal 22 12 2 3 5" xfId="18836"/>
    <cellStyle name="Normal 22 12 2 3 6" xfId="18837"/>
    <cellStyle name="Normal 22 12 2 4" xfId="18838"/>
    <cellStyle name="Normal 22 12 2 4 2" xfId="18839"/>
    <cellStyle name="Normal 22 12 2 4 2 2" xfId="18840"/>
    <cellStyle name="Normal 22 12 2 4 2 3" xfId="18841"/>
    <cellStyle name="Normal 22 12 2 4 3" xfId="18842"/>
    <cellStyle name="Normal 22 12 2 4 4" xfId="18843"/>
    <cellStyle name="Normal 22 12 2 5" xfId="18844"/>
    <cellStyle name="Normal 22 12 2 5 2" xfId="18845"/>
    <cellStyle name="Normal 22 12 2 5 2 2" xfId="18846"/>
    <cellStyle name="Normal 22 12 2 5 2 2 2" xfId="18847"/>
    <cellStyle name="Normal 22 12 2 5 2 2 2 2" xfId="18848"/>
    <cellStyle name="Normal 22 12 2 5 2 2 2 3" xfId="18849"/>
    <cellStyle name="Normal 22 12 2 5 2 2 3" xfId="18850"/>
    <cellStyle name="Normal 22 12 2 5 2 2 4" xfId="18851"/>
    <cellStyle name="Normal 22 12 2 5 2 3" xfId="18852"/>
    <cellStyle name="Normal 22 12 2 5 2 3 2" xfId="18853"/>
    <cellStyle name="Normal 22 12 2 5 2 3 3" xfId="18854"/>
    <cellStyle name="Normal 22 12 2 5 2 4" xfId="18855"/>
    <cellStyle name="Normal 22 12 2 5 2 5" xfId="18856"/>
    <cellStyle name="Normal 22 12 2 5 3" xfId="18857"/>
    <cellStyle name="Normal 22 12 2 5 3 2" xfId="18858"/>
    <cellStyle name="Normal 22 12 2 5 3 3" xfId="18859"/>
    <cellStyle name="Normal 22 12 2 5 4" xfId="18860"/>
    <cellStyle name="Normal 22 12 2 5 5" xfId="18861"/>
    <cellStyle name="Normal 22 12 2 6" xfId="18862"/>
    <cellStyle name="Normal 22 12 2 6 2" xfId="18863"/>
    <cellStyle name="Normal 22 12 2 6 3" xfId="18864"/>
    <cellStyle name="Normal 22 12 2 7" xfId="18865"/>
    <cellStyle name="Normal 22 12 2 8" xfId="18866"/>
    <cellStyle name="Normal 22 12 3" xfId="18867"/>
    <cellStyle name="Normal 22 12 3 2" xfId="18868"/>
    <cellStyle name="Normal 22 12 3 2 2" xfId="18869"/>
    <cellStyle name="Normal 22 12 3 2 3" xfId="18870"/>
    <cellStyle name="Normal 22 12 3 3" xfId="18871"/>
    <cellStyle name="Normal 22 12 3 4" xfId="18872"/>
    <cellStyle name="Normal 22 12 4" xfId="18873"/>
    <cellStyle name="Normal 22 12 4 2" xfId="18874"/>
    <cellStyle name="Normal 22 12 4 3" xfId="18875"/>
    <cellStyle name="Normal 22 12 5" xfId="18876"/>
    <cellStyle name="Normal 22 12 6" xfId="18877"/>
    <cellStyle name="Normal 22 13" xfId="18878"/>
    <cellStyle name="Normal 22 13 2" xfId="18879"/>
    <cellStyle name="Normal 22 13 2 2" xfId="18880"/>
    <cellStyle name="Normal 22 13 2 3" xfId="18881"/>
    <cellStyle name="Normal 22 13 3" xfId="18882"/>
    <cellStyle name="Normal 22 13 4" xfId="18883"/>
    <cellStyle name="Normal 22 14" xfId="18884"/>
    <cellStyle name="Normal 22 14 2" xfId="18885"/>
    <cellStyle name="Normal 22 14 2 2" xfId="18886"/>
    <cellStyle name="Normal 22 14 2 3" xfId="18887"/>
    <cellStyle name="Normal 22 14 3" xfId="18888"/>
    <cellStyle name="Normal 22 14 4" xfId="18889"/>
    <cellStyle name="Normal 22 15" xfId="18890"/>
    <cellStyle name="Normal 22 15 2" xfId="18891"/>
    <cellStyle name="Normal 22 15 2 2" xfId="18892"/>
    <cellStyle name="Normal 22 15 2 2 2" xfId="18893"/>
    <cellStyle name="Normal 22 15 2 2 3" xfId="18894"/>
    <cellStyle name="Normal 22 15 2 3" xfId="18895"/>
    <cellStyle name="Normal 22 15 2 4" xfId="18896"/>
    <cellStyle name="Normal 22 15 3" xfId="18897"/>
    <cellStyle name="Normal 22 15 3 2" xfId="18898"/>
    <cellStyle name="Normal 22 15 3 2 2" xfId="18899"/>
    <cellStyle name="Normal 22 15 3 2 2 2" xfId="18900"/>
    <cellStyle name="Normal 22 15 3 2 2 3" xfId="18901"/>
    <cellStyle name="Normal 22 15 3 2 3" xfId="18902"/>
    <cellStyle name="Normal 22 15 3 2 4" xfId="18903"/>
    <cellStyle name="Normal 22 15 3 3" xfId="18904"/>
    <cellStyle name="Normal 22 15 3 3 2" xfId="18905"/>
    <cellStyle name="Normal 22 15 3 3 3" xfId="18906"/>
    <cellStyle name="Normal 22 15 3 4" xfId="18907"/>
    <cellStyle name="Normal 22 15 3 5" xfId="18908"/>
    <cellStyle name="Normal 22 15 4" xfId="18909"/>
    <cellStyle name="Normal 22 15 4 2" xfId="18910"/>
    <cellStyle name="Normal 22 15 4 3" xfId="18911"/>
    <cellStyle name="Normal 22 15 5" xfId="18912"/>
    <cellStyle name="Normal 22 15 6" xfId="18913"/>
    <cellStyle name="Normal 22 16" xfId="18914"/>
    <cellStyle name="Normal 22 16 2" xfId="18915"/>
    <cellStyle name="Normal 22 16 2 2" xfId="18916"/>
    <cellStyle name="Normal 22 16 2 3" xfId="18917"/>
    <cellStyle name="Normal 22 16 3" xfId="18918"/>
    <cellStyle name="Normal 22 16 4" xfId="18919"/>
    <cellStyle name="Normal 22 17" xfId="18920"/>
    <cellStyle name="Normal 22 17 2" xfId="18921"/>
    <cellStyle name="Normal 22 17 2 2" xfId="18922"/>
    <cellStyle name="Normal 22 17 2 3" xfId="18923"/>
    <cellStyle name="Normal 22 17 3" xfId="18924"/>
    <cellStyle name="Normal 22 17 4" xfId="18925"/>
    <cellStyle name="Normal 22 18" xfId="18926"/>
    <cellStyle name="Normal 22 18 2" xfId="18927"/>
    <cellStyle name="Normal 22 18 2 2" xfId="18928"/>
    <cellStyle name="Normal 22 18 2 2 2" xfId="18929"/>
    <cellStyle name="Normal 22 18 2 2 2 2" xfId="18930"/>
    <cellStyle name="Normal 22 18 2 2 2 3" xfId="18931"/>
    <cellStyle name="Normal 22 18 2 2 3" xfId="18932"/>
    <cellStyle name="Normal 22 18 2 2 4" xfId="18933"/>
    <cellStyle name="Normal 22 18 2 3" xfId="18934"/>
    <cellStyle name="Normal 22 18 2 3 2" xfId="18935"/>
    <cellStyle name="Normal 22 18 2 3 2 2" xfId="18936"/>
    <cellStyle name="Normal 22 18 2 3 2 3" xfId="18937"/>
    <cellStyle name="Normal 22 18 2 3 3" xfId="18938"/>
    <cellStyle name="Normal 22 18 2 3 4" xfId="18939"/>
    <cellStyle name="Normal 22 18 2 4" xfId="18940"/>
    <cellStyle name="Normal 22 18 2 4 2" xfId="18941"/>
    <cellStyle name="Normal 22 18 2 4 3" xfId="18942"/>
    <cellStyle name="Normal 22 18 2 5" xfId="18943"/>
    <cellStyle name="Normal 22 18 2 6" xfId="18944"/>
    <cellStyle name="Normal 22 18 3" xfId="18945"/>
    <cellStyle name="Normal 22 18 3 2" xfId="18946"/>
    <cellStyle name="Normal 22 18 3 3" xfId="18947"/>
    <cellStyle name="Normal 22 18 4" xfId="18948"/>
    <cellStyle name="Normal 22 18 5" xfId="18949"/>
    <cellStyle name="Normal 22 19" xfId="18950"/>
    <cellStyle name="Normal 22 2" xfId="18951"/>
    <cellStyle name="Normal 22 2 2" xfId="18952"/>
    <cellStyle name="Normal 22 2 2 2" xfId="18953"/>
    <cellStyle name="Normal 22 2 2 2 2" xfId="18954"/>
    <cellStyle name="Normal 22 2 2 2 3" xfId="18955"/>
    <cellStyle name="Normal 22 2 2 3" xfId="18956"/>
    <cellStyle name="Normal 22 2 2 4" xfId="18957"/>
    <cellStyle name="Normal 22 2 3" xfId="18958"/>
    <cellStyle name="Normal 22 2 3 2" xfId="18959"/>
    <cellStyle name="Normal 22 2 3 3" xfId="18960"/>
    <cellStyle name="Normal 22 2 4" xfId="18961"/>
    <cellStyle name="Normal 22 2 5" xfId="18962"/>
    <cellStyle name="Normal 22 3" xfId="18963"/>
    <cellStyle name="Normal 22 4" xfId="18964"/>
    <cellStyle name="Normal 22 4 2" xfId="18965"/>
    <cellStyle name="Normal 22 4 2 2" xfId="18966"/>
    <cellStyle name="Normal 22 4 2 2 2" xfId="18967"/>
    <cellStyle name="Normal 22 4 2 2 3" xfId="18968"/>
    <cellStyle name="Normal 22 4 2 3" xfId="18969"/>
    <cellStyle name="Normal 22 4 2 4" xfId="18970"/>
    <cellStyle name="Normal 22 5" xfId="18971"/>
    <cellStyle name="Normal 22 6" xfId="18972"/>
    <cellStyle name="Normal 22 7" xfId="18973"/>
    <cellStyle name="Normal 22 7 2" xfId="18974"/>
    <cellStyle name="Normal 22 7 2 2" xfId="18975"/>
    <cellStyle name="Normal 22 7 2 2 2" xfId="18976"/>
    <cellStyle name="Normal 22 7 2 2 2 2" xfId="18977"/>
    <cellStyle name="Normal 22 7 2 2 2 2 2" xfId="18978"/>
    <cellStyle name="Normal 22 7 2 2 2 2 2 2" xfId="18979"/>
    <cellStyle name="Normal 22 7 2 2 2 2 2 3" xfId="18980"/>
    <cellStyle name="Normal 22 7 2 2 2 2 3" xfId="18981"/>
    <cellStyle name="Normal 22 7 2 2 2 2 4" xfId="18982"/>
    <cellStyle name="Normal 22 7 2 2 2 3" xfId="18983"/>
    <cellStyle name="Normal 22 7 2 2 2 3 2" xfId="18984"/>
    <cellStyle name="Normal 22 7 2 2 2 3 3" xfId="18985"/>
    <cellStyle name="Normal 22 7 2 2 2 4" xfId="18986"/>
    <cellStyle name="Normal 22 7 2 2 2 5" xfId="18987"/>
    <cellStyle name="Normal 22 7 2 2 3" xfId="18988"/>
    <cellStyle name="Normal 22 7 2 2 3 2" xfId="18989"/>
    <cellStyle name="Normal 22 7 2 2 3 3" xfId="18990"/>
    <cellStyle name="Normal 22 7 2 2 4" xfId="18991"/>
    <cellStyle name="Normal 22 7 2 2 5" xfId="18992"/>
    <cellStyle name="Normal 22 7 2 3" xfId="18993"/>
    <cellStyle name="Normal 22 7 2 3 2" xfId="18994"/>
    <cellStyle name="Normal 22 7 2 3 2 2" xfId="18995"/>
    <cellStyle name="Normal 22 7 2 3 2 3" xfId="18996"/>
    <cellStyle name="Normal 22 7 2 3 3" xfId="18997"/>
    <cellStyle name="Normal 22 7 2 3 4" xfId="18998"/>
    <cellStyle name="Normal 22 7 2 4" xfId="18999"/>
    <cellStyle name="Normal 22 7 2 4 2" xfId="19000"/>
    <cellStyle name="Normal 22 7 2 4 2 2" xfId="19001"/>
    <cellStyle name="Normal 22 7 2 4 2 2 2" xfId="19002"/>
    <cellStyle name="Normal 22 7 2 4 2 2 3" xfId="19003"/>
    <cellStyle name="Normal 22 7 2 4 2 3" xfId="19004"/>
    <cellStyle name="Normal 22 7 2 4 2 4" xfId="19005"/>
    <cellStyle name="Normal 22 7 2 4 3" xfId="19006"/>
    <cellStyle name="Normal 22 7 2 4 3 2" xfId="19007"/>
    <cellStyle name="Normal 22 7 2 4 3 3" xfId="19008"/>
    <cellStyle name="Normal 22 7 2 4 4" xfId="19009"/>
    <cellStyle name="Normal 22 7 2 4 5" xfId="19010"/>
    <cellStyle name="Normal 22 7 2 5" xfId="19011"/>
    <cellStyle name="Normal 22 7 2 5 2" xfId="19012"/>
    <cellStyle name="Normal 22 7 2 5 3" xfId="19013"/>
    <cellStyle name="Normal 22 7 2 6" xfId="19014"/>
    <cellStyle name="Normal 22 7 2 7" xfId="19015"/>
    <cellStyle name="Normal 22 7 3" xfId="19016"/>
    <cellStyle name="Normal 22 7 3 2" xfId="19017"/>
    <cellStyle name="Normal 22 7 3 2 2" xfId="19018"/>
    <cellStyle name="Normal 22 7 3 2 3" xfId="19019"/>
    <cellStyle name="Normal 22 7 3 3" xfId="19020"/>
    <cellStyle name="Normal 22 7 3 4" xfId="19021"/>
    <cellStyle name="Normal 22 7 4" xfId="19022"/>
    <cellStyle name="Normal 22 7 4 2" xfId="19023"/>
    <cellStyle name="Normal 22 7 4 2 2" xfId="19024"/>
    <cellStyle name="Normal 22 7 4 2 3" xfId="19025"/>
    <cellStyle name="Normal 22 7 4 3" xfId="19026"/>
    <cellStyle name="Normal 22 7 4 4" xfId="19027"/>
    <cellStyle name="Normal 22 8" xfId="19028"/>
    <cellStyle name="Normal 22 8 2" xfId="19029"/>
    <cellStyle name="Normal 22 8 2 2" xfId="19030"/>
    <cellStyle name="Normal 22 8 2 2 2" xfId="19031"/>
    <cellStyle name="Normal 22 8 2 2 3" xfId="19032"/>
    <cellStyle name="Normal 22 8 2 3" xfId="19033"/>
    <cellStyle name="Normal 22 8 2 4" xfId="19034"/>
    <cellStyle name="Normal 22 9" xfId="19035"/>
    <cellStyle name="Normal 22 9 10" xfId="19036"/>
    <cellStyle name="Normal 22 9 10 2" xfId="19037"/>
    <cellStyle name="Normal 22 9 10 2 2" xfId="19038"/>
    <cellStyle name="Normal 22 9 10 2 3" xfId="19039"/>
    <cellStyle name="Normal 22 9 10 3" xfId="19040"/>
    <cellStyle name="Normal 22 9 10 4" xfId="19041"/>
    <cellStyle name="Normal 22 9 11" xfId="19042"/>
    <cellStyle name="Normal 22 9 11 2" xfId="19043"/>
    <cellStyle name="Normal 22 9 11 2 2" xfId="19044"/>
    <cellStyle name="Normal 22 9 11 2 3" xfId="19045"/>
    <cellStyle name="Normal 22 9 11 3" xfId="19046"/>
    <cellStyle name="Normal 22 9 11 4" xfId="19047"/>
    <cellStyle name="Normal 22 9 12" xfId="19048"/>
    <cellStyle name="Normal 22 9 12 2" xfId="19049"/>
    <cellStyle name="Normal 22 9 12 2 2" xfId="19050"/>
    <cellStyle name="Normal 22 9 12 2 2 2" xfId="19051"/>
    <cellStyle name="Normal 22 9 12 2 2 3" xfId="19052"/>
    <cellStyle name="Normal 22 9 12 2 3" xfId="19053"/>
    <cellStyle name="Normal 22 9 12 2 4" xfId="19054"/>
    <cellStyle name="Normal 22 9 12 3" xfId="19055"/>
    <cellStyle name="Normal 22 9 12 3 2" xfId="19056"/>
    <cellStyle name="Normal 22 9 12 3 2 2" xfId="19057"/>
    <cellStyle name="Normal 22 9 12 3 2 2 2" xfId="19058"/>
    <cellStyle name="Normal 22 9 12 3 2 2 2 2" xfId="19059"/>
    <cellStyle name="Normal 22 9 12 3 2 2 2 2 2" xfId="19060"/>
    <cellStyle name="Normal 22 9 12 3 2 2 2 2 2 2" xfId="19061"/>
    <cellStyle name="Normal 22 9 12 3 2 2 2 2 2 3" xfId="19062"/>
    <cellStyle name="Normal 22 9 12 3 2 2 2 2 3" xfId="19063"/>
    <cellStyle name="Normal 22 9 12 3 2 2 2 2 4" xfId="19064"/>
    <cellStyle name="Normal 22 9 12 3 2 2 2 3" xfId="19065"/>
    <cellStyle name="Normal 22 9 12 3 2 2 2 3 2" xfId="19066"/>
    <cellStyle name="Normal 22 9 12 3 2 2 2 3 2 2" xfId="19067"/>
    <cellStyle name="Normal 22 9 12 3 2 2 2 3 2 3" xfId="19068"/>
    <cellStyle name="Normal 22 9 12 3 2 2 2 3 3" xfId="19069"/>
    <cellStyle name="Normal 22 9 12 3 2 2 2 3 4" xfId="19070"/>
    <cellStyle name="Normal 22 9 12 3 2 2 2 4" xfId="19071"/>
    <cellStyle name="Normal 22 9 12 3 2 2 2 4 2" xfId="19072"/>
    <cellStyle name="Normal 22 9 12 3 2 2 2 4 3" xfId="19073"/>
    <cellStyle name="Normal 22 9 12 3 2 2 2 5" xfId="19074"/>
    <cellStyle name="Normal 22 9 12 3 2 2 2 6" xfId="19075"/>
    <cellStyle name="Normal 22 9 12 3 2 2 3" xfId="19076"/>
    <cellStyle name="Normal 22 9 12 3 2 2 3 2" xfId="19077"/>
    <cellStyle name="Normal 22 9 12 3 2 2 3 2 2" xfId="19078"/>
    <cellStyle name="Normal 22 9 12 3 2 2 3 2 3" xfId="19079"/>
    <cellStyle name="Normal 22 9 12 3 2 2 3 3" xfId="19080"/>
    <cellStyle name="Normal 22 9 12 3 2 2 3 4" xfId="19081"/>
    <cellStyle name="Normal 22 9 12 3 2 2 4" xfId="19082"/>
    <cellStyle name="Normal 22 9 12 3 2 2 4 2" xfId="19083"/>
    <cellStyle name="Normal 22 9 12 3 2 2 4 3" xfId="19084"/>
    <cellStyle name="Normal 22 9 12 3 2 2 5" xfId="19085"/>
    <cellStyle name="Normal 22 9 12 3 2 2 6" xfId="19086"/>
    <cellStyle name="Normal 22 9 12 3 2 3" xfId="19087"/>
    <cellStyle name="Normal 22 9 12 3 2 3 2" xfId="19088"/>
    <cellStyle name="Normal 22 9 12 3 2 3 2 2" xfId="19089"/>
    <cellStyle name="Normal 22 9 12 3 2 3 2 2 2" xfId="19090"/>
    <cellStyle name="Normal 22 9 12 3 2 3 2 2 3" xfId="19091"/>
    <cellStyle name="Normal 22 9 12 3 2 3 2 3" xfId="19092"/>
    <cellStyle name="Normal 22 9 12 3 2 3 2 4" xfId="19093"/>
    <cellStyle name="Normal 22 9 12 3 2 3 3" xfId="19094"/>
    <cellStyle name="Normal 22 9 12 3 2 3 3 2" xfId="19095"/>
    <cellStyle name="Normal 22 9 12 3 2 3 3 3" xfId="19096"/>
    <cellStyle name="Normal 22 9 12 3 2 3 4" xfId="19097"/>
    <cellStyle name="Normal 22 9 12 3 2 3 5" xfId="19098"/>
    <cellStyle name="Normal 22 9 12 3 2 4" xfId="19099"/>
    <cellStyle name="Normal 22 9 12 3 2 4 2" xfId="19100"/>
    <cellStyle name="Normal 22 9 12 3 2 4 3" xfId="19101"/>
    <cellStyle name="Normal 22 9 12 3 2 5" xfId="19102"/>
    <cellStyle name="Normal 22 9 12 3 2 6" xfId="19103"/>
    <cellStyle name="Normal 22 9 12 3 3" xfId="19104"/>
    <cellStyle name="Normal 22 9 12 3 3 2" xfId="19105"/>
    <cellStyle name="Normal 22 9 12 3 3 3" xfId="19106"/>
    <cellStyle name="Normal 22 9 12 3 4" xfId="19107"/>
    <cellStyle name="Normal 22 9 12 3 5" xfId="19108"/>
    <cellStyle name="Normal 22 9 12 4" xfId="19109"/>
    <cellStyle name="Normal 22 9 12 4 2" xfId="19110"/>
    <cellStyle name="Normal 22 9 12 4 3" xfId="19111"/>
    <cellStyle name="Normal 22 9 12 5" xfId="19112"/>
    <cellStyle name="Normal 22 9 12 6" xfId="19113"/>
    <cellStyle name="Normal 22 9 2" xfId="19114"/>
    <cellStyle name="Normal 22 9 2 2" xfId="19115"/>
    <cellStyle name="Normal 22 9 2 2 2" xfId="19116"/>
    <cellStyle name="Normal 22 9 2 2 3" xfId="19117"/>
    <cellStyle name="Normal 22 9 2 3" xfId="19118"/>
    <cellStyle name="Normal 22 9 2 4" xfId="19119"/>
    <cellStyle name="Normal 22 9 3" xfId="19120"/>
    <cellStyle name="Normal 22 9 3 2" xfId="19121"/>
    <cellStyle name="Normal 22 9 3 2 2" xfId="19122"/>
    <cellStyle name="Normal 22 9 3 2 3" xfId="19123"/>
    <cellStyle name="Normal 22 9 3 3" xfId="19124"/>
    <cellStyle name="Normal 22 9 3 4" xfId="19125"/>
    <cellStyle name="Normal 22 9 4" xfId="19126"/>
    <cellStyle name="Normal 22 9 4 2" xfId="19127"/>
    <cellStyle name="Normal 22 9 4 2 2" xfId="19128"/>
    <cellStyle name="Normal 22 9 4 2 3" xfId="19129"/>
    <cellStyle name="Normal 22 9 4 3" xfId="19130"/>
    <cellStyle name="Normal 22 9 4 4" xfId="19131"/>
    <cellStyle name="Normal 22 9 5" xfId="19132"/>
    <cellStyle name="Normal 22 9 5 2" xfId="19133"/>
    <cellStyle name="Normal 22 9 5 2 2" xfId="19134"/>
    <cellStyle name="Normal 22 9 5 2 3" xfId="19135"/>
    <cellStyle name="Normal 22 9 5 3" xfId="19136"/>
    <cellStyle name="Normal 22 9 5 4" xfId="19137"/>
    <cellStyle name="Normal 22 9 6" xfId="19138"/>
    <cellStyle name="Normal 22 9 6 10" xfId="19139"/>
    <cellStyle name="Normal 22 9 6 11" xfId="19140"/>
    <cellStyle name="Normal 22 9 6 2" xfId="19141"/>
    <cellStyle name="Normal 22 9 6 2 2" xfId="19142"/>
    <cellStyle name="Normal 22 9 6 2 2 2" xfId="19143"/>
    <cellStyle name="Normal 22 9 6 2 2 3" xfId="19144"/>
    <cellStyle name="Normal 22 9 6 2 3" xfId="19145"/>
    <cellStyle name="Normal 22 9 6 2 4" xfId="19146"/>
    <cellStyle name="Normal 22 9 6 3" xfId="19147"/>
    <cellStyle name="Normal 22 9 6 3 2" xfId="19148"/>
    <cellStyle name="Normal 22 9 6 3 2 2" xfId="19149"/>
    <cellStyle name="Normal 22 9 6 3 2 2 2" xfId="19150"/>
    <cellStyle name="Normal 22 9 6 3 2 2 3" xfId="19151"/>
    <cellStyle name="Normal 22 9 6 3 2 3" xfId="19152"/>
    <cellStyle name="Normal 22 9 6 3 2 4" xfId="19153"/>
    <cellStyle name="Normal 22 9 6 3 3" xfId="19154"/>
    <cellStyle name="Normal 22 9 6 3 3 2" xfId="19155"/>
    <cellStyle name="Normal 22 9 6 3 3 2 2" xfId="19156"/>
    <cellStyle name="Normal 22 9 6 3 3 2 2 2" xfId="19157"/>
    <cellStyle name="Normal 22 9 6 3 3 2 2 3" xfId="19158"/>
    <cellStyle name="Normal 22 9 6 3 3 2 3" xfId="19159"/>
    <cellStyle name="Normal 22 9 6 3 3 2 4" xfId="19160"/>
    <cellStyle name="Normal 22 9 6 3 3 3" xfId="19161"/>
    <cellStyle name="Normal 22 9 6 3 3 3 2" xfId="19162"/>
    <cellStyle name="Normal 22 9 6 3 3 3 3" xfId="19163"/>
    <cellStyle name="Normal 22 9 6 3 3 4" xfId="19164"/>
    <cellStyle name="Normal 22 9 6 3 3 5" xfId="19165"/>
    <cellStyle name="Normal 22 9 6 3 4" xfId="19166"/>
    <cellStyle name="Normal 22 9 6 3 4 2" xfId="19167"/>
    <cellStyle name="Normal 22 9 6 3 4 3" xfId="19168"/>
    <cellStyle name="Normal 22 9 6 3 5" xfId="19169"/>
    <cellStyle name="Normal 22 9 6 3 6" xfId="19170"/>
    <cellStyle name="Normal 22 9 6 4" xfId="19171"/>
    <cellStyle name="Normal 22 9 6 4 2" xfId="19172"/>
    <cellStyle name="Normal 22 9 6 4 2 2" xfId="19173"/>
    <cellStyle name="Normal 22 9 6 4 2 3" xfId="19174"/>
    <cellStyle name="Normal 22 9 6 4 3" xfId="19175"/>
    <cellStyle name="Normal 22 9 6 4 4" xfId="19176"/>
    <cellStyle name="Normal 22 9 6 5" xfId="19177"/>
    <cellStyle name="Normal 22 9 6 5 2" xfId="19178"/>
    <cellStyle name="Normal 22 9 6 5 2 2" xfId="19179"/>
    <cellStyle name="Normal 22 9 6 5 2 3" xfId="19180"/>
    <cellStyle name="Normal 22 9 6 5 3" xfId="19181"/>
    <cellStyle name="Normal 22 9 6 5 4" xfId="19182"/>
    <cellStyle name="Normal 22 9 6 6" xfId="19183"/>
    <cellStyle name="Normal 22 9 6 6 2" xfId="19184"/>
    <cellStyle name="Normal 22 9 6 6 2 2" xfId="19185"/>
    <cellStyle name="Normal 22 9 6 6 2 3" xfId="19186"/>
    <cellStyle name="Normal 22 9 6 6 3" xfId="19187"/>
    <cellStyle name="Normal 22 9 6 6 4" xfId="19188"/>
    <cellStyle name="Normal 22 9 6 7" xfId="19189"/>
    <cellStyle name="Normal 22 9 6 7 2" xfId="19190"/>
    <cellStyle name="Normal 22 9 6 7 2 2" xfId="19191"/>
    <cellStyle name="Normal 22 9 6 7 2 3" xfId="19192"/>
    <cellStyle name="Normal 22 9 6 7 3" xfId="19193"/>
    <cellStyle name="Normal 22 9 6 7 4" xfId="19194"/>
    <cellStyle name="Normal 22 9 6 8" xfId="19195"/>
    <cellStyle name="Normal 22 9 6 8 2" xfId="19196"/>
    <cellStyle name="Normal 22 9 6 8 2 2" xfId="19197"/>
    <cellStyle name="Normal 22 9 6 8 2 3" xfId="19198"/>
    <cellStyle name="Normal 22 9 6 8 3" xfId="19199"/>
    <cellStyle name="Normal 22 9 6 8 4" xfId="19200"/>
    <cellStyle name="Normal 22 9 6 9" xfId="19201"/>
    <cellStyle name="Normal 22 9 6 9 2" xfId="19202"/>
    <cellStyle name="Normal 22 9 6 9 3" xfId="19203"/>
    <cellStyle name="Normal 22 9 7" xfId="19204"/>
    <cellStyle name="Normal 22 9 7 2" xfId="19205"/>
    <cellStyle name="Normal 22 9 7 2 2" xfId="19206"/>
    <cellStyle name="Normal 22 9 7 2 3" xfId="19207"/>
    <cellStyle name="Normal 22 9 7 3" xfId="19208"/>
    <cellStyle name="Normal 22 9 7 4" xfId="19209"/>
    <cellStyle name="Normal 22 9 8" xfId="19210"/>
    <cellStyle name="Normal 22 9 8 2" xfId="19211"/>
    <cellStyle name="Normal 22 9 8 2 2" xfId="19212"/>
    <cellStyle name="Normal 22 9 8 2 2 2" xfId="19213"/>
    <cellStyle name="Normal 22 9 8 2 2 3" xfId="19214"/>
    <cellStyle name="Normal 22 9 8 2 3" xfId="19215"/>
    <cellStyle name="Normal 22 9 8 2 4" xfId="19216"/>
    <cellStyle name="Normal 22 9 8 3" xfId="19217"/>
    <cellStyle name="Normal 22 9 8 3 2" xfId="19218"/>
    <cellStyle name="Normal 22 9 8 3 2 2" xfId="19219"/>
    <cellStyle name="Normal 22 9 8 3 2 3" xfId="19220"/>
    <cellStyle name="Normal 22 9 8 3 3" xfId="19221"/>
    <cellStyle name="Normal 22 9 8 3 4" xfId="19222"/>
    <cellStyle name="Normal 22 9 8 4" xfId="19223"/>
    <cellStyle name="Normal 22 9 8 4 2" xfId="19224"/>
    <cellStyle name="Normal 22 9 8 4 2 2" xfId="19225"/>
    <cellStyle name="Normal 22 9 8 4 2 3" xfId="19226"/>
    <cellStyle name="Normal 22 9 8 4 3" xfId="19227"/>
    <cellStyle name="Normal 22 9 8 4 4" xfId="19228"/>
    <cellStyle name="Normal 22 9 8 5" xfId="19229"/>
    <cellStyle name="Normal 22 9 8 5 2" xfId="19230"/>
    <cellStyle name="Normal 22 9 8 5 3" xfId="19231"/>
    <cellStyle name="Normal 22 9 8 6" xfId="19232"/>
    <cellStyle name="Normal 22 9 8 7" xfId="19233"/>
    <cellStyle name="Normal 22 9 9" xfId="19234"/>
    <cellStyle name="Normal 22 9 9 2" xfId="19235"/>
    <cellStyle name="Normal 22 9 9 2 2" xfId="19236"/>
    <cellStyle name="Normal 22 9 9 2 3" xfId="19237"/>
    <cellStyle name="Normal 22 9 9 3" xfId="19238"/>
    <cellStyle name="Normal 22 9 9 4" xfId="19239"/>
    <cellStyle name="Normal 22_Sheet2" xfId="19240"/>
    <cellStyle name="Normal 23" xfId="19241"/>
    <cellStyle name="Normal 23 10" xfId="19242"/>
    <cellStyle name="Normal 23 10 2" xfId="19243"/>
    <cellStyle name="Normal 23 10 2 2" xfId="19244"/>
    <cellStyle name="Normal 23 10 2 3" xfId="19245"/>
    <cellStyle name="Normal 23 10 3" xfId="19246"/>
    <cellStyle name="Normal 23 10 4" xfId="19247"/>
    <cellStyle name="Normal 23 11" xfId="19248"/>
    <cellStyle name="Normal 23 11 2" xfId="19249"/>
    <cellStyle name="Normal 23 11 2 2" xfId="19250"/>
    <cellStyle name="Normal 23 11 2 3" xfId="19251"/>
    <cellStyle name="Normal 23 11 3" xfId="19252"/>
    <cellStyle name="Normal 23 11 4" xfId="19253"/>
    <cellStyle name="Normal 23 12" xfId="19254"/>
    <cellStyle name="Normal 23 12 2" xfId="19255"/>
    <cellStyle name="Normal 23 12 2 2" xfId="19256"/>
    <cellStyle name="Normal 23 12 2 3" xfId="19257"/>
    <cellStyle name="Normal 23 12 3" xfId="19258"/>
    <cellStyle name="Normal 23 12 4" xfId="19259"/>
    <cellStyle name="Normal 23 13" xfId="19260"/>
    <cellStyle name="Normal 23 14" xfId="19261"/>
    <cellStyle name="Normal 23 15" xfId="19262"/>
    <cellStyle name="Normal 23 16" xfId="19263"/>
    <cellStyle name="Normal 23 17" xfId="19264"/>
    <cellStyle name="Normal 23 18" xfId="19265"/>
    <cellStyle name="Normal 23 19" xfId="19266"/>
    <cellStyle name="Normal 23 2" xfId="19267"/>
    <cellStyle name="Normal 23 2 2" xfId="19268"/>
    <cellStyle name="Normal 23 2 2 2" xfId="19269"/>
    <cellStyle name="Normal 23 2 2 2 2" xfId="19270"/>
    <cellStyle name="Normal 23 2 2 2 3" xfId="19271"/>
    <cellStyle name="Normal 23 2 2 3" xfId="19272"/>
    <cellStyle name="Normal 23 2 2 4" xfId="19273"/>
    <cellStyle name="Normal 23 3" xfId="19274"/>
    <cellStyle name="Normal 23 4" xfId="19275"/>
    <cellStyle name="Normal 23 5" xfId="19276"/>
    <cellStyle name="Normal 23 5 2" xfId="19277"/>
    <cellStyle name="Normal 23 5 2 2" xfId="19278"/>
    <cellStyle name="Normal 23 5 2 3" xfId="19279"/>
    <cellStyle name="Normal 23 5 3" xfId="19280"/>
    <cellStyle name="Normal 23 5 4" xfId="19281"/>
    <cellStyle name="Normal 23 6" xfId="19282"/>
    <cellStyle name="Normal 23 6 2" xfId="19283"/>
    <cellStyle name="Normal 23 6 2 2" xfId="19284"/>
    <cellStyle name="Normal 23 6 2 3" xfId="19285"/>
    <cellStyle name="Normal 23 6 3" xfId="19286"/>
    <cellStyle name="Normal 23 6 4" xfId="19287"/>
    <cellStyle name="Normal 23 7" xfId="19288"/>
    <cellStyle name="Normal 23 7 2" xfId="19289"/>
    <cellStyle name="Normal 23 7 2 2" xfId="19290"/>
    <cellStyle name="Normal 23 7 2 3" xfId="19291"/>
    <cellStyle name="Normal 23 7 3" xfId="19292"/>
    <cellStyle name="Normal 23 7 4" xfId="19293"/>
    <cellStyle name="Normal 23 8" xfId="19294"/>
    <cellStyle name="Normal 23 8 2" xfId="19295"/>
    <cellStyle name="Normal 23 8 2 10" xfId="19296"/>
    <cellStyle name="Normal 23 8 2 10 2" xfId="19297"/>
    <cellStyle name="Normal 23 8 2 10 3" xfId="19298"/>
    <cellStyle name="Normal 23 8 2 11" xfId="19299"/>
    <cellStyle name="Normal 23 8 2 12" xfId="19300"/>
    <cellStyle name="Normal 23 8 2 2" xfId="19301"/>
    <cellStyle name="Normal 23 8 2 2 2" xfId="19302"/>
    <cellStyle name="Normal 23 8 2 2 2 2" xfId="19303"/>
    <cellStyle name="Normal 23 8 2 2 2 3" xfId="19304"/>
    <cellStyle name="Normal 23 8 2 2 3" xfId="19305"/>
    <cellStyle name="Normal 23 8 2 2 4" xfId="19306"/>
    <cellStyle name="Normal 23 8 2 3" xfId="19307"/>
    <cellStyle name="Normal 23 8 2 3 2" xfId="19308"/>
    <cellStyle name="Normal 23 8 2 3 2 2" xfId="19309"/>
    <cellStyle name="Normal 23 8 2 3 2 3" xfId="19310"/>
    <cellStyle name="Normal 23 8 2 3 3" xfId="19311"/>
    <cellStyle name="Normal 23 8 2 3 4" xfId="19312"/>
    <cellStyle name="Normal 23 8 2 4" xfId="19313"/>
    <cellStyle name="Normal 23 8 2 4 2" xfId="19314"/>
    <cellStyle name="Normal 23 8 2 4 2 2" xfId="19315"/>
    <cellStyle name="Normal 23 8 2 4 2 2 2" xfId="19316"/>
    <cellStyle name="Normal 23 8 2 4 2 2 3" xfId="19317"/>
    <cellStyle name="Normal 23 8 2 4 2 3" xfId="19318"/>
    <cellStyle name="Normal 23 8 2 4 2 4" xfId="19319"/>
    <cellStyle name="Normal 23 8 2 4 3" xfId="19320"/>
    <cellStyle name="Normal 23 8 2 4 3 2" xfId="19321"/>
    <cellStyle name="Normal 23 8 2 4 3 3" xfId="19322"/>
    <cellStyle name="Normal 23 8 2 4 4" xfId="19323"/>
    <cellStyle name="Normal 23 8 2 4 5" xfId="19324"/>
    <cellStyle name="Normal 23 8 2 5" xfId="19325"/>
    <cellStyle name="Normal 23 8 2 5 2" xfId="19326"/>
    <cellStyle name="Normal 23 8 2 5 2 2" xfId="19327"/>
    <cellStyle name="Normal 23 8 2 5 2 3" xfId="19328"/>
    <cellStyle name="Normal 23 8 2 5 3" xfId="19329"/>
    <cellStyle name="Normal 23 8 2 5 4" xfId="19330"/>
    <cellStyle name="Normal 23 8 2 6" xfId="19331"/>
    <cellStyle name="Normal 23 8 2 6 2" xfId="19332"/>
    <cellStyle name="Normal 23 8 2 6 2 2" xfId="19333"/>
    <cellStyle name="Normal 23 8 2 6 2 3" xfId="19334"/>
    <cellStyle name="Normal 23 8 2 6 3" xfId="19335"/>
    <cellStyle name="Normal 23 8 2 6 4" xfId="19336"/>
    <cellStyle name="Normal 23 8 2 7" xfId="19337"/>
    <cellStyle name="Normal 23 8 2 7 2" xfId="19338"/>
    <cellStyle name="Normal 23 8 2 7 2 2" xfId="19339"/>
    <cellStyle name="Normal 23 8 2 7 2 2 2" xfId="19340"/>
    <cellStyle name="Normal 23 8 2 7 2 2 2 2" xfId="19341"/>
    <cellStyle name="Normal 23 8 2 7 2 2 2 2 2" xfId="19342"/>
    <cellStyle name="Normal 23 8 2 7 2 2 2 2 2 2" xfId="19343"/>
    <cellStyle name="Normal 23 8 2 7 2 2 2 2 2 3" xfId="19344"/>
    <cellStyle name="Normal 23 8 2 7 2 2 2 2 3" xfId="19345"/>
    <cellStyle name="Normal 23 8 2 7 2 2 2 2 4" xfId="19346"/>
    <cellStyle name="Normal 23 8 2 7 2 2 2 3" xfId="19347"/>
    <cellStyle name="Normal 23 8 2 7 2 2 2 3 2" xfId="19348"/>
    <cellStyle name="Normal 23 8 2 7 2 2 2 3 2 2" xfId="19349"/>
    <cellStyle name="Normal 23 8 2 7 2 2 2 3 2 3" xfId="19350"/>
    <cellStyle name="Normal 23 8 2 7 2 2 2 3 3" xfId="19351"/>
    <cellStyle name="Normal 23 8 2 7 2 2 2 3 4" xfId="19352"/>
    <cellStyle name="Normal 23 8 2 7 2 2 2 4" xfId="19353"/>
    <cellStyle name="Normal 23 8 2 7 2 2 2 4 2" xfId="19354"/>
    <cellStyle name="Normal 23 8 2 7 2 2 2 4 3" xfId="19355"/>
    <cellStyle name="Normal 23 8 2 7 2 2 2 5" xfId="19356"/>
    <cellStyle name="Normal 23 8 2 7 2 2 2 6" xfId="19357"/>
    <cellStyle name="Normal 23 8 2 7 2 2 3" xfId="19358"/>
    <cellStyle name="Normal 23 8 2 7 2 2 3 2" xfId="19359"/>
    <cellStyle name="Normal 23 8 2 7 2 2 3 2 2" xfId="19360"/>
    <cellStyle name="Normal 23 8 2 7 2 2 3 2 2 2" xfId="19361"/>
    <cellStyle name="Normal 23 8 2 7 2 2 3 2 2 3" xfId="19362"/>
    <cellStyle name="Normal 23 8 2 7 2 2 3 2 3" xfId="19363"/>
    <cellStyle name="Normal 23 8 2 7 2 2 3 2 4" xfId="19364"/>
    <cellStyle name="Normal 23 8 2 7 2 2 3 3" xfId="19365"/>
    <cellStyle name="Normal 23 8 2 7 2 2 3 3 2" xfId="19366"/>
    <cellStyle name="Normal 23 8 2 7 2 2 3 3 3" xfId="19367"/>
    <cellStyle name="Normal 23 8 2 7 2 2 3 4" xfId="19368"/>
    <cellStyle name="Normal 23 8 2 7 2 2 3 5" xfId="19369"/>
    <cellStyle name="Normal 23 8 2 7 2 2 4" xfId="19370"/>
    <cellStyle name="Normal 23 8 2 7 2 2 4 2" xfId="19371"/>
    <cellStyle name="Normal 23 8 2 7 2 2 4 3" xfId="19372"/>
    <cellStyle name="Normal 23 8 2 7 2 2 5" xfId="19373"/>
    <cellStyle name="Normal 23 8 2 7 2 2 6" xfId="19374"/>
    <cellStyle name="Normal 23 8 2 7 2 3" xfId="19375"/>
    <cellStyle name="Normal 23 8 2 7 2 3 2" xfId="19376"/>
    <cellStyle name="Normal 23 8 2 7 2 3 3" xfId="19377"/>
    <cellStyle name="Normal 23 8 2 7 2 4" xfId="19378"/>
    <cellStyle name="Normal 23 8 2 7 2 5" xfId="19379"/>
    <cellStyle name="Normal 23 8 2 7 3" xfId="19380"/>
    <cellStyle name="Normal 23 8 2 7 3 2" xfId="19381"/>
    <cellStyle name="Normal 23 8 2 7 3 3" xfId="19382"/>
    <cellStyle name="Normal 23 8 2 7 4" xfId="19383"/>
    <cellStyle name="Normal 23 8 2 7 5" xfId="19384"/>
    <cellStyle name="Normal 23 8 2 8" xfId="19385"/>
    <cellStyle name="Normal 23 8 2 8 2" xfId="19386"/>
    <cellStyle name="Normal 23 8 2 8 2 2" xfId="19387"/>
    <cellStyle name="Normal 23 8 2 8 2 3" xfId="19388"/>
    <cellStyle name="Normal 23 8 2 8 3" xfId="19389"/>
    <cellStyle name="Normal 23 8 2 8 4" xfId="19390"/>
    <cellStyle name="Normal 23 8 2 9" xfId="19391"/>
    <cellStyle name="Normal 23 8 2 9 2" xfId="19392"/>
    <cellStyle name="Normal 23 8 2 9 2 2" xfId="19393"/>
    <cellStyle name="Normal 23 8 2 9 2 3" xfId="19394"/>
    <cellStyle name="Normal 23 8 2 9 3" xfId="19395"/>
    <cellStyle name="Normal 23 8 2 9 4" xfId="19396"/>
    <cellStyle name="Normal 23 8 3" xfId="19397"/>
    <cellStyle name="Normal 23 8 3 2" xfId="19398"/>
    <cellStyle name="Normal 23 8 3 2 2" xfId="19399"/>
    <cellStyle name="Normal 23 8 3 2 3" xfId="19400"/>
    <cellStyle name="Normal 23 8 3 3" xfId="19401"/>
    <cellStyle name="Normal 23 8 3 4" xfId="19402"/>
    <cellStyle name="Normal 23 8 4" xfId="19403"/>
    <cellStyle name="Normal 23 8 4 2" xfId="19404"/>
    <cellStyle name="Normal 23 8 4 3" xfId="19405"/>
    <cellStyle name="Normal 23 8 5" xfId="19406"/>
    <cellStyle name="Normal 23 8 6" xfId="19407"/>
    <cellStyle name="Normal 23 9" xfId="19408"/>
    <cellStyle name="Normal 23 9 2" xfId="19409"/>
    <cellStyle name="Normal 23 9 2 2" xfId="19410"/>
    <cellStyle name="Normal 23 9 2 3" xfId="19411"/>
    <cellStyle name="Normal 23 9 3" xfId="19412"/>
    <cellStyle name="Normal 23 9 4" xfId="19413"/>
    <cellStyle name="Normal 23_Sheet2" xfId="19414"/>
    <cellStyle name="Normal 24" xfId="19415"/>
    <cellStyle name="Normal 24 10" xfId="19416"/>
    <cellStyle name="Normal 24 10 10" xfId="19417"/>
    <cellStyle name="Normal 24 10 2" xfId="19418"/>
    <cellStyle name="Normal 24 10 2 2" xfId="19419"/>
    <cellStyle name="Normal 24 10 2 2 2" xfId="19420"/>
    <cellStyle name="Normal 24 10 2 2 2 2" xfId="19421"/>
    <cellStyle name="Normal 24 10 2 2 2 3" xfId="19422"/>
    <cellStyle name="Normal 24 10 2 2 3" xfId="19423"/>
    <cellStyle name="Normal 24 10 2 2 4" xfId="19424"/>
    <cellStyle name="Normal 24 10 2 3" xfId="19425"/>
    <cellStyle name="Normal 24 10 2 3 2" xfId="19426"/>
    <cellStyle name="Normal 24 10 2 3 2 2" xfId="19427"/>
    <cellStyle name="Normal 24 10 2 3 2 2 2" xfId="19428"/>
    <cellStyle name="Normal 24 10 2 3 2 2 2 2" xfId="19429"/>
    <cellStyle name="Normal 24 10 2 3 2 2 2 2 2" xfId="19430"/>
    <cellStyle name="Normal 24 10 2 3 2 2 2 2 2 2" xfId="19431"/>
    <cellStyle name="Normal 24 10 2 3 2 2 2 2 2 2 2" xfId="19432"/>
    <cellStyle name="Normal 24 10 2 3 2 2 2 2 2 2 2 2" xfId="19433"/>
    <cellStyle name="Normal 24 10 2 3 2 2 2 2 2 2 2 3" xfId="19434"/>
    <cellStyle name="Normal 24 10 2 3 2 2 2 2 2 2 3" xfId="19435"/>
    <cellStyle name="Normal 24 10 2 3 2 2 2 2 2 2 4" xfId="19436"/>
    <cellStyle name="Normal 24 10 2 3 2 2 2 2 2 3" xfId="19437"/>
    <cellStyle name="Normal 24 10 2 3 2 2 2 2 2 3 2" xfId="19438"/>
    <cellStyle name="Normal 24 10 2 3 2 2 2 2 2 3 3" xfId="19439"/>
    <cellStyle name="Normal 24 10 2 3 2 2 2 2 2 4" xfId="19440"/>
    <cellStyle name="Normal 24 10 2 3 2 2 2 2 2 5" xfId="19441"/>
    <cellStyle name="Normal 24 10 2 3 2 2 2 2 3" xfId="19442"/>
    <cellStyle name="Normal 24 10 2 3 2 2 2 2 3 2" xfId="19443"/>
    <cellStyle name="Normal 24 10 2 3 2 2 2 2 3 3" xfId="19444"/>
    <cellStyle name="Normal 24 10 2 3 2 2 2 2 3 3 2" xfId="19445"/>
    <cellStyle name="Normal 24 10 2 3 2 2 2 2 3 3 2 2" xfId="19446"/>
    <cellStyle name="Normal 24 10 2 3 2 2 2 2 3 3 2 3" xfId="19447"/>
    <cellStyle name="Normal 24 10 2 3 2 2 2 2 3 3 3" xfId="19448"/>
    <cellStyle name="Normal 24 10 2 3 2 2 2 2 3 3 4" xfId="19449"/>
    <cellStyle name="Normal 24 10 2 3 2 2 2 2 3 4" xfId="19450"/>
    <cellStyle name="Normal 24 10 2 3 2 2 2 2 4" xfId="19451"/>
    <cellStyle name="Normal 24 10 2 3 2 2 2 2 5" xfId="19452"/>
    <cellStyle name="Normal 24 10 2 3 2 2 2 3" xfId="19453"/>
    <cellStyle name="Normal 24 10 2 3 2 2 2 3 2" xfId="19454"/>
    <cellStyle name="Normal 24 10 2 3 2 2 2 3 2 2" xfId="19455"/>
    <cellStyle name="Normal 24 10 2 3 2 2 2 3 2 2 2" xfId="19456"/>
    <cellStyle name="Normal 24 10 2 3 2 2 2 3 2 2 2 2" xfId="19457"/>
    <cellStyle name="Normal 24 10 2 3 2 2 2 3 2 2 2 2 2" xfId="19458"/>
    <cellStyle name="Normal 24 10 2 3 2 2 2 3 2 2 2 2 2 2" xfId="19459"/>
    <cellStyle name="Normal 24 10 2 3 2 2 2 3 2 2 2 2 2 2 2" xfId="19460"/>
    <cellStyle name="Normal 24 10 2 3 2 2 2 3 2 2 2 2 2 2 3" xfId="19461"/>
    <cellStyle name="Normal 24 10 2 3 2 2 2 3 2 2 2 2 2 3" xfId="19462"/>
    <cellStyle name="Normal 24 10 2 3 2 2 2 3 2 2 2 2 2 4" xfId="19463"/>
    <cellStyle name="Normal 24 10 2 3 2 2 2 3 2 2 2 2 3" xfId="19464"/>
    <cellStyle name="Normal 24 10 2 3 2 2 2 3 2 2 2 2 3 2" xfId="19465"/>
    <cellStyle name="Normal 24 10 2 3 2 2 2 3 2 2 2 2 3 3" xfId="19466"/>
    <cellStyle name="Normal 24 10 2 3 2 2 2 3 2 2 2 2 4" xfId="19467"/>
    <cellStyle name="Normal 24 10 2 3 2 2 2 3 2 2 2 2 5" xfId="19468"/>
    <cellStyle name="Normal 24 10 2 3 2 2 2 3 2 2 2 3" xfId="19469"/>
    <cellStyle name="Normal 24 10 2 3 2 2 2 3 2 2 2 3 2" xfId="19470"/>
    <cellStyle name="Normal 24 10 2 3 2 2 2 3 2 2 2 3 3" xfId="19471"/>
    <cellStyle name="Normal 24 10 2 3 2 2 2 3 2 2 2 4" xfId="19472"/>
    <cellStyle name="Normal 24 10 2 3 2 2 2 3 2 2 2 5" xfId="19473"/>
    <cellStyle name="Normal 24 10 2 3 2 2 2 3 2 2 3" xfId="19474"/>
    <cellStyle name="Normal 24 10 2 3 2 2 2 3 2 2 3 2" xfId="19475"/>
    <cellStyle name="Normal 24 10 2 3 2 2 2 3 2 2 3 2 2" xfId="19476"/>
    <cellStyle name="Normal 24 10 2 3 2 2 2 3 2 2 3 2 2 2" xfId="19477"/>
    <cellStyle name="Normal 24 10 2 3 2 2 2 3 2 2 3 2 2 2 2" xfId="19478"/>
    <cellStyle name="Normal 24 10 2 3 2 2 2 3 2 2 3 2 2 2 3" xfId="19479"/>
    <cellStyle name="Normal 24 10 2 3 2 2 2 3 2 2 3 2 2 3" xfId="19480"/>
    <cellStyle name="Normal 24 10 2 3 2 2 2 3 2 2 3 2 2 4" xfId="19481"/>
    <cellStyle name="Normal 24 10 2 3 2 2 2 3 2 2 3 2 3" xfId="19482"/>
    <cellStyle name="Normal 24 10 2 3 2 2 2 3 2 2 3 2 3 2" xfId="19483"/>
    <cellStyle name="Normal 24 10 2 3 2 2 2 3 2 2 3 2 3 3" xfId="19484"/>
    <cellStyle name="Normal 24 10 2 3 2 2 2 3 2 2 3 2 4" xfId="19485"/>
    <cellStyle name="Normal 24 10 2 3 2 2 2 3 2 2 3 2 4 2" xfId="19486"/>
    <cellStyle name="Normal 24 10 2 3 2 2 2 3 2 2 3 2 4 2 2" xfId="19487"/>
    <cellStyle name="Normal 24 10 2 3 2 2 2 3 2 2 3 2 4 2 3" xfId="19488"/>
    <cellStyle name="Normal 24 10 2 3 2 2 2 3 2 2 3 2 4 3" xfId="19489"/>
    <cellStyle name="Normal 24 10 2 3 2 2 2 3 2 2 3 2 4 4" xfId="19490"/>
    <cellStyle name="Normal 24 10 2 3 2 2 2 3 2 2 3 2 4 4 2" xfId="19491"/>
    <cellStyle name="Normal 24 10 2 3 2 2 2 3 2 2 3 2 4 4 2 2" xfId="19492"/>
    <cellStyle name="Normal 24 10 2 3 2 2 2 3 2 2 3 2 4 4 2 3" xfId="19493"/>
    <cellStyle name="Normal 24 10 2 3 2 2 2 3 2 2 3 2 4 4 3" xfId="19494"/>
    <cellStyle name="Normal 24 10 2 3 2 2 2 3 2 2 3 2 4 4 4" xfId="19495"/>
    <cellStyle name="Normal 24 10 2 3 2 2 2 3 2 2 3 2 4 5" xfId="19496"/>
    <cellStyle name="Normal 24 10 2 3 2 2 2 3 2 2 3 2 5" xfId="19497"/>
    <cellStyle name="Normal 24 10 2 3 2 2 2 3 2 2 3 2 6" xfId="19498"/>
    <cellStyle name="Normal 24 10 2 3 2 2 2 3 2 2 3 3" xfId="19499"/>
    <cellStyle name="Normal 24 10 2 3 2 2 2 3 2 2 3 3 2" xfId="19500"/>
    <cellStyle name="Normal 24 10 2 3 2 2 2 3 2 2 3 3 2 2" xfId="19501"/>
    <cellStyle name="Normal 24 10 2 3 2 2 2 3 2 2 3 3 2 3" xfId="19502"/>
    <cellStyle name="Normal 24 10 2 3 2 2 2 3 2 2 3 3 3" xfId="19503"/>
    <cellStyle name="Normal 24 10 2 3 2 2 2 3 2 2 3 3 4" xfId="19504"/>
    <cellStyle name="Normal 24 10 2 3 2 2 2 3 2 2 3 4" xfId="19505"/>
    <cellStyle name="Normal 24 10 2 3 2 2 2 3 2 2 3 4 2" xfId="19506"/>
    <cellStyle name="Normal 24 10 2 3 2 2 2 3 2 2 3 4 3" xfId="19507"/>
    <cellStyle name="Normal 24 10 2 3 2 2 2 3 2 2 3 5" xfId="19508"/>
    <cellStyle name="Normal 24 10 2 3 2 2 2 3 2 2 3 6" xfId="19509"/>
    <cellStyle name="Normal 24 10 2 3 2 2 2 3 2 2 4" xfId="19510"/>
    <cellStyle name="Normal 24 10 2 3 2 2 2 3 2 2 4 2" xfId="19511"/>
    <cellStyle name="Normal 24 10 2 3 2 2 2 3 2 2 4 3" xfId="19512"/>
    <cellStyle name="Normal 24 10 2 3 2 2 2 3 2 2 5" xfId="19513"/>
    <cellStyle name="Normal 24 10 2 3 2 2 2 3 2 2 6" xfId="19514"/>
    <cellStyle name="Normal 24 10 2 3 2 2 2 3 2 3" xfId="19515"/>
    <cellStyle name="Normal 24 10 2 3 2 2 2 3 2 3 2" xfId="19516"/>
    <cellStyle name="Normal 24 10 2 3 2 2 2 3 2 3 2 2" xfId="19517"/>
    <cellStyle name="Normal 24 10 2 3 2 2 2 3 2 3 2 2 2" xfId="19518"/>
    <cellStyle name="Normal 24 10 2 3 2 2 2 3 2 3 2 2 2 2" xfId="19519"/>
    <cellStyle name="Normal 24 10 2 3 2 2 2 3 2 3 2 2 2 2 2" xfId="19520"/>
    <cellStyle name="Normal 24 10 2 3 2 2 2 3 2 3 2 2 2 2 2 2" xfId="19521"/>
    <cellStyle name="Normal 24 10 2 3 2 2 2 3 2 3 2 2 2 2 2 2 2" xfId="19522"/>
    <cellStyle name="Normal 24 10 2 3 2 2 2 3 2 3 2 2 2 2 2 2 3" xfId="19523"/>
    <cellStyle name="Normal 24 10 2 3 2 2 2 3 2 3 2 2 2 2 2 3" xfId="19524"/>
    <cellStyle name="Normal 24 10 2 3 2 2 2 3 2 3 2 2 2 2 2 4" xfId="19525"/>
    <cellStyle name="Normal 24 10 2 3 2 2 2 3 2 3 2 2 2 2 3" xfId="19526"/>
    <cellStyle name="Normal 24 10 2 3 2 2 2 3 2 3 2 2 2 2 3 2" xfId="19527"/>
    <cellStyle name="Normal 24 10 2 3 2 2 2 3 2 3 2 2 2 2 3 2 2" xfId="19528"/>
    <cellStyle name="Normal 24 10 2 3 2 2 2 3 2 3 2 2 2 2 3 2 2 2" xfId="19529"/>
    <cellStyle name="Normal 24 10 2 3 2 2 2 3 2 3 2 2 2 2 3 2 2 3" xfId="19530"/>
    <cellStyle name="Normal 24 10 2 3 2 2 2 3 2 3 2 2 2 2 3 2 3" xfId="19531"/>
    <cellStyle name="Normal 24 10 2 3 2 2 2 3 2 3 2 2 2 2 3 2 3 2" xfId="19532"/>
    <cellStyle name="Normal 24 10 2 3 2 2 2 3 2 3 2 2 2 2 3 2 3 2 2" xfId="19533"/>
    <cellStyle name="Normal 24 10 2 3 2 2 2 3 2 3 2 2 2 2 3 2 3 2 3" xfId="19534"/>
    <cellStyle name="Normal 24 10 2 3 2 2 2 3 2 3 2 2 2 2 3 2 3 3" xfId="19535"/>
    <cellStyle name="Normal 24 10 2 3 2 2 2 3 2 3 2 2 2 2 3 2 3 4" xfId="19536"/>
    <cellStyle name="Normal 24 10 2 3 2 2 2 3 2 3 2 2 2 2 3 2 4" xfId="19537"/>
    <cellStyle name="Normal 24 10 2 3 2 2 2 3 2 3 2 2 2 2 3 2 5" xfId="19538"/>
    <cellStyle name="Normal 24 10 2 3 2 2 2 3 2 3 2 2 2 2 3 3" xfId="19539"/>
    <cellStyle name="Normal 24 10 2 3 2 2 2 3 2 3 2 2 2 2 3 3 2" xfId="19540"/>
    <cellStyle name="Normal 24 10 2 3 2 2 2 3 2 3 2 2 2 2 3 3 3" xfId="19541"/>
    <cellStyle name="Normal 24 10 2 3 2 2 2 3 2 3 2 2 2 2 3 4" xfId="19542"/>
    <cellStyle name="Normal 24 10 2 3 2 2 2 3 2 3 2 2 2 2 3 5" xfId="19543"/>
    <cellStyle name="Normal 24 10 2 3 2 2 2 3 2 3 2 2 2 2 4" xfId="19544"/>
    <cellStyle name="Normal 24 10 2 3 2 2 2 3 2 3 2 2 2 2 4 2" xfId="19545"/>
    <cellStyle name="Normal 24 10 2 3 2 2 2 3 2 3 2 2 2 2 4 3" xfId="19546"/>
    <cellStyle name="Normal 24 10 2 3 2 2 2 3 2 3 2 2 2 2 5" xfId="19547"/>
    <cellStyle name="Normal 24 10 2 3 2 2 2 3 2 3 2 2 2 2 6" xfId="19548"/>
    <cellStyle name="Normal 24 10 2 3 2 2 2 3 2 3 2 2 2 3" xfId="19549"/>
    <cellStyle name="Normal 24 10 2 3 2 2 2 3 2 3 2 2 2 3 2" xfId="19550"/>
    <cellStyle name="Normal 24 10 2 3 2 2 2 3 2 3 2 2 2 3 3" xfId="19551"/>
    <cellStyle name="Normal 24 10 2 3 2 2 2 3 2 3 2 2 2 4" xfId="19552"/>
    <cellStyle name="Normal 24 10 2 3 2 2 2 3 2 3 2 2 2 5" xfId="19553"/>
    <cellStyle name="Normal 24 10 2 3 2 2 2 3 2 3 2 2 3" xfId="19554"/>
    <cellStyle name="Normal 24 10 2 3 2 2 2 3 2 3 2 2 3 2" xfId="19555"/>
    <cellStyle name="Normal 24 10 2 3 2 2 2 3 2 3 2 2 3 2 2" xfId="19556"/>
    <cellStyle name="Normal 24 10 2 3 2 2 2 3 2 3 2 2 3 2 3" xfId="19557"/>
    <cellStyle name="Normal 24 10 2 3 2 2 2 3 2 3 2 2 3 3" xfId="19558"/>
    <cellStyle name="Normal 24 10 2 3 2 2 2 3 2 3 2 2 3 4" xfId="19559"/>
    <cellStyle name="Normal 24 10 2 3 2 2 2 3 2 3 2 2 4" xfId="19560"/>
    <cellStyle name="Normal 24 10 2 3 2 2 2 3 2 3 2 2 4 2" xfId="19561"/>
    <cellStyle name="Normal 24 10 2 3 2 2 2 3 2 3 2 2 4 3" xfId="19562"/>
    <cellStyle name="Normal 24 10 2 3 2 2 2 3 2 3 2 2 5" xfId="19563"/>
    <cellStyle name="Normal 24 10 2 3 2 2 2 3 2 3 2 2 6" xfId="19564"/>
    <cellStyle name="Normal 24 10 2 3 2 2 2 3 2 3 2 3" xfId="19565"/>
    <cellStyle name="Normal 24 10 2 3 2 2 2 3 2 3 2 3 2" xfId="19566"/>
    <cellStyle name="Normal 24 10 2 3 2 2 2 3 2 3 2 3 3" xfId="19567"/>
    <cellStyle name="Normal 24 10 2 3 2 2 2 3 2 3 2 4" xfId="19568"/>
    <cellStyle name="Normal 24 10 2 3 2 2 2 3 2 3 2 5" xfId="19569"/>
    <cellStyle name="Normal 24 10 2 3 2 2 2 3 2 3 3" xfId="19570"/>
    <cellStyle name="Normal 24 10 2 3 2 2 2 3 2 3 3 2" xfId="19571"/>
    <cellStyle name="Normal 24 10 2 3 2 2 2 3 2 3 3 2 2" xfId="19572"/>
    <cellStyle name="Normal 24 10 2 3 2 2 2 3 2 3 3 2 3" xfId="19573"/>
    <cellStyle name="Normal 24 10 2 3 2 2 2 3 2 3 3 3" xfId="19574"/>
    <cellStyle name="Normal 24 10 2 3 2 2 2 3 2 3 3 4" xfId="19575"/>
    <cellStyle name="Normal 24 10 2 3 2 2 2 3 2 3 4" xfId="19576"/>
    <cellStyle name="Normal 24 10 2 3 2 2 2 3 2 3 4 2" xfId="19577"/>
    <cellStyle name="Normal 24 10 2 3 2 2 2 3 2 3 4 3" xfId="19578"/>
    <cellStyle name="Normal 24 10 2 3 2 2 2 3 2 3 5" xfId="19579"/>
    <cellStyle name="Normal 24 10 2 3 2 2 2 3 2 3 6" xfId="19580"/>
    <cellStyle name="Normal 24 10 2 3 2 2 2 3 2 4" xfId="19581"/>
    <cellStyle name="Normal 24 10 2 3 2 2 2 3 2 4 2" xfId="19582"/>
    <cellStyle name="Normal 24 10 2 3 2 2 2 3 2 4 2 2" xfId="19583"/>
    <cellStyle name="Normal 24 10 2 3 2 2 2 3 2 4 2 2 2" xfId="19584"/>
    <cellStyle name="Normal 24 10 2 3 2 2 2 3 2 4 2 2 2 2" xfId="19585"/>
    <cellStyle name="Normal 24 10 2 3 2 2 2 3 2 4 2 2 2 2 2" xfId="19586"/>
    <cellStyle name="Normal 24 10 2 3 2 2 2 3 2 4 2 2 2 2 2 2" xfId="19587"/>
    <cellStyle name="Normal 24 10 2 3 2 2 2 3 2 4 2 2 2 2 2 2 2" xfId="19588"/>
    <cellStyle name="Normal 24 10 2 3 2 2 2 3 2 4 2 2 2 2 2 2 2 2" xfId="19589"/>
    <cellStyle name="Normal 24 10 2 3 2 2 2 3 2 4 2 2 2 2 2 2 2 3" xfId="19590"/>
    <cellStyle name="Normal 24 10 2 3 2 2 2 3 2 4 2 2 2 2 2 2 3" xfId="19591"/>
    <cellStyle name="Normal 24 10 2 3 2 2 2 3 2 4 2 2 2 2 2 2 4" xfId="19592"/>
    <cellStyle name="Normal 24 10 2 3 2 2 2 3 2 4 2 2 2 2 2 3" xfId="19593"/>
    <cellStyle name="Normal 24 10 2 3 2 2 2 3 2 4 2 2 2 2 2 3 2" xfId="19594"/>
    <cellStyle name="Normal 24 10 2 3 2 2 2 3 2 4 2 2 2 2 2 3 2 2" xfId="19595"/>
    <cellStyle name="Normal 24 10 2 3 2 2 2 3 2 4 2 2 2 2 2 3 2 2 2" xfId="19596"/>
    <cellStyle name="Normal 24 10 2 3 2 2 2 3 2 4 2 2 2 2 2 3 2 2 3" xfId="19597"/>
    <cellStyle name="Normal 24 10 2 3 2 2 2 3 2 4 2 2 2 2 2 3 2 3" xfId="19598"/>
    <cellStyle name="Normal 24 10 2 3 2 2 2 3 2 4 2 2 2 2 2 3 2 4" xfId="19599"/>
    <cellStyle name="Normal 24 10 2 3 2 2 2 3 2 4 2 2 2 2 2 3 3" xfId="19600"/>
    <cellStyle name="Normal 24 10 2 3 2 2 2 3 2 4 2 2 2 2 2 3 3 2" xfId="19601"/>
    <cellStyle name="Normal 24 10 2 3 2 2 2 3 2 4 2 2 2 2 2 3 3 3" xfId="19602"/>
    <cellStyle name="Normal 24 10 2 3 2 2 2 3 2 4 2 2 2 2 2 3 4" xfId="19603"/>
    <cellStyle name="Normal 24 10 2 3 2 2 2 3 2 4 2 2 2 2 2 3 5" xfId="19604"/>
    <cellStyle name="Normal 24 10 2 3 2 2 2 3 2 4 2 2 2 2 2 4" xfId="19605"/>
    <cellStyle name="Normal 24 10 2 3 2 2 2 3 2 4 2 2 2 2 2 5" xfId="19606"/>
    <cellStyle name="Normal 24 10 2 3 2 2 2 3 2 4 2 2 2 2 3" xfId="19607"/>
    <cellStyle name="Normal 24 10 2 3 2 2 2 3 2 4 2 2 2 2 4" xfId="19608"/>
    <cellStyle name="Normal 24 10 2 3 2 2 2 3 2 4 2 2 2 3" xfId="19609"/>
    <cellStyle name="Normal 24 10 2 3 2 2 2 3 2 4 2 2 2 3 2" xfId="19610"/>
    <cellStyle name="Normal 24 10 2 3 2 2 2 3 2 4 2 2 2 3 3" xfId="19611"/>
    <cellStyle name="Normal 24 10 2 3 2 2 2 3 2 4 2 2 2 4" xfId="19612"/>
    <cellStyle name="Normal 24 10 2 3 2 2 2 3 2 4 2 2 2 4 2" xfId="19613"/>
    <cellStyle name="Normal 24 10 2 3 2 2 2 3 2 4 2 2 2 4 2 2" xfId="19614"/>
    <cellStyle name="Normal 24 10 2 3 2 2 2 3 2 4 2 2 2 4 2 3" xfId="19615"/>
    <cellStyle name="Normal 24 10 2 3 2 2 2 3 2 4 2 2 2 4 3" xfId="19616"/>
    <cellStyle name="Normal 24 10 2 3 2 2 2 3 2 4 2 2 2 4 4" xfId="19617"/>
    <cellStyle name="Normal 24 10 2 3 2 2 2 3 2 4 2 2 2 5" xfId="19618"/>
    <cellStyle name="Normal 24 10 2 3 2 2 2 3 2 4 2 2 2 6" xfId="19619"/>
    <cellStyle name="Normal 24 10 2 3 2 2 2 3 2 4 2 2 3" xfId="19620"/>
    <cellStyle name="Normal 24 10 2 3 2 2 2 3 2 4 2 2 3 2" xfId="19621"/>
    <cellStyle name="Normal 24 10 2 3 2 2 2 3 2 4 2 2 3 3" xfId="19622"/>
    <cellStyle name="Normal 24 10 2 3 2 2 2 3 2 4 2 2 4" xfId="19623"/>
    <cellStyle name="Normal 24 10 2 3 2 2 2 3 2 4 2 2 5" xfId="19624"/>
    <cellStyle name="Normal 24 10 2 3 2 2 2 3 2 4 2 3" xfId="19625"/>
    <cellStyle name="Normal 24 10 2 3 2 2 2 3 2 4 2 3 2" xfId="19626"/>
    <cellStyle name="Normal 24 10 2 3 2 2 2 3 2 4 2 3 3" xfId="19627"/>
    <cellStyle name="Normal 24 10 2 3 2 2 2 3 2 4 2 4" xfId="19628"/>
    <cellStyle name="Normal 24 10 2 3 2 2 2 3 2 4 2 5" xfId="19629"/>
    <cellStyle name="Normal 24 10 2 3 2 2 2 3 2 4 3" xfId="19630"/>
    <cellStyle name="Normal 24 10 2 3 2 2 2 3 2 4 3 2" xfId="19631"/>
    <cellStyle name="Normal 24 10 2 3 2 2 2 3 2 4 3 3" xfId="19632"/>
    <cellStyle name="Normal 24 10 2 3 2 2 2 3 2 4 4" xfId="19633"/>
    <cellStyle name="Normal 24 10 2 3 2 2 2 3 2 4 5" xfId="19634"/>
    <cellStyle name="Normal 24 10 2 3 2 2 2 3 2 5" xfId="19635"/>
    <cellStyle name="Normal 24 10 2 3 2 2 2 3 2 5 2" xfId="19636"/>
    <cellStyle name="Normal 24 10 2 3 2 2 2 3 2 5 3" xfId="19637"/>
    <cellStyle name="Normal 24 10 2 3 2 2 2 3 2 6" xfId="19638"/>
    <cellStyle name="Normal 24 10 2 3 2 2 2 3 2 7" xfId="19639"/>
    <cellStyle name="Normal 24 10 2 3 2 2 2 3 3" xfId="19640"/>
    <cellStyle name="Normal 24 10 2 3 2 2 2 3 3 2" xfId="19641"/>
    <cellStyle name="Normal 24 10 2 3 2 2 2 3 3 2 2" xfId="19642"/>
    <cellStyle name="Normal 24 10 2 3 2 2 2 3 3 2 2 2" xfId="19643"/>
    <cellStyle name="Normal 24 10 2 3 2 2 2 3 3 2 2 2 2" xfId="19644"/>
    <cellStyle name="Normal 24 10 2 3 2 2 2 3 3 2 2 2 3" xfId="19645"/>
    <cellStyle name="Normal 24 10 2 3 2 2 2 3 3 2 2 3" xfId="19646"/>
    <cellStyle name="Normal 24 10 2 3 2 2 2 3 3 2 2 3 2" xfId="19647"/>
    <cellStyle name="Normal 24 10 2 3 2 2 2 3 3 2 2 3 2 2" xfId="19648"/>
    <cellStyle name="Normal 24 10 2 3 2 2 2 3 3 2 2 3 2 3" xfId="19649"/>
    <cellStyle name="Normal 24 10 2 3 2 2 2 3 3 2 2 3 3" xfId="19650"/>
    <cellStyle name="Normal 24 10 2 3 2 2 2 3 3 2 2 3 4" xfId="19651"/>
    <cellStyle name="Normal 24 10 2 3 2 2 2 3 3 2 2 4" xfId="19652"/>
    <cellStyle name="Normal 24 10 2 3 2 2 2 3 3 2 2 4 2" xfId="19653"/>
    <cellStyle name="Normal 24 10 2 3 2 2 2 3 3 2 2 4 2 2" xfId="19654"/>
    <cellStyle name="Normal 24 10 2 3 2 2 2 3 3 2 2 4 2 3" xfId="19655"/>
    <cellStyle name="Normal 24 10 2 3 2 2 2 3 3 2 2 4 3" xfId="19656"/>
    <cellStyle name="Normal 24 10 2 3 2 2 2 3 3 2 2 4 4" xfId="19657"/>
    <cellStyle name="Normal 24 10 2 3 2 2 2 3 3 2 2 5" xfId="19658"/>
    <cellStyle name="Normal 24 10 2 3 2 2 2 3 3 2 2 6" xfId="19659"/>
    <cellStyle name="Normal 24 10 2 3 2 2 2 3 3 2 3" xfId="19660"/>
    <cellStyle name="Normal 24 10 2 3 2 2 2 3 3 2 3 2" xfId="19661"/>
    <cellStyle name="Normal 24 10 2 3 2 2 2 3 3 2 3 3" xfId="19662"/>
    <cellStyle name="Normal 24 10 2 3 2 2 2 3 3 2 4" xfId="19663"/>
    <cellStyle name="Normal 24 10 2 3 2 2 2 3 3 2 5" xfId="19664"/>
    <cellStyle name="Normal 24 10 2 3 2 2 2 3 3 3" xfId="19665"/>
    <cellStyle name="Normal 24 10 2 3 2 2 2 3 3 3 2" xfId="19666"/>
    <cellStyle name="Normal 24 10 2 3 2 2 2 3 3 3 3" xfId="19667"/>
    <cellStyle name="Normal 24 10 2 3 2 2 2 3 3 4" xfId="19668"/>
    <cellStyle name="Normal 24 10 2 3 2 2 2 3 3 5" xfId="19669"/>
    <cellStyle name="Normal 24 10 2 3 2 2 2 3 4" xfId="19670"/>
    <cellStyle name="Normal 24 10 2 3 2 2 2 3 4 2" xfId="19671"/>
    <cellStyle name="Normal 24 10 2 3 2 2 2 3 4 2 2" xfId="19672"/>
    <cellStyle name="Normal 24 10 2 3 2 2 2 3 4 2 2 2" xfId="19673"/>
    <cellStyle name="Normal 24 10 2 3 2 2 2 3 4 2 2 3" xfId="19674"/>
    <cellStyle name="Normal 24 10 2 3 2 2 2 3 4 2 3" xfId="19675"/>
    <cellStyle name="Normal 24 10 2 3 2 2 2 3 4 2 4" xfId="19676"/>
    <cellStyle name="Normal 24 10 2 3 2 2 2 3 4 3" xfId="19677"/>
    <cellStyle name="Normal 24 10 2 3 2 2 2 3 4 3 2" xfId="19678"/>
    <cellStyle name="Normal 24 10 2 3 2 2 2 3 4 3 2 2" xfId="19679"/>
    <cellStyle name="Normal 24 10 2 3 2 2 2 3 4 3 2 2 2" xfId="19680"/>
    <cellStyle name="Normal 24 10 2 3 2 2 2 3 4 3 2 2 2 2" xfId="19681"/>
    <cellStyle name="Normal 24 10 2 3 2 2 2 3 4 3 2 2 2 3" xfId="19682"/>
    <cellStyle name="Normal 24 10 2 3 2 2 2 3 4 3 2 2 3" xfId="19683"/>
    <cellStyle name="Normal 24 10 2 3 2 2 2 3 4 3 2 2 4" xfId="19684"/>
    <cellStyle name="Normal 24 10 2 3 2 2 2 3 4 3 2 3" xfId="19685"/>
    <cellStyle name="Normal 24 10 2 3 2 2 2 3 4 3 2 3 2" xfId="19686"/>
    <cellStyle name="Normal 24 10 2 3 2 2 2 3 4 3 2 3 3" xfId="19687"/>
    <cellStyle name="Normal 24 10 2 3 2 2 2 3 4 3 2 4" xfId="19688"/>
    <cellStyle name="Normal 24 10 2 3 2 2 2 3 4 3 2 5" xfId="19689"/>
    <cellStyle name="Normal 24 10 2 3 2 2 2 3 4 3 3" xfId="19690"/>
    <cellStyle name="Normal 24 10 2 3 2 2 2 3 4 3 3 2" xfId="19691"/>
    <cellStyle name="Normal 24 10 2 3 2 2 2 3 4 3 3 2 2" xfId="19692"/>
    <cellStyle name="Normal 24 10 2 3 2 2 2 3 4 3 3 2 2 2" xfId="19693"/>
    <cellStyle name="Normal 24 10 2 3 2 2 2 3 4 3 3 2 2 2 2" xfId="19694"/>
    <cellStyle name="Normal 24 10 2 3 2 2 2 3 4 3 3 2 2 2 3" xfId="19695"/>
    <cellStyle name="Normal 24 10 2 3 2 2 2 3 4 3 3 2 2 3" xfId="19696"/>
    <cellStyle name="Normal 24 10 2 3 2 2 2 3 4 3 3 2 2 3 2" xfId="19697"/>
    <cellStyle name="Normal 24 10 2 3 2 2 2 3 4 3 3 2 2 3 2 2" xfId="19698"/>
    <cellStyle name="Normal 24 10 2 3 2 2 2 3 4 3 3 2 2 3 2 3" xfId="19699"/>
    <cellStyle name="Normal 24 10 2 3 2 2 2 3 4 3 3 2 2 3 3" xfId="19700"/>
    <cellStyle name="Normal 24 10 2 3 2 2 2 3 4 3 3 2 2 3 4" xfId="19701"/>
    <cellStyle name="Normal 24 10 2 3 2 2 2 3 4 3 3 2 2 4" xfId="19702"/>
    <cellStyle name="Normal 24 10 2 3 2 2 2 3 4 3 3 2 2 5" xfId="19703"/>
    <cellStyle name="Normal 24 10 2 3 2 2 2 3 4 3 3 2 3" xfId="19704"/>
    <cellStyle name="Normal 24 10 2 3 2 2 2 3 4 3 3 2 3 2" xfId="19705"/>
    <cellStyle name="Normal 24 10 2 3 2 2 2 3 4 3 3 2 3 3" xfId="19706"/>
    <cellStyle name="Normal 24 10 2 3 2 2 2 3 4 3 3 2 4" xfId="19707"/>
    <cellStyle name="Normal 24 10 2 3 2 2 2 3 4 3 3 2 5" xfId="19708"/>
    <cellStyle name="Normal 24 10 2 3 2 2 2 3 4 3 3 3" xfId="19709"/>
    <cellStyle name="Normal 24 10 2 3 2 2 2 3 4 3 3 3 2" xfId="19710"/>
    <cellStyle name="Normal 24 10 2 3 2 2 2 3 4 3 3 3 3" xfId="19711"/>
    <cellStyle name="Normal 24 10 2 3 2 2 2 3 4 3 3 4" xfId="19712"/>
    <cellStyle name="Normal 24 10 2 3 2 2 2 3 4 3 3 5" xfId="19713"/>
    <cellStyle name="Normal 24 10 2 3 2 2 2 3 4 3 4" xfId="19714"/>
    <cellStyle name="Normal 24 10 2 3 2 2 2 3 4 3 4 2" xfId="19715"/>
    <cellStyle name="Normal 24 10 2 3 2 2 2 3 4 3 4 3" xfId="19716"/>
    <cellStyle name="Normal 24 10 2 3 2 2 2 3 4 3 5" xfId="19717"/>
    <cellStyle name="Normal 24 10 2 3 2 2 2 3 4 3 6" xfId="19718"/>
    <cellStyle name="Normal 24 10 2 3 2 2 2 3 4 4" xfId="19719"/>
    <cellStyle name="Normal 24 10 2 3 2 2 2 3 4 4 2" xfId="19720"/>
    <cellStyle name="Normal 24 10 2 3 2 2 2 3 4 4 3" xfId="19721"/>
    <cellStyle name="Normal 24 10 2 3 2 2 2 3 4 5" xfId="19722"/>
    <cellStyle name="Normal 24 10 2 3 2 2 2 3 4 6" xfId="19723"/>
    <cellStyle name="Normal 24 10 2 3 2 2 2 3 5" xfId="19724"/>
    <cellStyle name="Normal 24 10 2 3 2 2 2 3 5 2" xfId="19725"/>
    <cellStyle name="Normal 24 10 2 3 2 2 2 3 5 2 4 2" xfId="19726"/>
    <cellStyle name="Normal 24 10 2 3 2 2 2 3 5 2 4 2 2" xfId="19727"/>
    <cellStyle name="Normal 24 10 2 3 2 2 2 3 5 2 4 2 2 2" xfId="19728"/>
    <cellStyle name="Normal 24 10 2 3 2 2 2 3 5 2 4 2 2 3" xfId="19729"/>
    <cellStyle name="Normal 24 10 2 3 2 2 2 3 5 2 4 2 3" xfId="19730"/>
    <cellStyle name="Normal 24 10 2 3 2 2 2 3 5 2 4 2 4" xfId="19731"/>
    <cellStyle name="Normal 24 10 2 3 2 2 2 3 5 2 4 2 4 2" xfId="19732"/>
    <cellStyle name="Normal 24 10 2 3 2 2 2 3 5 2 4 2 4 2 2" xfId="19733"/>
    <cellStyle name="Normal 24 10 2 3 2 2 2 3 5 2 4 2 4 2 2 2" xfId="19734"/>
    <cellStyle name="Normal 24 10 2 3 2 2 2 3 5 2 4 2 4 2 2 3" xfId="19735"/>
    <cellStyle name="Normal 24 10 2 3 2 2 2 3 5 2 4 2 4 2 3" xfId="19736"/>
    <cellStyle name="Normal 24 10 2 3 2 2 2 3 5 2 4 2 4 2 4" xfId="19737"/>
    <cellStyle name="Normal 24 10 2 3 2 2 2 3 5 2 4 2 4 3" xfId="19738"/>
    <cellStyle name="Normal 24 10 2 3 2 2 2 3 5 2 4 2 4 3 2" xfId="19739"/>
    <cellStyle name="Normal 24 10 2 3 2 2 2 3 5 2 4 2 4 3 3" xfId="19740"/>
    <cellStyle name="Normal 24 10 2 3 2 2 2 3 5 2 4 2 4 4" xfId="19741"/>
    <cellStyle name="Normal 24 10 2 3 2 2 2 3 5 2 4 2 4 5" xfId="19742"/>
    <cellStyle name="Normal 24 10 2 3 2 2 2 3 5 2 4 2 5" xfId="19743"/>
    <cellStyle name="Normal 24 10 2 3 2 2 2 3 5 3" xfId="19744"/>
    <cellStyle name="Normal 24 10 2 3 2 2 2 3 5 3 2 2" xfId="19745"/>
    <cellStyle name="Normal 24 10 2 3 2 2 2 3 5 3 2 2 2" xfId="19746"/>
    <cellStyle name="Normal 24 10 2 3 2 2 2 3 5 3 2 2 2 2" xfId="19747"/>
    <cellStyle name="Normal 24 10 2 3 2 2 2 3 5 3 2 2 2 2 2" xfId="19748"/>
    <cellStyle name="Normal 24 10 2 3 2 2 2 3 5 3 2 2 2 2 3" xfId="19749"/>
    <cellStyle name="Normal 24 10 2 3 2 2 2 3 5 3 2 2 2 3" xfId="19750"/>
    <cellStyle name="Normal 24 10 2 3 2 2 2 3 5 3 2 2 2 4" xfId="19751"/>
    <cellStyle name="Normal 24 10 2 3 2 2 2 3 5 3 2 2 3" xfId="19752"/>
    <cellStyle name="Normal 24 10 2 3 2 2 2 3 5 3 2 2 3 2" xfId="19753"/>
    <cellStyle name="Normal 24 10 2 3 2 2 2 3 5 3 2 2 3 2 2" xfId="19754"/>
    <cellStyle name="Normal 24 10 2 3 2 2 2 3 5 3 2 2 3 2 3" xfId="19755"/>
    <cellStyle name="Normal 24 10 2 3 2 2 2 3 5 3 2 2 3 3" xfId="19756"/>
    <cellStyle name="Normal 24 10 2 3 2 2 2 3 5 3 2 2 3 4" xfId="19757"/>
    <cellStyle name="Normal 24 10 2 3 2 2 2 3 5 3 2 2 4" xfId="19758"/>
    <cellStyle name="Normal 24 10 2 3 2 2 2 3 5 3 2 2 4 2" xfId="19759"/>
    <cellStyle name="Normal 24 10 2 3 2 2 2 3 5 3 2 2 4 3" xfId="19760"/>
    <cellStyle name="Normal 24 10 2 3 2 2 2 3 5 3 2 2 5" xfId="19761"/>
    <cellStyle name="Normal 24 10 2 3 2 2 2 3 5 3 2 2 6" xfId="19762"/>
    <cellStyle name="Normal 24 10 2 3 2 2 2 3 6" xfId="19763"/>
    <cellStyle name="Normal 24 10 2 3 2 2 2 3 7" xfId="19764"/>
    <cellStyle name="Normal 24 10 2 3 2 2 2 4" xfId="19765"/>
    <cellStyle name="Normal 24 10 2 3 2 2 2 4 2" xfId="19766"/>
    <cellStyle name="Normal 24 10 2 3 2 2 2 4 2 2" xfId="19767"/>
    <cellStyle name="Normal 24 10 2 3 2 2 2 4 2 2 2" xfId="19768"/>
    <cellStyle name="Normal 24 10 2 3 2 2 2 4 2 2 2 2" xfId="19769"/>
    <cellStyle name="Normal 24 10 2 3 2 2 2 4 2 2 2 3" xfId="19770"/>
    <cellStyle name="Normal 24 10 2 3 2 2 2 4 2 2 3" xfId="19771"/>
    <cellStyle name="Normal 24 10 2 3 2 2 2 4 2 2 4" xfId="19772"/>
    <cellStyle name="Normal 24 10 2 3 2 2 2 4 2 3" xfId="19773"/>
    <cellStyle name="Normal 24 10 2 3 2 2 2 4 2 3 2" xfId="19774"/>
    <cellStyle name="Normal 24 10 2 3 2 2 2 4 2 3 3" xfId="19775"/>
    <cellStyle name="Normal 24 10 2 3 2 2 2 4 2 4" xfId="19776"/>
    <cellStyle name="Normal 24 10 2 3 2 2 2 4 2 4 2" xfId="19777"/>
    <cellStyle name="Normal 24 10 2 3 2 2 2 4 2 4 2 2" xfId="19778"/>
    <cellStyle name="Normal 24 10 2 3 2 2 2 4 2 4 2 3" xfId="19779"/>
    <cellStyle name="Normal 24 10 2 3 2 2 2 4 2 4 3" xfId="19780"/>
    <cellStyle name="Normal 24 10 2 3 2 2 2 4 2 4 4" xfId="19781"/>
    <cellStyle name="Normal 24 10 2 3 2 2 2 4 2 5" xfId="19782"/>
    <cellStyle name="Normal 24 10 2 3 2 2 2 4 2 6" xfId="19783"/>
    <cellStyle name="Normal 24 10 2 3 2 2 2 4 3" xfId="19784"/>
    <cellStyle name="Normal 24 10 2 3 2 2 2 4 3 2" xfId="19785"/>
    <cellStyle name="Normal 24 10 2 3 2 2 2 4 3 2 2" xfId="19786"/>
    <cellStyle name="Normal 24 10 2 3 2 2 2 4 3 2 2 2" xfId="19787"/>
    <cellStyle name="Normal 24 10 2 3 2 2 2 4 3 2 2 2 2" xfId="19788"/>
    <cellStyle name="Normal 24 10 2 3 2 2 2 4 3 2 2 2 3" xfId="19789"/>
    <cellStyle name="Normal 24 10 2 3 2 2 2 4 3 2 2 3" xfId="19790"/>
    <cellStyle name="Normal 24 10 2 3 2 2 2 4 3 2 2 4" xfId="19791"/>
    <cellStyle name="Normal 24 10 2 3 2 2 2 4 3 2 3" xfId="19792"/>
    <cellStyle name="Normal 24 10 2 3 2 2 2 4 3 2 3 2" xfId="19793"/>
    <cellStyle name="Normal 24 10 2 3 2 2 2 4 3 2 3 2 2" xfId="19794"/>
    <cellStyle name="Normal 24 10 2 3 2 2 2 4 3 2 3 2 3" xfId="19795"/>
    <cellStyle name="Normal 24 10 2 3 2 2 2 4 3 2 3 3" xfId="19796"/>
    <cellStyle name="Normal 24 10 2 3 2 2 2 4 3 2 3 4" xfId="19797"/>
    <cellStyle name="Normal 24 10 2 3 2 2 2 4 3 2 4" xfId="19798"/>
    <cellStyle name="Normal 24 10 2 3 2 2 2 4 3 2 4 2" xfId="19799"/>
    <cellStyle name="Normal 24 10 2 3 2 2 2 4 3 2 4 3" xfId="19800"/>
    <cellStyle name="Normal 24 10 2 3 2 2 2 4 3 2 5" xfId="19801"/>
    <cellStyle name="Normal 24 10 2 3 2 2 2 4 3 2 6" xfId="19802"/>
    <cellStyle name="Normal 24 10 2 3 2 2 2 4 3 3" xfId="19803"/>
    <cellStyle name="Normal 24 10 2 3 2 2 2 4 3 3 2" xfId="19804"/>
    <cellStyle name="Normal 24 10 2 3 2 2 2 4 3 3 3" xfId="19805"/>
    <cellStyle name="Normal 24 10 2 3 2 2 2 4 3 4" xfId="19806"/>
    <cellStyle name="Normal 24 10 2 3 2 2 2 4 3 5" xfId="19807"/>
    <cellStyle name="Normal 24 10 2 3 2 2 2 4 4" xfId="19808"/>
    <cellStyle name="Normal 24 10 2 3 2 2 2 4 4 2" xfId="19809"/>
    <cellStyle name="Normal 24 10 2 3 2 2 2 4 4 3" xfId="19810"/>
    <cellStyle name="Normal 24 10 2 3 2 2 2 4 5" xfId="19811"/>
    <cellStyle name="Normal 24 10 2 3 2 2 2 4 6" xfId="19812"/>
    <cellStyle name="Normal 24 10 2 3 2 2 2 5" xfId="19813"/>
    <cellStyle name="Normal 24 10 2 3 2 2 2 5 2" xfId="19814"/>
    <cellStyle name="Normal 24 10 2 3 2 2 2 5 2 2" xfId="19815"/>
    <cellStyle name="Normal 24 10 2 3 2 2 2 5 2 3" xfId="19816"/>
    <cellStyle name="Normal 24 10 2 3 2 2 2 5 3" xfId="19817"/>
    <cellStyle name="Normal 24 10 2 3 2 2 2 5 4" xfId="19818"/>
    <cellStyle name="Normal 24 10 2 3 2 2 2 6" xfId="19819"/>
    <cellStyle name="Normal 24 10 2 3 2 2 2 6 2" xfId="19820"/>
    <cellStyle name="Normal 24 10 2 3 2 2 2 6 3" xfId="19821"/>
    <cellStyle name="Normal 24 10 2 3 2 2 2 7" xfId="19822"/>
    <cellStyle name="Normal 24 10 2 3 2 2 2 8" xfId="19823"/>
    <cellStyle name="Normal 24 10 2 3 2 2 3" xfId="19824"/>
    <cellStyle name="Normal 24 10 2 3 2 2 3 2" xfId="19825"/>
    <cellStyle name="Normal 24 10 2 3 2 2 3 2 2" xfId="19826"/>
    <cellStyle name="Normal 24 10 2 3 2 2 3 2 3" xfId="19827"/>
    <cellStyle name="Normal 24 10 2 3 2 2 3 3" xfId="19828"/>
    <cellStyle name="Normal 24 10 2 3 2 2 3 4" xfId="19829"/>
    <cellStyle name="Normal 24 10 2 3 2 2 4" xfId="19830"/>
    <cellStyle name="Normal 24 10 2 3 2 2 4 2" xfId="19831"/>
    <cellStyle name="Normal 24 10 2 3 2 2 4 3" xfId="19832"/>
    <cellStyle name="Normal 24 10 2 3 2 2 5" xfId="19833"/>
    <cellStyle name="Normal 24 10 2 3 2 2 6" xfId="19834"/>
    <cellStyle name="Normal 24 10 2 3 2 3" xfId="19835"/>
    <cellStyle name="Normal 24 10 2 3 2 3 2" xfId="19836"/>
    <cellStyle name="Normal 24 10 2 3 2 3 3" xfId="19837"/>
    <cellStyle name="Normal 24 10 2 3 2 4" xfId="19838"/>
    <cellStyle name="Normal 24 10 2 3 2 5" xfId="19839"/>
    <cellStyle name="Normal 24 10 2 3 3" xfId="19840"/>
    <cellStyle name="Normal 24 10 2 3 3 2" xfId="19841"/>
    <cellStyle name="Normal 24 10 2 3 3 2 2" xfId="19842"/>
    <cellStyle name="Normal 24 10 2 3 3 2 3" xfId="19843"/>
    <cellStyle name="Normal 24 10 2 3 3 3" xfId="19844"/>
    <cellStyle name="Normal 24 10 2 3 3 4" xfId="19845"/>
    <cellStyle name="Normal 24 10 2 3 4" xfId="19846"/>
    <cellStyle name="Normal 24 10 2 3 4 2" xfId="19847"/>
    <cellStyle name="Normal 24 10 2 3 4 2 2" xfId="19848"/>
    <cellStyle name="Normal 24 10 2 3 4 2 2 2" xfId="19849"/>
    <cellStyle name="Normal 24 10 2 3 4 2 2 3" xfId="19850"/>
    <cellStyle name="Normal 24 10 2 3 4 2 3" xfId="19851"/>
    <cellStyle name="Normal 24 10 2 3 4 2 4" xfId="19852"/>
    <cellStyle name="Normal 24 10 2 3 4 3" xfId="19853"/>
    <cellStyle name="Normal 24 10 2 3 4 3 2" xfId="19854"/>
    <cellStyle name="Normal 24 10 2 3 4 3 3" xfId="19855"/>
    <cellStyle name="Normal 24 10 2 3 4 4" xfId="19856"/>
    <cellStyle name="Normal 24 10 2 3 4 5" xfId="19857"/>
    <cellStyle name="Normal 24 10 2 3 5" xfId="19858"/>
    <cellStyle name="Normal 24 10 2 3 5 2" xfId="19859"/>
    <cellStyle name="Normal 24 10 2 3 5 2 2" xfId="19860"/>
    <cellStyle name="Normal 24 10 2 3 5 2 2 2" xfId="19861"/>
    <cellStyle name="Normal 24 10 2 3 5 2 2 2 2" xfId="19862"/>
    <cellStyle name="Normal 24 10 2 3 5 2 2 2 3" xfId="19863"/>
    <cellStyle name="Normal 24 10 2 3 5 2 2 3" xfId="19864"/>
    <cellStyle name="Normal 24 10 2 3 5 2 2 4" xfId="19865"/>
    <cellStyle name="Normal 24 10 2 3 5 2 3" xfId="19866"/>
    <cellStyle name="Normal 24 10 2 3 5 2 3 2" xfId="19867"/>
    <cellStyle name="Normal 24 10 2 3 5 2 3 2 2" xfId="19868"/>
    <cellStyle name="Normal 24 10 2 3 5 2 3 2 2 2" xfId="19869"/>
    <cellStyle name="Normal 24 10 2 3 5 2 3 2 2 3" xfId="19870"/>
    <cellStyle name="Normal 24 10 2 3 5 2 3 2 3" xfId="19871"/>
    <cellStyle name="Normal 24 10 2 3 5 2 3 2 4" xfId="19872"/>
    <cellStyle name="Normal 24 10 2 3 5 2 3 3" xfId="19873"/>
    <cellStyle name="Normal 24 10 2 3 5 2 3 4" xfId="19874"/>
    <cellStyle name="Normal 24 10 2 3 5 2 4" xfId="19875"/>
    <cellStyle name="Normal 24 10 2 3 5 2 5" xfId="19876"/>
    <cellStyle name="Normal 24 10 2 3 5 3" xfId="19877"/>
    <cellStyle name="Normal 24 10 2 3 5 3 2" xfId="19878"/>
    <cellStyle name="Normal 24 10 2 3 5 3 3" xfId="19879"/>
    <cellStyle name="Normal 24 10 2 3 5 4" xfId="19880"/>
    <cellStyle name="Normal 24 10 2 3 5 5" xfId="19881"/>
    <cellStyle name="Normal 24 10 2 3 6" xfId="19882"/>
    <cellStyle name="Normal 24 10 2 3 6 2" xfId="19883"/>
    <cellStyle name="Normal 24 10 2 3 6 3" xfId="19884"/>
    <cellStyle name="Normal 24 10 2 3 7" xfId="19885"/>
    <cellStyle name="Normal 24 10 2 3 8" xfId="19886"/>
    <cellStyle name="Normal 24 10 2 4" xfId="19887"/>
    <cellStyle name="Normal 24 10 2 4 2" xfId="19888"/>
    <cellStyle name="Normal 24 10 2 4 2 2" xfId="19889"/>
    <cellStyle name="Normal 24 10 2 4 2 3" xfId="19890"/>
    <cellStyle name="Normal 24 10 2 4 3" xfId="19891"/>
    <cellStyle name="Normal 24 10 2 4 4" xfId="19892"/>
    <cellStyle name="Normal 24 10 2 5" xfId="19893"/>
    <cellStyle name="Normal 24 10 2 5 2" xfId="19894"/>
    <cellStyle name="Normal 24 10 2 5 2 2" xfId="19895"/>
    <cellStyle name="Normal 24 10 2 5 2 3" xfId="19896"/>
    <cellStyle name="Normal 24 10 2 5 3" xfId="19897"/>
    <cellStyle name="Normal 24 10 2 5 4" xfId="19898"/>
    <cellStyle name="Normal 24 10 2 6" xfId="19899"/>
    <cellStyle name="Normal 24 10 2 6 2" xfId="19900"/>
    <cellStyle name="Normal 24 10 2 6 2 2" xfId="19901"/>
    <cellStyle name="Normal 24 10 2 6 2 2 2" xfId="19902"/>
    <cellStyle name="Normal 24 10 2 6 2 2 2 2" xfId="19903"/>
    <cellStyle name="Normal 24 10 2 6 2 2 2 2 2" xfId="19904"/>
    <cellStyle name="Normal 24 10 2 6 2 2 2 2 3" xfId="19905"/>
    <cellStyle name="Normal 24 10 2 6 2 2 2 3" xfId="19906"/>
    <cellStyle name="Normal 24 10 2 6 2 2 2 4" xfId="19907"/>
    <cellStyle name="Normal 24 10 2 6 2 2 3" xfId="19908"/>
    <cellStyle name="Normal 24 10 2 6 2 2 3 2" xfId="19909"/>
    <cellStyle name="Normal 24 10 2 6 2 2 3 2 2" xfId="19910"/>
    <cellStyle name="Normal 24 10 2 6 2 2 3 2 3" xfId="19911"/>
    <cellStyle name="Normal 24 10 2 6 2 2 3 3" xfId="19912"/>
    <cellStyle name="Normal 24 10 2 6 2 2 3 4" xfId="19913"/>
    <cellStyle name="Normal 24 10 2 6 2 2 4" xfId="19914"/>
    <cellStyle name="Normal 24 10 2 6 2 2 4 2" xfId="19915"/>
    <cellStyle name="Normal 24 10 2 6 2 2 4 3" xfId="19916"/>
    <cellStyle name="Normal 24 10 2 6 2 2 5" xfId="19917"/>
    <cellStyle name="Normal 24 10 2 6 2 2 6" xfId="19918"/>
    <cellStyle name="Normal 24 10 2 6 2 3" xfId="19919"/>
    <cellStyle name="Normal 24 10 2 6 2 3 2" xfId="19920"/>
    <cellStyle name="Normal 24 10 2 6 2 3 2 2" xfId="19921"/>
    <cellStyle name="Normal 24 10 2 6 2 3 2 2 2" xfId="19922"/>
    <cellStyle name="Normal 24 10 2 6 2 3 2 2 3" xfId="19923"/>
    <cellStyle name="Normal 24 10 2 6 2 3 2 3" xfId="19924"/>
    <cellStyle name="Normal 24 10 2 6 2 3 2 4" xfId="19925"/>
    <cellStyle name="Normal 24 10 2 6 2 3 3" xfId="19926"/>
    <cellStyle name="Normal 24 10 2 6 2 3 3 2" xfId="19927"/>
    <cellStyle name="Normal 24 10 2 6 2 3 3 3" xfId="19928"/>
    <cellStyle name="Normal 24 10 2 6 2 3 4" xfId="19929"/>
    <cellStyle name="Normal 24 10 2 6 2 3 5" xfId="19930"/>
    <cellStyle name="Normal 24 10 2 6 2 4" xfId="19931"/>
    <cellStyle name="Normal 24 10 2 6 2 4 2" xfId="19932"/>
    <cellStyle name="Normal 24 10 2 6 2 4 2 2" xfId="19933"/>
    <cellStyle name="Normal 24 10 2 6 2 4 2 2 2" xfId="19934"/>
    <cellStyle name="Normal 24 10 2 6 2 4 2 2 3" xfId="19935"/>
    <cellStyle name="Normal 24 10 2 6 2 4 2 3" xfId="19936"/>
    <cellStyle name="Normal 24 10 2 6 2 4 2 4" xfId="19937"/>
    <cellStyle name="Normal 24 10 2 6 2 4 3" xfId="19938"/>
    <cellStyle name="Normal 24 10 2 6 2 4 3 2" xfId="19939"/>
    <cellStyle name="Normal 24 10 2 6 2 4 3 3" xfId="19940"/>
    <cellStyle name="Normal 24 10 2 6 2 4 4" xfId="19941"/>
    <cellStyle name="Normal 24 10 2 6 2 4 5" xfId="19942"/>
    <cellStyle name="Normal 24 10 2 6 2 5" xfId="19943"/>
    <cellStyle name="Normal 24 10 2 6 2 5 2" xfId="19944"/>
    <cellStyle name="Normal 24 10 2 6 2 5 2 2" xfId="19945"/>
    <cellStyle name="Normal 24 10 2 6 2 5 2 3" xfId="19946"/>
    <cellStyle name="Normal 24 10 2 6 2 5 3" xfId="19947"/>
    <cellStyle name="Normal 24 10 2 6 2 5 4" xfId="19948"/>
    <cellStyle name="Normal 24 10 2 6 2 6" xfId="19949"/>
    <cellStyle name="Normal 24 10 2 6 2 6 2" xfId="19950"/>
    <cellStyle name="Normal 24 10 2 6 2 6 3" xfId="19951"/>
    <cellStyle name="Normal 24 10 2 6 2 7" xfId="19952"/>
    <cellStyle name="Normal 24 10 2 6 2 8" xfId="19953"/>
    <cellStyle name="Normal 24 10 2 6 3" xfId="19954"/>
    <cellStyle name="Normal 24 10 2 6 3 2" xfId="19955"/>
    <cellStyle name="Normal 24 10 2 6 3 3" xfId="19956"/>
    <cellStyle name="Normal 24 10 2 6 4" xfId="19957"/>
    <cellStyle name="Normal 24 10 2 6 5" xfId="19958"/>
    <cellStyle name="Normal 24 10 2 7" xfId="19959"/>
    <cellStyle name="Normal 24 10 2 7 2" xfId="19960"/>
    <cellStyle name="Normal 24 10 2 7 3" xfId="19961"/>
    <cellStyle name="Normal 24 10 2 8" xfId="19962"/>
    <cellStyle name="Normal 24 10 2 9" xfId="19963"/>
    <cellStyle name="Normal 24 10 3" xfId="19964"/>
    <cellStyle name="Normal 24 10 3 2" xfId="19965"/>
    <cellStyle name="Normal 24 10 3 2 2" xfId="19966"/>
    <cellStyle name="Normal 24 10 3 2 3" xfId="19967"/>
    <cellStyle name="Normal 24 10 3 3" xfId="19968"/>
    <cellStyle name="Normal 24 10 3 4" xfId="19969"/>
    <cellStyle name="Normal 24 10 4" xfId="19970"/>
    <cellStyle name="Normal 24 10 4 10" xfId="19971"/>
    <cellStyle name="Normal 24 10 4 2" xfId="19972"/>
    <cellStyle name="Normal 24 10 4 2 2" xfId="19973"/>
    <cellStyle name="Normal 24 10 4 2 2 2" xfId="19974"/>
    <cellStyle name="Normal 24 10 4 2 2 3" xfId="19975"/>
    <cellStyle name="Normal 24 10 4 2 3" xfId="19976"/>
    <cellStyle name="Normal 24 10 4 2 4" xfId="19977"/>
    <cellStyle name="Normal 24 10 4 3" xfId="19978"/>
    <cellStyle name="Normal 24 10 4 3 2" xfId="19979"/>
    <cellStyle name="Normal 24 10 4 3 2 2" xfId="19980"/>
    <cellStyle name="Normal 24 10 4 3 2 2 2" xfId="19981"/>
    <cellStyle name="Normal 24 10 4 3 2 2 3" xfId="19982"/>
    <cellStyle name="Normal 24 10 4 3 2 3" xfId="19983"/>
    <cellStyle name="Normal 24 10 4 3 2 4" xfId="19984"/>
    <cellStyle name="Normal 24 10 4 3 3" xfId="19985"/>
    <cellStyle name="Normal 24 10 4 3 3 2" xfId="19986"/>
    <cellStyle name="Normal 24 10 4 3 3 2 2" xfId="19987"/>
    <cellStyle name="Normal 24 10 4 3 3 2 3" xfId="19988"/>
    <cellStyle name="Normal 24 10 4 3 3 3" xfId="19989"/>
    <cellStyle name="Normal 24 10 4 3 3 4" xfId="19990"/>
    <cellStyle name="Normal 24 10 4 3 4" xfId="19991"/>
    <cellStyle name="Normal 24 10 4 3 4 2" xfId="19992"/>
    <cellStyle name="Normal 24 10 4 3 4 2 2" xfId="19993"/>
    <cellStyle name="Normal 24 10 4 3 4 2 2 2" xfId="19994"/>
    <cellStyle name="Normal 24 10 4 3 4 2 2 2 2" xfId="19995"/>
    <cellStyle name="Normal 24 10 4 3 4 2 2 2 2 2" xfId="19996"/>
    <cellStyle name="Normal 24 10 4 3 4 2 2 2 2 2 2" xfId="19997"/>
    <cellStyle name="Normal 24 10 4 3 4 2 2 2 2 2 2 2" xfId="19998"/>
    <cellStyle name="Normal 24 10 4 3 4 2 2 2 2 2 2 2 2" xfId="19999"/>
    <cellStyle name="Normal 24 10 4 3 4 2 2 2 2 2 2 2 3" xfId="20000"/>
    <cellStyle name="Normal 24 10 4 3 4 2 2 2 2 2 2 3" xfId="20001"/>
    <cellStyle name="Normal 24 10 4 3 4 2 2 2 2 2 2 4" xfId="20002"/>
    <cellStyle name="Normal 24 10 4 3 4 2 2 2 2 2 3" xfId="20003"/>
    <cellStyle name="Normal 24 10 4 3 4 2 2 2 2 2 3 2" xfId="20004"/>
    <cellStyle name="Normal 24 10 4 3 4 2 2 2 2 2 3 3" xfId="20005"/>
    <cellStyle name="Normal 24 10 4 3 4 2 2 2 2 2 4" xfId="20006"/>
    <cellStyle name="Normal 24 10 4 3 4 2 2 2 2 2 5" xfId="20007"/>
    <cellStyle name="Normal 24 10 4 3 4 2 2 2 2 3" xfId="20008"/>
    <cellStyle name="Normal 24 10 4 3 4 2 2 2 2 3 2" xfId="20009"/>
    <cellStyle name="Normal 24 10 4 3 4 2 2 2 2 3 3" xfId="20010"/>
    <cellStyle name="Normal 24 10 4 3 4 2 2 2 2 4" xfId="20011"/>
    <cellStyle name="Normal 24 10 4 3 4 2 2 2 2 5" xfId="20012"/>
    <cellStyle name="Normal 24 10 4 3 4 2 2 2 3" xfId="20013"/>
    <cellStyle name="Normal 24 10 4 3 4 2 2 2 3 2" xfId="20014"/>
    <cellStyle name="Normal 24 10 4 3 4 2 2 2 3 2 2" xfId="20015"/>
    <cellStyle name="Normal 24 10 4 3 4 2 2 2 3 2 2 2" xfId="20016"/>
    <cellStyle name="Normal 24 10 4 3 4 2 2 2 3 2 2 3" xfId="20017"/>
    <cellStyle name="Normal 24 10 4 3 4 2 2 2 3 2 3" xfId="20018"/>
    <cellStyle name="Normal 24 10 4 3 4 2 2 2 3 2 4" xfId="20019"/>
    <cellStyle name="Normal 24 10 4 3 4 2 2 2 3 3" xfId="20020"/>
    <cellStyle name="Normal 24 10 4 3 4 2 2 2 3 3 2" xfId="20021"/>
    <cellStyle name="Normal 24 10 4 3 4 2 2 2 3 3 3" xfId="20022"/>
    <cellStyle name="Normal 24 10 4 3 4 2 2 2 3 4" xfId="20023"/>
    <cellStyle name="Normal 24 10 4 3 4 2 2 2 3 5" xfId="20024"/>
    <cellStyle name="Normal 24 10 4 3 4 2 2 2 4" xfId="20025"/>
    <cellStyle name="Normal 24 10 4 3 4 2 2 2 4 2" xfId="20026"/>
    <cellStyle name="Normal 24 10 4 3 4 2 2 2 4 2 2" xfId="20027"/>
    <cellStyle name="Normal 24 10 4 3 4 2 2 2 4 2 2 2" xfId="20028"/>
    <cellStyle name="Normal 24 10 4 3 4 2 2 2 4 2 2 2 2" xfId="20029"/>
    <cellStyle name="Normal 24 10 4 3 4 2 2 2 4 2 2 2 3" xfId="20030"/>
    <cellStyle name="Normal 24 10 4 3 4 2 2 2 4 2 2 3" xfId="20031"/>
    <cellStyle name="Normal 24 10 4 3 4 2 2 2 4 2 2 4" xfId="20032"/>
    <cellStyle name="Normal 24 10 4 3 4 2 2 2 4 2 3" xfId="20033"/>
    <cellStyle name="Normal 24 10 4 3 4 2 2 2 4 2 3 2" xfId="20034"/>
    <cellStyle name="Normal 24 10 4 3 4 2 2 2 4 2 3 2 2" xfId="20035"/>
    <cellStyle name="Normal 24 10 4 3 4 2 2 2 4 2 3 2 2 2" xfId="20036"/>
    <cellStyle name="Normal 24 10 4 3 4 2 2 2 4 2 3 2 2 3" xfId="20037"/>
    <cellStyle name="Normal 24 10 4 3 4 2 2 2 4 2 3 2 3" xfId="20038"/>
    <cellStyle name="Normal 24 10 4 3 4 2 2 2 4 2 3 2 3 2" xfId="20039"/>
    <cellStyle name="Normal 24 10 4 3 4 2 2 2 4 2 3 2 3 2 2" xfId="20040"/>
    <cellStyle name="Normal 24 10 4 3 4 2 2 2 4 2 3 2 3 2 3" xfId="20041"/>
    <cellStyle name="Normal 24 10 4 3 4 2 2 2 4 2 3 2 3 3" xfId="20042"/>
    <cellStyle name="Normal 24 10 4 3 4 2 2 2 4 2 3 2 3 4" xfId="20043"/>
    <cellStyle name="Normal 24 10 4 3 4 2 2 2 4 2 3 2 4" xfId="20044"/>
    <cellStyle name="Normal 24 10 4 3 4 2 2 2 4 2 3 2 5" xfId="20045"/>
    <cellStyle name="Normal 24 10 4 3 4 2 2 2 4 2 3 3" xfId="20046"/>
    <cellStyle name="Normal 24 10 4 3 4 2 2 2 4 2 3 4" xfId="20047"/>
    <cellStyle name="Normal 24 10 4 3 4 2 2 2 4 2 4" xfId="20048"/>
    <cellStyle name="Normal 24 10 4 3 4 2 2 2 4 2 4 2" xfId="20049"/>
    <cellStyle name="Normal 24 10 4 3 4 2 2 2 4 2 4 2 2" xfId="20050"/>
    <cellStyle name="Normal 24 10 4 3 4 2 2 2 4 2 4 2 2 2" xfId="20051"/>
    <cellStyle name="Normal 24 10 4 3 4 2 2 2 4 2 4 2 2 3" xfId="20052"/>
    <cellStyle name="Normal 24 10 4 3 4 2 2 2 4 2 4 2 3" xfId="20053"/>
    <cellStyle name="Normal 24 10 4 3 4 2 2 2 4 2 4 2 4" xfId="20054"/>
    <cellStyle name="Normal 24 10 4 3 4 2 2 2 4 2 4 3" xfId="20055"/>
    <cellStyle name="Normal 24 10 4 3 4 2 2 2 4 2 4 3 2" xfId="20056"/>
    <cellStyle name="Normal 24 10 4 3 4 2 2 2 4 2 4 3 3" xfId="20057"/>
    <cellStyle name="Normal 24 10 4 3 4 2 2 2 4 2 4 4" xfId="20058"/>
    <cellStyle name="Normal 24 10 4 3 4 2 2 2 4 2 4 5" xfId="20059"/>
    <cellStyle name="Normal 24 10 4 3 4 2 2 2 4 2 5" xfId="20060"/>
    <cellStyle name="Normal 24 10 4 3 4 2 2 2 4 2 6" xfId="20061"/>
    <cellStyle name="Normal 24 10 4 3 4 2 2 2 4 3" xfId="20062"/>
    <cellStyle name="Normal 24 10 4 3 4 2 2 2 4 3 2" xfId="20063"/>
    <cellStyle name="Normal 24 10 4 3 4 2 2 2 4 3 3" xfId="20064"/>
    <cellStyle name="Normal 24 10 4 3 4 2 2 2 4 4" xfId="20065"/>
    <cellStyle name="Normal 24 10 4 3 4 2 2 2 4 5" xfId="20066"/>
    <cellStyle name="Normal 24 10 4 3 4 2 2 2 5" xfId="20067"/>
    <cellStyle name="Normal 24 10 4 3 4 2 2 2 5 2" xfId="20068"/>
    <cellStyle name="Normal 24 10 4 3 4 2 2 2 5 3" xfId="20069"/>
    <cellStyle name="Normal 24 10 4 3 4 2 2 2 6" xfId="20070"/>
    <cellStyle name="Normal 24 10 4 3 4 2 2 2 7" xfId="20071"/>
    <cellStyle name="Normal 24 10 4 3 4 2 2 3" xfId="20072"/>
    <cellStyle name="Normal 24 10 4 3 4 2 2 3 2" xfId="20073"/>
    <cellStyle name="Normal 24 10 4 3 4 2 2 3 3" xfId="20074"/>
    <cellStyle name="Normal 24 10 4 3 4 2 2 4" xfId="20075"/>
    <cellStyle name="Normal 24 10 4 3 4 2 2 5" xfId="20076"/>
    <cellStyle name="Normal 24 10 4 3 4 2 3" xfId="20077"/>
    <cellStyle name="Normal 24 10 4 3 4 2 3 2" xfId="20078"/>
    <cellStyle name="Normal 24 10 4 3 4 2 3 2 2" xfId="20079"/>
    <cellStyle name="Normal 24 10 4 3 4 2 3 2 2 2" xfId="20080"/>
    <cellStyle name="Normal 24 10 4 3 4 2 3 2 2 3" xfId="20081"/>
    <cellStyle name="Normal 24 10 4 3 4 2 3 2 3" xfId="20082"/>
    <cellStyle name="Normal 24 10 4 3 4 2 3 2 4" xfId="20083"/>
    <cellStyle name="Normal 24 10 4 3 4 2 3 3" xfId="20084"/>
    <cellStyle name="Normal 24 10 4 3 4 2 3 3 2" xfId="20085"/>
    <cellStyle name="Normal 24 10 4 3 4 2 3 3 3" xfId="20086"/>
    <cellStyle name="Normal 24 10 4 3 4 2 3 4" xfId="20087"/>
    <cellStyle name="Normal 24 10 4 3 4 2 3 5" xfId="20088"/>
    <cellStyle name="Normal 24 10 4 3 4 2 4" xfId="20089"/>
    <cellStyle name="Normal 24 10 4 3 4 2 4 2" xfId="20090"/>
    <cellStyle name="Normal 24 10 4 3 4 2 4 2 2" xfId="20091"/>
    <cellStyle name="Normal 24 10 4 3 4 2 4 2 3" xfId="20092"/>
    <cellStyle name="Normal 24 10 4 3 4 2 4 3" xfId="20093"/>
    <cellStyle name="Normal 24 10 4 3 4 2 4 4" xfId="20094"/>
    <cellStyle name="Normal 24 10 4 3 4 2 5" xfId="20095"/>
    <cellStyle name="Normal 24 10 4 3 4 2 5 2" xfId="20096"/>
    <cellStyle name="Normal 24 10 4 3 4 2 5 2 2" xfId="20097"/>
    <cellStyle name="Normal 24 10 4 3 4 2 5 2 3" xfId="20098"/>
    <cellStyle name="Normal 24 10 4 3 4 2 5 3" xfId="20099"/>
    <cellStyle name="Normal 24 10 4 3 4 2 5 4" xfId="20100"/>
    <cellStyle name="Normal 24 10 4 3 4 2 6" xfId="20101"/>
    <cellStyle name="Normal 24 10 4 3 4 2 6 2" xfId="20102"/>
    <cellStyle name="Normal 24 10 4 3 4 2 6 3" xfId="20103"/>
    <cellStyle name="Normal 24 10 4 3 4 2 7" xfId="20104"/>
    <cellStyle name="Normal 24 10 4 3 4 2 8" xfId="20105"/>
    <cellStyle name="Normal 24 10 4 3 4 3" xfId="20106"/>
    <cellStyle name="Normal 24 10 4 3 4 3 2" xfId="20107"/>
    <cellStyle name="Normal 24 10 4 3 4 3 3" xfId="20108"/>
    <cellStyle name="Normal 24 10 4 3 4 4" xfId="20109"/>
    <cellStyle name="Normal 24 10 4 3 4 5" xfId="20110"/>
    <cellStyle name="Normal 24 10 4 3 5" xfId="20111"/>
    <cellStyle name="Normal 24 10 4 3 5 2" xfId="20112"/>
    <cellStyle name="Normal 24 10 4 3 5 2 2" xfId="20113"/>
    <cellStyle name="Normal 24 10 4 3 5 2 2 2" xfId="20114"/>
    <cellStyle name="Normal 24 10 4 3 5 2 2 2 2" xfId="20115"/>
    <cellStyle name="Normal 24 10 4 3 5 2 2 2 3" xfId="20116"/>
    <cellStyle name="Normal 24 10 4 3 5 2 2 3" xfId="20117"/>
    <cellStyle name="Normal 24 10 4 3 5 2 2 4" xfId="20118"/>
    <cellStyle name="Normal 24 10 4 3 5 2 3" xfId="20119"/>
    <cellStyle name="Normal 24 10 4 3 5 2 3 2" xfId="20120"/>
    <cellStyle name="Normal 24 10 4 3 5 2 3 3" xfId="20121"/>
    <cellStyle name="Normal 24 10 4 3 5 2 4" xfId="20122"/>
    <cellStyle name="Normal 24 10 4 3 5 2 5" xfId="20123"/>
    <cellStyle name="Normal 24 10 4 3 5 3" xfId="20124"/>
    <cellStyle name="Normal 24 10 4 3 5 3 2" xfId="20125"/>
    <cellStyle name="Normal 24 10 4 3 5 3 2 2" xfId="20126"/>
    <cellStyle name="Normal 24 10 4 3 5 3 2 2 2" xfId="20127"/>
    <cellStyle name="Normal 24 10 4 3 5 3 2 2 3" xfId="20128"/>
    <cellStyle name="Normal 24 10 4 3 5 3 2 3" xfId="20129"/>
    <cellStyle name="Normal 24 10 4 3 5 3 2 4" xfId="20130"/>
    <cellStyle name="Normal 24 10 4 3 5 3 3" xfId="20131"/>
    <cellStyle name="Normal 24 10 4 3 5 3 3 2" xfId="20132"/>
    <cellStyle name="Normal 24 10 4 3 5 3 3 3" xfId="20133"/>
    <cellStyle name="Normal 24 10 4 3 5 3 4" xfId="20134"/>
    <cellStyle name="Normal 24 10 4 3 5 3 5" xfId="20135"/>
    <cellStyle name="Normal 24 10 4 3 5 4" xfId="20136"/>
    <cellStyle name="Normal 24 10 4 3 5 4 2" xfId="20137"/>
    <cellStyle name="Normal 24 10 4 3 5 4 3" xfId="20138"/>
    <cellStyle name="Normal 24 10 4 3 5 5" xfId="20139"/>
    <cellStyle name="Normal 24 10 4 3 5 6" xfId="20140"/>
    <cellStyle name="Normal 24 10 4 3 6" xfId="20141"/>
    <cellStyle name="Normal 24 10 4 3 6 2" xfId="20142"/>
    <cellStyle name="Normal 24 10 4 3 6 3" xfId="20143"/>
    <cellStyle name="Normal 24 10 4 3 7" xfId="20144"/>
    <cellStyle name="Normal 24 10 4 3 8" xfId="20145"/>
    <cellStyle name="Normal 24 10 4 4" xfId="20146"/>
    <cellStyle name="Normal 24 10 4 4 2" xfId="20147"/>
    <cellStyle name="Normal 24 10 4 4 2 2" xfId="20148"/>
    <cellStyle name="Normal 24 10 4 4 2 3" xfId="20149"/>
    <cellStyle name="Normal 24 10 4 4 3" xfId="20150"/>
    <cellStyle name="Normal 24 10 4 4 4" xfId="20151"/>
    <cellStyle name="Normal 24 10 4 5" xfId="20152"/>
    <cellStyle name="Normal 24 10 4 5 2" xfId="20153"/>
    <cellStyle name="Normal 24 10 4 5 2 2" xfId="20154"/>
    <cellStyle name="Normal 24 10 4 5 2 3" xfId="20155"/>
    <cellStyle name="Normal 24 10 4 5 3" xfId="20156"/>
    <cellStyle name="Normal 24 10 4 5 4" xfId="20157"/>
    <cellStyle name="Normal 24 10 4 6" xfId="20158"/>
    <cellStyle name="Normal 24 10 4 6 2" xfId="20159"/>
    <cellStyle name="Normal 24 10 4 6 2 2" xfId="20160"/>
    <cellStyle name="Normal 24 10 4 6 2 2 2" xfId="20161"/>
    <cellStyle name="Normal 24 10 4 6 2 2 3" xfId="20162"/>
    <cellStyle name="Normal 24 10 4 6 2 3" xfId="20163"/>
    <cellStyle name="Normal 24 10 4 6 2 4" xfId="20164"/>
    <cellStyle name="Normal 24 10 4 6 3" xfId="20165"/>
    <cellStyle name="Normal 24 10 4 6 3 2" xfId="20166"/>
    <cellStyle name="Normal 24 10 4 6 3 3" xfId="20167"/>
    <cellStyle name="Normal 24 10 4 6 4" xfId="20168"/>
    <cellStyle name="Normal 24 10 4 6 5" xfId="20169"/>
    <cellStyle name="Normal 24 10 4 7" xfId="20170"/>
    <cellStyle name="Normal 24 10 4 7 2" xfId="20171"/>
    <cellStyle name="Normal 24 10 4 7 2 2" xfId="20172"/>
    <cellStyle name="Normal 24 10 4 7 2 3" xfId="20173"/>
    <cellStyle name="Normal 24 10 4 7 3" xfId="20174"/>
    <cellStyle name="Normal 24 10 4 7 4" xfId="20175"/>
    <cellStyle name="Normal 24 10 4 8" xfId="20176"/>
    <cellStyle name="Normal 24 10 4 8 2" xfId="20177"/>
    <cellStyle name="Normal 24 10 4 8 3" xfId="20178"/>
    <cellStyle name="Normal 24 10 4 9" xfId="20179"/>
    <cellStyle name="Normal 24 10 5" xfId="20180"/>
    <cellStyle name="Normal 24 10 5 2" xfId="20181"/>
    <cellStyle name="Normal 24 10 5 2 2" xfId="20182"/>
    <cellStyle name="Normal 24 10 5 2 3" xfId="20183"/>
    <cellStyle name="Normal 24 10 5 3" xfId="20184"/>
    <cellStyle name="Normal 24 10 5 4" xfId="20185"/>
    <cellStyle name="Normal 24 10 6" xfId="20186"/>
    <cellStyle name="Normal 24 10 6 2" xfId="20187"/>
    <cellStyle name="Normal 24 10 6 2 2" xfId="20188"/>
    <cellStyle name="Normal 24 10 6 2 3" xfId="20189"/>
    <cellStyle name="Normal 24 10 6 3" xfId="20190"/>
    <cellStyle name="Normal 24 10 6 4" xfId="20191"/>
    <cellStyle name="Normal 24 10 7" xfId="20192"/>
    <cellStyle name="Normal 24 10 7 2" xfId="20193"/>
    <cellStyle name="Normal 24 10 7 2 2" xfId="20194"/>
    <cellStyle name="Normal 24 10 7 2 2 2" xfId="20195"/>
    <cellStyle name="Normal 24 10 7 2 2 2 2" xfId="20196"/>
    <cellStyle name="Normal 24 10 7 2 2 2 3" xfId="20197"/>
    <cellStyle name="Normal 24 10 7 2 2 3" xfId="20198"/>
    <cellStyle name="Normal 24 10 7 2 2 4" xfId="20199"/>
    <cellStyle name="Normal 24 10 7 2 3" xfId="20200"/>
    <cellStyle name="Normal 24 10 7 2 3 2" xfId="20201"/>
    <cellStyle name="Normal 24 10 7 2 3 3" xfId="20202"/>
    <cellStyle name="Normal 24 10 7 2 4" xfId="20203"/>
    <cellStyle name="Normal 24 10 7 2 5" xfId="20204"/>
    <cellStyle name="Normal 24 10 7 3" xfId="20205"/>
    <cellStyle name="Normal 24 10 7 3 2" xfId="20206"/>
    <cellStyle name="Normal 24 10 7 3 2 2" xfId="20207"/>
    <cellStyle name="Normal 24 10 7 3 2 3" xfId="20208"/>
    <cellStyle name="Normal 24 10 7 3 3" xfId="20209"/>
    <cellStyle name="Normal 24 10 7 3 4" xfId="20210"/>
    <cellStyle name="Normal 24 10 7 4" xfId="20211"/>
    <cellStyle name="Normal 24 10 7 4 2" xfId="20212"/>
    <cellStyle name="Normal 24 10 7 4 2 2" xfId="20213"/>
    <cellStyle name="Normal 24 10 7 4 2 2 2" xfId="20214"/>
    <cellStyle name="Normal 24 10 7 4 2 2 2 2" xfId="20215"/>
    <cellStyle name="Normal 24 10 7 4 2 2 2 2 2" xfId="20216"/>
    <cellStyle name="Normal 24 10 7 4 2 2 2 2 3" xfId="20217"/>
    <cellStyle name="Normal 24 10 7 4 2 2 2 3" xfId="20218"/>
    <cellStyle name="Normal 24 10 7 4 2 2 2 4" xfId="20219"/>
    <cellStyle name="Normal 24 10 7 4 2 2 3" xfId="20220"/>
    <cellStyle name="Normal 24 10 7 4 2 2 3 2" xfId="20221"/>
    <cellStyle name="Normal 24 10 7 4 2 2 3 2 2" xfId="20222"/>
    <cellStyle name="Normal 24 10 7 4 2 2 3 2 3" xfId="20223"/>
    <cellStyle name="Normal 24 10 7 4 2 2 3 3" xfId="20224"/>
    <cellStyle name="Normal 24 10 7 4 2 2 3 4" xfId="20225"/>
    <cellStyle name="Normal 24 10 7 4 2 2 4" xfId="20226"/>
    <cellStyle name="Normal 24 10 7 4 2 2 4 2" xfId="20227"/>
    <cellStyle name="Normal 24 10 7 4 2 2 4 3" xfId="20228"/>
    <cellStyle name="Normal 24 10 7 4 2 2 5" xfId="20229"/>
    <cellStyle name="Normal 24 10 7 4 2 2 6" xfId="20230"/>
    <cellStyle name="Normal 24 10 7 4 2 3" xfId="20231"/>
    <cellStyle name="Normal 24 10 7 4 2 3 2" xfId="20232"/>
    <cellStyle name="Normal 24 10 7 4 2 3 2 2" xfId="20233"/>
    <cellStyle name="Normal 24 10 7 4 2 3 2 3" xfId="20234"/>
    <cellStyle name="Normal 24 10 7 4 2 3 3" xfId="20235"/>
    <cellStyle name="Normal 24 10 7 4 2 3 4" xfId="20236"/>
    <cellStyle name="Normal 24 10 7 4 2 4" xfId="20237"/>
    <cellStyle name="Normal 24 10 7 4 2 4 2" xfId="20238"/>
    <cellStyle name="Normal 24 10 7 4 2 4 2 2" xfId="20239"/>
    <cellStyle name="Normal 24 10 7 4 2 4 2 3" xfId="20240"/>
    <cellStyle name="Normal 24 10 7 4 2 4 3" xfId="20241"/>
    <cellStyle name="Normal 24 10 7 4 2 4 4" xfId="20242"/>
    <cellStyle name="Normal 24 10 7 4 2 5" xfId="20243"/>
    <cellStyle name="Normal 24 10 7 4 2 5 2" xfId="20244"/>
    <cellStyle name="Normal 24 10 7 4 2 5 3" xfId="20245"/>
    <cellStyle name="Normal 24 10 7 4 2 6" xfId="20246"/>
    <cellStyle name="Normal 24 10 7 4 2 7" xfId="20247"/>
    <cellStyle name="Normal 24 10 7 4 3" xfId="20248"/>
    <cellStyle name="Normal 24 10 7 4 3 2" xfId="20249"/>
    <cellStyle name="Normal 24 10 7 4 3 2 2" xfId="20250"/>
    <cellStyle name="Normal 24 10 7 4 3 2 2 2" xfId="20251"/>
    <cellStyle name="Normal 24 10 7 4 3 2 2 3" xfId="20252"/>
    <cellStyle name="Normal 24 10 7 4 3 2 3" xfId="20253"/>
    <cellStyle name="Normal 24 10 7 4 3 2 4" xfId="20254"/>
    <cellStyle name="Normal 24 10 7 4 3 3" xfId="20255"/>
    <cellStyle name="Normal 24 10 7 4 3 3 2" xfId="20256"/>
    <cellStyle name="Normal 24 10 7 4 3 3 3" xfId="20257"/>
    <cellStyle name="Normal 24 10 7 4 3 4" xfId="20258"/>
    <cellStyle name="Normal 24 10 7 4 3 5" xfId="20259"/>
    <cellStyle name="Normal 24 10 7 4 4" xfId="20260"/>
    <cellStyle name="Normal 24 10 7 4 4 2" xfId="20261"/>
    <cellStyle name="Normal 24 10 7 4 4 3" xfId="20262"/>
    <cellStyle name="Normal 24 10 7 4 5" xfId="20263"/>
    <cellStyle name="Normal 24 10 7 4 6" xfId="20264"/>
    <cellStyle name="Normal 24 10 7 5" xfId="20265"/>
    <cellStyle name="Normal 24 10 7 5 2" xfId="20266"/>
    <cellStyle name="Normal 24 10 7 5 2 2" xfId="20267"/>
    <cellStyle name="Normal 24 10 7 5 2 2 2" xfId="20268"/>
    <cellStyle name="Normal 24 10 7 5 2 2 3" xfId="20269"/>
    <cellStyle name="Normal 24 10 7 5 2 3" xfId="20270"/>
    <cellStyle name="Normal 24 10 7 5 2 4" xfId="20271"/>
    <cellStyle name="Normal 24 10 7 5 3" xfId="20272"/>
    <cellStyle name="Normal 24 10 7 5 3 2" xfId="20273"/>
    <cellStyle name="Normal 24 10 7 5 3 2 2" xfId="20274"/>
    <cellStyle name="Normal 24 10 7 5 3 2 2 2" xfId="20275"/>
    <cellStyle name="Normal 24 10 7 5 3 2 2 3" xfId="20276"/>
    <cellStyle name="Normal 24 10 7 5 3 2 3" xfId="20277"/>
    <cellStyle name="Normal 24 10 7 5 3 2 4" xfId="20278"/>
    <cellStyle name="Normal 24 10 7 5 3 3" xfId="20279"/>
    <cellStyle name="Normal 24 10 7 5 3 3 2" xfId="20280"/>
    <cellStyle name="Normal 24 10 7 5 3 3 3" xfId="20281"/>
    <cellStyle name="Normal 24 10 7 5 3 4" xfId="20282"/>
    <cellStyle name="Normal 24 10 7 5 3 5" xfId="20283"/>
    <cellStyle name="Normal 24 10 7 5 4" xfId="20284"/>
    <cellStyle name="Normal 24 10 7 5 4 2" xfId="20285"/>
    <cellStyle name="Normal 24 10 7 5 4 2 2" xfId="20286"/>
    <cellStyle name="Normal 24 10 7 5 4 2 3" xfId="20287"/>
    <cellStyle name="Normal 24 10 7 5 4 3" xfId="20288"/>
    <cellStyle name="Normal 24 10 7 5 4 4" xfId="20289"/>
    <cellStyle name="Normal 24 10 7 5 5" xfId="20290"/>
    <cellStyle name="Normal 24 10 7 5 5 2" xfId="20291"/>
    <cellStyle name="Normal 24 10 7 5 5 3" xfId="20292"/>
    <cellStyle name="Normal 24 10 7 5 6" xfId="20293"/>
    <cellStyle name="Normal 24 10 7 5 7" xfId="20294"/>
    <cellStyle name="Normal 24 10 7 6" xfId="20295"/>
    <cellStyle name="Normal 24 10 7 6 2" xfId="20296"/>
    <cellStyle name="Normal 24 10 7 6 3" xfId="20297"/>
    <cellStyle name="Normal 24 10 7 7" xfId="20298"/>
    <cellStyle name="Normal 24 10 7 8" xfId="20299"/>
    <cellStyle name="Normal 24 10 8" xfId="20300"/>
    <cellStyle name="Normal 24 10 8 2" xfId="20301"/>
    <cellStyle name="Normal 24 10 8 3" xfId="20302"/>
    <cellStyle name="Normal 24 10 9" xfId="20303"/>
    <cellStyle name="Normal 24 11" xfId="20304"/>
    <cellStyle name="Normal 24 11 2" xfId="20305"/>
    <cellStyle name="Normal 24 11 2 2" xfId="20306"/>
    <cellStyle name="Normal 24 11 2 2 2" xfId="20307"/>
    <cellStyle name="Normal 24 11 2 2 2 2" xfId="20308"/>
    <cellStyle name="Normal 24 11 2 2 2 3" xfId="20309"/>
    <cellStyle name="Normal 24 11 2 2 3" xfId="20310"/>
    <cellStyle name="Normal 24 11 2 2 4" xfId="20311"/>
    <cellStyle name="Normal 24 11 2 3" xfId="20312"/>
    <cellStyle name="Normal 24 11 2 3 2" xfId="20313"/>
    <cellStyle name="Normal 24 11 2 3 3" xfId="20314"/>
    <cellStyle name="Normal 24 11 2 4" xfId="20315"/>
    <cellStyle name="Normal 24 11 2 5" xfId="20316"/>
    <cellStyle name="Normal 24 11 3" xfId="20317"/>
    <cellStyle name="Normal 24 11 3 2" xfId="20318"/>
    <cellStyle name="Normal 24 11 3 2 2" xfId="20319"/>
    <cellStyle name="Normal 24 11 3 2 3" xfId="20320"/>
    <cellStyle name="Normal 24 11 3 3" xfId="20321"/>
    <cellStyle name="Normal 24 11 3 4" xfId="20322"/>
    <cellStyle name="Normal 24 11 4" xfId="20323"/>
    <cellStyle name="Normal 24 11 4 2" xfId="20324"/>
    <cellStyle name="Normal 24 11 4 3" xfId="20325"/>
    <cellStyle name="Normal 24 11 5" xfId="20326"/>
    <cellStyle name="Normal 24 11 6" xfId="20327"/>
    <cellStyle name="Normal 24 12" xfId="20328"/>
    <cellStyle name="Normal 24 12 2" xfId="20329"/>
    <cellStyle name="Normal 24 12 2 2" xfId="20330"/>
    <cellStyle name="Normal 24 12 2 2 2" xfId="20331"/>
    <cellStyle name="Normal 24 12 2 2 3" xfId="20332"/>
    <cellStyle name="Normal 24 12 2 3" xfId="20333"/>
    <cellStyle name="Normal 24 12 2 4" xfId="20334"/>
    <cellStyle name="Normal 24 12 3" xfId="20335"/>
    <cellStyle name="Normal 24 12 3 2" xfId="20336"/>
    <cellStyle name="Normal 24 12 3 3" xfId="20337"/>
    <cellStyle name="Normal 24 12 4" xfId="20338"/>
    <cellStyle name="Normal 24 12 5" xfId="20339"/>
    <cellStyle name="Normal 24 13" xfId="20340"/>
    <cellStyle name="Normal 24 13 2" xfId="20341"/>
    <cellStyle name="Normal 24 13 2 2" xfId="20342"/>
    <cellStyle name="Normal 24 13 2 2 2" xfId="20343"/>
    <cellStyle name="Normal 24 13 2 2 3" xfId="20344"/>
    <cellStyle name="Normal 24 13 2 3" xfId="20345"/>
    <cellStyle name="Normal 24 13 2 4" xfId="20346"/>
    <cellStyle name="Normal 24 13 3" xfId="20347"/>
    <cellStyle name="Normal 24 13 3 2" xfId="20348"/>
    <cellStyle name="Normal 24 13 3 3" xfId="20349"/>
    <cellStyle name="Normal 24 13 4" xfId="20350"/>
    <cellStyle name="Normal 24 13 5" xfId="20351"/>
    <cellStyle name="Normal 24 14" xfId="20352"/>
    <cellStyle name="Normal 24 14 2" xfId="20353"/>
    <cellStyle name="Normal 24 14 2 2" xfId="20354"/>
    <cellStyle name="Normal 24 14 2 3" xfId="20355"/>
    <cellStyle name="Normal 24 14 3" xfId="20356"/>
    <cellStyle name="Normal 24 14 4" xfId="20357"/>
    <cellStyle name="Normal 24 15" xfId="20358"/>
    <cellStyle name="Normal 24 15 2" xfId="20359"/>
    <cellStyle name="Normal 24 15 2 2" xfId="20360"/>
    <cellStyle name="Normal 24 15 2 3" xfId="20361"/>
    <cellStyle name="Normal 24 15 3" xfId="20362"/>
    <cellStyle name="Normal 24 15 4" xfId="20363"/>
    <cellStyle name="Normal 24 16" xfId="20364"/>
    <cellStyle name="Normal 24 17" xfId="20365"/>
    <cellStyle name="Normal 24 17 2" xfId="20366"/>
    <cellStyle name="Normal 24 17 2 2" xfId="20367"/>
    <cellStyle name="Normal 24 17 2 3" xfId="20368"/>
    <cellStyle name="Normal 24 17 3" xfId="20369"/>
    <cellStyle name="Normal 24 17 4" xfId="20370"/>
    <cellStyle name="Normal 24 18" xfId="20371"/>
    <cellStyle name="Normal 24 19" xfId="20372"/>
    <cellStyle name="Normal 24 2" xfId="20373"/>
    <cellStyle name="Normal 24 2 2" xfId="20374"/>
    <cellStyle name="Normal 24 2 2 10" xfId="20375"/>
    <cellStyle name="Normal 24 2 2 10 2" xfId="20376"/>
    <cellStyle name="Normal 24 2 2 10 3" xfId="20377"/>
    <cellStyle name="Normal 24 2 2 11" xfId="20378"/>
    <cellStyle name="Normal 24 2 2 12" xfId="20379"/>
    <cellStyle name="Normal 24 2 2 2" xfId="20380"/>
    <cellStyle name="Normal 24 2 2 2 2" xfId="20381"/>
    <cellStyle name="Normal 24 2 2 2 2 2" xfId="20382"/>
    <cellStyle name="Normal 24 2 2 2 2 3" xfId="20383"/>
    <cellStyle name="Normal 24 2 2 2 3" xfId="20384"/>
    <cellStyle name="Normal 24 2 2 2 4" xfId="20385"/>
    <cellStyle name="Normal 24 2 2 3" xfId="20386"/>
    <cellStyle name="Normal 24 2 2 3 2" xfId="20387"/>
    <cellStyle name="Normal 24 2 2 3 2 2" xfId="20388"/>
    <cellStyle name="Normal 24 2 2 3 2 2 2" xfId="20389"/>
    <cellStyle name="Normal 24 2 2 3 2 2 3" xfId="20390"/>
    <cellStyle name="Normal 24 2 2 3 2 3" xfId="20391"/>
    <cellStyle name="Normal 24 2 2 3 2 4" xfId="20392"/>
    <cellStyle name="Normal 24 2 2 3 3" xfId="20393"/>
    <cellStyle name="Normal 24 2 2 3 3 2" xfId="20394"/>
    <cellStyle name="Normal 24 2 2 3 3 3" xfId="20395"/>
    <cellStyle name="Normal 24 2 2 3 4" xfId="20396"/>
    <cellStyle name="Normal 24 2 2 3 5" xfId="20397"/>
    <cellStyle name="Normal 24 2 2 4" xfId="20398"/>
    <cellStyle name="Normal 24 2 2 4 2" xfId="20399"/>
    <cellStyle name="Normal 24 2 2 4 2 2" xfId="20400"/>
    <cellStyle name="Normal 24 2 2 4 2 2 2" xfId="20401"/>
    <cellStyle name="Normal 24 2 2 4 2 2 3" xfId="20402"/>
    <cellStyle name="Normal 24 2 2 4 2 3" xfId="20403"/>
    <cellStyle name="Normal 24 2 2 4 2 4" xfId="20404"/>
    <cellStyle name="Normal 24 2 2 4 3" xfId="20405"/>
    <cellStyle name="Normal 24 2 2 4 3 2" xfId="20406"/>
    <cellStyle name="Normal 24 2 2 4 3 3" xfId="20407"/>
    <cellStyle name="Normal 24 2 2 4 4" xfId="20408"/>
    <cellStyle name="Normal 24 2 2 4 5" xfId="20409"/>
    <cellStyle name="Normal 24 2 2 5" xfId="20410"/>
    <cellStyle name="Normal 24 2 2 5 2" xfId="20411"/>
    <cellStyle name="Normal 24 2 2 5 2 2" xfId="20412"/>
    <cellStyle name="Normal 24 2 2 5 2 2 2" xfId="20413"/>
    <cellStyle name="Normal 24 2 2 5 2 2 3" xfId="20414"/>
    <cellStyle name="Normal 24 2 2 5 2 3" xfId="20415"/>
    <cellStyle name="Normal 24 2 2 5 2 4" xfId="20416"/>
    <cellStyle name="Normal 24 2 2 5 3" xfId="20417"/>
    <cellStyle name="Normal 24 2 2 5 3 2" xfId="20418"/>
    <cellStyle name="Normal 24 2 2 5 3 2 2" xfId="20419"/>
    <cellStyle name="Normal 24 2 2 5 3 2 2 2" xfId="20420"/>
    <cellStyle name="Normal 24 2 2 5 3 2 2 2 2" xfId="20421"/>
    <cellStyle name="Normal 24 2 2 5 3 2 2 2 2 2" xfId="20422"/>
    <cellStyle name="Normal 24 2 2 5 3 2 2 2 2 2 2" xfId="20423"/>
    <cellStyle name="Normal 24 2 2 5 3 2 2 2 2 2 3" xfId="20424"/>
    <cellStyle name="Normal 24 2 2 5 3 2 2 2 2 3" xfId="20425"/>
    <cellStyle name="Normal 24 2 2 5 3 2 2 2 2 4" xfId="20426"/>
    <cellStyle name="Normal 24 2 2 5 3 2 2 2 3" xfId="20427"/>
    <cellStyle name="Normal 24 2 2 5 3 2 2 2 3 2" xfId="20428"/>
    <cellStyle name="Normal 24 2 2 5 3 2 2 2 3 3" xfId="20429"/>
    <cellStyle name="Normal 24 2 2 5 3 2 2 2 4" xfId="20430"/>
    <cellStyle name="Normal 24 2 2 5 3 2 2 2 5" xfId="20431"/>
    <cellStyle name="Normal 24 2 2 5 3 2 2 3" xfId="20432"/>
    <cellStyle name="Normal 24 2 2 5 3 2 2 3 2" xfId="20433"/>
    <cellStyle name="Normal 24 2 2 5 3 2 2 3 2 2" xfId="20434"/>
    <cellStyle name="Normal 24 2 2 5 3 2 2 3 2 3" xfId="20435"/>
    <cellStyle name="Normal 24 2 2 5 3 2 2 3 3" xfId="20436"/>
    <cellStyle name="Normal 24 2 2 5 3 2 2 3 4" xfId="20437"/>
    <cellStyle name="Normal 24 2 2 5 3 2 2 4" xfId="20438"/>
    <cellStyle name="Normal 24 2 2 5 3 2 2 4 2" xfId="20439"/>
    <cellStyle name="Normal 24 2 2 5 3 2 2 4 3" xfId="20440"/>
    <cellStyle name="Normal 24 2 2 5 3 2 2 5" xfId="20441"/>
    <cellStyle name="Normal 24 2 2 5 3 2 2 6" xfId="20442"/>
    <cellStyle name="Normal 24 2 2 5 3 2 3" xfId="20443"/>
    <cellStyle name="Normal 24 2 2 5 3 2 3 2" xfId="20444"/>
    <cellStyle name="Normal 24 2 2 5 3 2 3 2 2" xfId="20445"/>
    <cellStyle name="Normal 24 2 2 5 3 2 3 2 2 2" xfId="20446"/>
    <cellStyle name="Normal 24 2 2 5 3 2 3 2 2 2 2" xfId="20447"/>
    <cellStyle name="Normal 24 2 2 5 3 2 3 2 2 2 2 2" xfId="20448"/>
    <cellStyle name="Normal 24 2 2 5 3 2 3 2 2 2 2 2 2" xfId="20449"/>
    <cellStyle name="Normal 24 2 2 5 3 2 3 2 2 2 2 2 3" xfId="20450"/>
    <cellStyle name="Normal 24 2 2 5 3 2 3 2 2 2 2 3" xfId="20451"/>
    <cellStyle name="Normal 24 2 2 5 3 2 3 2 2 2 2 4" xfId="20452"/>
    <cellStyle name="Normal 24 2 2 5 3 2 3 2 2 2 3" xfId="20453"/>
    <cellStyle name="Normal 24 2 2 5 3 2 3 2 2 2 3 2" xfId="20454"/>
    <cellStyle name="Normal 24 2 2 5 3 2 3 2 2 2 3 2 2" xfId="20455"/>
    <cellStyle name="Normal 24 2 2 5 3 2 3 2 2 2 3 2 2 2" xfId="20456"/>
    <cellStyle name="Normal 24 2 2 5 3 2 3 2 2 2 3 2 2 2 2" xfId="20457"/>
    <cellStyle name="Normal 24 2 2 5 3 2 3 2 2 2 3 2 2 2 2 2" xfId="20458"/>
    <cellStyle name="Normal 24 2 2 5 3 2 3 2 2 2 3 2 2 2 2 3" xfId="20459"/>
    <cellStyle name="Normal 24 2 2 5 3 2 3 2 2 2 3 2 2 2 3" xfId="20460"/>
    <cellStyle name="Normal 24 2 2 5 3 2 3 2 2 2 3 2 2 2 4" xfId="20461"/>
    <cellStyle name="Normal 24 2 2 5 3 2 3 2 2 2 3 2 2 3" xfId="20462"/>
    <cellStyle name="Normal 24 2 2 5 3 2 3 2 2 2 3 2 2 3 2" xfId="20463"/>
    <cellStyle name="Normal 24 2 2 5 3 2 3 2 2 2 3 2 2 3 3" xfId="20464"/>
    <cellStyle name="Normal 24 2 2 5 3 2 3 2 2 2 3 2 2 4" xfId="20465"/>
    <cellStyle name="Normal 24 2 2 5 3 2 3 2 2 2 3 2 2 5" xfId="20466"/>
    <cellStyle name="Normal 24 2 2 5 3 2 3 2 2 2 3 2 3" xfId="20467"/>
    <cellStyle name="Normal 24 2 2 5 3 2 3 2 2 2 3 2 3 2" xfId="20468"/>
    <cellStyle name="Normal 24 2 2 5 3 2 3 2 2 2 3 2 3 3" xfId="20469"/>
    <cellStyle name="Normal 24 2 2 5 3 2 3 2 2 2 3 2 4" xfId="20470"/>
    <cellStyle name="Normal 24 2 2 5 3 2 3 2 2 2 3 2 5" xfId="20471"/>
    <cellStyle name="Normal 24 2 2 5 3 2 3 2 2 2 3 3" xfId="20472"/>
    <cellStyle name="Normal 24 2 2 5 3 2 3 2 2 2 3 3 2" xfId="20473"/>
    <cellStyle name="Normal 24 2 2 5 3 2 3 2 2 2 3 3 3" xfId="20474"/>
    <cellStyle name="Normal 24 2 2 5 3 2 3 2 2 2 3 4" xfId="20475"/>
    <cellStyle name="Normal 24 2 2 5 3 2 3 2 2 2 3 5" xfId="20476"/>
    <cellStyle name="Normal 24 2 2 5 3 2 3 2 2 2 4" xfId="20477"/>
    <cellStyle name="Normal 24 2 2 5 3 2 3 2 2 2 4 2" xfId="20478"/>
    <cellStyle name="Normal 24 2 2 5 3 2 3 2 2 2 4 3" xfId="20479"/>
    <cellStyle name="Normal 24 2 2 5 3 2 3 2 2 2 5" xfId="20480"/>
    <cellStyle name="Normal 24 2 2 5 3 2 3 2 2 2 6" xfId="20481"/>
    <cellStyle name="Normal 24 2 2 5 3 2 3 2 2 3" xfId="20482"/>
    <cellStyle name="Normal 24 2 2 5 3 2 3 2 2 3 2" xfId="20483"/>
    <cellStyle name="Normal 24 2 2 5 3 2 3 2 2 3 3" xfId="20484"/>
    <cellStyle name="Normal 24 2 2 5 3 2 3 2 2 4" xfId="20485"/>
    <cellStyle name="Normal 24 2 2 5 3 2 3 2 2 5" xfId="20486"/>
    <cellStyle name="Normal 24 2 2 5 3 2 3 2 3" xfId="20487"/>
    <cellStyle name="Normal 24 2 2 5 3 2 3 2 3 2" xfId="20488"/>
    <cellStyle name="Normal 24 2 2 5 3 2 3 2 3 3" xfId="20489"/>
    <cellStyle name="Normal 24 2 2 5 3 2 3 2 4" xfId="20490"/>
    <cellStyle name="Normal 24 2 2 5 3 2 3 2 5" xfId="20491"/>
    <cellStyle name="Normal 24 2 2 5 3 2 3 3" xfId="20492"/>
    <cellStyle name="Normal 24 2 2 5 3 2 3 3 2" xfId="20493"/>
    <cellStyle name="Normal 24 2 2 5 3 2 3 3 2 2" xfId="20494"/>
    <cellStyle name="Normal 24 2 2 5 3 2 3 3 2 2 2" xfId="20495"/>
    <cellStyle name="Normal 24 2 2 5 3 2 3 3 2 2 3" xfId="20496"/>
    <cellStyle name="Normal 24 2 2 5 3 2 3 3 2 3" xfId="20497"/>
    <cellStyle name="Normal 24 2 2 5 3 2 3 3 2 4" xfId="20498"/>
    <cellStyle name="Normal 24 2 2 5 3 2 3 3 3" xfId="20499"/>
    <cellStyle name="Normal 24 2 2 5 3 2 3 3 3 2" xfId="20500"/>
    <cellStyle name="Normal 24 2 2 5 3 2 3 3 3 3" xfId="20501"/>
    <cellStyle name="Normal 24 2 2 5 3 2 3 3 4" xfId="20502"/>
    <cellStyle name="Normal 24 2 2 5 3 2 3 3 5" xfId="20503"/>
    <cellStyle name="Normal 24 2 2 5 3 2 3 4" xfId="20504"/>
    <cellStyle name="Normal 24 2 2 5 3 2 3 4 2" xfId="20505"/>
    <cellStyle name="Normal 24 2 2 5 3 2 3 4 3" xfId="20506"/>
    <cellStyle name="Normal 24 2 2 5 3 2 3 5" xfId="20507"/>
    <cellStyle name="Normal 24 2 2 5 3 2 3 6" xfId="20508"/>
    <cellStyle name="Normal 24 2 2 5 3 2 4" xfId="20509"/>
    <cellStyle name="Normal 24 2 2 5 3 2 4 2" xfId="20510"/>
    <cellStyle name="Normal 24 2 2 5 3 2 4 2 2" xfId="20511"/>
    <cellStyle name="Normal 24 2 2 5 3 2 4 2 3" xfId="20512"/>
    <cellStyle name="Normal 24 2 2 5 3 2 4 3" xfId="20513"/>
    <cellStyle name="Normal 24 2 2 5 3 2 4 4" xfId="20514"/>
    <cellStyle name="Normal 24 2 2 5 3 2 5" xfId="20515"/>
    <cellStyle name="Normal 24 2 2 5 3 2 5 2" xfId="20516"/>
    <cellStyle name="Normal 24 2 2 5 3 2 5 2 2" xfId="20517"/>
    <cellStyle name="Normal 24 2 2 5 3 2 5 2 3" xfId="20518"/>
    <cellStyle name="Normal 24 2 2 5 3 2 5 3" xfId="20519"/>
    <cellStyle name="Normal 24 2 2 5 3 2 5 4" xfId="20520"/>
    <cellStyle name="Normal 24 2 2 5 3 2 6" xfId="20521"/>
    <cellStyle name="Normal 24 2 2 5 3 2 6 2" xfId="20522"/>
    <cellStyle name="Normal 24 2 2 5 3 2 6 3" xfId="20523"/>
    <cellStyle name="Normal 24 2 2 5 3 2 7" xfId="20524"/>
    <cellStyle name="Normal 24 2 2 5 3 2 8" xfId="20525"/>
    <cellStyle name="Normal 24 2 2 5 3 3" xfId="20526"/>
    <cellStyle name="Normal 24 2 2 5 3 3 2" xfId="20527"/>
    <cellStyle name="Normal 24 2 2 5 3 3 3" xfId="20528"/>
    <cellStyle name="Normal 24 2 2 5 3 4" xfId="20529"/>
    <cellStyle name="Normal 24 2 2 5 3 5" xfId="20530"/>
    <cellStyle name="Normal 24 2 2 5 4" xfId="20531"/>
    <cellStyle name="Normal 24 2 2 5 4 2" xfId="20532"/>
    <cellStyle name="Normal 24 2 2 5 4 3" xfId="20533"/>
    <cellStyle name="Normal 24 2 2 5 5" xfId="20534"/>
    <cellStyle name="Normal 24 2 2 5 6" xfId="20535"/>
    <cellStyle name="Normal 24 2 2 6" xfId="20536"/>
    <cellStyle name="Normal 24 2 2 6 2" xfId="20537"/>
    <cellStyle name="Normal 24 2 2 6 2 2" xfId="20538"/>
    <cellStyle name="Normal 24 2 2 6 2 3" xfId="20539"/>
    <cellStyle name="Normal 24 2 2 6 3" xfId="20540"/>
    <cellStyle name="Normal 24 2 2 6 4" xfId="20541"/>
    <cellStyle name="Normal 24 2 2 7" xfId="20542"/>
    <cellStyle name="Normal 24 2 2 7 2" xfId="20543"/>
    <cellStyle name="Normal 24 2 2 7 2 2" xfId="20544"/>
    <cellStyle name="Normal 24 2 2 7 2 2 2" xfId="20545"/>
    <cellStyle name="Normal 24 2 2 7 2 2 3" xfId="20546"/>
    <cellStyle name="Normal 24 2 2 7 2 3" xfId="20547"/>
    <cellStyle name="Normal 24 2 2 7 2 4" xfId="20548"/>
    <cellStyle name="Normal 24 2 2 7 3" xfId="20549"/>
    <cellStyle name="Normal 24 2 2 7 3 2" xfId="20550"/>
    <cellStyle name="Normal 24 2 2 7 3 2 2" xfId="20551"/>
    <cellStyle name="Normal 24 2 2 7 3 2 3" xfId="20552"/>
    <cellStyle name="Normal 24 2 2 7 3 3" xfId="20553"/>
    <cellStyle name="Normal 24 2 2 7 3 4" xfId="20554"/>
    <cellStyle name="Normal 24 2 2 7 4" xfId="20555"/>
    <cellStyle name="Normal 24 2 2 7 4 2" xfId="20556"/>
    <cellStyle name="Normal 24 2 2 7 4 2 2" xfId="20557"/>
    <cellStyle name="Normal 24 2 2 7 4 2 2 2" xfId="20558"/>
    <cellStyle name="Normal 24 2 2 7 4 2 2 2 2" xfId="20559"/>
    <cellStyle name="Normal 24 2 2 7 4 2 2 2 2 2" xfId="20560"/>
    <cellStyle name="Normal 24 2 2 7 4 2 2 2 2 2 2" xfId="20561"/>
    <cellStyle name="Normal 24 2 2 7 4 2 2 2 2 2 2 2" xfId="20562"/>
    <cellStyle name="Normal 24 2 2 7 4 2 2 2 2 2 2 2 2" xfId="20563"/>
    <cellStyle name="Normal 24 2 2 7 4 2 2 2 2 2 2 2 3" xfId="20564"/>
    <cellStyle name="Normal 24 2 2 7 4 2 2 2 2 2 2 3" xfId="20565"/>
    <cellStyle name="Normal 24 2 2 7 4 2 2 2 2 2 2 4" xfId="20566"/>
    <cellStyle name="Normal 24 2 2 7 4 2 2 2 2 2 3" xfId="20567"/>
    <cellStyle name="Normal 24 2 2 7 4 2 2 2 2 2 3 2" xfId="20568"/>
    <cellStyle name="Normal 24 2 2 7 4 2 2 2 2 2 3 3" xfId="20569"/>
    <cellStyle name="Normal 24 2 2 7 4 2 2 2 2 2 4" xfId="20570"/>
    <cellStyle name="Normal 24 2 2 7 4 2 2 2 2 2 5" xfId="20571"/>
    <cellStyle name="Normal 24 2 2 7 4 2 2 2 2 3" xfId="20572"/>
    <cellStyle name="Normal 24 2 2 7 4 2 2 2 2 3 2" xfId="20573"/>
    <cellStyle name="Normal 24 2 2 7 4 2 2 2 2 3 3" xfId="20574"/>
    <cellStyle name="Normal 24 2 2 7 4 2 2 2 2 4" xfId="20575"/>
    <cellStyle name="Normal 24 2 2 7 4 2 2 2 2 5" xfId="20576"/>
    <cellStyle name="Normal 24 2 2 7 4 2 2 2 3" xfId="20577"/>
    <cellStyle name="Normal 24 2 2 7 4 2 2 2 3 2" xfId="20578"/>
    <cellStyle name="Normal 24 2 2 7 4 2 2 2 3 2 2" xfId="20579"/>
    <cellStyle name="Normal 24 2 2 7 4 2 2 2 3 2 2 2" xfId="20580"/>
    <cellStyle name="Normal 24 2 2 7 4 2 2 2 3 2 2 2 2" xfId="20581"/>
    <cellStyle name="Normal 24 2 2 7 4 2 2 2 3 2 2 2 2 2" xfId="20582"/>
    <cellStyle name="Normal 24 2 2 7 4 2 2 2 3 2 2 2 2 2 2" xfId="20583"/>
    <cellStyle name="Normal 24 2 2 7 4 2 2 2 3 2 2 2 2 2 3" xfId="20584"/>
    <cellStyle name="Normal 24 2 2 7 4 2 2 2 3 2 2 2 2 3" xfId="20585"/>
    <cellStyle name="Normal 24 2 2 7 4 2 2 2 3 2 2 2 2 4" xfId="20586"/>
    <cellStyle name="Normal 24 2 2 7 4 2 2 2 3 2 2 3" xfId="20587"/>
    <cellStyle name="Normal 24 2 2 7 4 2 2 2 3 2 3" xfId="20588"/>
    <cellStyle name="Normal 24 2 2 7 4 2 2 2 3 2 4" xfId="20589"/>
    <cellStyle name="Normal 24 2 2 7 4 2 2 2 3 2 4 2" xfId="20590"/>
    <cellStyle name="Normal 24 2 2 7 4 2 2 2 3 2 4 2 2" xfId="20591"/>
    <cellStyle name="Normal 24 2 2 7 4 2 2 2 3 2 4 2 3" xfId="20592"/>
    <cellStyle name="Normal 24 2 2 7 4 2 2 2 3 2 4 3" xfId="20593"/>
    <cellStyle name="Normal 24 2 2 7 4 2 2 2 3 2 4 4" xfId="20594"/>
    <cellStyle name="Normal 24 2 2 7 4 2 2 2 3 2 5" xfId="20595"/>
    <cellStyle name="Normal 24 2 2 7 4 2 2 2 3 3" xfId="20596"/>
    <cellStyle name="Normal 24 2 2 7 4 2 2 2 3 3 2" xfId="20597"/>
    <cellStyle name="Normal 24 2 2 7 4 2 2 2 3 3 3" xfId="20598"/>
    <cellStyle name="Normal 24 2 2 7 4 2 2 2 3 4" xfId="20599"/>
    <cellStyle name="Normal 24 2 2 7 4 2 2 2 3 5" xfId="20600"/>
    <cellStyle name="Normal 24 2 2 7 4 2 2 2 4" xfId="20601"/>
    <cellStyle name="Normal 24 2 2 7 4 2 2 2 4 2" xfId="20602"/>
    <cellStyle name="Normal 24 2 2 7 4 2 2 2 4 2 2" xfId="20603"/>
    <cellStyle name="Normal 24 2 2 7 4 2 2 2 4 2 2 2" xfId="20604"/>
    <cellStyle name="Normal 24 2 2 7 4 2 2 2 4 2 2 2 2" xfId="20605"/>
    <cellStyle name="Normal 24 2 2 7 4 2 2 2 4 2 2 2 3" xfId="20606"/>
    <cellStyle name="Normal 24 2 2 7 4 2 2 2 4 2 2 3" xfId="20607"/>
    <cellStyle name="Normal 24 2 2 7 4 2 2 2 4 2 2 4" xfId="20608"/>
    <cellStyle name="Normal 24 2 2 7 4 2 2 2 4 2 3" xfId="20609"/>
    <cellStyle name="Normal 24 2 2 7 4 2 2 2 4 2 3 2" xfId="20610"/>
    <cellStyle name="Normal 24 2 2 7 4 2 2 2 4 2 3 3" xfId="20611"/>
    <cellStyle name="Normal 24 2 2 7 4 2 2 2 4 2 4" xfId="20612"/>
    <cellStyle name="Normal 24 2 2 7 4 2 2 2 4 2 4 2" xfId="20613"/>
    <cellStyle name="Normal 24 2 2 7 4 2 2 2 4 2 4 2 2" xfId="20614"/>
    <cellStyle name="Normal 24 2 2 7 4 2 2 2 4 2 4 2 2 2" xfId="20615"/>
    <cellStyle name="Normal 24 2 2 7 4 2 2 2 4 2 4 2 2 3" xfId="20616"/>
    <cellStyle name="Normal 24 2 2 7 4 2 2 2 4 2 4 2 3" xfId="20617"/>
    <cellStyle name="Normal 24 2 2 7 4 2 2 2 4 2 4 2 4" xfId="20618"/>
    <cellStyle name="Normal 24 2 2 7 4 2 2 2 4 2 4 3" xfId="20619"/>
    <cellStyle name="Normal 24 2 2 7 4 2 2 2 4 2 4 3 2" xfId="20620"/>
    <cellStyle name="Normal 24 2 2 7 4 2 2 2 4 2 4 3 3" xfId="20621"/>
    <cellStyle name="Normal 24 2 2 7 4 2 2 2 4 2 4 4" xfId="20622"/>
    <cellStyle name="Normal 24 2 2 7 4 2 2 2 4 2 4 5" xfId="20623"/>
    <cellStyle name="Normal 24 2 2 7 4 2 2 2 4 2 5" xfId="20624"/>
    <cellStyle name="Normal 24 2 2 7 4 2 2 2 4 2 6" xfId="20625"/>
    <cellStyle name="Normal 24 2 2 7 4 2 2 2 4 3" xfId="20626"/>
    <cellStyle name="Normal 24 2 2 7 4 2 2 2 4 3 2" xfId="20627"/>
    <cellStyle name="Normal 24 2 2 7 4 2 2 2 4 3 3" xfId="20628"/>
    <cellStyle name="Normal 24 2 2 7 4 2 2 2 4 4" xfId="20629"/>
    <cellStyle name="Normal 24 2 2 7 4 2 2 2 4 5" xfId="20630"/>
    <cellStyle name="Normal 24 2 2 7 4 2 2 2 5" xfId="20631"/>
    <cellStyle name="Normal 24 2 2 7 4 2 2 2 5 2" xfId="20632"/>
    <cellStyle name="Normal 24 2 2 7 4 2 2 2 5 3" xfId="20633"/>
    <cellStyle name="Normal 24 2 2 7 4 2 2 2 6" xfId="20634"/>
    <cellStyle name="Normal 24 2 2 7 4 2 2 2 7" xfId="20635"/>
    <cellStyle name="Normal 24 2 2 7 4 2 2 3" xfId="20636"/>
    <cellStyle name="Normal 24 2 2 7 4 2 2 3 2" xfId="20637"/>
    <cellStyle name="Normal 24 2 2 7 4 2 2 3 3" xfId="20638"/>
    <cellStyle name="Normal 24 2 2 7 4 2 2 4" xfId="20639"/>
    <cellStyle name="Normal 24 2 2 7 4 2 2 5" xfId="20640"/>
    <cellStyle name="Normal 24 2 2 7 4 2 3" xfId="20641"/>
    <cellStyle name="Normal 24 2 2 7 4 2 3 2" xfId="20642"/>
    <cellStyle name="Normal 24 2 2 7 4 2 3 3" xfId="20643"/>
    <cellStyle name="Normal 24 2 2 7 4 2 4" xfId="20644"/>
    <cellStyle name="Normal 24 2 2 7 4 2 5" xfId="20645"/>
    <cellStyle name="Normal 24 2 2 7 4 3" xfId="20646"/>
    <cellStyle name="Normal 24 2 2 7 4 3 2" xfId="20647"/>
    <cellStyle name="Normal 24 2 2 7 4 3 3" xfId="20648"/>
    <cellStyle name="Normal 24 2 2 7 4 4" xfId="20649"/>
    <cellStyle name="Normal 24 2 2 7 4 5" xfId="20650"/>
    <cellStyle name="Normal 24 2 2 7 5" xfId="20651"/>
    <cellStyle name="Normal 24 2 2 7 5 2" xfId="20652"/>
    <cellStyle name="Normal 24 2 2 7 5 3" xfId="20653"/>
    <cellStyle name="Normal 24 2 2 7 6" xfId="20654"/>
    <cellStyle name="Normal 24 2 2 7 7" xfId="20655"/>
    <cellStyle name="Normal 24 2 2 8" xfId="20656"/>
    <cellStyle name="Normal 24 2 2 8 2" xfId="20657"/>
    <cellStyle name="Normal 24 2 2 8 2 2" xfId="20658"/>
    <cellStyle name="Normal 24 2 2 8 2 3" xfId="20659"/>
    <cellStyle name="Normal 24 2 2 8 3" xfId="20660"/>
    <cellStyle name="Normal 24 2 2 8 4" xfId="20661"/>
    <cellStyle name="Normal 24 2 2 9" xfId="20662"/>
    <cellStyle name="Normal 24 2 2 9 2" xfId="20663"/>
    <cellStyle name="Normal 24 2 2 9 2 2" xfId="20664"/>
    <cellStyle name="Normal 24 2 2 9 2 3" xfId="20665"/>
    <cellStyle name="Normal 24 2 2 9 3" xfId="20666"/>
    <cellStyle name="Normal 24 2 2 9 4" xfId="20667"/>
    <cellStyle name="Normal 24 2 3" xfId="20668"/>
    <cellStyle name="Normal 24 2 3 2" xfId="20669"/>
    <cellStyle name="Normal 24 2 3 2 2" xfId="20670"/>
    <cellStyle name="Normal 24 2 3 2 2 2" xfId="20671"/>
    <cellStyle name="Normal 24 2 3 2 2 3" xfId="20672"/>
    <cellStyle name="Normal 24 2 3 2 3" xfId="20673"/>
    <cellStyle name="Normal 24 2 3 2 4" xfId="20674"/>
    <cellStyle name="Normal 24 2 3 3" xfId="20675"/>
    <cellStyle name="Normal 24 2 3 3 2" xfId="20676"/>
    <cellStyle name="Normal 24 2 3 3 3" xfId="20677"/>
    <cellStyle name="Normal 24 2 3 4" xfId="20678"/>
    <cellStyle name="Normal 24 2 3 5" xfId="20679"/>
    <cellStyle name="Normal 24 2 4" xfId="20680"/>
    <cellStyle name="Normal 24 2 4 2" xfId="20681"/>
    <cellStyle name="Normal 24 2 4 2 2" xfId="20682"/>
    <cellStyle name="Normal 24 2 4 2 3" xfId="20683"/>
    <cellStyle name="Normal 24 2 4 3" xfId="20684"/>
    <cellStyle name="Normal 24 2 4 4" xfId="20685"/>
    <cellStyle name="Normal 24 2 5" xfId="20686"/>
    <cellStyle name="Normal 24 2 5 2" xfId="20687"/>
    <cellStyle name="Normal 24 2 5 2 2" xfId="20688"/>
    <cellStyle name="Normal 24 2 5 2 3" xfId="20689"/>
    <cellStyle name="Normal 24 2 5 3" xfId="20690"/>
    <cellStyle name="Normal 24 2 5 4" xfId="20691"/>
    <cellStyle name="Normal 24 2 6" xfId="20692"/>
    <cellStyle name="Normal 24 2 6 2" xfId="20693"/>
    <cellStyle name="Normal 24 2 6 2 2" xfId="20694"/>
    <cellStyle name="Normal 24 2 6 2 3" xfId="20695"/>
    <cellStyle name="Normal 24 2 6 3" xfId="20696"/>
    <cellStyle name="Normal 24 2 6 4" xfId="20697"/>
    <cellStyle name="Normal 24 2 7" xfId="20698"/>
    <cellStyle name="Normal 24 2 7 2" xfId="20699"/>
    <cellStyle name="Normal 24 2 7 2 2" xfId="20700"/>
    <cellStyle name="Normal 24 2 7 2 3" xfId="20701"/>
    <cellStyle name="Normal 24 2 7 3" xfId="20702"/>
    <cellStyle name="Normal 24 2 7 4" xfId="20703"/>
    <cellStyle name="Normal 24 2 8" xfId="20704"/>
    <cellStyle name="Normal 24 2 8 2" xfId="20705"/>
    <cellStyle name="Normal 24 2 8 2 2" xfId="20706"/>
    <cellStyle name="Normal 24 2 8 2 3" xfId="20707"/>
    <cellStyle name="Normal 24 2 8 3" xfId="20708"/>
    <cellStyle name="Normal 24 2 8 4" xfId="20709"/>
    <cellStyle name="Normal 24 2 9" xfId="20710"/>
    <cellStyle name="Normal 24 2 9 2" xfId="20711"/>
    <cellStyle name="Normal 24 2 9 2 2" xfId="20712"/>
    <cellStyle name="Normal 24 2 9 2 3" xfId="20713"/>
    <cellStyle name="Normal 24 2 9 3" xfId="20714"/>
    <cellStyle name="Normal 24 2 9 4" xfId="20715"/>
    <cellStyle name="Normal 24 3" xfId="20716"/>
    <cellStyle name="Normal 24 4" xfId="20717"/>
    <cellStyle name="Normal 24 5" xfId="20718"/>
    <cellStyle name="Normal 24 5 2" xfId="20719"/>
    <cellStyle name="Normal 24 5 2 2" xfId="20720"/>
    <cellStyle name="Normal 24 5 2 2 2" xfId="20721"/>
    <cellStyle name="Normal 24 5 2 2 3" xfId="20722"/>
    <cellStyle name="Normal 24 5 2 3" xfId="20723"/>
    <cellStyle name="Normal 24 5 2 4" xfId="20724"/>
    <cellStyle name="Normal 24 6" xfId="20725"/>
    <cellStyle name="Normal 24 6 2" xfId="20726"/>
    <cellStyle name="Normal 24 6 2 2" xfId="20727"/>
    <cellStyle name="Normal 24 6 2 2 2" xfId="20728"/>
    <cellStyle name="Normal 24 6 2 2 2 2" xfId="20729"/>
    <cellStyle name="Normal 24 6 2 2 2 2 2" xfId="20730"/>
    <cellStyle name="Normal 24 6 2 2 2 2 2 2" xfId="20731"/>
    <cellStyle name="Normal 24 6 2 2 2 2 2 2 2" xfId="20732"/>
    <cellStyle name="Normal 24 6 2 2 2 2 2 2 3" xfId="20733"/>
    <cellStyle name="Normal 24 6 2 2 2 2 2 3" xfId="20734"/>
    <cellStyle name="Normal 24 6 2 2 2 2 2 4" xfId="20735"/>
    <cellStyle name="Normal 24 6 2 2 2 2 3" xfId="20736"/>
    <cellStyle name="Normal 24 6 2 2 2 2 3 2" xfId="20737"/>
    <cellStyle name="Normal 24 6 2 2 2 2 3 2 2" xfId="20738"/>
    <cellStyle name="Normal 24 6 2 2 2 2 3 2 2 2" xfId="20739"/>
    <cellStyle name="Normal 24 6 2 2 2 2 3 2 2 3" xfId="20740"/>
    <cellStyle name="Normal 24 6 2 2 2 2 3 2 3" xfId="20741"/>
    <cellStyle name="Normal 24 6 2 2 2 2 3 2 4" xfId="20742"/>
    <cellStyle name="Normal 24 6 2 2 2 2 3 3" xfId="20743"/>
    <cellStyle name="Normal 24 6 2 2 2 2 3 3 2" xfId="20744"/>
    <cellStyle name="Normal 24 6 2 2 2 2 3 3 3" xfId="20745"/>
    <cellStyle name="Normal 24 6 2 2 2 2 3 4" xfId="20746"/>
    <cellStyle name="Normal 24 6 2 2 2 2 3 5" xfId="20747"/>
    <cellStyle name="Normal 24 6 2 2 2 2 4" xfId="20748"/>
    <cellStyle name="Normal 24 6 2 2 2 2 4 2" xfId="20749"/>
    <cellStyle name="Normal 24 6 2 2 2 2 4 2 2" xfId="20750"/>
    <cellStyle name="Normal 24 6 2 2 2 2 4 2 3" xfId="20751"/>
    <cellStyle name="Normal 24 6 2 2 2 2 4 3" xfId="20752"/>
    <cellStyle name="Normal 24 6 2 2 2 2 4 4" xfId="20753"/>
    <cellStyle name="Normal 24 6 2 2 2 2 5" xfId="20754"/>
    <cellStyle name="Normal 24 6 2 2 2 2 5 2" xfId="20755"/>
    <cellStyle name="Normal 24 6 2 2 2 2 5 3" xfId="20756"/>
    <cellStyle name="Normal 24 6 2 2 2 2 6" xfId="20757"/>
    <cellStyle name="Normal 24 6 2 2 2 2 7" xfId="20758"/>
    <cellStyle name="Normal 24 6 2 2 2 3" xfId="20759"/>
    <cellStyle name="Normal 24 6 2 2 2 3 2" xfId="20760"/>
    <cellStyle name="Normal 24 6 2 2 2 3 3" xfId="20761"/>
    <cellStyle name="Normal 24 6 2 2 2 4" xfId="20762"/>
    <cellStyle name="Normal 24 6 2 2 2 5" xfId="20763"/>
    <cellStyle name="Normal 24 6 2 2 3" xfId="20764"/>
    <cellStyle name="Normal 24 6 2 2 3 2" xfId="20765"/>
    <cellStyle name="Normal 24 6 2 2 3 3" xfId="20766"/>
    <cellStyle name="Normal 24 6 2 2 4" xfId="20767"/>
    <cellStyle name="Normal 24 6 2 2 5" xfId="20768"/>
    <cellStyle name="Normal 24 6 2 3" xfId="20769"/>
    <cellStyle name="Normal 24 6 2 3 2" xfId="20770"/>
    <cellStyle name="Normal 24 6 2 3 2 2" xfId="20771"/>
    <cellStyle name="Normal 24 6 2 3 2 3" xfId="20772"/>
    <cellStyle name="Normal 24 6 2 3 3" xfId="20773"/>
    <cellStyle name="Normal 24 6 2 3 4" xfId="20774"/>
    <cellStyle name="Normal 24 6 2 4" xfId="20775"/>
    <cellStyle name="Normal 24 6 2 4 2" xfId="20776"/>
    <cellStyle name="Normal 24 6 2 4 2 2" xfId="20777"/>
    <cellStyle name="Normal 24 6 2 4 2 3" xfId="20778"/>
    <cellStyle name="Normal 24 6 2 4 3" xfId="20779"/>
    <cellStyle name="Normal 24 6 2 4 4" xfId="20780"/>
    <cellStyle name="Normal 24 6 2 5" xfId="20781"/>
    <cellStyle name="Normal 24 6 2 5 2" xfId="20782"/>
    <cellStyle name="Normal 24 6 2 5 2 2" xfId="20783"/>
    <cellStyle name="Normal 24 6 2 5 2 3" xfId="20784"/>
    <cellStyle name="Normal 24 6 2 5 3" xfId="20785"/>
    <cellStyle name="Normal 24 6 2 5 4" xfId="20786"/>
    <cellStyle name="Normal 24 6 2 6" xfId="20787"/>
    <cellStyle name="Normal 24 6 2 6 2" xfId="20788"/>
    <cellStyle name="Normal 24 6 2 6 3" xfId="20789"/>
    <cellStyle name="Normal 24 6 2 7" xfId="20790"/>
    <cellStyle name="Normal 24 6 2 8" xfId="20791"/>
    <cellStyle name="Normal 24 6 3" xfId="20792"/>
    <cellStyle name="Normal 24 6 3 2" xfId="20793"/>
    <cellStyle name="Normal 24 6 3 2 2" xfId="20794"/>
    <cellStyle name="Normal 24 6 3 2 3" xfId="20795"/>
    <cellStyle name="Normal 24 6 3 3" xfId="20796"/>
    <cellStyle name="Normal 24 6 3 4" xfId="20797"/>
    <cellStyle name="Normal 24 6 4" xfId="20798"/>
    <cellStyle name="Normal 24 6 4 2" xfId="20799"/>
    <cellStyle name="Normal 24 6 4 2 2" xfId="20800"/>
    <cellStyle name="Normal 24 6 4 2 3" xfId="20801"/>
    <cellStyle name="Normal 24 6 4 3" xfId="20802"/>
    <cellStyle name="Normal 24 6 4 4" xfId="20803"/>
    <cellStyle name="Normal 24 6 5" xfId="20804"/>
    <cellStyle name="Normal 24 6 5 2" xfId="20805"/>
    <cellStyle name="Normal 24 6 5 2 2" xfId="20806"/>
    <cellStyle name="Normal 24 6 5 2 3" xfId="20807"/>
    <cellStyle name="Normal 24 6 5 3" xfId="20808"/>
    <cellStyle name="Normal 24 6 5 4" xfId="20809"/>
    <cellStyle name="Normal 24 6 6" xfId="20810"/>
    <cellStyle name="Normal 24 6 6 2" xfId="20811"/>
    <cellStyle name="Normal 24 6 6 2 2" xfId="20812"/>
    <cellStyle name="Normal 24 6 6 2 2 2" xfId="20813"/>
    <cellStyle name="Normal 24 6 6 2 2 3" xfId="20814"/>
    <cellStyle name="Normal 24 6 6 2 3" xfId="20815"/>
    <cellStyle name="Normal 24 6 6 2 4" xfId="20816"/>
    <cellStyle name="Normal 24 6 6 3" xfId="20817"/>
    <cellStyle name="Normal 24 6 6 3 2" xfId="20818"/>
    <cellStyle name="Normal 24 6 6 3 2 2" xfId="20819"/>
    <cellStyle name="Normal 24 6 6 3 2 3" xfId="20820"/>
    <cellStyle name="Normal 24 6 6 3 3" xfId="20821"/>
    <cellStyle name="Normal 24 6 6 3 4" xfId="20822"/>
    <cellStyle name="Normal 24 6 6 4" xfId="20823"/>
    <cellStyle name="Normal 24 6 6 4 2" xfId="20824"/>
    <cellStyle name="Normal 24 6 6 4 3" xfId="20825"/>
    <cellStyle name="Normal 24 6 6 5" xfId="20826"/>
    <cellStyle name="Normal 24 6 6 6" xfId="20827"/>
    <cellStyle name="Normal 24 6 7" xfId="20828"/>
    <cellStyle name="Normal 24 6 7 2" xfId="20829"/>
    <cellStyle name="Normal 24 6 7 2 2" xfId="20830"/>
    <cellStyle name="Normal 24 6 7 2 2 2" xfId="20831"/>
    <cellStyle name="Normal 24 6 7 2 2 2 2" xfId="20832"/>
    <cellStyle name="Normal 24 6 7 2 2 2 3" xfId="20833"/>
    <cellStyle name="Normal 24 6 7 2 2 3" xfId="20834"/>
    <cellStyle name="Normal 24 6 7 2 2 4" xfId="20835"/>
    <cellStyle name="Normal 24 6 7 2 3" xfId="20836"/>
    <cellStyle name="Normal 24 6 7 2 3 2" xfId="20837"/>
    <cellStyle name="Normal 24 6 7 2 3 3" xfId="20838"/>
    <cellStyle name="Normal 24 6 7 2 4" xfId="20839"/>
    <cellStyle name="Normal 24 6 7 2 5" xfId="20840"/>
    <cellStyle name="Normal 24 6 7 3" xfId="20841"/>
    <cellStyle name="Normal 24 6 7 3 2" xfId="20842"/>
    <cellStyle name="Normal 24 6 7 3 2 2" xfId="20843"/>
    <cellStyle name="Normal 24 6 7 3 2 2 2" xfId="20844"/>
    <cellStyle name="Normal 24 6 7 3 2 2 2 2" xfId="20845"/>
    <cellStyle name="Normal 24 6 7 3 2 2 2 2 2" xfId="20846"/>
    <cellStyle name="Normal 24 6 7 3 2 2 2 2 2 2" xfId="20847"/>
    <cellStyle name="Normal 24 6 7 3 2 2 2 2 2 3" xfId="20848"/>
    <cellStyle name="Normal 24 6 7 3 2 2 2 2 3" xfId="20849"/>
    <cellStyle name="Normal 24 6 7 3 2 2 2 2 4" xfId="20850"/>
    <cellStyle name="Normal 24 6 7 3 2 2 2 3" xfId="20851"/>
    <cellStyle name="Normal 24 6 7 3 2 2 2 3 2" xfId="20852"/>
    <cellStyle name="Normal 24 6 7 3 2 2 2 3 2 2" xfId="20853"/>
    <cellStyle name="Normal 24 6 7 3 2 2 2 3 2 3" xfId="20854"/>
    <cellStyle name="Normal 24 6 7 3 2 2 2 3 3" xfId="20855"/>
    <cellStyle name="Normal 24 6 7 3 2 2 2 3 4" xfId="20856"/>
    <cellStyle name="Normal 24 6 7 3 2 2 2 4" xfId="20857"/>
    <cellStyle name="Normal 24 6 7 3 2 2 2 4 2" xfId="20858"/>
    <cellStyle name="Normal 24 6 7 3 2 2 2 4 3" xfId="20859"/>
    <cellStyle name="Normal 24 6 7 3 2 2 2 5" xfId="20860"/>
    <cellStyle name="Normal 24 6 7 3 2 2 2 6" xfId="20861"/>
    <cellStyle name="Normal 24 6 7 3 2 2 3" xfId="20862"/>
    <cellStyle name="Normal 24 6 7 3 2 2 3 2" xfId="20863"/>
    <cellStyle name="Normal 24 6 7 3 2 2 3 3" xfId="20864"/>
    <cellStyle name="Normal 24 6 7 3 2 2 4" xfId="20865"/>
    <cellStyle name="Normal 24 6 7 3 2 2 5" xfId="20866"/>
    <cellStyle name="Normal 24 6 7 3 2 3" xfId="20867"/>
    <cellStyle name="Normal 24 6 7 3 2 3 2" xfId="20868"/>
    <cellStyle name="Normal 24 6 7 3 2 3 3" xfId="20869"/>
    <cellStyle name="Normal 24 6 7 3 2 4" xfId="20870"/>
    <cellStyle name="Normal 24 6 7 3 2 5" xfId="20871"/>
    <cellStyle name="Normal 24 6 7 3 3" xfId="20872"/>
    <cellStyle name="Normal 24 6 7 3 3 2" xfId="20873"/>
    <cellStyle name="Normal 24 6 7 3 3 3" xfId="20874"/>
    <cellStyle name="Normal 24 6 7 3 4" xfId="20875"/>
    <cellStyle name="Normal 24 6 7 3 5" xfId="20876"/>
    <cellStyle name="Normal 24 6 7 4" xfId="20877"/>
    <cellStyle name="Normal 24 6 7 4 2" xfId="20878"/>
    <cellStyle name="Normal 24 6 7 4 3" xfId="20879"/>
    <cellStyle name="Normal 24 6 7 5" xfId="20880"/>
    <cellStyle name="Normal 24 6 7 6" xfId="20881"/>
    <cellStyle name="Normal 24 6 8" xfId="20882"/>
    <cellStyle name="Normal 24 6 8 2" xfId="20883"/>
    <cellStyle name="Normal 24 6 8 2 2" xfId="20884"/>
    <cellStyle name="Normal 24 6 8 2 3" xfId="20885"/>
    <cellStyle name="Normal 24 6 8 3" xfId="20886"/>
    <cellStyle name="Normal 24 6 8 4" xfId="20887"/>
    <cellStyle name="Normal 24 7" xfId="20888"/>
    <cellStyle name="Normal 24 8" xfId="20889"/>
    <cellStyle name="Normal 24 8 2" xfId="20890"/>
    <cellStyle name="Normal 24 8 2 2" xfId="20891"/>
    <cellStyle name="Normal 24 8 2 2 2" xfId="20892"/>
    <cellStyle name="Normal 24 8 2 2 2 2" xfId="20893"/>
    <cellStyle name="Normal 24 8 2 2 2 3" xfId="20894"/>
    <cellStyle name="Normal 24 8 2 2 3" xfId="20895"/>
    <cellStyle name="Normal 24 8 2 2 4" xfId="20896"/>
    <cellStyle name="Normal 24 8 2 3" xfId="20897"/>
    <cellStyle name="Normal 24 8 2 3 2" xfId="20898"/>
    <cellStyle name="Normal 24 8 2 3 3" xfId="20899"/>
    <cellStyle name="Normal 24 8 2 4" xfId="20900"/>
    <cellStyle name="Normal 24 8 2 5" xfId="20901"/>
    <cellStyle name="Normal 24 8 3" xfId="20902"/>
    <cellStyle name="Normal 24 8 3 2" xfId="20903"/>
    <cellStyle name="Normal 24 8 3 2 2" xfId="20904"/>
    <cellStyle name="Normal 24 8 3 2 2 2" xfId="20905"/>
    <cellStyle name="Normal 24 8 3 2 2 3" xfId="20906"/>
    <cellStyle name="Normal 24 8 3 2 3" xfId="20907"/>
    <cellStyle name="Normal 24 8 3 2 4" xfId="20908"/>
    <cellStyle name="Normal 24 8 3 3" xfId="20909"/>
    <cellStyle name="Normal 24 8 3 3 2" xfId="20910"/>
    <cellStyle name="Normal 24 8 3 3 3" xfId="20911"/>
    <cellStyle name="Normal 24 8 3 4" xfId="20912"/>
    <cellStyle name="Normal 24 8 3 5" xfId="20913"/>
    <cellStyle name="Normal 24 8 4" xfId="20914"/>
    <cellStyle name="Normal 24 8 4 2" xfId="20915"/>
    <cellStyle name="Normal 24 8 4 2 2" xfId="20916"/>
    <cellStyle name="Normal 24 8 4 2 3" xfId="20917"/>
    <cellStyle name="Normal 24 8 4 3" xfId="20918"/>
    <cellStyle name="Normal 24 8 4 4" xfId="20919"/>
    <cellStyle name="Normal 24 8 5" xfId="20920"/>
    <cellStyle name="Normal 24 8 5 2" xfId="20921"/>
    <cellStyle name="Normal 24 8 5 3" xfId="20922"/>
    <cellStyle name="Normal 24 8 6" xfId="20923"/>
    <cellStyle name="Normal 24 8 7" xfId="20924"/>
    <cellStyle name="Normal 24 9" xfId="20925"/>
    <cellStyle name="Normal 24 9 10" xfId="20926"/>
    <cellStyle name="Normal 24 9 10 2" xfId="20927"/>
    <cellStyle name="Normal 24 9 10 2 2" xfId="20928"/>
    <cellStyle name="Normal 24 9 10 2 3" xfId="20929"/>
    <cellStyle name="Normal 24 9 10 3" xfId="20930"/>
    <cellStyle name="Normal 24 9 10 4" xfId="20931"/>
    <cellStyle name="Normal 24 9 11" xfId="20932"/>
    <cellStyle name="Normal 24 9 11 2" xfId="20933"/>
    <cellStyle name="Normal 24 9 11 2 2" xfId="20934"/>
    <cellStyle name="Normal 24 9 11 2 3" xfId="20935"/>
    <cellStyle name="Normal 24 9 11 3" xfId="20936"/>
    <cellStyle name="Normal 24 9 11 4" xfId="20937"/>
    <cellStyle name="Normal 24 9 12" xfId="20938"/>
    <cellStyle name="Normal 24 9 12 2" xfId="20939"/>
    <cellStyle name="Normal 24 9 12 2 2" xfId="20940"/>
    <cellStyle name="Normal 24 9 12 2 3" xfId="20941"/>
    <cellStyle name="Normal 24 9 12 3" xfId="20942"/>
    <cellStyle name="Normal 24 9 12 4" xfId="20943"/>
    <cellStyle name="Normal 24 9 13" xfId="20944"/>
    <cellStyle name="Normal 24 9 13 2" xfId="20945"/>
    <cellStyle name="Normal 24 9 13 2 2" xfId="20946"/>
    <cellStyle name="Normal 24 9 13 2 3" xfId="20947"/>
    <cellStyle name="Normal 24 9 13 3" xfId="20948"/>
    <cellStyle name="Normal 24 9 13 4" xfId="20949"/>
    <cellStyle name="Normal 24 9 14" xfId="20950"/>
    <cellStyle name="Normal 24 9 14 2" xfId="20951"/>
    <cellStyle name="Normal 24 9 14 2 2" xfId="20952"/>
    <cellStyle name="Normal 24 9 14 2 2 2" xfId="20953"/>
    <cellStyle name="Normal 24 9 14 2 2 2 2" xfId="20954"/>
    <cellStyle name="Normal 24 9 14 2 2 2 3" xfId="20955"/>
    <cellStyle name="Normal 24 9 14 2 2 3" xfId="20956"/>
    <cellStyle name="Normal 24 9 14 2 2 4" xfId="20957"/>
    <cellStyle name="Normal 24 9 14 2 3" xfId="20958"/>
    <cellStyle name="Normal 24 9 14 2 3 2" xfId="20959"/>
    <cellStyle name="Normal 24 9 14 2 3 3" xfId="20960"/>
    <cellStyle name="Normal 24 9 14 2 4" xfId="20961"/>
    <cellStyle name="Normal 24 9 14 2 5" xfId="20962"/>
    <cellStyle name="Normal 24 9 14 3" xfId="20963"/>
    <cellStyle name="Normal 24 9 14 3 2" xfId="20964"/>
    <cellStyle name="Normal 24 9 14 3 2 2" xfId="20965"/>
    <cellStyle name="Normal 24 9 14 3 2 3" xfId="20966"/>
    <cellStyle name="Normal 24 9 14 3 3" xfId="20967"/>
    <cellStyle name="Normal 24 9 14 3 4" xfId="20968"/>
    <cellStyle name="Normal 24 9 14 4" xfId="20969"/>
    <cellStyle name="Normal 24 9 14 4 2" xfId="20970"/>
    <cellStyle name="Normal 24 9 14 4 2 2" xfId="20971"/>
    <cellStyle name="Normal 24 9 14 4 2 2 2" xfId="20972"/>
    <cellStyle name="Normal 24 9 14 4 2 2 2 2" xfId="20973"/>
    <cellStyle name="Normal 24 9 14 4 2 2 2 2 2" xfId="20974"/>
    <cellStyle name="Normal 24 9 14 4 2 2 2 2 2 2" xfId="20975"/>
    <cellStyle name="Normal 24 9 14 4 2 2 2 2 2 2 2" xfId="20976"/>
    <cellStyle name="Normal 24 9 14 4 2 2 2 2 2 2 2 2" xfId="20977"/>
    <cellStyle name="Normal 24 9 14 4 2 2 2 2 2 2 2 2 2" xfId="20978"/>
    <cellStyle name="Normal 24 9 14 4 2 2 2 2 2 2 2 2 2 2" xfId="20979"/>
    <cellStyle name="Normal 24 9 14 4 2 2 2 2 2 2 2 2 2 2 2" xfId="20980"/>
    <cellStyle name="Normal 24 9 14 4 2 2 2 2 2 2 2 2 2 2 2 2" xfId="20981"/>
    <cellStyle name="Normal 24 9 14 4 2 2 2 2 2 2 2 2 2 2 2 2 2" xfId="20982"/>
    <cellStyle name="Normal 24 9 14 4 2 2 2 2 2 2 2 2 2 2 2 2 3" xfId="20983"/>
    <cellStyle name="Normal 24 9 14 4 2 2 2 2 2 2 2 2 2 2 2 3" xfId="20984"/>
    <cellStyle name="Normal 24 9 14 4 2 2 2 2 2 2 2 2 2 2 2 3 2" xfId="20985"/>
    <cellStyle name="Normal 24 9 14 4 2 2 2 2 2 2 2 2 2 2 2 3 2 2" xfId="20986"/>
    <cellStyle name="Normal 24 9 14 4 2 2 2 2 2 2 2 2 2 2 2 3 2 2 2" xfId="20987"/>
    <cellStyle name="Normal 24 9 14 4 2 2 2 2 2 2 2 2 2 2 2 3 2 2 3" xfId="20988"/>
    <cellStyle name="Normal 24 9 14 4 2 2 2 2 2 2 2 2 2 2 2 3 2 3" xfId="20989"/>
    <cellStyle name="Normal 24 9 14 4 2 2 2 2 2 2 2 2 2 2 2 3 2 4" xfId="20990"/>
    <cellStyle name="Normal 24 9 14 4 2 2 2 2 2 2 2 2 2 2 2 3 3" xfId="20991"/>
    <cellStyle name="Normal 24 9 14 4 2 2 2 2 2 2 2 2 2 2 2 3 3 2" xfId="20992"/>
    <cellStyle name="Normal 24 9 14 4 2 2 2 2 2 2 2 2 2 2 2 3 3 3" xfId="20993"/>
    <cellStyle name="Normal 24 9 14 4 2 2 2 2 2 2 2 2 2 2 2 3 4" xfId="20994"/>
    <cellStyle name="Normal 24 9 14 4 2 2 2 2 2 2 2 2 2 2 2 3 5" xfId="20995"/>
    <cellStyle name="Normal 24 9 14 4 2 2 2 2 2 2 2 2 2 2 2 4" xfId="20996"/>
    <cellStyle name="Normal 24 9 14 4 2 2 2 2 2 2 2 2 2 2 2 5" xfId="20997"/>
    <cellStyle name="Normal 24 9 14 4 2 2 2 2 2 2 2 2 2 2 3" xfId="20998"/>
    <cellStyle name="Normal 24 9 14 4 2 2 2 2 2 2 2 2 2 2 3 2" xfId="20999"/>
    <cellStyle name="Normal 24 9 14 4 2 2 2 2 2 2 2 2 2 2 3 2 2" xfId="21000"/>
    <cellStyle name="Normal 24 9 14 4 2 2 2 2 2 2 2 2 2 2 3 2 3" xfId="21001"/>
    <cellStyle name="Normal 24 9 14 4 2 2 2 2 2 2 2 2 2 2 3 3" xfId="21002"/>
    <cellStyle name="Normal 24 9 14 4 2 2 2 2 2 2 2 2 2 2 3 4" xfId="21003"/>
    <cellStyle name="Normal 24 9 14 4 2 2 2 2 2 2 2 2 2 2 4" xfId="21004"/>
    <cellStyle name="Normal 24 9 14 4 2 2 2 2 2 2 2 2 2 2 4 2" xfId="21005"/>
    <cellStyle name="Normal 24 9 14 4 2 2 2 2 2 2 2 2 2 2 4 3" xfId="21006"/>
    <cellStyle name="Normal 24 9 14 4 2 2 2 2 2 2 2 2 2 2 5" xfId="21007"/>
    <cellStyle name="Normal 24 9 14 4 2 2 2 2 2 2 2 2 2 2 6" xfId="21008"/>
    <cellStyle name="Normal 24 9 14 4 2 2 2 2 2 2 2 2 2 3" xfId="21009"/>
    <cellStyle name="Normal 24 9 14 4 2 2 2 2 2 2 2 2 2 3 2" xfId="21010"/>
    <cellStyle name="Normal 24 9 14 4 2 2 2 2 2 2 2 2 2 3 3" xfId="21011"/>
    <cellStyle name="Normal 24 9 14 4 2 2 2 2 2 2 2 2 2 4" xfId="21012"/>
    <cellStyle name="Normal 24 9 14 4 2 2 2 2 2 2 2 2 2 5" xfId="21013"/>
    <cellStyle name="Normal 24 9 14 4 2 2 2 2 2 2 2 2 3" xfId="21014"/>
    <cellStyle name="Normal 24 9 14 4 2 2 2 2 2 2 2 2 3 2" xfId="21015"/>
    <cellStyle name="Normal 24 9 14 4 2 2 2 2 2 2 2 2 3 3" xfId="21016"/>
    <cellStyle name="Normal 24 9 14 4 2 2 2 2 2 2 2 2 4" xfId="21017"/>
    <cellStyle name="Normal 24 9 14 4 2 2 2 2 2 2 2 2 5" xfId="21018"/>
    <cellStyle name="Normal 24 9 14 4 2 2 2 2 2 2 2 3" xfId="21019"/>
    <cellStyle name="Normal 24 9 14 4 2 2 2 2 2 2 2 3 2" xfId="21020"/>
    <cellStyle name="Normal 24 9 14 4 2 2 2 2 2 2 2 3 3" xfId="21021"/>
    <cellStyle name="Normal 24 9 14 4 2 2 2 2 2 2 2 4" xfId="21022"/>
    <cellStyle name="Normal 24 9 14 4 2 2 2 2 2 2 2 5" xfId="21023"/>
    <cellStyle name="Normal 24 9 14 4 2 2 2 2 2 2 3" xfId="21024"/>
    <cellStyle name="Normal 24 9 14 4 2 2 2 2 2 2 3 2" xfId="21025"/>
    <cellStyle name="Normal 24 9 14 4 2 2 2 2 2 2 3 3" xfId="21026"/>
    <cellStyle name="Normal 24 9 14 4 2 2 2 2 2 2 4" xfId="21027"/>
    <cellStyle name="Normal 24 9 14 4 2 2 2 2 2 2 5" xfId="21028"/>
    <cellStyle name="Normal 24 9 14 4 2 2 2 2 2 3" xfId="21029"/>
    <cellStyle name="Normal 24 9 14 4 2 2 2 2 2 3 2" xfId="21030"/>
    <cellStyle name="Normal 24 9 14 4 2 2 2 2 2 3 3" xfId="21031"/>
    <cellStyle name="Normal 24 9 14 4 2 2 2 2 2 4" xfId="21032"/>
    <cellStyle name="Normal 24 9 14 4 2 2 2 2 2 5" xfId="21033"/>
    <cellStyle name="Normal 24 9 14 4 2 2 2 2 3" xfId="21034"/>
    <cellStyle name="Normal 24 9 14 4 2 2 2 2 3 2" xfId="21035"/>
    <cellStyle name="Normal 24 9 14 4 2 2 2 2 3 2 2" xfId="21036"/>
    <cellStyle name="Normal 24 9 14 4 2 2 2 2 3 2 2 2" xfId="21037"/>
    <cellStyle name="Normal 24 9 14 4 2 2 2 2 3 2 2 3" xfId="21038"/>
    <cellStyle name="Normal 24 9 14 4 2 2 2 2 3 2 3" xfId="21039"/>
    <cellStyle name="Normal 24 9 14 4 2 2 2 2 3 2 4" xfId="21040"/>
    <cellStyle name="Normal 24 9 14 4 2 2 2 2 3 3" xfId="21041"/>
    <cellStyle name="Normal 24 9 14 4 2 2 2 2 3 4" xfId="21042"/>
    <cellStyle name="Normal 24 9 14 4 2 2 2 2 4" xfId="21043"/>
    <cellStyle name="Normal 24 9 14 4 2 2 2 2 5" xfId="21044"/>
    <cellStyle name="Normal 24 9 14 4 2 2 2 3" xfId="21045"/>
    <cellStyle name="Normal 24 9 14 4 2 2 2 3 2" xfId="21046"/>
    <cellStyle name="Normal 24 9 14 4 2 2 2 3 2 2" xfId="21047"/>
    <cellStyle name="Normal 24 9 14 4 2 2 2 3 2 3" xfId="21048"/>
    <cellStyle name="Normal 24 9 14 4 2 2 2 3 3" xfId="21049"/>
    <cellStyle name="Normal 24 9 14 4 2 2 2 3 4" xfId="21050"/>
    <cellStyle name="Normal 24 9 14 4 2 2 2 4" xfId="21051"/>
    <cellStyle name="Normal 24 9 14 4 2 2 2 4 2" xfId="21052"/>
    <cellStyle name="Normal 24 9 14 4 2 2 2 4 2 2" xfId="21053"/>
    <cellStyle name="Normal 24 9 14 4 2 2 2 4 2 3" xfId="21054"/>
    <cellStyle name="Normal 24 9 14 4 2 2 2 4 3" xfId="21055"/>
    <cellStyle name="Normal 24 9 14 4 2 2 2 4 4" xfId="21056"/>
    <cellStyle name="Normal 24 9 14 4 2 2 2 5" xfId="21057"/>
    <cellStyle name="Normal 24 9 14 4 2 2 2 5 2" xfId="21058"/>
    <cellStyle name="Normal 24 9 14 4 2 2 2 5 3" xfId="21059"/>
    <cellStyle name="Normal 24 9 14 4 2 2 2 6" xfId="21060"/>
    <cellStyle name="Normal 24 9 14 4 2 2 2 7" xfId="21061"/>
    <cellStyle name="Normal 24 9 14 4 2 2 3" xfId="21062"/>
    <cellStyle name="Normal 24 9 14 4 2 2 3 2" xfId="21063"/>
    <cellStyle name="Normal 24 9 14 4 2 2 3 3" xfId="21064"/>
    <cellStyle name="Normal 24 9 14 4 2 2 4" xfId="21065"/>
    <cellStyle name="Normal 24 9 14 4 2 2 5" xfId="21066"/>
    <cellStyle name="Normal 24 9 14 4 2 3" xfId="21067"/>
    <cellStyle name="Normal 24 9 14 4 2 3 2" xfId="21068"/>
    <cellStyle name="Normal 24 9 14 4 2 3 2 2" xfId="21069"/>
    <cellStyle name="Normal 24 9 14 4 2 3 2 2 2" xfId="21070"/>
    <cellStyle name="Normal 24 9 14 4 2 3 2 2 3" xfId="21071"/>
    <cellStyle name="Normal 24 9 14 4 2 3 2 3" xfId="21072"/>
    <cellStyle name="Normal 24 9 14 4 2 3 2 4" xfId="21073"/>
    <cellStyle name="Normal 24 9 14 4 2 3 3" xfId="21074"/>
    <cellStyle name="Normal 24 9 14 4 2 3 3 2" xfId="21075"/>
    <cellStyle name="Normal 24 9 14 4 2 3 3 3" xfId="21076"/>
    <cellStyle name="Normal 24 9 14 4 2 3 4" xfId="21077"/>
    <cellStyle name="Normal 24 9 14 4 2 3 5" xfId="21078"/>
    <cellStyle name="Normal 24 9 14 4 2 4" xfId="21079"/>
    <cellStyle name="Normal 24 9 14 4 2 4 2" xfId="21080"/>
    <cellStyle name="Normal 24 9 14 4 2 4 2 2" xfId="21081"/>
    <cellStyle name="Normal 24 9 14 4 2 4 2 2 2" xfId="21082"/>
    <cellStyle name="Normal 24 9 14 4 2 4 2 2 3" xfId="21083"/>
    <cellStyle name="Normal 24 9 14 4 2 4 2 3" xfId="21084"/>
    <cellStyle name="Normal 24 9 14 4 2 4 2 4" xfId="21085"/>
    <cellStyle name="Normal 24 9 14 4 2 4 3" xfId="21086"/>
    <cellStyle name="Normal 24 9 14 4 2 4 3 2" xfId="21087"/>
    <cellStyle name="Normal 24 9 14 4 2 4 3 3" xfId="21088"/>
    <cellStyle name="Normal 24 9 14 4 2 4 4" xfId="21089"/>
    <cellStyle name="Normal 24 9 14 4 2 4 5" xfId="21090"/>
    <cellStyle name="Normal 24 9 14 4 2 5" xfId="21091"/>
    <cellStyle name="Normal 24 9 14 4 2 5 2" xfId="21092"/>
    <cellStyle name="Normal 24 9 14 4 2 5 2 2" xfId="21093"/>
    <cellStyle name="Normal 24 9 14 4 2 5 2 3" xfId="21094"/>
    <cellStyle name="Normal 24 9 14 4 2 5 3" xfId="21095"/>
    <cellStyle name="Normal 24 9 14 4 2 5 4" xfId="21096"/>
    <cellStyle name="Normal 24 9 14 4 2 6" xfId="21097"/>
    <cellStyle name="Normal 24 9 14 4 2 6 2" xfId="21098"/>
    <cellStyle name="Normal 24 9 14 4 2 6 3" xfId="21099"/>
    <cellStyle name="Normal 24 9 14 4 2 7" xfId="21100"/>
    <cellStyle name="Normal 24 9 14 4 2 8" xfId="21101"/>
    <cellStyle name="Normal 24 9 14 4 3" xfId="21102"/>
    <cellStyle name="Normal 24 9 14 4 3 2" xfId="21103"/>
    <cellStyle name="Normal 24 9 14 4 3 2 2" xfId="21104"/>
    <cellStyle name="Normal 24 9 14 4 3 2 3" xfId="21105"/>
    <cellStyle name="Normal 24 9 14 4 3 3" xfId="21106"/>
    <cellStyle name="Normal 24 9 14 4 3 4" xfId="21107"/>
    <cellStyle name="Normal 24 9 14 4 4" xfId="21108"/>
    <cellStyle name="Normal 24 9 14 4 4 2" xfId="21109"/>
    <cellStyle name="Normal 24 9 14 4 4 3" xfId="21110"/>
    <cellStyle name="Normal 24 9 14 4 5" xfId="21111"/>
    <cellStyle name="Normal 24 9 14 4 6" xfId="21112"/>
    <cellStyle name="Normal 24 9 14 5" xfId="21113"/>
    <cellStyle name="Normal 24 9 14 5 2" xfId="21114"/>
    <cellStyle name="Normal 24 9 14 5 3" xfId="21115"/>
    <cellStyle name="Normal 24 9 14 6" xfId="21116"/>
    <cellStyle name="Normal 24 9 14 7" xfId="21117"/>
    <cellStyle name="Normal 24 9 15" xfId="21118"/>
    <cellStyle name="Normal 24 9 15 2" xfId="21119"/>
    <cellStyle name="Normal 24 9 15 2 2" xfId="21120"/>
    <cellStyle name="Normal 24 9 15 2 3" xfId="21121"/>
    <cellStyle name="Normal 24 9 15 3" xfId="21122"/>
    <cellStyle name="Normal 24 9 15 4" xfId="21123"/>
    <cellStyle name="Normal 24 9 16" xfId="21124"/>
    <cellStyle name="Normal 24 9 16 2" xfId="21125"/>
    <cellStyle name="Normal 24 9 16 3" xfId="21126"/>
    <cellStyle name="Normal 24 9 17" xfId="21127"/>
    <cellStyle name="Normal 24 9 18" xfId="21128"/>
    <cellStyle name="Normal 24 9 2" xfId="21129"/>
    <cellStyle name="Normal 24 9 2 10" xfId="21130"/>
    <cellStyle name="Normal 24 9 2 11" xfId="21131"/>
    <cellStyle name="Normal 24 9 2 2" xfId="21132"/>
    <cellStyle name="Normal 24 9 2 2 2" xfId="21133"/>
    <cellStyle name="Normal 24 9 2 2 2 2" xfId="21134"/>
    <cellStyle name="Normal 24 9 2 2 2 3" xfId="21135"/>
    <cellStyle name="Normal 24 9 2 2 3" xfId="21136"/>
    <cellStyle name="Normal 24 9 2 2 4" xfId="21137"/>
    <cellStyle name="Normal 24 9 2 3" xfId="21138"/>
    <cellStyle name="Normal 24 9 2 3 2" xfId="21139"/>
    <cellStyle name="Normal 24 9 2 3 2 2" xfId="21140"/>
    <cellStyle name="Normal 24 9 2 3 2 2 2" xfId="21141"/>
    <cellStyle name="Normal 24 9 2 3 2 2 3" xfId="21142"/>
    <cellStyle name="Normal 24 9 2 3 2 3" xfId="21143"/>
    <cellStyle name="Normal 24 9 2 3 2 4" xfId="21144"/>
    <cellStyle name="Normal 24 9 2 3 3" xfId="21145"/>
    <cellStyle name="Normal 24 9 2 3 3 2" xfId="21146"/>
    <cellStyle name="Normal 24 9 2 3 3 2 2" xfId="21147"/>
    <cellStyle name="Normal 24 9 2 3 3 2 3" xfId="21148"/>
    <cellStyle name="Normal 24 9 2 3 3 3" xfId="21149"/>
    <cellStyle name="Normal 24 9 2 3 3 4" xfId="21150"/>
    <cellStyle name="Normal 24 9 2 3 4" xfId="21151"/>
    <cellStyle name="Normal 24 9 2 3 4 2" xfId="21152"/>
    <cellStyle name="Normal 24 9 2 3 4 2 2" xfId="21153"/>
    <cellStyle name="Normal 24 9 2 3 4 2 3" xfId="21154"/>
    <cellStyle name="Normal 24 9 2 3 4 3" xfId="21155"/>
    <cellStyle name="Normal 24 9 2 3 4 4" xfId="21156"/>
    <cellStyle name="Normal 24 9 2 3 5" xfId="21157"/>
    <cellStyle name="Normal 24 9 2 3 5 2" xfId="21158"/>
    <cellStyle name="Normal 24 9 2 3 5 2 2" xfId="21159"/>
    <cellStyle name="Normal 24 9 2 3 5 2 3" xfId="21160"/>
    <cellStyle name="Normal 24 9 2 3 5 3" xfId="21161"/>
    <cellStyle name="Normal 24 9 2 3 5 4" xfId="21162"/>
    <cellStyle name="Normal 24 9 2 3 6" xfId="21163"/>
    <cellStyle name="Normal 24 9 2 3 6 2" xfId="21164"/>
    <cellStyle name="Normal 24 9 2 3 6 2 2" xfId="21165"/>
    <cellStyle name="Normal 24 9 2 3 6 2 3" xfId="21166"/>
    <cellStyle name="Normal 24 9 2 3 6 3" xfId="21167"/>
    <cellStyle name="Normal 24 9 2 3 6 4" xfId="21168"/>
    <cellStyle name="Normal 24 9 2 3 7" xfId="21169"/>
    <cellStyle name="Normal 24 9 2 3 7 2" xfId="21170"/>
    <cellStyle name="Normal 24 9 2 3 7 3" xfId="21171"/>
    <cellStyle name="Normal 24 9 2 3 8" xfId="21172"/>
    <cellStyle name="Normal 24 9 2 3 9" xfId="21173"/>
    <cellStyle name="Normal 24 9 2 4" xfId="21174"/>
    <cellStyle name="Normal 24 9 2 4 2" xfId="21175"/>
    <cellStyle name="Normal 24 9 2 4 2 2" xfId="21176"/>
    <cellStyle name="Normal 24 9 2 4 2 3" xfId="21177"/>
    <cellStyle name="Normal 24 9 2 4 3" xfId="21178"/>
    <cellStyle name="Normal 24 9 2 4 4" xfId="21179"/>
    <cellStyle name="Normal 24 9 2 5" xfId="21180"/>
    <cellStyle name="Normal 24 9 2 5 2" xfId="21181"/>
    <cellStyle name="Normal 24 9 2 5 2 2" xfId="21182"/>
    <cellStyle name="Normal 24 9 2 5 2 3" xfId="21183"/>
    <cellStyle name="Normal 24 9 2 5 3" xfId="21184"/>
    <cellStyle name="Normal 24 9 2 5 4" xfId="21185"/>
    <cellStyle name="Normal 24 9 2 6" xfId="21186"/>
    <cellStyle name="Normal 24 9 2 6 2" xfId="21187"/>
    <cellStyle name="Normal 24 9 2 6 2 2" xfId="21188"/>
    <cellStyle name="Normal 24 9 2 6 2 2 2" xfId="21189"/>
    <cellStyle name="Normal 24 9 2 6 2 2 2 2" xfId="21190"/>
    <cellStyle name="Normal 24 9 2 6 2 2 2 2 2" xfId="21191"/>
    <cellStyle name="Normal 24 9 2 6 2 2 2 2 2 2" xfId="21192"/>
    <cellStyle name="Normal 24 9 2 6 2 2 2 2 2 3" xfId="21193"/>
    <cellStyle name="Normal 24 9 2 6 2 2 2 2 3" xfId="21194"/>
    <cellStyle name="Normal 24 9 2 6 2 2 2 2 4" xfId="21195"/>
    <cellStyle name="Normal 24 9 2 6 2 2 2 3" xfId="21196"/>
    <cellStyle name="Normal 24 9 2 6 2 2 2 3 2" xfId="21197"/>
    <cellStyle name="Normal 24 9 2 6 2 2 2 3 2 2" xfId="21198"/>
    <cellStyle name="Normal 24 9 2 6 2 2 2 3 2 3" xfId="21199"/>
    <cellStyle name="Normal 24 9 2 6 2 2 2 3 3" xfId="21200"/>
    <cellStyle name="Normal 24 9 2 6 2 2 2 3 4" xfId="21201"/>
    <cellStyle name="Normal 24 9 2 6 2 2 2 4" xfId="21202"/>
    <cellStyle name="Normal 24 9 2 6 2 2 2 4 2" xfId="21203"/>
    <cellStyle name="Normal 24 9 2 6 2 2 2 4 3" xfId="21204"/>
    <cellStyle name="Normal 24 9 2 6 2 2 2 5" xfId="21205"/>
    <cellStyle name="Normal 24 9 2 6 2 2 2 6" xfId="21206"/>
    <cellStyle name="Normal 24 9 2 6 2 2 3" xfId="21207"/>
    <cellStyle name="Normal 24 9 2 6 2 2 3 2" xfId="21208"/>
    <cellStyle name="Normal 24 9 2 6 2 2 3 2 2" xfId="21209"/>
    <cellStyle name="Normal 24 9 2 6 2 2 3 2 2 2" xfId="21210"/>
    <cellStyle name="Normal 24 9 2 6 2 2 3 2 2 3" xfId="21211"/>
    <cellStyle name="Normal 24 9 2 6 2 2 3 2 3" xfId="21212"/>
    <cellStyle name="Normal 24 9 2 6 2 2 3 2 4" xfId="21213"/>
    <cellStyle name="Normal 24 9 2 6 2 2 3 3" xfId="21214"/>
    <cellStyle name="Normal 24 9 2 6 2 2 3 3 2" xfId="21215"/>
    <cellStyle name="Normal 24 9 2 6 2 2 3 3 3" xfId="21216"/>
    <cellStyle name="Normal 24 9 2 6 2 2 3 4" xfId="21217"/>
    <cellStyle name="Normal 24 9 2 6 2 2 3 5" xfId="21218"/>
    <cellStyle name="Normal 24 9 2 6 2 2 4" xfId="21219"/>
    <cellStyle name="Normal 24 9 2 6 2 2 4 2" xfId="21220"/>
    <cellStyle name="Normal 24 9 2 6 2 2 4 3" xfId="21221"/>
    <cellStyle name="Normal 24 9 2 6 2 2 5" xfId="21222"/>
    <cellStyle name="Normal 24 9 2 6 2 2 6" xfId="21223"/>
    <cellStyle name="Normal 24 9 2 6 2 3" xfId="21224"/>
    <cellStyle name="Normal 24 9 2 6 2 3 2" xfId="21225"/>
    <cellStyle name="Normal 24 9 2 6 2 3 3" xfId="21226"/>
    <cellStyle name="Normal 24 9 2 6 2 4" xfId="21227"/>
    <cellStyle name="Normal 24 9 2 6 2 5" xfId="21228"/>
    <cellStyle name="Normal 24 9 2 6 3" xfId="21229"/>
    <cellStyle name="Normal 24 9 2 6 3 2" xfId="21230"/>
    <cellStyle name="Normal 24 9 2 6 3 3" xfId="21231"/>
    <cellStyle name="Normal 24 9 2 6 4" xfId="21232"/>
    <cellStyle name="Normal 24 9 2 6 5" xfId="21233"/>
    <cellStyle name="Normal 24 9 2 7" xfId="21234"/>
    <cellStyle name="Normal 24 9 2 7 2" xfId="21235"/>
    <cellStyle name="Normal 24 9 2 7 2 2" xfId="21236"/>
    <cellStyle name="Normal 24 9 2 7 2 3" xfId="21237"/>
    <cellStyle name="Normal 24 9 2 7 3" xfId="21238"/>
    <cellStyle name="Normal 24 9 2 7 4" xfId="21239"/>
    <cellStyle name="Normal 24 9 2 8" xfId="21240"/>
    <cellStyle name="Normal 24 9 2 8 2" xfId="21241"/>
    <cellStyle name="Normal 24 9 2 8 2 2" xfId="21242"/>
    <cellStyle name="Normal 24 9 2 8 2 3" xfId="21243"/>
    <cellStyle name="Normal 24 9 2 8 3" xfId="21244"/>
    <cellStyle name="Normal 24 9 2 8 4" xfId="21245"/>
    <cellStyle name="Normal 24 9 2 9" xfId="21246"/>
    <cellStyle name="Normal 24 9 2 9 2" xfId="21247"/>
    <cellStyle name="Normal 24 9 2 9 3" xfId="21248"/>
    <cellStyle name="Normal 24 9 3" xfId="21249"/>
    <cellStyle name="Normal 24 9 3 2" xfId="21250"/>
    <cellStyle name="Normal 24 9 3 2 2" xfId="21251"/>
    <cellStyle name="Normal 24 9 3 2 2 2" xfId="21252"/>
    <cellStyle name="Normal 24 9 3 2 2 3" xfId="21253"/>
    <cellStyle name="Normal 24 9 3 2 3" xfId="21254"/>
    <cellStyle name="Normal 24 9 3 2 4" xfId="21255"/>
    <cellStyle name="Normal 24 9 3 3" xfId="21256"/>
    <cellStyle name="Normal 24 9 3 3 2" xfId="21257"/>
    <cellStyle name="Normal 24 9 3 3 3" xfId="21258"/>
    <cellStyle name="Normal 24 9 3 4" xfId="21259"/>
    <cellStyle name="Normal 24 9 3 5" xfId="21260"/>
    <cellStyle name="Normal 24 9 4" xfId="21261"/>
    <cellStyle name="Normal 24 9 4 2" xfId="21262"/>
    <cellStyle name="Normal 24 9 4 2 2" xfId="21263"/>
    <cellStyle name="Normal 24 9 4 2 2 2" xfId="21264"/>
    <cellStyle name="Normal 24 9 4 2 2 3" xfId="21265"/>
    <cellStyle name="Normal 24 9 4 2 3" xfId="21266"/>
    <cellStyle name="Normal 24 9 4 2 4" xfId="21267"/>
    <cellStyle name="Normal 24 9 4 3" xfId="21268"/>
    <cellStyle name="Normal 24 9 4 3 2" xfId="21269"/>
    <cellStyle name="Normal 24 9 4 3 2 2" xfId="21270"/>
    <cellStyle name="Normal 24 9 4 3 2 3" xfId="21271"/>
    <cellStyle name="Normal 24 9 4 3 3" xfId="21272"/>
    <cellStyle name="Normal 24 9 4 3 4" xfId="21273"/>
    <cellStyle name="Normal 24 9 4 4" xfId="21274"/>
    <cellStyle name="Normal 24 9 4 4 2" xfId="21275"/>
    <cellStyle name="Normal 24 9 4 4 2 2" xfId="21276"/>
    <cellStyle name="Normal 24 9 4 4 2 2 2" xfId="21277"/>
    <cellStyle name="Normal 24 9 4 4 2 2 2 2" xfId="21278"/>
    <cellStyle name="Normal 24 9 4 4 2 2 2 2 2" xfId="21279"/>
    <cellStyle name="Normal 24 9 4 4 2 2 2 2 3" xfId="21280"/>
    <cellStyle name="Normal 24 9 4 4 2 2 2 3" xfId="21281"/>
    <cellStyle name="Normal 24 9 4 4 2 2 2 4" xfId="21282"/>
    <cellStyle name="Normal 24 9 4 4 2 2 3" xfId="21283"/>
    <cellStyle name="Normal 24 9 4 4 2 2 3 2" xfId="21284"/>
    <cellStyle name="Normal 24 9 4 4 2 2 3 3" xfId="21285"/>
    <cellStyle name="Normal 24 9 4 4 2 2 4" xfId="21286"/>
    <cellStyle name="Normal 24 9 4 4 2 2 5" xfId="21287"/>
    <cellStyle name="Normal 24 9 4 4 2 3" xfId="21288"/>
    <cellStyle name="Normal 24 9 4 4 2 3 2" xfId="21289"/>
    <cellStyle name="Normal 24 9 4 4 2 3 3" xfId="21290"/>
    <cellStyle name="Normal 24 9 4 4 2 4" xfId="21291"/>
    <cellStyle name="Normal 24 9 4 4 2 5" xfId="21292"/>
    <cellStyle name="Normal 24 9 4 4 3" xfId="21293"/>
    <cellStyle name="Normal 24 9 4 4 3 2" xfId="21294"/>
    <cellStyle name="Normal 24 9 4 4 3 3" xfId="21295"/>
    <cellStyle name="Normal 24 9 4 4 4" xfId="21296"/>
    <cellStyle name="Normal 24 9 4 4 5" xfId="21297"/>
    <cellStyle name="Normal 24 9 4 5" xfId="21298"/>
    <cellStyle name="Normal 24 9 4 5 2" xfId="21299"/>
    <cellStyle name="Normal 24 9 4 5 3" xfId="21300"/>
    <cellStyle name="Normal 24 9 4 6" xfId="21301"/>
    <cellStyle name="Normal 24 9 4 7" xfId="21302"/>
    <cellStyle name="Normal 24 9 5" xfId="21303"/>
    <cellStyle name="Normal 24 9 5 2" xfId="21304"/>
    <cellStyle name="Normal 24 9 5 2 2" xfId="21305"/>
    <cellStyle name="Normal 24 9 5 2 2 2" xfId="21306"/>
    <cellStyle name="Normal 24 9 5 2 2 3" xfId="21307"/>
    <cellStyle name="Normal 24 9 5 2 3" xfId="21308"/>
    <cellStyle name="Normal 24 9 5 2 4" xfId="21309"/>
    <cellStyle name="Normal 24 9 5 3" xfId="21310"/>
    <cellStyle name="Normal 24 9 5 3 2" xfId="21311"/>
    <cellStyle name="Normal 24 9 5 3 2 2" xfId="21312"/>
    <cellStyle name="Normal 24 9 5 3 2 3" xfId="21313"/>
    <cellStyle name="Normal 24 9 5 3 3" xfId="21314"/>
    <cellStyle name="Normal 24 9 5 3 4" xfId="21315"/>
    <cellStyle name="Normal 24 9 5 4" xfId="21316"/>
    <cellStyle name="Normal 24 9 5 4 2" xfId="21317"/>
    <cellStyle name="Normal 24 9 5 4 3" xfId="21318"/>
    <cellStyle name="Normal 24 9 5 5" xfId="21319"/>
    <cellStyle name="Normal 24 9 5 6" xfId="21320"/>
    <cellStyle name="Normal 24 9 6" xfId="21321"/>
    <cellStyle name="Normal 24 9 6 2" xfId="21322"/>
    <cellStyle name="Normal 24 9 6 2 2" xfId="21323"/>
    <cellStyle name="Normal 24 9 6 2 2 2" xfId="21324"/>
    <cellStyle name="Normal 24 9 6 2 2 3" xfId="21325"/>
    <cellStyle name="Normal 24 9 6 2 3" xfId="21326"/>
    <cellStyle name="Normal 24 9 6 2 4" xfId="21327"/>
    <cellStyle name="Normal 24 9 6 3" xfId="21328"/>
    <cellStyle name="Normal 24 9 6 3 2" xfId="21329"/>
    <cellStyle name="Normal 24 9 6 3 3" xfId="21330"/>
    <cellStyle name="Normal 24 9 6 4" xfId="21331"/>
    <cellStyle name="Normal 24 9 6 5" xfId="21332"/>
    <cellStyle name="Normal 24 9 7" xfId="21333"/>
    <cellStyle name="Normal 24 9 7 10" xfId="21334"/>
    <cellStyle name="Normal 24 9 7 10 2" xfId="21335"/>
    <cellStyle name="Normal 24 9 7 10 3" xfId="21336"/>
    <cellStyle name="Normal 24 9 7 11" xfId="21337"/>
    <cellStyle name="Normal 24 9 7 12" xfId="21338"/>
    <cellStyle name="Normal 24 9 7 2" xfId="21339"/>
    <cellStyle name="Normal 24 9 7 2 2" xfId="21340"/>
    <cellStyle name="Normal 24 9 7 2 2 2" xfId="21341"/>
    <cellStyle name="Normal 24 9 7 2 2 3" xfId="21342"/>
    <cellStyle name="Normal 24 9 7 2 3" xfId="21343"/>
    <cellStyle name="Normal 24 9 7 2 4" xfId="21344"/>
    <cellStyle name="Normal 24 9 7 3" xfId="21345"/>
    <cellStyle name="Normal 24 9 7 3 2" xfId="21346"/>
    <cellStyle name="Normal 24 9 7 3 2 2" xfId="21347"/>
    <cellStyle name="Normal 24 9 7 3 2 3" xfId="21348"/>
    <cellStyle name="Normal 24 9 7 3 3" xfId="21349"/>
    <cellStyle name="Normal 24 9 7 3 4" xfId="21350"/>
    <cellStyle name="Normal 24 9 7 4" xfId="21351"/>
    <cellStyle name="Normal 24 9 7 4 2" xfId="21352"/>
    <cellStyle name="Normal 24 9 7 4 2 2" xfId="21353"/>
    <cellStyle name="Normal 24 9 7 4 2 3" xfId="21354"/>
    <cellStyle name="Normal 24 9 7 4 3" xfId="21355"/>
    <cellStyle name="Normal 24 9 7 4 4" xfId="21356"/>
    <cellStyle name="Normal 24 9 7 5" xfId="21357"/>
    <cellStyle name="Normal 24 9 7 5 2" xfId="21358"/>
    <cellStyle name="Normal 24 9 7 5 2 2" xfId="21359"/>
    <cellStyle name="Normal 24 9 7 5 2 3" xfId="21360"/>
    <cellStyle name="Normal 24 9 7 5 3" xfId="21361"/>
    <cellStyle name="Normal 24 9 7 5 4" xfId="21362"/>
    <cellStyle name="Normal 24 9 7 6" xfId="21363"/>
    <cellStyle name="Normal 24 9 7 6 2" xfId="21364"/>
    <cellStyle name="Normal 24 9 7 6 2 2" xfId="21365"/>
    <cellStyle name="Normal 24 9 7 6 2 3" xfId="21366"/>
    <cellStyle name="Normal 24 9 7 6 3" xfId="21367"/>
    <cellStyle name="Normal 24 9 7 6 4" xfId="21368"/>
    <cellStyle name="Normal 24 9 7 7" xfId="21369"/>
    <cellStyle name="Normal 24 9 7 7 2" xfId="21370"/>
    <cellStyle name="Normal 24 9 7 7 2 2" xfId="21371"/>
    <cellStyle name="Normal 24 9 7 7 2 3" xfId="21372"/>
    <cellStyle name="Normal 24 9 7 7 3" xfId="21373"/>
    <cellStyle name="Normal 24 9 7 7 4" xfId="21374"/>
    <cellStyle name="Normal 24 9 7 8" xfId="21375"/>
    <cellStyle name="Normal 24 9 7 8 2" xfId="21376"/>
    <cellStyle name="Normal 24 9 7 8 2 2" xfId="21377"/>
    <cellStyle name="Normal 24 9 7 8 2 3" xfId="21378"/>
    <cellStyle name="Normal 24 9 7 8 3" xfId="21379"/>
    <cellStyle name="Normal 24 9 7 8 4" xfId="21380"/>
    <cellStyle name="Normal 24 9 7 9" xfId="21381"/>
    <cellStyle name="Normal 24 9 7 9 2" xfId="21382"/>
    <cellStyle name="Normal 24 9 7 9 2 2" xfId="21383"/>
    <cellStyle name="Normal 24 9 7 9 2 3" xfId="21384"/>
    <cellStyle name="Normal 24 9 7 9 3" xfId="21385"/>
    <cellStyle name="Normal 24 9 7 9 4" xfId="21386"/>
    <cellStyle name="Normal 24 9 8" xfId="21387"/>
    <cellStyle name="Normal 24 9 8 2" xfId="21388"/>
    <cellStyle name="Normal 24 9 8 2 2" xfId="21389"/>
    <cellStyle name="Normal 24 9 8 2 3" xfId="21390"/>
    <cellStyle name="Normal 24 9 8 3" xfId="21391"/>
    <cellStyle name="Normal 24 9 8 4" xfId="21392"/>
    <cellStyle name="Normal 24 9 9" xfId="21393"/>
    <cellStyle name="Normal 24 9 9 2" xfId="21394"/>
    <cellStyle name="Normal 24 9 9 2 2" xfId="21395"/>
    <cellStyle name="Normal 24 9 9 2 2 2" xfId="21396"/>
    <cellStyle name="Normal 24 9 9 2 2 3" xfId="21397"/>
    <cellStyle name="Normal 24 9 9 2 3" xfId="21398"/>
    <cellStyle name="Normal 24 9 9 2 4" xfId="21399"/>
    <cellStyle name="Normal 24 9 9 3" xfId="21400"/>
    <cellStyle name="Normal 24 9 9 3 2" xfId="21401"/>
    <cellStyle name="Normal 24 9 9 3 2 2" xfId="21402"/>
    <cellStyle name="Normal 24 9 9 3 2 2 2" xfId="21403"/>
    <cellStyle name="Normal 24 9 9 3 2 2 3" xfId="21404"/>
    <cellStyle name="Normal 24 9 9 3 2 3" xfId="21405"/>
    <cellStyle name="Normal 24 9 9 3 2 4" xfId="21406"/>
    <cellStyle name="Normal 24 9 9 3 3" xfId="21407"/>
    <cellStyle name="Normal 24 9 9 3 3 2" xfId="21408"/>
    <cellStyle name="Normal 24 9 9 3 3 2 2" xfId="21409"/>
    <cellStyle name="Normal 24 9 9 3 3 2 3" xfId="21410"/>
    <cellStyle name="Normal 24 9 9 3 3 3" xfId="21411"/>
    <cellStyle name="Normal 24 9 9 3 3 4" xfId="21412"/>
    <cellStyle name="Normal 24 9 9 3 4" xfId="21413"/>
    <cellStyle name="Normal 24 9 9 3 4 2" xfId="21414"/>
    <cellStyle name="Normal 24 9 9 3 4 2 2" xfId="21415"/>
    <cellStyle name="Normal 24 9 9 3 4 2 2 2" xfId="21416"/>
    <cellStyle name="Normal 24 9 9 3 4 2 2 2 2" xfId="21417"/>
    <cellStyle name="Normal 24 9 9 3 4 2 2 2 2 2" xfId="21418"/>
    <cellStyle name="Normal 24 9 9 3 4 2 2 2 2 2 2" xfId="21419"/>
    <cellStyle name="Normal 24 9 9 3 4 2 2 2 2 2 2 2" xfId="21420"/>
    <cellStyle name="Normal 24 9 9 3 4 2 2 2 2 2 2 3" xfId="21421"/>
    <cellStyle name="Normal 24 9 9 3 4 2 2 2 2 2 3" xfId="21422"/>
    <cellStyle name="Normal 24 9 9 3 4 2 2 2 2 2 4" xfId="21423"/>
    <cellStyle name="Normal 24 9 9 3 4 2 2 2 2 3" xfId="21424"/>
    <cellStyle name="Normal 24 9 9 3 4 2 2 2 2 3 2" xfId="21425"/>
    <cellStyle name="Normal 24 9 9 3 4 2 2 2 2 3 3" xfId="21426"/>
    <cellStyle name="Normal 24 9 9 3 4 2 2 2 2 4" xfId="21427"/>
    <cellStyle name="Normal 24 9 9 3 4 2 2 2 2 5" xfId="21428"/>
    <cellStyle name="Normal 24 9 9 3 4 2 2 2 3" xfId="21429"/>
    <cellStyle name="Normal 24 9 9 3 4 2 2 2 3 2" xfId="21430"/>
    <cellStyle name="Normal 24 9 9 3 4 2 2 2 3 2 2" xfId="21431"/>
    <cellStyle name="Normal 24 9 9 3 4 2 2 2 3 2 3" xfId="21432"/>
    <cellStyle name="Normal 24 9 9 3 4 2 2 2 3 3" xfId="21433"/>
    <cellStyle name="Normal 24 9 9 3 4 2 2 2 3 4" xfId="21434"/>
    <cellStyle name="Normal 24 9 9 3 4 2 2 2 4" xfId="21435"/>
    <cellStyle name="Normal 24 9 9 3 4 2 2 2 4 2" xfId="21436"/>
    <cellStyle name="Normal 24 9 9 3 4 2 2 2 4 3" xfId="21437"/>
    <cellStyle name="Normal 24 9 9 3 4 2 2 2 5" xfId="21438"/>
    <cellStyle name="Normal 24 9 9 3 4 2 2 2 6" xfId="21439"/>
    <cellStyle name="Normal 24 9 9 3 4 2 2 3" xfId="21440"/>
    <cellStyle name="Normal 24 9 9 3 4 2 2 3 2" xfId="21441"/>
    <cellStyle name="Normal 24 9 9 3 4 2 2 3 2 2" xfId="21442"/>
    <cellStyle name="Normal 24 9 9 3 4 2 2 3 2 3" xfId="21443"/>
    <cellStyle name="Normal 24 9 9 3 4 2 2 3 3" xfId="21444"/>
    <cellStyle name="Normal 24 9 9 3 4 2 2 3 4" xfId="21445"/>
    <cellStyle name="Normal 24 9 9 3 4 2 2 4" xfId="21446"/>
    <cellStyle name="Normal 24 9 9 3 4 2 2 4 2" xfId="21447"/>
    <cellStyle name="Normal 24 9 9 3 4 2 2 4 3" xfId="21448"/>
    <cellStyle name="Normal 24 9 9 3 4 2 2 5" xfId="21449"/>
    <cellStyle name="Normal 24 9 9 3 4 2 2 6" xfId="21450"/>
    <cellStyle name="Normal 24 9 9 3 4 2 3" xfId="21451"/>
    <cellStyle name="Normal 24 9 9 3 4 2 3 2" xfId="21452"/>
    <cellStyle name="Normal 24 9 9 3 4 2 3 2 2" xfId="21453"/>
    <cellStyle name="Normal 24 9 9 3 4 2 3 2 3" xfId="21454"/>
    <cellStyle name="Normal 24 9 9 3 4 2 3 3" xfId="21455"/>
    <cellStyle name="Normal 24 9 9 3 4 2 3 4" xfId="21456"/>
    <cellStyle name="Normal 24 9 9 3 4 2 4" xfId="21457"/>
    <cellStyle name="Normal 24 9 9 3 4 2 4 2" xfId="21458"/>
    <cellStyle name="Normal 24 9 9 3 4 2 4 3" xfId="21459"/>
    <cellStyle name="Normal 24 9 9 3 4 2 5" xfId="21460"/>
    <cellStyle name="Normal 24 9 9 3 4 2 6" xfId="21461"/>
    <cellStyle name="Normal 24 9 9 3 4 3" xfId="21462"/>
    <cellStyle name="Normal 24 9 9 3 4 3 2" xfId="21463"/>
    <cellStyle name="Normal 24 9 9 3 4 3 2 2" xfId="21464"/>
    <cellStyle name="Normal 24 9 9 3 4 3 2 3" xfId="21465"/>
    <cellStyle name="Normal 24 9 9 3 4 3 3" xfId="21466"/>
    <cellStyle name="Normal 24 9 9 3 4 3 4" xfId="21467"/>
    <cellStyle name="Normal 24 9 9 3 4 4" xfId="21468"/>
    <cellStyle name="Normal 24 9 9 3 4 4 2" xfId="21469"/>
    <cellStyle name="Normal 24 9 9 3 4 4 3" xfId="21470"/>
    <cellStyle name="Normal 24 9 9 3 4 5" xfId="21471"/>
    <cellStyle name="Normal 24 9 9 3 4 6" xfId="21472"/>
    <cellStyle name="Normal 24 9 9 3 4 6 2" xfId="21473"/>
    <cellStyle name="Normal 24 9 9 3 4 6 2 2" xfId="21474"/>
    <cellStyle name="Normal 24 9 9 3 4 6 2 3" xfId="21475"/>
    <cellStyle name="Normal 24 9 9 3 4 6 3" xfId="21476"/>
    <cellStyle name="Normal 24 9 9 3 4 6 4" xfId="21477"/>
    <cellStyle name="Normal 24 9 9 3 4 7" xfId="21478"/>
    <cellStyle name="Normal 24 9 9 3 5" xfId="21479"/>
    <cellStyle name="Normal 24 9 9 3 5 2" xfId="21480"/>
    <cellStyle name="Normal 24 9 9 3 5 3" xfId="21481"/>
    <cellStyle name="Normal 24 9 9 3 6" xfId="21482"/>
    <cellStyle name="Normal 24 9 9 3 7" xfId="21483"/>
    <cellStyle name="Normal 24 9 9 4" xfId="21484"/>
    <cellStyle name="Normal 24 9 9 4 2" xfId="21485"/>
    <cellStyle name="Normal 24 9 9 4 2 2" xfId="21486"/>
    <cellStyle name="Normal 24 9 9 4 2 3" xfId="21487"/>
    <cellStyle name="Normal 24 9 9 4 3" xfId="21488"/>
    <cellStyle name="Normal 24 9 9 4 4" xfId="21489"/>
    <cellStyle name="Normal 24 9 9 5" xfId="21490"/>
    <cellStyle name="Normal 24 9 9 5 2" xfId="21491"/>
    <cellStyle name="Normal 24 9 9 5 2 2" xfId="21492"/>
    <cellStyle name="Normal 24 9 9 5 2 3" xfId="21493"/>
    <cellStyle name="Normal 24 9 9 5 3" xfId="21494"/>
    <cellStyle name="Normal 24 9 9 5 4" xfId="21495"/>
    <cellStyle name="Normal 24 9 9 6" xfId="21496"/>
    <cellStyle name="Normal 24 9 9 6 2" xfId="21497"/>
    <cellStyle name="Normal 24 9 9 6 2 2" xfId="21498"/>
    <cellStyle name="Normal 24 9 9 6 2 3" xfId="21499"/>
    <cellStyle name="Normal 24 9 9 6 3" xfId="21500"/>
    <cellStyle name="Normal 24 9 9 6 4" xfId="21501"/>
    <cellStyle name="Normal 24 9 9 7" xfId="21502"/>
    <cellStyle name="Normal 24 9 9 7 2" xfId="21503"/>
    <cellStyle name="Normal 24 9 9 7 3" xfId="21504"/>
    <cellStyle name="Normal 24 9 9 8" xfId="21505"/>
    <cellStyle name="Normal 24 9 9 9" xfId="21506"/>
    <cellStyle name="Normal 24_Sheet2" xfId="21507"/>
    <cellStyle name="Normal 25" xfId="21508"/>
    <cellStyle name="Normal 25 10" xfId="21509"/>
    <cellStyle name="Normal 25 10 2" xfId="21510"/>
    <cellStyle name="Normal 25 10 2 2" xfId="21511"/>
    <cellStyle name="Normal 25 10 2 3" xfId="21512"/>
    <cellStyle name="Normal 25 11" xfId="21513"/>
    <cellStyle name="Normal 25 12" xfId="21514"/>
    <cellStyle name="Normal 25 13" xfId="21515"/>
    <cellStyle name="Normal 25 14" xfId="21516"/>
    <cellStyle name="Normal 25 15" xfId="21517"/>
    <cellStyle name="Normal 25 16" xfId="21518"/>
    <cellStyle name="Normal 25 16 2" xfId="21519"/>
    <cellStyle name="Normal 25 16 3" xfId="21520"/>
    <cellStyle name="Normal 25 17" xfId="21521"/>
    <cellStyle name="Normal 25 17 2" xfId="21522"/>
    <cellStyle name="Normal 25 17 3" xfId="21523"/>
    <cellStyle name="Normal 25 18" xfId="21524"/>
    <cellStyle name="Normal 25 19" xfId="21525"/>
    <cellStyle name="Normal 25 2" xfId="21526"/>
    <cellStyle name="Normal 25 2 10" xfId="21527"/>
    <cellStyle name="Normal 25 2 11" xfId="21528"/>
    <cellStyle name="Normal 25 2 2" xfId="21529"/>
    <cellStyle name="Normal 25 2 2 10" xfId="21530"/>
    <cellStyle name="Normal 25 2 2 10 2" xfId="21531"/>
    <cellStyle name="Normal 25 2 2 10 3" xfId="21532"/>
    <cellStyle name="Normal 25 2 2 11" xfId="21533"/>
    <cellStyle name="Normal 25 2 2 12" xfId="21534"/>
    <cellStyle name="Normal 25 2 2 13" xfId="21535"/>
    <cellStyle name="Normal 25 2 2 2" xfId="21536"/>
    <cellStyle name="Normal 25 2 2 2 2" xfId="21537"/>
    <cellStyle name="Normal 25 2 2 3" xfId="21538"/>
    <cellStyle name="Normal 25 2 2 3 2" xfId="21539"/>
    <cellStyle name="Normal 25 2 2 3 2 2" xfId="21540"/>
    <cellStyle name="Normal 25 2 2 3 2 3" xfId="21541"/>
    <cellStyle name="Normal 25 2 2 3 3" xfId="21542"/>
    <cellStyle name="Normal 25 2 2 3 3 2" xfId="21543"/>
    <cellStyle name="Normal 25 2 2 3 3 3" xfId="21544"/>
    <cellStyle name="Normal 25 2 2 3 4" xfId="21545"/>
    <cellStyle name="Normal 25 2 2 3 5" xfId="21546"/>
    <cellStyle name="Normal 25 2 2 4" xfId="21547"/>
    <cellStyle name="Normal 25 2 2 4 2" xfId="21548"/>
    <cellStyle name="Normal 25 2 2 4 3" xfId="21549"/>
    <cellStyle name="Normal 25 2 2 5" xfId="21550"/>
    <cellStyle name="Normal 25 2 2 5 2" xfId="21551"/>
    <cellStyle name="Normal 25 2 2 5 3" xfId="21552"/>
    <cellStyle name="Normal 25 2 2 6" xfId="21553"/>
    <cellStyle name="Normal 25 2 2 6 2" xfId="21554"/>
    <cellStyle name="Normal 25 2 2 6 3" xfId="21555"/>
    <cellStyle name="Normal 25 2 2 7" xfId="21556"/>
    <cellStyle name="Normal 25 2 2 7 2" xfId="21557"/>
    <cellStyle name="Normal 25 2 2 7 3" xfId="21558"/>
    <cellStyle name="Normal 25 2 2 8" xfId="21559"/>
    <cellStyle name="Normal 25 2 2 8 2" xfId="21560"/>
    <cellStyle name="Normal 25 2 2 8 3" xfId="21561"/>
    <cellStyle name="Normal 25 2 2 9" xfId="21562"/>
    <cellStyle name="Normal 25 2 2 9 2" xfId="21563"/>
    <cellStyle name="Normal 25 2 2 9 3" xfId="21564"/>
    <cellStyle name="Normal 25 2 3" xfId="21565"/>
    <cellStyle name="Normal 25 2 4" xfId="21566"/>
    <cellStyle name="Normal 25 2 5" xfId="21567"/>
    <cellStyle name="Normal 25 2 6" xfId="21568"/>
    <cellStyle name="Normal 25 2 7" xfId="21569"/>
    <cellStyle name="Normal 25 2 8" xfId="21570"/>
    <cellStyle name="Normal 25 2 9" xfId="21571"/>
    <cellStyle name="Normal 25 20" xfId="21572"/>
    <cellStyle name="Normal 25 3" xfId="21573"/>
    <cellStyle name="Normal 25 3 10" xfId="21574"/>
    <cellStyle name="Normal 25 3 2" xfId="21575"/>
    <cellStyle name="Normal 25 3 2 10" xfId="21576"/>
    <cellStyle name="Normal 25 3 2 11" xfId="21577"/>
    <cellStyle name="Normal 25 3 2 12" xfId="21578"/>
    <cellStyle name="Normal 25 3 2 2" xfId="21579"/>
    <cellStyle name="Normal 25 3 2 2 2" xfId="21580"/>
    <cellStyle name="Normal 25 3 2 2 3" xfId="21581"/>
    <cellStyle name="Normal 25 3 2 3" xfId="21582"/>
    <cellStyle name="Normal 25 3 2 3 2" xfId="21583"/>
    <cellStyle name="Normal 25 3 2 3 3" xfId="21584"/>
    <cellStyle name="Normal 25 3 2 4" xfId="21585"/>
    <cellStyle name="Normal 25 3 2 4 2" xfId="21586"/>
    <cellStyle name="Normal 25 3 2 4 3" xfId="21587"/>
    <cellStyle name="Normal 25 3 2 5" xfId="21588"/>
    <cellStyle name="Normal 25 3 2 5 2" xfId="21589"/>
    <cellStyle name="Normal 25 3 2 5 3" xfId="21590"/>
    <cellStyle name="Normal 25 3 2 6" xfId="21591"/>
    <cellStyle name="Normal 25 3 2 6 2" xfId="21592"/>
    <cellStyle name="Normal 25 3 2 6 3" xfId="21593"/>
    <cellStyle name="Normal 25 3 2 7" xfId="21594"/>
    <cellStyle name="Normal 25 3 2 7 2" xfId="21595"/>
    <cellStyle name="Normal 25 3 2 7 3" xfId="21596"/>
    <cellStyle name="Normal 25 3 2 8" xfId="21597"/>
    <cellStyle name="Normal 25 3 2 8 2" xfId="21598"/>
    <cellStyle name="Normal 25 3 2 8 3" xfId="21599"/>
    <cellStyle name="Normal 25 3 2 9" xfId="21600"/>
    <cellStyle name="Normal 25 3 2 9 2" xfId="21601"/>
    <cellStyle name="Normal 25 3 2 9 3" xfId="21602"/>
    <cellStyle name="Normal 25 3 3" xfId="21603"/>
    <cellStyle name="Normal 25 3 4" xfId="21604"/>
    <cellStyle name="Normal 25 3 5" xfId="21605"/>
    <cellStyle name="Normal 25 3 6" xfId="21606"/>
    <cellStyle name="Normal 25 3 7" xfId="21607"/>
    <cellStyle name="Normal 25 3 8" xfId="21608"/>
    <cellStyle name="Normal 25 3 9" xfId="21609"/>
    <cellStyle name="Normal 25 4" xfId="21610"/>
    <cellStyle name="Normal 25 4 10" xfId="21611"/>
    <cellStyle name="Normal 25 4 10 2" xfId="21612"/>
    <cellStyle name="Normal 25 4 10 2 2" xfId="21613"/>
    <cellStyle name="Normal 25 4 10 2 3" xfId="21614"/>
    <cellStyle name="Normal 25 4 10 3" xfId="21615"/>
    <cellStyle name="Normal 25 4 10 4" xfId="21616"/>
    <cellStyle name="Normal 25 4 11" xfId="21617"/>
    <cellStyle name="Normal 25 4 11 2" xfId="21618"/>
    <cellStyle name="Normal 25 4 11 3" xfId="21619"/>
    <cellStyle name="Normal 25 4 12" xfId="21620"/>
    <cellStyle name="Normal 25 4 13" xfId="21621"/>
    <cellStyle name="Normal 25 4 14" xfId="21622"/>
    <cellStyle name="Normal 25 4 2" xfId="21623"/>
    <cellStyle name="Normal 25 4 2 2" xfId="21624"/>
    <cellStyle name="Normal 25 4 2 2 2" xfId="21625"/>
    <cellStyle name="Normal 25 4 2 2 3" xfId="21626"/>
    <cellStyle name="Normal 25 4 2 3" xfId="21627"/>
    <cellStyle name="Normal 25 4 2 4" xfId="21628"/>
    <cellStyle name="Normal 25 4 2 5" xfId="21629"/>
    <cellStyle name="Normal 25 4 3" xfId="21630"/>
    <cellStyle name="Normal 25 4 3 2" xfId="21631"/>
    <cellStyle name="Normal 25 4 3 2 2" xfId="21632"/>
    <cellStyle name="Normal 25 4 3 2 3" xfId="21633"/>
    <cellStyle name="Normal 25 4 3 3" xfId="21634"/>
    <cellStyle name="Normal 25 4 3 4" xfId="21635"/>
    <cellStyle name="Normal 25 4 4" xfId="21636"/>
    <cellStyle name="Normal 25 4 4 2" xfId="21637"/>
    <cellStyle name="Normal 25 4 4 2 2" xfId="21638"/>
    <cellStyle name="Normal 25 4 4 2 3" xfId="21639"/>
    <cellStyle name="Normal 25 4 4 3" xfId="21640"/>
    <cellStyle name="Normal 25 4 4 4" xfId="21641"/>
    <cellStyle name="Normal 25 4 5" xfId="21642"/>
    <cellStyle name="Normal 25 4 5 2" xfId="21643"/>
    <cellStyle name="Normal 25 4 5 2 2" xfId="21644"/>
    <cellStyle name="Normal 25 4 5 2 3" xfId="21645"/>
    <cellStyle name="Normal 25 4 5 3" xfId="21646"/>
    <cellStyle name="Normal 25 4 5 4" xfId="21647"/>
    <cellStyle name="Normal 25 4 6" xfId="21648"/>
    <cellStyle name="Normal 25 4 6 2" xfId="21649"/>
    <cellStyle name="Normal 25 4 6 2 2" xfId="21650"/>
    <cellStyle name="Normal 25 4 6 2 3" xfId="21651"/>
    <cellStyle name="Normal 25 4 6 3" xfId="21652"/>
    <cellStyle name="Normal 25 4 6 4" xfId="21653"/>
    <cellStyle name="Normal 25 4 7" xfId="21654"/>
    <cellStyle name="Normal 25 4 7 2" xfId="21655"/>
    <cellStyle name="Normal 25 4 7 2 2" xfId="21656"/>
    <cellStyle name="Normal 25 4 7 2 3" xfId="21657"/>
    <cellStyle name="Normal 25 4 7 3" xfId="21658"/>
    <cellStyle name="Normal 25 4 7 4" xfId="21659"/>
    <cellStyle name="Normal 25 4 8" xfId="21660"/>
    <cellStyle name="Normal 25 4 8 2" xfId="21661"/>
    <cellStyle name="Normal 25 4 8 2 2" xfId="21662"/>
    <cellStyle name="Normal 25 4 8 2 3" xfId="21663"/>
    <cellStyle name="Normal 25 4 8 3" xfId="21664"/>
    <cellStyle name="Normal 25 4 8 4" xfId="21665"/>
    <cellStyle name="Normal 25 4 9" xfId="21666"/>
    <cellStyle name="Normal 25 4 9 2" xfId="21667"/>
    <cellStyle name="Normal 25 4 9 2 2" xfId="21668"/>
    <cellStyle name="Normal 25 4 9 2 3" xfId="21669"/>
    <cellStyle name="Normal 25 4 9 3" xfId="21670"/>
    <cellStyle name="Normal 25 4 9 4" xfId="21671"/>
    <cellStyle name="Normal 25 5" xfId="21672"/>
    <cellStyle name="Normal 25 5 2" xfId="21673"/>
    <cellStyle name="Normal 25 5 2 2" xfId="21674"/>
    <cellStyle name="Normal 25 5 2 3" xfId="21675"/>
    <cellStyle name="Normal 25 6" xfId="21676"/>
    <cellStyle name="Normal 25 6 2" xfId="21677"/>
    <cellStyle name="Normal 25 6 2 2" xfId="21678"/>
    <cellStyle name="Normal 25 6 2 3" xfId="21679"/>
    <cellStyle name="Normal 25 7" xfId="21680"/>
    <cellStyle name="Normal 25 7 2" xfId="21681"/>
    <cellStyle name="Normal 25 7 2 2" xfId="21682"/>
    <cellStyle name="Normal 25 7 2 3" xfId="21683"/>
    <cellStyle name="Normal 25 8" xfId="21684"/>
    <cellStyle name="Normal 25 8 2" xfId="21685"/>
    <cellStyle name="Normal 25 8 2 2" xfId="21686"/>
    <cellStyle name="Normal 25 8 2 3" xfId="21687"/>
    <cellStyle name="Normal 25 9" xfId="21688"/>
    <cellStyle name="Normal 25 9 2" xfId="21689"/>
    <cellStyle name="Normal 25 9 2 2" xfId="21690"/>
    <cellStyle name="Normal 25 9 2 3" xfId="21691"/>
    <cellStyle name="Normal 25_AH Bhainsa Estimate" xfId="21692"/>
    <cellStyle name="Normal 26" xfId="21693"/>
    <cellStyle name="Normal 26 10" xfId="21694"/>
    <cellStyle name="Normal 26 10 2" xfId="21695"/>
    <cellStyle name="Normal 26 10 2 2" xfId="21696"/>
    <cellStyle name="Normal 26 10 2 3" xfId="21697"/>
    <cellStyle name="Normal 26 11" xfId="21698"/>
    <cellStyle name="Normal 26 12" xfId="21699"/>
    <cellStyle name="Normal 26 13" xfId="21700"/>
    <cellStyle name="Normal 26 14" xfId="21701"/>
    <cellStyle name="Normal 26 15" xfId="21702"/>
    <cellStyle name="Normal 26 16" xfId="21703"/>
    <cellStyle name="Normal 26 16 2" xfId="21704"/>
    <cellStyle name="Normal 26 16 3" xfId="21705"/>
    <cellStyle name="Normal 26 17" xfId="21706"/>
    <cellStyle name="Normal 26 17 2" xfId="21707"/>
    <cellStyle name="Normal 26 17 3" xfId="21708"/>
    <cellStyle name="Normal 26 18" xfId="21709"/>
    <cellStyle name="Normal 26 19" xfId="21710"/>
    <cellStyle name="Normal 26 2" xfId="21711"/>
    <cellStyle name="Normal 26 2 10" xfId="21712"/>
    <cellStyle name="Normal 26 2 11" xfId="21713"/>
    <cellStyle name="Normal 26 2 2" xfId="21714"/>
    <cellStyle name="Normal 26 2 2 10" xfId="21715"/>
    <cellStyle name="Normal 26 2 2 11" xfId="21716"/>
    <cellStyle name="Normal 26 2 2 11 2" xfId="21717"/>
    <cellStyle name="Normal 26 2 2 11 3" xfId="21718"/>
    <cellStyle name="Normal 26 2 2 12" xfId="21719"/>
    <cellStyle name="Normal 26 2 2 12 2" xfId="21720"/>
    <cellStyle name="Normal 26 2 2 12 3" xfId="21721"/>
    <cellStyle name="Normal 26 2 2 13" xfId="21722"/>
    <cellStyle name="Normal 26 2 2 14" xfId="21723"/>
    <cellStyle name="Normal 26 2 2 15" xfId="21724"/>
    <cellStyle name="Normal 26 2 2 2" xfId="21725"/>
    <cellStyle name="Normal 26 2 2 2 2" xfId="21726"/>
    <cellStyle name="Normal 26 2 2 3" xfId="21727"/>
    <cellStyle name="Normal 26 2 2 3 2" xfId="21728"/>
    <cellStyle name="Normal 26 2 2 3 2 2" xfId="21729"/>
    <cellStyle name="Normal 26 2 2 3 2 3" xfId="21730"/>
    <cellStyle name="Normal 26 2 2 3 2 4" xfId="21731"/>
    <cellStyle name="Normal 26 2 2 3 2 5" xfId="21732"/>
    <cellStyle name="Normal 26 2 2 3 3" xfId="21733"/>
    <cellStyle name="Normal 26 2 2 3 4" xfId="21734"/>
    <cellStyle name="Normal 26 2 2 3 5" xfId="21735"/>
    <cellStyle name="Normal 26 2 2 4" xfId="21736"/>
    <cellStyle name="Normal 26 2 2 4 2" xfId="21737"/>
    <cellStyle name="Normal 26 2 2 4 2 2" xfId="21738"/>
    <cellStyle name="Normal 26 2 2 4 2 3" xfId="21739"/>
    <cellStyle name="Normal 26 2 2 5" xfId="21740"/>
    <cellStyle name="Normal 26 2 2 5 2" xfId="21741"/>
    <cellStyle name="Normal 26 2 2 5 2 2" xfId="21742"/>
    <cellStyle name="Normal 26 2 2 5 2 3" xfId="21743"/>
    <cellStyle name="Normal 26 2 2 6" xfId="21744"/>
    <cellStyle name="Normal 26 2 2 6 2" xfId="21745"/>
    <cellStyle name="Normal 26 2 2 6 2 2" xfId="21746"/>
    <cellStyle name="Normal 26 2 2 6 2 3" xfId="21747"/>
    <cellStyle name="Normal 26 2 2 7" xfId="21748"/>
    <cellStyle name="Normal 26 2 2 7 2" xfId="21749"/>
    <cellStyle name="Normal 26 2 2 7 2 2" xfId="21750"/>
    <cellStyle name="Normal 26 2 2 7 2 3" xfId="21751"/>
    <cellStyle name="Normal 26 2 2 8" xfId="21752"/>
    <cellStyle name="Normal 26 2 2 8 2" xfId="21753"/>
    <cellStyle name="Normal 26 2 2 8 2 2" xfId="21754"/>
    <cellStyle name="Normal 26 2 2 8 2 3" xfId="21755"/>
    <cellStyle name="Normal 26 2 2 9" xfId="21756"/>
    <cellStyle name="Normal 26 2 2 9 2" xfId="21757"/>
    <cellStyle name="Normal 26 2 2 9 2 2" xfId="21758"/>
    <cellStyle name="Normal 26 2 2 9 2 3" xfId="21759"/>
    <cellStyle name="Normal 26 2 3" xfId="21760"/>
    <cellStyle name="Normal 26 2 3 2" xfId="21761"/>
    <cellStyle name="Normal 26 2 3 3" xfId="21762"/>
    <cellStyle name="Normal 26 2 4" xfId="21763"/>
    <cellStyle name="Normal 26 2 4 2" xfId="21764"/>
    <cellStyle name="Normal 26 2 4 2 2" xfId="21765"/>
    <cellStyle name="Normal 26 2 4 2 3" xfId="21766"/>
    <cellStyle name="Normal 26 2 4 2 4" xfId="21767"/>
    <cellStyle name="Normal 26 2 4 2 5" xfId="21768"/>
    <cellStyle name="Normal 26 2 5" xfId="21769"/>
    <cellStyle name="Normal 26 2 5 2" xfId="21770"/>
    <cellStyle name="Normal 26 2 6" xfId="21771"/>
    <cellStyle name="Normal 26 2 7" xfId="21772"/>
    <cellStyle name="Normal 26 2 8" xfId="21773"/>
    <cellStyle name="Normal 26 2 9" xfId="21774"/>
    <cellStyle name="Normal 26 20" xfId="21775"/>
    <cellStyle name="Normal 26 3" xfId="21776"/>
    <cellStyle name="Normal 26 3 10" xfId="21777"/>
    <cellStyle name="Normal 26 3 2" xfId="21778"/>
    <cellStyle name="Normal 26 3 2 10" xfId="21779"/>
    <cellStyle name="Normal 26 3 2 11" xfId="21780"/>
    <cellStyle name="Normal 26 3 2 12" xfId="21781"/>
    <cellStyle name="Normal 26 3 2 2" xfId="21782"/>
    <cellStyle name="Normal 26 3 2 2 2" xfId="21783"/>
    <cellStyle name="Normal 26 3 2 2 3" xfId="21784"/>
    <cellStyle name="Normal 26 3 2 3" xfId="21785"/>
    <cellStyle name="Normal 26 3 2 3 2" xfId="21786"/>
    <cellStyle name="Normal 26 3 2 3 3" xfId="21787"/>
    <cellStyle name="Normal 26 3 2 4" xfId="21788"/>
    <cellStyle name="Normal 26 3 2 4 2" xfId="21789"/>
    <cellStyle name="Normal 26 3 2 4 3" xfId="21790"/>
    <cellStyle name="Normal 26 3 2 5" xfId="21791"/>
    <cellStyle name="Normal 26 3 2 5 2" xfId="21792"/>
    <cellStyle name="Normal 26 3 2 5 3" xfId="21793"/>
    <cellStyle name="Normal 26 3 2 6" xfId="21794"/>
    <cellStyle name="Normal 26 3 2 6 2" xfId="21795"/>
    <cellStyle name="Normal 26 3 2 6 3" xfId="21796"/>
    <cellStyle name="Normal 26 3 2 7" xfId="21797"/>
    <cellStyle name="Normal 26 3 2 7 2" xfId="21798"/>
    <cellStyle name="Normal 26 3 2 7 3" xfId="21799"/>
    <cellStyle name="Normal 26 3 2 8" xfId="21800"/>
    <cellStyle name="Normal 26 3 2 8 2" xfId="21801"/>
    <cellStyle name="Normal 26 3 2 8 3" xfId="21802"/>
    <cellStyle name="Normal 26 3 2 9" xfId="21803"/>
    <cellStyle name="Normal 26 3 2 9 2" xfId="21804"/>
    <cellStyle name="Normal 26 3 2 9 3" xfId="21805"/>
    <cellStyle name="Normal 26 3 3" xfId="21806"/>
    <cellStyle name="Normal 26 3 4" xfId="21807"/>
    <cellStyle name="Normal 26 3 5" xfId="21808"/>
    <cellStyle name="Normal 26 3 6" xfId="21809"/>
    <cellStyle name="Normal 26 3 7" xfId="21810"/>
    <cellStyle name="Normal 26 3 8" xfId="21811"/>
    <cellStyle name="Normal 26 3 9" xfId="21812"/>
    <cellStyle name="Normal 26 4" xfId="21813"/>
    <cellStyle name="Normal 26 4 2" xfId="21814"/>
    <cellStyle name="Normal 26 4 2 2" xfId="21815"/>
    <cellStyle name="Normal 26 4 2 3" xfId="21816"/>
    <cellStyle name="Normal 26 4 2 4" xfId="21817"/>
    <cellStyle name="Normal 26 4 2 5" xfId="21818"/>
    <cellStyle name="Normal 26 4 3" xfId="21819"/>
    <cellStyle name="Normal 26 4 3 2" xfId="21820"/>
    <cellStyle name="Normal 26 4 3 3" xfId="21821"/>
    <cellStyle name="Normal 26 4 4" xfId="21822"/>
    <cellStyle name="Normal 26 4 5" xfId="21823"/>
    <cellStyle name="Normal 26 4 6" xfId="21824"/>
    <cellStyle name="Normal 26 5" xfId="21825"/>
    <cellStyle name="Normal 26 5 2" xfId="21826"/>
    <cellStyle name="Normal 26 5 2 2" xfId="21827"/>
    <cellStyle name="Normal 26 5 2 3" xfId="21828"/>
    <cellStyle name="Normal 26 6" xfId="21829"/>
    <cellStyle name="Normal 26 6 2" xfId="21830"/>
    <cellStyle name="Normal 26 6 2 2" xfId="21831"/>
    <cellStyle name="Normal 26 6 2 3" xfId="21832"/>
    <cellStyle name="Normal 26 7" xfId="21833"/>
    <cellStyle name="Normal 26 7 2" xfId="21834"/>
    <cellStyle name="Normal 26 7 2 2" xfId="21835"/>
    <cellStyle name="Normal 26 7 2 3" xfId="21836"/>
    <cellStyle name="Normal 26 8" xfId="21837"/>
    <cellStyle name="Normal 26 8 2" xfId="21838"/>
    <cellStyle name="Normal 26 8 2 2" xfId="21839"/>
    <cellStyle name="Normal 26 8 2 3" xfId="21840"/>
    <cellStyle name="Normal 26 9" xfId="21841"/>
    <cellStyle name="Normal 26 9 2" xfId="21842"/>
    <cellStyle name="Normal 26 9 2 2" xfId="21843"/>
    <cellStyle name="Normal 26 9 2 3" xfId="21844"/>
    <cellStyle name="Normal 26_AH Bhainsa Estimate" xfId="21845"/>
    <cellStyle name="Normal 27" xfId="21846"/>
    <cellStyle name="Normal 27 10" xfId="21847"/>
    <cellStyle name="Normal 27 10 2" xfId="21848"/>
    <cellStyle name="Normal 27 10 2 2" xfId="21849"/>
    <cellStyle name="Normal 27 10 2 3" xfId="21850"/>
    <cellStyle name="Normal 27 11" xfId="21851"/>
    <cellStyle name="Normal 27 12" xfId="21852"/>
    <cellStyle name="Normal 27 13" xfId="21853"/>
    <cellStyle name="Normal 27 14" xfId="21854"/>
    <cellStyle name="Normal 27 14 2" xfId="21855"/>
    <cellStyle name="Normal 27 14 3" xfId="21856"/>
    <cellStyle name="Normal 27 15" xfId="21857"/>
    <cellStyle name="Normal 27 15 2" xfId="21858"/>
    <cellStyle name="Normal 27 15 3" xfId="21859"/>
    <cellStyle name="Normal 27 16" xfId="21860"/>
    <cellStyle name="Normal 27 17" xfId="21861"/>
    <cellStyle name="Normal 27 18" xfId="21862"/>
    <cellStyle name="Normal 27 2" xfId="21863"/>
    <cellStyle name="Normal 27 2 10" xfId="21864"/>
    <cellStyle name="Normal 27 2 11" xfId="21865"/>
    <cellStyle name="Normal 27 2 2" xfId="21866"/>
    <cellStyle name="Normal 27 2 2 10" xfId="21867"/>
    <cellStyle name="Normal 27 2 2 10 2" xfId="21868"/>
    <cellStyle name="Normal 27 2 2 10 3" xfId="21869"/>
    <cellStyle name="Normal 27 2 2 11" xfId="21870"/>
    <cellStyle name="Normal 27 2 2 12" xfId="21871"/>
    <cellStyle name="Normal 27 2 2 13" xfId="21872"/>
    <cellStyle name="Normal 27 2 2 2" xfId="21873"/>
    <cellStyle name="Normal 27 2 2 2 2" xfId="21874"/>
    <cellStyle name="Normal 27 2 2 2 3" xfId="21875"/>
    <cellStyle name="Normal 27 2 2 3" xfId="21876"/>
    <cellStyle name="Normal 27 2 2 3 2" xfId="21877"/>
    <cellStyle name="Normal 27 2 2 3 2 2" xfId="21878"/>
    <cellStyle name="Normal 27 2 2 3 2 3" xfId="21879"/>
    <cellStyle name="Normal 27 2 2 3 3" xfId="21880"/>
    <cellStyle name="Normal 27 2 2 3 3 2" xfId="21881"/>
    <cellStyle name="Normal 27 2 2 3 3 3" xfId="21882"/>
    <cellStyle name="Normal 27 2 2 3 4" xfId="21883"/>
    <cellStyle name="Normal 27 2 2 3 5" xfId="21884"/>
    <cellStyle name="Normal 27 2 2 4" xfId="21885"/>
    <cellStyle name="Normal 27 2 2 4 2" xfId="21886"/>
    <cellStyle name="Normal 27 2 2 4 3" xfId="21887"/>
    <cellStyle name="Normal 27 2 2 5" xfId="21888"/>
    <cellStyle name="Normal 27 2 2 5 2" xfId="21889"/>
    <cellStyle name="Normal 27 2 2 5 3" xfId="21890"/>
    <cellStyle name="Normal 27 2 2 6" xfId="21891"/>
    <cellStyle name="Normal 27 2 2 6 2" xfId="21892"/>
    <cellStyle name="Normal 27 2 2 6 3" xfId="21893"/>
    <cellStyle name="Normal 27 2 2 7" xfId="21894"/>
    <cellStyle name="Normal 27 2 2 7 2" xfId="21895"/>
    <cellStyle name="Normal 27 2 2 7 3" xfId="21896"/>
    <cellStyle name="Normal 27 2 2 8" xfId="21897"/>
    <cellStyle name="Normal 27 2 2 8 2" xfId="21898"/>
    <cellStyle name="Normal 27 2 2 8 3" xfId="21899"/>
    <cellStyle name="Normal 27 2 2 9" xfId="21900"/>
    <cellStyle name="Normal 27 2 2 9 2" xfId="21901"/>
    <cellStyle name="Normal 27 2 2 9 3" xfId="21902"/>
    <cellStyle name="Normal 27 2 3" xfId="21903"/>
    <cellStyle name="Normal 27 2 4" xfId="21904"/>
    <cellStyle name="Normal 27 2 5" xfId="21905"/>
    <cellStyle name="Normal 27 2 6" xfId="21906"/>
    <cellStyle name="Normal 27 2 7" xfId="21907"/>
    <cellStyle name="Normal 27 2 8" xfId="21908"/>
    <cellStyle name="Normal 27 2 9" xfId="21909"/>
    <cellStyle name="Normal 27 3" xfId="21910"/>
    <cellStyle name="Normal 27 3 10" xfId="21911"/>
    <cellStyle name="Normal 27 3 2" xfId="21912"/>
    <cellStyle name="Normal 27 3 2 10" xfId="21913"/>
    <cellStyle name="Normal 27 3 2 11" xfId="21914"/>
    <cellStyle name="Normal 27 3 2 12" xfId="21915"/>
    <cellStyle name="Normal 27 3 2 2" xfId="21916"/>
    <cellStyle name="Normal 27 3 2 2 2" xfId="21917"/>
    <cellStyle name="Normal 27 3 2 2 3" xfId="21918"/>
    <cellStyle name="Normal 27 3 2 3" xfId="21919"/>
    <cellStyle name="Normal 27 3 2 3 2" xfId="21920"/>
    <cellStyle name="Normal 27 3 2 3 3" xfId="21921"/>
    <cellStyle name="Normal 27 3 2 4" xfId="21922"/>
    <cellStyle name="Normal 27 3 2 4 2" xfId="21923"/>
    <cellStyle name="Normal 27 3 2 4 3" xfId="21924"/>
    <cellStyle name="Normal 27 3 2 5" xfId="21925"/>
    <cellStyle name="Normal 27 3 2 5 2" xfId="21926"/>
    <cellStyle name="Normal 27 3 2 5 3" xfId="21927"/>
    <cellStyle name="Normal 27 3 2 6" xfId="21928"/>
    <cellStyle name="Normal 27 3 2 6 2" xfId="21929"/>
    <cellStyle name="Normal 27 3 2 6 3" xfId="21930"/>
    <cellStyle name="Normal 27 3 2 7" xfId="21931"/>
    <cellStyle name="Normal 27 3 2 7 2" xfId="21932"/>
    <cellStyle name="Normal 27 3 2 7 3" xfId="21933"/>
    <cellStyle name="Normal 27 3 2 8" xfId="21934"/>
    <cellStyle name="Normal 27 3 2 8 2" xfId="21935"/>
    <cellStyle name="Normal 27 3 2 8 3" xfId="21936"/>
    <cellStyle name="Normal 27 3 2 9" xfId="21937"/>
    <cellStyle name="Normal 27 3 2 9 2" xfId="21938"/>
    <cellStyle name="Normal 27 3 2 9 3" xfId="21939"/>
    <cellStyle name="Normal 27 3 3" xfId="21940"/>
    <cellStyle name="Normal 27 3 4" xfId="21941"/>
    <cellStyle name="Normal 27 3 5" xfId="21942"/>
    <cellStyle name="Normal 27 3 6" xfId="21943"/>
    <cellStyle name="Normal 27 3 7" xfId="21944"/>
    <cellStyle name="Normal 27 3 8" xfId="21945"/>
    <cellStyle name="Normal 27 3 9" xfId="21946"/>
    <cellStyle name="Normal 27 4" xfId="21947"/>
    <cellStyle name="Normal 27 4 2" xfId="21948"/>
    <cellStyle name="Normal 27 4 2 2" xfId="21949"/>
    <cellStyle name="Normal 27 4 2 3" xfId="21950"/>
    <cellStyle name="Normal 27 4 2 4" xfId="21951"/>
    <cellStyle name="Normal 27 4 2 5" xfId="21952"/>
    <cellStyle name="Normal 27 4 3" xfId="21953"/>
    <cellStyle name="Normal 27 4 3 2" xfId="21954"/>
    <cellStyle name="Normal 27 4 3 3" xfId="21955"/>
    <cellStyle name="Normal 27 4 4" xfId="21956"/>
    <cellStyle name="Normal 27 4 5" xfId="21957"/>
    <cellStyle name="Normal 27 4 6" xfId="21958"/>
    <cellStyle name="Normal 27 5" xfId="21959"/>
    <cellStyle name="Normal 27 5 2" xfId="21960"/>
    <cellStyle name="Normal 27 5 2 2" xfId="21961"/>
    <cellStyle name="Normal 27 5 2 3" xfId="21962"/>
    <cellStyle name="Normal 27 6" xfId="21963"/>
    <cellStyle name="Normal 27 6 2" xfId="21964"/>
    <cellStyle name="Normal 27 6 2 2" xfId="21965"/>
    <cellStyle name="Normal 27 6 2 3" xfId="21966"/>
    <cellStyle name="Normal 27 7" xfId="21967"/>
    <cellStyle name="Normal 27 7 2" xfId="21968"/>
    <cellStyle name="Normal 27 7 2 2" xfId="21969"/>
    <cellStyle name="Normal 27 7 2 3" xfId="21970"/>
    <cellStyle name="Normal 27 8" xfId="21971"/>
    <cellStyle name="Normal 27 8 2" xfId="21972"/>
    <cellStyle name="Normal 27 8 2 2" xfId="21973"/>
    <cellStyle name="Normal 27 8 2 3" xfId="21974"/>
    <cellStyle name="Normal 27 9" xfId="21975"/>
    <cellStyle name="Normal 27 9 2" xfId="21976"/>
    <cellStyle name="Normal 27 9 2 2" xfId="21977"/>
    <cellStyle name="Normal 27 9 2 3" xfId="21978"/>
    <cellStyle name="Normal 27_AH Bhainsa Estimate" xfId="21979"/>
    <cellStyle name="Normal 28" xfId="21980"/>
    <cellStyle name="Normal 28 10" xfId="21981"/>
    <cellStyle name="Normal 28 10 2" xfId="21982"/>
    <cellStyle name="Normal 28 10 2 2" xfId="21983"/>
    <cellStyle name="Normal 28 10 2 3" xfId="21984"/>
    <cellStyle name="Normal 28 11" xfId="21985"/>
    <cellStyle name="Normal 28 11 2" xfId="21986"/>
    <cellStyle name="Normal 28 11 2 2" xfId="21987"/>
    <cellStyle name="Normal 28 11 2 3" xfId="21988"/>
    <cellStyle name="Normal 28 12" xfId="21989"/>
    <cellStyle name="Normal 28 12 2" xfId="21990"/>
    <cellStyle name="Normal 28 12 3" xfId="21991"/>
    <cellStyle name="Normal 28 13" xfId="21992"/>
    <cellStyle name="Normal 28 13 2" xfId="21993"/>
    <cellStyle name="Normal 28 13 3" xfId="21994"/>
    <cellStyle name="Normal 28 14" xfId="21995"/>
    <cellStyle name="Normal 28 15" xfId="21996"/>
    <cellStyle name="Normal 28 16" xfId="21997"/>
    <cellStyle name="Normal 28 2" xfId="21998"/>
    <cellStyle name="Normal 28 2 2" xfId="21999"/>
    <cellStyle name="Normal 28 2 2 10" xfId="22000"/>
    <cellStyle name="Normal 28 2 2 10 2" xfId="22001"/>
    <cellStyle name="Normal 28 2 2 10 3" xfId="22002"/>
    <cellStyle name="Normal 28 2 2 11" xfId="22003"/>
    <cellStyle name="Normal 28 2 2 12" xfId="22004"/>
    <cellStyle name="Normal 28 2 2 13" xfId="22005"/>
    <cellStyle name="Normal 28 2 2 2" xfId="22006"/>
    <cellStyle name="Normal 28 2 2 2 2" xfId="22007"/>
    <cellStyle name="Normal 28 2 2 2 2 2" xfId="22008"/>
    <cellStyle name="Normal 28 2 2 2 2 2 2" xfId="22009"/>
    <cellStyle name="Normal 28 2 2 2 2 2 3" xfId="22010"/>
    <cellStyle name="Normal 28 2 2 2 2 3" xfId="22011"/>
    <cellStyle name="Normal 28 2 2 2 2 4" xfId="22012"/>
    <cellStyle name="Normal 28 2 2 2 3" xfId="22013"/>
    <cellStyle name="Normal 28 2 2 2 3 2" xfId="22014"/>
    <cellStyle name="Normal 28 2 2 2 3 2 2" xfId="22015"/>
    <cellStyle name="Normal 28 2 2 2 3 2 3" xfId="22016"/>
    <cellStyle name="Normal 28 2 2 2 3 3" xfId="22017"/>
    <cellStyle name="Normal 28 2 2 2 3 4" xfId="22018"/>
    <cellStyle name="Normal 28 2 2 2 4" xfId="22019"/>
    <cellStyle name="Normal 28 2 2 2 4 2" xfId="22020"/>
    <cellStyle name="Normal 28 2 2 2 4 2 2" xfId="22021"/>
    <cellStyle name="Normal 28 2 2 2 4 2 3" xfId="22022"/>
    <cellStyle name="Normal 28 2 2 2 4 3" xfId="22023"/>
    <cellStyle name="Normal 28 2 2 2 4 4" xfId="22024"/>
    <cellStyle name="Normal 28 2 2 2 5" xfId="22025"/>
    <cellStyle name="Normal 28 2 2 2 5 2" xfId="22026"/>
    <cellStyle name="Normal 28 2 2 2 5 2 2" xfId="22027"/>
    <cellStyle name="Normal 28 2 2 2 5 2 3" xfId="22028"/>
    <cellStyle name="Normal 28 2 2 2 5 3" xfId="22029"/>
    <cellStyle name="Normal 28 2 2 2 5 4" xfId="22030"/>
    <cellStyle name="Normal 28 2 2 2 6" xfId="22031"/>
    <cellStyle name="Normal 28 2 2 2 6 2" xfId="22032"/>
    <cellStyle name="Normal 28 2 2 2 6 2 2" xfId="22033"/>
    <cellStyle name="Normal 28 2 2 2 6 2 3" xfId="22034"/>
    <cellStyle name="Normal 28 2 2 2 6 3" xfId="22035"/>
    <cellStyle name="Normal 28 2 2 2 6 4" xfId="22036"/>
    <cellStyle name="Normal 28 2 2 2 7" xfId="22037"/>
    <cellStyle name="Normal 28 2 2 2 7 2" xfId="22038"/>
    <cellStyle name="Normal 28 2 2 2 7 2 2" xfId="22039"/>
    <cellStyle name="Normal 28 2 2 2 7 2 3" xfId="22040"/>
    <cellStyle name="Normal 28 2 2 2 7 3" xfId="22041"/>
    <cellStyle name="Normal 28 2 2 2 7 4" xfId="22042"/>
    <cellStyle name="Normal 28 2 2 2 8" xfId="22043"/>
    <cellStyle name="Normal 28 2 2 2 8 2" xfId="22044"/>
    <cellStyle name="Normal 28 2 2 2 8 2 2" xfId="22045"/>
    <cellStyle name="Normal 28 2 2 2 8 2 3" xfId="22046"/>
    <cellStyle name="Normal 28 2 2 2 8 3" xfId="22047"/>
    <cellStyle name="Normal 28 2 2 2 8 4" xfId="22048"/>
    <cellStyle name="Normal 28 2 2 2 9" xfId="22049"/>
    <cellStyle name="Normal 28 2 2 2 9 2" xfId="22050"/>
    <cellStyle name="Normal 28 2 2 2 9 2 2" xfId="22051"/>
    <cellStyle name="Normal 28 2 2 2 9 2 3" xfId="22052"/>
    <cellStyle name="Normal 28 2 2 2 9 3" xfId="22053"/>
    <cellStyle name="Normal 28 2 2 2 9 4" xfId="22054"/>
    <cellStyle name="Normal 28 2 2 3" xfId="22055"/>
    <cellStyle name="Normal 28 2 2 3 2" xfId="22056"/>
    <cellStyle name="Normal 28 2 2 3 3" xfId="22057"/>
    <cellStyle name="Normal 28 2 2 4" xfId="22058"/>
    <cellStyle name="Normal 28 2 2 4 2" xfId="22059"/>
    <cellStyle name="Normal 28 2 2 4 3" xfId="22060"/>
    <cellStyle name="Normal 28 2 2 5" xfId="22061"/>
    <cellStyle name="Normal 28 2 2 5 2" xfId="22062"/>
    <cellStyle name="Normal 28 2 2 5 3" xfId="22063"/>
    <cellStyle name="Normal 28 2 2 6" xfId="22064"/>
    <cellStyle name="Normal 28 2 2 6 2" xfId="22065"/>
    <cellStyle name="Normal 28 2 2 6 3" xfId="22066"/>
    <cellStyle name="Normal 28 2 2 7" xfId="22067"/>
    <cellStyle name="Normal 28 2 2 7 2" xfId="22068"/>
    <cellStyle name="Normal 28 2 2 7 3" xfId="22069"/>
    <cellStyle name="Normal 28 2 2 8" xfId="22070"/>
    <cellStyle name="Normal 28 2 2 8 2" xfId="22071"/>
    <cellStyle name="Normal 28 2 2 8 3" xfId="22072"/>
    <cellStyle name="Normal 28 2 2 9" xfId="22073"/>
    <cellStyle name="Normal 28 2 2 9 2" xfId="22074"/>
    <cellStyle name="Normal 28 2 2 9 3" xfId="22075"/>
    <cellStyle name="Normal 28 2 3" xfId="22076"/>
    <cellStyle name="Normal 28 2 4" xfId="22077"/>
    <cellStyle name="Normal 28 3" xfId="22078"/>
    <cellStyle name="Normal 28 3 2" xfId="22079"/>
    <cellStyle name="Normal 28 3 2 10" xfId="22080"/>
    <cellStyle name="Normal 28 3 2 11" xfId="22081"/>
    <cellStyle name="Normal 28 3 2 12" xfId="22082"/>
    <cellStyle name="Normal 28 3 2 2" xfId="22083"/>
    <cellStyle name="Normal 28 3 2 2 2" xfId="22084"/>
    <cellStyle name="Normal 28 3 2 2 3" xfId="22085"/>
    <cellStyle name="Normal 28 3 2 3" xfId="22086"/>
    <cellStyle name="Normal 28 3 2 3 2" xfId="22087"/>
    <cellStyle name="Normal 28 3 2 3 3" xfId="22088"/>
    <cellStyle name="Normal 28 3 2 4" xfId="22089"/>
    <cellStyle name="Normal 28 3 2 4 2" xfId="22090"/>
    <cellStyle name="Normal 28 3 2 4 3" xfId="22091"/>
    <cellStyle name="Normal 28 3 2 5" xfId="22092"/>
    <cellStyle name="Normal 28 3 2 5 2" xfId="22093"/>
    <cellStyle name="Normal 28 3 2 5 3" xfId="22094"/>
    <cellStyle name="Normal 28 3 2 6" xfId="22095"/>
    <cellStyle name="Normal 28 3 2 6 2" xfId="22096"/>
    <cellStyle name="Normal 28 3 2 6 3" xfId="22097"/>
    <cellStyle name="Normal 28 3 2 7" xfId="22098"/>
    <cellStyle name="Normal 28 3 2 7 2" xfId="22099"/>
    <cellStyle name="Normal 28 3 2 7 3" xfId="22100"/>
    <cellStyle name="Normal 28 3 2 8" xfId="22101"/>
    <cellStyle name="Normal 28 3 2 8 2" xfId="22102"/>
    <cellStyle name="Normal 28 3 2 8 3" xfId="22103"/>
    <cellStyle name="Normal 28 3 2 9" xfId="22104"/>
    <cellStyle name="Normal 28 3 2 9 2" xfId="22105"/>
    <cellStyle name="Normal 28 3 2 9 3" xfId="22106"/>
    <cellStyle name="Normal 28 3 3" xfId="22107"/>
    <cellStyle name="Normal 28 4" xfId="22108"/>
    <cellStyle name="Normal 28 4 10" xfId="22109"/>
    <cellStyle name="Normal 28 4 11" xfId="22110"/>
    <cellStyle name="Normal 28 4 12" xfId="22111"/>
    <cellStyle name="Normal 28 4 2" xfId="22112"/>
    <cellStyle name="Normal 28 4 2 2" xfId="22113"/>
    <cellStyle name="Normal 28 4 2 2 2" xfId="22114"/>
    <cellStyle name="Normal 28 4 2 2 3" xfId="22115"/>
    <cellStyle name="Normal 28 4 2 3" xfId="22116"/>
    <cellStyle name="Normal 28 4 2 3 2" xfId="22117"/>
    <cellStyle name="Normal 28 4 2 3 3" xfId="22118"/>
    <cellStyle name="Normal 28 4 2 4" xfId="22119"/>
    <cellStyle name="Normal 28 4 2 5" xfId="22120"/>
    <cellStyle name="Normal 28 4 3" xfId="22121"/>
    <cellStyle name="Normal 28 4 3 2" xfId="22122"/>
    <cellStyle name="Normal 28 4 3 3" xfId="22123"/>
    <cellStyle name="Normal 28 4 4" xfId="22124"/>
    <cellStyle name="Normal 28 4 4 2" xfId="22125"/>
    <cellStyle name="Normal 28 4 4 3" xfId="22126"/>
    <cellStyle name="Normal 28 4 5" xfId="22127"/>
    <cellStyle name="Normal 28 4 5 2" xfId="22128"/>
    <cellStyle name="Normal 28 4 5 3" xfId="22129"/>
    <cellStyle name="Normal 28 4 6" xfId="22130"/>
    <cellStyle name="Normal 28 4 6 2" xfId="22131"/>
    <cellStyle name="Normal 28 4 6 3" xfId="22132"/>
    <cellStyle name="Normal 28 4 7" xfId="22133"/>
    <cellStyle name="Normal 28 4 7 2" xfId="22134"/>
    <cellStyle name="Normal 28 4 7 3" xfId="22135"/>
    <cellStyle name="Normal 28 4 8" xfId="22136"/>
    <cellStyle name="Normal 28 4 8 2" xfId="22137"/>
    <cellStyle name="Normal 28 4 8 3" xfId="22138"/>
    <cellStyle name="Normal 28 4 9" xfId="22139"/>
    <cellStyle name="Normal 28 4 9 2" xfId="22140"/>
    <cellStyle name="Normal 28 4 9 3" xfId="22141"/>
    <cellStyle name="Normal 28 5" xfId="22142"/>
    <cellStyle name="Normal 28 5 2" xfId="22143"/>
    <cellStyle name="Normal 28 5 2 2" xfId="22144"/>
    <cellStyle name="Normal 28 5 2 3" xfId="22145"/>
    <cellStyle name="Normal 28 5 2 4" xfId="22146"/>
    <cellStyle name="Normal 28 5 2 5" xfId="22147"/>
    <cellStyle name="Normal 28 5 3" xfId="22148"/>
    <cellStyle name="Normal 28 5 4" xfId="22149"/>
    <cellStyle name="Normal 28 5 5" xfId="22150"/>
    <cellStyle name="Normal 28 6" xfId="22151"/>
    <cellStyle name="Normal 28 6 2" xfId="22152"/>
    <cellStyle name="Normal 28 6 2 2" xfId="22153"/>
    <cellStyle name="Normal 28 6 2 3" xfId="22154"/>
    <cellStyle name="Normal 28 7" xfId="22155"/>
    <cellStyle name="Normal 28 7 2" xfId="22156"/>
    <cellStyle name="Normal 28 7 2 2" xfId="22157"/>
    <cellStyle name="Normal 28 7 2 3" xfId="22158"/>
    <cellStyle name="Normal 28 8" xfId="22159"/>
    <cellStyle name="Normal 28 8 2" xfId="22160"/>
    <cellStyle name="Normal 28 8 2 2" xfId="22161"/>
    <cellStyle name="Normal 28 8 2 3" xfId="22162"/>
    <cellStyle name="Normal 28 9" xfId="22163"/>
    <cellStyle name="Normal 28 9 2" xfId="22164"/>
    <cellStyle name="Normal 28 9 2 2" xfId="22165"/>
    <cellStyle name="Normal 28 9 2 3" xfId="22166"/>
    <cellStyle name="Normal 28_AH Bhainsa Estimate" xfId="22167"/>
    <cellStyle name="Normal 29" xfId="22168"/>
    <cellStyle name="Normal 29 10" xfId="22169"/>
    <cellStyle name="Normal 29 10 2" xfId="22170"/>
    <cellStyle name="Normal 29 10 2 2" xfId="22171"/>
    <cellStyle name="Normal 29 10 2 3" xfId="22172"/>
    <cellStyle name="Normal 29 11" xfId="22173"/>
    <cellStyle name="Normal 29 12" xfId="22174"/>
    <cellStyle name="Normal 29 13" xfId="22175"/>
    <cellStyle name="Normal 29 14" xfId="22176"/>
    <cellStyle name="Normal 29 15" xfId="22177"/>
    <cellStyle name="Normal 29 16" xfId="22178"/>
    <cellStyle name="Normal 29 16 2" xfId="22179"/>
    <cellStyle name="Normal 29 16 3" xfId="22180"/>
    <cellStyle name="Normal 29 17" xfId="22181"/>
    <cellStyle name="Normal 29 17 2" xfId="22182"/>
    <cellStyle name="Normal 29 17 3" xfId="22183"/>
    <cellStyle name="Normal 29 18" xfId="22184"/>
    <cellStyle name="Normal 29 19" xfId="22185"/>
    <cellStyle name="Normal 29 2" xfId="22186"/>
    <cellStyle name="Normal 29 2 10" xfId="22187"/>
    <cellStyle name="Normal 29 2 11" xfId="22188"/>
    <cellStyle name="Normal 29 2 12" xfId="22189"/>
    <cellStyle name="Normal 29 2 13" xfId="22190"/>
    <cellStyle name="Normal 29 2 14" xfId="22191"/>
    <cellStyle name="Normal 29 2 2" xfId="22192"/>
    <cellStyle name="Normal 29 2 2 10" xfId="22193"/>
    <cellStyle name="Normal 29 2 2 10 2" xfId="22194"/>
    <cellStyle name="Normal 29 2 2 10 3" xfId="22195"/>
    <cellStyle name="Normal 29 2 2 11" xfId="22196"/>
    <cellStyle name="Normal 29 2 2 12" xfId="22197"/>
    <cellStyle name="Normal 29 2 2 13" xfId="22198"/>
    <cellStyle name="Normal 29 2 2 2" xfId="22199"/>
    <cellStyle name="Normal 29 2 2 2 2" xfId="22200"/>
    <cellStyle name="Normal 29 2 2 2 3" xfId="22201"/>
    <cellStyle name="Normal 29 2 2 3" xfId="22202"/>
    <cellStyle name="Normal 29 2 2 3 2" xfId="22203"/>
    <cellStyle name="Normal 29 2 2 3 3" xfId="22204"/>
    <cellStyle name="Normal 29 2 2 4" xfId="22205"/>
    <cellStyle name="Normal 29 2 2 4 2" xfId="22206"/>
    <cellStyle name="Normal 29 2 2 4 3" xfId="22207"/>
    <cellStyle name="Normal 29 2 2 5" xfId="22208"/>
    <cellStyle name="Normal 29 2 2 5 2" xfId="22209"/>
    <cellStyle name="Normal 29 2 2 5 3" xfId="22210"/>
    <cellStyle name="Normal 29 2 2 6" xfId="22211"/>
    <cellStyle name="Normal 29 2 2 6 2" xfId="22212"/>
    <cellStyle name="Normal 29 2 2 6 3" xfId="22213"/>
    <cellStyle name="Normal 29 2 2 7" xfId="22214"/>
    <cellStyle name="Normal 29 2 2 7 2" xfId="22215"/>
    <cellStyle name="Normal 29 2 2 7 3" xfId="22216"/>
    <cellStyle name="Normal 29 2 2 8" xfId="22217"/>
    <cellStyle name="Normal 29 2 2 8 2" xfId="22218"/>
    <cellStyle name="Normal 29 2 2 8 3" xfId="22219"/>
    <cellStyle name="Normal 29 2 2 9" xfId="22220"/>
    <cellStyle name="Normal 29 2 2 9 2" xfId="22221"/>
    <cellStyle name="Normal 29 2 2 9 3" xfId="22222"/>
    <cellStyle name="Normal 29 2 3" xfId="22223"/>
    <cellStyle name="Normal 29 2 4" xfId="22224"/>
    <cellStyle name="Normal 29 2 4 2" xfId="22225"/>
    <cellStyle name="Normal 29 2 4 2 2" xfId="22226"/>
    <cellStyle name="Normal 29 2 4 2 2 2" xfId="22227"/>
    <cellStyle name="Normal 29 2 4 2 2 3" xfId="22228"/>
    <cellStyle name="Normal 29 2 4 2 3" xfId="22229"/>
    <cellStyle name="Normal 29 2 4 2 3 2" xfId="22230"/>
    <cellStyle name="Normal 29 2 4 2 3 3" xfId="22231"/>
    <cellStyle name="Normal 29 2 4 2 4" xfId="22232"/>
    <cellStyle name="Normal 29 2 4 2 5" xfId="22233"/>
    <cellStyle name="Normal 29 2 4 3" xfId="22234"/>
    <cellStyle name="Normal 29 2 4 3 2" xfId="22235"/>
    <cellStyle name="Normal 29 2 4 3 3" xfId="22236"/>
    <cellStyle name="Normal 29 2 5" xfId="22237"/>
    <cellStyle name="Normal 29 2 6" xfId="22238"/>
    <cellStyle name="Normal 29 2 7" xfId="22239"/>
    <cellStyle name="Normal 29 2 8" xfId="22240"/>
    <cellStyle name="Normal 29 2 9" xfId="22241"/>
    <cellStyle name="Normal 29 2_AH Bhainsa Estimate" xfId="22243"/>
    <cellStyle name="Normal 29 20" xfId="22242"/>
    <cellStyle name="Normal 29 3" xfId="22244"/>
    <cellStyle name="Normal 29 3 10" xfId="22245"/>
    <cellStyle name="Normal 29 3 2" xfId="22246"/>
    <cellStyle name="Normal 29 3 2 10" xfId="22247"/>
    <cellStyle name="Normal 29 3 2 11" xfId="22248"/>
    <cellStyle name="Normal 29 3 2 12" xfId="22249"/>
    <cellStyle name="Normal 29 3 2 2" xfId="22250"/>
    <cellStyle name="Normal 29 3 2 2 2" xfId="22251"/>
    <cellStyle name="Normal 29 3 2 2 3" xfId="22252"/>
    <cellStyle name="Normal 29 3 2 3" xfId="22253"/>
    <cellStyle name="Normal 29 3 2 3 2" xfId="22254"/>
    <cellStyle name="Normal 29 3 2 3 3" xfId="22255"/>
    <cellStyle name="Normal 29 3 2 4" xfId="22256"/>
    <cellStyle name="Normal 29 3 2 4 2" xfId="22257"/>
    <cellStyle name="Normal 29 3 2 4 3" xfId="22258"/>
    <cellStyle name="Normal 29 3 2 5" xfId="22259"/>
    <cellStyle name="Normal 29 3 2 5 2" xfId="22260"/>
    <cellStyle name="Normal 29 3 2 5 3" xfId="22261"/>
    <cellStyle name="Normal 29 3 2 6" xfId="22262"/>
    <cellStyle name="Normal 29 3 2 6 2" xfId="22263"/>
    <cellStyle name="Normal 29 3 2 6 3" xfId="22264"/>
    <cellStyle name="Normal 29 3 2 7" xfId="22265"/>
    <cellStyle name="Normal 29 3 2 7 2" xfId="22266"/>
    <cellStyle name="Normal 29 3 2 7 3" xfId="22267"/>
    <cellStyle name="Normal 29 3 2 8" xfId="22268"/>
    <cellStyle name="Normal 29 3 2 8 2" xfId="22269"/>
    <cellStyle name="Normal 29 3 2 8 3" xfId="22270"/>
    <cellStyle name="Normal 29 3 2 9" xfId="22271"/>
    <cellStyle name="Normal 29 3 2 9 2" xfId="22272"/>
    <cellStyle name="Normal 29 3 2 9 3" xfId="22273"/>
    <cellStyle name="Normal 29 3 3" xfId="22274"/>
    <cellStyle name="Normal 29 3 4" xfId="22275"/>
    <cellStyle name="Normal 29 3 5" xfId="22276"/>
    <cellStyle name="Normal 29 3 6" xfId="22277"/>
    <cellStyle name="Normal 29 3 7" xfId="22278"/>
    <cellStyle name="Normal 29 3 8" xfId="22279"/>
    <cellStyle name="Normal 29 3 9" xfId="22280"/>
    <cellStyle name="Normal 29 4" xfId="22281"/>
    <cellStyle name="Normal 29 4 2" xfId="22282"/>
    <cellStyle name="Normal 29 4 2 2" xfId="22283"/>
    <cellStyle name="Normal 29 4 2 2 2" xfId="22284"/>
    <cellStyle name="Normal 29 4 2 2 3" xfId="22285"/>
    <cellStyle name="Normal 29 4 3" xfId="22286"/>
    <cellStyle name="Normal 29 4 3 2" xfId="22287"/>
    <cellStyle name="Normal 29 4 3 3" xfId="22288"/>
    <cellStyle name="Normal 29 4 4" xfId="22289"/>
    <cellStyle name="Normal 29 4 4 2" xfId="22290"/>
    <cellStyle name="Normal 29 4 4 3" xfId="22291"/>
    <cellStyle name="Normal 29 4 5" xfId="22292"/>
    <cellStyle name="Normal 29 4 6" xfId="22293"/>
    <cellStyle name="Normal 29 5" xfId="22294"/>
    <cellStyle name="Normal 29 5 2" xfId="22295"/>
    <cellStyle name="Normal 29 5 2 2" xfId="22296"/>
    <cellStyle name="Normal 29 5 2 3" xfId="22297"/>
    <cellStyle name="Normal 29 5 3" xfId="22298"/>
    <cellStyle name="Normal 29 5 3 2" xfId="22299"/>
    <cellStyle name="Normal 29 5 3 3" xfId="22300"/>
    <cellStyle name="Normal 29 5 4" xfId="22301"/>
    <cellStyle name="Normal 29 5 4 2" xfId="22302"/>
    <cellStyle name="Normal 29 5 4 3" xfId="22303"/>
    <cellStyle name="Normal 29 5 5" xfId="22304"/>
    <cellStyle name="Normal 29 5 6" xfId="22305"/>
    <cellStyle name="Normal 29 6" xfId="22306"/>
    <cellStyle name="Normal 29 6 2" xfId="22307"/>
    <cellStyle name="Normal 29 6 2 2" xfId="22308"/>
    <cellStyle name="Normal 29 6 2 3" xfId="22309"/>
    <cellStyle name="Normal 29 6 3" xfId="22310"/>
    <cellStyle name="Normal 29 6 3 2" xfId="22311"/>
    <cellStyle name="Normal 29 6 3 3" xfId="22312"/>
    <cellStyle name="Normal 29 6 4" xfId="22313"/>
    <cellStyle name="Normal 29 6 4 2" xfId="22314"/>
    <cellStyle name="Normal 29 6 4 3" xfId="22315"/>
    <cellStyle name="Normal 29 6 5" xfId="22316"/>
    <cellStyle name="Normal 29 6 6" xfId="22317"/>
    <cellStyle name="Normal 29 7" xfId="22318"/>
    <cellStyle name="Normal 29 7 2" xfId="22319"/>
    <cellStyle name="Normal 29 7 2 2" xfId="22320"/>
    <cellStyle name="Normal 29 7 2 2 2" xfId="22321"/>
    <cellStyle name="Normal 29 7 2 2 3" xfId="22322"/>
    <cellStyle name="Normal 29 7 2 3" xfId="22323"/>
    <cellStyle name="Normal 29 7 2 4" xfId="22324"/>
    <cellStyle name="Normal 29 7 3" xfId="22325"/>
    <cellStyle name="Normal 29 7 3 2" xfId="22326"/>
    <cellStyle name="Normal 29 7 3 3" xfId="22327"/>
    <cellStyle name="Normal 29 7 4" xfId="22328"/>
    <cellStyle name="Normal 29 7 4 2" xfId="22329"/>
    <cellStyle name="Normal 29 7 4 3" xfId="22330"/>
    <cellStyle name="Normal 29 7 5" xfId="22331"/>
    <cellStyle name="Normal 29 7 6" xfId="22332"/>
    <cellStyle name="Normal 29 8" xfId="22333"/>
    <cellStyle name="Normal 29 8 2" xfId="22334"/>
    <cellStyle name="Normal 29 8 2 2" xfId="22335"/>
    <cellStyle name="Normal 29 8 2 3" xfId="22336"/>
    <cellStyle name="Normal 29 9" xfId="22337"/>
    <cellStyle name="Normal 29 9 2" xfId="22338"/>
    <cellStyle name="Normal 29 9 2 2" xfId="22339"/>
    <cellStyle name="Normal 29 9 2 3" xfId="22340"/>
    <cellStyle name="Normal 29_AH Bhainsa Estimate" xfId="22341"/>
    <cellStyle name="Normal 3" xfId="22343"/>
    <cellStyle name="Normal 3 10" xfId="22344"/>
    <cellStyle name="Normal 3 10 10" xfId="22345"/>
    <cellStyle name="Normal 3 10 11" xfId="22346"/>
    <cellStyle name="Normal 3 10 12" xfId="22347"/>
    <cellStyle name="Normal 3 10 12 2" xfId="22348"/>
    <cellStyle name="Normal 3 10 12 3" xfId="22349"/>
    <cellStyle name="Normal 3 10 13" xfId="22350"/>
    <cellStyle name="Normal 3 10 13 2" xfId="22351"/>
    <cellStyle name="Normal 3 10 13 3" xfId="22352"/>
    <cellStyle name="Normal 3 10 14" xfId="22353"/>
    <cellStyle name="Normal 3 10 15" xfId="22354"/>
    <cellStyle name="Normal 3 10 2" xfId="22355"/>
    <cellStyle name="Normal 3 10 2 2" xfId="22356"/>
    <cellStyle name="Normal 3 10 2 2 2" xfId="22357"/>
    <cellStyle name="Normal 3 10 2 2 3" xfId="22358"/>
    <cellStyle name="Normal 3 10 2 3" xfId="22359"/>
    <cellStyle name="Normal 3 10 2 3 2" xfId="22360"/>
    <cellStyle name="Normal 3 10 2 3 3" xfId="22361"/>
    <cellStyle name="Normal 3 10 2 4" xfId="22362"/>
    <cellStyle name="Normal 3 10 2 5" xfId="22363"/>
    <cellStyle name="Normal 3 10 3" xfId="22364"/>
    <cellStyle name="Normal 3 10 3 2" xfId="22365"/>
    <cellStyle name="Normal 3 10 3 2 2" xfId="22366"/>
    <cellStyle name="Normal 3 10 3 2 2 2" xfId="22367"/>
    <cellStyle name="Normal 3 10 3 2 2 3" xfId="22368"/>
    <cellStyle name="Normal 3 10 3 2 3" xfId="22369"/>
    <cellStyle name="Normal 3 10 3 2 3 2" xfId="22370"/>
    <cellStyle name="Normal 3 10 3 2 3 3" xfId="22371"/>
    <cellStyle name="Normal 3 10 3 2 4" xfId="22372"/>
    <cellStyle name="Normal 3 10 3 2 5" xfId="22373"/>
    <cellStyle name="Normal 3 10 3 3" xfId="22374"/>
    <cellStyle name="Normal 3 10 3 3 2" xfId="22375"/>
    <cellStyle name="Normal 3 10 3 3 3" xfId="22376"/>
    <cellStyle name="Normal 3 10 3 4" xfId="22377"/>
    <cellStyle name="Normal 3 10 3 4 2" xfId="22378"/>
    <cellStyle name="Normal 3 10 3 4 3" xfId="22379"/>
    <cellStyle name="Normal 3 10 3 5" xfId="22380"/>
    <cellStyle name="Normal 3 10 3 6" xfId="22381"/>
    <cellStyle name="Normal 3 10 4" xfId="22382"/>
    <cellStyle name="Normal 3 10 4 2" xfId="22383"/>
    <cellStyle name="Normal 3 10 4 2 2" xfId="22384"/>
    <cellStyle name="Normal 3 10 4 2 3" xfId="22385"/>
    <cellStyle name="Normal 3 10 5" xfId="22386"/>
    <cellStyle name="Normal 3 10 5 2" xfId="22387"/>
    <cellStyle name="Normal 3 10 5 2 2" xfId="22388"/>
    <cellStyle name="Normal 3 10 5 2 2 2" xfId="22389"/>
    <cellStyle name="Normal 3 10 5 2 2 2 2" xfId="22390"/>
    <cellStyle name="Normal 3 10 5 2 2 2 3" xfId="22391"/>
    <cellStyle name="Normal 3 10 5 2 2 3" xfId="22392"/>
    <cellStyle name="Normal 3 10 5 2 2 4" xfId="22393"/>
    <cellStyle name="Normal 3 10 5 2 3" xfId="22394"/>
    <cellStyle name="Normal 3 10 5 2 3 2" xfId="22395"/>
    <cellStyle name="Normal 3 10 5 2 3 2 2" xfId="22396"/>
    <cellStyle name="Normal 3 10 5 2 3 2 3" xfId="22397"/>
    <cellStyle name="Normal 3 10 5 2 3 3" xfId="22398"/>
    <cellStyle name="Normal 3 10 5 2 3 4" xfId="22399"/>
    <cellStyle name="Normal 3 10 5 2 4" xfId="22400"/>
    <cellStyle name="Normal 3 10 5 2 4 2" xfId="22401"/>
    <cellStyle name="Normal 3 10 5 2 4 3" xfId="22402"/>
    <cellStyle name="Normal 3 10 5 2 5" xfId="22403"/>
    <cellStyle name="Normal 3 10 5 2 5 2" xfId="22404"/>
    <cellStyle name="Normal 3 10 5 2 5 3" xfId="22405"/>
    <cellStyle name="Normal 3 10 5 2 6" xfId="22406"/>
    <cellStyle name="Normal 3 10 5 2 7" xfId="22407"/>
    <cellStyle name="Normal 3 10 5 3" xfId="22408"/>
    <cellStyle name="Normal 3 10 5 3 2" xfId="22409"/>
    <cellStyle name="Normal 3 10 5 3 2 2" xfId="22410"/>
    <cellStyle name="Normal 3 10 5 3 2 3" xfId="22411"/>
    <cellStyle name="Normal 3 10 5 3 3" xfId="22412"/>
    <cellStyle name="Normal 3 10 5 3 4" xfId="22413"/>
    <cellStyle name="Normal 3 10 5 4" xfId="22414"/>
    <cellStyle name="Normal 3 10 5 4 2" xfId="22415"/>
    <cellStyle name="Normal 3 10 5 4 3" xfId="22416"/>
    <cellStyle name="Normal 3 10 6" xfId="22417"/>
    <cellStyle name="Normal 3 10 6 2" xfId="22418"/>
    <cellStyle name="Normal 3 10 6 2 2" xfId="22419"/>
    <cellStyle name="Normal 3 10 6 2 2 2" xfId="22420"/>
    <cellStyle name="Normal 3 10 6 2 2 3" xfId="22421"/>
    <cellStyle name="Normal 3 10 6 2 3" xfId="22422"/>
    <cellStyle name="Normal 3 10 6 2 4" xfId="22423"/>
    <cellStyle name="Normal 3 10 6 3" xfId="22424"/>
    <cellStyle name="Normal 3 10 6 3 2" xfId="22425"/>
    <cellStyle name="Normal 3 10 6 3 3" xfId="22426"/>
    <cellStyle name="Normal 3 10 7" xfId="22427"/>
    <cellStyle name="Normal 3 10 8" xfId="22428"/>
    <cellStyle name="Normal 3 10 9" xfId="22429"/>
    <cellStyle name="Normal 3 11" xfId="22430"/>
    <cellStyle name="Normal 3 11 10" xfId="22431"/>
    <cellStyle name="Normal 3 11 10 2" xfId="22432"/>
    <cellStyle name="Normal 3 11 10 3" xfId="22433"/>
    <cellStyle name="Normal 3 11 11" xfId="22434"/>
    <cellStyle name="Normal 3 11 11 2" xfId="22435"/>
    <cellStyle name="Normal 3 11 11 3" xfId="22436"/>
    <cellStyle name="Normal 3 11 12" xfId="22437"/>
    <cellStyle name="Normal 3 11 13" xfId="22438"/>
    <cellStyle name="Normal 3 11 2" xfId="22439"/>
    <cellStyle name="Normal 3 11 2 2" xfId="22440"/>
    <cellStyle name="Normal 3 11 2 3" xfId="22441"/>
    <cellStyle name="Normal 3 11 2 3 2" xfId="22442"/>
    <cellStyle name="Normal 3 11 2 3 3" xfId="22443"/>
    <cellStyle name="Normal 3 11 3" xfId="22444"/>
    <cellStyle name="Normal 3 11 4" xfId="22445"/>
    <cellStyle name="Normal 3 11 5" xfId="22446"/>
    <cellStyle name="Normal 3 11 6" xfId="22447"/>
    <cellStyle name="Normal 3 11 7" xfId="22448"/>
    <cellStyle name="Normal 3 11 8" xfId="22449"/>
    <cellStyle name="Normal 3 11 9" xfId="22450"/>
    <cellStyle name="Normal 3 12" xfId="22451"/>
    <cellStyle name="Normal 3 12 10" xfId="22452"/>
    <cellStyle name="Normal 3 12 11" xfId="22453"/>
    <cellStyle name="Normal 3 12 11 2" xfId="22454"/>
    <cellStyle name="Normal 3 12 11 3" xfId="22455"/>
    <cellStyle name="Normal 3 12 12" xfId="22456"/>
    <cellStyle name="Normal 3 12 12 2" xfId="22457"/>
    <cellStyle name="Normal 3 12 12 3" xfId="22458"/>
    <cellStyle name="Normal 3 12 13" xfId="22459"/>
    <cellStyle name="Normal 3 12 14" xfId="22460"/>
    <cellStyle name="Normal 3 12 2" xfId="22461"/>
    <cellStyle name="Normal 3 12 2 2" xfId="22462"/>
    <cellStyle name="Normal 3 12 2 2 2" xfId="22463"/>
    <cellStyle name="Normal 3 12 2 2 2 2" xfId="22464"/>
    <cellStyle name="Normal 3 12 2 2 2 3" xfId="22465"/>
    <cellStyle name="Normal 3 12 2 2 3" xfId="22466"/>
    <cellStyle name="Normal 3 12 2 2 4" xfId="22467"/>
    <cellStyle name="Normal 3 12 2 3" xfId="22468"/>
    <cellStyle name="Normal 3 12 2 3 2" xfId="22469"/>
    <cellStyle name="Normal 3 12 2 3 3" xfId="22470"/>
    <cellStyle name="Normal 3 12 2 4" xfId="22471"/>
    <cellStyle name="Normal 3 12 2 4 2" xfId="22472"/>
    <cellStyle name="Normal 3 12 2 4 3" xfId="22473"/>
    <cellStyle name="Normal 3 12 2 5" xfId="22474"/>
    <cellStyle name="Normal 3 12 2 6" xfId="22475"/>
    <cellStyle name="Normal 3 12 3" xfId="22476"/>
    <cellStyle name="Normal 3 12 4" xfId="22477"/>
    <cellStyle name="Normal 3 12 5" xfId="22478"/>
    <cellStyle name="Normal 3 12 6" xfId="22479"/>
    <cellStyle name="Normal 3 12 7" xfId="22480"/>
    <cellStyle name="Normal 3 12 8" xfId="22481"/>
    <cellStyle name="Normal 3 12 9" xfId="22482"/>
    <cellStyle name="Normal 3 13" xfId="22483"/>
    <cellStyle name="Normal 3 13 2" xfId="22484"/>
    <cellStyle name="Normal 3 13 2 2" xfId="22485"/>
    <cellStyle name="Normal 3 13 2 2 2" xfId="22486"/>
    <cellStyle name="Normal 3 13 2 2 3" xfId="22487"/>
    <cellStyle name="Normal 3 13 2 3" xfId="22488"/>
    <cellStyle name="Normal 3 13 2 3 2" xfId="22489"/>
    <cellStyle name="Normal 3 13 2 3 3" xfId="22490"/>
    <cellStyle name="Normal 3 13 2 4" xfId="22491"/>
    <cellStyle name="Normal 3 13 2 5" xfId="22492"/>
    <cellStyle name="Normal 3 13 3" xfId="22493"/>
    <cellStyle name="Normal 3 13 3 2" xfId="22494"/>
    <cellStyle name="Normal 3 13 3 3" xfId="22495"/>
    <cellStyle name="Normal 3 13 4" xfId="22496"/>
    <cellStyle name="Normal 3 13 4 2" xfId="22497"/>
    <cellStyle name="Normal 3 13 4 3" xfId="22498"/>
    <cellStyle name="Normal 3 13 5" xfId="22499"/>
    <cellStyle name="Normal 3 13 6" xfId="22500"/>
    <cellStyle name="Normal 3 14" xfId="22501"/>
    <cellStyle name="Normal 3 14 2" xfId="22502"/>
    <cellStyle name="Normal 3 14 2 2" xfId="22503"/>
    <cellStyle name="Normal 3 14 2 2 2" xfId="22504"/>
    <cellStyle name="Normal 3 14 2 2 3" xfId="22505"/>
    <cellStyle name="Normal 3 14 2 3" xfId="22506"/>
    <cellStyle name="Normal 3 14 2 3 2" xfId="22507"/>
    <cellStyle name="Normal 3 14 2 3 3" xfId="22508"/>
    <cellStyle name="Normal 3 14 2 4" xfId="22509"/>
    <cellStyle name="Normal 3 14 2 5" xfId="22510"/>
    <cellStyle name="Normal 3 14 3" xfId="22511"/>
    <cellStyle name="Normal 3 14 3 2" xfId="22512"/>
    <cellStyle name="Normal 3 14 3 3" xfId="22513"/>
    <cellStyle name="Normal 3 14 4" xfId="22514"/>
    <cellStyle name="Normal 3 14 4 2" xfId="22515"/>
    <cellStyle name="Normal 3 14 4 3" xfId="22516"/>
    <cellStyle name="Normal 3 14 5" xfId="22517"/>
    <cellStyle name="Normal 3 14 6" xfId="22518"/>
    <cellStyle name="Normal 3 15" xfId="22519"/>
    <cellStyle name="Normal 3 15 2" xfId="22520"/>
    <cellStyle name="Normal 3 15 2 2" xfId="22521"/>
    <cellStyle name="Normal 3 15 2 2 2" xfId="22522"/>
    <cellStyle name="Normal 3 15 2 2 3" xfId="22523"/>
    <cellStyle name="Normal 3 15 2 3" xfId="22524"/>
    <cellStyle name="Normal 3 15 2 3 2" xfId="22525"/>
    <cellStyle name="Normal 3 15 2 3 3" xfId="22526"/>
    <cellStyle name="Normal 3 15 2 4" xfId="22527"/>
    <cellStyle name="Normal 3 15 2 5" xfId="22528"/>
    <cellStyle name="Normal 3 15 3" xfId="22529"/>
    <cellStyle name="Normal 3 15 3 2" xfId="22530"/>
    <cellStyle name="Normal 3 15 3 3" xfId="22531"/>
    <cellStyle name="Normal 3 15 4" xfId="22532"/>
    <cellStyle name="Normal 3 15 4 2" xfId="22533"/>
    <cellStyle name="Normal 3 15 4 3" xfId="22534"/>
    <cellStyle name="Normal 3 15 5" xfId="22535"/>
    <cellStyle name="Normal 3 15 6" xfId="22536"/>
    <cellStyle name="Normal 3 16" xfId="22537"/>
    <cellStyle name="Normal 3 16 2" xfId="22538"/>
    <cellStyle name="Normal 3 16 2 2" xfId="22539"/>
    <cellStyle name="Normal 3 16 2 2 2" xfId="22540"/>
    <cellStyle name="Normal 3 16 2 2 2 2" xfId="22541"/>
    <cellStyle name="Normal 3 16 2 2 2 3" xfId="22542"/>
    <cellStyle name="Normal 3 16 2 2 3" xfId="22543"/>
    <cellStyle name="Normal 3 16 2 2 4" xfId="22544"/>
    <cellStyle name="Normal 3 16 2 3" xfId="22545"/>
    <cellStyle name="Normal 3 16 2 3 2" xfId="22546"/>
    <cellStyle name="Normal 3 16 2 3 3" xfId="22547"/>
    <cellStyle name="Normal 3 16 2 4" xfId="22548"/>
    <cellStyle name="Normal 3 16 2 4 2" xfId="22549"/>
    <cellStyle name="Normal 3 16 2 4 3" xfId="22550"/>
    <cellStyle name="Normal 3 16 2 5" xfId="22551"/>
    <cellStyle name="Normal 3 16 2 6" xfId="22552"/>
    <cellStyle name="Normal 3 16 3" xfId="22553"/>
    <cellStyle name="Normal 3 16 3 2" xfId="22554"/>
    <cellStyle name="Normal 3 16 3 2 2" xfId="22555"/>
    <cellStyle name="Normal 3 16 3 2 3" xfId="22556"/>
    <cellStyle name="Normal 3 16 3 3" xfId="22557"/>
    <cellStyle name="Normal 3 16 3 4" xfId="22558"/>
    <cellStyle name="Normal 3 16 4" xfId="22559"/>
    <cellStyle name="Normal 3 16 4 2" xfId="22560"/>
    <cellStyle name="Normal 3 16 4 2 2" xfId="22561"/>
    <cellStyle name="Normal 3 16 4 2 3" xfId="22562"/>
    <cellStyle name="Normal 3 16 4 3" xfId="22563"/>
    <cellStyle name="Normal 3 16 4 4" xfId="22564"/>
    <cellStyle name="Normal 3 16 5" xfId="22565"/>
    <cellStyle name="Normal 3 16 5 2" xfId="22566"/>
    <cellStyle name="Normal 3 16 5 2 2" xfId="22567"/>
    <cellStyle name="Normal 3 16 5 2 3" xfId="22568"/>
    <cellStyle name="Normal 3 16 5 3" xfId="22569"/>
    <cellStyle name="Normal 3 16 5 4" xfId="22570"/>
    <cellStyle name="Normal 3 16 6" xfId="22571"/>
    <cellStyle name="Normal 3 16 6 2" xfId="22572"/>
    <cellStyle name="Normal 3 16 6 3" xfId="22573"/>
    <cellStyle name="Normal 3 16 7" xfId="22574"/>
    <cellStyle name="Normal 3 16 7 2" xfId="22575"/>
    <cellStyle name="Normal 3 16 7 3" xfId="22576"/>
    <cellStyle name="Normal 3 16 8" xfId="22577"/>
    <cellStyle name="Normal 3 16 9" xfId="22578"/>
    <cellStyle name="Normal 3 17" xfId="22579"/>
    <cellStyle name="Normal 3 17 2" xfId="22580"/>
    <cellStyle name="Normal 3 17 2 2" xfId="22581"/>
    <cellStyle name="Normal 3 17 2 3" xfId="22582"/>
    <cellStyle name="Normal 3 17 3" xfId="22583"/>
    <cellStyle name="Normal 3 17 3 2" xfId="22584"/>
    <cellStyle name="Normal 3 17 3 2 2" xfId="22585"/>
    <cellStyle name="Normal 3 17 3 2 3" xfId="22586"/>
    <cellStyle name="Normal 3 17 3 3" xfId="22587"/>
    <cellStyle name="Normal 3 17 3 4" xfId="22588"/>
    <cellStyle name="Normal 3 17 4" xfId="22589"/>
    <cellStyle name="Normal 3 17 4 2" xfId="22590"/>
    <cellStyle name="Normal 3 17 4 3" xfId="22591"/>
    <cellStyle name="Normal 3 17 5" xfId="22592"/>
    <cellStyle name="Normal 3 17 6" xfId="22593"/>
    <cellStyle name="Normal 3 18" xfId="22594"/>
    <cellStyle name="Normal 3 18 2" xfId="22595"/>
    <cellStyle name="Normal 3 18 2 2" xfId="22596"/>
    <cellStyle name="Normal 3 18 2 3" xfId="22597"/>
    <cellStyle name="Normal 3 18 3" xfId="22598"/>
    <cellStyle name="Normal 3 18 4" xfId="22599"/>
    <cellStyle name="Normal 3 19" xfId="22600"/>
    <cellStyle name="Normal 3 19 2" xfId="22601"/>
    <cellStyle name="Normal 3 19 2 2" xfId="22602"/>
    <cellStyle name="Normal 3 19 2 3" xfId="22603"/>
    <cellStyle name="Normal 3 19 3" xfId="22604"/>
    <cellStyle name="Normal 3 19 4" xfId="22605"/>
    <cellStyle name="Normal 3 2" xfId="22606"/>
    <cellStyle name="Normal 3 2 10" xfId="22607"/>
    <cellStyle name="Normal 3 2 11" xfId="22608"/>
    <cellStyle name="Normal 3 2 12" xfId="22609"/>
    <cellStyle name="Normal 3 2 13" xfId="22610"/>
    <cellStyle name="Normal 3 2 14" xfId="22611"/>
    <cellStyle name="Normal 3 2 15" xfId="22612"/>
    <cellStyle name="Normal 3 2 16" xfId="22613"/>
    <cellStyle name="Normal 3 2 17" xfId="22614"/>
    <cellStyle name="Normal 3 2 18" xfId="22615"/>
    <cellStyle name="Normal 3 2 19" xfId="22616"/>
    <cellStyle name="Normal 3 2 2" xfId="22617"/>
    <cellStyle name="Normal 3 2 2 10" xfId="22618"/>
    <cellStyle name="Normal 3 2 2 10 2" xfId="22619"/>
    <cellStyle name="Normal 3 2 2 10 2 2" xfId="22620"/>
    <cellStyle name="Normal 3 2 2 10 2 3" xfId="22621"/>
    <cellStyle name="Normal 3 2 2 11" xfId="22622"/>
    <cellStyle name="Normal 3 2 2 12" xfId="22623"/>
    <cellStyle name="Normal 3 2 2 12 2" xfId="22624"/>
    <cellStyle name="Normal 3 2 2 12 3" xfId="22625"/>
    <cellStyle name="Normal 3 2 2 13" xfId="22626"/>
    <cellStyle name="Normal 3 2 2 13 2" xfId="22627"/>
    <cellStyle name="Normal 3 2 2 13 3" xfId="22628"/>
    <cellStyle name="Normal 3 2 2 14" xfId="22629"/>
    <cellStyle name="Normal 3 2 2 15" xfId="22630"/>
    <cellStyle name="Normal 3 2 2 16" xfId="22631"/>
    <cellStyle name="Normal 3 2 2 17" xfId="22632"/>
    <cellStyle name="Normal 3 2 2 18" xfId="22633"/>
    <cellStyle name="Normal 3 2 2 19" xfId="22634"/>
    <cellStyle name="Normal 3 2 2 2" xfId="22635"/>
    <cellStyle name="Normal 3 2 2 2 10" xfId="22636"/>
    <cellStyle name="Normal 3 2 2 2 10 2" xfId="22637"/>
    <cellStyle name="Normal 3 2 2 2 10 3" xfId="22638"/>
    <cellStyle name="Normal 3 2 2 2 11" xfId="22639"/>
    <cellStyle name="Normal 3 2 2 2 12" xfId="22640"/>
    <cellStyle name="Normal 3 2 2 2 13" xfId="22641"/>
    <cellStyle name="Normal 3 2 2 2 2" xfId="22642"/>
    <cellStyle name="Normal 3 2 2 2 2 10" xfId="22643"/>
    <cellStyle name="Normal 3 2 2 2 2 11" xfId="22644"/>
    <cellStyle name="Normal 3 2 2 2 2 12" xfId="22645"/>
    <cellStyle name="Normal 3 2 2 2 2 2" xfId="22646"/>
    <cellStyle name="Normal 3 2 2 2 2 2 2" xfId="22647"/>
    <cellStyle name="Normal 3 2 2 2 2 2 3" xfId="22648"/>
    <cellStyle name="Normal 3 2 2 2 2 3" xfId="22649"/>
    <cellStyle name="Normal 3 2 2 2 2 3 2" xfId="22650"/>
    <cellStyle name="Normal 3 2 2 2 2 3 3" xfId="22651"/>
    <cellStyle name="Normal 3 2 2 2 2 4" xfId="22652"/>
    <cellStyle name="Normal 3 2 2 2 2 4 2" xfId="22653"/>
    <cellStyle name="Normal 3 2 2 2 2 4 3" xfId="22654"/>
    <cellStyle name="Normal 3 2 2 2 2 5" xfId="22655"/>
    <cellStyle name="Normal 3 2 2 2 2 5 2" xfId="22656"/>
    <cellStyle name="Normal 3 2 2 2 2 5 3" xfId="22657"/>
    <cellStyle name="Normal 3 2 2 2 2 6" xfId="22658"/>
    <cellStyle name="Normal 3 2 2 2 2 6 2" xfId="22659"/>
    <cellStyle name="Normal 3 2 2 2 2 6 3" xfId="22660"/>
    <cellStyle name="Normal 3 2 2 2 2 7" xfId="22661"/>
    <cellStyle name="Normal 3 2 2 2 2 7 2" xfId="22662"/>
    <cellStyle name="Normal 3 2 2 2 2 7 3" xfId="22663"/>
    <cellStyle name="Normal 3 2 2 2 2 8" xfId="22664"/>
    <cellStyle name="Normal 3 2 2 2 2 8 2" xfId="22665"/>
    <cellStyle name="Normal 3 2 2 2 2 8 3" xfId="22666"/>
    <cellStyle name="Normal 3 2 2 2 2 9" xfId="22667"/>
    <cellStyle name="Normal 3 2 2 2 2 9 2" xfId="22668"/>
    <cellStyle name="Normal 3 2 2 2 2 9 3" xfId="22669"/>
    <cellStyle name="Normal 3 2 2 2 3" xfId="22670"/>
    <cellStyle name="Normal 3 2 2 2 3 2" xfId="22671"/>
    <cellStyle name="Normal 3 2 2 2 3 3" xfId="22672"/>
    <cellStyle name="Normal 3 2 2 2 4" xfId="22673"/>
    <cellStyle name="Normal 3 2 2 2 4 2" xfId="22674"/>
    <cellStyle name="Normal 3 2 2 2 4 3" xfId="22675"/>
    <cellStyle name="Normal 3 2 2 2 5" xfId="22676"/>
    <cellStyle name="Normal 3 2 2 2 5 2" xfId="22677"/>
    <cellStyle name="Normal 3 2 2 2 5 3" xfId="22678"/>
    <cellStyle name="Normal 3 2 2 2 6" xfId="22679"/>
    <cellStyle name="Normal 3 2 2 2 6 2" xfId="22680"/>
    <cellStyle name="Normal 3 2 2 2 6 3" xfId="22681"/>
    <cellStyle name="Normal 3 2 2 2 7" xfId="22682"/>
    <cellStyle name="Normal 3 2 2 2 7 2" xfId="22683"/>
    <cellStyle name="Normal 3 2 2 2 7 3" xfId="22684"/>
    <cellStyle name="Normal 3 2 2 2 8" xfId="22685"/>
    <cellStyle name="Normal 3 2 2 2 8 2" xfId="22686"/>
    <cellStyle name="Normal 3 2 2 2 8 3" xfId="22687"/>
    <cellStyle name="Normal 3 2 2 2 9" xfId="22688"/>
    <cellStyle name="Normal 3 2 2 2 9 2" xfId="22689"/>
    <cellStyle name="Normal 3 2 2 2 9 3" xfId="22690"/>
    <cellStyle name="Normal 3 2 2 3" xfId="22691"/>
    <cellStyle name="Normal 3 2 2 3 10" xfId="22692"/>
    <cellStyle name="Normal 3 2 2 3 11" xfId="22693"/>
    <cellStyle name="Normal 3 2 2 3 12" xfId="22694"/>
    <cellStyle name="Normal 3 2 2 3 2" xfId="22695"/>
    <cellStyle name="Normal 3 2 2 3 2 2" xfId="22696"/>
    <cellStyle name="Normal 3 2 2 3 2 2 2" xfId="22697"/>
    <cellStyle name="Normal 3 2 2 3 2 2 3" xfId="22698"/>
    <cellStyle name="Normal 3 2 2 3 2 3" xfId="22699"/>
    <cellStyle name="Normal 3 2 2 3 2 3 2" xfId="22700"/>
    <cellStyle name="Normal 3 2 2 3 2 3 3" xfId="22701"/>
    <cellStyle name="Normal 3 2 2 3 2 4" xfId="22702"/>
    <cellStyle name="Normal 3 2 2 3 2 5" xfId="22703"/>
    <cellStyle name="Normal 3 2 2 3 3" xfId="22704"/>
    <cellStyle name="Normal 3 2 2 3 3 2" xfId="22705"/>
    <cellStyle name="Normal 3 2 2 3 3 3" xfId="22706"/>
    <cellStyle name="Normal 3 2 2 3 4" xfId="22707"/>
    <cellStyle name="Normal 3 2 2 3 4 2" xfId="22708"/>
    <cellStyle name="Normal 3 2 2 3 4 3" xfId="22709"/>
    <cellStyle name="Normal 3 2 2 3 5" xfId="22710"/>
    <cellStyle name="Normal 3 2 2 3 5 2" xfId="22711"/>
    <cellStyle name="Normal 3 2 2 3 5 3" xfId="22712"/>
    <cellStyle name="Normal 3 2 2 3 6" xfId="22713"/>
    <cellStyle name="Normal 3 2 2 3 6 2" xfId="22714"/>
    <cellStyle name="Normal 3 2 2 3 6 3" xfId="22715"/>
    <cellStyle name="Normal 3 2 2 3 7" xfId="22716"/>
    <cellStyle name="Normal 3 2 2 3 7 2" xfId="22717"/>
    <cellStyle name="Normal 3 2 2 3 7 3" xfId="22718"/>
    <cellStyle name="Normal 3 2 2 3 8" xfId="22719"/>
    <cellStyle name="Normal 3 2 2 3 8 2" xfId="22720"/>
    <cellStyle name="Normal 3 2 2 3 8 3" xfId="22721"/>
    <cellStyle name="Normal 3 2 2 3 9" xfId="22722"/>
    <cellStyle name="Normal 3 2 2 3 9 2" xfId="22723"/>
    <cellStyle name="Normal 3 2 2 3 9 3" xfId="22724"/>
    <cellStyle name="Normal 3 2 2 4" xfId="22725"/>
    <cellStyle name="Normal 3 2 2 4 2" xfId="22726"/>
    <cellStyle name="Normal 3 2 2 4 2 2" xfId="22727"/>
    <cellStyle name="Normal 3 2 2 4 2 2 2" xfId="22728"/>
    <cellStyle name="Normal 3 2 2 4 2 2 3" xfId="22729"/>
    <cellStyle name="Normal 3 2 2 4 2 3" xfId="22730"/>
    <cellStyle name="Normal 3 2 2 4 2 4" xfId="22731"/>
    <cellStyle name="Normal 3 2 2 4 3" xfId="22732"/>
    <cellStyle name="Normal 3 2 2 4 3 2" xfId="22733"/>
    <cellStyle name="Normal 3 2 2 4 3 3" xfId="22734"/>
    <cellStyle name="Normal 3 2 2 4 4" xfId="22735"/>
    <cellStyle name="Normal 3 2 2 4 4 2" xfId="22736"/>
    <cellStyle name="Normal 3 2 2 4 4 3" xfId="22737"/>
    <cellStyle name="Normal 3 2 2 4 5" xfId="22738"/>
    <cellStyle name="Normal 3 2 2 4 6" xfId="22739"/>
    <cellStyle name="Normal 3 2 2 5" xfId="22740"/>
    <cellStyle name="Normal 3 2 2 5 2" xfId="22741"/>
    <cellStyle name="Normal 3 2 2 5 2 2" xfId="22742"/>
    <cellStyle name="Normal 3 2 2 5 2 2 2" xfId="22743"/>
    <cellStyle name="Normal 3 2 2 5 2 2 3" xfId="22744"/>
    <cellStyle name="Normal 3 2 2 5 2 3" xfId="22745"/>
    <cellStyle name="Normal 3 2 2 5 2 4" xfId="22746"/>
    <cellStyle name="Normal 3 2 2 5 3" xfId="22747"/>
    <cellStyle name="Normal 3 2 2 5 3 2" xfId="22748"/>
    <cellStyle name="Normal 3 2 2 5 3 3" xfId="22749"/>
    <cellStyle name="Normal 3 2 2 5 4" xfId="22750"/>
    <cellStyle name="Normal 3 2 2 5 4 2" xfId="22751"/>
    <cellStyle name="Normal 3 2 2 5 4 3" xfId="22752"/>
    <cellStyle name="Normal 3 2 2 5 5" xfId="22753"/>
    <cellStyle name="Normal 3 2 2 5 6" xfId="22754"/>
    <cellStyle name="Normal 3 2 2 6" xfId="22755"/>
    <cellStyle name="Normal 3 2 2 6 2" xfId="22756"/>
    <cellStyle name="Normal 3 2 2 6 2 2" xfId="22757"/>
    <cellStyle name="Normal 3 2 2 6 2 2 2" xfId="22758"/>
    <cellStyle name="Normal 3 2 2 6 2 2 3" xfId="22759"/>
    <cellStyle name="Normal 3 2 2 6 2 3" xfId="22760"/>
    <cellStyle name="Normal 3 2 2 6 2 4" xfId="22761"/>
    <cellStyle name="Normal 3 2 2 6 3" xfId="22762"/>
    <cellStyle name="Normal 3 2 2 6 3 2" xfId="22763"/>
    <cellStyle name="Normal 3 2 2 6 3 3" xfId="22764"/>
    <cellStyle name="Normal 3 2 2 7" xfId="22765"/>
    <cellStyle name="Normal 3 2 2 7 2" xfId="22766"/>
    <cellStyle name="Normal 3 2 2 7 2 2" xfId="22767"/>
    <cellStyle name="Normal 3 2 2 7 2 2 2" xfId="22768"/>
    <cellStyle name="Normal 3 2 2 7 2 2 3" xfId="22769"/>
    <cellStyle name="Normal 3 2 2 7 2 3" xfId="22770"/>
    <cellStyle name="Normal 3 2 2 7 2 4" xfId="22771"/>
    <cellStyle name="Normal 3 2 2 7 3" xfId="22772"/>
    <cellStyle name="Normal 3 2 2 7 3 2" xfId="22773"/>
    <cellStyle name="Normal 3 2 2 7 3 3" xfId="22774"/>
    <cellStyle name="Normal 3 2 2 8" xfId="22775"/>
    <cellStyle name="Normal 3 2 2 8 2" xfId="22776"/>
    <cellStyle name="Normal 3 2 2 8 2 2" xfId="22777"/>
    <cellStyle name="Normal 3 2 2 8 2 2 2" xfId="22778"/>
    <cellStyle name="Normal 3 2 2 8 2 2 3" xfId="22779"/>
    <cellStyle name="Normal 3 2 2 8 2 3" xfId="22780"/>
    <cellStyle name="Normal 3 2 2 8 2 4" xfId="22781"/>
    <cellStyle name="Normal 3 2 2 8 3" xfId="22782"/>
    <cellStyle name="Normal 3 2 2 8 3 2" xfId="22783"/>
    <cellStyle name="Normal 3 2 2 8 3 3" xfId="22784"/>
    <cellStyle name="Normal 3 2 2 9" xfId="22785"/>
    <cellStyle name="Normal 3 2 2 9 2" xfId="22786"/>
    <cellStyle name="Normal 3 2 2 9 2 2" xfId="22787"/>
    <cellStyle name="Normal 3 2 2 9 2 2 2" xfId="22788"/>
    <cellStyle name="Normal 3 2 2 9 2 2 3" xfId="22789"/>
    <cellStyle name="Normal 3 2 2 9 2 3" xfId="22790"/>
    <cellStyle name="Normal 3 2 2 9 2 4" xfId="22791"/>
    <cellStyle name="Normal 3 2 2 9 3" xfId="22792"/>
    <cellStyle name="Normal 3 2 2 9 3 2" xfId="22793"/>
    <cellStyle name="Normal 3 2 2 9 3 3" xfId="22794"/>
    <cellStyle name="Normal 3 2 2_AH Bhainsa Estimate" xfId="22805"/>
    <cellStyle name="Normal 3 2 20" xfId="22795"/>
    <cellStyle name="Normal 3 2 21" xfId="22796"/>
    <cellStyle name="Normal 3 2 22" xfId="22797"/>
    <cellStyle name="Normal 3 2 23" xfId="22798"/>
    <cellStyle name="Normal 3 2 24" xfId="22799"/>
    <cellStyle name="Normal 3 2 25" xfId="22800"/>
    <cellStyle name="Normal 3 2 26" xfId="22801"/>
    <cellStyle name="Normal 3 2 27" xfId="22802"/>
    <cellStyle name="Normal 3 2 28" xfId="22803"/>
    <cellStyle name="Normal 3 2 29" xfId="22804"/>
    <cellStyle name="Normal 3 2 3" xfId="22806"/>
    <cellStyle name="Normal 3 2 3 10" xfId="22807"/>
    <cellStyle name="Normal 3 2 3 10 2" xfId="22808"/>
    <cellStyle name="Normal 3 2 3 10 2 2" xfId="22809"/>
    <cellStyle name="Normal 3 2 3 10 2 3" xfId="22810"/>
    <cellStyle name="Normal 3 2 3 10 3" xfId="22811"/>
    <cellStyle name="Normal 3 2 3 10 4" xfId="22812"/>
    <cellStyle name="Normal 3 2 3 11" xfId="22813"/>
    <cellStyle name="Normal 3 2 3 2" xfId="22814"/>
    <cellStyle name="Normal 3 2 3 2 2" xfId="22815"/>
    <cellStyle name="Normal 3 2 3 2 2 2" xfId="22816"/>
    <cellStyle name="Normal 3 2 3 2 2 2 2" xfId="22817"/>
    <cellStyle name="Normal 3 2 3 2 2 2 2 2" xfId="22818"/>
    <cellStyle name="Normal 3 2 3 2 2 2 2 3" xfId="22819"/>
    <cellStyle name="Normal 3 2 3 2 2 2 3" xfId="22820"/>
    <cellStyle name="Normal 3 2 3 2 2 2 4" xfId="22821"/>
    <cellStyle name="Normal 3 2 3 2 2 3" xfId="22822"/>
    <cellStyle name="Normal 3 2 3 2 2 3 2" xfId="22823"/>
    <cellStyle name="Normal 3 2 3 2 2 3 3" xfId="22824"/>
    <cellStyle name="Normal 3 2 3 2 2 4" xfId="22825"/>
    <cellStyle name="Normal 3 2 3 2 2 5" xfId="22826"/>
    <cellStyle name="Normal 3 2 3 2 3" xfId="22827"/>
    <cellStyle name="Normal 3 2 3 2 3 2" xfId="22828"/>
    <cellStyle name="Normal 3 2 3 2 3 3" xfId="22829"/>
    <cellStyle name="Normal 3 2 3 2 4" xfId="22830"/>
    <cellStyle name="Normal 3 2 3 2 5" xfId="22831"/>
    <cellStyle name="Normal 3 2 3 3" xfId="22832"/>
    <cellStyle name="Normal 3 2 3 3 2" xfId="22833"/>
    <cellStyle name="Normal 3 2 3 3 2 2" xfId="22834"/>
    <cellStyle name="Normal 3 2 3 3 2 3" xfId="22835"/>
    <cellStyle name="Normal 3 2 3 3 3" xfId="22836"/>
    <cellStyle name="Normal 3 2 3 3 4" xfId="22837"/>
    <cellStyle name="Normal 3 2 3 4" xfId="22838"/>
    <cellStyle name="Normal 3 2 3 4 2" xfId="22839"/>
    <cellStyle name="Normal 3 2 3 4 2 2" xfId="22840"/>
    <cellStyle name="Normal 3 2 3 4 2 3" xfId="22841"/>
    <cellStyle name="Normal 3 2 3 4 3" xfId="22842"/>
    <cellStyle name="Normal 3 2 3 4 4" xfId="22843"/>
    <cellStyle name="Normal 3 2 3 5" xfId="22844"/>
    <cellStyle name="Normal 3 2 3 5 2" xfId="22845"/>
    <cellStyle name="Normal 3 2 3 5 2 2" xfId="22846"/>
    <cellStyle name="Normal 3 2 3 5 2 3" xfId="22847"/>
    <cellStyle name="Normal 3 2 3 5 3" xfId="22848"/>
    <cellStyle name="Normal 3 2 3 5 4" xfId="22849"/>
    <cellStyle name="Normal 3 2 3 6" xfId="22850"/>
    <cellStyle name="Normal 3 2 3 6 2" xfId="22851"/>
    <cellStyle name="Normal 3 2 3 6 2 2" xfId="22852"/>
    <cellStyle name="Normal 3 2 3 6 2 3" xfId="22853"/>
    <cellStyle name="Normal 3 2 3 6 3" xfId="22854"/>
    <cellStyle name="Normal 3 2 3 6 4" xfId="22855"/>
    <cellStyle name="Normal 3 2 3 7" xfId="22856"/>
    <cellStyle name="Normal 3 2 3 7 2" xfId="22857"/>
    <cellStyle name="Normal 3 2 3 7 2 2" xfId="22858"/>
    <cellStyle name="Normal 3 2 3 7 2 3" xfId="22859"/>
    <cellStyle name="Normal 3 2 3 7 3" xfId="22860"/>
    <cellStyle name="Normal 3 2 3 7 4" xfId="22861"/>
    <cellStyle name="Normal 3 2 3 8" xfId="22862"/>
    <cellStyle name="Normal 3 2 3 8 2" xfId="22863"/>
    <cellStyle name="Normal 3 2 3 8 2 2" xfId="22864"/>
    <cellStyle name="Normal 3 2 3 8 2 3" xfId="22865"/>
    <cellStyle name="Normal 3 2 3 8 3" xfId="22866"/>
    <cellStyle name="Normal 3 2 3 8 4" xfId="22867"/>
    <cellStyle name="Normal 3 2 3 9" xfId="22868"/>
    <cellStyle name="Normal 3 2 3 9 2" xfId="22869"/>
    <cellStyle name="Normal 3 2 3 9 2 2" xfId="22870"/>
    <cellStyle name="Normal 3 2 3 9 2 3" xfId="22871"/>
    <cellStyle name="Normal 3 2 3 9 3" xfId="22872"/>
    <cellStyle name="Normal 3 2 3 9 4" xfId="22873"/>
    <cellStyle name="Normal 3 2 30" xfId="22874"/>
    <cellStyle name="Normal 3 2 31" xfId="22875"/>
    <cellStyle name="Normal 3 2 32" xfId="22876"/>
    <cellStyle name="Normal 3 2 33" xfId="22877"/>
    <cellStyle name="Normal 3 2 34" xfId="22878"/>
    <cellStyle name="Normal 3 2 35" xfId="22879"/>
    <cellStyle name="Normal 3 2 36" xfId="22880"/>
    <cellStyle name="Normal 3 2 37" xfId="22881"/>
    <cellStyle name="Normal 3 2 38" xfId="22882"/>
    <cellStyle name="Normal 3 2 39" xfId="22883"/>
    <cellStyle name="Normal 3 2 4" xfId="22884"/>
    <cellStyle name="Normal 3 2 4 2" xfId="22885"/>
    <cellStyle name="Normal 3 2 4 3" xfId="22886"/>
    <cellStyle name="Normal 3 2 4 4" xfId="22887"/>
    <cellStyle name="Normal 3 2 4 5" xfId="22888"/>
    <cellStyle name="Normal 3 2 4 6" xfId="22889"/>
    <cellStyle name="Normal 3 2 4 7" xfId="22890"/>
    <cellStyle name="Normal 3 2 4 8" xfId="22891"/>
    <cellStyle name="Normal 3 2 4 9" xfId="22892"/>
    <cellStyle name="Normal 3 2 40" xfId="22893"/>
    <cellStyle name="Normal 3 2 41" xfId="22894"/>
    <cellStyle name="Normal 3 2 42" xfId="22895"/>
    <cellStyle name="Normal 3 2 43" xfId="22896"/>
    <cellStyle name="Normal 3 2 44" xfId="22897"/>
    <cellStyle name="Normal 3 2 45" xfId="22898"/>
    <cellStyle name="Normal 3 2 46" xfId="22899"/>
    <cellStyle name="Normal 3 2 47" xfId="22900"/>
    <cellStyle name="Normal 3 2 48" xfId="22901"/>
    <cellStyle name="Normal 3 2 49" xfId="22902"/>
    <cellStyle name="Normal 3 2 5" xfId="22903"/>
    <cellStyle name="Normal 3 2 50" xfId="22904"/>
    <cellStyle name="Normal 3 2 51" xfId="22905"/>
    <cellStyle name="Normal 3 2 52" xfId="22906"/>
    <cellStyle name="Normal 3 2 53" xfId="22907"/>
    <cellStyle name="Normal 3 2 54" xfId="22908"/>
    <cellStyle name="Normal 3 2 55" xfId="22909"/>
    <cellStyle name="Normal 3 2 56" xfId="22910"/>
    <cellStyle name="Normal 3 2 57" xfId="22911"/>
    <cellStyle name="Normal 3 2 58" xfId="22912"/>
    <cellStyle name="Normal 3 2 59" xfId="22913"/>
    <cellStyle name="Normal 3 2 6" xfId="22914"/>
    <cellStyle name="Normal 3 2 60" xfId="22915"/>
    <cellStyle name="Normal 3 2 61" xfId="22916"/>
    <cellStyle name="Normal 3 2 62" xfId="22917"/>
    <cellStyle name="Normal 3 2 63" xfId="22918"/>
    <cellStyle name="Normal 3 2 64" xfId="22919"/>
    <cellStyle name="Normal 3 2 65" xfId="22920"/>
    <cellStyle name="Normal 3 2 66" xfId="22921"/>
    <cellStyle name="Normal 3 2 67" xfId="22922"/>
    <cellStyle name="Normal 3 2 68" xfId="22923"/>
    <cellStyle name="Normal 3 2 69" xfId="22924"/>
    <cellStyle name="Normal 3 2 7" xfId="22925"/>
    <cellStyle name="Normal 3 2 70" xfId="22926"/>
    <cellStyle name="Normal 3 2 71" xfId="22927"/>
    <cellStyle name="Normal 3 2 8" xfId="22928"/>
    <cellStyle name="Normal 3 2 9" xfId="22929"/>
    <cellStyle name="Normal 3 2_(9) 3 ACRs (GF) &amp; 2 ACRs (FF)" xfId="22941"/>
    <cellStyle name="Normal 3 20" xfId="22930"/>
    <cellStyle name="Normal 3 20 2" xfId="22931"/>
    <cellStyle name="Normal 3 21" xfId="22932"/>
    <cellStyle name="Normal 3 22" xfId="22933"/>
    <cellStyle name="Normal 3 23" xfId="22934"/>
    <cellStyle name="Normal 3 24" xfId="22935"/>
    <cellStyle name="Normal 3 25" xfId="22936"/>
    <cellStyle name="Normal 3 26" xfId="22937"/>
    <cellStyle name="Normal 3 27" xfId="22938"/>
    <cellStyle name="Normal 3 28" xfId="22939"/>
    <cellStyle name="Normal 3 29" xfId="22940"/>
    <cellStyle name="Normal 3 3" xfId="22942"/>
    <cellStyle name="Normal 3 3 10" xfId="22943"/>
    <cellStyle name="Normal 3 3 10 2" xfId="22944"/>
    <cellStyle name="Normal 3 3 10 3" xfId="22945"/>
    <cellStyle name="Normal 3 3 11" xfId="22946"/>
    <cellStyle name="Normal 3 3 12" xfId="22947"/>
    <cellStyle name="Normal 3 3 13" xfId="22948"/>
    <cellStyle name="Normal 3 3 14" xfId="22949"/>
    <cellStyle name="Normal 3 3 15" xfId="22950"/>
    <cellStyle name="Normal 3 3 16" xfId="22951"/>
    <cellStyle name="Normal 3 3 17" xfId="22952"/>
    <cellStyle name="Normal 3 3 18" xfId="22953"/>
    <cellStyle name="Normal 3 3 2" xfId="22954"/>
    <cellStyle name="Normal 3 3 2 10" xfId="22955"/>
    <cellStyle name="Normal 3 3 2 10 2" xfId="22956"/>
    <cellStyle name="Normal 3 3 2 10 2 2" xfId="22957"/>
    <cellStyle name="Normal 3 3 2 10 2 3" xfId="22958"/>
    <cellStyle name="Normal 3 3 2 10 3" xfId="22959"/>
    <cellStyle name="Normal 3 3 2 10 4" xfId="22960"/>
    <cellStyle name="Normal 3 3 2 11" xfId="22961"/>
    <cellStyle name="Normal 3 3 2 11 2" xfId="22962"/>
    <cellStyle name="Normal 3 3 2 11 2 2" xfId="22963"/>
    <cellStyle name="Normal 3 3 2 11 2 3" xfId="22964"/>
    <cellStyle name="Normal 3 3 2 11 3" xfId="22965"/>
    <cellStyle name="Normal 3 3 2 11 4" xfId="22966"/>
    <cellStyle name="Normal 3 3 2 12" xfId="22967"/>
    <cellStyle name="Normal 3 3 2 12 2" xfId="22968"/>
    <cellStyle name="Normal 3 3 2 12 3" xfId="22969"/>
    <cellStyle name="Normal 3 3 2 13" xfId="22970"/>
    <cellStyle name="Normal 3 3 2 13 2" xfId="22971"/>
    <cellStyle name="Normal 3 3 2 13 3" xfId="22972"/>
    <cellStyle name="Normal 3 3 2 14" xfId="22973"/>
    <cellStyle name="Normal 3 3 2 15" xfId="22974"/>
    <cellStyle name="Normal 3 3 2 16" xfId="22975"/>
    <cellStyle name="Normal 3 3 2 17" xfId="22976"/>
    <cellStyle name="Normal 3 3 2 18" xfId="22977"/>
    <cellStyle name="Normal 3 3 2 2" xfId="22978"/>
    <cellStyle name="Normal 3 3 2 2 2" xfId="22979"/>
    <cellStyle name="Normal 3 3 2 2 2 2" xfId="22980"/>
    <cellStyle name="Normal 3 3 2 2 2 2 2" xfId="22981"/>
    <cellStyle name="Normal 3 3 2 2 2 2 3" xfId="22982"/>
    <cellStyle name="Normal 3 3 2 2 2 3" xfId="22983"/>
    <cellStyle name="Normal 3 3 2 2 2 3 2" xfId="22984"/>
    <cellStyle name="Normal 3 3 2 2 2 3 3" xfId="22985"/>
    <cellStyle name="Normal 3 3 2 2 2 4" xfId="22986"/>
    <cellStyle name="Normal 3 3 2 2 2 5" xfId="22987"/>
    <cellStyle name="Normal 3 3 2 2 3" xfId="22988"/>
    <cellStyle name="Normal 3 3 2 2 3 2" xfId="22989"/>
    <cellStyle name="Normal 3 3 2 2 3 2 2" xfId="22990"/>
    <cellStyle name="Normal 3 3 2 2 3 2 3" xfId="22991"/>
    <cellStyle name="Normal 3 3 2 2 3 3" xfId="22992"/>
    <cellStyle name="Normal 3 3 2 2 3 3 2" xfId="22993"/>
    <cellStyle name="Normal 3 3 2 2 3 3 3" xfId="22994"/>
    <cellStyle name="Normal 3 3 2 2 3 4" xfId="22995"/>
    <cellStyle name="Normal 3 3 2 2 3 5" xfId="22996"/>
    <cellStyle name="Normal 3 3 2 2 4" xfId="22997"/>
    <cellStyle name="Normal 3 3 2 2 4 2" xfId="22998"/>
    <cellStyle name="Normal 3 3 2 2 4 2 2" xfId="22999"/>
    <cellStyle name="Normal 3 3 2 2 4 2 3" xfId="23000"/>
    <cellStyle name="Normal 3 3 2 2 4 3" xfId="23001"/>
    <cellStyle name="Normal 3 3 2 2 4 4" xfId="23002"/>
    <cellStyle name="Normal 3 3 2 2 5" xfId="23003"/>
    <cellStyle name="Normal 3 3 2 2 5 2" xfId="23004"/>
    <cellStyle name="Normal 3 3 2 2 5 3" xfId="23005"/>
    <cellStyle name="Normal 3 3 2 2 6" xfId="23006"/>
    <cellStyle name="Normal 3 3 2 2 6 2" xfId="23007"/>
    <cellStyle name="Normal 3 3 2 2 6 3" xfId="23008"/>
    <cellStyle name="Normal 3 3 2 2 7" xfId="23009"/>
    <cellStyle name="Normal 3 3 2 2 8" xfId="23010"/>
    <cellStyle name="Normal 3 3 2 3" xfId="23011"/>
    <cellStyle name="Normal 3 3 2 3 2" xfId="23012"/>
    <cellStyle name="Normal 3 3 2 3 2 2" xfId="23013"/>
    <cellStyle name="Normal 3 3 2 3 2 3" xfId="23014"/>
    <cellStyle name="Normal 3 3 2 3 3" xfId="23015"/>
    <cellStyle name="Normal 3 3 2 3 3 2" xfId="23016"/>
    <cellStyle name="Normal 3 3 2 3 3 3" xfId="23017"/>
    <cellStyle name="Normal 3 3 2 3 4" xfId="23018"/>
    <cellStyle name="Normal 3 3 2 3 5" xfId="23019"/>
    <cellStyle name="Normal 3 3 2 4" xfId="23020"/>
    <cellStyle name="Normal 3 3 2 4 2" xfId="23021"/>
    <cellStyle name="Normal 3 3 2 4 2 2" xfId="23022"/>
    <cellStyle name="Normal 3 3 2 4 2 3" xfId="23023"/>
    <cellStyle name="Normal 3 3 2 4 3" xfId="23024"/>
    <cellStyle name="Normal 3 3 2 4 3 2" xfId="23025"/>
    <cellStyle name="Normal 3 3 2 4 3 3" xfId="23026"/>
    <cellStyle name="Normal 3 3 2 4 4" xfId="23027"/>
    <cellStyle name="Normal 3 3 2 4 5" xfId="23028"/>
    <cellStyle name="Normal 3 3 2 5" xfId="23029"/>
    <cellStyle name="Normal 3 3 2 5 2" xfId="23030"/>
    <cellStyle name="Normal 3 3 2 5 2 2" xfId="23031"/>
    <cellStyle name="Normal 3 3 2 5 2 3" xfId="23032"/>
    <cellStyle name="Normal 3 3 2 5 3" xfId="23033"/>
    <cellStyle name="Normal 3 3 2 5 3 2" xfId="23034"/>
    <cellStyle name="Normal 3 3 2 5 3 3" xfId="23035"/>
    <cellStyle name="Normal 3 3 2 5 4" xfId="23036"/>
    <cellStyle name="Normal 3 3 2 5 5" xfId="23037"/>
    <cellStyle name="Normal 3 3 2 6" xfId="23038"/>
    <cellStyle name="Normal 3 3 2 6 2" xfId="23039"/>
    <cellStyle name="Normal 3 3 2 6 2 2" xfId="23040"/>
    <cellStyle name="Normal 3 3 2 6 2 3" xfId="23041"/>
    <cellStyle name="Normal 3 3 2 6 3" xfId="23042"/>
    <cellStyle name="Normal 3 3 2 6 3 2" xfId="23043"/>
    <cellStyle name="Normal 3 3 2 6 3 3" xfId="23044"/>
    <cellStyle name="Normal 3 3 2 6 4" xfId="23045"/>
    <cellStyle name="Normal 3 3 2 6 5" xfId="23046"/>
    <cellStyle name="Normal 3 3 2 7" xfId="23047"/>
    <cellStyle name="Normal 3 3 2 7 2" xfId="23048"/>
    <cellStyle name="Normal 3 3 2 7 2 2" xfId="23049"/>
    <cellStyle name="Normal 3 3 2 7 2 3" xfId="23050"/>
    <cellStyle name="Normal 3 3 2 7 3" xfId="23051"/>
    <cellStyle name="Normal 3 3 2 7 3 2" xfId="23052"/>
    <cellStyle name="Normal 3 3 2 7 3 3" xfId="23053"/>
    <cellStyle name="Normal 3 3 2 7 4" xfId="23054"/>
    <cellStyle name="Normal 3 3 2 7 5" xfId="23055"/>
    <cellStyle name="Normal 3 3 2 8" xfId="23056"/>
    <cellStyle name="Normal 3 3 2 8 2" xfId="23057"/>
    <cellStyle name="Normal 3 3 2 8 2 2" xfId="23058"/>
    <cellStyle name="Normal 3 3 2 8 2 3" xfId="23059"/>
    <cellStyle name="Normal 3 3 2 8 3" xfId="23060"/>
    <cellStyle name="Normal 3 3 2 8 3 2" xfId="23061"/>
    <cellStyle name="Normal 3 3 2 8 3 3" xfId="23062"/>
    <cellStyle name="Normal 3 3 2 8 4" xfId="23063"/>
    <cellStyle name="Normal 3 3 2 8 5" xfId="23064"/>
    <cellStyle name="Normal 3 3 2 9" xfId="23065"/>
    <cellStyle name="Normal 3 3 2 9 2" xfId="23066"/>
    <cellStyle name="Normal 3 3 2 9 2 2" xfId="23067"/>
    <cellStyle name="Normal 3 3 2 9 2 3" xfId="23068"/>
    <cellStyle name="Normal 3 3 2 9 3" xfId="23069"/>
    <cellStyle name="Normal 3 3 2 9 4" xfId="23070"/>
    <cellStyle name="Normal 3 3 2_(9) 3 ACRs (GF) &amp; 2 ACRs (FF)" xfId="23071"/>
    <cellStyle name="Normal 3 3 3" xfId="23072"/>
    <cellStyle name="Normal 3 3 3 2" xfId="23073"/>
    <cellStyle name="Normal 3 3 3 2 2" xfId="23074"/>
    <cellStyle name="Normal 3 3 3 2 2 2" xfId="23075"/>
    <cellStyle name="Normal 3 3 3 2 2 3" xfId="23076"/>
    <cellStyle name="Normal 3 3 3 2 3" xfId="23077"/>
    <cellStyle name="Normal 3 3 3 2 4" xfId="23078"/>
    <cellStyle name="Normal 3 3 3 3" xfId="23079"/>
    <cellStyle name="Normal 3 3 3 3 2" xfId="23080"/>
    <cellStyle name="Normal 3 3 3 3 3" xfId="23081"/>
    <cellStyle name="Normal 3 3 3 4" xfId="23082"/>
    <cellStyle name="Normal 3 3 3 4 2" xfId="23083"/>
    <cellStyle name="Normal 3 3 3 4 3" xfId="23084"/>
    <cellStyle name="Normal 3 3 3 5" xfId="23085"/>
    <cellStyle name="Normal 3 3 3 6" xfId="23086"/>
    <cellStyle name="Normal 3 3 4" xfId="23087"/>
    <cellStyle name="Normal 3 3 4 2" xfId="23088"/>
    <cellStyle name="Normal 3 3 4 3" xfId="23089"/>
    <cellStyle name="Normal 3 3 5" xfId="23090"/>
    <cellStyle name="Normal 3 3 5 2" xfId="23091"/>
    <cellStyle name="Normal 3 3 5 3" xfId="23092"/>
    <cellStyle name="Normal 3 3 6" xfId="23093"/>
    <cellStyle name="Normal 3 3 6 2" xfId="23094"/>
    <cellStyle name="Normal 3 3 6 3" xfId="23095"/>
    <cellStyle name="Normal 3 3 7" xfId="23096"/>
    <cellStyle name="Normal 3 3 7 2" xfId="23097"/>
    <cellStyle name="Normal 3 3 7 3" xfId="23098"/>
    <cellStyle name="Normal 3 3 8" xfId="23099"/>
    <cellStyle name="Normal 3 3 8 2" xfId="23100"/>
    <cellStyle name="Normal 3 3 8 3" xfId="23101"/>
    <cellStyle name="Normal 3 3 9" xfId="23102"/>
    <cellStyle name="Normal 3 3 9 2" xfId="23103"/>
    <cellStyle name="Normal 3 3 9 3" xfId="23104"/>
    <cellStyle name="Normal 3 3_AH Bhainsa Estimate" xfId="23115"/>
    <cellStyle name="Normal 3 30" xfId="23105"/>
    <cellStyle name="Normal 3 31" xfId="23106"/>
    <cellStyle name="Normal 3 32" xfId="23107"/>
    <cellStyle name="Normal 3 33" xfId="23108"/>
    <cellStyle name="Normal 3 34" xfId="23109"/>
    <cellStyle name="Normal 3 35" xfId="23110"/>
    <cellStyle name="Normal 3 36" xfId="23111"/>
    <cellStyle name="Normal 3 37" xfId="23112"/>
    <cellStyle name="Normal 3 38" xfId="23113"/>
    <cellStyle name="Normal 3 39" xfId="23114"/>
    <cellStyle name="Normal 3 4" xfId="23116"/>
    <cellStyle name="Normal 3 4 10" xfId="23117"/>
    <cellStyle name="Normal 3 4 11" xfId="23118"/>
    <cellStyle name="Normal 3 4 12" xfId="23119"/>
    <cellStyle name="Normal 3 4 13" xfId="23120"/>
    <cellStyle name="Normal 3 4 14" xfId="23121"/>
    <cellStyle name="Normal 3 4 15" xfId="23122"/>
    <cellStyle name="Normal 3 4 16" xfId="23123"/>
    <cellStyle name="Normal 3 4 17" xfId="23124"/>
    <cellStyle name="Normal 3 4 18" xfId="23125"/>
    <cellStyle name="Normal 3 4 2" xfId="23126"/>
    <cellStyle name="Normal 3 4 2 10" xfId="23127"/>
    <cellStyle name="Normal 3 4 2 11" xfId="23128"/>
    <cellStyle name="Normal 3 4 2 12" xfId="23129"/>
    <cellStyle name="Normal 3 4 2 13" xfId="23130"/>
    <cellStyle name="Normal 3 4 2 14" xfId="23131"/>
    <cellStyle name="Normal 3 4 2 15" xfId="23132"/>
    <cellStyle name="Normal 3 4 2 16" xfId="23133"/>
    <cellStyle name="Normal 3 4 2 17" xfId="23134"/>
    <cellStyle name="Normal 3 4 2 2" xfId="23135"/>
    <cellStyle name="Normal 3 4 2 3" xfId="23136"/>
    <cellStyle name="Normal 3 4 2 4" xfId="23137"/>
    <cellStyle name="Normal 3 4 2 5" xfId="23138"/>
    <cellStyle name="Normal 3 4 2 6" xfId="23139"/>
    <cellStyle name="Normal 3 4 2 7" xfId="23140"/>
    <cellStyle name="Normal 3 4 2 8" xfId="23141"/>
    <cellStyle name="Normal 3 4 2 9" xfId="23142"/>
    <cellStyle name="Normal 3 4 3" xfId="23143"/>
    <cellStyle name="Normal 3 4 3 10" xfId="23144"/>
    <cellStyle name="Normal 3 4 3 11" xfId="23145"/>
    <cellStyle name="Normal 3 4 3 12" xfId="23146"/>
    <cellStyle name="Normal 3 4 3 13" xfId="23147"/>
    <cellStyle name="Normal 3 4 3 14" xfId="23148"/>
    <cellStyle name="Normal 3 4 3 15" xfId="23149"/>
    <cellStyle name="Normal 3 4 3 2" xfId="23150"/>
    <cellStyle name="Normal 3 4 3 2 10" xfId="23151"/>
    <cellStyle name="Normal 3 4 3 2 11" xfId="23152"/>
    <cellStyle name="Normal 3 4 3 2 12" xfId="23153"/>
    <cellStyle name="Normal 3 4 3 2 13" xfId="23154"/>
    <cellStyle name="Normal 3 4 3 2 14" xfId="23155"/>
    <cellStyle name="Normal 3 4 3 2 15" xfId="23156"/>
    <cellStyle name="Normal 3 4 3 2 2" xfId="23157"/>
    <cellStyle name="Normal 3 4 3 2 3" xfId="23158"/>
    <cellStyle name="Normal 3 4 3 2 4" xfId="23159"/>
    <cellStyle name="Normal 3 4 3 2 5" xfId="23160"/>
    <cellStyle name="Normal 3 4 3 2 6" xfId="23161"/>
    <cellStyle name="Normal 3 4 3 2 7" xfId="23162"/>
    <cellStyle name="Normal 3 4 3 2 8" xfId="23163"/>
    <cellStyle name="Normal 3 4 3 2 9" xfId="23164"/>
    <cellStyle name="Normal 3 4 3 3" xfId="23165"/>
    <cellStyle name="Normal 3 4 3 4" xfId="23166"/>
    <cellStyle name="Normal 3 4 3 5" xfId="23167"/>
    <cellStyle name="Normal 3 4 3 6" xfId="23168"/>
    <cellStyle name="Normal 3 4 3 7" xfId="23169"/>
    <cellStyle name="Normal 3 4 3 8" xfId="23170"/>
    <cellStyle name="Normal 3 4 3 9" xfId="23171"/>
    <cellStyle name="Normal 3 4 4" xfId="23172"/>
    <cellStyle name="Normal 3 4 5" xfId="23173"/>
    <cellStyle name="Normal 3 4 6" xfId="23174"/>
    <cellStyle name="Normal 3 4 7" xfId="23175"/>
    <cellStyle name="Normal 3 4 8" xfId="23176"/>
    <cellStyle name="Normal 3 4 9" xfId="23177"/>
    <cellStyle name="Normal 3 4_Hathnoora RSC Augmenation RE" xfId="23188"/>
    <cellStyle name="Normal 3 40" xfId="23178"/>
    <cellStyle name="Normal 3 41" xfId="23179"/>
    <cellStyle name="Normal 3 42" xfId="23180"/>
    <cellStyle name="Normal 3 43" xfId="23181"/>
    <cellStyle name="Normal 3 44" xfId="23182"/>
    <cellStyle name="Normal 3 45" xfId="23183"/>
    <cellStyle name="Normal 3 46" xfId="23184"/>
    <cellStyle name="Normal 3 47" xfId="23185"/>
    <cellStyle name="Normal 3 48" xfId="23186"/>
    <cellStyle name="Normal 3 49" xfId="23187"/>
    <cellStyle name="Normal 3 5" xfId="23189"/>
    <cellStyle name="Normal 3 5 10" xfId="23190"/>
    <cellStyle name="Normal 3 5 10 2" xfId="23191"/>
    <cellStyle name="Normal 3 5 10 2 2" xfId="23192"/>
    <cellStyle name="Normal 3 5 10 2 3" xfId="23193"/>
    <cellStyle name="Normal 3 5 11" xfId="23194"/>
    <cellStyle name="Normal 3 5 12" xfId="23195"/>
    <cellStyle name="Normal 3 5 13" xfId="23196"/>
    <cellStyle name="Normal 3 5 14" xfId="23197"/>
    <cellStyle name="Normal 3 5 14 2" xfId="23198"/>
    <cellStyle name="Normal 3 5 14 3" xfId="23199"/>
    <cellStyle name="Normal 3 5 15" xfId="23200"/>
    <cellStyle name="Normal 3 5 15 2" xfId="23201"/>
    <cellStyle name="Normal 3 5 15 3" xfId="23202"/>
    <cellStyle name="Normal 3 5 16" xfId="23203"/>
    <cellStyle name="Normal 3 5 17" xfId="23204"/>
    <cellStyle name="Normal 3 5 18" xfId="23205"/>
    <cellStyle name="Normal 3 5 2" xfId="23206"/>
    <cellStyle name="Normal 3 5 2 10" xfId="23207"/>
    <cellStyle name="Normal 3 5 2 10 2" xfId="23208"/>
    <cellStyle name="Normal 3 5 2 10 3" xfId="23209"/>
    <cellStyle name="Normal 3 5 2 11" xfId="23210"/>
    <cellStyle name="Normal 3 5 2 11 2" xfId="23211"/>
    <cellStyle name="Normal 3 5 2 11 3" xfId="23212"/>
    <cellStyle name="Normal 3 5 2 12" xfId="23213"/>
    <cellStyle name="Normal 3 5 2 13" xfId="23214"/>
    <cellStyle name="Normal 3 5 2 14" xfId="23215"/>
    <cellStyle name="Normal 3 5 2 2" xfId="23216"/>
    <cellStyle name="Normal 3 5 2 2 2" xfId="23217"/>
    <cellStyle name="Normal 3 5 2 2 2 2" xfId="23218"/>
    <cellStyle name="Normal 3 5 2 2 2 3" xfId="23219"/>
    <cellStyle name="Normal 3 5 2 2 2 4" xfId="23220"/>
    <cellStyle name="Normal 3 5 2 2 2 5" xfId="23221"/>
    <cellStyle name="Normal 3 5 2 2 3" xfId="23222"/>
    <cellStyle name="Normal 3 5 2 2 4" xfId="23223"/>
    <cellStyle name="Normal 3 5 2 2 5" xfId="23224"/>
    <cellStyle name="Normal 3 5 2 3" xfId="23225"/>
    <cellStyle name="Normal 3 5 2 3 2" xfId="23226"/>
    <cellStyle name="Normal 3 5 2 3 2 2" xfId="23227"/>
    <cellStyle name="Normal 3 5 2 3 2 3" xfId="23228"/>
    <cellStyle name="Normal 3 5 2 4" xfId="23229"/>
    <cellStyle name="Normal 3 5 2 4 2" xfId="23230"/>
    <cellStyle name="Normal 3 5 2 4 2 2" xfId="23231"/>
    <cellStyle name="Normal 3 5 2 4 2 3" xfId="23232"/>
    <cellStyle name="Normal 3 5 2 5" xfId="23233"/>
    <cellStyle name="Normal 3 5 2 5 2" xfId="23234"/>
    <cellStyle name="Normal 3 5 2 5 2 2" xfId="23235"/>
    <cellStyle name="Normal 3 5 2 5 2 3" xfId="23236"/>
    <cellStyle name="Normal 3 5 2 6" xfId="23237"/>
    <cellStyle name="Normal 3 5 2 6 2" xfId="23238"/>
    <cellStyle name="Normal 3 5 2 6 2 2" xfId="23239"/>
    <cellStyle name="Normal 3 5 2 6 2 3" xfId="23240"/>
    <cellStyle name="Normal 3 5 2 7" xfId="23241"/>
    <cellStyle name="Normal 3 5 2 7 2" xfId="23242"/>
    <cellStyle name="Normal 3 5 2 7 2 2" xfId="23243"/>
    <cellStyle name="Normal 3 5 2 7 2 3" xfId="23244"/>
    <cellStyle name="Normal 3 5 2 8" xfId="23245"/>
    <cellStyle name="Normal 3 5 2 8 2" xfId="23246"/>
    <cellStyle name="Normal 3 5 2 8 2 2" xfId="23247"/>
    <cellStyle name="Normal 3 5 2 8 2 3" xfId="23248"/>
    <cellStyle name="Normal 3 5 2 9" xfId="23249"/>
    <cellStyle name="Normal 3 5 3" xfId="23250"/>
    <cellStyle name="Normal 3 5 3 10" xfId="23251"/>
    <cellStyle name="Normal 3 5 3 11" xfId="23252"/>
    <cellStyle name="Normal 3 5 3 12" xfId="23253"/>
    <cellStyle name="Normal 3 5 3 2" xfId="23254"/>
    <cellStyle name="Normal 3 5 3 2 2" xfId="23255"/>
    <cellStyle name="Normal 3 5 3 2 2 2" xfId="23256"/>
    <cellStyle name="Normal 3 5 3 2 2 2 2" xfId="23257"/>
    <cellStyle name="Normal 3 5 3 2 2 2 3" xfId="23258"/>
    <cellStyle name="Normal 3 5 3 2 2 3" xfId="23259"/>
    <cellStyle name="Normal 3 5 3 2 2 4" xfId="23260"/>
    <cellStyle name="Normal 3 5 3 2 3" xfId="23261"/>
    <cellStyle name="Normal 3 5 3 2 3 2" xfId="23262"/>
    <cellStyle name="Normal 3 5 3 2 3 3" xfId="23263"/>
    <cellStyle name="Normal 3 5 3 2 4" xfId="23264"/>
    <cellStyle name="Normal 3 5 3 2 4 2" xfId="23265"/>
    <cellStyle name="Normal 3 5 3 2 4 3" xfId="23266"/>
    <cellStyle name="Normal 3 5 3 2 5" xfId="23267"/>
    <cellStyle name="Normal 3 5 3 2 6" xfId="23268"/>
    <cellStyle name="Normal 3 5 3 3" xfId="23269"/>
    <cellStyle name="Normal 3 5 3 3 2" xfId="23270"/>
    <cellStyle name="Normal 3 5 3 3 3" xfId="23271"/>
    <cellStyle name="Normal 3 5 3 4" xfId="23272"/>
    <cellStyle name="Normal 3 5 3 4 2" xfId="23273"/>
    <cellStyle name="Normal 3 5 3 4 3" xfId="23274"/>
    <cellStyle name="Normal 3 5 3 5" xfId="23275"/>
    <cellStyle name="Normal 3 5 3 5 2" xfId="23276"/>
    <cellStyle name="Normal 3 5 3 5 3" xfId="23277"/>
    <cellStyle name="Normal 3 5 3 6" xfId="23278"/>
    <cellStyle name="Normal 3 5 3 6 2" xfId="23279"/>
    <cellStyle name="Normal 3 5 3 6 3" xfId="23280"/>
    <cellStyle name="Normal 3 5 3 7" xfId="23281"/>
    <cellStyle name="Normal 3 5 3 7 2" xfId="23282"/>
    <cellStyle name="Normal 3 5 3 7 3" xfId="23283"/>
    <cellStyle name="Normal 3 5 3 8" xfId="23284"/>
    <cellStyle name="Normal 3 5 3 8 2" xfId="23285"/>
    <cellStyle name="Normal 3 5 3 8 3" xfId="23286"/>
    <cellStyle name="Normal 3 5 3 9" xfId="23287"/>
    <cellStyle name="Normal 3 5 3 9 2" xfId="23288"/>
    <cellStyle name="Normal 3 5 3 9 3" xfId="23289"/>
    <cellStyle name="Normal 3 5 4" xfId="23290"/>
    <cellStyle name="Normal 3 5 4 2" xfId="23291"/>
    <cellStyle name="Normal 3 5 4 2 2" xfId="23292"/>
    <cellStyle name="Normal 3 5 4 2 2 2" xfId="23293"/>
    <cellStyle name="Normal 3 5 4 2 2 3" xfId="23294"/>
    <cellStyle name="Normal 3 5 4 2 3" xfId="23295"/>
    <cellStyle name="Normal 3 5 4 2 3 2" xfId="23296"/>
    <cellStyle name="Normal 3 5 4 2 3 3" xfId="23297"/>
    <cellStyle name="Normal 3 5 4 2 4" xfId="23298"/>
    <cellStyle name="Normal 3 5 4 2 5" xfId="23299"/>
    <cellStyle name="Normal 3 5 4 3" xfId="23300"/>
    <cellStyle name="Normal 3 5 4 3 2" xfId="23301"/>
    <cellStyle name="Normal 3 5 4 3 3" xfId="23302"/>
    <cellStyle name="Normal 3 5 4 4" xfId="23303"/>
    <cellStyle name="Normal 3 5 4 4 2" xfId="23304"/>
    <cellStyle name="Normal 3 5 4 4 3" xfId="23305"/>
    <cellStyle name="Normal 3 5 4 5" xfId="23306"/>
    <cellStyle name="Normal 3 5 4 6" xfId="23307"/>
    <cellStyle name="Normal 3 5 5" xfId="23308"/>
    <cellStyle name="Normal 3 5 5 2" xfId="23309"/>
    <cellStyle name="Normal 3 5 5 2 2" xfId="23310"/>
    <cellStyle name="Normal 3 5 5 2 2 2" xfId="23311"/>
    <cellStyle name="Normal 3 5 5 2 2 3" xfId="23312"/>
    <cellStyle name="Normal 3 5 5 2 3" xfId="23313"/>
    <cellStyle name="Normal 3 5 5 2 3 2" xfId="23314"/>
    <cellStyle name="Normal 3 5 5 2 3 3" xfId="23315"/>
    <cellStyle name="Normal 3 5 5 2 4" xfId="23316"/>
    <cellStyle name="Normal 3 5 5 2 5" xfId="23317"/>
    <cellStyle name="Normal 3 5 5 3" xfId="23318"/>
    <cellStyle name="Normal 3 5 5 3 2" xfId="23319"/>
    <cellStyle name="Normal 3 5 5 3 3" xfId="23320"/>
    <cellStyle name="Normal 3 5 5 4" xfId="23321"/>
    <cellStyle name="Normal 3 5 5 4 2" xfId="23322"/>
    <cellStyle name="Normal 3 5 5 4 3" xfId="23323"/>
    <cellStyle name="Normal 3 5 5 5" xfId="23324"/>
    <cellStyle name="Normal 3 5 5 6" xfId="23325"/>
    <cellStyle name="Normal 3 5 6" xfId="23326"/>
    <cellStyle name="Normal 3 5 6 2" xfId="23327"/>
    <cellStyle name="Normal 3 5 6 2 2" xfId="23328"/>
    <cellStyle name="Normal 3 5 6 2 3" xfId="23329"/>
    <cellStyle name="Normal 3 5 7" xfId="23330"/>
    <cellStyle name="Normal 3 5 7 2" xfId="23331"/>
    <cellStyle name="Normal 3 5 7 2 2" xfId="23332"/>
    <cellStyle name="Normal 3 5 7 2 3" xfId="23333"/>
    <cellStyle name="Normal 3 5 8" xfId="23334"/>
    <cellStyle name="Normal 3 5 8 2" xfId="23335"/>
    <cellStyle name="Normal 3 5 8 2 2" xfId="23336"/>
    <cellStyle name="Normal 3 5 8 2 3" xfId="23337"/>
    <cellStyle name="Normal 3 5 9" xfId="23338"/>
    <cellStyle name="Normal 3 5 9 2" xfId="23339"/>
    <cellStyle name="Normal 3 5 9 2 2" xfId="23340"/>
    <cellStyle name="Normal 3 5 9 2 3" xfId="23341"/>
    <cellStyle name="Normal 3 5_AH Bhainsa Estimate" xfId="23352"/>
    <cellStyle name="Normal 3 50" xfId="23342"/>
    <cellStyle name="Normal 3 51" xfId="23343"/>
    <cellStyle name="Normal 3 52" xfId="23344"/>
    <cellStyle name="Normal 3 53" xfId="23345"/>
    <cellStyle name="Normal 3 54" xfId="23346"/>
    <cellStyle name="Normal 3 55" xfId="23347"/>
    <cellStyle name="Normal 3 56" xfId="23348"/>
    <cellStyle name="Normal 3 57" xfId="23349"/>
    <cellStyle name="Normal 3 58" xfId="23350"/>
    <cellStyle name="Normal 3 59" xfId="23351"/>
    <cellStyle name="Normal 3 6" xfId="23353"/>
    <cellStyle name="Normal 3 6 10" xfId="23354"/>
    <cellStyle name="Normal 3 6 11" xfId="23355"/>
    <cellStyle name="Normal 3 6 11 2" xfId="23356"/>
    <cellStyle name="Normal 3 6 11 3" xfId="23357"/>
    <cellStyle name="Normal 3 6 11 3 2" xfId="23358"/>
    <cellStyle name="Normal 3 6 11 3 3" xfId="23359"/>
    <cellStyle name="Normal 3 6 11 4" xfId="23360"/>
    <cellStyle name="Normal 3 6 11 5" xfId="23361"/>
    <cellStyle name="Normal 3 6 11_Corrected Spl Task information Peddapalli Division" xfId="23362"/>
    <cellStyle name="Normal 3 6 12" xfId="23363"/>
    <cellStyle name="Normal 3 6 12 2" xfId="23364"/>
    <cellStyle name="Normal 3 6 12 3" xfId="23365"/>
    <cellStyle name="Normal 3 6 13" xfId="23366"/>
    <cellStyle name="Normal 3 6 13 2" xfId="23367"/>
    <cellStyle name="Normal 3 6 13 3" xfId="23368"/>
    <cellStyle name="Normal 3 6 14" xfId="23369"/>
    <cellStyle name="Normal 3 6 15" xfId="23370"/>
    <cellStyle name="Normal 3 6 16" xfId="23371"/>
    <cellStyle name="Normal 3 6 2" xfId="23372"/>
    <cellStyle name="Normal 3 6 2 10" xfId="23373"/>
    <cellStyle name="Normal 3 6 2 11" xfId="23374"/>
    <cellStyle name="Normal 3 6 2 12" xfId="23375"/>
    <cellStyle name="Normal 3 6 2 2" xfId="23376"/>
    <cellStyle name="Normal 3 6 2 2 2" xfId="23377"/>
    <cellStyle name="Normal 3 6 2 2 2 2" xfId="23378"/>
    <cellStyle name="Normal 3 6 2 2 2 3" xfId="23379"/>
    <cellStyle name="Normal 3 6 2 2 3" xfId="23380"/>
    <cellStyle name="Normal 3 6 2 2 3 2" xfId="23381"/>
    <cellStyle name="Normal 3 6 2 2 3 3" xfId="23382"/>
    <cellStyle name="Normal 3 6 2 2 4" xfId="23383"/>
    <cellStyle name="Normal 3 6 2 2 5" xfId="23384"/>
    <cellStyle name="Normal 3 6 2 3" xfId="23385"/>
    <cellStyle name="Normal 3 6 2 3 2" xfId="23386"/>
    <cellStyle name="Normal 3 6 2 3 2 2" xfId="23387"/>
    <cellStyle name="Normal 3 6 2 3 2 3" xfId="23388"/>
    <cellStyle name="Normal 3 6 2 3 3" xfId="23389"/>
    <cellStyle name="Normal 3 6 2 3 3 2" xfId="23390"/>
    <cellStyle name="Normal 3 6 2 3 3 3" xfId="23391"/>
    <cellStyle name="Normal 3 6 2 3 4" xfId="23392"/>
    <cellStyle name="Normal 3 6 2 3 5" xfId="23393"/>
    <cellStyle name="Normal 3 6 2 4" xfId="23394"/>
    <cellStyle name="Normal 3 6 2 4 2" xfId="23395"/>
    <cellStyle name="Normal 3 6 2 4 2 2" xfId="23396"/>
    <cellStyle name="Normal 3 6 2 4 2 3" xfId="23397"/>
    <cellStyle name="Normal 3 6 2 4 3" xfId="23398"/>
    <cellStyle name="Normal 3 6 2 4 3 2" xfId="23399"/>
    <cellStyle name="Normal 3 6 2 4 3 3" xfId="23400"/>
    <cellStyle name="Normal 3 6 2 4 4" xfId="23401"/>
    <cellStyle name="Normal 3 6 2 4 5" xfId="23402"/>
    <cellStyle name="Normal 3 6 2 5" xfId="23403"/>
    <cellStyle name="Normal 3 6 2 5 2" xfId="23404"/>
    <cellStyle name="Normal 3 6 2 5 2 2" xfId="23405"/>
    <cellStyle name="Normal 3 6 2 5 2 3" xfId="23406"/>
    <cellStyle name="Normal 3 6 2 6" xfId="23407"/>
    <cellStyle name="Normal 3 6 2 6 2" xfId="23408"/>
    <cellStyle name="Normal 3 6 2 6 3" xfId="23409"/>
    <cellStyle name="Normal 3 6 2 7" xfId="23410"/>
    <cellStyle name="Normal 3 6 2 7 2" xfId="23411"/>
    <cellStyle name="Normal 3 6 2 7 3" xfId="23412"/>
    <cellStyle name="Normal 3 6 2 8" xfId="23413"/>
    <cellStyle name="Normal 3 6 2 8 2" xfId="23414"/>
    <cellStyle name="Normal 3 6 2 8 3" xfId="23415"/>
    <cellStyle name="Normal 3 6 2 9" xfId="23416"/>
    <cellStyle name="Normal 3 6 2 9 2" xfId="23417"/>
    <cellStyle name="Normal 3 6 2 9 3" xfId="23418"/>
    <cellStyle name="Normal 3 6 3" xfId="23419"/>
    <cellStyle name="Normal 3 6 3 2" xfId="23420"/>
    <cellStyle name="Normal 3 6 3 2 2" xfId="23421"/>
    <cellStyle name="Normal 3 6 3 2 2 2" xfId="23422"/>
    <cellStyle name="Normal 3 6 3 2 2 3" xfId="23423"/>
    <cellStyle name="Normal 3 6 3 2 3" xfId="23424"/>
    <cellStyle name="Normal 3 6 3 2 4" xfId="23425"/>
    <cellStyle name="Normal 3 6 3 2 5" xfId="23426"/>
    <cellStyle name="Normal 3 6 3 3" xfId="23427"/>
    <cellStyle name="Normal 3 6 3 3 2" xfId="23428"/>
    <cellStyle name="Normal 3 6 3 3 2 2" xfId="23429"/>
    <cellStyle name="Normal 3 6 3 3 2 3" xfId="23430"/>
    <cellStyle name="Normal 3 6 3 3 3" xfId="23431"/>
    <cellStyle name="Normal 3 6 3 3 4" xfId="23432"/>
    <cellStyle name="Normal 3 6 3 4" xfId="23433"/>
    <cellStyle name="Normal 3 6 3 4 2" xfId="23434"/>
    <cellStyle name="Normal 3 6 3 4 3" xfId="23435"/>
    <cellStyle name="Normal 3 6 3 5" xfId="23436"/>
    <cellStyle name="Normal 3 6 3 6" xfId="23437"/>
    <cellStyle name="Normal 3 6 3 7" xfId="23438"/>
    <cellStyle name="Normal 3 6 3_Corrected Spl Task information Peddapalli Division" xfId="23439"/>
    <cellStyle name="Normal 3 6 4" xfId="23440"/>
    <cellStyle name="Normal 3 6 4 2" xfId="23441"/>
    <cellStyle name="Normal 3 6 4 2 2" xfId="23442"/>
    <cellStyle name="Normal 3 6 4 2 3" xfId="23443"/>
    <cellStyle name="Normal 3 6 5" xfId="23444"/>
    <cellStyle name="Normal 3 6 5 2" xfId="23445"/>
    <cellStyle name="Normal 3 6 5 2 2" xfId="23446"/>
    <cellStyle name="Normal 3 6 5 2 3" xfId="23447"/>
    <cellStyle name="Normal 3 6 6" xfId="23448"/>
    <cellStyle name="Normal 3 6 6 2" xfId="23449"/>
    <cellStyle name="Normal 3 6 6 2 2" xfId="23450"/>
    <cellStyle name="Normal 3 6 6 2 3" xfId="23451"/>
    <cellStyle name="Normal 3 6 7" xfId="23452"/>
    <cellStyle name="Normal 3 6 7 2" xfId="23453"/>
    <cellStyle name="Normal 3 6 7 2 2" xfId="23454"/>
    <cellStyle name="Normal 3 6 7 2 3" xfId="23455"/>
    <cellStyle name="Normal 3 6 8" xfId="23456"/>
    <cellStyle name="Normal 3 6 8 2" xfId="23457"/>
    <cellStyle name="Normal 3 6 8 2 2" xfId="23458"/>
    <cellStyle name="Normal 3 6 8 2 3" xfId="23459"/>
    <cellStyle name="Normal 3 6 9" xfId="23460"/>
    <cellStyle name="Normal 3 6 9 2" xfId="23461"/>
    <cellStyle name="Normal 3 6 9 3" xfId="23462"/>
    <cellStyle name="Normal 3 6 9 3 2" xfId="23463"/>
    <cellStyle name="Normal 3 6 9 3 3" xfId="23464"/>
    <cellStyle name="Normal 3 6 9_Corrected Spl Task information Peddapalli Division" xfId="23465"/>
    <cellStyle name="Normal 3 6_AH Bhainsa Estimate" xfId="23473"/>
    <cellStyle name="Normal 3 60" xfId="23466"/>
    <cellStyle name="Normal 3 61" xfId="23467"/>
    <cellStyle name="Normal 3 62" xfId="23468"/>
    <cellStyle name="Normal 3 63" xfId="23469"/>
    <cellStyle name="Normal 3 64" xfId="23470"/>
    <cellStyle name="Normal 3 65" xfId="23471"/>
    <cellStyle name="Normal 3 66" xfId="23472"/>
    <cellStyle name="Normal 3 7" xfId="23474"/>
    <cellStyle name="Normal 3 7 10" xfId="23475"/>
    <cellStyle name="Normal 3 7 10 2" xfId="23476"/>
    <cellStyle name="Normal 3 7 10 2 2" xfId="23477"/>
    <cellStyle name="Normal 3 7 10 2 3" xfId="23478"/>
    <cellStyle name="Normal 3 7 11" xfId="23479"/>
    <cellStyle name="Normal 3 7 12" xfId="23480"/>
    <cellStyle name="Normal 3 7 12 2" xfId="23481"/>
    <cellStyle name="Normal 3 7 12 3" xfId="23482"/>
    <cellStyle name="Normal 3 7 13" xfId="23483"/>
    <cellStyle name="Normal 3 7 13 2" xfId="23484"/>
    <cellStyle name="Normal 3 7 13 3" xfId="23485"/>
    <cellStyle name="Normal 3 7 14" xfId="23486"/>
    <cellStyle name="Normal 3 7 15" xfId="23487"/>
    <cellStyle name="Normal 3 7 16" xfId="23488"/>
    <cellStyle name="Normal 3 7 2" xfId="23489"/>
    <cellStyle name="Normal 3 7 2 10" xfId="23490"/>
    <cellStyle name="Normal 3 7 2 11" xfId="23491"/>
    <cellStyle name="Normal 3 7 2 12" xfId="23492"/>
    <cellStyle name="Normal 3 7 2 2" xfId="23493"/>
    <cellStyle name="Normal 3 7 2 2 2" xfId="23494"/>
    <cellStyle name="Normal 3 7 2 2 2 2" xfId="23495"/>
    <cellStyle name="Normal 3 7 2 2 2 3" xfId="23496"/>
    <cellStyle name="Normal 3 7 2 2 2 4" xfId="23497"/>
    <cellStyle name="Normal 3 7 2 2 2 5" xfId="23498"/>
    <cellStyle name="Normal 3 7 2 2 3" xfId="23499"/>
    <cellStyle name="Normal 3 7 2 2 4" xfId="23500"/>
    <cellStyle name="Normal 3 7 2 2 5" xfId="23501"/>
    <cellStyle name="Normal 3 7 2 3" xfId="23502"/>
    <cellStyle name="Normal 3 7 2 3 2" xfId="23503"/>
    <cellStyle name="Normal 3 7 2 3 3" xfId="23504"/>
    <cellStyle name="Normal 3 7 2 4" xfId="23505"/>
    <cellStyle name="Normal 3 7 2 4 2" xfId="23506"/>
    <cellStyle name="Normal 3 7 2 4 3" xfId="23507"/>
    <cellStyle name="Normal 3 7 2 5" xfId="23508"/>
    <cellStyle name="Normal 3 7 2 5 2" xfId="23509"/>
    <cellStyle name="Normal 3 7 2 5 3" xfId="23510"/>
    <cellStyle name="Normal 3 7 2 6" xfId="23511"/>
    <cellStyle name="Normal 3 7 2 6 2" xfId="23512"/>
    <cellStyle name="Normal 3 7 2 6 3" xfId="23513"/>
    <cellStyle name="Normal 3 7 2 7" xfId="23514"/>
    <cellStyle name="Normal 3 7 2 7 2" xfId="23515"/>
    <cellStyle name="Normal 3 7 2 7 3" xfId="23516"/>
    <cellStyle name="Normal 3 7 2 8" xfId="23517"/>
    <cellStyle name="Normal 3 7 2 8 2" xfId="23518"/>
    <cellStyle name="Normal 3 7 2 8 3" xfId="23519"/>
    <cellStyle name="Normal 3 7 2 9" xfId="23520"/>
    <cellStyle name="Normal 3 7 2 9 2" xfId="23521"/>
    <cellStyle name="Normal 3 7 2 9 3" xfId="23522"/>
    <cellStyle name="Normal 3 7 3" xfId="23523"/>
    <cellStyle name="Normal 3 7 3 10" xfId="23524"/>
    <cellStyle name="Normal 3 7 3 11" xfId="23525"/>
    <cellStyle name="Normal 3 7 3 12" xfId="23526"/>
    <cellStyle name="Normal 3 7 3 2" xfId="23527"/>
    <cellStyle name="Normal 3 7 3 2 2" xfId="23528"/>
    <cellStyle name="Normal 3 7 3 2 2 2" xfId="23529"/>
    <cellStyle name="Normal 3 7 3 2 2 3" xfId="23530"/>
    <cellStyle name="Normal 3 7 3 2 3" xfId="23531"/>
    <cellStyle name="Normal 3 7 3 2 3 2" xfId="23532"/>
    <cellStyle name="Normal 3 7 3 2 3 3" xfId="23533"/>
    <cellStyle name="Normal 3 7 3 2 4" xfId="23534"/>
    <cellStyle name="Normal 3 7 3 2 5" xfId="23535"/>
    <cellStyle name="Normal 3 7 3 3" xfId="23536"/>
    <cellStyle name="Normal 3 7 3 3 2" xfId="23537"/>
    <cellStyle name="Normal 3 7 3 3 3" xfId="23538"/>
    <cellStyle name="Normal 3 7 3 4" xfId="23539"/>
    <cellStyle name="Normal 3 7 3 4 2" xfId="23540"/>
    <cellStyle name="Normal 3 7 3 4 3" xfId="23541"/>
    <cellStyle name="Normal 3 7 3 5" xfId="23542"/>
    <cellStyle name="Normal 3 7 3 5 2" xfId="23543"/>
    <cellStyle name="Normal 3 7 3 5 3" xfId="23544"/>
    <cellStyle name="Normal 3 7 3 6" xfId="23545"/>
    <cellStyle name="Normal 3 7 3 6 2" xfId="23546"/>
    <cellStyle name="Normal 3 7 3 6 3" xfId="23547"/>
    <cellStyle name="Normal 3 7 3 7" xfId="23548"/>
    <cellStyle name="Normal 3 7 3 7 2" xfId="23549"/>
    <cellStyle name="Normal 3 7 3 7 3" xfId="23550"/>
    <cellStyle name="Normal 3 7 3 8" xfId="23551"/>
    <cellStyle name="Normal 3 7 3 8 2" xfId="23552"/>
    <cellStyle name="Normal 3 7 3 8 3" xfId="23553"/>
    <cellStyle name="Normal 3 7 3 9" xfId="23554"/>
    <cellStyle name="Normal 3 7 3 9 2" xfId="23555"/>
    <cellStyle name="Normal 3 7 3 9 3" xfId="23556"/>
    <cellStyle name="Normal 3 7 4" xfId="23557"/>
    <cellStyle name="Normal 3 7 4 2" xfId="23558"/>
    <cellStyle name="Normal 3 7 4 2 2" xfId="23559"/>
    <cellStyle name="Normal 3 7 4 2 3" xfId="23560"/>
    <cellStyle name="Normal 3 7 4 2 4" xfId="23561"/>
    <cellStyle name="Normal 3 7 4 2 5" xfId="23562"/>
    <cellStyle name="Normal 3 7 4 3" xfId="23563"/>
    <cellStyle name="Normal 3 7 4 4" xfId="23564"/>
    <cellStyle name="Normal 3 7 4 5" xfId="23565"/>
    <cellStyle name="Normal 3 7 5" xfId="23566"/>
    <cellStyle name="Normal 3 7 5 2" xfId="23567"/>
    <cellStyle name="Normal 3 7 5 2 2" xfId="23568"/>
    <cellStyle name="Normal 3 7 5 2 3" xfId="23569"/>
    <cellStyle name="Normal 3 7 6" xfId="23570"/>
    <cellStyle name="Normal 3 7 6 2" xfId="23571"/>
    <cellStyle name="Normal 3 7 6 2 2" xfId="23572"/>
    <cellStyle name="Normal 3 7 6 2 3" xfId="23573"/>
    <cellStyle name="Normal 3 7 7" xfId="23574"/>
    <cellStyle name="Normal 3 7 7 2" xfId="23575"/>
    <cellStyle name="Normal 3 7 7 2 2" xfId="23576"/>
    <cellStyle name="Normal 3 7 7 2 3" xfId="23577"/>
    <cellStyle name="Normal 3 7 8" xfId="23578"/>
    <cellStyle name="Normal 3 7 8 2" xfId="23579"/>
    <cellStyle name="Normal 3 7 8 2 2" xfId="23580"/>
    <cellStyle name="Normal 3 7 8 2 3" xfId="23581"/>
    <cellStyle name="Normal 3 7 9" xfId="23582"/>
    <cellStyle name="Normal 3 7 9 2" xfId="23583"/>
    <cellStyle name="Normal 3 7 9 2 2" xfId="23584"/>
    <cellStyle name="Normal 3 7 9 2 3" xfId="23585"/>
    <cellStyle name="Normal 3 7_AH Bhainsa Estimate" xfId="23586"/>
    <cellStyle name="Normal 3 8" xfId="23587"/>
    <cellStyle name="Normal 3 8 10" xfId="23588"/>
    <cellStyle name="Normal 3 8 11" xfId="23589"/>
    <cellStyle name="Normal 3 8 11 2" xfId="23590"/>
    <cellStyle name="Normal 3 8 11 3" xfId="23591"/>
    <cellStyle name="Normal 3 8 12" xfId="23592"/>
    <cellStyle name="Normal 3 8 12 2" xfId="23593"/>
    <cellStyle name="Normal 3 8 12 3" xfId="23594"/>
    <cellStyle name="Normal 3 8 13" xfId="23595"/>
    <cellStyle name="Normal 3 8 14" xfId="23596"/>
    <cellStyle name="Normal 3 8 15" xfId="23597"/>
    <cellStyle name="Normal 3 8 2" xfId="23598"/>
    <cellStyle name="Normal 3 8 2 10" xfId="23599"/>
    <cellStyle name="Normal 3 8 2 11" xfId="23600"/>
    <cellStyle name="Normal 3 8 2 12" xfId="23601"/>
    <cellStyle name="Normal 3 8 2 2" xfId="23602"/>
    <cellStyle name="Normal 3 8 2 2 2" xfId="23603"/>
    <cellStyle name="Normal 3 8 2 2 2 2" xfId="23604"/>
    <cellStyle name="Normal 3 8 2 2 2 2 2" xfId="23605"/>
    <cellStyle name="Normal 3 8 2 2 2 2 3" xfId="23606"/>
    <cellStyle name="Normal 3 8 2 2 2 3" xfId="23607"/>
    <cellStyle name="Normal 3 8 2 2 2 4" xfId="23608"/>
    <cellStyle name="Normal 3 8 2 2 3" xfId="23609"/>
    <cellStyle name="Normal 3 8 2 2 3 2" xfId="23610"/>
    <cellStyle name="Normal 3 8 2 2 3 3" xfId="23611"/>
    <cellStyle name="Normal 3 8 2 2 4" xfId="23612"/>
    <cellStyle name="Normal 3 8 2 2 4 2" xfId="23613"/>
    <cellStyle name="Normal 3 8 2 2 4 3" xfId="23614"/>
    <cellStyle name="Normal 3 8 2 2 5" xfId="23615"/>
    <cellStyle name="Normal 3 8 2 2 6" xfId="23616"/>
    <cellStyle name="Normal 3 8 2 3" xfId="23617"/>
    <cellStyle name="Normal 3 8 2 3 2" xfId="23618"/>
    <cellStyle name="Normal 3 8 2 3 3" xfId="23619"/>
    <cellStyle name="Normal 3 8 2 4" xfId="23620"/>
    <cellStyle name="Normal 3 8 2 4 2" xfId="23621"/>
    <cellStyle name="Normal 3 8 2 4 3" xfId="23622"/>
    <cellStyle name="Normal 3 8 2 5" xfId="23623"/>
    <cellStyle name="Normal 3 8 2 5 2" xfId="23624"/>
    <cellStyle name="Normal 3 8 2 5 3" xfId="23625"/>
    <cellStyle name="Normal 3 8 2 6" xfId="23626"/>
    <cellStyle name="Normal 3 8 2 6 2" xfId="23627"/>
    <cellStyle name="Normal 3 8 2 6 3" xfId="23628"/>
    <cellStyle name="Normal 3 8 2 7" xfId="23629"/>
    <cellStyle name="Normal 3 8 2 7 2" xfId="23630"/>
    <cellStyle name="Normal 3 8 2 7 3" xfId="23631"/>
    <cellStyle name="Normal 3 8 2 8" xfId="23632"/>
    <cellStyle name="Normal 3 8 2 8 2" xfId="23633"/>
    <cellStyle name="Normal 3 8 2 8 3" xfId="23634"/>
    <cellStyle name="Normal 3 8 2 9" xfId="23635"/>
    <cellStyle name="Normal 3 8 2 9 2" xfId="23636"/>
    <cellStyle name="Normal 3 8 2 9 3" xfId="23637"/>
    <cellStyle name="Normal 3 8 3" xfId="23638"/>
    <cellStyle name="Normal 3 8 3 2" xfId="23639"/>
    <cellStyle name="Normal 3 8 3 2 2" xfId="23640"/>
    <cellStyle name="Normal 3 8 3 2 3" xfId="23641"/>
    <cellStyle name="Normal 3 8 3 2 4" xfId="23642"/>
    <cellStyle name="Normal 3 8 3 2 5" xfId="23643"/>
    <cellStyle name="Normal 3 8 3 3" xfId="23644"/>
    <cellStyle name="Normal 3 8 3 3 2" xfId="23645"/>
    <cellStyle name="Normal 3 8 3 3 3" xfId="23646"/>
    <cellStyle name="Normal 3 8 3 4" xfId="23647"/>
    <cellStyle name="Normal 3 8 3 5" xfId="23648"/>
    <cellStyle name="Normal 3 8 3 6" xfId="23649"/>
    <cellStyle name="Normal 3 8 4" xfId="23650"/>
    <cellStyle name="Normal 3 8 4 2" xfId="23651"/>
    <cellStyle name="Normal 3 8 4 2 2" xfId="23652"/>
    <cellStyle name="Normal 3 8 4 2 3" xfId="23653"/>
    <cellStyle name="Normal 3 8 5" xfId="23654"/>
    <cellStyle name="Normal 3 8 5 2" xfId="23655"/>
    <cellStyle name="Normal 3 8 5 2 2" xfId="23656"/>
    <cellStyle name="Normal 3 8 5 2 3" xfId="23657"/>
    <cellStyle name="Normal 3 8 6" xfId="23658"/>
    <cellStyle name="Normal 3 8 6 2" xfId="23659"/>
    <cellStyle name="Normal 3 8 6 2 2" xfId="23660"/>
    <cellStyle name="Normal 3 8 6 2 3" xfId="23661"/>
    <cellStyle name="Normal 3 8 7" xfId="23662"/>
    <cellStyle name="Normal 3 8 7 2" xfId="23663"/>
    <cellStyle name="Normal 3 8 7 2 2" xfId="23664"/>
    <cellStyle name="Normal 3 8 7 2 3" xfId="23665"/>
    <cellStyle name="Normal 3 8 8" xfId="23666"/>
    <cellStyle name="Normal 3 8 8 2" xfId="23667"/>
    <cellStyle name="Normal 3 8 8 2 2" xfId="23668"/>
    <cellStyle name="Normal 3 8 8 2 3" xfId="23669"/>
    <cellStyle name="Normal 3 8 9" xfId="23670"/>
    <cellStyle name="Normal 3 8 9 2" xfId="23671"/>
    <cellStyle name="Normal 3 8 9 2 2" xfId="23672"/>
    <cellStyle name="Normal 3 8 9 2 3" xfId="23673"/>
    <cellStyle name="Normal 3 8_AH Bhainsa Estimate" xfId="23674"/>
    <cellStyle name="Normal 3 9" xfId="23675"/>
    <cellStyle name="Normal 3 9 10" xfId="23676"/>
    <cellStyle name="Normal 3 9 11" xfId="23677"/>
    <cellStyle name="Normal 3 9 12" xfId="23678"/>
    <cellStyle name="Normal 3 9 13" xfId="23679"/>
    <cellStyle name="Normal 3 9 13 2" xfId="23680"/>
    <cellStyle name="Normal 3 9 13 3" xfId="23681"/>
    <cellStyle name="Normal 3 9 14" xfId="23682"/>
    <cellStyle name="Normal 3 9 14 2" xfId="23683"/>
    <cellStyle name="Normal 3 9 14 3" xfId="23684"/>
    <cellStyle name="Normal 3 9 15" xfId="23685"/>
    <cellStyle name="Normal 3 9 16" xfId="23686"/>
    <cellStyle name="Normal 3 9 17" xfId="23687"/>
    <cellStyle name="Normal 3 9 2" xfId="23688"/>
    <cellStyle name="Normal 3 9 2 2" xfId="23689"/>
    <cellStyle name="Normal 3 9 2 2 2" xfId="23690"/>
    <cellStyle name="Normal 3 9 2 2 3" xfId="23691"/>
    <cellStyle name="Normal 3 9 2 3" xfId="23692"/>
    <cellStyle name="Normal 3 9 2 3 2" xfId="23693"/>
    <cellStyle name="Normal 3 9 2 3 3" xfId="23694"/>
    <cellStyle name="Normal 3 9 2 4" xfId="23695"/>
    <cellStyle name="Normal 3 9 2 4 2" xfId="23696"/>
    <cellStyle name="Normal 3 9 2 4 3" xfId="23697"/>
    <cellStyle name="Normal 3 9 2 5" xfId="23698"/>
    <cellStyle name="Normal 3 9 2 6" xfId="23699"/>
    <cellStyle name="Normal 3 9 3" xfId="23700"/>
    <cellStyle name="Normal 3 9 3 2" xfId="23701"/>
    <cellStyle name="Normal 3 9 3 2 2" xfId="23702"/>
    <cellStyle name="Normal 3 9 3 2 3" xfId="23703"/>
    <cellStyle name="Normal 3 9 3 3" xfId="23704"/>
    <cellStyle name="Normal 3 9 3 3 2" xfId="23705"/>
    <cellStyle name="Normal 3 9 3 3 3" xfId="23706"/>
    <cellStyle name="Normal 3 9 3 4" xfId="23707"/>
    <cellStyle name="Normal 3 9 3 4 2" xfId="23708"/>
    <cellStyle name="Normal 3 9 3 4 3" xfId="23709"/>
    <cellStyle name="Normal 3 9 3 5" xfId="23710"/>
    <cellStyle name="Normal 3 9 3 6" xfId="23711"/>
    <cellStyle name="Normal 3 9 4" xfId="23712"/>
    <cellStyle name="Normal 3 9 4 2" xfId="23713"/>
    <cellStyle name="Normal 3 9 4 2 2" xfId="23714"/>
    <cellStyle name="Normal 3 9 4 2 2 2" xfId="23715"/>
    <cellStyle name="Normal 3 9 4 2 2 3" xfId="23716"/>
    <cellStyle name="Normal 3 9 4 2 3" xfId="23717"/>
    <cellStyle name="Normal 3 9 4 2 3 2" xfId="23718"/>
    <cellStyle name="Normal 3 9 4 2 3 3" xfId="23719"/>
    <cellStyle name="Normal 3 9 4 2 4" xfId="23720"/>
    <cellStyle name="Normal 3 9 4 2 5" xfId="23721"/>
    <cellStyle name="Normal 3 9 4 3" xfId="23722"/>
    <cellStyle name="Normal 3 9 4 3 2" xfId="23723"/>
    <cellStyle name="Normal 3 9 4 3 3" xfId="23724"/>
    <cellStyle name="Normal 3 9 4 4" xfId="23725"/>
    <cellStyle name="Normal 3 9 4 4 2" xfId="23726"/>
    <cellStyle name="Normal 3 9 4 4 3" xfId="23727"/>
    <cellStyle name="Normal 3 9 4 5" xfId="23728"/>
    <cellStyle name="Normal 3 9 4 6" xfId="23729"/>
    <cellStyle name="Normal 3 9 5" xfId="23730"/>
    <cellStyle name="Normal 3 9 5 2" xfId="23731"/>
    <cellStyle name="Normal 3 9 5 2 2" xfId="23732"/>
    <cellStyle name="Normal 3 9 5 2 3" xfId="23733"/>
    <cellStyle name="Normal 3 9 5 3" xfId="23734"/>
    <cellStyle name="Normal 3 9 5 3 2" xfId="23735"/>
    <cellStyle name="Normal 3 9 5 3 3" xfId="23736"/>
    <cellStyle name="Normal 3 9 6" xfId="23737"/>
    <cellStyle name="Normal 3 9 6 2" xfId="23738"/>
    <cellStyle name="Normal 3 9 6 2 2" xfId="23739"/>
    <cellStyle name="Normal 3 9 6 2 3" xfId="23740"/>
    <cellStyle name="Normal 3 9 7" xfId="23741"/>
    <cellStyle name="Normal 3 9 7 2" xfId="23742"/>
    <cellStyle name="Normal 3 9 7 2 2" xfId="23743"/>
    <cellStyle name="Normal 3 9 7 2 3" xfId="23744"/>
    <cellStyle name="Normal 3 9 8" xfId="23745"/>
    <cellStyle name="Normal 3 9 8 2" xfId="23746"/>
    <cellStyle name="Normal 3 9 8 2 2" xfId="23747"/>
    <cellStyle name="Normal 3 9 8 2 3" xfId="23748"/>
    <cellStyle name="Normal 3 9 9" xfId="23749"/>
    <cellStyle name="Normal 3_(9) 3 ACRs (GF) &amp; 2 ACRs (FF)" xfId="25167"/>
    <cellStyle name="Normal 30" xfId="23750"/>
    <cellStyle name="Normal 30 10" xfId="23751"/>
    <cellStyle name="Normal 30 10 2" xfId="23752"/>
    <cellStyle name="Normal 30 10 2 2" xfId="23753"/>
    <cellStyle name="Normal 30 10 2 3" xfId="23754"/>
    <cellStyle name="Normal 30 11" xfId="23755"/>
    <cellStyle name="Normal 30 12" xfId="23756"/>
    <cellStyle name="Normal 30 12 2" xfId="23757"/>
    <cellStyle name="Normal 30 12 3" xfId="23758"/>
    <cellStyle name="Normal 30 13" xfId="23759"/>
    <cellStyle name="Normal 30 13 2" xfId="23760"/>
    <cellStyle name="Normal 30 13 3" xfId="23761"/>
    <cellStyle name="Normal 30 14" xfId="23762"/>
    <cellStyle name="Normal 30 15" xfId="23763"/>
    <cellStyle name="Normal 30 16" xfId="23764"/>
    <cellStyle name="Normal 30 2" xfId="23765"/>
    <cellStyle name="Normal 30 2 10" xfId="23766"/>
    <cellStyle name="Normal 30 2 11" xfId="23767"/>
    <cellStyle name="Normal 30 2 2" xfId="23768"/>
    <cellStyle name="Normal 30 2 2 10" xfId="23769"/>
    <cellStyle name="Normal 30 2 2 10 2" xfId="23770"/>
    <cellStyle name="Normal 30 2 2 10 3" xfId="23771"/>
    <cellStyle name="Normal 30 2 2 11" xfId="23772"/>
    <cellStyle name="Normal 30 2 2 12" xfId="23773"/>
    <cellStyle name="Normal 30 2 2 13" xfId="23774"/>
    <cellStyle name="Normal 30 2 2 2" xfId="23775"/>
    <cellStyle name="Normal 30 2 2 2 2" xfId="23776"/>
    <cellStyle name="Normal 30 2 2 2 3" xfId="23777"/>
    <cellStyle name="Normal 30 2 2 3" xfId="23778"/>
    <cellStyle name="Normal 30 2 2 3 2" xfId="23779"/>
    <cellStyle name="Normal 30 2 2 3 3" xfId="23780"/>
    <cellStyle name="Normal 30 2 2 4" xfId="23781"/>
    <cellStyle name="Normal 30 2 2 4 2" xfId="23782"/>
    <cellStyle name="Normal 30 2 2 4 3" xfId="23783"/>
    <cellStyle name="Normal 30 2 2 5" xfId="23784"/>
    <cellStyle name="Normal 30 2 2 5 2" xfId="23785"/>
    <cellStyle name="Normal 30 2 2 5 3" xfId="23786"/>
    <cellStyle name="Normal 30 2 2 6" xfId="23787"/>
    <cellStyle name="Normal 30 2 2 6 2" xfId="23788"/>
    <cellStyle name="Normal 30 2 2 6 3" xfId="23789"/>
    <cellStyle name="Normal 30 2 2 7" xfId="23790"/>
    <cellStyle name="Normal 30 2 2 7 2" xfId="23791"/>
    <cellStyle name="Normal 30 2 2 7 3" xfId="23792"/>
    <cellStyle name="Normal 30 2 2 8" xfId="23793"/>
    <cellStyle name="Normal 30 2 2 8 2" xfId="23794"/>
    <cellStyle name="Normal 30 2 2 8 3" xfId="23795"/>
    <cellStyle name="Normal 30 2 2 9" xfId="23796"/>
    <cellStyle name="Normal 30 2 2 9 2" xfId="23797"/>
    <cellStyle name="Normal 30 2 2 9 3" xfId="23798"/>
    <cellStyle name="Normal 30 2 3" xfId="23799"/>
    <cellStyle name="Normal 30 2 4" xfId="23800"/>
    <cellStyle name="Normal 30 2 5" xfId="23801"/>
    <cellStyle name="Normal 30 2 6" xfId="23802"/>
    <cellStyle name="Normal 30 2 7" xfId="23803"/>
    <cellStyle name="Normal 30 2 8" xfId="23804"/>
    <cellStyle name="Normal 30 2 9" xfId="23805"/>
    <cellStyle name="Normal 30 3" xfId="23806"/>
    <cellStyle name="Normal 30 3 2" xfId="23807"/>
    <cellStyle name="Normal 30 3 2 10" xfId="23808"/>
    <cellStyle name="Normal 30 3 2 11" xfId="23809"/>
    <cellStyle name="Normal 30 3 2 12" xfId="23810"/>
    <cellStyle name="Normal 30 3 2 2" xfId="23811"/>
    <cellStyle name="Normal 30 3 2 2 2" xfId="23812"/>
    <cellStyle name="Normal 30 3 2 2 3" xfId="23813"/>
    <cellStyle name="Normal 30 3 2 3" xfId="23814"/>
    <cellStyle name="Normal 30 3 2 3 2" xfId="23815"/>
    <cellStyle name="Normal 30 3 2 3 3" xfId="23816"/>
    <cellStyle name="Normal 30 3 2 4" xfId="23817"/>
    <cellStyle name="Normal 30 3 2 4 2" xfId="23818"/>
    <cellStyle name="Normal 30 3 2 4 3" xfId="23819"/>
    <cellStyle name="Normal 30 3 2 5" xfId="23820"/>
    <cellStyle name="Normal 30 3 2 5 2" xfId="23821"/>
    <cellStyle name="Normal 30 3 2 5 3" xfId="23822"/>
    <cellStyle name="Normal 30 3 2 6" xfId="23823"/>
    <cellStyle name="Normal 30 3 2 6 2" xfId="23824"/>
    <cellStyle name="Normal 30 3 2 6 3" xfId="23825"/>
    <cellStyle name="Normal 30 3 2 7" xfId="23826"/>
    <cellStyle name="Normal 30 3 2 7 2" xfId="23827"/>
    <cellStyle name="Normal 30 3 2 7 3" xfId="23828"/>
    <cellStyle name="Normal 30 3 2 8" xfId="23829"/>
    <cellStyle name="Normal 30 3 2 8 2" xfId="23830"/>
    <cellStyle name="Normal 30 3 2 8 3" xfId="23831"/>
    <cellStyle name="Normal 30 3 2 9" xfId="23832"/>
    <cellStyle name="Normal 30 3 2 9 2" xfId="23833"/>
    <cellStyle name="Normal 30 3 2 9 3" xfId="23834"/>
    <cellStyle name="Normal 30 3 3" xfId="23835"/>
    <cellStyle name="Normal 30 4" xfId="23836"/>
    <cellStyle name="Normal 30 4 2" xfId="23837"/>
    <cellStyle name="Normal 30 4 2 2" xfId="23838"/>
    <cellStyle name="Normal 30 4 2 3" xfId="23839"/>
    <cellStyle name="Normal 30 4 2 4" xfId="23840"/>
    <cellStyle name="Normal 30 4 2 5" xfId="23841"/>
    <cellStyle name="Normal 30 4 3" xfId="23842"/>
    <cellStyle name="Normal 30 4 4" xfId="23843"/>
    <cellStyle name="Normal 30 4 5" xfId="23844"/>
    <cellStyle name="Normal 30 5" xfId="23845"/>
    <cellStyle name="Normal 30 5 2" xfId="23846"/>
    <cellStyle name="Normal 30 5 2 2" xfId="23847"/>
    <cellStyle name="Normal 30 5 2 3" xfId="23848"/>
    <cellStyle name="Normal 30 6" xfId="23849"/>
    <cellStyle name="Normal 30 6 2" xfId="23850"/>
    <cellStyle name="Normal 30 6 2 2" xfId="23851"/>
    <cellStyle name="Normal 30 6 2 3" xfId="23852"/>
    <cellStyle name="Normal 30 7" xfId="23853"/>
    <cellStyle name="Normal 30 7 2" xfId="23854"/>
    <cellStyle name="Normal 30 7 2 2" xfId="23855"/>
    <cellStyle name="Normal 30 7 2 3" xfId="23856"/>
    <cellStyle name="Normal 30 8" xfId="23857"/>
    <cellStyle name="Normal 30 8 2" xfId="23858"/>
    <cellStyle name="Normal 30 8 2 2" xfId="23859"/>
    <cellStyle name="Normal 30 8 2 3" xfId="23860"/>
    <cellStyle name="Normal 30 9" xfId="23861"/>
    <cellStyle name="Normal 30 9 2" xfId="23862"/>
    <cellStyle name="Normal 30 9 2 2" xfId="23863"/>
    <cellStyle name="Normal 30 9 2 3" xfId="23864"/>
    <cellStyle name="Normal 30_AH Bhainsa Estimate" xfId="23865"/>
    <cellStyle name="Normal 31" xfId="23866"/>
    <cellStyle name="Normal 31 10" xfId="23867"/>
    <cellStyle name="Normal 31 10 2" xfId="23868"/>
    <cellStyle name="Normal 31 10 2 2" xfId="23869"/>
    <cellStyle name="Normal 31 10 2 3" xfId="23870"/>
    <cellStyle name="Normal 31 11" xfId="23871"/>
    <cellStyle name="Normal 31 12" xfId="23872"/>
    <cellStyle name="Normal 31 12 2" xfId="23873"/>
    <cellStyle name="Normal 31 12 3" xfId="23874"/>
    <cellStyle name="Normal 31 13" xfId="23875"/>
    <cellStyle name="Normal 31 13 2" xfId="23876"/>
    <cellStyle name="Normal 31 13 3" xfId="23877"/>
    <cellStyle name="Normal 31 14" xfId="23878"/>
    <cellStyle name="Normal 31 15" xfId="23879"/>
    <cellStyle name="Normal 31 16" xfId="23880"/>
    <cellStyle name="Normal 31 2" xfId="23881"/>
    <cellStyle name="Normal 31 2 10" xfId="23882"/>
    <cellStyle name="Normal 31 2 11" xfId="23883"/>
    <cellStyle name="Normal 31 2 2" xfId="23884"/>
    <cellStyle name="Normal 31 2 2 10" xfId="23885"/>
    <cellStyle name="Normal 31 2 2 10 2" xfId="23886"/>
    <cellStyle name="Normal 31 2 2 10 3" xfId="23887"/>
    <cellStyle name="Normal 31 2 2 11" xfId="23888"/>
    <cellStyle name="Normal 31 2 2 12" xfId="23889"/>
    <cellStyle name="Normal 31 2 2 13" xfId="23890"/>
    <cellStyle name="Normal 31 2 2 2" xfId="23891"/>
    <cellStyle name="Normal 31 2 2 2 2" xfId="23892"/>
    <cellStyle name="Normal 31 2 2 2 3" xfId="23893"/>
    <cellStyle name="Normal 31 2 2 3" xfId="23894"/>
    <cellStyle name="Normal 31 2 2 3 2" xfId="23895"/>
    <cellStyle name="Normal 31 2 2 3 3" xfId="23896"/>
    <cellStyle name="Normal 31 2 2 4" xfId="23897"/>
    <cellStyle name="Normal 31 2 2 4 2" xfId="23898"/>
    <cellStyle name="Normal 31 2 2 4 3" xfId="23899"/>
    <cellStyle name="Normal 31 2 2 5" xfId="23900"/>
    <cellStyle name="Normal 31 2 2 5 2" xfId="23901"/>
    <cellStyle name="Normal 31 2 2 5 3" xfId="23902"/>
    <cellStyle name="Normal 31 2 2 6" xfId="23903"/>
    <cellStyle name="Normal 31 2 2 6 2" xfId="23904"/>
    <cellStyle name="Normal 31 2 2 6 3" xfId="23905"/>
    <cellStyle name="Normal 31 2 2 7" xfId="23906"/>
    <cellStyle name="Normal 31 2 2 7 2" xfId="23907"/>
    <cellStyle name="Normal 31 2 2 7 3" xfId="23908"/>
    <cellStyle name="Normal 31 2 2 8" xfId="23909"/>
    <cellStyle name="Normal 31 2 2 8 2" xfId="23910"/>
    <cellStyle name="Normal 31 2 2 8 3" xfId="23911"/>
    <cellStyle name="Normal 31 2 2 9" xfId="23912"/>
    <cellStyle name="Normal 31 2 2 9 2" xfId="23913"/>
    <cellStyle name="Normal 31 2 2 9 3" xfId="23914"/>
    <cellStyle name="Normal 31 2 3" xfId="23915"/>
    <cellStyle name="Normal 31 2 4" xfId="23916"/>
    <cellStyle name="Normal 31 2 5" xfId="23917"/>
    <cellStyle name="Normal 31 2 6" xfId="23918"/>
    <cellStyle name="Normal 31 2 7" xfId="23919"/>
    <cellStyle name="Normal 31 2 8" xfId="23920"/>
    <cellStyle name="Normal 31 2 9" xfId="23921"/>
    <cellStyle name="Normal 31 3" xfId="23922"/>
    <cellStyle name="Normal 31 3 2" xfId="23923"/>
    <cellStyle name="Normal 31 3 2 10" xfId="23924"/>
    <cellStyle name="Normal 31 3 2 11" xfId="23925"/>
    <cellStyle name="Normal 31 3 2 12" xfId="23926"/>
    <cellStyle name="Normal 31 3 2 2" xfId="23927"/>
    <cellStyle name="Normal 31 3 2 2 2" xfId="23928"/>
    <cellStyle name="Normal 31 3 2 2 3" xfId="23929"/>
    <cellStyle name="Normal 31 3 2 3" xfId="23930"/>
    <cellStyle name="Normal 31 3 2 3 2" xfId="23931"/>
    <cellStyle name="Normal 31 3 2 3 3" xfId="23932"/>
    <cellStyle name="Normal 31 3 2 4" xfId="23933"/>
    <cellStyle name="Normal 31 3 2 4 2" xfId="23934"/>
    <cellStyle name="Normal 31 3 2 4 3" xfId="23935"/>
    <cellStyle name="Normal 31 3 2 5" xfId="23936"/>
    <cellStyle name="Normal 31 3 2 5 2" xfId="23937"/>
    <cellStyle name="Normal 31 3 2 5 3" xfId="23938"/>
    <cellStyle name="Normal 31 3 2 6" xfId="23939"/>
    <cellStyle name="Normal 31 3 2 6 2" xfId="23940"/>
    <cellStyle name="Normal 31 3 2 6 3" xfId="23941"/>
    <cellStyle name="Normal 31 3 2 7" xfId="23942"/>
    <cellStyle name="Normal 31 3 2 7 2" xfId="23943"/>
    <cellStyle name="Normal 31 3 2 7 3" xfId="23944"/>
    <cellStyle name="Normal 31 3 2 8" xfId="23945"/>
    <cellStyle name="Normal 31 3 2 8 2" xfId="23946"/>
    <cellStyle name="Normal 31 3 2 8 3" xfId="23947"/>
    <cellStyle name="Normal 31 3 2 9" xfId="23948"/>
    <cellStyle name="Normal 31 3 2 9 2" xfId="23949"/>
    <cellStyle name="Normal 31 3 2 9 3" xfId="23950"/>
    <cellStyle name="Normal 31 3 3" xfId="23951"/>
    <cellStyle name="Normal 31 4" xfId="23952"/>
    <cellStyle name="Normal 31 4 2" xfId="23953"/>
    <cellStyle name="Normal 31 4 2 2" xfId="23954"/>
    <cellStyle name="Normal 31 4 2 3" xfId="23955"/>
    <cellStyle name="Normal 31 4 2 4" xfId="23956"/>
    <cellStyle name="Normal 31 4 2 5" xfId="23957"/>
    <cellStyle name="Normal 31 4 3" xfId="23958"/>
    <cellStyle name="Normal 31 4 4" xfId="23959"/>
    <cellStyle name="Normal 31 4 5" xfId="23960"/>
    <cellStyle name="Normal 31 5" xfId="23961"/>
    <cellStyle name="Normal 31 5 2" xfId="23962"/>
    <cellStyle name="Normal 31 5 2 2" xfId="23963"/>
    <cellStyle name="Normal 31 5 2 3" xfId="23964"/>
    <cellStyle name="Normal 31 6" xfId="23965"/>
    <cellStyle name="Normal 31 6 2" xfId="23966"/>
    <cellStyle name="Normal 31 6 2 2" xfId="23967"/>
    <cellStyle name="Normal 31 6 2 3" xfId="23968"/>
    <cellStyle name="Normal 31 7" xfId="23969"/>
    <cellStyle name="Normal 31 7 2" xfId="23970"/>
    <cellStyle name="Normal 31 7 2 2" xfId="23971"/>
    <cellStyle name="Normal 31 7 2 3" xfId="23972"/>
    <cellStyle name="Normal 31 8" xfId="23973"/>
    <cellStyle name="Normal 31 8 2" xfId="23974"/>
    <cellStyle name="Normal 31 8 2 2" xfId="23975"/>
    <cellStyle name="Normal 31 8 2 3" xfId="23976"/>
    <cellStyle name="Normal 31 9" xfId="23977"/>
    <cellStyle name="Normal 31 9 2" xfId="23978"/>
    <cellStyle name="Normal 31 9 2 2" xfId="23979"/>
    <cellStyle name="Normal 31 9 2 3" xfId="23980"/>
    <cellStyle name="Normal 31_AH Bhainsa Estimate" xfId="23981"/>
    <cellStyle name="Normal 32" xfId="23982"/>
    <cellStyle name="Normal 32 10" xfId="23983"/>
    <cellStyle name="Normal 32 10 2" xfId="23984"/>
    <cellStyle name="Normal 32 10 2 2" xfId="23985"/>
    <cellStyle name="Normal 32 10 2 3" xfId="23986"/>
    <cellStyle name="Normal 32 11" xfId="23987"/>
    <cellStyle name="Normal 32 12" xfId="23988"/>
    <cellStyle name="Normal 32 12 2" xfId="23989"/>
    <cellStyle name="Normal 32 12 3" xfId="23990"/>
    <cellStyle name="Normal 32 13" xfId="23991"/>
    <cellStyle name="Normal 32 13 2" xfId="23992"/>
    <cellStyle name="Normal 32 13 3" xfId="23993"/>
    <cellStyle name="Normal 32 14" xfId="23994"/>
    <cellStyle name="Normal 32 15" xfId="23995"/>
    <cellStyle name="Normal 32 16" xfId="23996"/>
    <cellStyle name="Normal 32 2" xfId="23997"/>
    <cellStyle name="Normal 32 2 10" xfId="23998"/>
    <cellStyle name="Normal 32 2 11" xfId="23999"/>
    <cellStyle name="Normal 32 2 2" xfId="24000"/>
    <cellStyle name="Normal 32 2 2 10" xfId="24001"/>
    <cellStyle name="Normal 32 2 2 10 2" xfId="24002"/>
    <cellStyle name="Normal 32 2 2 10 3" xfId="24003"/>
    <cellStyle name="Normal 32 2 2 11" xfId="24004"/>
    <cellStyle name="Normal 32 2 2 12" xfId="24005"/>
    <cellStyle name="Normal 32 2 2 13" xfId="24006"/>
    <cellStyle name="Normal 32 2 2 2" xfId="24007"/>
    <cellStyle name="Normal 32 2 2 2 2" xfId="24008"/>
    <cellStyle name="Normal 32 2 2 2 3" xfId="24009"/>
    <cellStyle name="Normal 32 2 2 3" xfId="24010"/>
    <cellStyle name="Normal 32 2 2 3 2" xfId="24011"/>
    <cellStyle name="Normal 32 2 2 3 3" xfId="24012"/>
    <cellStyle name="Normal 32 2 2 4" xfId="24013"/>
    <cellStyle name="Normal 32 2 2 4 2" xfId="24014"/>
    <cellStyle name="Normal 32 2 2 4 3" xfId="24015"/>
    <cellStyle name="Normal 32 2 2 5" xfId="24016"/>
    <cellStyle name="Normal 32 2 2 5 2" xfId="24017"/>
    <cellStyle name="Normal 32 2 2 5 3" xfId="24018"/>
    <cellStyle name="Normal 32 2 2 6" xfId="24019"/>
    <cellStyle name="Normal 32 2 2 6 2" xfId="24020"/>
    <cellStyle name="Normal 32 2 2 6 3" xfId="24021"/>
    <cellStyle name="Normal 32 2 2 7" xfId="24022"/>
    <cellStyle name="Normal 32 2 2 7 2" xfId="24023"/>
    <cellStyle name="Normal 32 2 2 7 3" xfId="24024"/>
    <cellStyle name="Normal 32 2 2 8" xfId="24025"/>
    <cellStyle name="Normal 32 2 2 8 2" xfId="24026"/>
    <cellStyle name="Normal 32 2 2 8 3" xfId="24027"/>
    <cellStyle name="Normal 32 2 2 9" xfId="24028"/>
    <cellStyle name="Normal 32 2 2 9 2" xfId="24029"/>
    <cellStyle name="Normal 32 2 2 9 3" xfId="24030"/>
    <cellStyle name="Normal 32 2 3" xfId="24031"/>
    <cellStyle name="Normal 32 2 4" xfId="24032"/>
    <cellStyle name="Normal 32 2 5" xfId="24033"/>
    <cellStyle name="Normal 32 2 6" xfId="24034"/>
    <cellStyle name="Normal 32 2 7" xfId="24035"/>
    <cellStyle name="Normal 32 2 8" xfId="24036"/>
    <cellStyle name="Normal 32 2 9" xfId="24037"/>
    <cellStyle name="Normal 32 3" xfId="24038"/>
    <cellStyle name="Normal 32 3 2" xfId="24039"/>
    <cellStyle name="Normal 32 3 2 10" xfId="24040"/>
    <cellStyle name="Normal 32 3 2 11" xfId="24041"/>
    <cellStyle name="Normal 32 3 2 12" xfId="24042"/>
    <cellStyle name="Normal 32 3 2 2" xfId="24043"/>
    <cellStyle name="Normal 32 3 2 2 2" xfId="24044"/>
    <cellStyle name="Normal 32 3 2 2 3" xfId="24045"/>
    <cellStyle name="Normal 32 3 2 3" xfId="24046"/>
    <cellStyle name="Normal 32 3 2 3 2" xfId="24047"/>
    <cellStyle name="Normal 32 3 2 3 3" xfId="24048"/>
    <cellStyle name="Normal 32 3 2 4" xfId="24049"/>
    <cellStyle name="Normal 32 3 2 4 2" xfId="24050"/>
    <cellStyle name="Normal 32 3 2 4 3" xfId="24051"/>
    <cellStyle name="Normal 32 3 2 5" xfId="24052"/>
    <cellStyle name="Normal 32 3 2 5 2" xfId="24053"/>
    <cellStyle name="Normal 32 3 2 5 3" xfId="24054"/>
    <cellStyle name="Normal 32 3 2 6" xfId="24055"/>
    <cellStyle name="Normal 32 3 2 6 2" xfId="24056"/>
    <cellStyle name="Normal 32 3 2 6 3" xfId="24057"/>
    <cellStyle name="Normal 32 3 2 7" xfId="24058"/>
    <cellStyle name="Normal 32 3 2 7 2" xfId="24059"/>
    <cellStyle name="Normal 32 3 2 7 3" xfId="24060"/>
    <cellStyle name="Normal 32 3 2 8" xfId="24061"/>
    <cellStyle name="Normal 32 3 2 8 2" xfId="24062"/>
    <cellStyle name="Normal 32 3 2 8 3" xfId="24063"/>
    <cellStyle name="Normal 32 3 2 9" xfId="24064"/>
    <cellStyle name="Normal 32 3 2 9 2" xfId="24065"/>
    <cellStyle name="Normal 32 3 2 9 3" xfId="24066"/>
    <cellStyle name="Normal 32 3 3" xfId="24067"/>
    <cellStyle name="Normal 32 4" xfId="24068"/>
    <cellStyle name="Normal 32 4 2" xfId="24069"/>
    <cellStyle name="Normal 32 4 2 2" xfId="24070"/>
    <cellStyle name="Normal 32 4 2 3" xfId="24071"/>
    <cellStyle name="Normal 32 4 2 4" xfId="24072"/>
    <cellStyle name="Normal 32 4 2 5" xfId="24073"/>
    <cellStyle name="Normal 32 4 3" xfId="24074"/>
    <cellStyle name="Normal 32 4 4" xfId="24075"/>
    <cellStyle name="Normal 32 4 5" xfId="24076"/>
    <cellStyle name="Normal 32 5" xfId="24077"/>
    <cellStyle name="Normal 32 5 2" xfId="24078"/>
    <cellStyle name="Normal 32 5 2 2" xfId="24079"/>
    <cellStyle name="Normal 32 5 2 3" xfId="24080"/>
    <cellStyle name="Normal 32 6" xfId="24081"/>
    <cellStyle name="Normal 32 6 2" xfId="24082"/>
    <cellStyle name="Normal 32 6 2 2" xfId="24083"/>
    <cellStyle name="Normal 32 6 2 3" xfId="24084"/>
    <cellStyle name="Normal 32 7" xfId="24085"/>
    <cellStyle name="Normal 32 7 2" xfId="24086"/>
    <cellStyle name="Normal 32 7 2 2" xfId="24087"/>
    <cellStyle name="Normal 32 7 2 3" xfId="24088"/>
    <cellStyle name="Normal 32 8" xfId="24089"/>
    <cellStyle name="Normal 32 8 2" xfId="24090"/>
    <cellStyle name="Normal 32 8 2 2" xfId="24091"/>
    <cellStyle name="Normal 32 8 2 3" xfId="24092"/>
    <cellStyle name="Normal 32 9" xfId="24093"/>
    <cellStyle name="Normal 32 9 2" xfId="24094"/>
    <cellStyle name="Normal 32 9 2 2" xfId="24095"/>
    <cellStyle name="Normal 32 9 2 3" xfId="24096"/>
    <cellStyle name="Normal 32_AH Bhainsa Estimate" xfId="24097"/>
    <cellStyle name="Normal 33" xfId="24098"/>
    <cellStyle name="Normal 33 10" xfId="24099"/>
    <cellStyle name="Normal 33 10 2" xfId="24100"/>
    <cellStyle name="Normal 33 10 2 2" xfId="24101"/>
    <cellStyle name="Normal 33 10 2 3" xfId="24102"/>
    <cellStyle name="Normal 33 11" xfId="24103"/>
    <cellStyle name="Normal 33 12" xfId="24104"/>
    <cellStyle name="Normal 33 12 2" xfId="24105"/>
    <cellStyle name="Normal 33 12 3" xfId="24106"/>
    <cellStyle name="Normal 33 13" xfId="24107"/>
    <cellStyle name="Normal 33 13 2" xfId="24108"/>
    <cellStyle name="Normal 33 13 3" xfId="24109"/>
    <cellStyle name="Normal 33 14" xfId="24110"/>
    <cellStyle name="Normal 33 15" xfId="24111"/>
    <cellStyle name="Normal 33 16" xfId="24112"/>
    <cellStyle name="Normal 33 2" xfId="24113"/>
    <cellStyle name="Normal 33 2 10" xfId="24114"/>
    <cellStyle name="Normal 33 2 11" xfId="24115"/>
    <cellStyle name="Normal 33 2 12" xfId="24116"/>
    <cellStyle name="Normal 33 2 2" xfId="24117"/>
    <cellStyle name="Normal 33 2 2 10" xfId="24118"/>
    <cellStyle name="Normal 33 2 2 10 2" xfId="24119"/>
    <cellStyle name="Normal 33 2 2 10 3" xfId="24120"/>
    <cellStyle name="Normal 33 2 2 11" xfId="24121"/>
    <cellStyle name="Normal 33 2 2 12" xfId="24122"/>
    <cellStyle name="Normal 33 2 2 13" xfId="24123"/>
    <cellStyle name="Normal 33 2 2 2" xfId="24124"/>
    <cellStyle name="Normal 33 2 2 2 2" xfId="24125"/>
    <cellStyle name="Normal 33 2 2 3" xfId="24126"/>
    <cellStyle name="Normal 33 2 2 3 2" xfId="24127"/>
    <cellStyle name="Normal 33 2 2 3 3" xfId="24128"/>
    <cellStyle name="Normal 33 2 2 4" xfId="24129"/>
    <cellStyle name="Normal 33 2 2 4 2" xfId="24130"/>
    <cellStyle name="Normal 33 2 2 4 3" xfId="24131"/>
    <cellStyle name="Normal 33 2 2 5" xfId="24132"/>
    <cellStyle name="Normal 33 2 2 5 2" xfId="24133"/>
    <cellStyle name="Normal 33 2 2 5 3" xfId="24134"/>
    <cellStyle name="Normal 33 2 2 6" xfId="24135"/>
    <cellStyle name="Normal 33 2 2 6 2" xfId="24136"/>
    <cellStyle name="Normal 33 2 2 6 3" xfId="24137"/>
    <cellStyle name="Normal 33 2 2 7" xfId="24138"/>
    <cellStyle name="Normal 33 2 2 7 2" xfId="24139"/>
    <cellStyle name="Normal 33 2 2 7 3" xfId="24140"/>
    <cellStyle name="Normal 33 2 2 8" xfId="24141"/>
    <cellStyle name="Normal 33 2 2 8 2" xfId="24142"/>
    <cellStyle name="Normal 33 2 2 8 3" xfId="24143"/>
    <cellStyle name="Normal 33 2 2 9" xfId="24144"/>
    <cellStyle name="Normal 33 2 2 9 2" xfId="24145"/>
    <cellStyle name="Normal 33 2 2 9 3" xfId="24146"/>
    <cellStyle name="Normal 33 2 3" xfId="24147"/>
    <cellStyle name="Normal 33 2 4" xfId="24148"/>
    <cellStyle name="Normal 33 2 5" xfId="24149"/>
    <cellStyle name="Normal 33 2 6" xfId="24150"/>
    <cellStyle name="Normal 33 2 7" xfId="24151"/>
    <cellStyle name="Normal 33 2 8" xfId="24152"/>
    <cellStyle name="Normal 33 2 9" xfId="24153"/>
    <cellStyle name="Normal 33 3" xfId="24154"/>
    <cellStyle name="Normal 33 3 2" xfId="24155"/>
    <cellStyle name="Normal 33 3 2 10" xfId="24156"/>
    <cellStyle name="Normal 33 3 2 11" xfId="24157"/>
    <cellStyle name="Normal 33 3 2 12" xfId="24158"/>
    <cellStyle name="Normal 33 3 2 2" xfId="24159"/>
    <cellStyle name="Normal 33 3 2 2 2" xfId="24160"/>
    <cellStyle name="Normal 33 3 2 2 3" xfId="24161"/>
    <cellStyle name="Normal 33 3 2 3" xfId="24162"/>
    <cellStyle name="Normal 33 3 2 3 2" xfId="24163"/>
    <cellStyle name="Normal 33 3 2 3 3" xfId="24164"/>
    <cellStyle name="Normal 33 3 2 4" xfId="24165"/>
    <cellStyle name="Normal 33 3 2 4 2" xfId="24166"/>
    <cellStyle name="Normal 33 3 2 4 3" xfId="24167"/>
    <cellStyle name="Normal 33 3 2 5" xfId="24168"/>
    <cellStyle name="Normal 33 3 2 5 2" xfId="24169"/>
    <cellStyle name="Normal 33 3 2 5 3" xfId="24170"/>
    <cellStyle name="Normal 33 3 2 6" xfId="24171"/>
    <cellStyle name="Normal 33 3 2 6 2" xfId="24172"/>
    <cellStyle name="Normal 33 3 2 6 3" xfId="24173"/>
    <cellStyle name="Normal 33 3 2 7" xfId="24174"/>
    <cellStyle name="Normal 33 3 2 7 2" xfId="24175"/>
    <cellStyle name="Normal 33 3 2 7 3" xfId="24176"/>
    <cellStyle name="Normal 33 3 2 8" xfId="24177"/>
    <cellStyle name="Normal 33 3 2 8 2" xfId="24178"/>
    <cellStyle name="Normal 33 3 2 8 3" xfId="24179"/>
    <cellStyle name="Normal 33 3 2 9" xfId="24180"/>
    <cellStyle name="Normal 33 3 2 9 2" xfId="24181"/>
    <cellStyle name="Normal 33 3 2 9 3" xfId="24182"/>
    <cellStyle name="Normal 33 3 3" xfId="24183"/>
    <cellStyle name="Normal 33 4" xfId="24184"/>
    <cellStyle name="Normal 33 4 2" xfId="24185"/>
    <cellStyle name="Normal 33 4 2 2" xfId="24186"/>
    <cellStyle name="Normal 33 4 2 3" xfId="24187"/>
    <cellStyle name="Normal 33 4 2 4" xfId="24188"/>
    <cellStyle name="Normal 33 4 2 5" xfId="24189"/>
    <cellStyle name="Normal 33 4 3" xfId="24190"/>
    <cellStyle name="Normal 33 4 4" xfId="24191"/>
    <cellStyle name="Normal 33 4 5" xfId="24192"/>
    <cellStyle name="Normal 33 5" xfId="24193"/>
    <cellStyle name="Normal 33 5 2" xfId="24194"/>
    <cellStyle name="Normal 33 5 2 2" xfId="24195"/>
    <cellStyle name="Normal 33 5 2 3" xfId="24196"/>
    <cellStyle name="Normal 33 6" xfId="24197"/>
    <cellStyle name="Normal 33 6 2" xfId="24198"/>
    <cellStyle name="Normal 33 6 2 2" xfId="24199"/>
    <cellStyle name="Normal 33 6 2 3" xfId="24200"/>
    <cellStyle name="Normal 33 7" xfId="24201"/>
    <cellStyle name="Normal 33 7 2" xfId="24202"/>
    <cellStyle name="Normal 33 7 2 2" xfId="24203"/>
    <cellStyle name="Normal 33 7 2 3" xfId="24204"/>
    <cellStyle name="Normal 33 8" xfId="24205"/>
    <cellStyle name="Normal 33 8 2" xfId="24206"/>
    <cellStyle name="Normal 33 8 2 2" xfId="24207"/>
    <cellStyle name="Normal 33 8 2 3" xfId="24208"/>
    <cellStyle name="Normal 33 9" xfId="24209"/>
    <cellStyle name="Normal 33 9 2" xfId="24210"/>
    <cellStyle name="Normal 33 9 2 2" xfId="24211"/>
    <cellStyle name="Normal 33 9 2 3" xfId="24212"/>
    <cellStyle name="Normal 33_AH Bhainsa Estimate" xfId="24213"/>
    <cellStyle name="Normal 34" xfId="24214"/>
    <cellStyle name="Normal 34 10" xfId="24215"/>
    <cellStyle name="Normal 34 11" xfId="24216"/>
    <cellStyle name="Normal 34 12" xfId="24217"/>
    <cellStyle name="Normal 34 13" xfId="24218"/>
    <cellStyle name="Normal 34 14" xfId="24219"/>
    <cellStyle name="Normal 34 15" xfId="24220"/>
    <cellStyle name="Normal 34 16" xfId="24221"/>
    <cellStyle name="Normal 34 2" xfId="24222"/>
    <cellStyle name="Normal 34 2 10" xfId="24223"/>
    <cellStyle name="Normal 34 2 2" xfId="24224"/>
    <cellStyle name="Normal 34 2 2 2" xfId="24225"/>
    <cellStyle name="Normal 34 2 3" xfId="24226"/>
    <cellStyle name="Normal 34 2 4" xfId="24227"/>
    <cellStyle name="Normal 34 2 5" xfId="24228"/>
    <cellStyle name="Normal 34 2 6" xfId="24229"/>
    <cellStyle name="Normal 34 2 7" xfId="24230"/>
    <cellStyle name="Normal 34 2 8" xfId="24231"/>
    <cellStyle name="Normal 34 2 9" xfId="24232"/>
    <cellStyle name="Normal 34 3" xfId="24233"/>
    <cellStyle name="Normal 34 3 2" xfId="24234"/>
    <cellStyle name="Normal 34 3 3" xfId="24235"/>
    <cellStyle name="Normal 34 3 3 2" xfId="24236"/>
    <cellStyle name="Normal 34 3 3 3" xfId="24237"/>
    <cellStyle name="Normal 34 3 4" xfId="24238"/>
    <cellStyle name="Normal 34 3 5" xfId="24239"/>
    <cellStyle name="Normal 34 4" xfId="24240"/>
    <cellStyle name="Normal 34 4 2" xfId="24241"/>
    <cellStyle name="Normal 34 4 2 2" xfId="24242"/>
    <cellStyle name="Normal 34 4 2 2 2" xfId="24243"/>
    <cellStyle name="Normal 34 4 2 2 3" xfId="24244"/>
    <cellStyle name="Normal 34 4 2 3" xfId="24245"/>
    <cellStyle name="Normal 34 4 2 4" xfId="24246"/>
    <cellStyle name="Normal 34 4 3" xfId="24247"/>
    <cellStyle name="Normal 34 4 3 2" xfId="24248"/>
    <cellStyle name="Normal 34 5" xfId="24249"/>
    <cellStyle name="Normal 34 5 2" xfId="24250"/>
    <cellStyle name="Normal 34 5 2 2" xfId="24251"/>
    <cellStyle name="Normal 34 5 2 2 2" xfId="24252"/>
    <cellStyle name="Normal 34 5 2 2 3" xfId="24253"/>
    <cellStyle name="Normal 34 5 2 3" xfId="24254"/>
    <cellStyle name="Normal 34 5 2 4" xfId="24255"/>
    <cellStyle name="Normal 34 5 3" xfId="24256"/>
    <cellStyle name="Normal 34 6" xfId="24257"/>
    <cellStyle name="Normal 34 6 2" xfId="24258"/>
    <cellStyle name="Normal 34 7" xfId="24259"/>
    <cellStyle name="Normal 34 7 2" xfId="24260"/>
    <cellStyle name="Normal 34 7 3" xfId="24261"/>
    <cellStyle name="Normal 34 8" xfId="24262"/>
    <cellStyle name="Normal 34 9" xfId="24263"/>
    <cellStyle name="Normal 34_AH Mancherial Estimate" xfId="24264"/>
    <cellStyle name="Normal 35" xfId="24265"/>
    <cellStyle name="Normal 35 10" xfId="24266"/>
    <cellStyle name="Normal 35 10 2" xfId="24267"/>
    <cellStyle name="Normal 35 10 2 2" xfId="24268"/>
    <cellStyle name="Normal 35 10 2 2 2" xfId="24269"/>
    <cellStyle name="Normal 35 10 2 2 3" xfId="24270"/>
    <cellStyle name="Normal 35 10 2 3" xfId="24271"/>
    <cellStyle name="Normal 35 10 2 4" xfId="24272"/>
    <cellStyle name="Normal 35 10 3" xfId="24273"/>
    <cellStyle name="Normal 35 10 3 2" xfId="24274"/>
    <cellStyle name="Normal 35 10 3 2 2" xfId="24275"/>
    <cellStyle name="Normal 35 10 3 2 3" xfId="24276"/>
    <cellStyle name="Normal 35 10 3 3" xfId="24277"/>
    <cellStyle name="Normal 35 10 3 4" xfId="24278"/>
    <cellStyle name="Normal 35 10 4" xfId="24279"/>
    <cellStyle name="Normal 35 10 4 2" xfId="24280"/>
    <cellStyle name="Normal 35 10 4 2 2" xfId="24281"/>
    <cellStyle name="Normal 35 10 4 2 2 2" xfId="24282"/>
    <cellStyle name="Normal 35 10 4 2 2 3" xfId="24283"/>
    <cellStyle name="Normal 35 10 4 2 3" xfId="24284"/>
    <cellStyle name="Normal 35 10 4 2 4" xfId="24285"/>
    <cellStyle name="Normal 35 10 4 3" xfId="24286"/>
    <cellStyle name="Normal 35 10 4 3 2" xfId="24287"/>
    <cellStyle name="Normal 35 10 4 3 2 2" xfId="24288"/>
    <cellStyle name="Normal 35 10 4 3 2 3" xfId="24289"/>
    <cellStyle name="Normal 35 10 4 3 3" xfId="24290"/>
    <cellStyle name="Normal 35 10 4 3 4" xfId="24291"/>
    <cellStyle name="Normal 35 10 4 4" xfId="24292"/>
    <cellStyle name="Normal 35 10 4 4 2" xfId="24293"/>
    <cellStyle name="Normal 35 10 4 4 2 2" xfId="24294"/>
    <cellStyle name="Normal 35 10 4 4 2 2 2" xfId="24295"/>
    <cellStyle name="Normal 35 10 4 4 2 2 2 2" xfId="24296"/>
    <cellStyle name="Normal 35 10 4 4 2 2 2 2 2" xfId="24297"/>
    <cellStyle name="Normal 35 10 4 4 2 2 2 2 2 2" xfId="24298"/>
    <cellStyle name="Normal 35 10 4 4 2 2 2 2 2 2 2" xfId="24299"/>
    <cellStyle name="Normal 35 10 4 4 2 2 2 2 2 2 2 2" xfId="24300"/>
    <cellStyle name="Normal 35 10 4 4 2 2 2 2 2 2 2 2 2" xfId="24301"/>
    <cellStyle name="Normal 35 10 4 4 2 2 2 2 2 2 2 2 2 2" xfId="24302"/>
    <cellStyle name="Normal 35 10 4 4 2 2 2 2 2 2 2 2 2 2 2" xfId="24303"/>
    <cellStyle name="Normal 35 10 4 4 2 2 2 2 2 2 2 2 2 2 2 2" xfId="24304"/>
    <cellStyle name="Normal 35 10 4 4 2 2 2 2 2 2 2 2 2 2 2 2 2" xfId="24305"/>
    <cellStyle name="Normal 35 10 4 4 2 2 2 2 2 2 2 2 2 2 2 2 3" xfId="24306"/>
    <cellStyle name="Normal 35 10 4 4 2 2 2 2 2 2 2 2 2 2 2 3" xfId="24307"/>
    <cellStyle name="Normal 35 10 4 4 2 2 2 2 2 2 2 2 2 2 2 3 2" xfId="24308"/>
    <cellStyle name="Normal 35 10 4 4 2 2 2 2 2 2 2 2 2 2 2 3 2 2" xfId="24309"/>
    <cellStyle name="Normal 35 10 4 4 2 2 2 2 2 2 2 2 2 2 2 3 2 2 2" xfId="24310"/>
    <cellStyle name="Normal 35 10 4 4 2 2 2 2 2 2 2 2 2 2 2 3 2 2 3" xfId="24311"/>
    <cellStyle name="Normal 35 10 4 4 2 2 2 2 2 2 2 2 2 2 2 3 2 3" xfId="24312"/>
    <cellStyle name="Normal 35 10 4 4 2 2 2 2 2 2 2 2 2 2 2 3 2 4" xfId="24313"/>
    <cellStyle name="Normal 35 10 4 4 2 2 2 2 2 2 2 2 2 2 2 3 3" xfId="24314"/>
    <cellStyle name="Normal 35 10 4 4 2 2 2 2 2 2 2 2 2 2 2 3 3 2" xfId="24315"/>
    <cellStyle name="Normal 35 10 4 4 2 2 2 2 2 2 2 2 2 2 2 3 3 3" xfId="24316"/>
    <cellStyle name="Normal 35 10 4 4 2 2 2 2 2 2 2 2 2 2 2 3 4" xfId="24317"/>
    <cellStyle name="Normal 35 10 4 4 2 2 2 2 2 2 2 2 2 2 2 3 5" xfId="24318"/>
    <cellStyle name="Normal 35 10 4 4 2 2 2 2 2 2 2 2 2 2 2 4" xfId="24319"/>
    <cellStyle name="Normal 35 10 4 4 2 2 2 2 2 2 2 2 2 2 2 5" xfId="24320"/>
    <cellStyle name="Normal 35 10 4 4 2 2 2 2 2 2 2 2 2 2 3" xfId="24321"/>
    <cellStyle name="Normal 35 10 4 4 2 2 2 2 2 2 2 2 2 2 3 2" xfId="24322"/>
    <cellStyle name="Normal 35 10 4 4 2 2 2 2 2 2 2 2 2 2 3 3" xfId="24323"/>
    <cellStyle name="Normal 35 10 4 4 2 2 2 2 2 2 2 2 2 2 4" xfId="24324"/>
    <cellStyle name="Normal 35 10 4 4 2 2 2 2 2 2 2 2 2 2 5" xfId="24325"/>
    <cellStyle name="Normal 35 10 4 4 2 2 2 2 2 2 2 2 2 3" xfId="24326"/>
    <cellStyle name="Normal 35 10 4 4 2 2 2 2 2 2 2 2 2 3 2" xfId="24327"/>
    <cellStyle name="Normal 35 10 4 4 2 2 2 2 2 2 2 2 2 3 3" xfId="24328"/>
    <cellStyle name="Normal 35 10 4 4 2 2 2 2 2 2 2 2 2 4" xfId="24329"/>
    <cellStyle name="Normal 35 10 4 4 2 2 2 2 2 2 2 2 2 5" xfId="24330"/>
    <cellStyle name="Normal 35 10 4 4 2 2 2 2 2 2 2 2 3" xfId="24331"/>
    <cellStyle name="Normal 35 10 4 4 2 2 2 2 2 2 2 2 3 2" xfId="24332"/>
    <cellStyle name="Normal 35 10 4 4 2 2 2 2 2 2 2 2 3 3" xfId="24333"/>
    <cellStyle name="Normal 35 10 4 4 2 2 2 2 2 2 2 2 4" xfId="24334"/>
    <cellStyle name="Normal 35 10 4 4 2 2 2 2 2 2 2 2 5" xfId="24335"/>
    <cellStyle name="Normal 35 10 4 4 2 2 2 2 2 2 2 3" xfId="24336"/>
    <cellStyle name="Normal 35 10 4 4 2 2 2 2 2 2 2 3 2" xfId="24337"/>
    <cellStyle name="Normal 35 10 4 4 2 2 2 2 2 2 2 3 3" xfId="24338"/>
    <cellStyle name="Normal 35 10 4 4 2 2 2 2 2 2 2 4" xfId="24339"/>
    <cellStyle name="Normal 35 10 4 4 2 2 2 2 2 2 2 5" xfId="24340"/>
    <cellStyle name="Normal 35 10 4 4 2 2 2 2 2 2 3" xfId="24341"/>
    <cellStyle name="Normal 35 10 4 4 2 2 2 2 2 2 3 2" xfId="24342"/>
    <cellStyle name="Normal 35 10 4 4 2 2 2 2 2 2 3 3" xfId="24343"/>
    <cellStyle name="Normal 35 10 4 4 2 2 2 2 2 2 4" xfId="24344"/>
    <cellStyle name="Normal 35 10 4 4 2 2 2 2 2 2 5" xfId="24345"/>
    <cellStyle name="Normal 35 10 4 4 2 2 2 2 2 3" xfId="24346"/>
    <cellStyle name="Normal 35 10 4 4 2 2 2 2 2 3 2" xfId="24347"/>
    <cellStyle name="Normal 35 10 4 4 2 2 2 2 2 3 3" xfId="24348"/>
    <cellStyle name="Normal 35 10 4 4 2 2 2 2 2 4" xfId="24349"/>
    <cellStyle name="Normal 35 10 4 4 2 2 2 2 2 5" xfId="24350"/>
    <cellStyle name="Normal 35 10 4 4 2 2 2 2 3" xfId="24351"/>
    <cellStyle name="Normal 35 10 4 4 2 2 2 2 3 2" xfId="24352"/>
    <cellStyle name="Normal 35 10 4 4 2 2 2 2 3 2 2" xfId="24353"/>
    <cellStyle name="Normal 35 10 4 4 2 2 2 2 3 2 2 2" xfId="24354"/>
    <cellStyle name="Normal 35 10 4 4 2 2 2 2 3 2 2 3" xfId="24355"/>
    <cellStyle name="Normal 35 10 4 4 2 2 2 2 3 2 3" xfId="24356"/>
    <cellStyle name="Normal 35 10 4 4 2 2 2 2 3 2 4" xfId="24357"/>
    <cellStyle name="Normal 35 10 4 4 2 2 2 2 3 3" xfId="24358"/>
    <cellStyle name="Normal 35 10 4 4 2 2 2 2 3 3 2" xfId="24359"/>
    <cellStyle name="Normal 35 10 4 4 2 2 2 2 3 3 2 2" xfId="24360"/>
    <cellStyle name="Normal 35 10 4 4 2 2 2 2 3 3 2 3" xfId="24361"/>
    <cellStyle name="Normal 35 10 4 4 2 2 2 2 3 3 3" xfId="24362"/>
    <cellStyle name="Normal 35 10 4 4 2 2 2 2 3 3 4" xfId="24363"/>
    <cellStyle name="Normal 35 10 4 4 2 2 2 2 3 4" xfId="24364"/>
    <cellStyle name="Normal 35 10 4 4 2 2 2 2 3 4 2" xfId="24365"/>
    <cellStyle name="Normal 35 10 4 4 2 2 2 2 3 4 2 2" xfId="24366"/>
    <cellStyle name="Normal 35 10 4 4 2 2 2 2 3 4 2 2 2" xfId="24367"/>
    <cellStyle name="Normal 35 10 4 4 2 2 2 2 3 4 2 2 3" xfId="24368"/>
    <cellStyle name="Normal 35 10 4 4 2 2 2 2 3 4 2 3" xfId="24369"/>
    <cellStyle name="Normal 35 10 4 4 2 2 2 2 3 4 2 4" xfId="24370"/>
    <cellStyle name="Normal 35 10 4 4 2 2 2 2 3 4 3" xfId="24371"/>
    <cellStyle name="Normal 35 10 4 4 2 2 2 2 3 4 3 2" xfId="24372"/>
    <cellStyle name="Normal 35 10 4 4 2 2 2 2 3 4 3 3" xfId="24373"/>
    <cellStyle name="Normal 35 10 4 4 2 2 2 2 3 4 4" xfId="24374"/>
    <cellStyle name="Normal 35 10 4 4 2 2 2 2 3 4 5" xfId="24375"/>
    <cellStyle name="Normal 35 10 4 4 2 2 2 2 3 5" xfId="24376"/>
    <cellStyle name="Normal 35 10 4 4 2 2 2 2 3 5 2" xfId="24377"/>
    <cellStyle name="Normal 35 10 4 4 2 2 2 2 3 5 3" xfId="24378"/>
    <cellStyle name="Normal 35 10 4 4 2 2 2 2 3 6" xfId="24379"/>
    <cellStyle name="Normal 35 10 4 4 2 2 2 2 3 7" xfId="24380"/>
    <cellStyle name="Normal 35 10 4 4 2 2 2 2 4" xfId="24381"/>
    <cellStyle name="Normal 35 10 4 4 2 2 2 2 4 2" xfId="24382"/>
    <cellStyle name="Normal 35 10 4 4 2 2 2 2 4 3" xfId="24383"/>
    <cellStyle name="Normal 35 10 4 4 2 2 2 2 5" xfId="24384"/>
    <cellStyle name="Normal 35 10 4 4 2 2 2 2 6" xfId="24385"/>
    <cellStyle name="Normal 35 10 4 4 2 2 2 3" xfId="24386"/>
    <cellStyle name="Normal 35 10 4 4 2 2 2 3 2" xfId="24387"/>
    <cellStyle name="Normal 35 10 4 4 2 2 2 3 2 2" xfId="24388"/>
    <cellStyle name="Normal 35 10 4 4 2 2 2 3 2 2 2" xfId="24389"/>
    <cellStyle name="Normal 35 10 4 4 2 2 2 3 2 2 2 2" xfId="24390"/>
    <cellStyle name="Normal 35 10 4 4 2 2 2 3 2 2 2 2 2" xfId="24391"/>
    <cellStyle name="Normal 35 10 4 4 2 2 2 3 2 2 2 2 2 2" xfId="24392"/>
    <cellStyle name="Normal 35 10 4 4 2 2 2 3 2 2 2 2 2 3" xfId="24393"/>
    <cellStyle name="Normal 35 10 4 4 2 2 2 3 2 2 2 2 3" xfId="24394"/>
    <cellStyle name="Normal 35 10 4 4 2 2 2 3 2 2 2 2 4" xfId="24395"/>
    <cellStyle name="Normal 35 10 4 4 2 2 2 3 2 2 3" xfId="24396"/>
    <cellStyle name="Normal 35 10 4 4 2 2 2 3 2 2 3 2" xfId="24397"/>
    <cellStyle name="Normal 35 10 4 4 2 2 2 3 2 2 3 2 2" xfId="24398"/>
    <cellStyle name="Normal 35 10 4 4 2 2 2 3 2 2 3 2 3" xfId="24399"/>
    <cellStyle name="Normal 35 10 4 4 2 2 2 3 2 2 3 3" xfId="24400"/>
    <cellStyle name="Normal 35 10 4 4 2 2 2 3 2 2 3 4" xfId="24401"/>
    <cellStyle name="Normal 35 10 4 4 2 2 2 3 2 2 4" xfId="24402"/>
    <cellStyle name="Normal 35 10 4 4 2 2 2 3 2 3" xfId="24403"/>
    <cellStyle name="Normal 35 10 4 4 2 2 2 3 2 4" xfId="24404"/>
    <cellStyle name="Normal 35 10 4 4 2 2 2 3 3" xfId="24405"/>
    <cellStyle name="Normal 35 10 4 4 2 2 2 3 3 2" xfId="24406"/>
    <cellStyle name="Normal 35 10 4 4 2 2 2 3 3 3" xfId="24407"/>
    <cellStyle name="Normal 35 10 4 4 2 2 2 3 4" xfId="24408"/>
    <cellStyle name="Normal 35 10 4 4 2 2 2 3 5" xfId="24409"/>
    <cellStyle name="Normal 35 10 4 4 2 2 2 4" xfId="24410"/>
    <cellStyle name="Normal 35 10 4 4 2 2 2 4 2" xfId="24411"/>
    <cellStyle name="Normal 35 10 4 4 2 2 2 4 2 2" xfId="24412"/>
    <cellStyle name="Normal 35 10 4 4 2 2 2 4 2 2 2" xfId="24413"/>
    <cellStyle name="Normal 35 10 4 4 2 2 2 4 2 2 2 2" xfId="24414"/>
    <cellStyle name="Normal 35 10 4 4 2 2 2 4 2 2 2 3" xfId="24415"/>
    <cellStyle name="Normal 35 10 4 4 2 2 2 4 2 2 3" xfId="24416"/>
    <cellStyle name="Normal 35 10 4 4 2 2 2 4 2 2 4" xfId="24417"/>
    <cellStyle name="Normal 35 10 4 4 2 2 2 4 2 3" xfId="24418"/>
    <cellStyle name="Normal 35 10 4 4 2 2 2 4 2 3 2" xfId="24419"/>
    <cellStyle name="Normal 35 10 4 4 2 2 2 4 2 3 2 2" xfId="24420"/>
    <cellStyle name="Normal 35 10 4 4 2 2 2 4 2 3 2 2 2" xfId="24421"/>
    <cellStyle name="Normal 35 10 4 4 2 2 2 4 2 3 2 2 3" xfId="24422"/>
    <cellStyle name="Normal 35 10 4 4 2 2 2 4 2 3 2 3" xfId="24423"/>
    <cellStyle name="Normal 35 10 4 4 2 2 2 4 2 3 2 3 2" xfId="24424"/>
    <cellStyle name="Normal 35 10 4 4 2 2 2 4 2 3 2 3 2 2" xfId="24425"/>
    <cellStyle name="Normal 35 10 4 4 2 2 2 4 2 3 2 3 2 3" xfId="24426"/>
    <cellStyle name="Normal 35 10 4 4 2 2 2 4 2 3 2 3 3" xfId="24427"/>
    <cellStyle name="Normal 35 10 4 4 2 2 2 4 2 3 2 3 4" xfId="24428"/>
    <cellStyle name="Normal 35 10 4 4 2 2 2 4 2 3 2 4" xfId="24429"/>
    <cellStyle name="Normal 35 10 4 4 2 2 2 4 2 3 2 5" xfId="24430"/>
    <cellStyle name="Normal 35 10 4 4 2 2 2 4 2 3 3" xfId="24431"/>
    <cellStyle name="Normal 35 10 4 4 2 2 2 4 2 3 3 2" xfId="24432"/>
    <cellStyle name="Normal 35 10 4 4 2 2 2 4 2 3 3 3" xfId="24433"/>
    <cellStyle name="Normal 35 10 4 4 2 2 2 4 2 3 4" xfId="24434"/>
    <cellStyle name="Normal 35 10 4 4 2 2 2 4 2 3 5" xfId="24435"/>
    <cellStyle name="Normal 35 10 4 4 2 2 2 4 2 4" xfId="24436"/>
    <cellStyle name="Normal 35 10 4 4 2 2 2 4 2 4 2" xfId="24437"/>
    <cellStyle name="Normal 35 10 4 4 2 2 2 4 2 4 2 2" xfId="24438"/>
    <cellStyle name="Normal 35 10 4 4 2 2 2 4 2 4 2 2 2" xfId="24439"/>
    <cellStyle name="Normal 35 10 4 4 2 2 2 4 2 4 2 2 3" xfId="24440"/>
    <cellStyle name="Normal 35 10 4 4 2 2 2 4 2 4 2 3" xfId="24441"/>
    <cellStyle name="Normal 35 10 4 4 2 2 2 4 2 4 2 4" xfId="24442"/>
    <cellStyle name="Normal 35 10 4 4 2 2 2 4 2 4 3" xfId="24443"/>
    <cellStyle name="Normal 35 10 4 4 2 2 2 4 2 4 3 2" xfId="24444"/>
    <cellStyle name="Normal 35 10 4 4 2 2 2 4 2 4 3 3" xfId="24445"/>
    <cellStyle name="Normal 35 10 4 4 2 2 2 4 2 4 4" xfId="24446"/>
    <cellStyle name="Normal 35 10 4 4 2 2 2 4 2 4 5" xfId="24447"/>
    <cellStyle name="Normal 35 10 4 4 2 2 2 4 2 5" xfId="24448"/>
    <cellStyle name="Normal 35 10 4 4 2 2 2 4 2 5 2" xfId="24449"/>
    <cellStyle name="Normal 35 10 4 4 2 2 2 4 2 5 3" xfId="24450"/>
    <cellStyle name="Normal 35 10 4 4 2 2 2 4 2 6" xfId="24451"/>
    <cellStyle name="Normal 35 10 4 4 2 2 2 4 2 7" xfId="24452"/>
    <cellStyle name="Normal 35 10 4 4 2 2 2 4 3" xfId="24453"/>
    <cellStyle name="Normal 35 10 4 4 2 2 2 4 3 2" xfId="24454"/>
    <cellStyle name="Normal 35 10 4 4 2 2 2 4 3 3" xfId="24455"/>
    <cellStyle name="Normal 35 10 4 4 2 2 2 4 4" xfId="24456"/>
    <cellStyle name="Normal 35 10 4 4 2 2 2 4 5" xfId="24457"/>
    <cellStyle name="Normal 35 10 4 4 2 2 2 5" xfId="24458"/>
    <cellStyle name="Normal 35 10 4 4 2 2 2 5 2" xfId="24459"/>
    <cellStyle name="Normal 35 10 4 4 2 2 2 5 3" xfId="24460"/>
    <cellStyle name="Normal 35 10 4 4 2 2 2 6" xfId="24461"/>
    <cellStyle name="Normal 35 10 4 4 2 2 2 7" xfId="24462"/>
    <cellStyle name="Normal 35 10 4 4 2 2 3" xfId="24463"/>
    <cellStyle name="Normal 35 10 4 4 2 2 3 2" xfId="24464"/>
    <cellStyle name="Normal 35 10 4 4 2 2 3 3" xfId="24465"/>
    <cellStyle name="Normal 35 10 4 4 2 2 4" xfId="24466"/>
    <cellStyle name="Normal 35 10 4 4 2 2 5" xfId="24467"/>
    <cellStyle name="Normal 35 10 4 4 2 3" xfId="24468"/>
    <cellStyle name="Normal 35 10 4 4 2 3 2" xfId="24469"/>
    <cellStyle name="Normal 35 10 4 4 2 3 2 2" xfId="24470"/>
    <cellStyle name="Normal 35 10 4 4 2 3 2 2 2" xfId="24471"/>
    <cellStyle name="Normal 35 10 4 4 2 3 2 2 3" xfId="24472"/>
    <cellStyle name="Normal 35 10 4 4 2 3 2 3" xfId="24473"/>
    <cellStyle name="Normal 35 10 4 4 2 3 2 4" xfId="24474"/>
    <cellStyle name="Normal 35 10 4 4 2 3 3" xfId="24475"/>
    <cellStyle name="Normal 35 10 4 4 2 3 3 2" xfId="24476"/>
    <cellStyle name="Normal 35 10 4 4 2 3 3 3" xfId="24477"/>
    <cellStyle name="Normal 35 10 4 4 2 3 4" xfId="24478"/>
    <cellStyle name="Normal 35 10 4 4 2 3 5" xfId="24479"/>
    <cellStyle name="Normal 35 10 4 4 2 4" xfId="24480"/>
    <cellStyle name="Normal 35 10 4 4 2 4 2" xfId="24481"/>
    <cellStyle name="Normal 35 10 4 4 2 4 2 2" xfId="24482"/>
    <cellStyle name="Normal 35 10 4 4 2 4 2 3" xfId="24483"/>
    <cellStyle name="Normal 35 10 4 4 2 4 3" xfId="24484"/>
    <cellStyle name="Normal 35 10 4 4 2 4 4" xfId="24485"/>
    <cellStyle name="Normal 35 10 4 4 2 5" xfId="24486"/>
    <cellStyle name="Normal 35 10 4 4 2 5 2" xfId="24487"/>
    <cellStyle name="Normal 35 10 4 4 2 5 2 2" xfId="24488"/>
    <cellStyle name="Normal 35 10 4 4 2 5 2 3" xfId="24489"/>
    <cellStyle name="Normal 35 10 4 4 2 5 3" xfId="24490"/>
    <cellStyle name="Normal 35 10 4 4 2 5 4" xfId="24491"/>
    <cellStyle name="Normal 35 10 4 4 2 6" xfId="24492"/>
    <cellStyle name="Normal 35 10 4 4 2 6 2" xfId="24493"/>
    <cellStyle name="Normal 35 10 4 4 2 6 3" xfId="24494"/>
    <cellStyle name="Normal 35 10 4 4 2 7" xfId="24495"/>
    <cellStyle name="Normal 35 10 4 4 2 8" xfId="24496"/>
    <cellStyle name="Normal 35 10 4 4 3" xfId="24497"/>
    <cellStyle name="Normal 35 10 4 4 3 2" xfId="24498"/>
    <cellStyle name="Normal 35 10 4 4 3 3" xfId="24499"/>
    <cellStyle name="Normal 35 10 4 4 4" xfId="24500"/>
    <cellStyle name="Normal 35 10 4 4 5" xfId="24501"/>
    <cellStyle name="Normal 35 10 4 5" xfId="24502"/>
    <cellStyle name="Normal 35 10 4 5 2" xfId="24503"/>
    <cellStyle name="Normal 35 10 4 5 2 2" xfId="24504"/>
    <cellStyle name="Normal 35 10 4 5 2 2 2" xfId="24505"/>
    <cellStyle name="Normal 35 10 4 5 2 2 2 2" xfId="24506"/>
    <cellStyle name="Normal 35 10 4 5 2 2 2 2 2" xfId="24507"/>
    <cellStyle name="Normal 35 10 4 5 2 2 2 2 3" xfId="24508"/>
    <cellStyle name="Normal 35 10 4 5 2 2 2 3" xfId="24509"/>
    <cellStyle name="Normal 35 10 4 5 2 2 2 4" xfId="24510"/>
    <cellStyle name="Normal 35 10 4 5 2 2 3" xfId="24511"/>
    <cellStyle name="Normal 35 10 4 5 2 2 3 2" xfId="24512"/>
    <cellStyle name="Normal 35 10 4 5 2 2 3 3" xfId="24513"/>
    <cellStyle name="Normal 35 10 4 5 2 2 4" xfId="24514"/>
    <cellStyle name="Normal 35 10 4 5 2 2 5" xfId="24515"/>
    <cellStyle name="Normal 35 10 4 5 2 3" xfId="24516"/>
    <cellStyle name="Normal 35 10 4 5 2 3 2" xfId="24517"/>
    <cellStyle name="Normal 35 10 4 5 2 3 2 2" xfId="24518"/>
    <cellStyle name="Normal 35 10 4 5 2 3 2 2 2" xfId="24519"/>
    <cellStyle name="Normal 35 10 4 5 2 3 2 2 2 2" xfId="24520"/>
    <cellStyle name="Normal 35 10 4 5 2 3 2 2 2 2 2" xfId="24521"/>
    <cellStyle name="Normal 35 10 4 5 2 3 2 2 2 2 2 2" xfId="24522"/>
    <cellStyle name="Normal 35 10 4 5 2 3 2 2 2 2 2 2 2" xfId="24523"/>
    <cellStyle name="Normal 35 10 4 5 2 3 2 2 2 2 2 2 3" xfId="24524"/>
    <cellStyle name="Normal 35 10 4 5 2 3 2 2 2 2 2 3" xfId="24525"/>
    <cellStyle name="Normal 35 10 4 5 2 3 2 2 2 2 2 4" xfId="24526"/>
    <cellStyle name="Normal 35 10 4 5 2 3 2 2 2 2 3" xfId="24527"/>
    <cellStyle name="Normal 35 10 4 5 2 3 2 2 2 2 3 2" xfId="24528"/>
    <cellStyle name="Normal 35 10 4 5 2 3 2 2 2 2 3 3" xfId="24529"/>
    <cellStyle name="Normal 35 10 4 5 2 3 2 2 2 2 4" xfId="24530"/>
    <cellStyle name="Normal 35 10 4 5 2 3 2 2 2 2 5" xfId="24531"/>
    <cellStyle name="Normal 35 10 4 5 2 3 2 2 2 3" xfId="24532"/>
    <cellStyle name="Normal 35 10 4 5 2 3 2 2 2 3 2" xfId="24533"/>
    <cellStyle name="Normal 35 10 4 5 2 3 2 2 2 3 3" xfId="24534"/>
    <cellStyle name="Normal 35 10 4 5 2 3 2 2 2 4" xfId="24535"/>
    <cellStyle name="Normal 35 10 4 5 2 3 2 2 2 5" xfId="24536"/>
    <cellStyle name="Normal 35 10 4 5 2 3 2 2 3" xfId="24537"/>
    <cellStyle name="Normal 35 10 4 5 2 3 2 2 3 2" xfId="24538"/>
    <cellStyle name="Normal 35 10 4 5 2 3 2 2 3 3" xfId="24539"/>
    <cellStyle name="Normal 35 10 4 5 2 3 2 2 4" xfId="24540"/>
    <cellStyle name="Normal 35 10 4 5 2 3 2 2 5" xfId="24541"/>
    <cellStyle name="Normal 35 10 4 5 2 3 2 3" xfId="24542"/>
    <cellStyle name="Normal 35 10 4 5 2 3 2 3 2" xfId="24543"/>
    <cellStyle name="Normal 35 10 4 5 2 3 2 3 2 2" xfId="24544"/>
    <cellStyle name="Normal 35 10 4 5 2 3 2 3 2 3" xfId="24545"/>
    <cellStyle name="Normal 35 10 4 5 2 3 2 3 3" xfId="24546"/>
    <cellStyle name="Normal 35 10 4 5 2 3 2 3 4" xfId="24547"/>
    <cellStyle name="Normal 35 10 4 5 2 3 2 4" xfId="24548"/>
    <cellStyle name="Normal 35 10 4 5 2 3 2 4 2" xfId="24549"/>
    <cellStyle name="Normal 35 10 4 5 2 3 2 4 2 2" xfId="24550"/>
    <cellStyle name="Normal 35 10 4 5 2 3 2 4 2 3" xfId="24551"/>
    <cellStyle name="Normal 35 10 4 5 2 3 2 4 3" xfId="24552"/>
    <cellStyle name="Normal 35 10 4 5 2 3 2 4 4" xfId="24553"/>
    <cellStyle name="Normal 35 10 4 5 2 3 2 5" xfId="24554"/>
    <cellStyle name="Normal 35 10 4 5 2 3 2 5 2" xfId="24555"/>
    <cellStyle name="Normal 35 10 4 5 2 3 2 5 3" xfId="24556"/>
    <cellStyle name="Normal 35 10 4 5 2 3 2 6" xfId="24557"/>
    <cellStyle name="Normal 35 10 4 5 2 3 2 7" xfId="24558"/>
    <cellStyle name="Normal 35 10 4 5 2 3 3" xfId="24559"/>
    <cellStyle name="Normal 35 10 4 5 2 3 3 2" xfId="24560"/>
    <cellStyle name="Normal 35 10 4 5 2 3 3 3" xfId="24561"/>
    <cellStyle name="Normal 35 10 4 5 2 3 4" xfId="24562"/>
    <cellStyle name="Normal 35 10 4 5 2 3 5" xfId="24563"/>
    <cellStyle name="Normal 35 10 4 5 2 4" xfId="24564"/>
    <cellStyle name="Normal 35 10 4 5 2 4 2" xfId="24565"/>
    <cellStyle name="Normal 35 10 4 5 2 4 3" xfId="24566"/>
    <cellStyle name="Normal 35 10 4 5 2 5" xfId="24567"/>
    <cellStyle name="Normal 35 10 4 5 2 6" xfId="24568"/>
    <cellStyle name="Normal 35 10 4 5 3" xfId="24569"/>
    <cellStyle name="Normal 35 10 4 5 3 2" xfId="24570"/>
    <cellStyle name="Normal 35 10 4 5 3 2 2" xfId="24571"/>
    <cellStyle name="Normal 35 10 4 5 3 2 3" xfId="24572"/>
    <cellStyle name="Normal 35 10 4 5 3 3" xfId="24573"/>
    <cellStyle name="Normal 35 10 4 5 3 4" xfId="24574"/>
    <cellStyle name="Normal 35 10 4 5 4" xfId="24575"/>
    <cellStyle name="Normal 35 10 4 5 4 2" xfId="24576"/>
    <cellStyle name="Normal 35 10 4 5 4 3" xfId="24577"/>
    <cellStyle name="Normal 35 10 4 5 5" xfId="24578"/>
    <cellStyle name="Normal 35 10 4 5 6" xfId="24579"/>
    <cellStyle name="Normal 35 10 4 6" xfId="24580"/>
    <cellStyle name="Normal 35 10 4 6 2" xfId="24581"/>
    <cellStyle name="Normal 35 10 4 6 3" xfId="24582"/>
    <cellStyle name="Normal 35 10 4 7" xfId="24583"/>
    <cellStyle name="Normal 35 10 4 8" xfId="24584"/>
    <cellStyle name="Normal 35 10 5" xfId="24585"/>
    <cellStyle name="Normal 35 10 5 2" xfId="24586"/>
    <cellStyle name="Normal 35 10 5 2 2" xfId="24587"/>
    <cellStyle name="Normal 35 10 5 2 3" xfId="24588"/>
    <cellStyle name="Normal 35 10 5 3" xfId="24589"/>
    <cellStyle name="Normal 35 10 5 4" xfId="24590"/>
    <cellStyle name="Normal 35 10 6" xfId="24591"/>
    <cellStyle name="Normal 35 10 6 2" xfId="24592"/>
    <cellStyle name="Normal 35 10 6 2 2" xfId="24593"/>
    <cellStyle name="Normal 35 10 6 2 2 2" xfId="24594"/>
    <cellStyle name="Normal 35 10 6 2 2 2 2" xfId="24595"/>
    <cellStyle name="Normal 35 10 6 2 2 2 2 2" xfId="24596"/>
    <cellStyle name="Normal 35 10 6 2 2 2 2 2 2" xfId="24597"/>
    <cellStyle name="Normal 35 10 6 2 2 2 2 2 2 2" xfId="24598"/>
    <cellStyle name="Normal 35 10 6 2 2 2 2 2 2 3" xfId="24599"/>
    <cellStyle name="Normal 35 10 6 2 2 2 2 2 3" xfId="24600"/>
    <cellStyle name="Normal 35 10 6 2 2 2 2 2 4" xfId="24601"/>
    <cellStyle name="Normal 35 10 6 2 2 2 2 3" xfId="24602"/>
    <cellStyle name="Normal 35 10 6 2 2 2 2 3 2" xfId="24603"/>
    <cellStyle name="Normal 35 10 6 2 2 2 2 3 2 2" xfId="24604"/>
    <cellStyle name="Normal 35 10 6 2 2 2 2 3 2 2 2" xfId="24605"/>
    <cellStyle name="Normal 35 10 6 2 2 2 2 3 2 2 3" xfId="24606"/>
    <cellStyle name="Normal 35 10 6 2 2 2 2 3 2 3" xfId="24607"/>
    <cellStyle name="Normal 35 10 6 2 2 2 2 3 2 4" xfId="24608"/>
    <cellStyle name="Normal 35 10 6 2 2 2 2 3 3" xfId="24609"/>
    <cellStyle name="Normal 35 10 6 2 2 2 2 3 3 2" xfId="24610"/>
    <cellStyle name="Normal 35 10 6 2 2 2 2 3 3 2 2" xfId="24611"/>
    <cellStyle name="Normal 35 10 6 2 2 2 2 3 3 2 3" xfId="24612"/>
    <cellStyle name="Normal 35 10 6 2 2 2 2 3 3 3" xfId="24613"/>
    <cellStyle name="Normal 35 10 6 2 2 2 2 3 3 4" xfId="24614"/>
    <cellStyle name="Normal 35 10 6 2 2 2 2 3 4" xfId="24615"/>
    <cellStyle name="Normal 35 10 6 2 2 2 2 3 5" xfId="24616"/>
    <cellStyle name="Normal 35 10 6 2 2 2 2 4" xfId="24617"/>
    <cellStyle name="Normal 35 10 6 2 2 2 2 5" xfId="24618"/>
    <cellStyle name="Normal 35 10 6 2 2 2 3" xfId="24619"/>
    <cellStyle name="Normal 35 10 6 2 2 2 3 2" xfId="24620"/>
    <cellStyle name="Normal 35 10 6 2 2 2 3 2 2" xfId="24621"/>
    <cellStyle name="Normal 35 10 6 2 2 2 3 2 3" xfId="24622"/>
    <cellStyle name="Normal 35 10 6 2 2 2 3 3" xfId="24623"/>
    <cellStyle name="Normal 35 10 6 2 2 2 3 4" xfId="24624"/>
    <cellStyle name="Normal 35 10 6 2 2 2 4" xfId="24625"/>
    <cellStyle name="Normal 35 10 6 2 2 2 4 2" xfId="24626"/>
    <cellStyle name="Normal 35 10 6 2 2 2 4 3" xfId="24627"/>
    <cellStyle name="Normal 35 10 6 2 2 2 5" xfId="24628"/>
    <cellStyle name="Normal 35 10 6 2 2 2 6" xfId="24629"/>
    <cellStyle name="Normal 35 10 6 2 2 3" xfId="24630"/>
    <cellStyle name="Normal 35 10 6 2 2 3 2" xfId="24631"/>
    <cellStyle name="Normal 35 10 6 2 2 3 2 2" xfId="24632"/>
    <cellStyle name="Normal 35 10 6 2 2 3 2 2 2" xfId="24633"/>
    <cellStyle name="Normal 35 10 6 2 2 3 2 2 2 2" xfId="24634"/>
    <cellStyle name="Normal 35 10 6 2 2 3 2 2 2 3" xfId="24635"/>
    <cellStyle name="Normal 35 10 6 2 2 3 2 2 3" xfId="24636"/>
    <cellStyle name="Normal 35 10 6 2 2 3 2 2 4" xfId="24637"/>
    <cellStyle name="Normal 35 10 6 2 2 3 2 3" xfId="24638"/>
    <cellStyle name="Normal 35 10 6 2 2 3 2 4" xfId="24639"/>
    <cellStyle name="Normal 35 10 6 2 2 3 3" xfId="24640"/>
    <cellStyle name="Normal 35 10 6 2 2 3 4" xfId="24641"/>
    <cellStyle name="Normal 35 10 6 2 2 4" xfId="24642"/>
    <cellStyle name="Normal 35 10 6 2 2 4 2" xfId="24643"/>
    <cellStyle name="Normal 35 10 6 2 2 4 3" xfId="24644"/>
    <cellStyle name="Normal 35 10 6 2 2 5" xfId="24645"/>
    <cellStyle name="Normal 35 10 6 2 2 6" xfId="24646"/>
    <cellStyle name="Normal 35 10 6 2 3" xfId="24647"/>
    <cellStyle name="Normal 35 10 6 2 3 2" xfId="24648"/>
    <cellStyle name="Normal 35 10 6 2 3 2 2" xfId="24649"/>
    <cellStyle name="Normal 35 10 6 2 3 2 2 2" xfId="24650"/>
    <cellStyle name="Normal 35 10 6 2 3 2 2 3" xfId="24651"/>
    <cellStyle name="Normal 35 10 6 2 3 2 3" xfId="24652"/>
    <cellStyle name="Normal 35 10 6 2 3 2 4" xfId="24653"/>
    <cellStyle name="Normal 35 10 6 2 3 3" xfId="24654"/>
    <cellStyle name="Normal 35 10 6 2 3 3 2" xfId="24655"/>
    <cellStyle name="Normal 35 10 6 2 3 3 2 2" xfId="24656"/>
    <cellStyle name="Normal 35 10 6 2 3 3 2 3" xfId="24657"/>
    <cellStyle name="Normal 35 10 6 2 3 3 3" xfId="24658"/>
    <cellStyle name="Normal 35 10 6 2 3 3 4" xfId="24659"/>
    <cellStyle name="Normal 35 10 6 2 3 4" xfId="24660"/>
    <cellStyle name="Normal 35 10 6 2 3 4 2" xfId="24661"/>
    <cellStyle name="Normal 35 10 6 2 3 4 3" xfId="24662"/>
    <cellStyle name="Normal 35 10 6 2 3 5" xfId="24663"/>
    <cellStyle name="Normal 35 10 6 2 3 6" xfId="24664"/>
    <cellStyle name="Normal 35 10 6 2 4" xfId="24665"/>
    <cellStyle name="Normal 35 10 6 2 4 2" xfId="24666"/>
    <cellStyle name="Normal 35 10 6 2 4 2 2" xfId="24667"/>
    <cellStyle name="Normal 35 10 6 2 4 2 2 2" xfId="24668"/>
    <cellStyle name="Normal 35 10 6 2 4 2 2 2 2" xfId="24669"/>
    <cellStyle name="Normal 35 10 6 2 4 2 2 2 2 2" xfId="24670"/>
    <cellStyle name="Normal 35 10 6 2 4 2 2 2 2 3" xfId="24671"/>
    <cellStyle name="Normal 35 10 6 2 4 2 2 2 3" xfId="24672"/>
    <cellStyle name="Normal 35 10 6 2 4 2 2 2 4" xfId="24673"/>
    <cellStyle name="Normal 35 10 6 2 4 2 2 3" xfId="24674"/>
    <cellStyle name="Normal 35 10 6 2 4 2 2 3 2" xfId="24675"/>
    <cellStyle name="Normal 35 10 6 2 4 2 2 3 3" xfId="24676"/>
    <cellStyle name="Normal 35 10 6 2 4 2 2 4" xfId="24677"/>
    <cellStyle name="Normal 35 10 6 2 4 2 2 5" xfId="24678"/>
    <cellStyle name="Normal 35 10 6 2 4 2 3" xfId="24679"/>
    <cellStyle name="Normal 35 10 6 2 4 2 3 2" xfId="24680"/>
    <cellStyle name="Normal 35 10 6 2 4 2 3 3" xfId="24681"/>
    <cellStyle name="Normal 35 10 6 2 4 2 4" xfId="24682"/>
    <cellStyle name="Normal 35 10 6 2 4 2 5" xfId="24683"/>
    <cellStyle name="Normal 35 10 6 2 4 3" xfId="24684"/>
    <cellStyle name="Normal 35 10 6 2 4 3 2" xfId="24685"/>
    <cellStyle name="Normal 35 10 6 2 4 3 3" xfId="24686"/>
    <cellStyle name="Normal 35 10 6 2 4 4" xfId="24687"/>
    <cellStyle name="Normal 35 10 6 2 4 5" xfId="24688"/>
    <cellStyle name="Normal 35 10 6 2 5" xfId="24689"/>
    <cellStyle name="Normal 35 10 6 2 5 2" xfId="24690"/>
    <cellStyle name="Normal 35 10 6 2 5 3" xfId="24691"/>
    <cellStyle name="Normal 35 10 6 2 6" xfId="24692"/>
    <cellStyle name="Normal 35 10 6 2 7" xfId="24693"/>
    <cellStyle name="Normal 35 10 6 3" xfId="24694"/>
    <cellStyle name="Normal 35 10 6 3 2" xfId="24695"/>
    <cellStyle name="Normal 35 10 6 3 3" xfId="24696"/>
    <cellStyle name="Normal 35 10 6 4" xfId="24697"/>
    <cellStyle name="Normal 35 10 6 5" xfId="24698"/>
    <cellStyle name="Normal 35 11" xfId="24699"/>
    <cellStyle name="Normal 35 12" xfId="24700"/>
    <cellStyle name="Normal 35 13" xfId="24701"/>
    <cellStyle name="Normal 35 13 2" xfId="24702"/>
    <cellStyle name="Normal 35 13 2 2" xfId="24703"/>
    <cellStyle name="Normal 35 13 2 2 2" xfId="24704"/>
    <cellStyle name="Normal 35 13 2 2 3" xfId="24705"/>
    <cellStyle name="Normal 35 13 2 3" xfId="24706"/>
    <cellStyle name="Normal 35 13 2 4" xfId="24707"/>
    <cellStyle name="Normal 35 13 3" xfId="24708"/>
    <cellStyle name="Normal 35 13 3 2" xfId="24709"/>
    <cellStyle name="Normal 35 13 3 2 2" xfId="24710"/>
    <cellStyle name="Normal 35 13 3 2 3" xfId="24711"/>
    <cellStyle name="Normal 35 13 3 3" xfId="24712"/>
    <cellStyle name="Normal 35 13 3 4" xfId="24713"/>
    <cellStyle name="Normal 35 13 4" xfId="24714"/>
    <cellStyle name="Normal 35 13 4 2" xfId="24715"/>
    <cellStyle name="Normal 35 13 4 2 2" xfId="24716"/>
    <cellStyle name="Normal 35 13 4 2 2 2" xfId="24717"/>
    <cellStyle name="Normal 35 13 4 2 2 2 2" xfId="24718"/>
    <cellStyle name="Normal 35 13 4 2 2 2 2 2" xfId="24719"/>
    <cellStyle name="Normal 35 13 4 2 2 2 2 2 2" xfId="24720"/>
    <cellStyle name="Normal 35 13 4 2 2 2 2 2 3" xfId="24721"/>
    <cellStyle name="Normal 35 13 4 2 2 2 2 3" xfId="24722"/>
    <cellStyle name="Normal 35 13 4 2 2 2 2 4" xfId="24723"/>
    <cellStyle name="Normal 35 13 4 2 2 2 3" xfId="24724"/>
    <cellStyle name="Normal 35 13 4 2 2 2 3 2" xfId="24725"/>
    <cellStyle name="Normal 35 13 4 2 2 2 3 3" xfId="24726"/>
    <cellStyle name="Normal 35 13 4 2 2 2 4" xfId="24727"/>
    <cellStyle name="Normal 35 13 4 2 2 2 5" xfId="24728"/>
    <cellStyle name="Normal 35 13 4 2 2 3" xfId="24729"/>
    <cellStyle name="Normal 35 13 4 2 2 3 2" xfId="24730"/>
    <cellStyle name="Normal 35 13 4 2 2 3 3" xfId="24731"/>
    <cellStyle name="Normal 35 13 4 2 2 4" xfId="24732"/>
    <cellStyle name="Normal 35 13 4 2 2 5" xfId="24733"/>
    <cellStyle name="Normal 35 13 4 2 3" xfId="24734"/>
    <cellStyle name="Normal 35 13 4 2 3 2" xfId="24735"/>
    <cellStyle name="Normal 35 13 4 2 3 2 2" xfId="24736"/>
    <cellStyle name="Normal 35 13 4 2 3 2 2 2" xfId="24737"/>
    <cellStyle name="Normal 35 13 4 2 3 2 2 3" xfId="24738"/>
    <cellStyle name="Normal 35 13 4 2 3 2 3" xfId="24739"/>
    <cellStyle name="Normal 35 13 4 2 3 2 4" xfId="24740"/>
    <cellStyle name="Normal 35 13 4 2 3 3" xfId="24741"/>
    <cellStyle name="Normal 35 13 4 2 3 3 2" xfId="24742"/>
    <cellStyle name="Normal 35 13 4 2 3 3 3" xfId="24743"/>
    <cellStyle name="Normal 35 13 4 2 3 4" xfId="24744"/>
    <cellStyle name="Normal 35 13 4 2 3 5" xfId="24745"/>
    <cellStyle name="Normal 35 13 4 2 4" xfId="24746"/>
    <cellStyle name="Normal 35 13 4 2 4 2" xfId="24747"/>
    <cellStyle name="Normal 35 13 4 2 4 2 2" xfId="24748"/>
    <cellStyle name="Normal 35 13 4 2 4 2 3" xfId="24749"/>
    <cellStyle name="Normal 35 13 4 2 4 3" xfId="24750"/>
    <cellStyle name="Normal 35 13 4 2 4 4" xfId="24751"/>
    <cellStyle name="Normal 35 13 4 2 5" xfId="24752"/>
    <cellStyle name="Normal 35 13 4 2 5 2" xfId="24753"/>
    <cellStyle name="Normal 35 13 4 2 5 2 2" xfId="24754"/>
    <cellStyle name="Normal 35 13 4 2 5 2 2 2" xfId="24755"/>
    <cellStyle name="Normal 35 13 4 2 5 2 2 2 2" xfId="24756"/>
    <cellStyle name="Normal 35 13 4 2 5 2 2 2 3" xfId="24757"/>
    <cellStyle name="Normal 35 13 4 2 5 2 2 3" xfId="24758"/>
    <cellStyle name="Normal 35 13 4 2 5 2 2 3 2 3" xfId="24759"/>
    <cellStyle name="Normal 35 13 4 2 5 2 2 3 2 3 2" xfId="24760"/>
    <cellStyle name="Normal 35 13 4 2 5 2 2 3 2 3 2 2" xfId="24761"/>
    <cellStyle name="Normal 35 13 4 2 5 2 2 3 2 3 2 3" xfId="24762"/>
    <cellStyle name="Normal 35 13 4 2 5 2 2 3 2 3 3" xfId="24763"/>
    <cellStyle name="Normal 35 13 4 2 5 2 2 3 2 3 4" xfId="24764"/>
    <cellStyle name="Normal 35 13 4 2 5 2 2 4" xfId="24765"/>
    <cellStyle name="Normal 35 13 4 2 5 2 3" xfId="24766"/>
    <cellStyle name="Normal 35 13 4 2 5 2 3 2" xfId="24767"/>
    <cellStyle name="Normal 35 13 4 2 5 2 3 3" xfId="24768"/>
    <cellStyle name="Normal 35 13 4 2 5 2 4" xfId="24769"/>
    <cellStyle name="Normal 35 13 4 2 5 2 5" xfId="24770"/>
    <cellStyle name="Normal 35 13 4 2 5 3" xfId="24771"/>
    <cellStyle name="Normal 35 13 4 2 5 3 2" xfId="24772"/>
    <cellStyle name="Normal 35 13 4 2 5 3 3" xfId="24773"/>
    <cellStyle name="Normal 35 13 4 2 5 4" xfId="24774"/>
    <cellStyle name="Normal 35 13 4 2 5 5" xfId="24775"/>
    <cellStyle name="Normal 35 13 4 2 6" xfId="24776"/>
    <cellStyle name="Normal 35 13 4 2 6 2" xfId="24777"/>
    <cellStyle name="Normal 35 13 4 2 6 3" xfId="24778"/>
    <cellStyle name="Normal 35 13 4 2 7" xfId="24779"/>
    <cellStyle name="Normal 35 13 4 2 8" xfId="24780"/>
    <cellStyle name="Normal 35 13 4 3" xfId="24781"/>
    <cellStyle name="Normal 35 13 4 3 2" xfId="24782"/>
    <cellStyle name="Normal 35 13 4 3 3" xfId="24783"/>
    <cellStyle name="Normal 35 13 4 4" xfId="24784"/>
    <cellStyle name="Normal 35 13 4 5" xfId="24785"/>
    <cellStyle name="Normal 35 13 4 5 2" xfId="24786"/>
    <cellStyle name="Normal 35 13 4 5 2 2" xfId="24787"/>
    <cellStyle name="Normal 35 13 4 5 2 3" xfId="24788"/>
    <cellStyle name="Normal 35 13 4 5 3" xfId="24789"/>
    <cellStyle name="Normal 35 13 4 5 4" xfId="24790"/>
    <cellStyle name="Normal 35 13 4 6" xfId="24791"/>
    <cellStyle name="Normal 35 14" xfId="24792"/>
    <cellStyle name="Normal 35 15" xfId="24793"/>
    <cellStyle name="Normal 35 15 2" xfId="24794"/>
    <cellStyle name="Normal 35 15 2 2" xfId="24795"/>
    <cellStyle name="Normal 35 15 2 3" xfId="24796"/>
    <cellStyle name="Normal 35 15 3" xfId="24797"/>
    <cellStyle name="Normal 35 15 4" xfId="24798"/>
    <cellStyle name="Normal 35 2" xfId="24799"/>
    <cellStyle name="Normal 35 2 10" xfId="24800"/>
    <cellStyle name="Normal 35 2 11" xfId="24801"/>
    <cellStyle name="Normal 35 2 12" xfId="24802"/>
    <cellStyle name="Normal 35 2 12 2" xfId="24803"/>
    <cellStyle name="Normal 35 2 12 3" xfId="24804"/>
    <cellStyle name="Normal 35 2 13" xfId="24805"/>
    <cellStyle name="Normal 35 2 13 2" xfId="24806"/>
    <cellStyle name="Normal 35 2 13 3" xfId="24807"/>
    <cellStyle name="Normal 35 2 14" xfId="24808"/>
    <cellStyle name="Normal 35 2 15" xfId="24809"/>
    <cellStyle name="Normal 35 2 16" xfId="24810"/>
    <cellStyle name="Normal 35 2 2" xfId="24811"/>
    <cellStyle name="Normal 35 2 2 2" xfId="24812"/>
    <cellStyle name="Normal 35 2 2 3" xfId="24813"/>
    <cellStyle name="Normal 35 2 3" xfId="24814"/>
    <cellStyle name="Normal 35 2 3 2" xfId="24815"/>
    <cellStyle name="Normal 35 2 3 2 2" xfId="24816"/>
    <cellStyle name="Normal 35 2 3 2 2 2" xfId="24817"/>
    <cellStyle name="Normal 35 2 3 2 2 3" xfId="24818"/>
    <cellStyle name="Normal 35 2 3 2 3" xfId="24819"/>
    <cellStyle name="Normal 35 2 3 2 4" xfId="24820"/>
    <cellStyle name="Normal 35 2 3 2 5" xfId="24821"/>
    <cellStyle name="Normal 35 2 3 3" xfId="24822"/>
    <cellStyle name="Normal 35 2 3 3 2" xfId="24823"/>
    <cellStyle name="Normal 35 2 3 3 3" xfId="24824"/>
    <cellStyle name="Normal 35 2 3 4" xfId="24825"/>
    <cellStyle name="Normal 35 2 3 5" xfId="24826"/>
    <cellStyle name="Normal 35 2 3 6" xfId="24827"/>
    <cellStyle name="Normal 35 2 4" xfId="24828"/>
    <cellStyle name="Normal 35 2 4 2" xfId="24829"/>
    <cellStyle name="Normal 35 2 4 2 2" xfId="24830"/>
    <cellStyle name="Normal 35 2 4 2 3" xfId="24831"/>
    <cellStyle name="Normal 35 2 5" xfId="24832"/>
    <cellStyle name="Normal 35 2 5 2" xfId="24833"/>
    <cellStyle name="Normal 35 2 5 2 2" xfId="24834"/>
    <cellStyle name="Normal 35 2 5 2 3" xfId="24835"/>
    <cellStyle name="Normal 35 2 6" xfId="24836"/>
    <cellStyle name="Normal 35 2 6 2" xfId="24837"/>
    <cellStyle name="Normal 35 2 6 2 2" xfId="24838"/>
    <cellStyle name="Normal 35 2 6 2 3" xfId="24839"/>
    <cellStyle name="Normal 35 2 7" xfId="24840"/>
    <cellStyle name="Normal 35 2 7 2" xfId="24841"/>
    <cellStyle name="Normal 35 2 7 2 2" xfId="24842"/>
    <cellStyle name="Normal 35 2 7 2 3" xfId="24843"/>
    <cellStyle name="Normal 35 2 8" xfId="24844"/>
    <cellStyle name="Normal 35 2 8 2" xfId="24845"/>
    <cellStyle name="Normal 35 2 8 2 2" xfId="24846"/>
    <cellStyle name="Normal 35 2 8 2 3" xfId="24847"/>
    <cellStyle name="Normal 35 2 9" xfId="24848"/>
    <cellStyle name="Normal 35 2 9 2" xfId="24849"/>
    <cellStyle name="Normal 35 2 9 2 2" xfId="24850"/>
    <cellStyle name="Normal 35 2 9 2 3" xfId="24851"/>
    <cellStyle name="Normal 35 2_CHC Asifabad Estimate" xfId="24852"/>
    <cellStyle name="Normal 35 3" xfId="24853"/>
    <cellStyle name="Normal 35 3 2" xfId="24854"/>
    <cellStyle name="Normal 35 3 3" xfId="24855"/>
    <cellStyle name="Normal 35 4" xfId="24856"/>
    <cellStyle name="Normal 35 4 2" xfId="24857"/>
    <cellStyle name="Normal 35 4 2 2" xfId="24858"/>
    <cellStyle name="Normal 35 4 2 2 2" xfId="24859"/>
    <cellStyle name="Normal 35 4 2 2 3" xfId="24860"/>
    <cellStyle name="Normal 35 4 2 3" xfId="24861"/>
    <cellStyle name="Normal 35 4 2 4" xfId="24862"/>
    <cellStyle name="Normal 35 5" xfId="24863"/>
    <cellStyle name="Normal 35 5 2" xfId="24864"/>
    <cellStyle name="Normal 35 5 2 2" xfId="24865"/>
    <cellStyle name="Normal 35 5 2 2 2" xfId="24866"/>
    <cellStyle name="Normal 35 5 2 2 3" xfId="24867"/>
    <cellStyle name="Normal 35 5 2 3" xfId="24868"/>
    <cellStyle name="Normal 35 5 2 4" xfId="24869"/>
    <cellStyle name="Normal 35 6" xfId="24870"/>
    <cellStyle name="Normal 35 6 2" xfId="24871"/>
    <cellStyle name="Normal 35 6 2 2" xfId="24872"/>
    <cellStyle name="Normal 35 6 2 2 2" xfId="24873"/>
    <cellStyle name="Normal 35 6 2 2 3" xfId="24874"/>
    <cellStyle name="Normal 35 6 2 3" xfId="24875"/>
    <cellStyle name="Normal 35 6 2 4" xfId="24876"/>
    <cellStyle name="Normal 35 7" xfId="24877"/>
    <cellStyle name="Normal 35 7 2" xfId="24878"/>
    <cellStyle name="Normal 35 7 2 2" xfId="24879"/>
    <cellStyle name="Normal 35 7 2 2 2" xfId="24880"/>
    <cellStyle name="Normal 35 7 2 2 3" xfId="24881"/>
    <cellStyle name="Normal 35 7 2 3" xfId="24882"/>
    <cellStyle name="Normal 35 7 2 4" xfId="24883"/>
    <cellStyle name="Normal 35 8" xfId="24884"/>
    <cellStyle name="Normal 35 8 2" xfId="24885"/>
    <cellStyle name="Normal 35 8 2 2" xfId="24886"/>
    <cellStyle name="Normal 35 8 2 2 2" xfId="24887"/>
    <cellStyle name="Normal 35 8 2 2 3" xfId="24888"/>
    <cellStyle name="Normal 35 8 2 3" xfId="24889"/>
    <cellStyle name="Normal 35 8 2 4" xfId="24890"/>
    <cellStyle name="Normal 35 9" xfId="24891"/>
    <cellStyle name="Normal 35_AH Bhainsa Estimate" xfId="24892"/>
    <cellStyle name="Normal 36" xfId="24893"/>
    <cellStyle name="Normal 36 10" xfId="24894"/>
    <cellStyle name="Normal 36 10 2" xfId="24895"/>
    <cellStyle name="Normal 36 11" xfId="24896"/>
    <cellStyle name="Normal 36 12" xfId="24897"/>
    <cellStyle name="Normal 36 13" xfId="24898"/>
    <cellStyle name="Normal 36 14" xfId="24899"/>
    <cellStyle name="Normal 36 15" xfId="24900"/>
    <cellStyle name="Normal 36 2" xfId="24901"/>
    <cellStyle name="Normal 36 2 10" xfId="24902"/>
    <cellStyle name="Normal 36 2 11" xfId="24903"/>
    <cellStyle name="Normal 36 2 12" xfId="24904"/>
    <cellStyle name="Normal 36 2 2" xfId="24905"/>
    <cellStyle name="Normal 36 2 2 2" xfId="24906"/>
    <cellStyle name="Normal 36 2 2 2 2" xfId="24907"/>
    <cellStyle name="Normal 36 2 2 2 2 2" xfId="24908"/>
    <cellStyle name="Normal 36 2 2 2 2 3" xfId="24909"/>
    <cellStyle name="Normal 36 2 2 2 3" xfId="24910"/>
    <cellStyle name="Normal 36 2 2 2 4" xfId="24911"/>
    <cellStyle name="Normal 36 2 3" xfId="24912"/>
    <cellStyle name="Normal 36 2 4" xfId="24913"/>
    <cellStyle name="Normal 36 2 5" xfId="24914"/>
    <cellStyle name="Normal 36 2 6" xfId="24915"/>
    <cellStyle name="Normal 36 2 7" xfId="24916"/>
    <cellStyle name="Normal 36 2 8" xfId="24917"/>
    <cellStyle name="Normal 36 2 9" xfId="24918"/>
    <cellStyle name="Normal 36 3" xfId="24919"/>
    <cellStyle name="Normal 36 3 2" xfId="24920"/>
    <cellStyle name="Normal 36 3 2 2" xfId="24921"/>
    <cellStyle name="Normal 36 3 2 2 2" xfId="24922"/>
    <cellStyle name="Normal 36 3 2 2 3" xfId="24923"/>
    <cellStyle name="Normal 36 3 2 3" xfId="24924"/>
    <cellStyle name="Normal 36 3 2 4" xfId="24925"/>
    <cellStyle name="Normal 36 3 3" xfId="24926"/>
    <cellStyle name="Normal 36 3 3 2" xfId="24927"/>
    <cellStyle name="Normal 36 3 3 2 2" xfId="24928"/>
    <cellStyle name="Normal 36 3 3 2 3" xfId="24929"/>
    <cellStyle name="Normal 36 3 3 3" xfId="24930"/>
    <cellStyle name="Normal 36 3 3 4" xfId="24931"/>
    <cellStyle name="Normal 36 3 4" xfId="24932"/>
    <cellStyle name="Normal 36 3 4 2" xfId="24933"/>
    <cellStyle name="Normal 36 3 4 2 2" xfId="24934"/>
    <cellStyle name="Normal 36 3 4 2 3" xfId="24935"/>
    <cellStyle name="Normal 36 3 4 3" xfId="24936"/>
    <cellStyle name="Normal 36 3 4 4" xfId="24937"/>
    <cellStyle name="Normal 36 4" xfId="24938"/>
    <cellStyle name="Normal 36 5" xfId="24939"/>
    <cellStyle name="Normal 36 5 2" xfId="24940"/>
    <cellStyle name="Normal 36 5 2 2" xfId="24941"/>
    <cellStyle name="Normal 36 5 2 2 2" xfId="24942"/>
    <cellStyle name="Normal 36 5 2 2 3" xfId="24943"/>
    <cellStyle name="Normal 36 5 2 3" xfId="24944"/>
    <cellStyle name="Normal 36 5 2 4" xfId="24945"/>
    <cellStyle name="Normal 36 5 3" xfId="24946"/>
    <cellStyle name="Normal 36 5 3 2" xfId="24947"/>
    <cellStyle name="Normal 36 5 3 2 2" xfId="24948"/>
    <cellStyle name="Normal 36 5 3 2 3" xfId="24949"/>
    <cellStyle name="Normal 36 5 3 3" xfId="24950"/>
    <cellStyle name="Normal 36 5 3 4" xfId="24951"/>
    <cellStyle name="Normal 36 5 4" xfId="24952"/>
    <cellStyle name="Normal 36 5 4 2" xfId="24953"/>
    <cellStyle name="Normal 36 5 4 2 2" xfId="24954"/>
    <cellStyle name="Normal 36 5 4 2 3" xfId="24955"/>
    <cellStyle name="Normal 36 5 4 3" xfId="24956"/>
    <cellStyle name="Normal 36 5 4 4" xfId="24957"/>
    <cellStyle name="Normal 36 5 5" xfId="24958"/>
    <cellStyle name="Normal 36 5 5 2" xfId="24959"/>
    <cellStyle name="Normal 36 5 5 2 2" xfId="24960"/>
    <cellStyle name="Normal 36 5 5 2 2 2" xfId="24961"/>
    <cellStyle name="Normal 36 5 5 2 2 3" xfId="24962"/>
    <cellStyle name="Normal 36 5 5 2 3" xfId="24963"/>
    <cellStyle name="Normal 36 5 5 2 4" xfId="24964"/>
    <cellStyle name="Normal 36 5 5 3" xfId="24965"/>
    <cellStyle name="Normal 36 5 5 3 2" xfId="24966"/>
    <cellStyle name="Normal 36 5 5 3 2 2" xfId="24967"/>
    <cellStyle name="Normal 36 5 5 3 2 2 2" xfId="24968"/>
    <cellStyle name="Normal 36 5 5 3 2 2 3" xfId="24969"/>
    <cellStyle name="Normal 36 5 5 3 2 3" xfId="24970"/>
    <cellStyle name="Normal 36 5 5 3 2 4" xfId="24971"/>
    <cellStyle name="Normal 36 5 5 3 3" xfId="24972"/>
    <cellStyle name="Normal 36 5 5 3 3 2" xfId="24973"/>
    <cellStyle name="Normal 36 5 5 3 3 3" xfId="24974"/>
    <cellStyle name="Normal 36 5 5 3 4" xfId="24975"/>
    <cellStyle name="Normal 36 5 5 3 5" xfId="24976"/>
    <cellStyle name="Normal 36 5 5 4" xfId="24977"/>
    <cellStyle name="Normal 36 5 5 4 2" xfId="24978"/>
    <cellStyle name="Normal 36 5 5 4 2 2" xfId="24979"/>
    <cellStyle name="Normal 36 5 5 4 2 3" xfId="24980"/>
    <cellStyle name="Normal 36 5 5 4 3" xfId="24981"/>
    <cellStyle name="Normal 36 5 5 4 4" xfId="24982"/>
    <cellStyle name="Normal 36 5 5 5" xfId="24983"/>
    <cellStyle name="Normal 36 5 5 5 2" xfId="24984"/>
    <cellStyle name="Normal 36 5 5 5 2 2" xfId="24985"/>
    <cellStyle name="Normal 36 5 5 5 2 3" xfId="24986"/>
    <cellStyle name="Normal 36 5 5 5 3" xfId="24987"/>
    <cellStyle name="Normal 36 5 5 5 4" xfId="24988"/>
    <cellStyle name="Normal 36 5 5 6" xfId="24989"/>
    <cellStyle name="Normal 36 5 5 6 2" xfId="24990"/>
    <cellStyle name="Normal 36 5 5 6 3" xfId="24991"/>
    <cellStyle name="Normal 36 5 5 7" xfId="24992"/>
    <cellStyle name="Normal 36 5 5 8" xfId="24993"/>
    <cellStyle name="Normal 36 6" xfId="24994"/>
    <cellStyle name="Normal 36 7" xfId="24995"/>
    <cellStyle name="Normal 36 8" xfId="24996"/>
    <cellStyle name="Normal 36 9" xfId="24997"/>
    <cellStyle name="Normal 36_Repairs &amp; Renovations to MGM  - 26-07-2016" xfId="24998"/>
    <cellStyle name="Normal 37" xfId="24999"/>
    <cellStyle name="Normal 37 10" xfId="25000"/>
    <cellStyle name="Normal 37 11" xfId="25001"/>
    <cellStyle name="Normal 37 12" xfId="25002"/>
    <cellStyle name="Normal 37 2" xfId="25003"/>
    <cellStyle name="Normal 37 2 10" xfId="25004"/>
    <cellStyle name="Normal 37 2 11" xfId="25005"/>
    <cellStyle name="Normal 37 2 2" xfId="25006"/>
    <cellStyle name="Normal 37 2 2 2" xfId="25007"/>
    <cellStyle name="Normal 37 2 3" xfId="25008"/>
    <cellStyle name="Normal 37 2 4" xfId="25009"/>
    <cellStyle name="Normal 37 2 5" xfId="25010"/>
    <cellStyle name="Normal 37 2 6" xfId="25011"/>
    <cellStyle name="Normal 37 2 7" xfId="25012"/>
    <cellStyle name="Normal 37 2 8" xfId="25013"/>
    <cellStyle name="Normal 37 2 9" xfId="25014"/>
    <cellStyle name="Normal 37 3" xfId="25015"/>
    <cellStyle name="Normal 37 4" xfId="25016"/>
    <cellStyle name="Normal 37 5" xfId="25017"/>
    <cellStyle name="Normal 37 6" xfId="25018"/>
    <cellStyle name="Normal 37 7" xfId="25019"/>
    <cellStyle name="Normal 37 8" xfId="25020"/>
    <cellStyle name="Normal 37 9" xfId="25021"/>
    <cellStyle name="Normal 38" xfId="25022"/>
    <cellStyle name="Normal 38 10" xfId="25023"/>
    <cellStyle name="Normal 38 11" xfId="25024"/>
    <cellStyle name="Normal 38 2" xfId="25025"/>
    <cellStyle name="Normal 38 2 2" xfId="25026"/>
    <cellStyle name="Normal 38 3" xfId="25027"/>
    <cellStyle name="Normal 38 3 2" xfId="25028"/>
    <cellStyle name="Normal 38 3 2 2" xfId="25029"/>
    <cellStyle name="Normal 38 3 2 2 2" xfId="25030"/>
    <cellStyle name="Normal 38 3 2 2 2 2" xfId="25031"/>
    <cellStyle name="Normal 38 3 2 2 2 2 2" xfId="25032"/>
    <cellStyle name="Normal 38 3 2 2 2 2 3" xfId="25033"/>
    <cellStyle name="Normal 38 3 2 2 2 3" xfId="25034"/>
    <cellStyle name="Normal 38 3 2 2 2 4" xfId="25035"/>
    <cellStyle name="Normal 38 3 2 2 3" xfId="25036"/>
    <cellStyle name="Normal 38 3 2 2 3 2" xfId="25037"/>
    <cellStyle name="Normal 38 3 2 2 3 3" xfId="25038"/>
    <cellStyle name="Normal 38 3 2 2 4" xfId="25039"/>
    <cellStyle name="Normal 38 3 2 2 5" xfId="25040"/>
    <cellStyle name="Normal 38 3 2 3" xfId="25041"/>
    <cellStyle name="Normal 38 3 2 3 2" xfId="25042"/>
    <cellStyle name="Normal 38 3 2 3 2 2" xfId="25043"/>
    <cellStyle name="Normal 38 3 2 3 2 2 2" xfId="25044"/>
    <cellStyle name="Normal 38 3 2 3 2 2 3" xfId="25045"/>
    <cellStyle name="Normal 38 3 2 3 2 3" xfId="25046"/>
    <cellStyle name="Normal 38 3 2 3 2 4" xfId="25047"/>
    <cellStyle name="Normal 38 3 2 3 3" xfId="25048"/>
    <cellStyle name="Normal 38 3 2 3 3 2" xfId="25049"/>
    <cellStyle name="Normal 38 3 2 3 3 3" xfId="25050"/>
    <cellStyle name="Normal 38 3 2 3 4" xfId="25051"/>
    <cellStyle name="Normal 38 3 2 3 4 2 2 2" xfId="25052"/>
    <cellStyle name="Normal 38 3 2 3 4 2 2 2 2" xfId="25053"/>
    <cellStyle name="Normal 38 3 2 3 4 2 2 2 2 2" xfId="25054"/>
    <cellStyle name="Normal 38 3 2 3 4 2 2 2 2 3" xfId="25055"/>
    <cellStyle name="Normal 38 3 2 3 4 2 2 2 3" xfId="25056"/>
    <cellStyle name="Normal 38 3 2 3 4 2 2 2 4" xfId="25057"/>
    <cellStyle name="Normal 38 3 2 3 4 2 2 3" xfId="25058"/>
    <cellStyle name="Normal 38 3 2 3 4 2 2 3 2" xfId="25059"/>
    <cellStyle name="Normal 38 3 2 3 4 2 2 3 2 2" xfId="25060"/>
    <cellStyle name="Normal 38 3 2 3 4 2 2 3 2 3" xfId="25061"/>
    <cellStyle name="Normal 38 3 2 3 4 2 2 3 3" xfId="25062"/>
    <cellStyle name="Normal 38 3 2 3 4 2 2 3 4" xfId="25063"/>
    <cellStyle name="Normal 38 3 2 3 5" xfId="25064"/>
    <cellStyle name="Normal 38 3 3" xfId="25065"/>
    <cellStyle name="Normal 38 3 4" xfId="25066"/>
    <cellStyle name="Normal 38 3 4 2" xfId="25067"/>
    <cellStyle name="Normal 38 3 4 2 2" xfId="25068"/>
    <cellStyle name="Normal 38 3 4 2 2 2" xfId="25069"/>
    <cellStyle name="Normal 38 3 4 2 2 2 2" xfId="25070"/>
    <cellStyle name="Normal 38 3 4 2 2 2 2 2" xfId="25071"/>
    <cellStyle name="Normal 38 3 4 2 2 2 2 2 2" xfId="25072"/>
    <cellStyle name="Normal 38 3 4 2 2 2 2 2 2 2" xfId="25073"/>
    <cellStyle name="Normal 38 3 4 2 2 2 2 2 2 2 2" xfId="25074"/>
    <cellStyle name="Normal 38 3 4 2 2 2 2 2 2 2 3" xfId="25075"/>
    <cellStyle name="Normal 38 3 4 2 2 2 2 2 2 3" xfId="25076"/>
    <cellStyle name="Normal 38 3 4 2 2 2 2 2 2 4" xfId="25077"/>
    <cellStyle name="Normal 38 3 4 2 2 2 2 2 2 5" xfId="25078"/>
    <cellStyle name="Normal 38 3 4 2 2 2 2 2 2 5 2" xfId="25079"/>
    <cellStyle name="Normal 38 3 4 2 2 2 2 2 2 5 2 2" xfId="25080"/>
    <cellStyle name="Normal 38 3 4 2 2 2 2 2 2 5 2 3" xfId="25081"/>
    <cellStyle name="Normal 38 3 4 2 2 2 2 2 2 5 3" xfId="25082"/>
    <cellStyle name="Normal 38 3 4 2 2 2 2 2 2 5 4" xfId="25083"/>
    <cellStyle name="Normal 38 3 4 2 2 2 2 2 3" xfId="25084"/>
    <cellStyle name="Normal 38 3 4 2 2 2 2 2 4" xfId="25085"/>
    <cellStyle name="Normal 38 3 4 2 2 2 2 3" xfId="25086"/>
    <cellStyle name="Normal 38 3 4 2 2 2 2 4" xfId="25087"/>
    <cellStyle name="Normal 38 3 4 2 2 2 3" xfId="25088"/>
    <cellStyle name="Normal 38 3 4 2 2 2 3 2" xfId="25089"/>
    <cellStyle name="Normal 38 3 4 2 2 2 3 2 2" xfId="25090"/>
    <cellStyle name="Normal 38 3 4 2 2 2 3 2 3" xfId="25091"/>
    <cellStyle name="Normal 38 3 4 2 2 2 3 3" xfId="25092"/>
    <cellStyle name="Normal 38 3 4 2 2 2 3 4" xfId="25093"/>
    <cellStyle name="Normal 38 3 4 2 2 2 4" xfId="25094"/>
    <cellStyle name="Normal 38 3 4 2 2 2 4 2" xfId="25095"/>
    <cellStyle name="Normal 38 3 4 2 2 2 4 3" xfId="25096"/>
    <cellStyle name="Normal 38 3 4 2 2 2 5" xfId="25097"/>
    <cellStyle name="Normal 38 3 4 2 2 2 6" xfId="25098"/>
    <cellStyle name="Normal 38 3 4 2 2 3" xfId="25099"/>
    <cellStyle name="Normal 38 3 4 2 2 3 2" xfId="25100"/>
    <cellStyle name="Normal 38 3 4 2 2 3 2 2" xfId="25101"/>
    <cellStyle name="Normal 38 3 4 2 2 3 2 3" xfId="25102"/>
    <cellStyle name="Normal 38 3 4 2 2 3 3" xfId="25103"/>
    <cellStyle name="Normal 38 3 4 2 2 3 4" xfId="25104"/>
    <cellStyle name="Normal 38 3 4 2 2 4" xfId="25105"/>
    <cellStyle name="Normal 38 3 4 2 2 4 2" xfId="25106"/>
    <cellStyle name="Normal 38 3 4 2 2 4 3" xfId="25107"/>
    <cellStyle name="Normal 38 3 4 2 2 5" xfId="25108"/>
    <cellStyle name="Normal 38 3 4 2 2 6" xfId="25109"/>
    <cellStyle name="Normal 38 3 4 2 3" xfId="25110"/>
    <cellStyle name="Normal 38 3 4 2 3 2" xfId="25111"/>
    <cellStyle name="Normal 38 3 4 2 3 3" xfId="25112"/>
    <cellStyle name="Normal 38 3 4 2 4" xfId="25113"/>
    <cellStyle name="Normal 38 3 4 2 5" xfId="25114"/>
    <cellStyle name="Normal 38 3 4 3" xfId="25115"/>
    <cellStyle name="Normal 38 3 4 3 2" xfId="25116"/>
    <cellStyle name="Normal 38 3 4 3 3" xfId="25117"/>
    <cellStyle name="Normal 38 3 4 4" xfId="25118"/>
    <cellStyle name="Normal 38 3 4 5" xfId="25119"/>
    <cellStyle name="Normal 38 3 5" xfId="25120"/>
    <cellStyle name="Normal 38 3 5 2" xfId="25121"/>
    <cellStyle name="Normal 38 3 5 2 2" xfId="25122"/>
    <cellStyle name="Normal 38 3 5 2 3" xfId="25123"/>
    <cellStyle name="Normal 38 3 5 3" xfId="25124"/>
    <cellStyle name="Normal 38 3 5 4" xfId="25125"/>
    <cellStyle name="Normal 38 4" xfId="25126"/>
    <cellStyle name="Normal 38 4 2" xfId="25127"/>
    <cellStyle name="Normal 38 5" xfId="25128"/>
    <cellStyle name="Normal 38 6" xfId="25129"/>
    <cellStyle name="Normal 38 7" xfId="25130"/>
    <cellStyle name="Normal 38 8" xfId="25131"/>
    <cellStyle name="Normal 38 9" xfId="25132"/>
    <cellStyle name="Normal 39" xfId="25133"/>
    <cellStyle name="Normal 39 2" xfId="25134"/>
    <cellStyle name="Normal 39 2 2" xfId="25135"/>
    <cellStyle name="Normal 39 3" xfId="25136"/>
    <cellStyle name="Normal 39 4" xfId="25137"/>
    <cellStyle name="Normal 39 4 2" xfId="25138"/>
    <cellStyle name="Normal 39 4 2 2" xfId="25139"/>
    <cellStyle name="Normal 39 4 2 3" xfId="25140"/>
    <cellStyle name="Normal 39 4 3" xfId="25141"/>
    <cellStyle name="Normal 39 4 4" xfId="25142"/>
    <cellStyle name="Normal 39 5" xfId="25143"/>
    <cellStyle name="Normal 39 5 2" xfId="25144"/>
    <cellStyle name="Normal 39 5 2 2" xfId="25145"/>
    <cellStyle name="Normal 39 5 2 3" xfId="25146"/>
    <cellStyle name="Normal 39 5 3" xfId="25147"/>
    <cellStyle name="Normal 39 5 4" xfId="25148"/>
    <cellStyle name="Normal 39 6" xfId="25149"/>
    <cellStyle name="Normal 39 6 2" xfId="25150"/>
    <cellStyle name="Normal 39 6 2 2" xfId="25151"/>
    <cellStyle name="Normal 39 6 2 3" xfId="25152"/>
    <cellStyle name="Normal 39 6 3" xfId="25153"/>
    <cellStyle name="Normal 39 6 4" xfId="25154"/>
    <cellStyle name="Normal 39 7" xfId="25155"/>
    <cellStyle name="Normal 39 7 2" xfId="25156"/>
    <cellStyle name="Normal 39 7 2 2" xfId="25157"/>
    <cellStyle name="Normal 39 7 2 3" xfId="25158"/>
    <cellStyle name="Normal 39 7 3" xfId="25159"/>
    <cellStyle name="Normal 39 7 4" xfId="25160"/>
    <cellStyle name="Normal 39 8" xfId="25161"/>
    <cellStyle name="Normal 39 8 2" xfId="25162"/>
    <cellStyle name="Normal 39 8 2 2" xfId="25163"/>
    <cellStyle name="Normal 39 8 2 3" xfId="25164"/>
    <cellStyle name="Normal 39 8 3" xfId="25165"/>
    <cellStyle name="Normal 39 8 4" xfId="25166"/>
    <cellStyle name="Normal 4" xfId="25168"/>
    <cellStyle name="Normal 4 10" xfId="25169"/>
    <cellStyle name="Normal 4 11" xfId="25170"/>
    <cellStyle name="Normal 4 12" xfId="25171"/>
    <cellStyle name="Normal 4 13" xfId="25172"/>
    <cellStyle name="Normal 4 14" xfId="25173"/>
    <cellStyle name="Normal 4 14 2" xfId="25174"/>
    <cellStyle name="Normal 4 15" xfId="25175"/>
    <cellStyle name="Normal 4 16" xfId="25176"/>
    <cellStyle name="Normal 4 17" xfId="25177"/>
    <cellStyle name="Normal 4 2" xfId="25178"/>
    <cellStyle name="Normal 4 2 10" xfId="25179"/>
    <cellStyle name="Normal 4 2 11" xfId="25180"/>
    <cellStyle name="Normal 4 2 12" xfId="25181"/>
    <cellStyle name="Normal 4 2 13" xfId="25182"/>
    <cellStyle name="Normal 4 2 14" xfId="25183"/>
    <cellStyle name="Normal 4 2 15" xfId="25184"/>
    <cellStyle name="Normal 4 2 16" xfId="25185"/>
    <cellStyle name="Normal 4 2 17" xfId="25186"/>
    <cellStyle name="Normal 4 2 18" xfId="25187"/>
    <cellStyle name="Normal 4 2 2" xfId="25188"/>
    <cellStyle name="Normal 4 2 2 10" xfId="25189"/>
    <cellStyle name="Normal 4 2 2 10 2" xfId="25190"/>
    <cellStyle name="Normal 4 2 2 10 2 2" xfId="25191"/>
    <cellStyle name="Normal 4 2 2 10 2 3" xfId="25192"/>
    <cellStyle name="Normal 4 2 2 10 3" xfId="25193"/>
    <cellStyle name="Normal 4 2 2 10 4" xfId="25194"/>
    <cellStyle name="Normal 4 2 2 11" xfId="25195"/>
    <cellStyle name="Normal 4 2 2 11 2" xfId="25196"/>
    <cellStyle name="Normal 4 2 2 11 2 2" xfId="25197"/>
    <cellStyle name="Normal 4 2 2 11 2 3" xfId="25198"/>
    <cellStyle name="Normal 4 2 2 11 3" xfId="25199"/>
    <cellStyle name="Normal 4 2 2 11 4" xfId="25200"/>
    <cellStyle name="Normal 4 2 2 2" xfId="25201"/>
    <cellStyle name="Normal 4 2 2 2 2" xfId="25202"/>
    <cellStyle name="Normal 4 2 2 3" xfId="25203"/>
    <cellStyle name="Normal 4 2 2 4" xfId="25204"/>
    <cellStyle name="Normal 4 2 2 4 2" xfId="25205"/>
    <cellStyle name="Normal 4 2 2 4 2 2" xfId="25206"/>
    <cellStyle name="Normal 4 2 2 4 2 3" xfId="25207"/>
    <cellStyle name="Normal 4 2 2 4 3" xfId="25208"/>
    <cellStyle name="Normal 4 2 2 4 4" xfId="25209"/>
    <cellStyle name="Normal 4 2 2 5" xfId="25210"/>
    <cellStyle name="Normal 4 2 2 5 2" xfId="25211"/>
    <cellStyle name="Normal 4 2 2 5 2 2" xfId="25212"/>
    <cellStyle name="Normal 4 2 2 5 2 3" xfId="25213"/>
    <cellStyle name="Normal 4 2 2 5 3" xfId="25214"/>
    <cellStyle name="Normal 4 2 2 5 4" xfId="25215"/>
    <cellStyle name="Normal 4 2 2 6" xfId="25216"/>
    <cellStyle name="Normal 4 2 2 6 2" xfId="25217"/>
    <cellStyle name="Normal 4 2 2 6 2 2" xfId="25218"/>
    <cellStyle name="Normal 4 2 2 6 2 3" xfId="25219"/>
    <cellStyle name="Normal 4 2 2 6 3" xfId="25220"/>
    <cellStyle name="Normal 4 2 2 6 4" xfId="25221"/>
    <cellStyle name="Normal 4 2 2 7" xfId="25222"/>
    <cellStyle name="Normal 4 2 2 7 2" xfId="25223"/>
    <cellStyle name="Normal 4 2 2 7 2 2" xfId="25224"/>
    <cellStyle name="Normal 4 2 2 7 2 3" xfId="25225"/>
    <cellStyle name="Normal 4 2 2 7 3" xfId="25226"/>
    <cellStyle name="Normal 4 2 2 7 4" xfId="25227"/>
    <cellStyle name="Normal 4 2 2 8" xfId="25228"/>
    <cellStyle name="Normal 4 2 2 8 2" xfId="25229"/>
    <cellStyle name="Normal 4 2 2 8 2 2" xfId="25230"/>
    <cellStyle name="Normal 4 2 2 8 2 3" xfId="25231"/>
    <cellStyle name="Normal 4 2 2 8 3" xfId="25232"/>
    <cellStyle name="Normal 4 2 2 8 4" xfId="25233"/>
    <cellStyle name="Normal 4 2 2 9" xfId="25234"/>
    <cellStyle name="Normal 4 2 2 9 2" xfId="25235"/>
    <cellStyle name="Normal 4 2 2 9 2 2" xfId="25236"/>
    <cellStyle name="Normal 4 2 2 9 2 3" xfId="25237"/>
    <cellStyle name="Normal 4 2 2 9 3" xfId="25238"/>
    <cellStyle name="Normal 4 2 2 9 4" xfId="25239"/>
    <cellStyle name="Normal 4 2 3" xfId="25240"/>
    <cellStyle name="Normal 4 2 3 10" xfId="25241"/>
    <cellStyle name="Normal 4 2 3 10 2" xfId="25242"/>
    <cellStyle name="Normal 4 2 3 10 3" xfId="25243"/>
    <cellStyle name="Normal 4 2 3 11" xfId="25244"/>
    <cellStyle name="Normal 4 2 3 11 2" xfId="25245"/>
    <cellStyle name="Normal 4 2 3 11 3" xfId="25246"/>
    <cellStyle name="Normal 4 2 3 12" xfId="25247"/>
    <cellStyle name="Normal 4 2 3 13" xfId="25248"/>
    <cellStyle name="Normal 4 2 3 2" xfId="25249"/>
    <cellStyle name="Normal 4 2 3 2 2" xfId="25250"/>
    <cellStyle name="Normal 4 2 3 2 2 2" xfId="25251"/>
    <cellStyle name="Normal 4 2 3 2 2 3" xfId="25252"/>
    <cellStyle name="Normal 4 2 3 3" xfId="25253"/>
    <cellStyle name="Normal 4 2 3 4" xfId="25254"/>
    <cellStyle name="Normal 4 2 3 5" xfId="25255"/>
    <cellStyle name="Normal 4 2 3 6" xfId="25256"/>
    <cellStyle name="Normal 4 2 3 7" xfId="25257"/>
    <cellStyle name="Normal 4 2 3 8" xfId="25258"/>
    <cellStyle name="Normal 4 2 3 9" xfId="25259"/>
    <cellStyle name="Normal 4 2 4" xfId="25260"/>
    <cellStyle name="Normal 4 2 5" xfId="25261"/>
    <cellStyle name="Normal 4 2 6" xfId="25262"/>
    <cellStyle name="Normal 4 2 6 2" xfId="25263"/>
    <cellStyle name="Normal 4 2 6 2 2" xfId="25264"/>
    <cellStyle name="Normal 4 2 6 2 3" xfId="25265"/>
    <cellStyle name="Normal 4 2 6 3" xfId="25266"/>
    <cellStyle name="Normal 4 2 6 4" xfId="25267"/>
    <cellStyle name="Normal 4 2 7" xfId="25268"/>
    <cellStyle name="Normal 4 2 7 2" xfId="25269"/>
    <cellStyle name="Normal 4 2 8" xfId="25270"/>
    <cellStyle name="Normal 4 2 9" xfId="25271"/>
    <cellStyle name="Normal 4 2_5.Vemulapudi" xfId="25273"/>
    <cellStyle name="Normal 4 22 2" xfId="25272"/>
    <cellStyle name="Normal 4 3" xfId="25274"/>
    <cellStyle name="Normal 4 3 10" xfId="25275"/>
    <cellStyle name="Normal 4 3 2" xfId="25276"/>
    <cellStyle name="Normal 4 3 2 2" xfId="25277"/>
    <cellStyle name="Normal 4 3 2 2 2" xfId="25278"/>
    <cellStyle name="Normal 4 3 2 3" xfId="25279"/>
    <cellStyle name="Normal 4 3 2 4" xfId="25280"/>
    <cellStyle name="Normal 4 3 2 5" xfId="25281"/>
    <cellStyle name="Normal 4 3 2 6" xfId="25282"/>
    <cellStyle name="Normal 4 3 2 7" xfId="25283"/>
    <cellStyle name="Normal 4 3 2 8" xfId="25284"/>
    <cellStyle name="Normal 4 3 2 9" xfId="25285"/>
    <cellStyle name="Normal 4 3 3" xfId="25286"/>
    <cellStyle name="Normal 4 3 3 2" xfId="25287"/>
    <cellStyle name="Normal 4 3 4" xfId="25288"/>
    <cellStyle name="Normal 4 3 5" xfId="25289"/>
    <cellStyle name="Normal 4 3 6" xfId="25290"/>
    <cellStyle name="Normal 4 3 7" xfId="25291"/>
    <cellStyle name="Normal 4 3 8" xfId="25292"/>
    <cellStyle name="Normal 4 3 9" xfId="25293"/>
    <cellStyle name="Normal 4 3_NERELLA ADDITIONAL CLASS ROOMS IN FF" xfId="25295"/>
    <cellStyle name="Normal 4 35" xfId="25294"/>
    <cellStyle name="Normal 4 4" xfId="25296"/>
    <cellStyle name="Normal 4 4 10" xfId="25297"/>
    <cellStyle name="Normal 4 4 11" xfId="25298"/>
    <cellStyle name="Normal 4 4 2" xfId="25299"/>
    <cellStyle name="Normal 4 4 2 2" xfId="25300"/>
    <cellStyle name="Normal 4 4 2 3" xfId="25301"/>
    <cellStyle name="Normal 4 4 2 4" xfId="25302"/>
    <cellStyle name="Normal 4 4 2 5" xfId="25303"/>
    <cellStyle name="Normal 4 4 2 6" xfId="25304"/>
    <cellStyle name="Normal 4 4 2 7" xfId="25305"/>
    <cellStyle name="Normal 4 4 2 8" xfId="25306"/>
    <cellStyle name="Normal 4 4 2 9" xfId="25307"/>
    <cellStyle name="Normal 4 4 3" xfId="25308"/>
    <cellStyle name="Normal 4 4 4" xfId="25309"/>
    <cellStyle name="Normal 4 4 5" xfId="25310"/>
    <cellStyle name="Normal 4 4 6" xfId="25311"/>
    <cellStyle name="Normal 4 4 7" xfId="25312"/>
    <cellStyle name="Normal 4 4 8" xfId="25313"/>
    <cellStyle name="Normal 4 4 9" xfId="25314"/>
    <cellStyle name="Normal 4 4_NERELLA ADDITIONAL CLASS ROOMS IN FF" xfId="25315"/>
    <cellStyle name="Normal 4 5" xfId="25316"/>
    <cellStyle name="Normal 4 5 10" xfId="25317"/>
    <cellStyle name="Normal 4 5 10 2" xfId="25318"/>
    <cellStyle name="Normal 4 5 10 3" xfId="25319"/>
    <cellStyle name="Normal 4 5 11" xfId="25320"/>
    <cellStyle name="Normal 4 5 11 2" xfId="25321"/>
    <cellStyle name="Normal 4 5 11 3" xfId="25322"/>
    <cellStyle name="Normal 4 5 12" xfId="25323"/>
    <cellStyle name="Normal 4 5 13" xfId="25324"/>
    <cellStyle name="Normal 4 5 2" xfId="25325"/>
    <cellStyle name="Normal 4 5 2 2" xfId="25326"/>
    <cellStyle name="Normal 4 5 2 2 2" xfId="25327"/>
    <cellStyle name="Normal 4 5 2 2 3" xfId="25328"/>
    <cellStyle name="Normal 4 5 3" xfId="25329"/>
    <cellStyle name="Normal 4 5 4" xfId="25330"/>
    <cellStyle name="Normal 4 5 5" xfId="25331"/>
    <cellStyle name="Normal 4 5 6" xfId="25332"/>
    <cellStyle name="Normal 4 5 7" xfId="25333"/>
    <cellStyle name="Normal 4 5 8" xfId="25334"/>
    <cellStyle name="Normal 4 5 9" xfId="25335"/>
    <cellStyle name="Normal 4 6" xfId="25336"/>
    <cellStyle name="Normal 4 6 2" xfId="25337"/>
    <cellStyle name="Normal 4 6 3" xfId="25338"/>
    <cellStyle name="Normal 4 6 4" xfId="25339"/>
    <cellStyle name="Normal 4 6 5" xfId="25340"/>
    <cellStyle name="Normal 4 6 6" xfId="25341"/>
    <cellStyle name="Normal 4 6 7" xfId="25342"/>
    <cellStyle name="Normal 4 6 8" xfId="25343"/>
    <cellStyle name="Normal 4 6 9" xfId="25344"/>
    <cellStyle name="Normal 4 7" xfId="25345"/>
    <cellStyle name="Normal 4 8" xfId="25346"/>
    <cellStyle name="Normal 4 9" xfId="25347"/>
    <cellStyle name="Normal 4_14-15 Datas Final 23.11.14.xls 14.05.2015" xfId="25891"/>
    <cellStyle name="Normal 40" xfId="25348"/>
    <cellStyle name="Normal 40 2" xfId="25349"/>
    <cellStyle name="Normal 40 2 2" xfId="25350"/>
    <cellStyle name="Normal 40 3" xfId="25351"/>
    <cellStyle name="Normal 40 4" xfId="25352"/>
    <cellStyle name="Normal 40 4 2" xfId="25353"/>
    <cellStyle name="Normal 40 4 2 2" xfId="25354"/>
    <cellStyle name="Normal 40 4 2 3" xfId="25355"/>
    <cellStyle name="Normal 40 4 3" xfId="25356"/>
    <cellStyle name="Normal 40 4 4" xfId="25357"/>
    <cellStyle name="Normal 40 5" xfId="25358"/>
    <cellStyle name="Normal 40 5 2" xfId="25359"/>
    <cellStyle name="Normal 40 5 2 2" xfId="25360"/>
    <cellStyle name="Normal 40 5 2 3" xfId="25361"/>
    <cellStyle name="Normal 40 5 3" xfId="25362"/>
    <cellStyle name="Normal 40 5 4" xfId="25363"/>
    <cellStyle name="Normal 40 6" xfId="25364"/>
    <cellStyle name="Normal 40 6 2" xfId="25365"/>
    <cellStyle name="Normal 40 6 2 2" xfId="25366"/>
    <cellStyle name="Normal 40 6 2 3" xfId="25367"/>
    <cellStyle name="Normal 40 6 3" xfId="25368"/>
    <cellStyle name="Normal 40 6 4" xfId="25369"/>
    <cellStyle name="Normal 40 7" xfId="25370"/>
    <cellStyle name="Normal 40 7 2" xfId="25371"/>
    <cellStyle name="Normal 40 7 2 2" xfId="25372"/>
    <cellStyle name="Normal 40 7 2 3" xfId="25373"/>
    <cellStyle name="Normal 40 7 3" xfId="25374"/>
    <cellStyle name="Normal 40 7 4" xfId="25375"/>
    <cellStyle name="Normal 40 8" xfId="25376"/>
    <cellStyle name="Normal 40 8 2" xfId="25377"/>
    <cellStyle name="Normal 40 8 2 2" xfId="25378"/>
    <cellStyle name="Normal 40 8 2 3" xfId="25379"/>
    <cellStyle name="Normal 40 8 3" xfId="25380"/>
    <cellStyle name="Normal 40 8 4" xfId="25381"/>
    <cellStyle name="Normal 41" xfId="25382"/>
    <cellStyle name="Normal 41 2" xfId="25383"/>
    <cellStyle name="Normal 41 2 2" xfId="25384"/>
    <cellStyle name="Normal 41 3" xfId="25385"/>
    <cellStyle name="Normal 41 3 2" xfId="25386"/>
    <cellStyle name="Normal 41 3 2 2" xfId="25387"/>
    <cellStyle name="Normal 41 3 2 2 2" xfId="25388"/>
    <cellStyle name="Normal 41 3 2 2 3" xfId="25389"/>
    <cellStyle name="Normal 41 3 2 3" xfId="25390"/>
    <cellStyle name="Normal 41 3 2 4" xfId="25391"/>
    <cellStyle name="Normal 41 4" xfId="25392"/>
    <cellStyle name="Normal 41 4 2" xfId="25393"/>
    <cellStyle name="Normal 41 4 2 2" xfId="25394"/>
    <cellStyle name="Normal 41 4 2 2 2" xfId="25395"/>
    <cellStyle name="Normal 41 4 2 2 3" xfId="25396"/>
    <cellStyle name="Normal 41 4 2 3" xfId="25397"/>
    <cellStyle name="Normal 41 4 2 4" xfId="25398"/>
    <cellStyle name="Normal 41 4 3" xfId="25399"/>
    <cellStyle name="Normal 41 4 3 2" xfId="25400"/>
    <cellStyle name="Normal 41 4 3 3" xfId="25401"/>
    <cellStyle name="Normal 41 4 4" xfId="25402"/>
    <cellStyle name="Normal 41 4 5" xfId="25403"/>
    <cellStyle name="Normal 41 5" xfId="25404"/>
    <cellStyle name="Normal 41 5 2" xfId="25405"/>
    <cellStyle name="Normal 41 5 2 2" xfId="25406"/>
    <cellStyle name="Normal 41 5 2 3" xfId="25407"/>
    <cellStyle name="Normal 41 5 3" xfId="25408"/>
    <cellStyle name="Normal 41 5 4" xfId="25409"/>
    <cellStyle name="Normal 41 6" xfId="25410"/>
    <cellStyle name="Normal 41 6 2" xfId="25411"/>
    <cellStyle name="Normal 41 6 2 2" xfId="25412"/>
    <cellStyle name="Normal 41 6 2 2 2" xfId="25413"/>
    <cellStyle name="Normal 41 6 2 2 2 2" xfId="25414"/>
    <cellStyle name="Normal 41 6 2 2 2 2 2" xfId="25415"/>
    <cellStyle name="Normal 41 6 2 2 2 2 3" xfId="25416"/>
    <cellStyle name="Normal 41 6 2 2 2 3" xfId="25417"/>
    <cellStyle name="Normal 41 6 2 2 2 4" xfId="25418"/>
    <cellStyle name="Normal 41 6 2 2 3" xfId="25419"/>
    <cellStyle name="Normal 41 6 2 2 3 2" xfId="25420"/>
    <cellStyle name="Normal 41 6 2 2 3 3" xfId="25421"/>
    <cellStyle name="Normal 41 6 2 2 4" xfId="25422"/>
    <cellStyle name="Normal 41 6 2 2 5" xfId="25423"/>
    <cellStyle name="Normal 41 6 2 3" xfId="25424"/>
    <cellStyle name="Normal 41 6 2 3 2" xfId="25425"/>
    <cellStyle name="Normal 41 6 2 3 3" xfId="25426"/>
    <cellStyle name="Normal 41 6 2 4" xfId="25427"/>
    <cellStyle name="Normal 41 6 2 5" xfId="25428"/>
    <cellStyle name="Normal 41 6 3" xfId="25429"/>
    <cellStyle name="Normal 41 6 3 2" xfId="25430"/>
    <cellStyle name="Normal 41 6 3 3" xfId="25431"/>
    <cellStyle name="Normal 41 6 4" xfId="25432"/>
    <cellStyle name="Normal 41 6 5" xfId="25433"/>
    <cellStyle name="Normal 41 7" xfId="25434"/>
    <cellStyle name="Normal 41 7 2" xfId="25435"/>
    <cellStyle name="Normal 41 7 2 2" xfId="25436"/>
    <cellStyle name="Normal 41 7 2 2 2" xfId="25437"/>
    <cellStyle name="Normal 41 7 2 2 3" xfId="25438"/>
    <cellStyle name="Normal 41 7 2 3" xfId="25439"/>
    <cellStyle name="Normal 41 7 2 4" xfId="25440"/>
    <cellStyle name="Normal 41 7 3" xfId="25441"/>
    <cellStyle name="Normal 41 7 3 2" xfId="25442"/>
    <cellStyle name="Normal 41 7 3 3" xfId="25443"/>
    <cellStyle name="Normal 41 7 4" xfId="25444"/>
    <cellStyle name="Normal 41 7 5" xfId="25445"/>
    <cellStyle name="Normal 41 8" xfId="25446"/>
    <cellStyle name="Normal 42" xfId="25447"/>
    <cellStyle name="Normal 42 2" xfId="25448"/>
    <cellStyle name="Normal 42 3" xfId="25449"/>
    <cellStyle name="Normal 42 3 2" xfId="25450"/>
    <cellStyle name="Normal 42 3 2 2" xfId="25451"/>
    <cellStyle name="Normal 42 3 2 3" xfId="25452"/>
    <cellStyle name="Normal 42 3 3" xfId="25453"/>
    <cellStyle name="Normal 42 3 4" xfId="25454"/>
    <cellStyle name="Normal 42 4" xfId="25455"/>
    <cellStyle name="Normal 42 4 2" xfId="25456"/>
    <cellStyle name="Normal 42 4 2 2" xfId="25457"/>
    <cellStyle name="Normal 42 4 2 3" xfId="25458"/>
    <cellStyle name="Normal 42 4 3" xfId="25459"/>
    <cellStyle name="Normal 42 4 4" xfId="25460"/>
    <cellStyle name="Normal 42 5" xfId="25461"/>
    <cellStyle name="Normal 42 5 2" xfId="25462"/>
    <cellStyle name="Normal 42 5 2 2" xfId="25463"/>
    <cellStyle name="Normal 42 5 2 3" xfId="25464"/>
    <cellStyle name="Normal 42 5 3" xfId="25465"/>
    <cellStyle name="Normal 42 5 4" xfId="25466"/>
    <cellStyle name="Normal 42 6" xfId="25467"/>
    <cellStyle name="Normal 42 6 2" xfId="25468"/>
    <cellStyle name="Normal 42 6 2 2" xfId="25469"/>
    <cellStyle name="Normal 42 6 2 3" xfId="25470"/>
    <cellStyle name="Normal 42 6 3" xfId="25471"/>
    <cellStyle name="Normal 42 6 4" xfId="25472"/>
    <cellStyle name="Normal 42 7" xfId="25473"/>
    <cellStyle name="Normal 42 7 2" xfId="25474"/>
    <cellStyle name="Normal 42 7 2 2" xfId="25475"/>
    <cellStyle name="Normal 42 7 2 3" xfId="25476"/>
    <cellStyle name="Normal 42 7 3" xfId="25477"/>
    <cellStyle name="Normal 42 7 4" xfId="25478"/>
    <cellStyle name="Normal 42 8" xfId="25479"/>
    <cellStyle name="Normal 42 8 2" xfId="25480"/>
    <cellStyle name="Normal 42 8 2 2" xfId="25481"/>
    <cellStyle name="Normal 42 8 2 3" xfId="25482"/>
    <cellStyle name="Normal 42 8 3" xfId="25483"/>
    <cellStyle name="Normal 42 8 4" xfId="25484"/>
    <cellStyle name="Normal 43" xfId="25485"/>
    <cellStyle name="Normal 43 10" xfId="25486"/>
    <cellStyle name="Normal 43 11" xfId="25487"/>
    <cellStyle name="Normal 43 11 2" xfId="25488"/>
    <cellStyle name="Normal 43 11 3" xfId="25489"/>
    <cellStyle name="Normal 43 12" xfId="25490"/>
    <cellStyle name="Normal 43 12 2" xfId="25491"/>
    <cellStyle name="Normal 43 12 3" xfId="25492"/>
    <cellStyle name="Normal 43 13" xfId="25493"/>
    <cellStyle name="Normal 43 14" xfId="25494"/>
    <cellStyle name="Normal 43 15" xfId="25495"/>
    <cellStyle name="Normal 43 2" xfId="25496"/>
    <cellStyle name="Normal 43 2 2" xfId="25497"/>
    <cellStyle name="Normal 43 2 2 2" xfId="25498"/>
    <cellStyle name="Normal 43 2 2 3" xfId="25499"/>
    <cellStyle name="Normal 43 2 2 4" xfId="25500"/>
    <cellStyle name="Normal 43 2 2 5" xfId="25501"/>
    <cellStyle name="Normal 43 2 3" xfId="25502"/>
    <cellStyle name="Normal 43 2 4" xfId="25503"/>
    <cellStyle name="Normal 43 2 5" xfId="25504"/>
    <cellStyle name="Normal 43 3" xfId="25505"/>
    <cellStyle name="Normal 43 3 2" xfId="25506"/>
    <cellStyle name="Normal 43 3 2 2" xfId="25507"/>
    <cellStyle name="Normal 43 3 2 3" xfId="25508"/>
    <cellStyle name="Normal 43 4" xfId="25509"/>
    <cellStyle name="Normal 43 4 2" xfId="25510"/>
    <cellStyle name="Normal 43 4 2 2" xfId="25511"/>
    <cellStyle name="Normal 43 4 2 3" xfId="25512"/>
    <cellStyle name="Normal 43 5" xfId="25513"/>
    <cellStyle name="Normal 43 5 2" xfId="25514"/>
    <cellStyle name="Normal 43 5 2 2" xfId="25515"/>
    <cellStyle name="Normal 43 5 2 2 2" xfId="25516"/>
    <cellStyle name="Normal 43 5 2 2 3" xfId="25517"/>
    <cellStyle name="Normal 43 5 2 3" xfId="25518"/>
    <cellStyle name="Normal 43 5 2 4" xfId="25519"/>
    <cellStyle name="Normal 43 5 3" xfId="25520"/>
    <cellStyle name="Normal 43 5 3 2" xfId="25521"/>
    <cellStyle name="Normal 43 5 3 2 2" xfId="25522"/>
    <cellStyle name="Normal 43 5 3 2 3" xfId="25523"/>
    <cellStyle name="Normal 43 5 3 3" xfId="25524"/>
    <cellStyle name="Normal 43 5 3 4" xfId="25525"/>
    <cellStyle name="Normal 43 5 4" xfId="25526"/>
    <cellStyle name="Normal 43 5 4 2" xfId="25527"/>
    <cellStyle name="Normal 43 5 4 2 2" xfId="25528"/>
    <cellStyle name="Normal 43 5 4 2 3" xfId="25529"/>
    <cellStyle name="Normal 43 5 4 3" xfId="25530"/>
    <cellStyle name="Normal 43 5 4 4" xfId="25531"/>
    <cellStyle name="Normal 43 5 5" xfId="25532"/>
    <cellStyle name="Normal 43 5 5 2" xfId="25533"/>
    <cellStyle name="Normal 43 5 5 2 2" xfId="25534"/>
    <cellStyle name="Normal 43 5 5 2 3" xfId="25535"/>
    <cellStyle name="Normal 43 5 5 3" xfId="25536"/>
    <cellStyle name="Normal 43 5 5 4" xfId="25537"/>
    <cellStyle name="Normal 43 5 6" xfId="25538"/>
    <cellStyle name="Normal 43 5 6 2" xfId="25539"/>
    <cellStyle name="Normal 43 5 6 3" xfId="25540"/>
    <cellStyle name="Normal 43 6" xfId="25541"/>
    <cellStyle name="Normal 43 6 2" xfId="25542"/>
    <cellStyle name="Normal 43 6 2 2" xfId="25543"/>
    <cellStyle name="Normal 43 6 2 3" xfId="25544"/>
    <cellStyle name="Normal 43 7" xfId="25545"/>
    <cellStyle name="Normal 43 7 2" xfId="25546"/>
    <cellStyle name="Normal 43 7 2 2" xfId="25547"/>
    <cellStyle name="Normal 43 7 2 3" xfId="25548"/>
    <cellStyle name="Normal 43 8" xfId="25549"/>
    <cellStyle name="Normal 43 8 2" xfId="25550"/>
    <cellStyle name="Normal 43 8 2 2" xfId="25551"/>
    <cellStyle name="Normal 43 8 2 3" xfId="25552"/>
    <cellStyle name="Normal 43 9" xfId="25553"/>
    <cellStyle name="Normal 44" xfId="25554"/>
    <cellStyle name="Normal 44 10" xfId="25555"/>
    <cellStyle name="Normal 44 2" xfId="25556"/>
    <cellStyle name="Normal 44 2 2" xfId="25557"/>
    <cellStyle name="Normal 44 3" xfId="25558"/>
    <cellStyle name="Normal 44 4" xfId="25559"/>
    <cellStyle name="Normal 44 5" xfId="25560"/>
    <cellStyle name="Normal 44 6" xfId="25561"/>
    <cellStyle name="Normal 44 7" xfId="25562"/>
    <cellStyle name="Normal 44 8" xfId="25563"/>
    <cellStyle name="Normal 44 9" xfId="25564"/>
    <cellStyle name="Normal 45" xfId="25565"/>
    <cellStyle name="Normal 45 10" xfId="25566"/>
    <cellStyle name="Normal 45 11" xfId="25567"/>
    <cellStyle name="Normal 45 11 2" xfId="25568"/>
    <cellStyle name="Normal 45 11 3" xfId="25569"/>
    <cellStyle name="Normal 45 12" xfId="25570"/>
    <cellStyle name="Normal 45 12 2" xfId="25571"/>
    <cellStyle name="Normal 45 12 3" xfId="25572"/>
    <cellStyle name="Normal 45 13" xfId="25573"/>
    <cellStyle name="Normal 45 14" xfId="25574"/>
    <cellStyle name="Normal 45 15" xfId="25575"/>
    <cellStyle name="Normal 45 2" xfId="25576"/>
    <cellStyle name="Normal 45 2 2" xfId="25577"/>
    <cellStyle name="Normal 45 2 2 2" xfId="25578"/>
    <cellStyle name="Normal 45 2 2 2 2" xfId="25579"/>
    <cellStyle name="Normal 45 2 2 2 2 2" xfId="25580"/>
    <cellStyle name="Normal 45 2 2 2 2 2 2" xfId="25581"/>
    <cellStyle name="Normal 45 2 2 2 2 2 3" xfId="25582"/>
    <cellStyle name="Normal 45 2 2 2 2 3" xfId="25583"/>
    <cellStyle name="Normal 45 2 2 2 2 4" xfId="25584"/>
    <cellStyle name="Normal 45 2 2 2 3" xfId="25585"/>
    <cellStyle name="Normal 45 2 2 2 3 2" xfId="25586"/>
    <cellStyle name="Normal 45 2 2 2 3 2 2" xfId="25587"/>
    <cellStyle name="Normal 45 2 2 2 3 2 3" xfId="25588"/>
    <cellStyle name="Normal 45 2 2 2 3 3" xfId="25589"/>
    <cellStyle name="Normal 45 2 2 2 3 4" xfId="25590"/>
    <cellStyle name="Normal 45 2 2 2 4" xfId="25591"/>
    <cellStyle name="Normal 45 2 2 2 4 2" xfId="25592"/>
    <cellStyle name="Normal 45 2 2 2 4 3" xfId="25593"/>
    <cellStyle name="Normal 45 2 2 2 5" xfId="25594"/>
    <cellStyle name="Normal 45 2 2 2 6" xfId="25595"/>
    <cellStyle name="Normal 45 2 2 3" xfId="25596"/>
    <cellStyle name="Normal 45 2 2 3 2" xfId="25597"/>
    <cellStyle name="Normal 45 2 2 3 2 2" xfId="25598"/>
    <cellStyle name="Normal 45 2 2 3 2 3" xfId="25599"/>
    <cellStyle name="Normal 45 2 2 3 3" xfId="25600"/>
    <cellStyle name="Normal 45 2 2 3 4" xfId="25601"/>
    <cellStyle name="Normal 45 2 2 4" xfId="25602"/>
    <cellStyle name="Normal 45 2 2 4 2" xfId="25603"/>
    <cellStyle name="Normal 45 2 2 4 3" xfId="25604"/>
    <cellStyle name="Normal 45 2 2 5" xfId="25605"/>
    <cellStyle name="Normal 45 2 2 6" xfId="25606"/>
    <cellStyle name="Normal 45 2 2 7" xfId="25607"/>
    <cellStyle name="Normal 45 2 3" xfId="25608"/>
    <cellStyle name="Normal 45 2 3 2" xfId="25609"/>
    <cellStyle name="Normal 45 2 3 3" xfId="25610"/>
    <cellStyle name="Normal 45 2 4" xfId="25611"/>
    <cellStyle name="Normal 45 2 5" xfId="25612"/>
    <cellStyle name="Normal 45 2 6" xfId="25613"/>
    <cellStyle name="Normal 45 3" xfId="25614"/>
    <cellStyle name="Normal 45 3 2" xfId="25615"/>
    <cellStyle name="Normal 45 3 3" xfId="25616"/>
    <cellStyle name="Normal 45 3 3 2" xfId="25617"/>
    <cellStyle name="Normal 45 3 3 3" xfId="25618"/>
    <cellStyle name="Normal 45 4" xfId="25619"/>
    <cellStyle name="Normal 45 4 2" xfId="25620"/>
    <cellStyle name="Normal 45 4 2 2" xfId="25621"/>
    <cellStyle name="Normal 45 4 2 3" xfId="25622"/>
    <cellStyle name="Normal 45 5" xfId="25623"/>
    <cellStyle name="Normal 45 5 2" xfId="25624"/>
    <cellStyle name="Normal 45 5 2 2" xfId="25625"/>
    <cellStyle name="Normal 45 5 2 3" xfId="25626"/>
    <cellStyle name="Normal 45 6" xfId="25627"/>
    <cellStyle name="Normal 45 6 2" xfId="25628"/>
    <cellStyle name="Normal 45 6 2 2" xfId="25629"/>
    <cellStyle name="Normal 45 6 2 3" xfId="25630"/>
    <cellStyle name="Normal 45 7" xfId="25631"/>
    <cellStyle name="Normal 45 7 2" xfId="25632"/>
    <cellStyle name="Normal 45 7 2 2" xfId="25633"/>
    <cellStyle name="Normal 45 7 2 3" xfId="25634"/>
    <cellStyle name="Normal 45 8" xfId="25635"/>
    <cellStyle name="Normal 45 8 2" xfId="25636"/>
    <cellStyle name="Normal 45 8 2 2" xfId="25637"/>
    <cellStyle name="Normal 45 8 2 3" xfId="25638"/>
    <cellStyle name="Normal 45 9" xfId="25639"/>
    <cellStyle name="Normal 46" xfId="25640"/>
    <cellStyle name="Normal 46 10" xfId="25641"/>
    <cellStyle name="Normal 46 11" xfId="25642"/>
    <cellStyle name="Normal 46 11 2" xfId="25643"/>
    <cellStyle name="Normal 46 11 3" xfId="25644"/>
    <cellStyle name="Normal 46 12" xfId="25645"/>
    <cellStyle name="Normal 46 12 2" xfId="25646"/>
    <cellStyle name="Normal 46 12 3" xfId="25647"/>
    <cellStyle name="Normal 46 13" xfId="25648"/>
    <cellStyle name="Normal 46 14" xfId="25649"/>
    <cellStyle name="Normal 46 15" xfId="25650"/>
    <cellStyle name="Normal 46 2" xfId="25651"/>
    <cellStyle name="Normal 46 2 2" xfId="25652"/>
    <cellStyle name="Normal 46 2 2 2" xfId="25653"/>
    <cellStyle name="Normal 46 2 2 3" xfId="25654"/>
    <cellStyle name="Normal 46 2 2 4" xfId="25655"/>
    <cellStyle name="Normal 46 2 2 5" xfId="25656"/>
    <cellStyle name="Normal 46 2 3" xfId="25657"/>
    <cellStyle name="Normal 46 2 3 2" xfId="25658"/>
    <cellStyle name="Normal 46 2 3 3" xfId="25659"/>
    <cellStyle name="Normal 46 2 4" xfId="25660"/>
    <cellStyle name="Normal 46 2 5" xfId="25661"/>
    <cellStyle name="Normal 46 2 6" xfId="25662"/>
    <cellStyle name="Normal 46 3" xfId="25663"/>
    <cellStyle name="Normal 46 3 2" xfId="25664"/>
    <cellStyle name="Normal 46 3 2 2" xfId="25665"/>
    <cellStyle name="Normal 46 3 2 3" xfId="25666"/>
    <cellStyle name="Normal 46 4" xfId="25667"/>
    <cellStyle name="Normal 46 4 2" xfId="25668"/>
    <cellStyle name="Normal 46 4 2 2" xfId="25669"/>
    <cellStyle name="Normal 46 4 2 3" xfId="25670"/>
    <cellStyle name="Normal 46 5" xfId="25671"/>
    <cellStyle name="Normal 46 5 2" xfId="25672"/>
    <cellStyle name="Normal 46 5 2 2" xfId="25673"/>
    <cellStyle name="Normal 46 5 2 3" xfId="25674"/>
    <cellStyle name="Normal 46 6" xfId="25675"/>
    <cellStyle name="Normal 46 6 2" xfId="25676"/>
    <cellStyle name="Normal 46 6 2 2" xfId="25677"/>
    <cellStyle name="Normal 46 6 2 3" xfId="25678"/>
    <cellStyle name="Normal 46 7" xfId="25679"/>
    <cellStyle name="Normal 46 7 2" xfId="25680"/>
    <cellStyle name="Normal 46 7 2 2" xfId="25681"/>
    <cellStyle name="Normal 46 7 2 3" xfId="25682"/>
    <cellStyle name="Normal 46 8" xfId="25683"/>
    <cellStyle name="Normal 46 8 2" xfId="25684"/>
    <cellStyle name="Normal 46 8 2 2" xfId="25685"/>
    <cellStyle name="Normal 46 8 2 3" xfId="25686"/>
    <cellStyle name="Normal 46 9" xfId="25687"/>
    <cellStyle name="Normal 47" xfId="25688"/>
    <cellStyle name="Normal 47 10" xfId="25689"/>
    <cellStyle name="Normal 47 11" xfId="25690"/>
    <cellStyle name="Normal 47 11 2" xfId="25691"/>
    <cellStyle name="Normal 47 11 3" xfId="25692"/>
    <cellStyle name="Normal 47 12" xfId="25693"/>
    <cellStyle name="Normal 47 12 2" xfId="25694"/>
    <cellStyle name="Normal 47 12 3" xfId="25695"/>
    <cellStyle name="Normal 47 13" xfId="25696"/>
    <cellStyle name="Normal 47 14" xfId="25697"/>
    <cellStyle name="Normal 47 15" xfId="25698"/>
    <cellStyle name="Normal 47 2" xfId="25699"/>
    <cellStyle name="Normal 47 2 2" xfId="25700"/>
    <cellStyle name="Normal 47 2 2 2" xfId="25701"/>
    <cellStyle name="Normal 47 2 2 3" xfId="25702"/>
    <cellStyle name="Normal 47 2 2 4" xfId="25703"/>
    <cellStyle name="Normal 47 2 2 5" xfId="25704"/>
    <cellStyle name="Normal 47 2 3" xfId="25705"/>
    <cellStyle name="Normal 47 2 3 2" xfId="25706"/>
    <cellStyle name="Normal 47 2 3 3" xfId="25707"/>
    <cellStyle name="Normal 47 2 4" xfId="25708"/>
    <cellStyle name="Normal 47 2 5" xfId="25709"/>
    <cellStyle name="Normal 47 2 6" xfId="25710"/>
    <cellStyle name="Normal 47 3" xfId="25711"/>
    <cellStyle name="Normal 47 3 2" xfId="25712"/>
    <cellStyle name="Normal 47 3 2 2" xfId="25713"/>
    <cellStyle name="Normal 47 3 2 3" xfId="25714"/>
    <cellStyle name="Normal 47 4" xfId="25715"/>
    <cellStyle name="Normal 47 4 2" xfId="25716"/>
    <cellStyle name="Normal 47 4 2 2" xfId="25717"/>
    <cellStyle name="Normal 47 4 2 3" xfId="25718"/>
    <cellStyle name="Normal 47 5" xfId="25719"/>
    <cellStyle name="Normal 47 5 2" xfId="25720"/>
    <cellStyle name="Normal 47 5 2 2" xfId="25721"/>
    <cellStyle name="Normal 47 5 2 3" xfId="25722"/>
    <cellStyle name="Normal 47 6" xfId="25723"/>
    <cellStyle name="Normal 47 6 2" xfId="25724"/>
    <cellStyle name="Normal 47 6 2 2" xfId="25725"/>
    <cellStyle name="Normal 47 6 2 3" xfId="25726"/>
    <cellStyle name="Normal 47 7" xfId="25727"/>
    <cellStyle name="Normal 47 7 2" xfId="25728"/>
    <cellStyle name="Normal 47 7 2 2" xfId="25729"/>
    <cellStyle name="Normal 47 7 2 3" xfId="25730"/>
    <cellStyle name="Normal 47 8" xfId="25731"/>
    <cellStyle name="Normal 47 8 2" xfId="25732"/>
    <cellStyle name="Normal 47 8 2 2" xfId="25733"/>
    <cellStyle name="Normal 47 8 2 3" xfId="25734"/>
    <cellStyle name="Normal 47 9" xfId="25735"/>
    <cellStyle name="Normal 48" xfId="25736"/>
    <cellStyle name="Normal 48 2" xfId="25737"/>
    <cellStyle name="Normal 48 2 2" xfId="25738"/>
    <cellStyle name="Normal 48 3" xfId="25739"/>
    <cellStyle name="Normal 48 3 2" xfId="25740"/>
    <cellStyle name="Normal 48 3 2 2" xfId="25741"/>
    <cellStyle name="Normal 48 3 2 2 2" xfId="25742"/>
    <cellStyle name="Normal 48 3 2 2 2 2" xfId="25743"/>
    <cellStyle name="Normal 48 3 2 2 2 3" xfId="25744"/>
    <cellStyle name="Normal 48 3 2 2 3" xfId="25745"/>
    <cellStyle name="Normal 48 3 2 2 4" xfId="25746"/>
    <cellStyle name="Normal 48 4" xfId="25747"/>
    <cellStyle name="Normal 48 4 2" xfId="25748"/>
    <cellStyle name="Normal 48 4 2 2" xfId="25749"/>
    <cellStyle name="Normal 48 4 2 2 2" xfId="25750"/>
    <cellStyle name="Normal 48 4 2 2 2 2" xfId="25751"/>
    <cellStyle name="Normal 48 4 2 2 2 3" xfId="25752"/>
    <cellStyle name="Normal 48 4 2 2 3" xfId="25753"/>
    <cellStyle name="Normal 48 4 2 2 4" xfId="25754"/>
    <cellStyle name="Normal 48 4 2 3" xfId="25755"/>
    <cellStyle name="Normal 48 4 2 3 2" xfId="25756"/>
    <cellStyle name="Normal 48 4 2 3 3" xfId="25757"/>
    <cellStyle name="Normal 48 4 2 4" xfId="25758"/>
    <cellStyle name="Normal 48 4 2 5" xfId="25759"/>
    <cellStyle name="Normal 48 4 3" xfId="25760"/>
    <cellStyle name="Normal 48 4 3 2" xfId="25761"/>
    <cellStyle name="Normal 48 4 3 3" xfId="25762"/>
    <cellStyle name="Normal 48 4 4" xfId="25763"/>
    <cellStyle name="Normal 48 4 5" xfId="25764"/>
    <cellStyle name="Normal 49" xfId="25765"/>
    <cellStyle name="Normal 49 10" xfId="25766"/>
    <cellStyle name="Normal 49 11" xfId="25767"/>
    <cellStyle name="Normal 49 11 2" xfId="25768"/>
    <cellStyle name="Normal 49 11 3" xfId="25769"/>
    <cellStyle name="Normal 49 12" xfId="25770"/>
    <cellStyle name="Normal 49 12 2" xfId="25771"/>
    <cellStyle name="Normal 49 12 3" xfId="25772"/>
    <cellStyle name="Normal 49 13" xfId="25773"/>
    <cellStyle name="Normal 49 14" xfId="25774"/>
    <cellStyle name="Normal 49 15" xfId="25775"/>
    <cellStyle name="Normal 49 2" xfId="25776"/>
    <cellStyle name="Normal 49 2 2" xfId="25777"/>
    <cellStyle name="Normal 49 2 2 2" xfId="25778"/>
    <cellStyle name="Normal 49 2 2 3" xfId="25779"/>
    <cellStyle name="Normal 49 2 2 4" xfId="25780"/>
    <cellStyle name="Normal 49 2 2 5" xfId="25781"/>
    <cellStyle name="Normal 49 2 3" xfId="25782"/>
    <cellStyle name="Normal 49 2 3 2" xfId="25783"/>
    <cellStyle name="Normal 49 2 3 3" xfId="25784"/>
    <cellStyle name="Normal 49 2 4" xfId="25785"/>
    <cellStyle name="Normal 49 2 5" xfId="25786"/>
    <cellStyle name="Normal 49 2 6" xfId="25787"/>
    <cellStyle name="Normal 49 3" xfId="25788"/>
    <cellStyle name="Normal 49 3 2" xfId="25789"/>
    <cellStyle name="Normal 49 3 2 2" xfId="25790"/>
    <cellStyle name="Normal 49 3 2 3" xfId="25791"/>
    <cellStyle name="Normal 49 4" xfId="25792"/>
    <cellStyle name="Normal 49 4 2" xfId="25793"/>
    <cellStyle name="Normal 49 4 2 2" xfId="25794"/>
    <cellStyle name="Normal 49 4 2 2 2" xfId="25795"/>
    <cellStyle name="Normal 49 4 2 2 2 2" xfId="25796"/>
    <cellStyle name="Normal 49 4 2 2 2 2 2" xfId="25797"/>
    <cellStyle name="Normal 49 4 2 2 2 2 2 2" xfId="25798"/>
    <cellStyle name="Normal 49 4 2 2 2 2 2 3" xfId="25799"/>
    <cellStyle name="Normal 49 4 2 2 2 2 3" xfId="25800"/>
    <cellStyle name="Normal 49 4 2 2 2 2 4" xfId="25801"/>
    <cellStyle name="Normal 49 4 2 2 2 2 5" xfId="25802"/>
    <cellStyle name="Normal 49 4 2 2 2 2 5 2" xfId="25803"/>
    <cellStyle name="Normal 49 4 2 2 2 2 5 2 2" xfId="25804"/>
    <cellStyle name="Normal 49 4 2 2 2 2 5 2 3" xfId="25805"/>
    <cellStyle name="Normal 49 4 2 2 2 2 5 3" xfId="25806"/>
    <cellStyle name="Normal 49 4 2 2 2 2 5 4" xfId="25807"/>
    <cellStyle name="Normal 49 4 2 2 2 3" xfId="25808"/>
    <cellStyle name="Normal 49 4 2 2 2 3 2" xfId="25809"/>
    <cellStyle name="Normal 49 4 2 2 2 3 3" xfId="25810"/>
    <cellStyle name="Normal 49 4 2 2 2 4" xfId="25811"/>
    <cellStyle name="Normal 49 4 2 2 2 5" xfId="25812"/>
    <cellStyle name="Normal 49 4 2 2 3" xfId="25813"/>
    <cellStyle name="Normal 49 4 2 2 3 2" xfId="25814"/>
    <cellStyle name="Normal 49 4 2 2 3 2 2" xfId="25815"/>
    <cellStyle name="Normal 49 4 2 2 3 2 3" xfId="25816"/>
    <cellStyle name="Normal 49 4 2 2 3 3" xfId="25817"/>
    <cellStyle name="Normal 49 4 2 2 3 4" xfId="25818"/>
    <cellStyle name="Normal 49 4 2 2 4" xfId="25819"/>
    <cellStyle name="Normal 49 4 2 2 4 2" xfId="25820"/>
    <cellStyle name="Normal 49 4 2 2 4 3" xfId="25821"/>
    <cellStyle name="Normal 49 4 2 2 5" xfId="25822"/>
    <cellStyle name="Normal 49 4 2 2 6" xfId="25823"/>
    <cellStyle name="Normal 49 4 2 3" xfId="25824"/>
    <cellStyle name="Normal 49 4 2 3 2" xfId="25825"/>
    <cellStyle name="Normal 49 4 2 3 2 2" xfId="25826"/>
    <cellStyle name="Normal 49 4 2 3 2 2 2" xfId="25827"/>
    <cellStyle name="Normal 49 4 2 3 2 2 3" xfId="25828"/>
    <cellStyle name="Normal 49 4 2 3 2 3" xfId="25829"/>
    <cellStyle name="Normal 49 4 2 3 2 4" xfId="25830"/>
    <cellStyle name="Normal 49 4 2 3 3" xfId="25831"/>
    <cellStyle name="Normal 49 4 2 3 3 2" xfId="25832"/>
    <cellStyle name="Normal 49 4 2 3 3 3" xfId="25833"/>
    <cellStyle name="Normal 49 4 2 3 4" xfId="25834"/>
    <cellStyle name="Normal 49 4 2 3 5" xfId="25835"/>
    <cellStyle name="Normal 49 4 2 4" xfId="25836"/>
    <cellStyle name="Normal 49 4 2 4 2" xfId="25837"/>
    <cellStyle name="Normal 49 4 2 4 2 2" xfId="25838"/>
    <cellStyle name="Normal 49 4 2 4 2 2 2" xfId="25839"/>
    <cellStyle name="Normal 49 4 2 4 2 2 2 2" xfId="25840"/>
    <cellStyle name="Normal 49 4 2 4 2 2 2 3" xfId="25841"/>
    <cellStyle name="Normal 49 4 2 4 2 2 3" xfId="25842"/>
    <cellStyle name="Normal 49 4 2 4 2 2 4" xfId="25843"/>
    <cellStyle name="Normal 49 4 2 4 2 3" xfId="25844"/>
    <cellStyle name="Normal 49 4 2 4 2 3 2" xfId="25845"/>
    <cellStyle name="Normal 49 4 2 4 2 3 2 2" xfId="25846"/>
    <cellStyle name="Normal 49 4 2 4 2 3 2 3" xfId="25847"/>
    <cellStyle name="Normal 49 4 2 4 2 3 3" xfId="25848"/>
    <cellStyle name="Normal 49 4 2 4 2 3 4" xfId="25849"/>
    <cellStyle name="Normal 49 4 2 4 2 4" xfId="25850"/>
    <cellStyle name="Normal 49 4 2 4 2 4 2" xfId="25851"/>
    <cellStyle name="Normal 49 4 2 4 2 4 3" xfId="25852"/>
    <cellStyle name="Normal 49 4 2 4 2 5" xfId="25853"/>
    <cellStyle name="Normal 49 4 2 4 2 6" xfId="25854"/>
    <cellStyle name="Normal 49 4 2 4 3" xfId="25855"/>
    <cellStyle name="Normal 49 4 2 4 3 2" xfId="25856"/>
    <cellStyle name="Normal 49 4 2 4 3 3" xfId="25857"/>
    <cellStyle name="Normal 49 4 2 4 4" xfId="25858"/>
    <cellStyle name="Normal 49 4 2 4 5" xfId="25859"/>
    <cellStyle name="Normal 49 4 2 5" xfId="25860"/>
    <cellStyle name="Normal 49 4 2 5 2" xfId="25861"/>
    <cellStyle name="Normal 49 4 2 5 2 2" xfId="25862"/>
    <cellStyle name="Normal 49 4 2 5 2 3" xfId="25863"/>
    <cellStyle name="Normal 49 4 2 5 3" xfId="25864"/>
    <cellStyle name="Normal 49 4 2 5 4" xfId="25865"/>
    <cellStyle name="Normal 49 4 2 6" xfId="25866"/>
    <cellStyle name="Normal 49 4 2 6 2" xfId="25867"/>
    <cellStyle name="Normal 49 4 2 6 3" xfId="25868"/>
    <cellStyle name="Normal 49 4 2 7" xfId="25869"/>
    <cellStyle name="Normal 49 4 2 8" xfId="25870"/>
    <cellStyle name="Normal 49 4 3" xfId="25871"/>
    <cellStyle name="Normal 49 4 3 2" xfId="25872"/>
    <cellStyle name="Normal 49 4 3 3" xfId="25873"/>
    <cellStyle name="Normal 49 5" xfId="25874"/>
    <cellStyle name="Normal 49 5 2" xfId="25875"/>
    <cellStyle name="Normal 49 5 2 2" xfId="25876"/>
    <cellStyle name="Normal 49 5 2 3" xfId="25877"/>
    <cellStyle name="Normal 49 6" xfId="25878"/>
    <cellStyle name="Normal 49 6 2" xfId="25879"/>
    <cellStyle name="Normal 49 6 2 2" xfId="25880"/>
    <cellStyle name="Normal 49 6 2 3" xfId="25881"/>
    <cellStyle name="Normal 49 7" xfId="25882"/>
    <cellStyle name="Normal 49 7 2" xfId="25883"/>
    <cellStyle name="Normal 49 7 2 2" xfId="25884"/>
    <cellStyle name="Normal 49 7 2 3" xfId="25885"/>
    <cellStyle name="Normal 49 8" xfId="25886"/>
    <cellStyle name="Normal 49 8 2" xfId="25887"/>
    <cellStyle name="Normal 49 8 2 2" xfId="25888"/>
    <cellStyle name="Normal 49 8 2 3" xfId="25889"/>
    <cellStyle name="Normal 49 9" xfId="25890"/>
    <cellStyle name="Normal 5" xfId="25892"/>
    <cellStyle name="Normal 5 10" xfId="25893"/>
    <cellStyle name="Normal 5 11" xfId="25894"/>
    <cellStyle name="Normal 5 12" xfId="25895"/>
    <cellStyle name="Normal 5 13" xfId="25896"/>
    <cellStyle name="Normal 5 14" xfId="25897"/>
    <cellStyle name="Normal 5 15" xfId="25898"/>
    <cellStyle name="Normal 5 16" xfId="25899"/>
    <cellStyle name="Normal 5 17" xfId="25900"/>
    <cellStyle name="Normal 5 2" xfId="25901"/>
    <cellStyle name="Normal 5 2 10" xfId="25902"/>
    <cellStyle name="Normal 5 2 11" xfId="25903"/>
    <cellStyle name="Normal 5 2 12" xfId="25904"/>
    <cellStyle name="Normal 5 2 13" xfId="25905"/>
    <cellStyle name="Normal 5 2 2" xfId="25906"/>
    <cellStyle name="Normal 5 2 2 2" xfId="25907"/>
    <cellStyle name="Normal 5 2 2 2 2" xfId="25908"/>
    <cellStyle name="Normal 5 2 2 3" xfId="25909"/>
    <cellStyle name="Normal 5 2 2 4" xfId="25910"/>
    <cellStyle name="Normal 5 2 2 5" xfId="25911"/>
    <cellStyle name="Normal 5 2 2 6" xfId="25912"/>
    <cellStyle name="Normal 5 2 2 7" xfId="25913"/>
    <cellStyle name="Normal 5 2 2 8" xfId="25914"/>
    <cellStyle name="Normal 5 2 2 9" xfId="25915"/>
    <cellStyle name="Normal 5 2 3" xfId="25916"/>
    <cellStyle name="Normal 5 2 4" xfId="25917"/>
    <cellStyle name="Normal 5 2 5" xfId="25918"/>
    <cellStyle name="Normal 5 2 6" xfId="25919"/>
    <cellStyle name="Normal 5 2 7" xfId="25920"/>
    <cellStyle name="Normal 5 2 8" xfId="25921"/>
    <cellStyle name="Normal 5 2 9" xfId="25922"/>
    <cellStyle name="Normal 5 2_5.Vemulapudi" xfId="25923"/>
    <cellStyle name="Normal 5 3" xfId="25924"/>
    <cellStyle name="Normal 5 3 10" xfId="25925"/>
    <cellStyle name="Normal 5 3 11" xfId="25926"/>
    <cellStyle name="Normal 5 3 12" xfId="25927"/>
    <cellStyle name="Normal 5 3 13" xfId="25928"/>
    <cellStyle name="Normal 5 3 13 2" xfId="25929"/>
    <cellStyle name="Normal 5 3 13 3" xfId="25930"/>
    <cellStyle name="Normal 5 3 2" xfId="25931"/>
    <cellStyle name="Normal 5 3 2 2" xfId="25932"/>
    <cellStyle name="Normal 5 3 2 3" xfId="25933"/>
    <cellStyle name="Normal 5 3 2 4" xfId="25934"/>
    <cellStyle name="Normal 5 3 2 5" xfId="25935"/>
    <cellStyle name="Normal 5 3 2 6" xfId="25936"/>
    <cellStyle name="Normal 5 3 2 7" xfId="25937"/>
    <cellStyle name="Normal 5 3 2 8" xfId="25938"/>
    <cellStyle name="Normal 5 3 2 9" xfId="25939"/>
    <cellStyle name="Normal 5 3 3" xfId="25940"/>
    <cellStyle name="Normal 5 3 3 2" xfId="25941"/>
    <cellStyle name="Normal 5 3 3 2 2" xfId="25942"/>
    <cellStyle name="Normal 5 3 3 2 2 2" xfId="25943"/>
    <cellStyle name="Normal 5 3 3 2 2 2 2" xfId="25944"/>
    <cellStyle name="Normal 5 3 3 2 2 2 3" xfId="25945"/>
    <cellStyle name="Normal 5 3 3 2 2 3" xfId="25946"/>
    <cellStyle name="Normal 5 3 3 2 2 3 2" xfId="25947"/>
    <cellStyle name="Normal 5 3 3 2 2 3 3" xfId="25948"/>
    <cellStyle name="Normal 5 3 3 2 2 4" xfId="25949"/>
    <cellStyle name="Normal 5 3 3 2 2 5" xfId="25950"/>
    <cellStyle name="Normal 5 3 3 2 3" xfId="25951"/>
    <cellStyle name="Normal 5 3 3 2 3 2" xfId="25952"/>
    <cellStyle name="Normal 5 3 3 2 3 2 2" xfId="25953"/>
    <cellStyle name="Normal 5 3 3 2 3 2 3" xfId="25954"/>
    <cellStyle name="Normal 5 3 3 2 3 3" xfId="25955"/>
    <cellStyle name="Normal 5 3 3 2 3 4" xfId="25956"/>
    <cellStyle name="Normal 5 3 3 2 4" xfId="25957"/>
    <cellStyle name="Normal 5 3 3 2 4 2" xfId="25958"/>
    <cellStyle name="Normal 5 3 3 2 4 2 2" xfId="25959"/>
    <cellStyle name="Normal 5 3 3 2 4 2 3" xfId="25960"/>
    <cellStyle name="Normal 5 3 3 2 4 3" xfId="25961"/>
    <cellStyle name="Normal 5 3 3 2 4 4" xfId="25962"/>
    <cellStyle name="Normal 5 3 3 2 5" xfId="25963"/>
    <cellStyle name="Normal 5 3 3 2 5 2" xfId="25964"/>
    <cellStyle name="Normal 5 3 3 2 5 3" xfId="25965"/>
    <cellStyle name="Normal 5 3 3 2 6" xfId="25966"/>
    <cellStyle name="Normal 5 3 3 2 6 2" xfId="25967"/>
    <cellStyle name="Normal 5 3 3 2 6 3" xfId="25968"/>
    <cellStyle name="Normal 5 3 3 2 7" xfId="25969"/>
    <cellStyle name="Normal 5 3 3 2 8" xfId="25970"/>
    <cellStyle name="Normal 5 3 3 3" xfId="25971"/>
    <cellStyle name="Normal 5 3 3 3 2" xfId="25972"/>
    <cellStyle name="Normal 5 3 3 3 2 2" xfId="25973"/>
    <cellStyle name="Normal 5 3 3 3 2 2 2" xfId="25974"/>
    <cellStyle name="Normal 5 3 3 3 2 2 3" xfId="25975"/>
    <cellStyle name="Normal 5 3 3 3 2 3" xfId="25976"/>
    <cellStyle name="Normal 5 3 3 3 2 4" xfId="25977"/>
    <cellStyle name="Normal 5 3 3 3 3" xfId="25978"/>
    <cellStyle name="Normal 5 3 3 3 3 2" xfId="25979"/>
    <cellStyle name="Normal 5 3 3 3 3 2 2" xfId="25980"/>
    <cellStyle name="Normal 5 3 3 3 3 2 3" xfId="25981"/>
    <cellStyle name="Normal 5 3 3 3 3 3" xfId="25982"/>
    <cellStyle name="Normal 5 3 3 3 3 4" xfId="25983"/>
    <cellStyle name="Normal 5 3 3 3 4" xfId="25984"/>
    <cellStyle name="Normal 5 3 3 3 4 2" xfId="25985"/>
    <cellStyle name="Normal 5 3 3 3 4 3" xfId="25986"/>
    <cellStyle name="Normal 5 3 3 3 5" xfId="25987"/>
    <cellStyle name="Normal 5 3 3 3 5 2" xfId="25988"/>
    <cellStyle name="Normal 5 3 3 3 5 3" xfId="25989"/>
    <cellStyle name="Normal 5 3 3 3 6" xfId="25990"/>
    <cellStyle name="Normal 5 3 3 3 7" xfId="25991"/>
    <cellStyle name="Normal 5 3 3 4" xfId="25992"/>
    <cellStyle name="Normal 5 3 3 4 2" xfId="25993"/>
    <cellStyle name="Normal 5 3 3 4 2 2" xfId="25994"/>
    <cellStyle name="Normal 5 3 3 4 2 3" xfId="25995"/>
    <cellStyle name="Normal 5 3 3 4 3" xfId="25996"/>
    <cellStyle name="Normal 5 3 3 4 4" xfId="25997"/>
    <cellStyle name="Normal 5 3 3 5" xfId="25998"/>
    <cellStyle name="Normal 5 3 3 5 2" xfId="25999"/>
    <cellStyle name="Normal 5 3 3 5 2 2" xfId="26000"/>
    <cellStyle name="Normal 5 3 3 5 2 3" xfId="26001"/>
    <cellStyle name="Normal 5 3 3 5 3" xfId="26002"/>
    <cellStyle name="Normal 5 3 3 5 4" xfId="26003"/>
    <cellStyle name="Normal 5 3 3 6" xfId="26004"/>
    <cellStyle name="Normal 5 3 3 6 2" xfId="26005"/>
    <cellStyle name="Normal 5 3 3 6 3" xfId="26006"/>
    <cellStyle name="Normal 5 3 3 7" xfId="26007"/>
    <cellStyle name="Normal 5 3 3 7 2" xfId="26008"/>
    <cellStyle name="Normal 5 3 3 7 3" xfId="26009"/>
    <cellStyle name="Normal 5 3 3 8" xfId="26010"/>
    <cellStyle name="Normal 5 3 3 9" xfId="26011"/>
    <cellStyle name="Normal 5 3 3_NERELLA ADDITIONAL CLASS ROOMS IN FF" xfId="26012"/>
    <cellStyle name="Normal 5 3 4" xfId="26013"/>
    <cellStyle name="Normal 5 3 4 2" xfId="26014"/>
    <cellStyle name="Normal 5 3 4 2 2" xfId="26015"/>
    <cellStyle name="Normal 5 3 4 2 2 2" xfId="26016"/>
    <cellStyle name="Normal 5 3 4 2 2 3" xfId="26017"/>
    <cellStyle name="Normal 5 3 4 2 3" xfId="26018"/>
    <cellStyle name="Normal 5 3 4 2 3 2" xfId="26019"/>
    <cellStyle name="Normal 5 3 4 2 3 3" xfId="26020"/>
    <cellStyle name="Normal 5 3 4 2 4" xfId="26021"/>
    <cellStyle name="Normal 5 3 4 2 5" xfId="26022"/>
    <cellStyle name="Normal 5 3 4 3" xfId="26023"/>
    <cellStyle name="Normal 5 3 4 3 2" xfId="26024"/>
    <cellStyle name="Normal 5 3 4 3 2 2" xfId="26025"/>
    <cellStyle name="Normal 5 3 4 3 2 3" xfId="26026"/>
    <cellStyle name="Normal 5 3 4 3 3" xfId="26027"/>
    <cellStyle name="Normal 5 3 4 3 4" xfId="26028"/>
    <cellStyle name="Normal 5 3 4 4" xfId="26029"/>
    <cellStyle name="Normal 5 3 4 4 2" xfId="26030"/>
    <cellStyle name="Normal 5 3 4 4 2 2" xfId="26031"/>
    <cellStyle name="Normal 5 3 4 4 2 3" xfId="26032"/>
    <cellStyle name="Normal 5 3 4 4 3" xfId="26033"/>
    <cellStyle name="Normal 5 3 4 4 4" xfId="26034"/>
    <cellStyle name="Normal 5 3 4 5" xfId="26035"/>
    <cellStyle name="Normal 5 3 4 5 2" xfId="26036"/>
    <cellStyle name="Normal 5 3 4 5 3" xfId="26037"/>
    <cellStyle name="Normal 5 3 4 6" xfId="26038"/>
    <cellStyle name="Normal 5 3 4 6 2" xfId="26039"/>
    <cellStyle name="Normal 5 3 4 6 3" xfId="26040"/>
    <cellStyle name="Normal 5 3 4 7" xfId="26041"/>
    <cellStyle name="Normal 5 3 4 8" xfId="26042"/>
    <cellStyle name="Normal 5 3 5" xfId="26043"/>
    <cellStyle name="Normal 5 3 5 2" xfId="26044"/>
    <cellStyle name="Normal 5 3 5 2 2" xfId="26045"/>
    <cellStyle name="Normal 5 3 5 2 2 2" xfId="26046"/>
    <cellStyle name="Normal 5 3 5 2 2 3" xfId="26047"/>
    <cellStyle name="Normal 5 3 5 2 3" xfId="26048"/>
    <cellStyle name="Normal 5 3 5 2 4" xfId="26049"/>
    <cellStyle name="Normal 5 3 5 3" xfId="26050"/>
    <cellStyle name="Normal 5 3 5 3 2" xfId="26051"/>
    <cellStyle name="Normal 5 3 5 3 2 2" xfId="26052"/>
    <cellStyle name="Normal 5 3 5 3 2 3" xfId="26053"/>
    <cellStyle name="Normal 5 3 5 3 3" xfId="26054"/>
    <cellStyle name="Normal 5 3 5 3 4" xfId="26055"/>
    <cellStyle name="Normal 5 3 5 4" xfId="26056"/>
    <cellStyle name="Normal 5 3 5 4 2" xfId="26057"/>
    <cellStyle name="Normal 5 3 5 4 3" xfId="26058"/>
    <cellStyle name="Normal 5 3 6" xfId="26059"/>
    <cellStyle name="Normal 5 3 7" xfId="26060"/>
    <cellStyle name="Normal 5 3 8" xfId="26061"/>
    <cellStyle name="Normal 5 3 9" xfId="26062"/>
    <cellStyle name="Normal 5 3_Aksanpally SSR 2014-15 Final" xfId="26063"/>
    <cellStyle name="Normal 5 4" xfId="26064"/>
    <cellStyle name="Normal 5 4 2" xfId="26065"/>
    <cellStyle name="Normal 5 4 3" xfId="26066"/>
    <cellStyle name="Normal 5 4 4" xfId="26067"/>
    <cellStyle name="Normal 5 4 5" xfId="26068"/>
    <cellStyle name="Normal 5 4 6" xfId="26069"/>
    <cellStyle name="Normal 5 4 7" xfId="26070"/>
    <cellStyle name="Normal 5 4 8" xfId="26071"/>
    <cellStyle name="Normal 5 4 9" xfId="26072"/>
    <cellStyle name="Normal 5 5" xfId="26073"/>
    <cellStyle name="Normal 5 6" xfId="26074"/>
    <cellStyle name="Normal 5 7" xfId="26075"/>
    <cellStyle name="Normal 5 8" xfId="26076"/>
    <cellStyle name="Normal 5 9" xfId="26077"/>
    <cellStyle name="Normal 5_2_AP02X016 - KP Kunta" xfId="26729"/>
    <cellStyle name="Normal 50" xfId="26078"/>
    <cellStyle name="Normal 50 10" xfId="26079"/>
    <cellStyle name="Normal 50 10 2" xfId="26080"/>
    <cellStyle name="Normal 50 10 3" xfId="26081"/>
    <cellStyle name="Normal 50 11" xfId="26082"/>
    <cellStyle name="Normal 50 12" xfId="26083"/>
    <cellStyle name="Normal 50 13" xfId="26084"/>
    <cellStyle name="Normal 50 2" xfId="26085"/>
    <cellStyle name="Normal 50 2 10" xfId="26086"/>
    <cellStyle name="Normal 50 2 11" xfId="26087"/>
    <cellStyle name="Normal 50 2 12" xfId="26088"/>
    <cellStyle name="Normal 50 2 2" xfId="26089"/>
    <cellStyle name="Normal 50 2 2 2" xfId="26090"/>
    <cellStyle name="Normal 50 2 2 2 2" xfId="26091"/>
    <cellStyle name="Normal 50 2 2 2 3" xfId="26092"/>
    <cellStyle name="Normal 50 2 2 2 4" xfId="26093"/>
    <cellStyle name="Normal 50 2 2 2 5" xfId="26094"/>
    <cellStyle name="Normal 50 2 2 3" xfId="26095"/>
    <cellStyle name="Normal 50 2 2 4" xfId="26096"/>
    <cellStyle name="Normal 50 2 2 5" xfId="26097"/>
    <cellStyle name="Normal 50 2 3" xfId="26098"/>
    <cellStyle name="Normal 50 2 3 2" xfId="26099"/>
    <cellStyle name="Normal 50 2 3 2 2" xfId="26100"/>
    <cellStyle name="Normal 50 2 3 2 3" xfId="26101"/>
    <cellStyle name="Normal 50 2 4" xfId="26102"/>
    <cellStyle name="Normal 50 2 4 2" xfId="26103"/>
    <cellStyle name="Normal 50 2 4 3" xfId="26104"/>
    <cellStyle name="Normal 50 2 5" xfId="26105"/>
    <cellStyle name="Normal 50 2 5 2" xfId="26106"/>
    <cellStyle name="Normal 50 2 5 3" xfId="26107"/>
    <cellStyle name="Normal 50 2 6" xfId="26108"/>
    <cellStyle name="Normal 50 2 6 2" xfId="26109"/>
    <cellStyle name="Normal 50 2 6 3" xfId="26110"/>
    <cellStyle name="Normal 50 2 7" xfId="26111"/>
    <cellStyle name="Normal 50 2 7 2" xfId="26112"/>
    <cellStyle name="Normal 50 2 7 3" xfId="26113"/>
    <cellStyle name="Normal 50 2 8" xfId="26114"/>
    <cellStyle name="Normal 50 2 8 2" xfId="26115"/>
    <cellStyle name="Normal 50 2 8 3" xfId="26116"/>
    <cellStyle name="Normal 50 2 9" xfId="26117"/>
    <cellStyle name="Normal 50 2 9 2" xfId="26118"/>
    <cellStyle name="Normal 50 2 9 3" xfId="26119"/>
    <cellStyle name="Normal 50 3" xfId="26120"/>
    <cellStyle name="Normal 50 3 2" xfId="26121"/>
    <cellStyle name="Normal 50 3 2 2" xfId="26122"/>
    <cellStyle name="Normal 50 3 2 3" xfId="26123"/>
    <cellStyle name="Normal 50 3 3" xfId="26124"/>
    <cellStyle name="Normal 50 3 3 2" xfId="26125"/>
    <cellStyle name="Normal 50 3 3 3" xfId="26126"/>
    <cellStyle name="Normal 50 3 4" xfId="26127"/>
    <cellStyle name="Normal 50 3 5" xfId="26128"/>
    <cellStyle name="Normal 50 4" xfId="26129"/>
    <cellStyle name="Normal 50 4 2" xfId="26130"/>
    <cellStyle name="Normal 50 4 3" xfId="26131"/>
    <cellStyle name="Normal 50 5" xfId="26132"/>
    <cellStyle name="Normal 50 5 2" xfId="26133"/>
    <cellStyle name="Normal 50 5 3" xfId="26134"/>
    <cellStyle name="Normal 50 6" xfId="26135"/>
    <cellStyle name="Normal 50 6 2" xfId="26136"/>
    <cellStyle name="Normal 50 6 3" xfId="26137"/>
    <cellStyle name="Normal 50 7" xfId="26138"/>
    <cellStyle name="Normal 50 7 2" xfId="26139"/>
    <cellStyle name="Normal 50 7 3" xfId="26140"/>
    <cellStyle name="Normal 50 8" xfId="26141"/>
    <cellStyle name="Normal 50 8 2" xfId="26142"/>
    <cellStyle name="Normal 50 8 3" xfId="26143"/>
    <cellStyle name="Normal 50 9" xfId="26144"/>
    <cellStyle name="Normal 50 9 2" xfId="26145"/>
    <cellStyle name="Normal 50 9 3" xfId="26146"/>
    <cellStyle name="Normal 51" xfId="26147"/>
    <cellStyle name="Normal 51 10" xfId="26148"/>
    <cellStyle name="Normal 51 11" xfId="26149"/>
    <cellStyle name="Normal 51 12" xfId="26150"/>
    <cellStyle name="Normal 51 2" xfId="26151"/>
    <cellStyle name="Normal 51 2 10" xfId="26152"/>
    <cellStyle name="Normal 51 2 2" xfId="26153"/>
    <cellStyle name="Normal 51 2 2 2" xfId="26154"/>
    <cellStyle name="Normal 51 2 2 2 2" xfId="26155"/>
    <cellStyle name="Normal 51 2 2 2 3" xfId="26156"/>
    <cellStyle name="Normal 51 2 2 3" xfId="26157"/>
    <cellStyle name="Normal 51 2 2 4" xfId="26158"/>
    <cellStyle name="Normal 51 2 3" xfId="26159"/>
    <cellStyle name="Normal 51 2 3 2" xfId="26160"/>
    <cellStyle name="Normal 51 2 3 2 2" xfId="26161"/>
    <cellStyle name="Normal 51 2 3 2 2 2" xfId="26162"/>
    <cellStyle name="Normal 51 2 3 2 2 2 2" xfId="26163"/>
    <cellStyle name="Normal 51 2 3 2 2 2 2 2" xfId="26164"/>
    <cellStyle name="Normal 51 2 3 2 2 2 2 3" xfId="26165"/>
    <cellStyle name="Normal 51 2 3 2 2 2 2 3 2 3" xfId="26166"/>
    <cellStyle name="Normal 51 2 3 2 2 2 2 3 2 3 2" xfId="26167"/>
    <cellStyle name="Normal 51 2 3 2 2 2 2 3 2 3 2 2" xfId="26168"/>
    <cellStyle name="Normal 51 2 3 2 2 2 2 3 2 3 2 3" xfId="26169"/>
    <cellStyle name="Normal 51 2 3 2 2 2 2 3 2 3 3" xfId="26170"/>
    <cellStyle name="Normal 51 2 3 2 2 2 2 3 2 3 4" xfId="26171"/>
    <cellStyle name="Normal 51 2 3 2 2 2 3" xfId="26172"/>
    <cellStyle name="Normal 51 2 3 2 2 2 4" xfId="26173"/>
    <cellStyle name="Normal 51 2 3 2 2 3" xfId="26174"/>
    <cellStyle name="Normal 51 2 3 2 2 3 2" xfId="26175"/>
    <cellStyle name="Normal 51 2 3 2 2 3 2 2 2" xfId="26176"/>
    <cellStyle name="Normal 51 2 3 2 2 3 2 2 2 2" xfId="26177"/>
    <cellStyle name="Normal 51 2 3 2 2 3 2 2 2 2 2" xfId="26178"/>
    <cellStyle name="Normal 51 2 3 2 2 3 2 2 2 2 3" xfId="26179"/>
    <cellStyle name="Normal 51 2 3 2 2 3 2 2 2 3" xfId="26180"/>
    <cellStyle name="Normal 51 2 3 2 2 3 2 2 2 3 2" xfId="26181"/>
    <cellStyle name="Normal 51 2 3 2 2 3 2 2 2 3 2 2" xfId="26182"/>
    <cellStyle name="Normal 51 2 3 2 2 3 2 2 2 3 2 3" xfId="26183"/>
    <cellStyle name="Normal 51 2 3 2 2 3 2 2 2 3 3" xfId="26184"/>
    <cellStyle name="Normal 51 2 3 2 2 3 2 2 2 3 4" xfId="26185"/>
    <cellStyle name="Normal 51 2 3 2 2 3 2 2 2 4" xfId="26186"/>
    <cellStyle name="Normal 51 2 3 2 2 3 2 2 2 5" xfId="26187"/>
    <cellStyle name="Normal 51 2 3 2 2 3 2 2 2 8" xfId="26188"/>
    <cellStyle name="Normal 51 2 3 2 2 3 2 2 2 8 2" xfId="26189"/>
    <cellStyle name="Normal 51 2 3 2 2 3 2 2 2 8 2 2" xfId="26190"/>
    <cellStyle name="Normal 51 2 3 2 2 3 2 2 2 8 2 2 2" xfId="26191"/>
    <cellStyle name="Normal 51 2 3 2 2 3 2 2 2 8 2 2 3" xfId="26192"/>
    <cellStyle name="Normal 51 2 3 2 2 3 2 2 2 8 2 3" xfId="26193"/>
    <cellStyle name="Normal 51 2 3 2 2 3 2 2 2 8 2 4" xfId="26194"/>
    <cellStyle name="Normal 51 2 3 2 2 3 2 2 2 8 3" xfId="26195"/>
    <cellStyle name="Normal 51 2 3 2 2 3 2 2 2 8 3 2" xfId="26196"/>
    <cellStyle name="Normal 51 2 3 2 2 3 2 2 2 8 3 3" xfId="26197"/>
    <cellStyle name="Normal 51 2 3 2 2 3 2 2 2 8 4" xfId="26198"/>
    <cellStyle name="Normal 51 2 3 2 2 3 2 2 2 8 5" xfId="26199"/>
    <cellStyle name="Normal 51 2 3 2 2 3 3" xfId="26200"/>
    <cellStyle name="Normal 51 2 3 2 2 4" xfId="26201"/>
    <cellStyle name="Normal 51 2 3 2 2 5" xfId="26202"/>
    <cellStyle name="Normal 51 2 3 2 3" xfId="26203"/>
    <cellStyle name="Normal 51 2 3 2 3 2" xfId="26204"/>
    <cellStyle name="Normal 51 2 3 2 3 2 2" xfId="26205"/>
    <cellStyle name="Normal 51 2 3 2 3 2 2 2" xfId="26206"/>
    <cellStyle name="Normal 51 2 3 2 3 2 2 2 2" xfId="26207"/>
    <cellStyle name="Normal 51 2 3 2 3 2 2 2 2 2" xfId="26208"/>
    <cellStyle name="Normal 51 2 3 2 3 2 2 2 2 2 2" xfId="26209"/>
    <cellStyle name="Normal 51 2 3 2 3 2 2 2 2 2 2 2" xfId="26210"/>
    <cellStyle name="Normal 51 2 3 2 3 2 2 2 2 2 2 2 2" xfId="26211"/>
    <cellStyle name="Normal 51 2 3 2 3 2 2 2 2 2 2 2 3" xfId="26212"/>
    <cellStyle name="Normal 51 2 3 2 3 2 2 2 2 2 2 3" xfId="26213"/>
    <cellStyle name="Normal 51 2 3 2 3 2 2 2 2 2 2 4" xfId="26214"/>
    <cellStyle name="Normal 51 2 3 2 3 2 2 2 2 2 2 5" xfId="26215"/>
    <cellStyle name="Normal 51 2 3 2 3 2 2 2 2 2 2 5 2" xfId="26216"/>
    <cellStyle name="Normal 51 2 3 2 3 2 2 2 2 2 2 5 2 2" xfId="26217"/>
    <cellStyle name="Normal 51 2 3 2 3 2 2 2 2 2 2 5 2 3" xfId="26218"/>
    <cellStyle name="Normal 51 2 3 2 3 2 2 2 2 2 2 5 3" xfId="26219"/>
    <cellStyle name="Normal 51 2 3 2 3 2 2 2 2 2 2 5 4" xfId="26220"/>
    <cellStyle name="Normal 51 2 3 2 3 2 2 2 2 2 2 6" xfId="26221"/>
    <cellStyle name="Normal 51 2 3 2 3 2 2 2 2 2 2 6 2" xfId="26222"/>
    <cellStyle name="Normal 51 2 3 2 3 2 2 2 2 2 2 6 2 2" xfId="26223"/>
    <cellStyle name="Normal 51 2 3 2 3 2 2 2 2 2 2 6 2 2 2" xfId="26224"/>
    <cellStyle name="Normal 51 2 3 2 3 2 2 2 2 2 2 6 2 2 3" xfId="26225"/>
    <cellStyle name="Normal 51 2 3 2 3 2 2 2 2 2 2 6 2 3" xfId="26226"/>
    <cellStyle name="Normal 51 2 3 2 3 2 2 2 2 2 2 6 2 4" xfId="26227"/>
    <cellStyle name="Normal 51 2 3 2 3 2 2 2 2 2 2 6 3" xfId="26228"/>
    <cellStyle name="Normal 51 2 3 2 3 2 2 2 2 2 2 6 3 2" xfId="26229"/>
    <cellStyle name="Normal 51 2 3 2 3 2 2 2 2 2 2 6 3 3" xfId="26230"/>
    <cellStyle name="Normal 51 2 3 2 3 2 2 2 2 2 2 6 4" xfId="26231"/>
    <cellStyle name="Normal 51 2 3 2 3 2 2 2 2 2 2 6 5" xfId="26232"/>
    <cellStyle name="Normal 51 2 3 2 3 2 2 2 2 2 3" xfId="26233"/>
    <cellStyle name="Normal 51 2 3 2 3 2 2 2 2 2 4" xfId="26234"/>
    <cellStyle name="Normal 51 2 3 2 3 2 2 2 2 3" xfId="26235"/>
    <cellStyle name="Normal 51 2 3 2 3 2 2 2 2 4" xfId="26236"/>
    <cellStyle name="Normal 51 2 3 2 3 2 2 2 3" xfId="26237"/>
    <cellStyle name="Normal 51 2 3 2 3 2 2 2 3 2" xfId="26238"/>
    <cellStyle name="Normal 51 2 3 2 3 2 2 2 3 3" xfId="26239"/>
    <cellStyle name="Normal 51 2 3 2 3 2 2 2 4" xfId="26240"/>
    <cellStyle name="Normal 51 2 3 2 3 2 2 2 5" xfId="26241"/>
    <cellStyle name="Normal 51 2 3 2 3 2 2 3" xfId="26242"/>
    <cellStyle name="Normal 51 2 3 2 3 2 2 3 2" xfId="26243"/>
    <cellStyle name="Normal 51 2 3 2 3 2 2 3 3" xfId="26244"/>
    <cellStyle name="Normal 51 2 3 2 3 2 2 4" xfId="26245"/>
    <cellStyle name="Normal 51 2 3 2 3 2 2 5" xfId="26246"/>
    <cellStyle name="Normal 51 2 3 2 3 2 3" xfId="26247"/>
    <cellStyle name="Normal 51 2 3 2 3 2 3 2" xfId="26248"/>
    <cellStyle name="Normal 51 2 3 2 3 2 3 2 2 3" xfId="26249"/>
    <cellStyle name="Normal 51 2 3 2 3 2 3 2 2 3 2" xfId="26250"/>
    <cellStyle name="Normal 51 2 3 2 3 2 3 2 2 3 2 2" xfId="26251"/>
    <cellStyle name="Normal 51 2 3 2 3 2 3 2 2 3 2 3" xfId="26252"/>
    <cellStyle name="Normal 51 2 3 2 3 2 3 2 2 3 3" xfId="26253"/>
    <cellStyle name="Normal 51 2 3 2 3 2 3 2 2 3 4" xfId="26254"/>
    <cellStyle name="Normal 51 2 3 2 3 2 3 3" xfId="26255"/>
    <cellStyle name="Normal 51 2 3 2 3 2 4" xfId="26256"/>
    <cellStyle name="Normal 51 2 3 2 3 2 5" xfId="26257"/>
    <cellStyle name="Normal 51 2 3 2 3 3" xfId="26258"/>
    <cellStyle name="Normal 51 2 3 2 3 3 2" xfId="26259"/>
    <cellStyle name="Normal 51 2 3 2 3 3 3" xfId="26260"/>
    <cellStyle name="Normal 51 2 3 2 3 4" xfId="26261"/>
    <cellStyle name="Normal 51 2 3 2 3 5" xfId="26262"/>
    <cellStyle name="Normal 51 2 3 2 4" xfId="26263"/>
    <cellStyle name="Normal 51 2 3 2 4 2" xfId="26264"/>
    <cellStyle name="Normal 51 2 3 2 4 2 2" xfId="26265"/>
    <cellStyle name="Normal 51 2 3 2 4 2 3" xfId="26266"/>
    <cellStyle name="Normal 51 2 3 2 4 3" xfId="26267"/>
    <cellStyle name="Normal 51 2 3 2 4 4" xfId="26268"/>
    <cellStyle name="Normal 51 2 3 2 5" xfId="26269"/>
    <cellStyle name="Normal 51 2 3 2 5 2" xfId="26270"/>
    <cellStyle name="Normal 51 2 3 2 5 3" xfId="26271"/>
    <cellStyle name="Normal 51 2 3 2 6" xfId="26272"/>
    <cellStyle name="Normal 51 2 3 2 7" xfId="26273"/>
    <cellStyle name="Normal 51 2 3 3" xfId="26274"/>
    <cellStyle name="Normal 51 2 3 3 2" xfId="26275"/>
    <cellStyle name="Normal 51 2 3 3 2 2" xfId="26276"/>
    <cellStyle name="Normal 51 2 3 3 2 2 2" xfId="26277"/>
    <cellStyle name="Normal 51 2 3 3 2 2 2 2" xfId="26278"/>
    <cellStyle name="Normal 51 2 3 3 2 2 2 2 2" xfId="26279"/>
    <cellStyle name="Normal 51 2 3 3 2 2 2 2 3" xfId="26280"/>
    <cellStyle name="Normal 51 2 3 3 2 2 2 3" xfId="26281"/>
    <cellStyle name="Normal 51 2 3 3 2 2 2 4" xfId="26282"/>
    <cellStyle name="Normal 51 2 3 3 2 2 3" xfId="26283"/>
    <cellStyle name="Normal 51 2 3 3 2 2 3 2" xfId="26284"/>
    <cellStyle name="Normal 51 2 3 3 2 2 3 3" xfId="26285"/>
    <cellStyle name="Normal 51 2 3 3 2 2 4" xfId="26286"/>
    <cellStyle name="Normal 51 2 3 3 2 2 5" xfId="26287"/>
    <cellStyle name="Normal 51 2 3 3 2 3" xfId="26288"/>
    <cellStyle name="Normal 51 2 3 3 2 3 2" xfId="26289"/>
    <cellStyle name="Normal 51 2 3 3 2 3 3" xfId="26290"/>
    <cellStyle name="Normal 51 2 3 3 2 4" xfId="26291"/>
    <cellStyle name="Normal 51 2 3 3 2 5" xfId="26292"/>
    <cellStyle name="Normal 51 2 3 3 3" xfId="26293"/>
    <cellStyle name="Normal 51 2 3 3 3 2" xfId="26294"/>
    <cellStyle name="Normal 51 2 3 3 3 3" xfId="26295"/>
    <cellStyle name="Normal 51 2 3 3 3 3 5" xfId="26296"/>
    <cellStyle name="Normal 51 2 3 3 3 3 5 2" xfId="26297"/>
    <cellStyle name="Normal 51 2 3 3 3 3 5 2 2" xfId="26298"/>
    <cellStyle name="Normal 51 2 3 3 3 3 5 2 3" xfId="26299"/>
    <cellStyle name="Normal 51 2 3 3 3 3 5 3" xfId="26300"/>
    <cellStyle name="Normal 51 2 3 3 3 3 5 4" xfId="26301"/>
    <cellStyle name="Normal 51 2 3 3 3 3 6 3 3" xfId="26302"/>
    <cellStyle name="Normal 51 2 3 3 3 3 6 3 3 2" xfId="26303"/>
    <cellStyle name="Normal 51 2 3 3 3 3 6 3 3 2 2" xfId="26304"/>
    <cellStyle name="Normal 51 2 3 3 3 3 6 3 3 2 3" xfId="26305"/>
    <cellStyle name="Normal 51 2 3 3 3 3 6 3 3 3" xfId="26306"/>
    <cellStyle name="Normal 51 2 3 3 3 3 6 3 3 4" xfId="26307"/>
    <cellStyle name="Normal 51 2 3 3 3 4" xfId="26308"/>
    <cellStyle name="Normal 51 2 3 3 3 4 2" xfId="26309"/>
    <cellStyle name="Normal 51 2 3 3 3 4 2 2" xfId="26310"/>
    <cellStyle name="Normal 51 2 3 3 3 4 2 3" xfId="26311"/>
    <cellStyle name="Normal 51 2 3 3 3 4 3" xfId="26312"/>
    <cellStyle name="Normal 51 2 3 3 3 4 4" xfId="26313"/>
    <cellStyle name="Normal 51 2 3 3 4" xfId="26314"/>
    <cellStyle name="Normal 51 2 3 3 5" xfId="26315"/>
    <cellStyle name="Normal 51 2 3 4" xfId="26316"/>
    <cellStyle name="Normal 51 2 3 4 2" xfId="26317"/>
    <cellStyle name="Normal 51 2 3 4 3" xfId="26318"/>
    <cellStyle name="Normal 51 2 3 5" xfId="26319"/>
    <cellStyle name="Normal 51 2 3 6" xfId="26320"/>
    <cellStyle name="Normal 51 2 4" xfId="26321"/>
    <cellStyle name="Normal 51 2 4 2" xfId="26322"/>
    <cellStyle name="Normal 51 2 4 2 2" xfId="26323"/>
    <cellStyle name="Normal 51 2 4 2 2 2" xfId="26324"/>
    <cellStyle name="Normal 51 2 4 2 2 2 2" xfId="26325"/>
    <cellStyle name="Normal 51 2 4 2 2 2 2 2" xfId="26326"/>
    <cellStyle name="Normal 51 2 4 2 2 2 2 2 2" xfId="26327"/>
    <cellStyle name="Normal 51 2 4 2 2 2 2 2 2 2" xfId="26328"/>
    <cellStyle name="Normal 51 2 4 2 2 2 2 2 2 2 2" xfId="26329"/>
    <cellStyle name="Normal 51 2 4 2 2 2 2 2 2 2 3" xfId="26330"/>
    <cellStyle name="Normal 51 2 4 2 2 2 2 2 2 3" xfId="26331"/>
    <cellStyle name="Normal 51 2 4 2 2 2 2 2 2 4" xfId="26332"/>
    <cellStyle name="Normal 51 2 4 2 2 2 2 2 3" xfId="26333"/>
    <cellStyle name="Normal 51 2 4 2 2 2 2 2 4" xfId="26334"/>
    <cellStyle name="Normal 51 2 4 2 2 2 2 3" xfId="26335"/>
    <cellStyle name="Normal 51 2 4 2 2 2 2 4" xfId="26336"/>
    <cellStyle name="Normal 51 2 4 2 2 2 3" xfId="26337"/>
    <cellStyle name="Normal 51 2 4 2 2 2 3 5 2" xfId="26338"/>
    <cellStyle name="Normal 51 2 4 2 2 2 3 5 2 2" xfId="26339"/>
    <cellStyle name="Normal 51 2 4 2 2 2 3 5 2 2 2" xfId="26340"/>
    <cellStyle name="Normal 51 2 4 2 2 2 3 5 2 2 3" xfId="26341"/>
    <cellStyle name="Normal 51 2 4 2 2 2 3 5 2 3" xfId="26342"/>
    <cellStyle name="Normal 51 2 4 2 2 2 3 5 2 4" xfId="26343"/>
    <cellStyle name="Normal 51 2 4 2 2 2 4" xfId="26344"/>
    <cellStyle name="Normal 51 2 4 2 2 3" xfId="26345"/>
    <cellStyle name="Normal 51 2 4 2 2 4" xfId="26346"/>
    <cellStyle name="Normal 51 2 4 2 3" xfId="26347"/>
    <cellStyle name="Normal 51 2 4 2 3 2" xfId="26348"/>
    <cellStyle name="Normal 51 2 4 2 3 3" xfId="26349"/>
    <cellStyle name="Normal 51 2 4 2 4" xfId="26350"/>
    <cellStyle name="Normal 51 2 4 2 5" xfId="26351"/>
    <cellStyle name="Normal 51 2 4 3" xfId="26352"/>
    <cellStyle name="Normal 51 2 4 3 2" xfId="26353"/>
    <cellStyle name="Normal 51 2 4 3 2 2" xfId="26354"/>
    <cellStyle name="Normal 51 2 4 3 2 2 2" xfId="26355"/>
    <cellStyle name="Normal 51 2 4 3 2 2 2 2" xfId="26356"/>
    <cellStyle name="Normal 51 2 4 3 2 2 2 3" xfId="26357"/>
    <cellStyle name="Normal 51 2 4 3 2 2 3" xfId="26358"/>
    <cellStyle name="Normal 51 2 4 3 2 2 4" xfId="26359"/>
    <cellStyle name="Normal 51 2 4 3 2 3" xfId="26360"/>
    <cellStyle name="Normal 51 2 4 3 2 3 2" xfId="26361"/>
    <cellStyle name="Normal 51 2 4 3 2 3 3" xfId="26362"/>
    <cellStyle name="Normal 51 2 4 3 2 4" xfId="26363"/>
    <cellStyle name="Normal 51 2 4 3 2 5" xfId="26364"/>
    <cellStyle name="Normal 51 2 4 3 2 5 2" xfId="26365"/>
    <cellStyle name="Normal 51 2 4 3 2 5 2 2" xfId="26366"/>
    <cellStyle name="Normal 51 2 4 3 2 5 2 3" xfId="26367"/>
    <cellStyle name="Normal 51 2 4 3 2 5 3" xfId="26368"/>
    <cellStyle name="Normal 51 2 4 3 2 5 4" xfId="26369"/>
    <cellStyle name="Normal 51 2 4 3 2 5 5" xfId="26370"/>
    <cellStyle name="Normal 51 2 4 3 2 5 5 2" xfId="26371"/>
    <cellStyle name="Normal 51 2 4 3 2 5 5 2 2" xfId="26372"/>
    <cellStyle name="Normal 51 2 4 3 2 5 5 2 3" xfId="26373"/>
    <cellStyle name="Normal 51 2 4 3 2 5 5 3" xfId="26374"/>
    <cellStyle name="Normal 51 2 4 3 2 5 5 4" xfId="26375"/>
    <cellStyle name="Normal 51 2 4 3 2 6" xfId="26376"/>
    <cellStyle name="Normal 51 2 4 3 3" xfId="26377"/>
    <cellStyle name="Normal 51 2 4 3 3 2" xfId="26378"/>
    <cellStyle name="Normal 51 2 4 3 3 3" xfId="26379"/>
    <cellStyle name="Normal 51 2 4 3 4" xfId="26380"/>
    <cellStyle name="Normal 51 2 4 3 5" xfId="26381"/>
    <cellStyle name="Normal 51 2 4 4" xfId="26382"/>
    <cellStyle name="Normal 51 2 4 4 2" xfId="26383"/>
    <cellStyle name="Normal 51 2 4 4 2 2" xfId="26384"/>
    <cellStyle name="Normal 51 2 4 4 2 3" xfId="26385"/>
    <cellStyle name="Normal 51 2 4 4 3" xfId="26386"/>
    <cellStyle name="Normal 51 2 4 4 4" xfId="26387"/>
    <cellStyle name="Normal 51 2 4 5" xfId="26388"/>
    <cellStyle name="Normal 51 2 4 5 2" xfId="26389"/>
    <cellStyle name="Normal 51 2 4 5 2 2" xfId="26390"/>
    <cellStyle name="Normal 51 2 4 5 2 3" xfId="26391"/>
    <cellStyle name="Normal 51 2 4 5 3" xfId="26392"/>
    <cellStyle name="Normal 51 2 4 5 4" xfId="26393"/>
    <cellStyle name="Normal 51 2 4 6" xfId="26394"/>
    <cellStyle name="Normal 51 2 4 6 2" xfId="26395"/>
    <cellStyle name="Normal 51 2 4 6 3" xfId="26396"/>
    <cellStyle name="Normal 51 2 4 7" xfId="26397"/>
    <cellStyle name="Normal 51 2 4 8" xfId="26398"/>
    <cellStyle name="Normal 51 2 5" xfId="26399"/>
    <cellStyle name="Normal 51 2 5 2" xfId="26400"/>
    <cellStyle name="Normal 51 2 5 2 2" xfId="26401"/>
    <cellStyle name="Normal 51 2 5 2 2 2" xfId="26402"/>
    <cellStyle name="Normal 51 2 5 2 2 2 2" xfId="26403"/>
    <cellStyle name="Normal 51 2 5 2 2 2 2 2" xfId="26404"/>
    <cellStyle name="Normal 51 2 5 2 2 2 2 2 2" xfId="26405"/>
    <cellStyle name="Normal 51 2 5 2 2 2 2 2 2 2" xfId="26406"/>
    <cellStyle name="Normal 51 2 5 2 2 2 2 2 2 3" xfId="26407"/>
    <cellStyle name="Normal 51 2 5 2 2 2 2 2 3" xfId="26408"/>
    <cellStyle name="Normal 51 2 5 2 2 2 2 2 3 2" xfId="26409"/>
    <cellStyle name="Normal 51 2 5 2 2 2 2 2 3 2 2" xfId="26410"/>
    <cellStyle name="Normal 51 2 5 2 2 2 2 2 3 2 3" xfId="26411"/>
    <cellStyle name="Normal 51 2 5 2 2 2 2 2 3 3" xfId="26412"/>
    <cellStyle name="Normal 51 2 5 2 2 2 2 2 3 3 2" xfId="26413"/>
    <cellStyle name="Normal 51 2 5 2 2 2 2 2 3 3 2 2" xfId="26414"/>
    <cellStyle name="Normal 51 2 5 2 2 2 2 2 3 3 2 3" xfId="26415"/>
    <cellStyle name="Normal 51 2 5 2 2 2 2 2 3 3 3" xfId="26416"/>
    <cellStyle name="Normal 51 2 5 2 2 2 2 2 3 3 4" xfId="26417"/>
    <cellStyle name="Normal 51 2 5 2 2 2 2 2 3 4" xfId="26418"/>
    <cellStyle name="Normal 51 2 5 2 2 2 2 2 3 5" xfId="26419"/>
    <cellStyle name="Normal 51 2 5 2 2 2 2 2 4" xfId="26420"/>
    <cellStyle name="Normal 51 2 5 2 2 2 2 2 5" xfId="26421"/>
    <cellStyle name="Normal 51 2 5 2 2 2 2 3" xfId="26422"/>
    <cellStyle name="Normal 51 2 5 2 2 2 2 4" xfId="26423"/>
    <cellStyle name="Normal 51 2 5 2 2 2 3" xfId="26424"/>
    <cellStyle name="Normal 51 2 5 2 2 2 4" xfId="26425"/>
    <cellStyle name="Normal 51 2 5 2 2 2 4 2" xfId="26426"/>
    <cellStyle name="Normal 51 2 5 2 2 2 4 2 2" xfId="26427"/>
    <cellStyle name="Normal 51 2 5 2 2 2 4 2 2 2" xfId="26428"/>
    <cellStyle name="Normal 51 2 5 2 2 2 4 2 2 2 2" xfId="26429"/>
    <cellStyle name="Normal 51 2 5 2 2 2 4 2 2 2 2 2" xfId="26430"/>
    <cellStyle name="Normal 51 2 5 2 2 2 4 2 2 2 2 3" xfId="26431"/>
    <cellStyle name="Normal 51 2 5 2 2 2 4 2 2 2 3" xfId="26432"/>
    <cellStyle name="Normal 51 2 5 2 2 2 4 2 2 2 4" xfId="26433"/>
    <cellStyle name="Normal 51 2 5 2 2 2 4 2 2 3" xfId="26434"/>
    <cellStyle name="Normal 51 2 5 2 2 2 4 2 2 3 2" xfId="26435"/>
    <cellStyle name="Normal 51 2 5 2 2 2 4 2 2 3 3" xfId="26436"/>
    <cellStyle name="Normal 51 2 5 2 2 2 4 2 2 4" xfId="26437"/>
    <cellStyle name="Normal 51 2 5 2 2 2 4 2 2 5" xfId="26438"/>
    <cellStyle name="Normal 51 2 5 2 2 2 4 2 3" xfId="26439"/>
    <cellStyle name="Normal 51 2 5 2 2 2 4 2 4" xfId="26440"/>
    <cellStyle name="Normal 51 2 5 2 2 2 4 3" xfId="26441"/>
    <cellStyle name="Normal 51 2 5 2 2 2 4 3 2" xfId="26442"/>
    <cellStyle name="Normal 51 2 5 2 2 2 4 3 2 2" xfId="26443"/>
    <cellStyle name="Normal 51 2 5 2 2 2 4 3 2 3" xfId="26444"/>
    <cellStyle name="Normal 51 2 5 2 2 2 4 3 3" xfId="26445"/>
    <cellStyle name="Normal 51 2 5 2 2 2 4 3 4" xfId="26446"/>
    <cellStyle name="Normal 51 2 5 2 2 2 4 4" xfId="26447"/>
    <cellStyle name="Normal 51 2 5 2 2 2 4 5" xfId="26448"/>
    <cellStyle name="Normal 51 2 5 2 2 2 5" xfId="26449"/>
    <cellStyle name="Normal 51 2 5 2 2 3" xfId="26450"/>
    <cellStyle name="Normal 51 2 5 2 2 3 2" xfId="26451"/>
    <cellStyle name="Normal 51 2 5 2 2 3 3" xfId="26452"/>
    <cellStyle name="Normal 51 2 5 2 2 4" xfId="26453"/>
    <cellStyle name="Normal 51 2 5 2 2 5" xfId="26454"/>
    <cellStyle name="Normal 51 2 5 2 3" xfId="26455"/>
    <cellStyle name="Normal 51 2 5 2 3 2" xfId="26456"/>
    <cellStyle name="Normal 51 2 5 2 3 3" xfId="26457"/>
    <cellStyle name="Normal 51 2 5 2 4" xfId="26458"/>
    <cellStyle name="Normal 51 2 5 2 5" xfId="26459"/>
    <cellStyle name="Normal 51 2 5 3" xfId="26460"/>
    <cellStyle name="Normal 51 2 5 3 2" xfId="26461"/>
    <cellStyle name="Normal 51 2 5 3 3" xfId="26462"/>
    <cellStyle name="Normal 51 2 5 4" xfId="26463"/>
    <cellStyle name="Normal 51 2 5 5" xfId="26464"/>
    <cellStyle name="Normal 51 2 6" xfId="26465"/>
    <cellStyle name="Normal 51 2 6 2" xfId="26466"/>
    <cellStyle name="Normal 51 2 6 2 2" xfId="26467"/>
    <cellStyle name="Normal 51 2 6 2 2 2" xfId="26468"/>
    <cellStyle name="Normal 51 2 6 2 2 2 2" xfId="26469"/>
    <cellStyle name="Normal 51 2 6 2 2 2 3" xfId="26470"/>
    <cellStyle name="Normal 51 2 6 2 2 3" xfId="26471"/>
    <cellStyle name="Normal 51 2 6 2 2 3 2" xfId="26472"/>
    <cellStyle name="Normal 51 2 6 2 2 3 2 2" xfId="26473"/>
    <cellStyle name="Normal 51 2 6 2 2 3 2 2 5" xfId="26474"/>
    <cellStyle name="Normal 51 2 6 2 2 3 2 2 5 2" xfId="26475"/>
    <cellStyle name="Normal 51 2 6 2 2 3 2 2 5 2 2" xfId="26476"/>
    <cellStyle name="Normal 51 2 6 2 2 3 2 2 5 2 3" xfId="26477"/>
    <cellStyle name="Normal 51 2 6 2 2 3 2 2 5 3" xfId="26478"/>
    <cellStyle name="Normal 51 2 6 2 2 3 2 2 5 4" xfId="26479"/>
    <cellStyle name="Normal 51 2 6 2 2 3 2 3" xfId="26480"/>
    <cellStyle name="Normal 51 2 6 2 2 3 3" xfId="26481"/>
    <cellStyle name="Normal 51 2 6 2 2 3 4" xfId="26482"/>
    <cellStyle name="Normal 51 2 6 2 2 4" xfId="26483"/>
    <cellStyle name="Normal 51 2 6 2 2 5" xfId="26484"/>
    <cellStyle name="Normal 51 2 6 2 3" xfId="26485"/>
    <cellStyle name="Normal 51 2 6 2 3 2" xfId="26486"/>
    <cellStyle name="Normal 51 2 6 2 3 3" xfId="26487"/>
    <cellStyle name="Normal 51 2 6 2 4" xfId="26488"/>
    <cellStyle name="Normal 51 2 6 2 5" xfId="26489"/>
    <cellStyle name="Normal 51 2 6 3" xfId="26490"/>
    <cellStyle name="Normal 51 2 6 3 2" xfId="26491"/>
    <cellStyle name="Normal 51 2 6 3 3" xfId="26492"/>
    <cellStyle name="Normal 51 2 6 4" xfId="26493"/>
    <cellStyle name="Normal 51 2 6 5" xfId="26494"/>
    <cellStyle name="Normal 51 2 7" xfId="26495"/>
    <cellStyle name="Normal 51 2 7 2" xfId="26496"/>
    <cellStyle name="Normal 51 2 7 3" xfId="26497"/>
    <cellStyle name="Normal 51 2 7 3 4 2 4" xfId="26498"/>
    <cellStyle name="Normal 51 2 7 3 4 2 4 2" xfId="26499"/>
    <cellStyle name="Normal 51 2 7 3 4 2 4 2 2" xfId="26500"/>
    <cellStyle name="Normal 51 2 7 3 4 2 4 2 3" xfId="26501"/>
    <cellStyle name="Normal 51 2 7 3 4 2 4 3" xfId="26502"/>
    <cellStyle name="Normal 51 2 7 3 4 2 4 4" xfId="26503"/>
    <cellStyle name="Normal 51 2 8" xfId="26504"/>
    <cellStyle name="Normal 51 2 8 2" xfId="26505"/>
    <cellStyle name="Normal 51 2 8 3" xfId="26506"/>
    <cellStyle name="Normal 51 2 9" xfId="26507"/>
    <cellStyle name="Normal 51 3" xfId="26508"/>
    <cellStyle name="Normal 51 3 2" xfId="26509"/>
    <cellStyle name="Normal 51 3 2 2" xfId="26510"/>
    <cellStyle name="Normal 51 3 2 3" xfId="26511"/>
    <cellStyle name="Normal 51 3 3" xfId="26512"/>
    <cellStyle name="Normal 51 3 3 2" xfId="26513"/>
    <cellStyle name="Normal 51 3 3 3" xfId="26514"/>
    <cellStyle name="Normal 51 3 4" xfId="26515"/>
    <cellStyle name="Normal 51 3 5" xfId="26516"/>
    <cellStyle name="Normal 51 4" xfId="26517"/>
    <cellStyle name="Normal 51 4 2" xfId="26518"/>
    <cellStyle name="Normal 51 4 2 2" xfId="26519"/>
    <cellStyle name="Normal 51 4 2 3" xfId="26520"/>
    <cellStyle name="Normal 51 5" xfId="26521"/>
    <cellStyle name="Normal 51 5 2" xfId="26522"/>
    <cellStyle name="Normal 51 5 2 2" xfId="26523"/>
    <cellStyle name="Normal 51 5 2 3" xfId="26524"/>
    <cellStyle name="Normal 51 6" xfId="26525"/>
    <cellStyle name="Normal 51 6 2" xfId="26526"/>
    <cellStyle name="Normal 51 6 3" xfId="26527"/>
    <cellStyle name="Normal 51 7" xfId="26528"/>
    <cellStyle name="Normal 51 7 2" xfId="26529"/>
    <cellStyle name="Normal 51 7 3" xfId="26530"/>
    <cellStyle name="Normal 51 8" xfId="26531"/>
    <cellStyle name="Normal 51 8 2" xfId="26532"/>
    <cellStyle name="Normal 51 8 3" xfId="26533"/>
    <cellStyle name="Normal 51 9" xfId="26534"/>
    <cellStyle name="Normal 51 9 2" xfId="26535"/>
    <cellStyle name="Normal 51 9 3" xfId="26536"/>
    <cellStyle name="Normal 52" xfId="26537"/>
    <cellStyle name="Normal 52 10" xfId="26538"/>
    <cellStyle name="Normal 52 11" xfId="26539"/>
    <cellStyle name="Normal 52 12" xfId="26540"/>
    <cellStyle name="Normal 52 2" xfId="26541"/>
    <cellStyle name="Normal 52 2 2" xfId="26542"/>
    <cellStyle name="Normal 52 2 2 2" xfId="26543"/>
    <cellStyle name="Normal 52 2 2 3" xfId="26544"/>
    <cellStyle name="Normal 52 2 2 4" xfId="26545"/>
    <cellStyle name="Normal 52 2 2 5" xfId="26546"/>
    <cellStyle name="Normal 52 2 3" xfId="26547"/>
    <cellStyle name="Normal 52 2 4" xfId="26548"/>
    <cellStyle name="Normal 52 2 5" xfId="26549"/>
    <cellStyle name="Normal 52 3" xfId="26550"/>
    <cellStyle name="Normal 52 3 2" xfId="26551"/>
    <cellStyle name="Normal 52 3 2 2" xfId="26552"/>
    <cellStyle name="Normal 52 3 2 3" xfId="26553"/>
    <cellStyle name="Normal 52 3 3" xfId="26554"/>
    <cellStyle name="Normal 52 3 3 2" xfId="26555"/>
    <cellStyle name="Normal 52 3 3 3" xfId="26556"/>
    <cellStyle name="Normal 52 3 4" xfId="26557"/>
    <cellStyle name="Normal 52 3 5" xfId="26558"/>
    <cellStyle name="Normal 52 4" xfId="26559"/>
    <cellStyle name="Normal 52 4 2" xfId="26560"/>
    <cellStyle name="Normal 52 4 2 2" xfId="26561"/>
    <cellStyle name="Normal 52 4 2 3" xfId="26562"/>
    <cellStyle name="Normal 52 4 3" xfId="26563"/>
    <cellStyle name="Normal 52 4 3 2" xfId="26564"/>
    <cellStyle name="Normal 52 4 3 3" xfId="26565"/>
    <cellStyle name="Normal 52 4 4" xfId="26566"/>
    <cellStyle name="Normal 52 4 5" xfId="26567"/>
    <cellStyle name="Normal 52 5" xfId="26568"/>
    <cellStyle name="Normal 52 5 2" xfId="26569"/>
    <cellStyle name="Normal 52 5 3" xfId="26570"/>
    <cellStyle name="Normal 52 6" xfId="26571"/>
    <cellStyle name="Normal 52 6 2" xfId="26572"/>
    <cellStyle name="Normal 52 6 2 2" xfId="26573"/>
    <cellStyle name="Normal 52 6 2 3" xfId="26574"/>
    <cellStyle name="Normal 52 6 3" xfId="26575"/>
    <cellStyle name="Normal 52 6 3 2" xfId="26576"/>
    <cellStyle name="Normal 52 6 3 3" xfId="26577"/>
    <cellStyle name="Normal 52 6 4" xfId="26578"/>
    <cellStyle name="Normal 52 6 5" xfId="26579"/>
    <cellStyle name="Normal 52 7" xfId="26580"/>
    <cellStyle name="Normal 52 7 2" xfId="26581"/>
    <cellStyle name="Normal 52 7 3" xfId="26582"/>
    <cellStyle name="Normal 52 8" xfId="26583"/>
    <cellStyle name="Normal 52 8 2" xfId="26584"/>
    <cellStyle name="Normal 52 8 3" xfId="26585"/>
    <cellStyle name="Normal 52 9" xfId="26586"/>
    <cellStyle name="Normal 52 9 2" xfId="26587"/>
    <cellStyle name="Normal 52 9 3" xfId="26588"/>
    <cellStyle name="Normal 53" xfId="26589"/>
    <cellStyle name="Normal 53 10" xfId="26590"/>
    <cellStyle name="Normal 53 11" xfId="26591"/>
    <cellStyle name="Normal 53 2" xfId="26592"/>
    <cellStyle name="Normal 53 2 2" xfId="26593"/>
    <cellStyle name="Normal 53 2 2 2" xfId="26594"/>
    <cellStyle name="Normal 53 2 2 2 2" xfId="26595"/>
    <cellStyle name="Normal 53 2 2 2 2 2" xfId="26596"/>
    <cellStyle name="Normal 53 2 2 2 2 3" xfId="26597"/>
    <cellStyle name="Normal 53 2 2 2 3" xfId="26598"/>
    <cellStyle name="Normal 53 2 2 2 4" xfId="26599"/>
    <cellStyle name="Normal 53 2 2 3" xfId="26600"/>
    <cellStyle name="Normal 53 2 2 3 2" xfId="26601"/>
    <cellStyle name="Normal 53 2 2 3 3" xfId="26602"/>
    <cellStyle name="Normal 53 2 2 4" xfId="26603"/>
    <cellStyle name="Normal 53 2 2 5" xfId="26604"/>
    <cellStyle name="Normal 53 2 3" xfId="26605"/>
    <cellStyle name="Normal 53 2 3 2" xfId="26606"/>
    <cellStyle name="Normal 53 2 3 2 2" xfId="26607"/>
    <cellStyle name="Normal 53 2 3 2 3" xfId="26608"/>
    <cellStyle name="Normal 53 2 3 3" xfId="26609"/>
    <cellStyle name="Normal 53 2 3 4" xfId="26610"/>
    <cellStyle name="Normal 53 2 4" xfId="26611"/>
    <cellStyle name="Normal 53 2 4 2" xfId="26612"/>
    <cellStyle name="Normal 53 2 4 3" xfId="26613"/>
    <cellStyle name="Normal 53 2 5" xfId="30885"/>
    <cellStyle name="Normal 53 3" xfId="26614"/>
    <cellStyle name="Normal 53 3 2" xfId="26615"/>
    <cellStyle name="Normal 53 3 2 2" xfId="26616"/>
    <cellStyle name="Normal 53 3 2 3" xfId="26617"/>
    <cellStyle name="Normal 53 3 3" xfId="26618"/>
    <cellStyle name="Normal 53 3 3 2" xfId="26619"/>
    <cellStyle name="Normal 53 3 3 3" xfId="26620"/>
    <cellStyle name="Normal 53 3 4" xfId="26621"/>
    <cellStyle name="Normal 53 3 5" xfId="26622"/>
    <cellStyle name="Normal 53 4" xfId="26623"/>
    <cellStyle name="Normal 53 4 2" xfId="26624"/>
    <cellStyle name="Normal 53 4 3" xfId="26625"/>
    <cellStyle name="Normal 53 5" xfId="26626"/>
    <cellStyle name="Normal 53 5 2" xfId="26627"/>
    <cellStyle name="Normal 53 5 3" xfId="26628"/>
    <cellStyle name="Normal 53 6" xfId="26629"/>
    <cellStyle name="Normal 53 6 2" xfId="26630"/>
    <cellStyle name="Normal 53 6 2 2" xfId="26631"/>
    <cellStyle name="Normal 53 6 2 3" xfId="26632"/>
    <cellStyle name="Normal 53 6 3" xfId="26633"/>
    <cellStyle name="Normal 53 6 3 2" xfId="26634"/>
    <cellStyle name="Normal 53 6 3 3" xfId="26635"/>
    <cellStyle name="Normal 53 6 4" xfId="26636"/>
    <cellStyle name="Normal 53 6 5" xfId="26637"/>
    <cellStyle name="Normal 53 7" xfId="26638"/>
    <cellStyle name="Normal 53 7 2" xfId="26639"/>
    <cellStyle name="Normal 53 7 3" xfId="26640"/>
    <cellStyle name="Normal 53 8" xfId="26641"/>
    <cellStyle name="Normal 53 8 2" xfId="26642"/>
    <cellStyle name="Normal 53 8 3" xfId="26643"/>
    <cellStyle name="Normal 53 9" xfId="26644"/>
    <cellStyle name="Normal 53 9 2" xfId="26645"/>
    <cellStyle name="Normal 53 9 3" xfId="26646"/>
    <cellStyle name="Normal 54" xfId="26647"/>
    <cellStyle name="Normal 54 2" xfId="26648"/>
    <cellStyle name="Normal 54 2 2" xfId="26649"/>
    <cellStyle name="Normal 54 2 2 2" xfId="26650"/>
    <cellStyle name="Normal 54 2 2 3" xfId="26651"/>
    <cellStyle name="Normal 54 3" xfId="26652"/>
    <cellStyle name="Normal 54 3 2" xfId="26653"/>
    <cellStyle name="Normal 54 3 2 2" xfId="26654"/>
    <cellStyle name="Normal 54 3 2 3" xfId="26655"/>
    <cellStyle name="Normal 54 3 3" xfId="26656"/>
    <cellStyle name="Normal 54 3 4" xfId="26657"/>
    <cellStyle name="Normal 54 4" xfId="26658"/>
    <cellStyle name="Normal 54 4 2" xfId="26659"/>
    <cellStyle name="Normal 54 4 3" xfId="26660"/>
    <cellStyle name="Normal 54 5" xfId="26661"/>
    <cellStyle name="Normal 54 6" xfId="26662"/>
    <cellStyle name="Normal 54 6 2" xfId="26663"/>
    <cellStyle name="Normal 54 6 2 2" xfId="26664"/>
    <cellStyle name="Normal 54 6 2 3" xfId="26665"/>
    <cellStyle name="Normal 54 6 3" xfId="26666"/>
    <cellStyle name="Normal 54 6 4" xfId="26667"/>
    <cellStyle name="Normal 55" xfId="26668"/>
    <cellStyle name="Normal 55 2" xfId="26669"/>
    <cellStyle name="Normal 55 2 2" xfId="26670"/>
    <cellStyle name="Normal 55 2 2 2" xfId="26671"/>
    <cellStyle name="Normal 55 2 2 3" xfId="26672"/>
    <cellStyle name="Normal 55 2 3" xfId="26673"/>
    <cellStyle name="Normal 55 3" xfId="26674"/>
    <cellStyle name="Normal 55 3 2" xfId="26675"/>
    <cellStyle name="Normal 55 3 2 2" xfId="26676"/>
    <cellStyle name="Normal 55 3 2 3" xfId="26677"/>
    <cellStyle name="Normal 55 4" xfId="26678"/>
    <cellStyle name="Normal 55 5" xfId="26679"/>
    <cellStyle name="Normal 56" xfId="26680"/>
    <cellStyle name="Normal 56 2" xfId="26681"/>
    <cellStyle name="Normal 56 2 2" xfId="26682"/>
    <cellStyle name="Normal 56 2 3" xfId="26683"/>
    <cellStyle name="Normal 56 2 4" xfId="26684"/>
    <cellStyle name="Normal 56 2 5" xfId="26685"/>
    <cellStyle name="Normal 56 3" xfId="26686"/>
    <cellStyle name="Normal 56 3 2" xfId="26687"/>
    <cellStyle name="Normal 56 3 2 2" xfId="26688"/>
    <cellStyle name="Normal 56 3 2 3" xfId="26689"/>
    <cellStyle name="Normal 56 3 3" xfId="26690"/>
    <cellStyle name="Normal 56 3 4" xfId="26691"/>
    <cellStyle name="Normal 56 4" xfId="26692"/>
    <cellStyle name="Normal 57" xfId="26693"/>
    <cellStyle name="Normal 57 2" xfId="26694"/>
    <cellStyle name="Normal 57 3" xfId="26695"/>
    <cellStyle name="Normal 57 3 2" xfId="26696"/>
    <cellStyle name="Normal 57 3 2 2" xfId="26697"/>
    <cellStyle name="Normal 57 3 2 3" xfId="26698"/>
    <cellStyle name="Normal 57 3 3" xfId="26699"/>
    <cellStyle name="Normal 57 3 4" xfId="26700"/>
    <cellStyle name="Normal 57 4" xfId="26701"/>
    <cellStyle name="Normal 58" xfId="26702"/>
    <cellStyle name="Normal 58 2" xfId="26703"/>
    <cellStyle name="Normal 58 2 2" xfId="26704"/>
    <cellStyle name="Normal 58 2 2 2" xfId="26705"/>
    <cellStyle name="Normal 58 2 2 3" xfId="26706"/>
    <cellStyle name="Normal 58 2 3" xfId="26707"/>
    <cellStyle name="Normal 58 2 4" xfId="26708"/>
    <cellStyle name="Normal 58 3" xfId="26709"/>
    <cellStyle name="Normal 58 3 2" xfId="26710"/>
    <cellStyle name="Normal 58 3 2 2" xfId="26711"/>
    <cellStyle name="Normal 58 3 2 3" xfId="26712"/>
    <cellStyle name="Normal 58 3 3" xfId="26713"/>
    <cellStyle name="Normal 58 3 4" xfId="26714"/>
    <cellStyle name="Normal 58 4" xfId="26715"/>
    <cellStyle name="Normal 59" xfId="26716"/>
    <cellStyle name="Normal 59 2" xfId="26717"/>
    <cellStyle name="Normal 59 2 2" xfId="26718"/>
    <cellStyle name="Normal 59 2 2 2" xfId="26719"/>
    <cellStyle name="Normal 59 2 2 3" xfId="26720"/>
    <cellStyle name="Normal 59 2 3" xfId="26721"/>
    <cellStyle name="Normal 59 2 4" xfId="26722"/>
    <cellStyle name="Normal 59 3" xfId="26723"/>
    <cellStyle name="Normal 59 3 2" xfId="26724"/>
    <cellStyle name="Normal 59 3 2 2" xfId="26725"/>
    <cellStyle name="Normal 59 3 2 3" xfId="26726"/>
    <cellStyle name="Normal 59 3 3" xfId="26727"/>
    <cellStyle name="Normal 59 3 4" xfId="26728"/>
    <cellStyle name="Normal 6" xfId="26730"/>
    <cellStyle name="Normal 6 10" xfId="26731"/>
    <cellStyle name="Normal 6 10 2" xfId="26732"/>
    <cellStyle name="Normal 6 10 2 2" xfId="26733"/>
    <cellStyle name="Normal 6 10 2 3" xfId="26734"/>
    <cellStyle name="Normal 6 10 3" xfId="26735"/>
    <cellStyle name="Normal 6 10 4" xfId="26736"/>
    <cellStyle name="Normal 6 11" xfId="26737"/>
    <cellStyle name="Normal 6 12" xfId="26738"/>
    <cellStyle name="Normal 6 13" xfId="26739"/>
    <cellStyle name="Normal 6 14" xfId="26740"/>
    <cellStyle name="Normal 6 14 2" xfId="26741"/>
    <cellStyle name="Normal 6 14 2 2" xfId="26742"/>
    <cellStyle name="Normal 6 14 2 3" xfId="26743"/>
    <cellStyle name="Normal 6 14 3" xfId="26744"/>
    <cellStyle name="Normal 6 14 4" xfId="26745"/>
    <cellStyle name="Normal 6 15" xfId="26746"/>
    <cellStyle name="Normal 6 16" xfId="26747"/>
    <cellStyle name="Normal 6 17" xfId="26748"/>
    <cellStyle name="Normal 6 18" xfId="26749"/>
    <cellStyle name="Normal 6 19" xfId="26750"/>
    <cellStyle name="Normal 6 2" xfId="26751"/>
    <cellStyle name="Normal 6 2 10" xfId="26752"/>
    <cellStyle name="Normal 6 2 11" xfId="26753"/>
    <cellStyle name="Normal 6 2 2" xfId="26754"/>
    <cellStyle name="Normal 6 2 2 10" xfId="26755"/>
    <cellStyle name="Normal 6 2 2 10 2" xfId="26756"/>
    <cellStyle name="Normal 6 2 2 10 3" xfId="26757"/>
    <cellStyle name="Normal 6 2 2 11" xfId="26758"/>
    <cellStyle name="Normal 6 2 2 11 2" xfId="26759"/>
    <cellStyle name="Normal 6 2 2 11 3" xfId="26760"/>
    <cellStyle name="Normal 6 2 2 12" xfId="26761"/>
    <cellStyle name="Normal 6 2 2 13" xfId="26762"/>
    <cellStyle name="Normal 6 2 2 2" xfId="26763"/>
    <cellStyle name="Normal 6 2 2 2 2" xfId="26764"/>
    <cellStyle name="Normal 6 2 2 2 2 2" xfId="26765"/>
    <cellStyle name="Normal 6 2 2 2 2 3" xfId="26766"/>
    <cellStyle name="Normal 6 2 2 3" xfId="26767"/>
    <cellStyle name="Normal 6 2 2 4" xfId="26768"/>
    <cellStyle name="Normal 6 2 2 5" xfId="26769"/>
    <cellStyle name="Normal 6 2 2 6" xfId="26770"/>
    <cellStyle name="Normal 6 2 2 7" xfId="26771"/>
    <cellStyle name="Normal 6 2 2 8" xfId="26772"/>
    <cellStyle name="Normal 6 2 2 9" xfId="26773"/>
    <cellStyle name="Normal 6 2 3" xfId="26774"/>
    <cellStyle name="Normal 6 2 3 2" xfId="26775"/>
    <cellStyle name="Normal 6 2 3 2 2" xfId="26776"/>
    <cellStyle name="Normal 6 2 3 2 2 2" xfId="26777"/>
    <cellStyle name="Normal 6 2 3 2 2 3" xfId="26778"/>
    <cellStyle name="Normal 6 2 3 2 3" xfId="26779"/>
    <cellStyle name="Normal 6 2 3 2 4" xfId="26780"/>
    <cellStyle name="Normal 6 2 3 3" xfId="26781"/>
    <cellStyle name="Normal 6 2 3 3 2" xfId="26782"/>
    <cellStyle name="Normal 6 2 3 3 2 2" xfId="26783"/>
    <cellStyle name="Normal 6 2 3 3 2 3" xfId="26784"/>
    <cellStyle name="Normal 6 2 3 3 3" xfId="26785"/>
    <cellStyle name="Normal 6 2 3 3 4" xfId="26786"/>
    <cellStyle name="Normal 6 2 4" xfId="26787"/>
    <cellStyle name="Normal 6 2 5" xfId="26788"/>
    <cellStyle name="Normal 6 2 6" xfId="26789"/>
    <cellStyle name="Normal 6 2 7" xfId="26790"/>
    <cellStyle name="Normal 6 2 8" xfId="26791"/>
    <cellStyle name="Normal 6 2 9" xfId="26792"/>
    <cellStyle name="Normal 6 2_NERELLA ADDITIONAL CLASS ROOMS IN FF" xfId="26793"/>
    <cellStyle name="Normal 6 3" xfId="26794"/>
    <cellStyle name="Normal 6 3 2" xfId="26795"/>
    <cellStyle name="Normal 6 3 2 2" xfId="26796"/>
    <cellStyle name="Normal 6 3 2 2 2" xfId="26797"/>
    <cellStyle name="Normal 6 3 2 2 3" xfId="26798"/>
    <cellStyle name="Normal 6 3 2 3" xfId="26799"/>
    <cellStyle name="Normal 6 3 2 4" xfId="26800"/>
    <cellStyle name="Normal 6 3 3" xfId="26801"/>
    <cellStyle name="Normal 6 3 3 2" xfId="26802"/>
    <cellStyle name="Normal 6 3 3 2 2" xfId="26803"/>
    <cellStyle name="Normal 6 3 3 2 3" xfId="26804"/>
    <cellStyle name="Normal 6 3 3 3" xfId="26805"/>
    <cellStyle name="Normal 6 3 3 4" xfId="26806"/>
    <cellStyle name="Normal 6 3 4" xfId="26807"/>
    <cellStyle name="Normal 6 3 4 2" xfId="26808"/>
    <cellStyle name="Normal 6 3 4 2 2" xfId="26809"/>
    <cellStyle name="Normal 6 3 4 2 3" xfId="26810"/>
    <cellStyle name="Normal 6 3 4 3" xfId="26811"/>
    <cellStyle name="Normal 6 3 4 4" xfId="26812"/>
    <cellStyle name="Normal 6 3 5" xfId="26813"/>
    <cellStyle name="Normal 6 3 5 2" xfId="26814"/>
    <cellStyle name="Normal 6 3 5 2 2" xfId="26815"/>
    <cellStyle name="Normal 6 3 5 2 3" xfId="26816"/>
    <cellStyle name="Normal 6 3 5 3" xfId="26817"/>
    <cellStyle name="Normal 6 3 5 4" xfId="26818"/>
    <cellStyle name="Normal 6 3 6" xfId="26819"/>
    <cellStyle name="Normal 6 3 6 2" xfId="26820"/>
    <cellStyle name="Normal 6 3 6 2 2" xfId="26821"/>
    <cellStyle name="Normal 6 3 6 2 3" xfId="26822"/>
    <cellStyle name="Normal 6 3 6 3" xfId="26823"/>
    <cellStyle name="Normal 6 3 6 4" xfId="26824"/>
    <cellStyle name="Normal 6 3 7" xfId="26825"/>
    <cellStyle name="Normal 6 3 7 2" xfId="26826"/>
    <cellStyle name="Normal 6 3 7 2 2" xfId="26827"/>
    <cellStyle name="Normal 6 3 7 2 3" xfId="26828"/>
    <cellStyle name="Normal 6 3 7 3" xfId="26829"/>
    <cellStyle name="Normal 6 3 7 4" xfId="26830"/>
    <cellStyle name="Normal 6 3 8" xfId="26831"/>
    <cellStyle name="Normal 6 3 8 2" xfId="26832"/>
    <cellStyle name="Normal 6 3 8 2 2" xfId="26833"/>
    <cellStyle name="Normal 6 3 8 2 3" xfId="26834"/>
    <cellStyle name="Normal 6 3 8 3" xfId="26835"/>
    <cellStyle name="Normal 6 3 8 4" xfId="26836"/>
    <cellStyle name="Normal 6 3 9" xfId="26837"/>
    <cellStyle name="Normal 6 3 9 2" xfId="26838"/>
    <cellStyle name="Normal 6 3 9 2 2" xfId="26839"/>
    <cellStyle name="Normal 6 3 9 2 3" xfId="26840"/>
    <cellStyle name="Normal 6 3 9 3" xfId="26841"/>
    <cellStyle name="Normal 6 3 9 4" xfId="26842"/>
    <cellStyle name="Normal 6 4" xfId="26843"/>
    <cellStyle name="Normal 6 4 10" xfId="26844"/>
    <cellStyle name="Normal 6 4 10 2" xfId="26845"/>
    <cellStyle name="Normal 6 4 10 2 2" xfId="26846"/>
    <cellStyle name="Normal 6 4 10 2 3" xfId="26847"/>
    <cellStyle name="Normal 6 4 10 3" xfId="26848"/>
    <cellStyle name="Normal 6 4 10 4" xfId="26849"/>
    <cellStyle name="Normal 6 4 2" xfId="26850"/>
    <cellStyle name="Normal 6 4 3" xfId="26851"/>
    <cellStyle name="Normal 6 4 3 2" xfId="26852"/>
    <cellStyle name="Normal 6 4 3 2 2" xfId="26853"/>
    <cellStyle name="Normal 6 4 3 2 3" xfId="26854"/>
    <cellStyle name="Normal 6 4 3 3" xfId="26855"/>
    <cellStyle name="Normal 6 4 3 4" xfId="26856"/>
    <cellStyle name="Normal 6 4 4" xfId="26857"/>
    <cellStyle name="Normal 6 4 4 2" xfId="26858"/>
    <cellStyle name="Normal 6 4 4 2 2" xfId="26859"/>
    <cellStyle name="Normal 6 4 4 2 3" xfId="26860"/>
    <cellStyle name="Normal 6 4 4 3" xfId="26861"/>
    <cellStyle name="Normal 6 4 4 4" xfId="26862"/>
    <cellStyle name="Normal 6 4 5" xfId="26863"/>
    <cellStyle name="Normal 6 4 5 2" xfId="26864"/>
    <cellStyle name="Normal 6 4 5 2 2" xfId="26865"/>
    <cellStyle name="Normal 6 4 5 2 3" xfId="26866"/>
    <cellStyle name="Normal 6 4 5 3" xfId="26867"/>
    <cellStyle name="Normal 6 4 5 4" xfId="26868"/>
    <cellStyle name="Normal 6 4 6" xfId="26869"/>
    <cellStyle name="Normal 6 4 6 2" xfId="26870"/>
    <cellStyle name="Normal 6 4 6 2 2" xfId="26871"/>
    <cellStyle name="Normal 6 4 6 2 3" xfId="26872"/>
    <cellStyle name="Normal 6 4 6 3" xfId="26873"/>
    <cellStyle name="Normal 6 4 6 4" xfId="26874"/>
    <cellStyle name="Normal 6 4 7" xfId="26875"/>
    <cellStyle name="Normal 6 4 7 2" xfId="26876"/>
    <cellStyle name="Normal 6 4 7 2 2" xfId="26877"/>
    <cellStyle name="Normal 6 4 7 2 3" xfId="26878"/>
    <cellStyle name="Normal 6 4 7 3" xfId="26879"/>
    <cellStyle name="Normal 6 4 7 4" xfId="26880"/>
    <cellStyle name="Normal 6 4 8" xfId="26881"/>
    <cellStyle name="Normal 6 4 8 2" xfId="26882"/>
    <cellStyle name="Normal 6 4 8 2 2" xfId="26883"/>
    <cellStyle name="Normal 6 4 8 2 3" xfId="26884"/>
    <cellStyle name="Normal 6 4 8 3" xfId="26885"/>
    <cellStyle name="Normal 6 4 8 4" xfId="26886"/>
    <cellStyle name="Normal 6 4 9" xfId="26887"/>
    <cellStyle name="Normal 6 4 9 2" xfId="26888"/>
    <cellStyle name="Normal 6 4 9 2 2" xfId="26889"/>
    <cellStyle name="Normal 6 4 9 2 3" xfId="26890"/>
    <cellStyle name="Normal 6 4 9 3" xfId="26891"/>
    <cellStyle name="Normal 6 4 9 4" xfId="26892"/>
    <cellStyle name="Normal 6 5" xfId="26893"/>
    <cellStyle name="Normal 6 5 10" xfId="26894"/>
    <cellStyle name="Normal 6 5 2" xfId="26895"/>
    <cellStyle name="Normal 6 5 2 2" xfId="26896"/>
    <cellStyle name="Normal 6 5 2 2 2" xfId="26897"/>
    <cellStyle name="Normal 6 5 2 2 2 2" xfId="26898"/>
    <cellStyle name="Normal 6 5 2 2 2 3" xfId="26899"/>
    <cellStyle name="Normal 6 5 2 2 3" xfId="26900"/>
    <cellStyle name="Normal 6 5 2 2 3 2" xfId="26901"/>
    <cellStyle name="Normal 6 5 2 2 3 3" xfId="26902"/>
    <cellStyle name="Normal 6 5 2 2 4" xfId="26903"/>
    <cellStyle name="Normal 6 5 2 2 5" xfId="26904"/>
    <cellStyle name="Normal 6 5 2 3" xfId="26905"/>
    <cellStyle name="Normal 6 5 2 3 2" xfId="26906"/>
    <cellStyle name="Normal 6 5 2 3 2 2" xfId="26907"/>
    <cellStyle name="Normal 6 5 2 3 2 3" xfId="26908"/>
    <cellStyle name="Normal 6 5 2 3 3" xfId="26909"/>
    <cellStyle name="Normal 6 5 2 3 4" xfId="26910"/>
    <cellStyle name="Normal 6 5 2 4" xfId="26911"/>
    <cellStyle name="Normal 6 5 2 4 2" xfId="26912"/>
    <cellStyle name="Normal 6 5 2 4 2 2" xfId="26913"/>
    <cellStyle name="Normal 6 5 2 4 2 3" xfId="26914"/>
    <cellStyle name="Normal 6 5 2 4 3" xfId="26915"/>
    <cellStyle name="Normal 6 5 2 4 4" xfId="26916"/>
    <cellStyle name="Normal 6 5 2 5" xfId="26917"/>
    <cellStyle name="Normal 6 5 2 5 2" xfId="26918"/>
    <cellStyle name="Normal 6 5 2 5 3" xfId="26919"/>
    <cellStyle name="Normal 6 5 2 6" xfId="26920"/>
    <cellStyle name="Normal 6 5 2 6 2" xfId="26921"/>
    <cellStyle name="Normal 6 5 2 6 3" xfId="26922"/>
    <cellStyle name="Normal 6 5 2 7" xfId="26923"/>
    <cellStyle name="Normal 6 5 2 8" xfId="26924"/>
    <cellStyle name="Normal 6 5 3" xfId="26925"/>
    <cellStyle name="Normal 6 5 4" xfId="26926"/>
    <cellStyle name="Normal 6 5 5" xfId="26927"/>
    <cellStyle name="Normal 6 5 6" xfId="26928"/>
    <cellStyle name="Normal 6 5 7" xfId="26929"/>
    <cellStyle name="Normal 6 5 8" xfId="26930"/>
    <cellStyle name="Normal 6 5 9" xfId="26931"/>
    <cellStyle name="Normal 6 5_NERELLA ADDITIONAL CLASS ROOMS IN FF" xfId="26932"/>
    <cellStyle name="Normal 6 6" xfId="26933"/>
    <cellStyle name="Normal 6 7" xfId="26934"/>
    <cellStyle name="Normal 6 8" xfId="26935"/>
    <cellStyle name="Normal 6 9" xfId="26936"/>
    <cellStyle name="Normal 6_5.Vemulapudi" xfId="27148"/>
    <cellStyle name="Normal 60" xfId="26937"/>
    <cellStyle name="Normal 60 2" xfId="26938"/>
    <cellStyle name="Normal 60 2 2" xfId="26939"/>
    <cellStyle name="Normal 60 2 2 2" xfId="26940"/>
    <cellStyle name="Normal 60 2 2 3" xfId="26941"/>
    <cellStyle name="Normal 60 2 3" xfId="26942"/>
    <cellStyle name="Normal 60 2 4" xfId="26943"/>
    <cellStyle name="Normal 60 3" xfId="26944"/>
    <cellStyle name="Normal 60 3 2" xfId="26945"/>
    <cellStyle name="Normal 60 3 2 2" xfId="26946"/>
    <cellStyle name="Normal 60 3 2 3" xfId="26947"/>
    <cellStyle name="Normal 60 3 3" xfId="26948"/>
    <cellStyle name="Normal 60 3 4" xfId="26949"/>
    <cellStyle name="Normal 61" xfId="26950"/>
    <cellStyle name="Normal 61 2" xfId="26951"/>
    <cellStyle name="Normal 61 2 2" xfId="26952"/>
    <cellStyle name="Normal 61 2 2 2" xfId="26953"/>
    <cellStyle name="Normal 61 2 2 3" xfId="26954"/>
    <cellStyle name="Normal 61 2 3" xfId="26955"/>
    <cellStyle name="Normal 61 2 4" xfId="26956"/>
    <cellStyle name="Normal 61 3" xfId="26957"/>
    <cellStyle name="Normal 61 3 2" xfId="26958"/>
    <cellStyle name="Normal 61 3 2 2" xfId="26959"/>
    <cellStyle name="Normal 61 3 2 3" xfId="26960"/>
    <cellStyle name="Normal 61 3 3" xfId="26961"/>
    <cellStyle name="Normal 61 3 4" xfId="26962"/>
    <cellStyle name="Normal 61 4" xfId="26963"/>
    <cellStyle name="Normal 61 4 2" xfId="26964"/>
    <cellStyle name="Normal 61 4 2 2" xfId="26965"/>
    <cellStyle name="Normal 61 4 2 3" xfId="26966"/>
    <cellStyle name="Normal 61 4 3" xfId="26967"/>
    <cellStyle name="Normal 61 4 4" xfId="26968"/>
    <cellStyle name="Normal 61 5" xfId="26969"/>
    <cellStyle name="Normal 61 5 2" xfId="26970"/>
    <cellStyle name="Normal 61 5 2 2" xfId="26971"/>
    <cellStyle name="Normal 61 5 2 3" xfId="26972"/>
    <cellStyle name="Normal 61 5 3" xfId="26973"/>
    <cellStyle name="Normal 61 5 4" xfId="26974"/>
    <cellStyle name="Normal 61 6" xfId="26975"/>
    <cellStyle name="Normal 61 6 2" xfId="26976"/>
    <cellStyle name="Normal 61 6 2 2" xfId="26977"/>
    <cellStyle name="Normal 61 6 2 3" xfId="26978"/>
    <cellStyle name="Normal 61 6 3" xfId="26979"/>
    <cellStyle name="Normal 61 6 4" xfId="26980"/>
    <cellStyle name="Normal 61 7" xfId="26981"/>
    <cellStyle name="Normal 61 7 2" xfId="26982"/>
    <cellStyle name="Normal 61 7 2 2" xfId="26983"/>
    <cellStyle name="Normal 61 7 2 3" xfId="26984"/>
    <cellStyle name="Normal 61 7 3" xfId="26985"/>
    <cellStyle name="Normal 61 7 4" xfId="26986"/>
    <cellStyle name="Normal 61 8" xfId="26987"/>
    <cellStyle name="Normal 61 8 2" xfId="26988"/>
    <cellStyle name="Normal 61 8 2 2" xfId="26989"/>
    <cellStyle name="Normal 61 8 2 3" xfId="26990"/>
    <cellStyle name="Normal 61 8 3" xfId="26991"/>
    <cellStyle name="Normal 61 8 4" xfId="26992"/>
    <cellStyle name="Normal 62" xfId="26993"/>
    <cellStyle name="Normal 62 2" xfId="26994"/>
    <cellStyle name="Normal 62 2 2" xfId="26995"/>
    <cellStyle name="Normal 62 2 2 2" xfId="26996"/>
    <cellStyle name="Normal 62 2 2 3" xfId="26997"/>
    <cellStyle name="Normal 62 2 3" xfId="26998"/>
    <cellStyle name="Normal 62 2 4" xfId="26999"/>
    <cellStyle name="Normal 62 3" xfId="27000"/>
    <cellStyle name="Normal 62 3 2" xfId="27001"/>
    <cellStyle name="Normal 62 3 2 2" xfId="27002"/>
    <cellStyle name="Normal 62 3 2 3" xfId="27003"/>
    <cellStyle name="Normal 62 3 3" xfId="27004"/>
    <cellStyle name="Normal 62 3 4" xfId="27005"/>
    <cellStyle name="Normal 62 4" xfId="27006"/>
    <cellStyle name="Normal 62 4 2" xfId="27007"/>
    <cellStyle name="Normal 62 4 2 2" xfId="27008"/>
    <cellStyle name="Normal 62 4 2 3" xfId="27009"/>
    <cellStyle name="Normal 62 4 3" xfId="27010"/>
    <cellStyle name="Normal 62 4 4" xfId="27011"/>
    <cellStyle name="Normal 62 5" xfId="27012"/>
    <cellStyle name="Normal 62 5 2" xfId="27013"/>
    <cellStyle name="Normal 62 5 2 2" xfId="27014"/>
    <cellStyle name="Normal 62 5 2 3" xfId="27015"/>
    <cellStyle name="Normal 62 5 3" xfId="27016"/>
    <cellStyle name="Normal 62 5 4" xfId="27017"/>
    <cellStyle name="Normal 62 6" xfId="27018"/>
    <cellStyle name="Normal 62 6 2" xfId="27019"/>
    <cellStyle name="Normal 62 6 2 2" xfId="27020"/>
    <cellStyle name="Normal 62 6 2 3" xfId="27021"/>
    <cellStyle name="Normal 62 6 3" xfId="27022"/>
    <cellStyle name="Normal 62 6 4" xfId="27023"/>
    <cellStyle name="Normal 62 7" xfId="27024"/>
    <cellStyle name="Normal 62 7 2" xfId="27025"/>
    <cellStyle name="Normal 62 7 2 2" xfId="27026"/>
    <cellStyle name="Normal 62 7 2 3" xfId="27027"/>
    <cellStyle name="Normal 62 7 3" xfId="27028"/>
    <cellStyle name="Normal 62 7 4" xfId="27029"/>
    <cellStyle name="Normal 62 8" xfId="27030"/>
    <cellStyle name="Normal 62 8 2" xfId="27031"/>
    <cellStyle name="Normal 62 8 2 2" xfId="27032"/>
    <cellStyle name="Normal 62 8 2 3" xfId="27033"/>
    <cellStyle name="Normal 62 8 3" xfId="27034"/>
    <cellStyle name="Normal 62 8 4" xfId="27035"/>
    <cellStyle name="Normal 63" xfId="27036"/>
    <cellStyle name="Normal 63 2" xfId="27037"/>
    <cellStyle name="Normal 63 2 2" xfId="27038"/>
    <cellStyle name="Normal 63 2 2 2" xfId="27039"/>
    <cellStyle name="Normal 63 2 2 3" xfId="27040"/>
    <cellStyle name="Normal 63 2 3" xfId="27041"/>
    <cellStyle name="Normal 63 2 4" xfId="27042"/>
    <cellStyle name="Normal 63 3" xfId="27043"/>
    <cellStyle name="Normal 63 3 2" xfId="27044"/>
    <cellStyle name="Normal 63 3 2 2" xfId="27045"/>
    <cellStyle name="Normal 63 3 2 3" xfId="27046"/>
    <cellStyle name="Normal 63 3 3" xfId="27047"/>
    <cellStyle name="Normal 63 3 4" xfId="27048"/>
    <cellStyle name="Normal 63 4" xfId="27049"/>
    <cellStyle name="Normal 63 4 2" xfId="27050"/>
    <cellStyle name="Normal 63 4 2 2" xfId="27051"/>
    <cellStyle name="Normal 63 4 2 3" xfId="27052"/>
    <cellStyle name="Normal 63 4 3" xfId="27053"/>
    <cellStyle name="Normal 63 4 4" xfId="27054"/>
    <cellStyle name="Normal 63 5" xfId="27055"/>
    <cellStyle name="Normal 63 5 2" xfId="27056"/>
    <cellStyle name="Normal 63 5 2 2" xfId="27057"/>
    <cellStyle name="Normal 63 5 2 3" xfId="27058"/>
    <cellStyle name="Normal 63 5 3" xfId="27059"/>
    <cellStyle name="Normal 63 5 4" xfId="27060"/>
    <cellStyle name="Normal 63 6" xfId="27061"/>
    <cellStyle name="Normal 63 6 2" xfId="27062"/>
    <cellStyle name="Normal 63 6 2 2" xfId="27063"/>
    <cellStyle name="Normal 63 6 2 3" xfId="27064"/>
    <cellStyle name="Normal 63 6 3" xfId="27065"/>
    <cellStyle name="Normal 63 6 4" xfId="27066"/>
    <cellStyle name="Normal 63 7" xfId="27067"/>
    <cellStyle name="Normal 63 7 2" xfId="27068"/>
    <cellStyle name="Normal 63 7 2 2" xfId="27069"/>
    <cellStyle name="Normal 63 7 2 3" xfId="27070"/>
    <cellStyle name="Normal 63 7 3" xfId="27071"/>
    <cellStyle name="Normal 63 7 4" xfId="27072"/>
    <cellStyle name="Normal 63 8" xfId="27073"/>
    <cellStyle name="Normal 63 8 2" xfId="27074"/>
    <cellStyle name="Normal 63 8 2 2" xfId="27075"/>
    <cellStyle name="Normal 63 8 2 3" xfId="27076"/>
    <cellStyle name="Normal 63 8 3" xfId="27077"/>
    <cellStyle name="Normal 63 8 4" xfId="27078"/>
    <cellStyle name="Normal 64" xfId="27079"/>
    <cellStyle name="Normal 64 2" xfId="27080"/>
    <cellStyle name="Normal 64 3" xfId="27081"/>
    <cellStyle name="Normal 65" xfId="27082"/>
    <cellStyle name="Normal 65 2" xfId="27083"/>
    <cellStyle name="Normal 65 2 2" xfId="27084"/>
    <cellStyle name="Normal 65 2 2 2" xfId="27085"/>
    <cellStyle name="Normal 65 2 2 3" xfId="27086"/>
    <cellStyle name="Normal 65 2 3" xfId="27087"/>
    <cellStyle name="Normal 65 2 4" xfId="27088"/>
    <cellStyle name="Normal 65 3" xfId="27089"/>
    <cellStyle name="Normal 65 3 2" xfId="27090"/>
    <cellStyle name="Normal 65 3 2 2" xfId="27091"/>
    <cellStyle name="Normal 65 3 2 3" xfId="27092"/>
    <cellStyle name="Normal 65 3 3" xfId="27093"/>
    <cellStyle name="Normal 65 3 4" xfId="27094"/>
    <cellStyle name="Normal 65 4" xfId="27095"/>
    <cellStyle name="Normal 65 4 2" xfId="27096"/>
    <cellStyle name="Normal 65 4 2 2" xfId="27097"/>
    <cellStyle name="Normal 65 4 2 3" xfId="27098"/>
    <cellStyle name="Normal 65 4 3" xfId="27099"/>
    <cellStyle name="Normal 65 4 4" xfId="27100"/>
    <cellStyle name="Normal 65 5" xfId="27101"/>
    <cellStyle name="Normal 65 5 2" xfId="27102"/>
    <cellStyle name="Normal 65 5 2 2" xfId="27103"/>
    <cellStyle name="Normal 65 5 2 3" xfId="27104"/>
    <cellStyle name="Normal 65 5 3" xfId="27105"/>
    <cellStyle name="Normal 65 5 4" xfId="27106"/>
    <cellStyle name="Normal 65 6" xfId="27107"/>
    <cellStyle name="Normal 65 6 2" xfId="27108"/>
    <cellStyle name="Normal 65 6 2 2" xfId="27109"/>
    <cellStyle name="Normal 65 6 2 3" xfId="27110"/>
    <cellStyle name="Normal 65 6 3" xfId="27111"/>
    <cellStyle name="Normal 65 6 4" xfId="27112"/>
    <cellStyle name="Normal 65 7" xfId="27113"/>
    <cellStyle name="Normal 65 7 2" xfId="27114"/>
    <cellStyle name="Normal 65 7 2 2" xfId="27115"/>
    <cellStyle name="Normal 65 7 2 3" xfId="27116"/>
    <cellStyle name="Normal 65 7 3" xfId="27117"/>
    <cellStyle name="Normal 65 7 4" xfId="27118"/>
    <cellStyle name="Normal 65 8" xfId="27119"/>
    <cellStyle name="Normal 65 8 2" xfId="27120"/>
    <cellStyle name="Normal 65 8 2 2" xfId="27121"/>
    <cellStyle name="Normal 65 8 2 3" xfId="27122"/>
    <cellStyle name="Normal 65 8 3" xfId="27123"/>
    <cellStyle name="Normal 65 8 4" xfId="27124"/>
    <cellStyle name="Normal 66" xfId="27125"/>
    <cellStyle name="Normal 66 2" xfId="27126"/>
    <cellStyle name="Normal 66 2 2" xfId="27127"/>
    <cellStyle name="Normal 66 2 2 2" xfId="27128"/>
    <cellStyle name="Normal 66 2 2 3" xfId="27129"/>
    <cellStyle name="Normal 66 2 3" xfId="27130"/>
    <cellStyle name="Normal 66 2 4" xfId="27131"/>
    <cellStyle name="Normal 66 3" xfId="27132"/>
    <cellStyle name="Normal 66 3 2" xfId="27133"/>
    <cellStyle name="Normal 66 3 2 2" xfId="27134"/>
    <cellStyle name="Normal 66 3 2 3" xfId="27135"/>
    <cellStyle name="Normal 66 3 3" xfId="27136"/>
    <cellStyle name="Normal 66 3 4" xfId="27137"/>
    <cellStyle name="Normal 67" xfId="27138"/>
    <cellStyle name="Normal 68" xfId="27139"/>
    <cellStyle name="Normal 68 2" xfId="27140"/>
    <cellStyle name="Normal 68 3" xfId="27141"/>
    <cellStyle name="Normal 68 4" xfId="27142"/>
    <cellStyle name="Normal 68 5" xfId="27143"/>
    <cellStyle name="Normal 68 6" xfId="27144"/>
    <cellStyle name="Normal 68 7" xfId="27145"/>
    <cellStyle name="Normal 68 8" xfId="27146"/>
    <cellStyle name="Normal 69" xfId="27147"/>
    <cellStyle name="Normal 7" xfId="27149"/>
    <cellStyle name="Normal 7 10" xfId="27150"/>
    <cellStyle name="Normal 7 10 2" xfId="27151"/>
    <cellStyle name="Normal 7 11" xfId="27152"/>
    <cellStyle name="Normal 7 12" xfId="27153"/>
    <cellStyle name="Normal 7 13" xfId="27154"/>
    <cellStyle name="Normal 7 14" xfId="27155"/>
    <cellStyle name="Normal 7 15" xfId="27156"/>
    <cellStyle name="Normal 7 16" xfId="27157"/>
    <cellStyle name="Normal 7 17" xfId="27158"/>
    <cellStyle name="Normal 7 18" xfId="27159"/>
    <cellStyle name="Normal 7 19" xfId="27160"/>
    <cellStyle name="Normal 7 2" xfId="27161"/>
    <cellStyle name="Normal 7 2 10" xfId="27162"/>
    <cellStyle name="Normal 7 2 11" xfId="27163"/>
    <cellStyle name="Normal 7 2 12" xfId="27164"/>
    <cellStyle name="Normal 7 2 13" xfId="27165"/>
    <cellStyle name="Normal 7 2 14" xfId="27166"/>
    <cellStyle name="Normal 7 2 15" xfId="27167"/>
    <cellStyle name="Normal 7 2 15 2" xfId="27168"/>
    <cellStyle name="Normal 7 2 15 2 2" xfId="27169"/>
    <cellStyle name="Normal 7 2 15 2 2 2" xfId="27170"/>
    <cellStyle name="Normal 7 2 15 2 2 3" xfId="27171"/>
    <cellStyle name="Normal 7 2 15 2 3" xfId="27172"/>
    <cellStyle name="Normal 7 2 15 2 4" xfId="27173"/>
    <cellStyle name="Normal 7 2 15 3" xfId="27174"/>
    <cellStyle name="Normal 7 2 15 3 2" xfId="27175"/>
    <cellStyle name="Normal 7 2 15 3 3" xfId="27176"/>
    <cellStyle name="Normal 7 2 15 4" xfId="27177"/>
    <cellStyle name="Normal 7 2 15 5" xfId="27178"/>
    <cellStyle name="Normal 7 2 16" xfId="27179"/>
    <cellStyle name="Normal 7 2 17" xfId="27180"/>
    <cellStyle name="Normal 7 2 18" xfId="27181"/>
    <cellStyle name="Normal 7 2 19" xfId="27182"/>
    <cellStyle name="Normal 7 2 2" xfId="27183"/>
    <cellStyle name="Normal 7 2 3" xfId="27184"/>
    <cellStyle name="Normal 7 2 4" xfId="27185"/>
    <cellStyle name="Normal 7 2 5" xfId="27186"/>
    <cellStyle name="Normal 7 2 6" xfId="27187"/>
    <cellStyle name="Normal 7 2 7" xfId="27188"/>
    <cellStyle name="Normal 7 2 8" xfId="27189"/>
    <cellStyle name="Normal 7 2 9" xfId="27190"/>
    <cellStyle name="Normal 7 2_M.BOOK" xfId="27191"/>
    <cellStyle name="Normal 7 3" xfId="27192"/>
    <cellStyle name="Normal 7 3 10" xfId="27193"/>
    <cellStyle name="Normal 7 3 11" xfId="27194"/>
    <cellStyle name="Normal 7 3 12" xfId="27195"/>
    <cellStyle name="Normal 7 3 2" xfId="27196"/>
    <cellStyle name="Normal 7 3 2 2" xfId="27197"/>
    <cellStyle name="Normal 7 3 2 2 2" xfId="27198"/>
    <cellStyle name="Normal 7 3 2 2 3" xfId="27199"/>
    <cellStyle name="Normal 7 3 2 3" xfId="27200"/>
    <cellStyle name="Normal 7 3 2 3 2" xfId="27201"/>
    <cellStyle name="Normal 7 3 2 3 3" xfId="27202"/>
    <cellStyle name="Normal 7 3 2 4" xfId="27203"/>
    <cellStyle name="Normal 7 3 2 5" xfId="27204"/>
    <cellStyle name="Normal 7 3 3" xfId="27205"/>
    <cellStyle name="Normal 7 3 3 2" xfId="27206"/>
    <cellStyle name="Normal 7 3 3 3" xfId="27207"/>
    <cellStyle name="Normal 7 3 4" xfId="27208"/>
    <cellStyle name="Normal 7 3 4 2" xfId="27209"/>
    <cellStyle name="Normal 7 3 4 3" xfId="27210"/>
    <cellStyle name="Normal 7 3 5" xfId="27211"/>
    <cellStyle name="Normal 7 3 5 2" xfId="27212"/>
    <cellStyle name="Normal 7 3 5 3" xfId="27213"/>
    <cellStyle name="Normal 7 3 6" xfId="27214"/>
    <cellStyle name="Normal 7 3 6 2" xfId="27215"/>
    <cellStyle name="Normal 7 3 6 3" xfId="27216"/>
    <cellStyle name="Normal 7 3 7" xfId="27217"/>
    <cellStyle name="Normal 7 3 7 2" xfId="27218"/>
    <cellStyle name="Normal 7 3 7 3" xfId="27219"/>
    <cellStyle name="Normal 7 3 8" xfId="27220"/>
    <cellStyle name="Normal 7 3 8 2" xfId="27221"/>
    <cellStyle name="Normal 7 3 8 3" xfId="27222"/>
    <cellStyle name="Normal 7 3 9" xfId="27223"/>
    <cellStyle name="Normal 7 3 9 2" xfId="27224"/>
    <cellStyle name="Normal 7 3 9 3" xfId="27225"/>
    <cellStyle name="Normal 7 3_A- Internal Painting Qtys." xfId="27226"/>
    <cellStyle name="Normal 7 4" xfId="27227"/>
    <cellStyle name="Normal 7 5" xfId="27228"/>
    <cellStyle name="Normal 7 6" xfId="27229"/>
    <cellStyle name="Normal 7 7" xfId="27230"/>
    <cellStyle name="Normal 7 8" xfId="27231"/>
    <cellStyle name="Normal 7 9" xfId="27232"/>
    <cellStyle name="Normal 7_(9) 3 ACRs (GF) &amp; 2 ACRs (FF)" xfId="27263"/>
    <cellStyle name="Normal 70" xfId="27233"/>
    <cellStyle name="Normal 71" xfId="27234"/>
    <cellStyle name="Normal 71 2" xfId="27235"/>
    <cellStyle name="Normal 71 2 2" xfId="27236"/>
    <cellStyle name="Normal 71 2 2 2" xfId="27237"/>
    <cellStyle name="Normal 71 2 2 3" xfId="27238"/>
    <cellStyle name="Normal 71 2 3" xfId="27239"/>
    <cellStyle name="Normal 71 2 4" xfId="27240"/>
    <cellStyle name="Normal 72" xfId="27241"/>
    <cellStyle name="Normal 73" xfId="27242"/>
    <cellStyle name="Normal 74" xfId="27243"/>
    <cellStyle name="Normal 74 2" xfId="27244"/>
    <cellStyle name="Normal 75" xfId="27245"/>
    <cellStyle name="Normal 75 2" xfId="27246"/>
    <cellStyle name="Normal 76" xfId="27247"/>
    <cellStyle name="Normal 77" xfId="27248"/>
    <cellStyle name="Normal 77 2" xfId="27249"/>
    <cellStyle name="Normal 77 3" xfId="27250"/>
    <cellStyle name="Normal 77 3 2" xfId="27251"/>
    <cellStyle name="Normal 77 3 2 2" xfId="27252"/>
    <cellStyle name="Normal 77 3 2 3" xfId="27253"/>
    <cellStyle name="Normal 77 3 3" xfId="27254"/>
    <cellStyle name="Normal 77 3 4" xfId="27255"/>
    <cellStyle name="Normal 77 4" xfId="27256"/>
    <cellStyle name="Normal 77 4 2" xfId="27257"/>
    <cellStyle name="Normal 77 4 3" xfId="27258"/>
    <cellStyle name="Normal 77 5" xfId="27259"/>
    <cellStyle name="Normal 77 6" xfId="27260"/>
    <cellStyle name="Normal 78" xfId="27261"/>
    <cellStyle name="Normal 79" xfId="27262"/>
    <cellStyle name="Normal 8" xfId="27264"/>
    <cellStyle name="Normal 8 10" xfId="27265"/>
    <cellStyle name="Normal 8 11" xfId="27266"/>
    <cellStyle name="Normal 8 12" xfId="27267"/>
    <cellStyle name="Normal 8 13" xfId="27268"/>
    <cellStyle name="Normal 8 14" xfId="27269"/>
    <cellStyle name="Normal 8 15" xfId="27270"/>
    <cellStyle name="Normal 8 16" xfId="27271"/>
    <cellStyle name="Normal 8 17" xfId="27272"/>
    <cellStyle name="Normal 8 18" xfId="27273"/>
    <cellStyle name="Normal 8 19" xfId="27274"/>
    <cellStyle name="Normal 8 2" xfId="27275"/>
    <cellStyle name="Normal 8 2 10" xfId="27276"/>
    <cellStyle name="Normal 8 2 11" xfId="27277"/>
    <cellStyle name="Normal 8 2 12" xfId="27278"/>
    <cellStyle name="Normal 8 2 13" xfId="27279"/>
    <cellStyle name="Normal 8 2 14" xfId="27280"/>
    <cellStyle name="Normal 8 2 15" xfId="27281"/>
    <cellStyle name="Normal 8 2 16" xfId="27282"/>
    <cellStyle name="Normal 8 2 17" xfId="27283"/>
    <cellStyle name="Normal 8 2 18" xfId="27284"/>
    <cellStyle name="Normal 8 2 19" xfId="27285"/>
    <cellStyle name="Normal 8 2 2" xfId="27286"/>
    <cellStyle name="Normal 8 2 2 10" xfId="27287"/>
    <cellStyle name="Normal 8 2 2 2" xfId="27288"/>
    <cellStyle name="Normal 8 2 2 2 2" xfId="27289"/>
    <cellStyle name="Normal 8 2 2 2 3" xfId="27290"/>
    <cellStyle name="Normal 8 2 2 2 3 2" xfId="27291"/>
    <cellStyle name="Normal 8 2 2 2 3 3" xfId="27292"/>
    <cellStyle name="Normal 8 2 2 2 4" xfId="27293"/>
    <cellStyle name="Normal 8 2 2 2 5" xfId="27294"/>
    <cellStyle name="Normal 8 2 2 3" xfId="27295"/>
    <cellStyle name="Normal 8 2 2 4" xfId="27296"/>
    <cellStyle name="Normal 8 2 2 5" xfId="27297"/>
    <cellStyle name="Normal 8 2 2 6" xfId="27298"/>
    <cellStyle name="Normal 8 2 2 7" xfId="27299"/>
    <cellStyle name="Normal 8 2 2 8" xfId="27300"/>
    <cellStyle name="Normal 8 2 2 9" xfId="27301"/>
    <cellStyle name="Normal 8 2 2_Sheet2" xfId="27302"/>
    <cellStyle name="Normal 8 2 3" xfId="27303"/>
    <cellStyle name="Normal 8 2 3 2" xfId="27304"/>
    <cellStyle name="Normal 8 2 3 2 2" xfId="27305"/>
    <cellStyle name="Normal 8 2 3 2 3" xfId="27306"/>
    <cellStyle name="Normal 8 2 3 3" xfId="27307"/>
    <cellStyle name="Normal 8 2 3 4" xfId="27308"/>
    <cellStyle name="Normal 8 2 4" xfId="27309"/>
    <cellStyle name="Normal 8 2 5" xfId="27310"/>
    <cellStyle name="Normal 8 2 6" xfId="27311"/>
    <cellStyle name="Normal 8 2 7" xfId="27312"/>
    <cellStyle name="Normal 8 2 8" xfId="27313"/>
    <cellStyle name="Normal 8 2 9" xfId="27314"/>
    <cellStyle name="Normal 8 2_NERELLA ADDITIONAL CLASS ROOMS IN FF" xfId="27315"/>
    <cellStyle name="Normal 8 3" xfId="27316"/>
    <cellStyle name="Normal 8 3 10" xfId="27317"/>
    <cellStyle name="Normal 8 3 11" xfId="27318"/>
    <cellStyle name="Normal 8 3 12" xfId="27319"/>
    <cellStyle name="Normal 8 3 13" xfId="27320"/>
    <cellStyle name="Normal 8 3 14" xfId="27321"/>
    <cellStyle name="Normal 8 3 15" xfId="27322"/>
    <cellStyle name="Normal 8 3 2" xfId="27323"/>
    <cellStyle name="Normal 8 3 2 10" xfId="27324"/>
    <cellStyle name="Normal 8 3 2 11" xfId="27325"/>
    <cellStyle name="Normal 8 3 2 12" xfId="27326"/>
    <cellStyle name="Normal 8 3 2 13" xfId="27327"/>
    <cellStyle name="Normal 8 3 2 14" xfId="27328"/>
    <cellStyle name="Normal 8 3 2 15" xfId="27329"/>
    <cellStyle name="Normal 8 3 2 2" xfId="27330"/>
    <cellStyle name="Normal 8 3 2 2 2" xfId="27331"/>
    <cellStyle name="Normal 8 3 2 2 3" xfId="27332"/>
    <cellStyle name="Normal 8 3 2 3" xfId="27333"/>
    <cellStyle name="Normal 8 3 2 4" xfId="27334"/>
    <cellStyle name="Normal 8 3 2 5" xfId="27335"/>
    <cellStyle name="Normal 8 3 2 6" xfId="27336"/>
    <cellStyle name="Normal 8 3 2 7" xfId="27337"/>
    <cellStyle name="Normal 8 3 2 8" xfId="27338"/>
    <cellStyle name="Normal 8 3 2 9" xfId="27339"/>
    <cellStyle name="Normal 8 3 3" xfId="27340"/>
    <cellStyle name="Normal 8 3 4" xfId="27341"/>
    <cellStyle name="Normal 8 3 5" xfId="27342"/>
    <cellStyle name="Normal 8 3 6" xfId="27343"/>
    <cellStyle name="Normal 8 3 7" xfId="27344"/>
    <cellStyle name="Normal 8 3 8" xfId="27345"/>
    <cellStyle name="Normal 8 3 9" xfId="27346"/>
    <cellStyle name="Normal 8 3_Sheet2" xfId="27347"/>
    <cellStyle name="Normal 8 4" xfId="27348"/>
    <cellStyle name="Normal 8 4 2" xfId="27349"/>
    <cellStyle name="Normal 8 4 2 2" xfId="27350"/>
    <cellStyle name="Normal 8 4 2 2 2" xfId="27351"/>
    <cellStyle name="Normal 8 4 2 2 3" xfId="27352"/>
    <cellStyle name="Normal 8 4 2 3" xfId="27353"/>
    <cellStyle name="Normal 8 4 2 4" xfId="27354"/>
    <cellStyle name="Normal 8 4_Sheet2" xfId="27355"/>
    <cellStyle name="Normal 8 5" xfId="27356"/>
    <cellStyle name="Normal 8 5 2" xfId="27357"/>
    <cellStyle name="Normal 8 5 2 2" xfId="27358"/>
    <cellStyle name="Normal 8 5 2 2 2" xfId="27359"/>
    <cellStyle name="Normal 8 5 2 2 3" xfId="27360"/>
    <cellStyle name="Normal 8 5 2 3" xfId="27361"/>
    <cellStyle name="Normal 8 5 2 4" xfId="27362"/>
    <cellStyle name="Normal 8 5_Sheet2" xfId="27363"/>
    <cellStyle name="Normal 8 6" xfId="27364"/>
    <cellStyle name="Normal 8 6 2" xfId="27365"/>
    <cellStyle name="Normal 8 6 2 2" xfId="27366"/>
    <cellStyle name="Normal 8 6 3" xfId="27367"/>
    <cellStyle name="Normal 8 7" xfId="27368"/>
    <cellStyle name="Normal 8 8" xfId="27369"/>
    <cellStyle name="Normal 8 9" xfId="27370"/>
    <cellStyle name="Normal 8_A- Internal Painting Qtys." xfId="27393"/>
    <cellStyle name="Normal 80" xfId="27371"/>
    <cellStyle name="Normal 80 2" xfId="27372"/>
    <cellStyle name="Normal 81" xfId="27373"/>
    <cellStyle name="Normal 81 2" xfId="27374"/>
    <cellStyle name="Normal 82" xfId="27375"/>
    <cellStyle name="Normal 82 2" xfId="27376"/>
    <cellStyle name="Normal 83" xfId="27377"/>
    <cellStyle name="Normal 83 2" xfId="27378"/>
    <cellStyle name="Normal 83 3" xfId="27379"/>
    <cellStyle name="Normal 84" xfId="27380"/>
    <cellStyle name="Normal 84 2" xfId="27381"/>
    <cellStyle name="Normal 84 3" xfId="27382"/>
    <cellStyle name="Normal 85" xfId="27383"/>
    <cellStyle name="Normal 85 2" xfId="27384"/>
    <cellStyle name="Normal 85 3" xfId="27385"/>
    <cellStyle name="Normal 86" xfId="27386"/>
    <cellStyle name="Normal 86 2" xfId="27387"/>
    <cellStyle name="Normal 87" xfId="27388"/>
    <cellStyle name="Normal 87 2" xfId="27389"/>
    <cellStyle name="Normal 88" xfId="27390"/>
    <cellStyle name="Normal 88 2" xfId="27391"/>
    <cellStyle name="Normal 89" xfId="27392"/>
    <cellStyle name="Normal 9" xfId="27394"/>
    <cellStyle name="Normal 9 10" xfId="27395"/>
    <cellStyle name="Normal 9 11" xfId="27396"/>
    <cellStyle name="Normal 9 12" xfId="27397"/>
    <cellStyle name="Normal 9 13" xfId="27398"/>
    <cellStyle name="Normal 9 14" xfId="27399"/>
    <cellStyle name="Normal 9 15" xfId="27400"/>
    <cellStyle name="Normal 9 15 2" xfId="27401"/>
    <cellStyle name="Normal 9 15 2 2" xfId="27402"/>
    <cellStyle name="Normal 9 15 2 3" xfId="27403"/>
    <cellStyle name="Normal 9 15 3" xfId="27404"/>
    <cellStyle name="Normal 9 15 4" xfId="27405"/>
    <cellStyle name="Normal 9 16" xfId="27406"/>
    <cellStyle name="Normal 9 17" xfId="27407"/>
    <cellStyle name="Normal 9 18" xfId="27408"/>
    <cellStyle name="Normal 9 19" xfId="27409"/>
    <cellStyle name="Normal 9 2" xfId="27410"/>
    <cellStyle name="Normal 9 2 10" xfId="27411"/>
    <cellStyle name="Normal 9 2 11" xfId="27412"/>
    <cellStyle name="Normal 9 2 12" xfId="27413"/>
    <cellStyle name="Normal 9 2 13" xfId="27414"/>
    <cellStyle name="Normal 9 2 14" xfId="27415"/>
    <cellStyle name="Normal 9 2 15" xfId="27416"/>
    <cellStyle name="Normal 9 2 16" xfId="27417"/>
    <cellStyle name="Normal 9 2 17" xfId="27418"/>
    <cellStyle name="Normal 9 2 2" xfId="27419"/>
    <cellStyle name="Normal 9 2 2 10" xfId="27420"/>
    <cellStyle name="Normal 9 2 2 11" xfId="27421"/>
    <cellStyle name="Normal 9 2 2 12" xfId="27422"/>
    <cellStyle name="Normal 9 2 2 13" xfId="27423"/>
    <cellStyle name="Normal 9 2 2 14" xfId="27424"/>
    <cellStyle name="Normal 9 2 2 15" xfId="27425"/>
    <cellStyle name="Normal 9 2 2 2" xfId="27426"/>
    <cellStyle name="Normal 9 2 2 2 10" xfId="27427"/>
    <cellStyle name="Normal 9 2 2 2 11" xfId="27428"/>
    <cellStyle name="Normal 9 2 2 2 12" xfId="27429"/>
    <cellStyle name="Normal 9 2 2 2 13" xfId="27430"/>
    <cellStyle name="Normal 9 2 2 2 14" xfId="27431"/>
    <cellStyle name="Normal 9 2 2 2 15" xfId="27432"/>
    <cellStyle name="Normal 9 2 2 2 2" xfId="27433"/>
    <cellStyle name="Normal 9 2 2 2 3" xfId="27434"/>
    <cellStyle name="Normal 9 2 2 2 4" xfId="27435"/>
    <cellStyle name="Normal 9 2 2 2 5" xfId="27436"/>
    <cellStyle name="Normal 9 2 2 2 6" xfId="27437"/>
    <cellStyle name="Normal 9 2 2 2 7" xfId="27438"/>
    <cellStyle name="Normal 9 2 2 2 8" xfId="27439"/>
    <cellStyle name="Normal 9 2 2 2 9" xfId="27440"/>
    <cellStyle name="Normal 9 2 2 3" xfId="27441"/>
    <cellStyle name="Normal 9 2 2 4" xfId="27442"/>
    <cellStyle name="Normal 9 2 2 5" xfId="27443"/>
    <cellStyle name="Normal 9 2 2 6" xfId="27444"/>
    <cellStyle name="Normal 9 2 2 7" xfId="27445"/>
    <cellStyle name="Normal 9 2 2 8" xfId="27446"/>
    <cellStyle name="Normal 9 2 2 9" xfId="27447"/>
    <cellStyle name="Normal 9 2 3" xfId="27448"/>
    <cellStyle name="Normal 9 2 4" xfId="27449"/>
    <cellStyle name="Normal 9 2 5" xfId="27450"/>
    <cellStyle name="Normal 9 2 6" xfId="27451"/>
    <cellStyle name="Normal 9 2 7" xfId="27452"/>
    <cellStyle name="Normal 9 2 8" xfId="27453"/>
    <cellStyle name="Normal 9 2 9" xfId="27454"/>
    <cellStyle name="Normal 9 3" xfId="27455"/>
    <cellStyle name="Normal 9 4" xfId="27456"/>
    <cellStyle name="Normal 9 4 2" xfId="27457"/>
    <cellStyle name="Normal 9 4 2 2" xfId="27458"/>
    <cellStyle name="Normal 9 4 2 2 2" xfId="27459"/>
    <cellStyle name="Normal 9 4 2 2 3" xfId="27460"/>
    <cellStyle name="Normal 9 4 2 3" xfId="27461"/>
    <cellStyle name="Normal 9 4 2 4" xfId="27462"/>
    <cellStyle name="Normal 9 5" xfId="27463"/>
    <cellStyle name="Normal 9 6" xfId="27464"/>
    <cellStyle name="Normal 9 7" xfId="27465"/>
    <cellStyle name="Normal 9 8" xfId="27466"/>
    <cellStyle name="Normal 9 9" xfId="27467"/>
    <cellStyle name="Normal 9_A- Internal Painting Qtys." xfId="27509"/>
    <cellStyle name="Normal 90" xfId="27468"/>
    <cellStyle name="Normal 90 2" xfId="27469"/>
    <cellStyle name="Normal 90 3" xfId="27470"/>
    <cellStyle name="Normal 90 4" xfId="27471"/>
    <cellStyle name="Normal 91" xfId="27472"/>
    <cellStyle name="Normal 91 2" xfId="27473"/>
    <cellStyle name="Normal 91 3" xfId="27474"/>
    <cellStyle name="Normal 92" xfId="27475"/>
    <cellStyle name="Normal 92 2" xfId="27476"/>
    <cellStyle name="Normal 93" xfId="27477"/>
    <cellStyle name="Normal 93 2" xfId="27478"/>
    <cellStyle name="Normal 93 3" xfId="27479"/>
    <cellStyle name="Normal 94" xfId="27480"/>
    <cellStyle name="Normal 94 2" xfId="27481"/>
    <cellStyle name="Normal 94 3" xfId="27482"/>
    <cellStyle name="Normal 95" xfId="27483"/>
    <cellStyle name="Normal 95 2" xfId="27484"/>
    <cellStyle name="Normal 96" xfId="27485"/>
    <cellStyle name="Normal 96 2" xfId="27486"/>
    <cellStyle name="Normal 97" xfId="27487"/>
    <cellStyle name="Normal 97 2" xfId="27488"/>
    <cellStyle name="Normal 97 3" xfId="27489"/>
    <cellStyle name="Normal 97 4" xfId="27490"/>
    <cellStyle name="Normal 97 5" xfId="27491"/>
    <cellStyle name="Normal 97 5 2" xfId="27492"/>
    <cellStyle name="Normal 97 5 2 2" xfId="27493"/>
    <cellStyle name="Normal 97 5 2 3" xfId="27494"/>
    <cellStyle name="Normal 97 5 3" xfId="27495"/>
    <cellStyle name="Normal 97 5 4" xfId="27496"/>
    <cellStyle name="Normal 97 6" xfId="27497"/>
    <cellStyle name="Normal 97 6 2" xfId="27498"/>
    <cellStyle name="Normal 97 6 3" xfId="27499"/>
    <cellStyle name="Normal 97 7" xfId="27500"/>
    <cellStyle name="Normal 97 8" xfId="27501"/>
    <cellStyle name="Normal 98" xfId="27502"/>
    <cellStyle name="Normal 98 2" xfId="27503"/>
    <cellStyle name="Normal 98 3" xfId="27504"/>
    <cellStyle name="Normal 98 4" xfId="27505"/>
    <cellStyle name="Normal 99" xfId="27506"/>
    <cellStyle name="Normal 99 2" xfId="27507"/>
    <cellStyle name="Normal 99 3" xfId="27508"/>
    <cellStyle name="Normal Bold" xfId="27514"/>
    <cellStyle name="Normal Pct" xfId="27515"/>
    <cellStyle name="Normal Tiger" xfId="27516"/>
    <cellStyle name="Normal$" xfId="27517"/>
    <cellStyle name="Normal_LEAD STATEMENT OF JAMMALAMADUGU" xfId="30886"/>
    <cellStyle name="normal0" xfId="27519"/>
    <cellStyle name="Normal1" xfId="27520"/>
    <cellStyle name="normal1$" xfId="27521"/>
    <cellStyle name="normal12" xfId="27522"/>
    <cellStyle name="normal1R" xfId="27523"/>
    <cellStyle name="normal2" xfId="27524"/>
    <cellStyle name="Normale_Astelit bp fix" xfId="27525"/>
    <cellStyle name="NormalHelv" xfId="27526"/>
    <cellStyle name="NormalMultiple" xfId="27527"/>
    <cellStyle name="normální_laroux" xfId="27531"/>
    <cellStyle name="NormalR" xfId="27528"/>
    <cellStyle name="Normalx" xfId="27529"/>
    <cellStyle name="NormalxShadow" xfId="27530"/>
    <cellStyle name="Note 1" xfId="27532"/>
    <cellStyle name="Note 10" xfId="27533"/>
    <cellStyle name="Note 10 10" xfId="27534"/>
    <cellStyle name="Note 10 10 2" xfId="27535"/>
    <cellStyle name="Note 10 10 3" xfId="27536"/>
    <cellStyle name="Note 10 10 4" xfId="27537"/>
    <cellStyle name="Note 10 11" xfId="27538"/>
    <cellStyle name="Note 10 11 2" xfId="27539"/>
    <cellStyle name="Note 10 11 3" xfId="27540"/>
    <cellStyle name="Note 10 11 4" xfId="27541"/>
    <cellStyle name="Note 10 12" xfId="27542"/>
    <cellStyle name="Note 10 13" xfId="27543"/>
    <cellStyle name="Note 10 14" xfId="27544"/>
    <cellStyle name="Note 10 2" xfId="27545"/>
    <cellStyle name="Note 10 2 2" xfId="27546"/>
    <cellStyle name="Note 10 2 3" xfId="27547"/>
    <cellStyle name="Note 10 2 4" xfId="27548"/>
    <cellStyle name="Note 10 2 5" xfId="27549"/>
    <cellStyle name="Note 10 3" xfId="27550"/>
    <cellStyle name="Note 10 4" xfId="27551"/>
    <cellStyle name="Note 10 5" xfId="27552"/>
    <cellStyle name="Note 10 6" xfId="27553"/>
    <cellStyle name="Note 10 7" xfId="27554"/>
    <cellStyle name="Note 10 8" xfId="27555"/>
    <cellStyle name="Note 10 9" xfId="27556"/>
    <cellStyle name="Note 11" xfId="27557"/>
    <cellStyle name="Note 11 10" xfId="27558"/>
    <cellStyle name="Note 11 10 2" xfId="27559"/>
    <cellStyle name="Note 11 10 3" xfId="27560"/>
    <cellStyle name="Note 11 10 4" xfId="27561"/>
    <cellStyle name="Note 11 11" xfId="27562"/>
    <cellStyle name="Note 11 11 2" xfId="27563"/>
    <cellStyle name="Note 11 11 3" xfId="27564"/>
    <cellStyle name="Note 11 11 4" xfId="27565"/>
    <cellStyle name="Note 11 12" xfId="27566"/>
    <cellStyle name="Note 11 13" xfId="27567"/>
    <cellStyle name="Note 11 14" xfId="27568"/>
    <cellStyle name="Note 11 2" xfId="27569"/>
    <cellStyle name="Note 11 2 2" xfId="27570"/>
    <cellStyle name="Note 11 2 3" xfId="27571"/>
    <cellStyle name="Note 11 2 4" xfId="27572"/>
    <cellStyle name="Note 11 2 5" xfId="27573"/>
    <cellStyle name="Note 11 3" xfId="27574"/>
    <cellStyle name="Note 11 4" xfId="27575"/>
    <cellStyle name="Note 11 5" xfId="27576"/>
    <cellStyle name="Note 11 6" xfId="27577"/>
    <cellStyle name="Note 11 7" xfId="27578"/>
    <cellStyle name="Note 11 8" xfId="27579"/>
    <cellStyle name="Note 11 9" xfId="27580"/>
    <cellStyle name="Note 12" xfId="27581"/>
    <cellStyle name="Note 12 10" xfId="27582"/>
    <cellStyle name="Note 12 10 2" xfId="27583"/>
    <cellStyle name="Note 12 10 3" xfId="27584"/>
    <cellStyle name="Note 12 10 4" xfId="27585"/>
    <cellStyle name="Note 12 11" xfId="27586"/>
    <cellStyle name="Note 12 11 2" xfId="27587"/>
    <cellStyle name="Note 12 11 3" xfId="27588"/>
    <cellStyle name="Note 12 11 4" xfId="27589"/>
    <cellStyle name="Note 12 12" xfId="27590"/>
    <cellStyle name="Note 12 13" xfId="27591"/>
    <cellStyle name="Note 12 14" xfId="27592"/>
    <cellStyle name="Note 12 2" xfId="27593"/>
    <cellStyle name="Note 12 2 2" xfId="27594"/>
    <cellStyle name="Note 12 2 3" xfId="27595"/>
    <cellStyle name="Note 12 2 4" xfId="27596"/>
    <cellStyle name="Note 12 2 5" xfId="27597"/>
    <cellStyle name="Note 12 3" xfId="27598"/>
    <cellStyle name="Note 12 4" xfId="27599"/>
    <cellStyle name="Note 12 5" xfId="27600"/>
    <cellStyle name="Note 12 6" xfId="27601"/>
    <cellStyle name="Note 12 7" xfId="27602"/>
    <cellStyle name="Note 12 8" xfId="27603"/>
    <cellStyle name="Note 12 9" xfId="27604"/>
    <cellStyle name="Note 13" xfId="27605"/>
    <cellStyle name="Note 13 10" xfId="27606"/>
    <cellStyle name="Note 13 10 2" xfId="27607"/>
    <cellStyle name="Note 13 10 3" xfId="27608"/>
    <cellStyle name="Note 13 10 4" xfId="27609"/>
    <cellStyle name="Note 13 11" xfId="27610"/>
    <cellStyle name="Note 13 11 2" xfId="27611"/>
    <cellStyle name="Note 13 11 3" xfId="27612"/>
    <cellStyle name="Note 13 11 4" xfId="27613"/>
    <cellStyle name="Note 13 12" xfId="27614"/>
    <cellStyle name="Note 13 13" xfId="27615"/>
    <cellStyle name="Note 13 14" xfId="27616"/>
    <cellStyle name="Note 13 2" xfId="27617"/>
    <cellStyle name="Note 13 2 2" xfId="27618"/>
    <cellStyle name="Note 13 2 3" xfId="27619"/>
    <cellStyle name="Note 13 2 4" xfId="27620"/>
    <cellStyle name="Note 13 2 5" xfId="27621"/>
    <cellStyle name="Note 13 3" xfId="27622"/>
    <cellStyle name="Note 13 4" xfId="27623"/>
    <cellStyle name="Note 13 5" xfId="27624"/>
    <cellStyle name="Note 13 6" xfId="27625"/>
    <cellStyle name="Note 13 7" xfId="27626"/>
    <cellStyle name="Note 13 8" xfId="27627"/>
    <cellStyle name="Note 13 9" xfId="27628"/>
    <cellStyle name="Note 14" xfId="27629"/>
    <cellStyle name="Note 14 10" xfId="27630"/>
    <cellStyle name="Note 14 10 2" xfId="27631"/>
    <cellStyle name="Note 14 10 3" xfId="27632"/>
    <cellStyle name="Note 14 10 4" xfId="27633"/>
    <cellStyle name="Note 14 11" xfId="27634"/>
    <cellStyle name="Note 14 11 2" xfId="27635"/>
    <cellStyle name="Note 14 11 3" xfId="27636"/>
    <cellStyle name="Note 14 11 4" xfId="27637"/>
    <cellStyle name="Note 14 12" xfId="27638"/>
    <cellStyle name="Note 14 13" xfId="27639"/>
    <cellStyle name="Note 14 14" xfId="27640"/>
    <cellStyle name="Note 14 2" xfId="27641"/>
    <cellStyle name="Note 14 2 2" xfId="27642"/>
    <cellStyle name="Note 14 2 3" xfId="27643"/>
    <cellStyle name="Note 14 2 4" xfId="27644"/>
    <cellStyle name="Note 14 2 5" xfId="27645"/>
    <cellStyle name="Note 14 3" xfId="27646"/>
    <cellStyle name="Note 14 4" xfId="27647"/>
    <cellStyle name="Note 14 5" xfId="27648"/>
    <cellStyle name="Note 14 6" xfId="27649"/>
    <cellStyle name="Note 14 7" xfId="27650"/>
    <cellStyle name="Note 14 8" xfId="27651"/>
    <cellStyle name="Note 14 9" xfId="27652"/>
    <cellStyle name="Note 15" xfId="27653"/>
    <cellStyle name="Note 15 10" xfId="27654"/>
    <cellStyle name="Note 15 10 2" xfId="27655"/>
    <cellStyle name="Note 15 10 3" xfId="27656"/>
    <cellStyle name="Note 15 10 4" xfId="27657"/>
    <cellStyle name="Note 15 11" xfId="27658"/>
    <cellStyle name="Note 15 11 2" xfId="27659"/>
    <cellStyle name="Note 15 11 3" xfId="27660"/>
    <cellStyle name="Note 15 11 4" xfId="27661"/>
    <cellStyle name="Note 15 12" xfId="27662"/>
    <cellStyle name="Note 15 13" xfId="27663"/>
    <cellStyle name="Note 15 14" xfId="27664"/>
    <cellStyle name="Note 15 2" xfId="27665"/>
    <cellStyle name="Note 15 2 2" xfId="27666"/>
    <cellStyle name="Note 15 2 3" xfId="27667"/>
    <cellStyle name="Note 15 2 4" xfId="27668"/>
    <cellStyle name="Note 15 2 5" xfId="27669"/>
    <cellStyle name="Note 15 3" xfId="27670"/>
    <cellStyle name="Note 15 4" xfId="27671"/>
    <cellStyle name="Note 15 5" xfId="27672"/>
    <cellStyle name="Note 15 6" xfId="27673"/>
    <cellStyle name="Note 15 7" xfId="27674"/>
    <cellStyle name="Note 15 8" xfId="27675"/>
    <cellStyle name="Note 15 9" xfId="27676"/>
    <cellStyle name="Note 16" xfId="27677"/>
    <cellStyle name="Note 16 10" xfId="27678"/>
    <cellStyle name="Note 16 10 2" xfId="27679"/>
    <cellStyle name="Note 16 10 3" xfId="27680"/>
    <cellStyle name="Note 16 10 4" xfId="27681"/>
    <cellStyle name="Note 16 11" xfId="27682"/>
    <cellStyle name="Note 16 11 2" xfId="27683"/>
    <cellStyle name="Note 16 11 3" xfId="27684"/>
    <cellStyle name="Note 16 11 4" xfId="27685"/>
    <cellStyle name="Note 16 12" xfId="27686"/>
    <cellStyle name="Note 16 13" xfId="27687"/>
    <cellStyle name="Note 16 14" xfId="27688"/>
    <cellStyle name="Note 16 2" xfId="27689"/>
    <cellStyle name="Note 16 2 2" xfId="27690"/>
    <cellStyle name="Note 16 2 2 2" xfId="27691"/>
    <cellStyle name="Note 16 2 2 3" xfId="27692"/>
    <cellStyle name="Note 16 2 3" xfId="27693"/>
    <cellStyle name="Note 16 2 4" xfId="27694"/>
    <cellStyle name="Note 16 2 5" xfId="27695"/>
    <cellStyle name="Note 16 3" xfId="27696"/>
    <cellStyle name="Note 16 3 2" xfId="27697"/>
    <cellStyle name="Note 16 3 2 2" xfId="27698"/>
    <cellStyle name="Note 16 3 2 3" xfId="27699"/>
    <cellStyle name="Note 16 3 3" xfId="27700"/>
    <cellStyle name="Note 16 3 4" xfId="27701"/>
    <cellStyle name="Note 16 4" xfId="27702"/>
    <cellStyle name="Note 16 4 2" xfId="27703"/>
    <cellStyle name="Note 16 4 2 2" xfId="27704"/>
    <cellStyle name="Note 16 4 2 3" xfId="27705"/>
    <cellStyle name="Note 16 4 3" xfId="27706"/>
    <cellStyle name="Note 16 4 4" xfId="27707"/>
    <cellStyle name="Note 16 5" xfId="27708"/>
    <cellStyle name="Note 16 5 2" xfId="27709"/>
    <cellStyle name="Note 16 5 2 2" xfId="27710"/>
    <cellStyle name="Note 16 5 2 3" xfId="27711"/>
    <cellStyle name="Note 16 5 3" xfId="27712"/>
    <cellStyle name="Note 16 5 4" xfId="27713"/>
    <cellStyle name="Note 16 6" xfId="27714"/>
    <cellStyle name="Note 16 6 2" xfId="27715"/>
    <cellStyle name="Note 16 6 2 2" xfId="27716"/>
    <cellStyle name="Note 16 6 2 3" xfId="27717"/>
    <cellStyle name="Note 16 6 3" xfId="27718"/>
    <cellStyle name="Note 16 6 4" xfId="27719"/>
    <cellStyle name="Note 16 7" xfId="27720"/>
    <cellStyle name="Note 16 7 2" xfId="27721"/>
    <cellStyle name="Note 16 7 2 2" xfId="27722"/>
    <cellStyle name="Note 16 7 2 3" xfId="27723"/>
    <cellStyle name="Note 16 7 3" xfId="27724"/>
    <cellStyle name="Note 16 7 4" xfId="27725"/>
    <cellStyle name="Note 16 8" xfId="27726"/>
    <cellStyle name="Note 16 8 2" xfId="27727"/>
    <cellStyle name="Note 16 8 2 2" xfId="27728"/>
    <cellStyle name="Note 16 8 2 3" xfId="27729"/>
    <cellStyle name="Note 16 8 3" xfId="27730"/>
    <cellStyle name="Note 16 8 4" xfId="27731"/>
    <cellStyle name="Note 16 9" xfId="27732"/>
    <cellStyle name="Note 16 9 2" xfId="27733"/>
    <cellStyle name="Note 16 9 2 2" xfId="27734"/>
    <cellStyle name="Note 16 9 2 3" xfId="27735"/>
    <cellStyle name="Note 16 9 3" xfId="27736"/>
    <cellStyle name="Note 16 9 4" xfId="27737"/>
    <cellStyle name="Note 17" xfId="27738"/>
    <cellStyle name="Note 17 2" xfId="27739"/>
    <cellStyle name="Note 17 2 2" xfId="27740"/>
    <cellStyle name="Note 17 2 3" xfId="27741"/>
    <cellStyle name="Note 17 2 4" xfId="27742"/>
    <cellStyle name="Note 17 2 5" xfId="27743"/>
    <cellStyle name="Note 17 3" xfId="27744"/>
    <cellStyle name="Note 17 4" xfId="27745"/>
    <cellStyle name="Note 18" xfId="27746"/>
    <cellStyle name="Note 18 2" xfId="27747"/>
    <cellStyle name="Note 18 2 2" xfId="27748"/>
    <cellStyle name="Note 18 2 3" xfId="27749"/>
    <cellStyle name="Note 18 2 4" xfId="27750"/>
    <cellStyle name="Note 18 2 5" xfId="27751"/>
    <cellStyle name="Note 18 3" xfId="27752"/>
    <cellStyle name="Note 18 4" xfId="27753"/>
    <cellStyle name="Note 19" xfId="27754"/>
    <cellStyle name="Note 19 2" xfId="27755"/>
    <cellStyle name="Note 19 2 2" xfId="27756"/>
    <cellStyle name="Note 19 2 3" xfId="27757"/>
    <cellStyle name="Note 19 2 4" xfId="27758"/>
    <cellStyle name="Note 19 2 5" xfId="27759"/>
    <cellStyle name="Note 19 3" xfId="27760"/>
    <cellStyle name="Note 19 4" xfId="27761"/>
    <cellStyle name="Note 2" xfId="27762"/>
    <cellStyle name="Note 2 10" xfId="27763"/>
    <cellStyle name="Note 2 11" xfId="27764"/>
    <cellStyle name="Note 2 12" xfId="27765"/>
    <cellStyle name="Note 2 13" xfId="27766"/>
    <cellStyle name="Note 2 14" xfId="27767"/>
    <cellStyle name="Note 2 15" xfId="27768"/>
    <cellStyle name="Note 2 16" xfId="27769"/>
    <cellStyle name="Note 2 17" xfId="27770"/>
    <cellStyle name="Note 2 17 2" xfId="27771"/>
    <cellStyle name="Note 2 17 3" xfId="27772"/>
    <cellStyle name="Note 2 17 4" xfId="27773"/>
    <cellStyle name="Note 2 18" xfId="27774"/>
    <cellStyle name="Note 2 18 2" xfId="27775"/>
    <cellStyle name="Note 2 18 3" xfId="27776"/>
    <cellStyle name="Note 2 18 4" xfId="27777"/>
    <cellStyle name="Note 2 19" xfId="27778"/>
    <cellStyle name="Note 2 2" xfId="27779"/>
    <cellStyle name="Note 2 2 10" xfId="27780"/>
    <cellStyle name="Note 2 2 10 2" xfId="27781"/>
    <cellStyle name="Note 2 2 10 2 2" xfId="27782"/>
    <cellStyle name="Note 2 2 10 2 3" xfId="27783"/>
    <cellStyle name="Note 2 2 10 2 4" xfId="27784"/>
    <cellStyle name="Note 2 2 10 3" xfId="27785"/>
    <cellStyle name="Note 2 2 10 4" xfId="27786"/>
    <cellStyle name="Note 2 2 10 5" xfId="27787"/>
    <cellStyle name="Note 2 2 11" xfId="27788"/>
    <cellStyle name="Note 2 2 11 2" xfId="27789"/>
    <cellStyle name="Note 2 2 11 2 2" xfId="27790"/>
    <cellStyle name="Note 2 2 11 2 3" xfId="27791"/>
    <cellStyle name="Note 2 2 11 2 4" xfId="27792"/>
    <cellStyle name="Note 2 2 11 3" xfId="27793"/>
    <cellStyle name="Note 2 2 11 4" xfId="27794"/>
    <cellStyle name="Note 2 2 11 5" xfId="27795"/>
    <cellStyle name="Note 2 2 12" xfId="27796"/>
    <cellStyle name="Note 2 2 12 2" xfId="27797"/>
    <cellStyle name="Note 2 2 12 2 2" xfId="27798"/>
    <cellStyle name="Note 2 2 12 2 3" xfId="27799"/>
    <cellStyle name="Note 2 2 12 2 4" xfId="27800"/>
    <cellStyle name="Note 2 2 12 3" xfId="27801"/>
    <cellStyle name="Note 2 2 12 4" xfId="27802"/>
    <cellStyle name="Note 2 2 12 5" xfId="27803"/>
    <cellStyle name="Note 2 2 13" xfId="27804"/>
    <cellStyle name="Note 2 2 13 2" xfId="27805"/>
    <cellStyle name="Note 2 2 13 3" xfId="27806"/>
    <cellStyle name="Note 2 2 13 4" xfId="27807"/>
    <cellStyle name="Note 2 2 14" xfId="27808"/>
    <cellStyle name="Note 2 2 14 2" xfId="27809"/>
    <cellStyle name="Note 2 2 14 3" xfId="27810"/>
    <cellStyle name="Note 2 2 14 4" xfId="27811"/>
    <cellStyle name="Note 2 2 15" xfId="27812"/>
    <cellStyle name="Note 2 2 16" xfId="27813"/>
    <cellStyle name="Note 2 2 17" xfId="27814"/>
    <cellStyle name="Note 2 2 2" xfId="27815"/>
    <cellStyle name="Note 2 2 2 2" xfId="27816"/>
    <cellStyle name="Note 2 2 2 2 2" xfId="27817"/>
    <cellStyle name="Note 2 2 2 2 2 2" xfId="27818"/>
    <cellStyle name="Note 2 2 2 2 2 3" xfId="27819"/>
    <cellStyle name="Note 2 2 2 2 2 4" xfId="27820"/>
    <cellStyle name="Note 2 2 2 2 3" xfId="27821"/>
    <cellStyle name="Note 2 2 2 2 4" xfId="27822"/>
    <cellStyle name="Note 2 2 2 2 5" xfId="27823"/>
    <cellStyle name="Note 2 2 2 3" xfId="27824"/>
    <cellStyle name="Note 2 2 2 3 2" xfId="27825"/>
    <cellStyle name="Note 2 2 2 3 3" xfId="27826"/>
    <cellStyle name="Note 2 2 2 3 4" xfId="27827"/>
    <cellStyle name="Note 2 2 2 4" xfId="27828"/>
    <cellStyle name="Note 2 2 2 5" xfId="27829"/>
    <cellStyle name="Note 2 2 2 6" xfId="27830"/>
    <cellStyle name="Note 2 2 3" xfId="27831"/>
    <cellStyle name="Note 2 2 3 2" xfId="27832"/>
    <cellStyle name="Note 2 2 3 2 2" xfId="27833"/>
    <cellStyle name="Note 2 2 3 2 2 2" xfId="27834"/>
    <cellStyle name="Note 2 2 3 2 2 3" xfId="27835"/>
    <cellStyle name="Note 2 2 3 2 2 4" xfId="27836"/>
    <cellStyle name="Note 2 2 3 2 3" xfId="27837"/>
    <cellStyle name="Note 2 2 3 2 4" xfId="27838"/>
    <cellStyle name="Note 2 2 3 2 5" xfId="27839"/>
    <cellStyle name="Note 2 2 3 3" xfId="27840"/>
    <cellStyle name="Note 2 2 3 3 2" xfId="27841"/>
    <cellStyle name="Note 2 2 3 3 3" xfId="27842"/>
    <cellStyle name="Note 2 2 3 3 4" xfId="27843"/>
    <cellStyle name="Note 2 2 3 4" xfId="27844"/>
    <cellStyle name="Note 2 2 3 5" xfId="27845"/>
    <cellStyle name="Note 2 2 3 6" xfId="27846"/>
    <cellStyle name="Note 2 2 4" xfId="27847"/>
    <cellStyle name="Note 2 2 4 2" xfId="27848"/>
    <cellStyle name="Note 2 2 4 2 2" xfId="27849"/>
    <cellStyle name="Note 2 2 4 2 3" xfId="27850"/>
    <cellStyle name="Note 2 2 4 2 4" xfId="27851"/>
    <cellStyle name="Note 2 2 4 3" xfId="27852"/>
    <cellStyle name="Note 2 2 4 4" xfId="27853"/>
    <cellStyle name="Note 2 2 4 5" xfId="27854"/>
    <cellStyle name="Note 2 2 5" xfId="27855"/>
    <cellStyle name="Note 2 2 5 2" xfId="27856"/>
    <cellStyle name="Note 2 2 5 2 2" xfId="27857"/>
    <cellStyle name="Note 2 2 5 2 3" xfId="27858"/>
    <cellStyle name="Note 2 2 5 2 4" xfId="27859"/>
    <cellStyle name="Note 2 2 5 3" xfId="27860"/>
    <cellStyle name="Note 2 2 5 4" xfId="27861"/>
    <cellStyle name="Note 2 2 5 5" xfId="27862"/>
    <cellStyle name="Note 2 2 6" xfId="27863"/>
    <cellStyle name="Note 2 2 6 2" xfId="27864"/>
    <cellStyle name="Note 2 2 6 2 2" xfId="27865"/>
    <cellStyle name="Note 2 2 6 2 3" xfId="27866"/>
    <cellStyle name="Note 2 2 6 2 4" xfId="27867"/>
    <cellStyle name="Note 2 2 6 3" xfId="27868"/>
    <cellStyle name="Note 2 2 6 4" xfId="27869"/>
    <cellStyle name="Note 2 2 6 5" xfId="27870"/>
    <cellStyle name="Note 2 2 7" xfId="27871"/>
    <cellStyle name="Note 2 2 7 2" xfId="27872"/>
    <cellStyle name="Note 2 2 7 2 2" xfId="27873"/>
    <cellStyle name="Note 2 2 7 2 3" xfId="27874"/>
    <cellStyle name="Note 2 2 7 2 4" xfId="27875"/>
    <cellStyle name="Note 2 2 7 3" xfId="27876"/>
    <cellStyle name="Note 2 2 7 4" xfId="27877"/>
    <cellStyle name="Note 2 2 7 5" xfId="27878"/>
    <cellStyle name="Note 2 2 8" xfId="27879"/>
    <cellStyle name="Note 2 2 8 2" xfId="27880"/>
    <cellStyle name="Note 2 2 8 2 2" xfId="27881"/>
    <cellStyle name="Note 2 2 8 2 3" xfId="27882"/>
    <cellStyle name="Note 2 2 8 2 4" xfId="27883"/>
    <cellStyle name="Note 2 2 8 3" xfId="27884"/>
    <cellStyle name="Note 2 2 8 4" xfId="27885"/>
    <cellStyle name="Note 2 2 8 5" xfId="27886"/>
    <cellStyle name="Note 2 2 9" xfId="27887"/>
    <cellStyle name="Note 2 2 9 2" xfId="27888"/>
    <cellStyle name="Note 2 2 9 2 2" xfId="27889"/>
    <cellStyle name="Note 2 2 9 2 3" xfId="27890"/>
    <cellStyle name="Note 2 2 9 2 4" xfId="27891"/>
    <cellStyle name="Note 2 2 9 3" xfId="27892"/>
    <cellStyle name="Note 2 2 9 4" xfId="27893"/>
    <cellStyle name="Note 2 2 9 5" xfId="27894"/>
    <cellStyle name="Note 2 20" xfId="27895"/>
    <cellStyle name="Note 2 21" xfId="27896"/>
    <cellStyle name="Note 2 3" xfId="27897"/>
    <cellStyle name="Note 2 3 2" xfId="27898"/>
    <cellStyle name="Note 2 3 2 2" xfId="27899"/>
    <cellStyle name="Note 2 3 2 2 2" xfId="27900"/>
    <cellStyle name="Note 2 3 2 2 2 2" xfId="27901"/>
    <cellStyle name="Note 2 3 2 2 2 3" xfId="27902"/>
    <cellStyle name="Note 2 3 2 2 2 4" xfId="27903"/>
    <cellStyle name="Note 2 3 2 2 3" xfId="27904"/>
    <cellStyle name="Note 2 3 2 2 4" xfId="27905"/>
    <cellStyle name="Note 2 3 2 2 5" xfId="27906"/>
    <cellStyle name="Note 2 3 2 3" xfId="27907"/>
    <cellStyle name="Note 2 3 2 3 2" xfId="27908"/>
    <cellStyle name="Note 2 3 2 3 3" xfId="27909"/>
    <cellStyle name="Note 2 3 2 3 4" xfId="27910"/>
    <cellStyle name="Note 2 3 2 4" xfId="27911"/>
    <cellStyle name="Note 2 3 2 5" xfId="27912"/>
    <cellStyle name="Note 2 3 2 6" xfId="27913"/>
    <cellStyle name="Note 2 3 3" xfId="27914"/>
    <cellStyle name="Note 2 3 3 2" xfId="27915"/>
    <cellStyle name="Note 2 3 3 2 2" xfId="27916"/>
    <cellStyle name="Note 2 3 3 2 3" xfId="27917"/>
    <cellStyle name="Note 2 3 3 2 4" xfId="27918"/>
    <cellStyle name="Note 2 3 3 3" xfId="27919"/>
    <cellStyle name="Note 2 3 3 4" xfId="27920"/>
    <cellStyle name="Note 2 3 3 5" xfId="27921"/>
    <cellStyle name="Note 2 3 4" xfId="27922"/>
    <cellStyle name="Note 2 3 4 2" xfId="27923"/>
    <cellStyle name="Note 2 3 4 3" xfId="27924"/>
    <cellStyle name="Note 2 3 4 4" xfId="27925"/>
    <cellStyle name="Note 2 3 5" xfId="27926"/>
    <cellStyle name="Note 2 3 5 2" xfId="27927"/>
    <cellStyle name="Note 2 3 5 3" xfId="27928"/>
    <cellStyle name="Note 2 3 5 4" xfId="27929"/>
    <cellStyle name="Note 2 3 6" xfId="27930"/>
    <cellStyle name="Note 2 3 7" xfId="27931"/>
    <cellStyle name="Note 2 3 8" xfId="27932"/>
    <cellStyle name="Note 2 4" xfId="27933"/>
    <cellStyle name="Note 2 4 2" xfId="27934"/>
    <cellStyle name="Note 2 4 2 2" xfId="27935"/>
    <cellStyle name="Note 2 4 2 2 2" xfId="27936"/>
    <cellStyle name="Note 2 4 2 2 2 2" xfId="27937"/>
    <cellStyle name="Note 2 4 2 2 2 3" xfId="27938"/>
    <cellStyle name="Note 2 4 2 2 2 4" xfId="27939"/>
    <cellStyle name="Note 2 4 2 2 3" xfId="27940"/>
    <cellStyle name="Note 2 4 2 2 4" xfId="27941"/>
    <cellStyle name="Note 2 4 2 2 5" xfId="27942"/>
    <cellStyle name="Note 2 4 2 3" xfId="27943"/>
    <cellStyle name="Note 2 4 2 3 2" xfId="27944"/>
    <cellStyle name="Note 2 4 2 3 3" xfId="27945"/>
    <cellStyle name="Note 2 4 2 3 4" xfId="27946"/>
    <cellStyle name="Note 2 4 2 4" xfId="27947"/>
    <cellStyle name="Note 2 4 2 5" xfId="27948"/>
    <cellStyle name="Note 2 4 2 6" xfId="27949"/>
    <cellStyle name="Note 2 4 3" xfId="27950"/>
    <cellStyle name="Note 2 4 3 2" xfId="27951"/>
    <cellStyle name="Note 2 4 3 2 2" xfId="27952"/>
    <cellStyle name="Note 2 4 3 2 3" xfId="27953"/>
    <cellStyle name="Note 2 4 3 2 4" xfId="27954"/>
    <cellStyle name="Note 2 4 3 3" xfId="27955"/>
    <cellStyle name="Note 2 4 3 4" xfId="27956"/>
    <cellStyle name="Note 2 4 3 5" xfId="27957"/>
    <cellStyle name="Note 2 4 4" xfId="27958"/>
    <cellStyle name="Note 2 4 4 2" xfId="27959"/>
    <cellStyle name="Note 2 4 4 3" xfId="27960"/>
    <cellStyle name="Note 2 4 4 4" xfId="27961"/>
    <cellStyle name="Note 2 4 5" xfId="27962"/>
    <cellStyle name="Note 2 4 5 2" xfId="27963"/>
    <cellStyle name="Note 2 4 5 3" xfId="27964"/>
    <cellStyle name="Note 2 4 5 4" xfId="27965"/>
    <cellStyle name="Note 2 4 6" xfId="27966"/>
    <cellStyle name="Note 2 4 7" xfId="27967"/>
    <cellStyle name="Note 2 4 8" xfId="27968"/>
    <cellStyle name="Note 2 5" xfId="27969"/>
    <cellStyle name="Note 2 5 2" xfId="27970"/>
    <cellStyle name="Note 2 5 2 2" xfId="27971"/>
    <cellStyle name="Note 2 5 2 2 2" xfId="27972"/>
    <cellStyle name="Note 2 5 2 2 3" xfId="27973"/>
    <cellStyle name="Note 2 5 2 2 4" xfId="27974"/>
    <cellStyle name="Note 2 5 2 3" xfId="27975"/>
    <cellStyle name="Note 2 5 2 4" xfId="27976"/>
    <cellStyle name="Note 2 5 2 5" xfId="27977"/>
    <cellStyle name="Note 2 5 3" xfId="27978"/>
    <cellStyle name="Note 2 5 3 2" xfId="27979"/>
    <cellStyle name="Note 2 5 3 3" xfId="27980"/>
    <cellStyle name="Note 2 5 3 4" xfId="27981"/>
    <cellStyle name="Note 2 5 4" xfId="27982"/>
    <cellStyle name="Note 2 5 4 2" xfId="27983"/>
    <cellStyle name="Note 2 5 4 3" xfId="27984"/>
    <cellStyle name="Note 2 5 4 4" xfId="27985"/>
    <cellStyle name="Note 2 5 5" xfId="27986"/>
    <cellStyle name="Note 2 5 6" xfId="27987"/>
    <cellStyle name="Note 2 5 7" xfId="27988"/>
    <cellStyle name="Note 2 6" xfId="27989"/>
    <cellStyle name="Note 2 6 2" xfId="27990"/>
    <cellStyle name="Note 2 6 2 2" xfId="27991"/>
    <cellStyle name="Note 2 6 2 2 2" xfId="27992"/>
    <cellStyle name="Note 2 6 2 2 3" xfId="27993"/>
    <cellStyle name="Note 2 6 2 2 4" xfId="27994"/>
    <cellStyle name="Note 2 6 2 3" xfId="27995"/>
    <cellStyle name="Note 2 6 2 4" xfId="27996"/>
    <cellStyle name="Note 2 6 2 5" xfId="27997"/>
    <cellStyle name="Note 2 6 3" xfId="27998"/>
    <cellStyle name="Note 2 6 3 2" xfId="27999"/>
    <cellStyle name="Note 2 6 3 3" xfId="28000"/>
    <cellStyle name="Note 2 6 3 4" xfId="28001"/>
    <cellStyle name="Note 2 6 4" xfId="28002"/>
    <cellStyle name="Note 2 6 5" xfId="28003"/>
    <cellStyle name="Note 2 6 6" xfId="28004"/>
    <cellStyle name="Note 2 7" xfId="28005"/>
    <cellStyle name="Note 2 7 2" xfId="28006"/>
    <cellStyle name="Note 2 7 2 2" xfId="28007"/>
    <cellStyle name="Note 2 7 2 2 2" xfId="28008"/>
    <cellStyle name="Note 2 7 2 2 3" xfId="28009"/>
    <cellStyle name="Note 2 7 2 2 4" xfId="28010"/>
    <cellStyle name="Note 2 7 2 3" xfId="28011"/>
    <cellStyle name="Note 2 7 2 4" xfId="28012"/>
    <cellStyle name="Note 2 7 2 5" xfId="28013"/>
    <cellStyle name="Note 2 7 3" xfId="28014"/>
    <cellStyle name="Note 2 7 3 2" xfId="28015"/>
    <cellStyle name="Note 2 7 3 3" xfId="28016"/>
    <cellStyle name="Note 2 7 3 4" xfId="28017"/>
    <cellStyle name="Note 2 7 4" xfId="28018"/>
    <cellStyle name="Note 2 7 5" xfId="28019"/>
    <cellStyle name="Note 2 7 6" xfId="28020"/>
    <cellStyle name="Note 2 8" xfId="28021"/>
    <cellStyle name="Note 2 8 2" xfId="28022"/>
    <cellStyle name="Note 2 8 2 2" xfId="28023"/>
    <cellStyle name="Note 2 8 2 3" xfId="28024"/>
    <cellStyle name="Note 2 8 2 4" xfId="28025"/>
    <cellStyle name="Note 2 8 3" xfId="28026"/>
    <cellStyle name="Note 2 8 4" xfId="28027"/>
    <cellStyle name="Note 2 8 5" xfId="28028"/>
    <cellStyle name="Note 2 9" xfId="28029"/>
    <cellStyle name="Note 2_APSWRSC-Kalasamudram" xfId="28110"/>
    <cellStyle name="Note 20" xfId="28030"/>
    <cellStyle name="Note 20 2" xfId="28031"/>
    <cellStyle name="Note 20 2 2" xfId="28032"/>
    <cellStyle name="Note 20 2 3" xfId="28033"/>
    <cellStyle name="Note 20 2 4" xfId="28034"/>
    <cellStyle name="Note 20 2 5" xfId="28035"/>
    <cellStyle name="Note 20 3" xfId="28036"/>
    <cellStyle name="Note 20 4" xfId="28037"/>
    <cellStyle name="Note 21" xfId="28038"/>
    <cellStyle name="Note 21 2" xfId="28039"/>
    <cellStyle name="Note 21 2 2" xfId="28040"/>
    <cellStyle name="Note 21 2 3" xfId="28041"/>
    <cellStyle name="Note 21 2 4" xfId="28042"/>
    <cellStyle name="Note 21 2 5" xfId="28043"/>
    <cellStyle name="Note 21 3" xfId="28044"/>
    <cellStyle name="Note 21 4" xfId="28045"/>
    <cellStyle name="Note 22" xfId="28046"/>
    <cellStyle name="Note 22 2" xfId="28047"/>
    <cellStyle name="Note 22 2 2" xfId="28048"/>
    <cellStyle name="Note 22 2 3" xfId="28049"/>
    <cellStyle name="Note 22 2 4" xfId="28050"/>
    <cellStyle name="Note 22 2 5" xfId="28051"/>
    <cellStyle name="Note 22 3" xfId="28052"/>
    <cellStyle name="Note 22 4" xfId="28053"/>
    <cellStyle name="Note 23" xfId="28054"/>
    <cellStyle name="Note 23 2" xfId="28055"/>
    <cellStyle name="Note 23 2 2" xfId="28056"/>
    <cellStyle name="Note 23 2 3" xfId="28057"/>
    <cellStyle name="Note 23 2 4" xfId="28058"/>
    <cellStyle name="Note 23 2 5" xfId="28059"/>
    <cellStyle name="Note 23 3" xfId="28060"/>
    <cellStyle name="Note 23 4" xfId="28061"/>
    <cellStyle name="Note 24" xfId="28062"/>
    <cellStyle name="Note 24 2" xfId="28063"/>
    <cellStyle name="Note 24 2 2" xfId="28064"/>
    <cellStyle name="Note 24 2 3" xfId="28065"/>
    <cellStyle name="Note 24 2 4" xfId="28066"/>
    <cellStyle name="Note 24 2 5" xfId="28067"/>
    <cellStyle name="Note 24 3" xfId="28068"/>
    <cellStyle name="Note 24 4" xfId="28069"/>
    <cellStyle name="Note 25" xfId="28070"/>
    <cellStyle name="Note 25 2" xfId="28071"/>
    <cellStyle name="Note 25 2 2" xfId="28072"/>
    <cellStyle name="Note 25 2 3" xfId="28073"/>
    <cellStyle name="Note 25 2 4" xfId="28074"/>
    <cellStyle name="Note 25 2 5" xfId="28075"/>
    <cellStyle name="Note 25 3" xfId="28076"/>
    <cellStyle name="Note 25 4" xfId="28077"/>
    <cellStyle name="Note 26" xfId="28078"/>
    <cellStyle name="Note 26 2" xfId="28079"/>
    <cellStyle name="Note 26 2 2" xfId="28080"/>
    <cellStyle name="Note 26 2 3" xfId="28081"/>
    <cellStyle name="Note 26 2 4" xfId="28082"/>
    <cellStyle name="Note 26 2 5" xfId="28083"/>
    <cellStyle name="Note 26 3" xfId="28084"/>
    <cellStyle name="Note 26 4" xfId="28085"/>
    <cellStyle name="Note 27" xfId="28086"/>
    <cellStyle name="Note 27 2" xfId="28087"/>
    <cellStyle name="Note 27 2 2" xfId="28088"/>
    <cellStyle name="Note 27 2 3" xfId="28089"/>
    <cellStyle name="Note 27 2 4" xfId="28090"/>
    <cellStyle name="Note 27 2 5" xfId="28091"/>
    <cellStyle name="Note 27 3" xfId="28092"/>
    <cellStyle name="Note 27 4" xfId="28093"/>
    <cellStyle name="Note 28" xfId="28094"/>
    <cellStyle name="Note 28 2" xfId="28095"/>
    <cellStyle name="Note 28 2 2" xfId="28096"/>
    <cellStyle name="Note 28 2 3" xfId="28097"/>
    <cellStyle name="Note 28 2 4" xfId="28098"/>
    <cellStyle name="Note 28 2 5" xfId="28099"/>
    <cellStyle name="Note 28 3" xfId="28100"/>
    <cellStyle name="Note 28 4" xfId="28101"/>
    <cellStyle name="Note 29" xfId="28102"/>
    <cellStyle name="Note 29 2" xfId="28103"/>
    <cellStyle name="Note 29 2 2" xfId="28104"/>
    <cellStyle name="Note 29 2 3" xfId="28105"/>
    <cellStyle name="Note 29 2 4" xfId="28106"/>
    <cellStyle name="Note 29 2 5" xfId="28107"/>
    <cellStyle name="Note 29 3" xfId="28108"/>
    <cellStyle name="Note 29 4" xfId="28109"/>
    <cellStyle name="Note 3" xfId="28111"/>
    <cellStyle name="Note 3 10" xfId="28112"/>
    <cellStyle name="Note 3 10 2" xfId="28113"/>
    <cellStyle name="Note 3 10 3" xfId="28114"/>
    <cellStyle name="Note 3 10 4" xfId="28115"/>
    <cellStyle name="Note 3 11" xfId="28116"/>
    <cellStyle name="Note 3 12" xfId="28117"/>
    <cellStyle name="Note 3 13" xfId="28118"/>
    <cellStyle name="Note 3 2" xfId="28119"/>
    <cellStyle name="Note 3 2 10" xfId="28120"/>
    <cellStyle name="Note 3 2 10 2" xfId="28121"/>
    <cellStyle name="Note 3 2 10 2 2" xfId="28122"/>
    <cellStyle name="Note 3 2 10 2 3" xfId="28123"/>
    <cellStyle name="Note 3 2 10 2 4" xfId="28124"/>
    <cellStyle name="Note 3 2 10 3" xfId="28125"/>
    <cellStyle name="Note 3 2 10 4" xfId="28126"/>
    <cellStyle name="Note 3 2 10 5" xfId="28127"/>
    <cellStyle name="Note 3 2 11" xfId="28128"/>
    <cellStyle name="Note 3 2 11 2" xfId="28129"/>
    <cellStyle name="Note 3 2 11 3" xfId="28130"/>
    <cellStyle name="Note 3 2 11 4" xfId="28131"/>
    <cellStyle name="Note 3 2 12" xfId="28132"/>
    <cellStyle name="Note 3 2 12 2" xfId="28133"/>
    <cellStyle name="Note 3 2 12 3" xfId="28134"/>
    <cellStyle name="Note 3 2 12 4" xfId="28135"/>
    <cellStyle name="Note 3 2 13" xfId="28136"/>
    <cellStyle name="Note 3 2 14" xfId="28137"/>
    <cellStyle name="Note 3 2 15" xfId="28138"/>
    <cellStyle name="Note 3 2 2" xfId="28139"/>
    <cellStyle name="Note 3 2 2 2" xfId="28140"/>
    <cellStyle name="Note 3 2 2 2 2" xfId="28141"/>
    <cellStyle name="Note 3 2 2 2 3" xfId="28142"/>
    <cellStyle name="Note 3 2 2 2 4" xfId="28143"/>
    <cellStyle name="Note 3 2 2 3" xfId="28144"/>
    <cellStyle name="Note 3 2 2 4" xfId="28145"/>
    <cellStyle name="Note 3 2 2 5" xfId="28146"/>
    <cellStyle name="Note 3 2 3" xfId="28147"/>
    <cellStyle name="Note 3 2 3 2" xfId="28148"/>
    <cellStyle name="Note 3 2 3 2 2" xfId="28149"/>
    <cellStyle name="Note 3 2 3 2 3" xfId="28150"/>
    <cellStyle name="Note 3 2 3 2 4" xfId="28151"/>
    <cellStyle name="Note 3 2 3 3" xfId="28152"/>
    <cellStyle name="Note 3 2 3 4" xfId="28153"/>
    <cellStyle name="Note 3 2 3 5" xfId="28154"/>
    <cellStyle name="Note 3 2 4" xfId="28155"/>
    <cellStyle name="Note 3 2 4 2" xfId="28156"/>
    <cellStyle name="Note 3 2 4 2 2" xfId="28157"/>
    <cellStyle name="Note 3 2 4 2 3" xfId="28158"/>
    <cellStyle name="Note 3 2 4 2 4" xfId="28159"/>
    <cellStyle name="Note 3 2 4 3" xfId="28160"/>
    <cellStyle name="Note 3 2 4 4" xfId="28161"/>
    <cellStyle name="Note 3 2 4 5" xfId="28162"/>
    <cellStyle name="Note 3 2 5" xfId="28163"/>
    <cellStyle name="Note 3 2 5 2" xfId="28164"/>
    <cellStyle name="Note 3 2 5 2 2" xfId="28165"/>
    <cellStyle name="Note 3 2 5 2 3" xfId="28166"/>
    <cellStyle name="Note 3 2 5 2 4" xfId="28167"/>
    <cellStyle name="Note 3 2 5 3" xfId="28168"/>
    <cellStyle name="Note 3 2 5 4" xfId="28169"/>
    <cellStyle name="Note 3 2 5 5" xfId="28170"/>
    <cellStyle name="Note 3 2 6" xfId="28171"/>
    <cellStyle name="Note 3 2 6 2" xfId="28172"/>
    <cellStyle name="Note 3 2 6 2 2" xfId="28173"/>
    <cellStyle name="Note 3 2 6 2 3" xfId="28174"/>
    <cellStyle name="Note 3 2 6 2 4" xfId="28175"/>
    <cellStyle name="Note 3 2 6 3" xfId="28176"/>
    <cellStyle name="Note 3 2 6 4" xfId="28177"/>
    <cellStyle name="Note 3 2 6 5" xfId="28178"/>
    <cellStyle name="Note 3 2 7" xfId="28179"/>
    <cellStyle name="Note 3 2 7 2" xfId="28180"/>
    <cellStyle name="Note 3 2 7 2 2" xfId="28181"/>
    <cellStyle name="Note 3 2 7 2 3" xfId="28182"/>
    <cellStyle name="Note 3 2 7 2 4" xfId="28183"/>
    <cellStyle name="Note 3 2 7 3" xfId="28184"/>
    <cellStyle name="Note 3 2 7 4" xfId="28185"/>
    <cellStyle name="Note 3 2 7 5" xfId="28186"/>
    <cellStyle name="Note 3 2 8" xfId="28187"/>
    <cellStyle name="Note 3 2 8 2" xfId="28188"/>
    <cellStyle name="Note 3 2 8 2 2" xfId="28189"/>
    <cellStyle name="Note 3 2 8 2 3" xfId="28190"/>
    <cellStyle name="Note 3 2 8 2 4" xfId="28191"/>
    <cellStyle name="Note 3 2 8 3" xfId="28192"/>
    <cellStyle name="Note 3 2 8 4" xfId="28193"/>
    <cellStyle name="Note 3 2 8 5" xfId="28194"/>
    <cellStyle name="Note 3 2 9" xfId="28195"/>
    <cellStyle name="Note 3 2 9 2" xfId="28196"/>
    <cellStyle name="Note 3 2 9 2 2" xfId="28197"/>
    <cellStyle name="Note 3 2 9 2 3" xfId="28198"/>
    <cellStyle name="Note 3 2 9 2 4" xfId="28199"/>
    <cellStyle name="Note 3 2 9 3" xfId="28200"/>
    <cellStyle name="Note 3 2 9 4" xfId="28201"/>
    <cellStyle name="Note 3 2 9 5" xfId="28202"/>
    <cellStyle name="Note 3 3" xfId="28203"/>
    <cellStyle name="Note 3 3 2" xfId="28204"/>
    <cellStyle name="Note 3 3 2 2" xfId="28205"/>
    <cellStyle name="Note 3 3 2 3" xfId="28206"/>
    <cellStyle name="Note 3 3 2 4" xfId="28207"/>
    <cellStyle name="Note 3 3 3" xfId="28208"/>
    <cellStyle name="Note 3 3 4" xfId="28209"/>
    <cellStyle name="Note 3 3 5" xfId="28210"/>
    <cellStyle name="Note 3 4" xfId="28211"/>
    <cellStyle name="Note 3 4 2" xfId="28212"/>
    <cellStyle name="Note 3 4 2 2" xfId="28213"/>
    <cellStyle name="Note 3 4 2 3" xfId="28214"/>
    <cellStyle name="Note 3 4 2 4" xfId="28215"/>
    <cellStyle name="Note 3 4 3" xfId="28216"/>
    <cellStyle name="Note 3 4 4" xfId="28217"/>
    <cellStyle name="Note 3 4 5" xfId="28218"/>
    <cellStyle name="Note 3 5" xfId="28219"/>
    <cellStyle name="Note 3 5 2" xfId="28220"/>
    <cellStyle name="Note 3 5 2 2" xfId="28221"/>
    <cellStyle name="Note 3 5 2 3" xfId="28222"/>
    <cellStyle name="Note 3 5 2 4" xfId="28223"/>
    <cellStyle name="Note 3 5 3" xfId="28224"/>
    <cellStyle name="Note 3 5 4" xfId="28225"/>
    <cellStyle name="Note 3 5 5" xfId="28226"/>
    <cellStyle name="Note 3 6" xfId="28227"/>
    <cellStyle name="Note 3 6 2" xfId="28228"/>
    <cellStyle name="Note 3 6 2 2" xfId="28229"/>
    <cellStyle name="Note 3 6 2 3" xfId="28230"/>
    <cellStyle name="Note 3 6 2 4" xfId="28231"/>
    <cellStyle name="Note 3 6 3" xfId="28232"/>
    <cellStyle name="Note 3 6 4" xfId="28233"/>
    <cellStyle name="Note 3 6 5" xfId="28234"/>
    <cellStyle name="Note 3 7" xfId="28235"/>
    <cellStyle name="Note 3 7 2" xfId="28236"/>
    <cellStyle name="Note 3 7 2 2" xfId="28237"/>
    <cellStyle name="Note 3 7 2 3" xfId="28238"/>
    <cellStyle name="Note 3 7 2 4" xfId="28239"/>
    <cellStyle name="Note 3 7 3" xfId="28240"/>
    <cellStyle name="Note 3 7 4" xfId="28241"/>
    <cellStyle name="Note 3 7 5" xfId="28242"/>
    <cellStyle name="Note 3 8" xfId="28243"/>
    <cellStyle name="Note 3 8 2" xfId="28244"/>
    <cellStyle name="Note 3 8 2 2" xfId="28245"/>
    <cellStyle name="Note 3 8 2 3" xfId="28246"/>
    <cellStyle name="Note 3 8 2 4" xfId="28247"/>
    <cellStyle name="Note 3 8 3" xfId="28248"/>
    <cellStyle name="Note 3 8 4" xfId="28249"/>
    <cellStyle name="Note 3 8 5" xfId="28250"/>
    <cellStyle name="Note 3 9" xfId="28251"/>
    <cellStyle name="Note 3 9 2" xfId="28252"/>
    <cellStyle name="Note 3 9 3" xfId="28253"/>
    <cellStyle name="Note 3 9 4" xfId="28254"/>
    <cellStyle name="Note 3_Ramadugu_ SWGH" xfId="28331"/>
    <cellStyle name="Note 30" xfId="28255"/>
    <cellStyle name="Note 30 2" xfId="28256"/>
    <cellStyle name="Note 30 2 2" xfId="28257"/>
    <cellStyle name="Note 30 2 3" xfId="28258"/>
    <cellStyle name="Note 30 2 4" xfId="28259"/>
    <cellStyle name="Note 30 2 5" xfId="28260"/>
    <cellStyle name="Note 30 3" xfId="28261"/>
    <cellStyle name="Note 30 4" xfId="28262"/>
    <cellStyle name="Note 31" xfId="28263"/>
    <cellStyle name="Note 31 2" xfId="28264"/>
    <cellStyle name="Note 31 2 2" xfId="28265"/>
    <cellStyle name="Note 31 2 3" xfId="28266"/>
    <cellStyle name="Note 31 2 4" xfId="28267"/>
    <cellStyle name="Note 31 2 5" xfId="28268"/>
    <cellStyle name="Note 31 3" xfId="28269"/>
    <cellStyle name="Note 31 4" xfId="28270"/>
    <cellStyle name="Note 32" xfId="28271"/>
    <cellStyle name="Note 32 2" xfId="28272"/>
    <cellStyle name="Note 32 2 2" xfId="28273"/>
    <cellStyle name="Note 32 2 3" xfId="28274"/>
    <cellStyle name="Note 32 2 4" xfId="28275"/>
    <cellStyle name="Note 32 2 5" xfId="28276"/>
    <cellStyle name="Note 32 3" xfId="28277"/>
    <cellStyle name="Note 32 4" xfId="28278"/>
    <cellStyle name="Note 32 5" xfId="28279"/>
    <cellStyle name="Note 32 6" xfId="28280"/>
    <cellStyle name="Note 33" xfId="28281"/>
    <cellStyle name="Note 33 2" xfId="28282"/>
    <cellStyle name="Note 33 2 2" xfId="28283"/>
    <cellStyle name="Note 33 2 3" xfId="28284"/>
    <cellStyle name="Note 33 2 4" xfId="28285"/>
    <cellStyle name="Note 33 2 5" xfId="28286"/>
    <cellStyle name="Note 33 3" xfId="28287"/>
    <cellStyle name="Note 33 4" xfId="28288"/>
    <cellStyle name="Note 34" xfId="28289"/>
    <cellStyle name="Note 34 2" xfId="28290"/>
    <cellStyle name="Note 34 2 2" xfId="28291"/>
    <cellStyle name="Note 34 2 3" xfId="28292"/>
    <cellStyle name="Note 34 2 4" xfId="28293"/>
    <cellStyle name="Note 34 2 5" xfId="28294"/>
    <cellStyle name="Note 34 3" xfId="28295"/>
    <cellStyle name="Note 34 4" xfId="28296"/>
    <cellStyle name="Note 35" xfId="28297"/>
    <cellStyle name="Note 35 2" xfId="28298"/>
    <cellStyle name="Note 35 2 2" xfId="28299"/>
    <cellStyle name="Note 35 2 3" xfId="28300"/>
    <cellStyle name="Note 35 2 4" xfId="28301"/>
    <cellStyle name="Note 35 2 5" xfId="28302"/>
    <cellStyle name="Note 35 3" xfId="28303"/>
    <cellStyle name="Note 35 4" xfId="28304"/>
    <cellStyle name="Note 36" xfId="28305"/>
    <cellStyle name="Note 36 2" xfId="28306"/>
    <cellStyle name="Note 36 2 2" xfId="28307"/>
    <cellStyle name="Note 36 2 3" xfId="28308"/>
    <cellStyle name="Note 36 2 4" xfId="28309"/>
    <cellStyle name="Note 36 2 5" xfId="28310"/>
    <cellStyle name="Note 36 3" xfId="28311"/>
    <cellStyle name="Note 36 4" xfId="28312"/>
    <cellStyle name="Note 37" xfId="28313"/>
    <cellStyle name="Note 37 2" xfId="28314"/>
    <cellStyle name="Note 37 2 2" xfId="28315"/>
    <cellStyle name="Note 37 2 3" xfId="28316"/>
    <cellStyle name="Note 37 3" xfId="28317"/>
    <cellStyle name="Note 37 4" xfId="28318"/>
    <cellStyle name="Note 38" xfId="28319"/>
    <cellStyle name="Note 38 2" xfId="28320"/>
    <cellStyle name="Note 38 2 2" xfId="28321"/>
    <cellStyle name="Note 38 2 3" xfId="28322"/>
    <cellStyle name="Note 38 3" xfId="28323"/>
    <cellStyle name="Note 38 4" xfId="28324"/>
    <cellStyle name="Note 39" xfId="28325"/>
    <cellStyle name="Note 39 2" xfId="28326"/>
    <cellStyle name="Note 39 2 2" xfId="28327"/>
    <cellStyle name="Note 39 2 3" xfId="28328"/>
    <cellStyle name="Note 39 3" xfId="28329"/>
    <cellStyle name="Note 39 4" xfId="28330"/>
    <cellStyle name="Note 4" xfId="28332"/>
    <cellStyle name="Note 4 10" xfId="28333"/>
    <cellStyle name="Note 4 10 2" xfId="28334"/>
    <cellStyle name="Note 4 10 2 2" xfId="28335"/>
    <cellStyle name="Note 4 10 2 3" xfId="28336"/>
    <cellStyle name="Note 4 10 2 4" xfId="28337"/>
    <cellStyle name="Note 4 10 3" xfId="28338"/>
    <cellStyle name="Note 4 10 4" xfId="28339"/>
    <cellStyle name="Note 4 10 5" xfId="28340"/>
    <cellStyle name="Note 4 11" xfId="28341"/>
    <cellStyle name="Note 4 11 2" xfId="28342"/>
    <cellStyle name="Note 4 11 2 2" xfId="28343"/>
    <cellStyle name="Note 4 11 2 3" xfId="28344"/>
    <cellStyle name="Note 4 11 2 4" xfId="28345"/>
    <cellStyle name="Note 4 11 3" xfId="28346"/>
    <cellStyle name="Note 4 11 4" xfId="28347"/>
    <cellStyle name="Note 4 11 5" xfId="28348"/>
    <cellStyle name="Note 4 12" xfId="28349"/>
    <cellStyle name="Note 4 12 2" xfId="28350"/>
    <cellStyle name="Note 4 12 2 2" xfId="28351"/>
    <cellStyle name="Note 4 12 2 3" xfId="28352"/>
    <cellStyle name="Note 4 12 2 4" xfId="28353"/>
    <cellStyle name="Note 4 12 3" xfId="28354"/>
    <cellStyle name="Note 4 12 4" xfId="28355"/>
    <cellStyle name="Note 4 12 5" xfId="28356"/>
    <cellStyle name="Note 4 13" xfId="28357"/>
    <cellStyle name="Note 4 13 2" xfId="28358"/>
    <cellStyle name="Note 4 13 3" xfId="28359"/>
    <cellStyle name="Note 4 13 4" xfId="28360"/>
    <cellStyle name="Note 4 14" xfId="28361"/>
    <cellStyle name="Note 4 14 2" xfId="28362"/>
    <cellStyle name="Note 4 14 3" xfId="28363"/>
    <cellStyle name="Note 4 14 4" xfId="28364"/>
    <cellStyle name="Note 4 15" xfId="28365"/>
    <cellStyle name="Note 4 16" xfId="28366"/>
    <cellStyle name="Note 4 17" xfId="28367"/>
    <cellStyle name="Note 4 2" xfId="28368"/>
    <cellStyle name="Note 4 2 2" xfId="28369"/>
    <cellStyle name="Note 4 2 2 2" xfId="28370"/>
    <cellStyle name="Note 4 2 2 2 2" xfId="28371"/>
    <cellStyle name="Note 4 2 2 2 3" xfId="28372"/>
    <cellStyle name="Note 4 2 2 2 4" xfId="28373"/>
    <cellStyle name="Note 4 2 2 3" xfId="28374"/>
    <cellStyle name="Note 4 2 2 4" xfId="28375"/>
    <cellStyle name="Note 4 2 2 5" xfId="28376"/>
    <cellStyle name="Note 4 2 3" xfId="28377"/>
    <cellStyle name="Note 4 2 3 2" xfId="28378"/>
    <cellStyle name="Note 4 2 3 3" xfId="28379"/>
    <cellStyle name="Note 4 2 3 4" xfId="28380"/>
    <cellStyle name="Note 4 2 4" xfId="28381"/>
    <cellStyle name="Note 4 2 5" xfId="28382"/>
    <cellStyle name="Note 4 2 6" xfId="28383"/>
    <cellStyle name="Note 4 3" xfId="28384"/>
    <cellStyle name="Note 4 3 2" xfId="28385"/>
    <cellStyle name="Note 4 3 2 2" xfId="28386"/>
    <cellStyle name="Note 4 3 2 3" xfId="28387"/>
    <cellStyle name="Note 4 3 2 4" xfId="28388"/>
    <cellStyle name="Note 4 3 3" xfId="28389"/>
    <cellStyle name="Note 4 3 4" xfId="28390"/>
    <cellStyle name="Note 4 3 5" xfId="28391"/>
    <cellStyle name="Note 4 4" xfId="28392"/>
    <cellStyle name="Note 4 4 2" xfId="28393"/>
    <cellStyle name="Note 4 4 2 2" xfId="28394"/>
    <cellStyle name="Note 4 4 2 3" xfId="28395"/>
    <cellStyle name="Note 4 4 2 4" xfId="28396"/>
    <cellStyle name="Note 4 4 3" xfId="28397"/>
    <cellStyle name="Note 4 4 4" xfId="28398"/>
    <cellStyle name="Note 4 4 5" xfId="28399"/>
    <cellStyle name="Note 4 5" xfId="28400"/>
    <cellStyle name="Note 4 5 2" xfId="28401"/>
    <cellStyle name="Note 4 5 2 2" xfId="28402"/>
    <cellStyle name="Note 4 5 2 3" xfId="28403"/>
    <cellStyle name="Note 4 5 2 4" xfId="28404"/>
    <cellStyle name="Note 4 5 3" xfId="28405"/>
    <cellStyle name="Note 4 5 4" xfId="28406"/>
    <cellStyle name="Note 4 5 5" xfId="28407"/>
    <cellStyle name="Note 4 6" xfId="28408"/>
    <cellStyle name="Note 4 6 2" xfId="28409"/>
    <cellStyle name="Note 4 6 2 2" xfId="28410"/>
    <cellStyle name="Note 4 6 2 3" xfId="28411"/>
    <cellStyle name="Note 4 6 2 4" xfId="28412"/>
    <cellStyle name="Note 4 6 3" xfId="28413"/>
    <cellStyle name="Note 4 6 4" xfId="28414"/>
    <cellStyle name="Note 4 6 5" xfId="28415"/>
    <cellStyle name="Note 4 7" xfId="28416"/>
    <cellStyle name="Note 4 7 2" xfId="28417"/>
    <cellStyle name="Note 4 7 2 2" xfId="28418"/>
    <cellStyle name="Note 4 7 2 3" xfId="28419"/>
    <cellStyle name="Note 4 7 2 4" xfId="28420"/>
    <cellStyle name="Note 4 7 3" xfId="28421"/>
    <cellStyle name="Note 4 7 4" xfId="28422"/>
    <cellStyle name="Note 4 7 5" xfId="28423"/>
    <cellStyle name="Note 4 8" xfId="28424"/>
    <cellStyle name="Note 4 8 2" xfId="28425"/>
    <cellStyle name="Note 4 8 2 2" xfId="28426"/>
    <cellStyle name="Note 4 8 2 3" xfId="28427"/>
    <cellStyle name="Note 4 8 2 4" xfId="28428"/>
    <cellStyle name="Note 4 8 3" xfId="28429"/>
    <cellStyle name="Note 4 8 4" xfId="28430"/>
    <cellStyle name="Note 4 8 5" xfId="28431"/>
    <cellStyle name="Note 4 9" xfId="28432"/>
    <cellStyle name="Note 4 9 2" xfId="28433"/>
    <cellStyle name="Note 4 9 2 2" xfId="28434"/>
    <cellStyle name="Note 4 9 2 3" xfId="28435"/>
    <cellStyle name="Note 4 9 2 4" xfId="28436"/>
    <cellStyle name="Note 4 9 3" xfId="28437"/>
    <cellStyle name="Note 4 9 4" xfId="28438"/>
    <cellStyle name="Note 4 9 5" xfId="28439"/>
    <cellStyle name="Note 4_Sheet2" xfId="28440"/>
    <cellStyle name="Note 5" xfId="28441"/>
    <cellStyle name="Note 5 10" xfId="28442"/>
    <cellStyle name="Note 5 10 2" xfId="28443"/>
    <cellStyle name="Note 5 10 2 2" xfId="28444"/>
    <cellStyle name="Note 5 10 2 3" xfId="28445"/>
    <cellStyle name="Note 5 10 2 4" xfId="28446"/>
    <cellStyle name="Note 5 10 3" xfId="28447"/>
    <cellStyle name="Note 5 10 4" xfId="28448"/>
    <cellStyle name="Note 5 10 5" xfId="28449"/>
    <cellStyle name="Note 5 11" xfId="28450"/>
    <cellStyle name="Note 5 11 2" xfId="28451"/>
    <cellStyle name="Note 5 11 2 2" xfId="28452"/>
    <cellStyle name="Note 5 11 2 3" xfId="28453"/>
    <cellStyle name="Note 5 11 2 4" xfId="28454"/>
    <cellStyle name="Note 5 11 3" xfId="28455"/>
    <cellStyle name="Note 5 11 4" xfId="28456"/>
    <cellStyle name="Note 5 11 5" xfId="28457"/>
    <cellStyle name="Note 5 12" xfId="28458"/>
    <cellStyle name="Note 5 12 2" xfId="28459"/>
    <cellStyle name="Note 5 12 2 2" xfId="28460"/>
    <cellStyle name="Note 5 12 2 3" xfId="28461"/>
    <cellStyle name="Note 5 12 2 4" xfId="28462"/>
    <cellStyle name="Note 5 12 3" xfId="28463"/>
    <cellStyle name="Note 5 12 4" xfId="28464"/>
    <cellStyle name="Note 5 12 5" xfId="28465"/>
    <cellStyle name="Note 5 13" xfId="28466"/>
    <cellStyle name="Note 5 13 2" xfId="28467"/>
    <cellStyle name="Note 5 13 3" xfId="28468"/>
    <cellStyle name="Note 5 13 4" xfId="28469"/>
    <cellStyle name="Note 5 14" xfId="28470"/>
    <cellStyle name="Note 5 14 2" xfId="28471"/>
    <cellStyle name="Note 5 14 3" xfId="28472"/>
    <cellStyle name="Note 5 14 4" xfId="28473"/>
    <cellStyle name="Note 5 15" xfId="28474"/>
    <cellStyle name="Note 5 16" xfId="28475"/>
    <cellStyle name="Note 5 17" xfId="28476"/>
    <cellStyle name="Note 5 2" xfId="28477"/>
    <cellStyle name="Note 5 2 2" xfId="28478"/>
    <cellStyle name="Note 5 2 2 2" xfId="28479"/>
    <cellStyle name="Note 5 2 2 2 2" xfId="28480"/>
    <cellStyle name="Note 5 2 2 2 3" xfId="28481"/>
    <cellStyle name="Note 5 2 2 2 4" xfId="28482"/>
    <cellStyle name="Note 5 2 2 3" xfId="28483"/>
    <cellStyle name="Note 5 2 2 4" xfId="28484"/>
    <cellStyle name="Note 5 2 2 5" xfId="28485"/>
    <cellStyle name="Note 5 2 3" xfId="28486"/>
    <cellStyle name="Note 5 2 3 2" xfId="28487"/>
    <cellStyle name="Note 5 2 3 3" xfId="28488"/>
    <cellStyle name="Note 5 2 3 4" xfId="28489"/>
    <cellStyle name="Note 5 2 4" xfId="28490"/>
    <cellStyle name="Note 5 2 5" xfId="28491"/>
    <cellStyle name="Note 5 2 6" xfId="28492"/>
    <cellStyle name="Note 5 3" xfId="28493"/>
    <cellStyle name="Note 5 3 2" xfId="28494"/>
    <cellStyle name="Note 5 3 2 2" xfId="28495"/>
    <cellStyle name="Note 5 3 2 3" xfId="28496"/>
    <cellStyle name="Note 5 3 2 4" xfId="28497"/>
    <cellStyle name="Note 5 3 3" xfId="28498"/>
    <cellStyle name="Note 5 3 4" xfId="28499"/>
    <cellStyle name="Note 5 3 5" xfId="28500"/>
    <cellStyle name="Note 5 4" xfId="28501"/>
    <cellStyle name="Note 5 4 2" xfId="28502"/>
    <cellStyle name="Note 5 4 2 2" xfId="28503"/>
    <cellStyle name="Note 5 4 2 3" xfId="28504"/>
    <cellStyle name="Note 5 4 2 4" xfId="28505"/>
    <cellStyle name="Note 5 4 3" xfId="28506"/>
    <cellStyle name="Note 5 4 4" xfId="28507"/>
    <cellStyle name="Note 5 4 5" xfId="28508"/>
    <cellStyle name="Note 5 5" xfId="28509"/>
    <cellStyle name="Note 5 5 2" xfId="28510"/>
    <cellStyle name="Note 5 5 2 2" xfId="28511"/>
    <cellStyle name="Note 5 5 2 3" xfId="28512"/>
    <cellStyle name="Note 5 5 2 4" xfId="28513"/>
    <cellStyle name="Note 5 5 3" xfId="28514"/>
    <cellStyle name="Note 5 5 4" xfId="28515"/>
    <cellStyle name="Note 5 5 5" xfId="28516"/>
    <cellStyle name="Note 5 6" xfId="28517"/>
    <cellStyle name="Note 5 6 2" xfId="28518"/>
    <cellStyle name="Note 5 6 2 2" xfId="28519"/>
    <cellStyle name="Note 5 6 2 3" xfId="28520"/>
    <cellStyle name="Note 5 6 2 4" xfId="28521"/>
    <cellStyle name="Note 5 6 3" xfId="28522"/>
    <cellStyle name="Note 5 6 4" xfId="28523"/>
    <cellStyle name="Note 5 6 5" xfId="28524"/>
    <cellStyle name="Note 5 7" xfId="28525"/>
    <cellStyle name="Note 5 7 2" xfId="28526"/>
    <cellStyle name="Note 5 7 2 2" xfId="28527"/>
    <cellStyle name="Note 5 7 2 3" xfId="28528"/>
    <cellStyle name="Note 5 7 2 4" xfId="28529"/>
    <cellStyle name="Note 5 7 3" xfId="28530"/>
    <cellStyle name="Note 5 7 4" xfId="28531"/>
    <cellStyle name="Note 5 7 5" xfId="28532"/>
    <cellStyle name="Note 5 8" xfId="28533"/>
    <cellStyle name="Note 5 8 2" xfId="28534"/>
    <cellStyle name="Note 5 8 2 2" xfId="28535"/>
    <cellStyle name="Note 5 8 2 3" xfId="28536"/>
    <cellStyle name="Note 5 8 2 4" xfId="28537"/>
    <cellStyle name="Note 5 8 3" xfId="28538"/>
    <cellStyle name="Note 5 8 4" xfId="28539"/>
    <cellStyle name="Note 5 8 5" xfId="28540"/>
    <cellStyle name="Note 5 9" xfId="28541"/>
    <cellStyle name="Note 5 9 2" xfId="28542"/>
    <cellStyle name="Note 5 9 2 2" xfId="28543"/>
    <cellStyle name="Note 5 9 2 3" xfId="28544"/>
    <cellStyle name="Note 5 9 2 4" xfId="28545"/>
    <cellStyle name="Note 5 9 3" xfId="28546"/>
    <cellStyle name="Note 5 9 4" xfId="28547"/>
    <cellStyle name="Note 5 9 5" xfId="28548"/>
    <cellStyle name="Note 5_Sheet2" xfId="28549"/>
    <cellStyle name="Note 6" xfId="28550"/>
    <cellStyle name="Note 6 10" xfId="28551"/>
    <cellStyle name="Note 6 10 2" xfId="28552"/>
    <cellStyle name="Note 6 10 2 2" xfId="28553"/>
    <cellStyle name="Note 6 10 2 3" xfId="28554"/>
    <cellStyle name="Note 6 10 2 4" xfId="28555"/>
    <cellStyle name="Note 6 10 3" xfId="28556"/>
    <cellStyle name="Note 6 10 4" xfId="28557"/>
    <cellStyle name="Note 6 10 5" xfId="28558"/>
    <cellStyle name="Note 6 11" xfId="28559"/>
    <cellStyle name="Note 6 11 2" xfId="28560"/>
    <cellStyle name="Note 6 11 2 2" xfId="28561"/>
    <cellStyle name="Note 6 11 2 3" xfId="28562"/>
    <cellStyle name="Note 6 11 2 4" xfId="28563"/>
    <cellStyle name="Note 6 11 3" xfId="28564"/>
    <cellStyle name="Note 6 11 4" xfId="28565"/>
    <cellStyle name="Note 6 11 5" xfId="28566"/>
    <cellStyle name="Note 6 12" xfId="28567"/>
    <cellStyle name="Note 6 12 2" xfId="28568"/>
    <cellStyle name="Note 6 12 2 2" xfId="28569"/>
    <cellStyle name="Note 6 12 2 3" xfId="28570"/>
    <cellStyle name="Note 6 12 2 4" xfId="28571"/>
    <cellStyle name="Note 6 12 3" xfId="28572"/>
    <cellStyle name="Note 6 12 4" xfId="28573"/>
    <cellStyle name="Note 6 12 5" xfId="28574"/>
    <cellStyle name="Note 6 13" xfId="28575"/>
    <cellStyle name="Note 6 13 2" xfId="28576"/>
    <cellStyle name="Note 6 13 3" xfId="28577"/>
    <cellStyle name="Note 6 13 4" xfId="28578"/>
    <cellStyle name="Note 6 14" xfId="28579"/>
    <cellStyle name="Note 6 14 2" xfId="28580"/>
    <cellStyle name="Note 6 14 3" xfId="28581"/>
    <cellStyle name="Note 6 14 4" xfId="28582"/>
    <cellStyle name="Note 6 15" xfId="28583"/>
    <cellStyle name="Note 6 16" xfId="28584"/>
    <cellStyle name="Note 6 17" xfId="28585"/>
    <cellStyle name="Note 6 2" xfId="28586"/>
    <cellStyle name="Note 6 2 2" xfId="28587"/>
    <cellStyle name="Note 6 2 2 2" xfId="28588"/>
    <cellStyle name="Note 6 2 2 3" xfId="28589"/>
    <cellStyle name="Note 6 2 2 4" xfId="28590"/>
    <cellStyle name="Note 6 2 3" xfId="28591"/>
    <cellStyle name="Note 6 2 4" xfId="28592"/>
    <cellStyle name="Note 6 2 5" xfId="28593"/>
    <cellStyle name="Note 6 3" xfId="28594"/>
    <cellStyle name="Note 6 3 2" xfId="28595"/>
    <cellStyle name="Note 6 3 2 2" xfId="28596"/>
    <cellStyle name="Note 6 3 2 3" xfId="28597"/>
    <cellStyle name="Note 6 3 2 4" xfId="28598"/>
    <cellStyle name="Note 6 3 3" xfId="28599"/>
    <cellStyle name="Note 6 3 4" xfId="28600"/>
    <cellStyle name="Note 6 3 5" xfId="28601"/>
    <cellStyle name="Note 6 4" xfId="28602"/>
    <cellStyle name="Note 6 4 2" xfId="28603"/>
    <cellStyle name="Note 6 4 2 2" xfId="28604"/>
    <cellStyle name="Note 6 4 2 3" xfId="28605"/>
    <cellStyle name="Note 6 4 2 4" xfId="28606"/>
    <cellStyle name="Note 6 4 3" xfId="28607"/>
    <cellStyle name="Note 6 4 4" xfId="28608"/>
    <cellStyle name="Note 6 4 5" xfId="28609"/>
    <cellStyle name="Note 6 5" xfId="28610"/>
    <cellStyle name="Note 6 5 2" xfId="28611"/>
    <cellStyle name="Note 6 5 2 2" xfId="28612"/>
    <cellStyle name="Note 6 5 2 3" xfId="28613"/>
    <cellStyle name="Note 6 5 2 4" xfId="28614"/>
    <cellStyle name="Note 6 5 3" xfId="28615"/>
    <cellStyle name="Note 6 5 4" xfId="28616"/>
    <cellStyle name="Note 6 5 5" xfId="28617"/>
    <cellStyle name="Note 6 6" xfId="28618"/>
    <cellStyle name="Note 6 6 2" xfId="28619"/>
    <cellStyle name="Note 6 6 2 2" xfId="28620"/>
    <cellStyle name="Note 6 6 2 3" xfId="28621"/>
    <cellStyle name="Note 6 6 2 4" xfId="28622"/>
    <cellStyle name="Note 6 6 3" xfId="28623"/>
    <cellStyle name="Note 6 6 4" xfId="28624"/>
    <cellStyle name="Note 6 6 5" xfId="28625"/>
    <cellStyle name="Note 6 7" xfId="28626"/>
    <cellStyle name="Note 6 7 2" xfId="28627"/>
    <cellStyle name="Note 6 7 2 2" xfId="28628"/>
    <cellStyle name="Note 6 7 2 3" xfId="28629"/>
    <cellStyle name="Note 6 7 2 4" xfId="28630"/>
    <cellStyle name="Note 6 7 3" xfId="28631"/>
    <cellStyle name="Note 6 7 4" xfId="28632"/>
    <cellStyle name="Note 6 7 5" xfId="28633"/>
    <cellStyle name="Note 6 8" xfId="28634"/>
    <cellStyle name="Note 6 8 2" xfId="28635"/>
    <cellStyle name="Note 6 8 2 2" xfId="28636"/>
    <cellStyle name="Note 6 8 2 3" xfId="28637"/>
    <cellStyle name="Note 6 8 2 4" xfId="28638"/>
    <cellStyle name="Note 6 8 3" xfId="28639"/>
    <cellStyle name="Note 6 8 4" xfId="28640"/>
    <cellStyle name="Note 6 8 5" xfId="28641"/>
    <cellStyle name="Note 6 9" xfId="28642"/>
    <cellStyle name="Note 6 9 2" xfId="28643"/>
    <cellStyle name="Note 6 9 2 2" xfId="28644"/>
    <cellStyle name="Note 6 9 2 3" xfId="28645"/>
    <cellStyle name="Note 6 9 2 4" xfId="28646"/>
    <cellStyle name="Note 6 9 3" xfId="28647"/>
    <cellStyle name="Note 6 9 4" xfId="28648"/>
    <cellStyle name="Note 6 9 5" xfId="28649"/>
    <cellStyle name="Note 6_Sheet2" xfId="28650"/>
    <cellStyle name="Note 7" xfId="28651"/>
    <cellStyle name="Note 7 10" xfId="28652"/>
    <cellStyle name="Note 7 11" xfId="28653"/>
    <cellStyle name="Note 7 12" xfId="28654"/>
    <cellStyle name="Note 7 13" xfId="28655"/>
    <cellStyle name="Note 7 13 2" xfId="28656"/>
    <cellStyle name="Note 7 13 3" xfId="28657"/>
    <cellStyle name="Note 7 13 4" xfId="28658"/>
    <cellStyle name="Note 7 14" xfId="28659"/>
    <cellStyle name="Note 7 14 2" xfId="28660"/>
    <cellStyle name="Note 7 14 3" xfId="28661"/>
    <cellStyle name="Note 7 14 4" xfId="28662"/>
    <cellStyle name="Note 7 15" xfId="28663"/>
    <cellStyle name="Note 7 16" xfId="28664"/>
    <cellStyle name="Note 7 17" xfId="28665"/>
    <cellStyle name="Note 7 2" xfId="28666"/>
    <cellStyle name="Note 7 2 2" xfId="28667"/>
    <cellStyle name="Note 7 2 2 2" xfId="28668"/>
    <cellStyle name="Note 7 2 2 3" xfId="28669"/>
    <cellStyle name="Note 7 2 2 4" xfId="28670"/>
    <cellStyle name="Note 7 2 3" xfId="28671"/>
    <cellStyle name="Note 7 2 4" xfId="28672"/>
    <cellStyle name="Note 7 2 5" xfId="28673"/>
    <cellStyle name="Note 7 3" xfId="28674"/>
    <cellStyle name="Note 7 3 2" xfId="28675"/>
    <cellStyle name="Note 7 3 2 2" xfId="28676"/>
    <cellStyle name="Note 7 3 2 3" xfId="28677"/>
    <cellStyle name="Note 7 3 2 4" xfId="28678"/>
    <cellStyle name="Note 7 3 3" xfId="28679"/>
    <cellStyle name="Note 7 3 4" xfId="28680"/>
    <cellStyle name="Note 7 3 5" xfId="28681"/>
    <cellStyle name="Note 7 4" xfId="28682"/>
    <cellStyle name="Note 7 4 2" xfId="28683"/>
    <cellStyle name="Note 7 4 2 2" xfId="28684"/>
    <cellStyle name="Note 7 4 2 3" xfId="28685"/>
    <cellStyle name="Note 7 4 2 4" xfId="28686"/>
    <cellStyle name="Note 7 4 3" xfId="28687"/>
    <cellStyle name="Note 7 4 4" xfId="28688"/>
    <cellStyle name="Note 7 4 5" xfId="28689"/>
    <cellStyle name="Note 7 5" xfId="28690"/>
    <cellStyle name="Note 7 6" xfId="28691"/>
    <cellStyle name="Note 7 7" xfId="28692"/>
    <cellStyle name="Note 7 8" xfId="28693"/>
    <cellStyle name="Note 7 9" xfId="28694"/>
    <cellStyle name="Note 7_Sheet2" xfId="28695"/>
    <cellStyle name="Note 8" xfId="28696"/>
    <cellStyle name="Note 8 10" xfId="28697"/>
    <cellStyle name="Note 8 11" xfId="28698"/>
    <cellStyle name="Note 8 12" xfId="28699"/>
    <cellStyle name="Note 8 12 2" xfId="28700"/>
    <cellStyle name="Note 8 12 3" xfId="28701"/>
    <cellStyle name="Note 8 12 4" xfId="28702"/>
    <cellStyle name="Note 8 13" xfId="28703"/>
    <cellStyle name="Note 8 13 2" xfId="28704"/>
    <cellStyle name="Note 8 13 3" xfId="28705"/>
    <cellStyle name="Note 8 13 4" xfId="28706"/>
    <cellStyle name="Note 8 14" xfId="28707"/>
    <cellStyle name="Note 8 15" xfId="28708"/>
    <cellStyle name="Note 8 16" xfId="28709"/>
    <cellStyle name="Note 8 2" xfId="28710"/>
    <cellStyle name="Note 8 2 2" xfId="28711"/>
    <cellStyle name="Note 8 2 2 2" xfId="28712"/>
    <cellStyle name="Note 8 2 2 3" xfId="28713"/>
    <cellStyle name="Note 8 2 2 4" xfId="28714"/>
    <cellStyle name="Note 8 2 3" xfId="28715"/>
    <cellStyle name="Note 8 2 4" xfId="28716"/>
    <cellStyle name="Note 8 2 5" xfId="28717"/>
    <cellStyle name="Note 8 3" xfId="28718"/>
    <cellStyle name="Note 8 4" xfId="28719"/>
    <cellStyle name="Note 8 5" xfId="28720"/>
    <cellStyle name="Note 8 6" xfId="28721"/>
    <cellStyle name="Note 8 7" xfId="28722"/>
    <cellStyle name="Note 8 8" xfId="28723"/>
    <cellStyle name="Note 8 9" xfId="28724"/>
    <cellStyle name="Note 8_Sheet2" xfId="28725"/>
    <cellStyle name="Note 9" xfId="28726"/>
    <cellStyle name="Note 9 10" xfId="28727"/>
    <cellStyle name="Note 9 10 2" xfId="28728"/>
    <cellStyle name="Note 9 10 3" xfId="28729"/>
    <cellStyle name="Note 9 10 4" xfId="28730"/>
    <cellStyle name="Note 9 11" xfId="28731"/>
    <cellStyle name="Note 9 11 2" xfId="28732"/>
    <cellStyle name="Note 9 11 3" xfId="28733"/>
    <cellStyle name="Note 9 11 4" xfId="28734"/>
    <cellStyle name="Note 9 12" xfId="28735"/>
    <cellStyle name="Note 9 13" xfId="28736"/>
    <cellStyle name="Note 9 14" xfId="28737"/>
    <cellStyle name="Note 9 2" xfId="28738"/>
    <cellStyle name="Note 9 2 2" xfId="28739"/>
    <cellStyle name="Note 9 2 3" xfId="28740"/>
    <cellStyle name="Note 9 2 4" xfId="28741"/>
    <cellStyle name="Note 9 2 5" xfId="28742"/>
    <cellStyle name="Note 9 3" xfId="28743"/>
    <cellStyle name="Note 9 4" xfId="28744"/>
    <cellStyle name="Note 9 5" xfId="28745"/>
    <cellStyle name="Note 9 6" xfId="28746"/>
    <cellStyle name="Note 9 7" xfId="28747"/>
    <cellStyle name="Note 9 8" xfId="28748"/>
    <cellStyle name="Note 9 9" xfId="28749"/>
    <cellStyle name="Notiz" xfId="28750"/>
    <cellStyle name="Notiz 2" xfId="28751"/>
    <cellStyle name="Notiz 2 2" xfId="28752"/>
    <cellStyle name="Notiz 2 3" xfId="28753"/>
    <cellStyle name="Notiz 2 4" xfId="28754"/>
    <cellStyle name="Notiz 3" xfId="28755"/>
    <cellStyle name="Notiz 4" xfId="28756"/>
    <cellStyle name="Notiz 5" xfId="28757"/>
    <cellStyle name="NPPESalesPct" xfId="28758"/>
    <cellStyle name="Nr" xfId="28759"/>
    <cellStyle name="Nr 2" xfId="28760"/>
    <cellStyle name="number" xfId="28761"/>
    <cellStyle name="NWI%S" xfId="28762"/>
    <cellStyle name="o" xfId="28763"/>
    <cellStyle name="o_Assumption sheet Elegance (2)" xfId="28764"/>
    <cellStyle name="o_Assumption sheet Elegance (9 May 05)" xfId="28765"/>
    <cellStyle name="o_BEA Merger Analysis Nov 20" xfId="28766"/>
    <cellStyle name="o_BEA Merger Analysis Nov 20_Cinderella Model v1" xfId="28767"/>
    <cellStyle name="o_BEA Merger Analysis Nov 20_Cinderella Model v1May 29" xfId="28768"/>
    <cellStyle name="o_BEA Merger Analysis Nov 20_Cinderella Model v8" xfId="28769"/>
    <cellStyle name="o_BEA Merger Analysis Nov 20_Cinderella Model v9_ML number" xfId="28770"/>
    <cellStyle name="o_BEA Merger Analysis Nov 20_Gazelle DDM May-15-2003" xfId="28771"/>
    <cellStyle name="o_Elegance Valuation Model (Aug 25 05) v7JM" xfId="28772"/>
    <cellStyle name="o_Elegance Valuation Model (July 12 05) v4" xfId="28773"/>
    <cellStyle name="o_Elegance Valuation Model (July 4 05) v3b" xfId="28774"/>
    <cellStyle name="o_Elegance Valuation Model (July 5 05) v3ee" xfId="28775"/>
    <cellStyle name="o_Project Forecast - 2005-06-01 (With LAT)" xfId="28776"/>
    <cellStyle name="o_Project Forecast - 2005-06-25 (With LAT)" xfId="28777"/>
    <cellStyle name="Œ…‹æØ‚è [0.00]_CF(5yrs)" xfId="30857"/>
    <cellStyle name="Œ…‹æØ‚è_Region Orders (2)" xfId="30858"/>
    <cellStyle name="OF COLUMN" xfId="28778"/>
    <cellStyle name="OF COLUMN 2" xfId="28779"/>
    <cellStyle name="OF COLUMN 3" xfId="28780"/>
    <cellStyle name="OF COLUMN 4" xfId="28781"/>
    <cellStyle name="OF COLUMN 5" xfId="28782"/>
    <cellStyle name="OF COLUMN 6" xfId="28783"/>
    <cellStyle name="oo" xfId="28784"/>
    <cellStyle name="OrdinaryNo" xfId="28785"/>
    <cellStyle name="OSW_ColumnLabels" xfId="28786"/>
    <cellStyle name="Output 10" xfId="28787"/>
    <cellStyle name="Output 10 2" xfId="28788"/>
    <cellStyle name="Output 10 2 2" xfId="28789"/>
    <cellStyle name="Output 10 2 3" xfId="28790"/>
    <cellStyle name="Output 10 2 4" xfId="28791"/>
    <cellStyle name="Output 10 3" xfId="28792"/>
    <cellStyle name="Output 10 3 2" xfId="28793"/>
    <cellStyle name="Output 10 3 3" xfId="28794"/>
    <cellStyle name="Output 10 3 4" xfId="28795"/>
    <cellStyle name="Output 10 4" xfId="28796"/>
    <cellStyle name="Output 10 5" xfId="28797"/>
    <cellStyle name="Output 10 6" xfId="28798"/>
    <cellStyle name="Output 11" xfId="28799"/>
    <cellStyle name="Output 11 2" xfId="28800"/>
    <cellStyle name="Output 11 2 2" xfId="28801"/>
    <cellStyle name="Output 11 2 3" xfId="28802"/>
    <cellStyle name="Output 11 2 4" xfId="28803"/>
    <cellStyle name="Output 11 3" xfId="28804"/>
    <cellStyle name="Output 11 3 2" xfId="28805"/>
    <cellStyle name="Output 11 3 3" xfId="28806"/>
    <cellStyle name="Output 11 3 4" xfId="28807"/>
    <cellStyle name="Output 11 4" xfId="28808"/>
    <cellStyle name="Output 11 5" xfId="28809"/>
    <cellStyle name="Output 11 6" xfId="28810"/>
    <cellStyle name="Output 12" xfId="28811"/>
    <cellStyle name="Output 12 2" xfId="28812"/>
    <cellStyle name="Output 12 2 2" xfId="28813"/>
    <cellStyle name="Output 12 2 3" xfId="28814"/>
    <cellStyle name="Output 12 2 4" xfId="28815"/>
    <cellStyle name="Output 12 3" xfId="28816"/>
    <cellStyle name="Output 12 3 2" xfId="28817"/>
    <cellStyle name="Output 12 3 3" xfId="28818"/>
    <cellStyle name="Output 12 3 4" xfId="28819"/>
    <cellStyle name="Output 12 4" xfId="28820"/>
    <cellStyle name="Output 12 5" xfId="28821"/>
    <cellStyle name="Output 12 6" xfId="28822"/>
    <cellStyle name="Output 13" xfId="28823"/>
    <cellStyle name="Output 13 2" xfId="28824"/>
    <cellStyle name="Output 13 2 2" xfId="28825"/>
    <cellStyle name="Output 13 2 3" xfId="28826"/>
    <cellStyle name="Output 13 2 4" xfId="28827"/>
    <cellStyle name="Output 13 3" xfId="28828"/>
    <cellStyle name="Output 13 3 2" xfId="28829"/>
    <cellStyle name="Output 13 3 3" xfId="28830"/>
    <cellStyle name="Output 13 3 4" xfId="28831"/>
    <cellStyle name="Output 13 4" xfId="28832"/>
    <cellStyle name="Output 13 5" xfId="28833"/>
    <cellStyle name="Output 13 6" xfId="28834"/>
    <cellStyle name="Output 14" xfId="28835"/>
    <cellStyle name="Output 14 2" xfId="28836"/>
    <cellStyle name="Output 14 2 2" xfId="28837"/>
    <cellStyle name="Output 14 2 3" xfId="28838"/>
    <cellStyle name="Output 14 2 4" xfId="28839"/>
    <cellStyle name="Output 14 3" xfId="28840"/>
    <cellStyle name="Output 14 3 2" xfId="28841"/>
    <cellStyle name="Output 14 3 3" xfId="28842"/>
    <cellStyle name="Output 14 3 4" xfId="28843"/>
    <cellStyle name="Output 14 4" xfId="28844"/>
    <cellStyle name="Output 14 5" xfId="28845"/>
    <cellStyle name="Output 14 6" xfId="28846"/>
    <cellStyle name="Output 15" xfId="28847"/>
    <cellStyle name="Output 15 2" xfId="28848"/>
    <cellStyle name="Output 15 2 2" xfId="28849"/>
    <cellStyle name="Output 15 2 3" xfId="28850"/>
    <cellStyle name="Output 15 2 4" xfId="28851"/>
    <cellStyle name="Output 15 3" xfId="28852"/>
    <cellStyle name="Output 15 3 2" xfId="28853"/>
    <cellStyle name="Output 15 3 3" xfId="28854"/>
    <cellStyle name="Output 15 3 4" xfId="28855"/>
    <cellStyle name="Output 15 4" xfId="28856"/>
    <cellStyle name="Output 15 5" xfId="28857"/>
    <cellStyle name="Output 15 6" xfId="28858"/>
    <cellStyle name="Output 16" xfId="28859"/>
    <cellStyle name="Output 16 2" xfId="28860"/>
    <cellStyle name="Output 16 2 2" xfId="28861"/>
    <cellStyle name="Output 16 2 3" xfId="28862"/>
    <cellStyle name="Output 16 2 4" xfId="28863"/>
    <cellStyle name="Output 16 3" xfId="28864"/>
    <cellStyle name="Output 16 3 2" xfId="28865"/>
    <cellStyle name="Output 16 3 3" xfId="28866"/>
    <cellStyle name="Output 16 3 4" xfId="28867"/>
    <cellStyle name="Output 16 4" xfId="28868"/>
    <cellStyle name="Output 16 5" xfId="28869"/>
    <cellStyle name="Output 16 6" xfId="28870"/>
    <cellStyle name="Output 2" xfId="28871"/>
    <cellStyle name="Output 2 10" xfId="28872"/>
    <cellStyle name="Output 2 2" xfId="28873"/>
    <cellStyle name="Output 2 2 10" xfId="28874"/>
    <cellStyle name="Output 2 2 10 2" xfId="28875"/>
    <cellStyle name="Output 2 2 10 2 2" xfId="28876"/>
    <cellStyle name="Output 2 2 10 2 3" xfId="28877"/>
    <cellStyle name="Output 2 2 10 2 4" xfId="28878"/>
    <cellStyle name="Output 2 2 10 3" xfId="28879"/>
    <cellStyle name="Output 2 2 10 4" xfId="28880"/>
    <cellStyle name="Output 2 2 10 5" xfId="28881"/>
    <cellStyle name="Output 2 2 11" xfId="28882"/>
    <cellStyle name="Output 2 2 11 2" xfId="28883"/>
    <cellStyle name="Output 2 2 11 3" xfId="28884"/>
    <cellStyle name="Output 2 2 11 4" xfId="28885"/>
    <cellStyle name="Output 2 2 12" xfId="28886"/>
    <cellStyle name="Output 2 2 12 2" xfId="28887"/>
    <cellStyle name="Output 2 2 12 3" xfId="28888"/>
    <cellStyle name="Output 2 2 12 4" xfId="28889"/>
    <cellStyle name="Output 2 2 13" xfId="28890"/>
    <cellStyle name="Output 2 2 14" xfId="28891"/>
    <cellStyle name="Output 2 2 15" xfId="28892"/>
    <cellStyle name="Output 2 2 2" xfId="28893"/>
    <cellStyle name="Output 2 2 2 2" xfId="28894"/>
    <cellStyle name="Output 2 2 2 2 2" xfId="28895"/>
    <cellStyle name="Output 2 2 2 2 3" xfId="28896"/>
    <cellStyle name="Output 2 2 2 2 4" xfId="28897"/>
    <cellStyle name="Output 2 2 2 3" xfId="28898"/>
    <cellStyle name="Output 2 2 2 4" xfId="28899"/>
    <cellStyle name="Output 2 2 2 5" xfId="28900"/>
    <cellStyle name="Output 2 2 3" xfId="28901"/>
    <cellStyle name="Output 2 2 3 2" xfId="28902"/>
    <cellStyle name="Output 2 2 3 2 2" xfId="28903"/>
    <cellStyle name="Output 2 2 3 2 3" xfId="28904"/>
    <cellStyle name="Output 2 2 3 2 4" xfId="28905"/>
    <cellStyle name="Output 2 2 3 3" xfId="28906"/>
    <cellStyle name="Output 2 2 3 4" xfId="28907"/>
    <cellStyle name="Output 2 2 3 5" xfId="28908"/>
    <cellStyle name="Output 2 2 4" xfId="28909"/>
    <cellStyle name="Output 2 2 4 2" xfId="28910"/>
    <cellStyle name="Output 2 2 4 2 2" xfId="28911"/>
    <cellStyle name="Output 2 2 4 2 3" xfId="28912"/>
    <cellStyle name="Output 2 2 4 2 4" xfId="28913"/>
    <cellStyle name="Output 2 2 4 3" xfId="28914"/>
    <cellStyle name="Output 2 2 4 4" xfId="28915"/>
    <cellStyle name="Output 2 2 4 5" xfId="28916"/>
    <cellStyle name="Output 2 2 5" xfId="28917"/>
    <cellStyle name="Output 2 2 5 2" xfId="28918"/>
    <cellStyle name="Output 2 2 5 2 2" xfId="28919"/>
    <cellStyle name="Output 2 2 5 2 3" xfId="28920"/>
    <cellStyle name="Output 2 2 5 2 4" xfId="28921"/>
    <cellStyle name="Output 2 2 5 3" xfId="28922"/>
    <cellStyle name="Output 2 2 5 4" xfId="28923"/>
    <cellStyle name="Output 2 2 5 5" xfId="28924"/>
    <cellStyle name="Output 2 2 6" xfId="28925"/>
    <cellStyle name="Output 2 2 6 2" xfId="28926"/>
    <cellStyle name="Output 2 2 6 2 2" xfId="28927"/>
    <cellStyle name="Output 2 2 6 2 3" xfId="28928"/>
    <cellStyle name="Output 2 2 6 2 4" xfId="28929"/>
    <cellStyle name="Output 2 2 6 3" xfId="28930"/>
    <cellStyle name="Output 2 2 6 4" xfId="28931"/>
    <cellStyle name="Output 2 2 6 5" xfId="28932"/>
    <cellStyle name="Output 2 2 7" xfId="28933"/>
    <cellStyle name="Output 2 2 7 2" xfId="28934"/>
    <cellStyle name="Output 2 2 7 2 2" xfId="28935"/>
    <cellStyle name="Output 2 2 7 2 3" xfId="28936"/>
    <cellStyle name="Output 2 2 7 2 4" xfId="28937"/>
    <cellStyle name="Output 2 2 7 3" xfId="28938"/>
    <cellStyle name="Output 2 2 7 4" xfId="28939"/>
    <cellStyle name="Output 2 2 7 5" xfId="28940"/>
    <cellStyle name="Output 2 2 8" xfId="28941"/>
    <cellStyle name="Output 2 2 8 2" xfId="28942"/>
    <cellStyle name="Output 2 2 8 2 2" xfId="28943"/>
    <cellStyle name="Output 2 2 8 2 3" xfId="28944"/>
    <cellStyle name="Output 2 2 8 2 4" xfId="28945"/>
    <cellStyle name="Output 2 2 8 3" xfId="28946"/>
    <cellStyle name="Output 2 2 8 4" xfId="28947"/>
    <cellStyle name="Output 2 2 8 5" xfId="28948"/>
    <cellStyle name="Output 2 2 9" xfId="28949"/>
    <cellStyle name="Output 2 2 9 2" xfId="28950"/>
    <cellStyle name="Output 2 2 9 2 2" xfId="28951"/>
    <cellStyle name="Output 2 2 9 2 3" xfId="28952"/>
    <cellStyle name="Output 2 2 9 2 4" xfId="28953"/>
    <cellStyle name="Output 2 2 9 3" xfId="28954"/>
    <cellStyle name="Output 2 2 9 4" xfId="28955"/>
    <cellStyle name="Output 2 2 9 5" xfId="28956"/>
    <cellStyle name="Output 2 3" xfId="28957"/>
    <cellStyle name="Output 2 3 2" xfId="28958"/>
    <cellStyle name="Output 2 3 2 2" xfId="28959"/>
    <cellStyle name="Output 2 3 2 3" xfId="28960"/>
    <cellStyle name="Output 2 3 2 4" xfId="28961"/>
    <cellStyle name="Output 2 3 3" xfId="28962"/>
    <cellStyle name="Output 2 3 3 2" xfId="28963"/>
    <cellStyle name="Output 2 3 3 3" xfId="28964"/>
    <cellStyle name="Output 2 3 3 4" xfId="28965"/>
    <cellStyle name="Output 2 3 4" xfId="28966"/>
    <cellStyle name="Output 2 3 5" xfId="28967"/>
    <cellStyle name="Output 2 3 6" xfId="28968"/>
    <cellStyle name="Output 2 4" xfId="28969"/>
    <cellStyle name="Output 2 4 2" xfId="28970"/>
    <cellStyle name="Output 2 4 2 2" xfId="28971"/>
    <cellStyle name="Output 2 4 2 3" xfId="28972"/>
    <cellStyle name="Output 2 4 2 4" xfId="28973"/>
    <cellStyle name="Output 2 4 3" xfId="28974"/>
    <cellStyle name="Output 2 4 3 2" xfId="28975"/>
    <cellStyle name="Output 2 4 3 3" xfId="28976"/>
    <cellStyle name="Output 2 4 3 4" xfId="28977"/>
    <cellStyle name="Output 2 4 4" xfId="28978"/>
    <cellStyle name="Output 2 4 5" xfId="28979"/>
    <cellStyle name="Output 2 4 6" xfId="28980"/>
    <cellStyle name="Output 2 5" xfId="28981"/>
    <cellStyle name="Output 2 5 2" xfId="28982"/>
    <cellStyle name="Output 2 5 2 2" xfId="28983"/>
    <cellStyle name="Output 2 5 2 3" xfId="28984"/>
    <cellStyle name="Output 2 5 2 4" xfId="28985"/>
    <cellStyle name="Output 2 5 3" xfId="28986"/>
    <cellStyle name="Output 2 5 3 2" xfId="28987"/>
    <cellStyle name="Output 2 5 3 3" xfId="28988"/>
    <cellStyle name="Output 2 5 3 4" xfId="28989"/>
    <cellStyle name="Output 2 5 4" xfId="28990"/>
    <cellStyle name="Output 2 5 5" xfId="28991"/>
    <cellStyle name="Output 2 5 6" xfId="28992"/>
    <cellStyle name="Output 2 6" xfId="28993"/>
    <cellStyle name="Output 2 6 2" xfId="28994"/>
    <cellStyle name="Output 2 6 3" xfId="28995"/>
    <cellStyle name="Output 2 6 4" xfId="28996"/>
    <cellStyle name="Output 2 7" xfId="28997"/>
    <cellStyle name="Output 2 7 2" xfId="28998"/>
    <cellStyle name="Output 2 7 3" xfId="28999"/>
    <cellStyle name="Output 2 7 4" xfId="29000"/>
    <cellStyle name="Output 2 8" xfId="29001"/>
    <cellStyle name="Output 2 9" xfId="29002"/>
    <cellStyle name="Output 2_Block-F LGF POur-II BBS" xfId="29003"/>
    <cellStyle name="Output 3" xfId="29004"/>
    <cellStyle name="Output 3 2" xfId="29005"/>
    <cellStyle name="Output 3 2 10" xfId="29006"/>
    <cellStyle name="Output 3 2 10 2" xfId="29007"/>
    <cellStyle name="Output 3 2 10 2 2" xfId="29008"/>
    <cellStyle name="Output 3 2 10 2 3" xfId="29009"/>
    <cellStyle name="Output 3 2 10 2 4" xfId="29010"/>
    <cellStyle name="Output 3 2 10 3" xfId="29011"/>
    <cellStyle name="Output 3 2 10 4" xfId="29012"/>
    <cellStyle name="Output 3 2 10 5" xfId="29013"/>
    <cellStyle name="Output 3 2 11" xfId="29014"/>
    <cellStyle name="Output 3 2 11 2" xfId="29015"/>
    <cellStyle name="Output 3 2 11 3" xfId="29016"/>
    <cellStyle name="Output 3 2 11 4" xfId="29017"/>
    <cellStyle name="Output 3 2 12" xfId="29018"/>
    <cellStyle name="Output 3 2 12 2" xfId="29019"/>
    <cellStyle name="Output 3 2 12 3" xfId="29020"/>
    <cellStyle name="Output 3 2 12 4" xfId="29021"/>
    <cellStyle name="Output 3 2 13" xfId="29022"/>
    <cellStyle name="Output 3 2 14" xfId="29023"/>
    <cellStyle name="Output 3 2 15" xfId="29024"/>
    <cellStyle name="Output 3 2 2" xfId="29025"/>
    <cellStyle name="Output 3 2 2 2" xfId="29026"/>
    <cellStyle name="Output 3 2 2 2 2" xfId="29027"/>
    <cellStyle name="Output 3 2 2 2 3" xfId="29028"/>
    <cellStyle name="Output 3 2 2 2 4" xfId="29029"/>
    <cellStyle name="Output 3 2 2 3" xfId="29030"/>
    <cellStyle name="Output 3 2 2 4" xfId="29031"/>
    <cellStyle name="Output 3 2 2 5" xfId="29032"/>
    <cellStyle name="Output 3 2 3" xfId="29033"/>
    <cellStyle name="Output 3 2 3 2" xfId="29034"/>
    <cellStyle name="Output 3 2 3 2 2" xfId="29035"/>
    <cellStyle name="Output 3 2 3 2 3" xfId="29036"/>
    <cellStyle name="Output 3 2 3 2 4" xfId="29037"/>
    <cellStyle name="Output 3 2 3 3" xfId="29038"/>
    <cellStyle name="Output 3 2 3 4" xfId="29039"/>
    <cellStyle name="Output 3 2 3 5" xfId="29040"/>
    <cellStyle name="Output 3 2 4" xfId="29041"/>
    <cellStyle name="Output 3 2 4 2" xfId="29042"/>
    <cellStyle name="Output 3 2 4 2 2" xfId="29043"/>
    <cellStyle name="Output 3 2 4 2 3" xfId="29044"/>
    <cellStyle name="Output 3 2 4 2 4" xfId="29045"/>
    <cellStyle name="Output 3 2 4 3" xfId="29046"/>
    <cellStyle name="Output 3 2 4 4" xfId="29047"/>
    <cellStyle name="Output 3 2 4 5" xfId="29048"/>
    <cellStyle name="Output 3 2 5" xfId="29049"/>
    <cellStyle name="Output 3 2 5 2" xfId="29050"/>
    <cellStyle name="Output 3 2 5 2 2" xfId="29051"/>
    <cellStyle name="Output 3 2 5 2 3" xfId="29052"/>
    <cellStyle name="Output 3 2 5 2 4" xfId="29053"/>
    <cellStyle name="Output 3 2 5 3" xfId="29054"/>
    <cellStyle name="Output 3 2 5 4" xfId="29055"/>
    <cellStyle name="Output 3 2 5 5" xfId="29056"/>
    <cellStyle name="Output 3 2 6" xfId="29057"/>
    <cellStyle name="Output 3 2 6 2" xfId="29058"/>
    <cellStyle name="Output 3 2 6 2 2" xfId="29059"/>
    <cellStyle name="Output 3 2 6 2 3" xfId="29060"/>
    <cellStyle name="Output 3 2 6 2 4" xfId="29061"/>
    <cellStyle name="Output 3 2 6 3" xfId="29062"/>
    <cellStyle name="Output 3 2 6 4" xfId="29063"/>
    <cellStyle name="Output 3 2 6 5" xfId="29064"/>
    <cellStyle name="Output 3 2 7" xfId="29065"/>
    <cellStyle name="Output 3 2 7 2" xfId="29066"/>
    <cellStyle name="Output 3 2 7 2 2" xfId="29067"/>
    <cellStyle name="Output 3 2 7 2 3" xfId="29068"/>
    <cellStyle name="Output 3 2 7 2 4" xfId="29069"/>
    <cellStyle name="Output 3 2 7 3" xfId="29070"/>
    <cellStyle name="Output 3 2 7 4" xfId="29071"/>
    <cellStyle name="Output 3 2 7 5" xfId="29072"/>
    <cellStyle name="Output 3 2 8" xfId="29073"/>
    <cellStyle name="Output 3 2 8 2" xfId="29074"/>
    <cellStyle name="Output 3 2 8 2 2" xfId="29075"/>
    <cellStyle name="Output 3 2 8 2 3" xfId="29076"/>
    <cellStyle name="Output 3 2 8 2 4" xfId="29077"/>
    <cellStyle name="Output 3 2 8 3" xfId="29078"/>
    <cellStyle name="Output 3 2 8 4" xfId="29079"/>
    <cellStyle name="Output 3 2 8 5" xfId="29080"/>
    <cellStyle name="Output 3 2 9" xfId="29081"/>
    <cellStyle name="Output 3 2 9 2" xfId="29082"/>
    <cellStyle name="Output 3 2 9 2 2" xfId="29083"/>
    <cellStyle name="Output 3 2 9 2 3" xfId="29084"/>
    <cellStyle name="Output 3 2 9 2 4" xfId="29085"/>
    <cellStyle name="Output 3 2 9 3" xfId="29086"/>
    <cellStyle name="Output 3 2 9 4" xfId="29087"/>
    <cellStyle name="Output 3 2 9 5" xfId="29088"/>
    <cellStyle name="Output 3 3" xfId="29089"/>
    <cellStyle name="Output 3 3 2" xfId="29090"/>
    <cellStyle name="Output 3 3 2 2" xfId="29091"/>
    <cellStyle name="Output 3 3 2 3" xfId="29092"/>
    <cellStyle name="Output 3 3 2 4" xfId="29093"/>
    <cellStyle name="Output 3 3 3" xfId="29094"/>
    <cellStyle name="Output 3 3 4" xfId="29095"/>
    <cellStyle name="Output 3 3 5" xfId="29096"/>
    <cellStyle name="Output 3 4" xfId="29097"/>
    <cellStyle name="Output 3 4 2" xfId="29098"/>
    <cellStyle name="Output 3 4 2 2" xfId="29099"/>
    <cellStyle name="Output 3 4 2 3" xfId="29100"/>
    <cellStyle name="Output 3 4 2 4" xfId="29101"/>
    <cellStyle name="Output 3 4 3" xfId="29102"/>
    <cellStyle name="Output 3 4 4" xfId="29103"/>
    <cellStyle name="Output 3 4 5" xfId="29104"/>
    <cellStyle name="Output 3 5" xfId="29105"/>
    <cellStyle name="Output 3 5 2" xfId="29106"/>
    <cellStyle name="Output 3 5 3" xfId="29107"/>
    <cellStyle name="Output 3 5 4" xfId="29108"/>
    <cellStyle name="Output 3 6" xfId="29109"/>
    <cellStyle name="Output 3 6 2" xfId="29110"/>
    <cellStyle name="Output 3 6 3" xfId="29111"/>
    <cellStyle name="Output 3 6 4" xfId="29112"/>
    <cellStyle name="Output 3 7" xfId="29113"/>
    <cellStyle name="Output 3 8" xfId="29114"/>
    <cellStyle name="Output 3 9" xfId="29115"/>
    <cellStyle name="Output 3_Ramadugu_ SWGH" xfId="29116"/>
    <cellStyle name="Output 4" xfId="29117"/>
    <cellStyle name="Output 4 10" xfId="29118"/>
    <cellStyle name="Output 4 10 2" xfId="29119"/>
    <cellStyle name="Output 4 10 2 2" xfId="29120"/>
    <cellStyle name="Output 4 10 2 3" xfId="29121"/>
    <cellStyle name="Output 4 10 2 4" xfId="29122"/>
    <cellStyle name="Output 4 10 3" xfId="29123"/>
    <cellStyle name="Output 4 10 4" xfId="29124"/>
    <cellStyle name="Output 4 10 5" xfId="29125"/>
    <cellStyle name="Output 4 11" xfId="29126"/>
    <cellStyle name="Output 4 11 2" xfId="29127"/>
    <cellStyle name="Output 4 11 2 2" xfId="29128"/>
    <cellStyle name="Output 4 11 2 3" xfId="29129"/>
    <cellStyle name="Output 4 11 2 4" xfId="29130"/>
    <cellStyle name="Output 4 11 3" xfId="29131"/>
    <cellStyle name="Output 4 11 4" xfId="29132"/>
    <cellStyle name="Output 4 11 5" xfId="29133"/>
    <cellStyle name="Output 4 12" xfId="29134"/>
    <cellStyle name="Output 4 12 2" xfId="29135"/>
    <cellStyle name="Output 4 12 2 2" xfId="29136"/>
    <cellStyle name="Output 4 12 2 3" xfId="29137"/>
    <cellStyle name="Output 4 12 2 4" xfId="29138"/>
    <cellStyle name="Output 4 12 3" xfId="29139"/>
    <cellStyle name="Output 4 12 4" xfId="29140"/>
    <cellStyle name="Output 4 12 5" xfId="29141"/>
    <cellStyle name="Output 4 13" xfId="29142"/>
    <cellStyle name="Output 4 13 2" xfId="29143"/>
    <cellStyle name="Output 4 13 3" xfId="29144"/>
    <cellStyle name="Output 4 13 4" xfId="29145"/>
    <cellStyle name="Output 4 14" xfId="29146"/>
    <cellStyle name="Output 4 14 2" xfId="29147"/>
    <cellStyle name="Output 4 14 3" xfId="29148"/>
    <cellStyle name="Output 4 14 4" xfId="29149"/>
    <cellStyle name="Output 4 15" xfId="29150"/>
    <cellStyle name="Output 4 16" xfId="29151"/>
    <cellStyle name="Output 4 17" xfId="29152"/>
    <cellStyle name="Output 4 2" xfId="29153"/>
    <cellStyle name="Output 4 2 2" xfId="29154"/>
    <cellStyle name="Output 4 2 2 2" xfId="29155"/>
    <cellStyle name="Output 4 2 2 2 2" xfId="29156"/>
    <cellStyle name="Output 4 2 2 2 3" xfId="29157"/>
    <cellStyle name="Output 4 2 2 2 4" xfId="29158"/>
    <cellStyle name="Output 4 2 2 3" xfId="29159"/>
    <cellStyle name="Output 4 2 2 4" xfId="29160"/>
    <cellStyle name="Output 4 2 2 5" xfId="29161"/>
    <cellStyle name="Output 4 2 3" xfId="29162"/>
    <cellStyle name="Output 4 2 3 2" xfId="29163"/>
    <cellStyle name="Output 4 2 3 3" xfId="29164"/>
    <cellStyle name="Output 4 2 3 4" xfId="29165"/>
    <cellStyle name="Output 4 2 4" xfId="29166"/>
    <cellStyle name="Output 4 2 5" xfId="29167"/>
    <cellStyle name="Output 4 2 6" xfId="29168"/>
    <cellStyle name="Output 4 3" xfId="29169"/>
    <cellStyle name="Output 4 3 2" xfId="29170"/>
    <cellStyle name="Output 4 3 2 2" xfId="29171"/>
    <cellStyle name="Output 4 3 2 3" xfId="29172"/>
    <cellStyle name="Output 4 3 2 4" xfId="29173"/>
    <cellStyle name="Output 4 3 3" xfId="29174"/>
    <cellStyle name="Output 4 3 4" xfId="29175"/>
    <cellStyle name="Output 4 3 5" xfId="29176"/>
    <cellStyle name="Output 4 4" xfId="29177"/>
    <cellStyle name="Output 4 4 2" xfId="29178"/>
    <cellStyle name="Output 4 4 2 2" xfId="29179"/>
    <cellStyle name="Output 4 4 2 3" xfId="29180"/>
    <cellStyle name="Output 4 4 2 4" xfId="29181"/>
    <cellStyle name="Output 4 4 3" xfId="29182"/>
    <cellStyle name="Output 4 4 4" xfId="29183"/>
    <cellStyle name="Output 4 4 5" xfId="29184"/>
    <cellStyle name="Output 4 5" xfId="29185"/>
    <cellStyle name="Output 4 5 2" xfId="29186"/>
    <cellStyle name="Output 4 5 2 2" xfId="29187"/>
    <cellStyle name="Output 4 5 2 3" xfId="29188"/>
    <cellStyle name="Output 4 5 2 4" xfId="29189"/>
    <cellStyle name="Output 4 5 3" xfId="29190"/>
    <cellStyle name="Output 4 5 4" xfId="29191"/>
    <cellStyle name="Output 4 5 5" xfId="29192"/>
    <cellStyle name="Output 4 6" xfId="29193"/>
    <cellStyle name="Output 4 6 2" xfId="29194"/>
    <cellStyle name="Output 4 6 2 2" xfId="29195"/>
    <cellStyle name="Output 4 6 2 3" xfId="29196"/>
    <cellStyle name="Output 4 6 2 4" xfId="29197"/>
    <cellStyle name="Output 4 6 3" xfId="29198"/>
    <cellStyle name="Output 4 6 4" xfId="29199"/>
    <cellStyle name="Output 4 6 5" xfId="29200"/>
    <cellStyle name="Output 4 7" xfId="29201"/>
    <cellStyle name="Output 4 7 2" xfId="29202"/>
    <cellStyle name="Output 4 7 2 2" xfId="29203"/>
    <cellStyle name="Output 4 7 2 3" xfId="29204"/>
    <cellStyle name="Output 4 7 2 4" xfId="29205"/>
    <cellStyle name="Output 4 7 3" xfId="29206"/>
    <cellStyle name="Output 4 7 4" xfId="29207"/>
    <cellStyle name="Output 4 7 5" xfId="29208"/>
    <cellStyle name="Output 4 8" xfId="29209"/>
    <cellStyle name="Output 4 8 2" xfId="29210"/>
    <cellStyle name="Output 4 8 2 2" xfId="29211"/>
    <cellStyle name="Output 4 8 2 3" xfId="29212"/>
    <cellStyle name="Output 4 8 2 4" xfId="29213"/>
    <cellStyle name="Output 4 8 3" xfId="29214"/>
    <cellStyle name="Output 4 8 4" xfId="29215"/>
    <cellStyle name="Output 4 8 5" xfId="29216"/>
    <cellStyle name="Output 4 9" xfId="29217"/>
    <cellStyle name="Output 4 9 2" xfId="29218"/>
    <cellStyle name="Output 4 9 2 2" xfId="29219"/>
    <cellStyle name="Output 4 9 2 3" xfId="29220"/>
    <cellStyle name="Output 4 9 2 4" xfId="29221"/>
    <cellStyle name="Output 4 9 3" xfId="29222"/>
    <cellStyle name="Output 4 9 4" xfId="29223"/>
    <cellStyle name="Output 4 9 5" xfId="29224"/>
    <cellStyle name="Output 5" xfId="29225"/>
    <cellStyle name="Output 5 10" xfId="29226"/>
    <cellStyle name="Output 5 10 2" xfId="29227"/>
    <cellStyle name="Output 5 10 2 2" xfId="29228"/>
    <cellStyle name="Output 5 10 2 3" xfId="29229"/>
    <cellStyle name="Output 5 10 2 4" xfId="29230"/>
    <cellStyle name="Output 5 10 3" xfId="29231"/>
    <cellStyle name="Output 5 10 4" xfId="29232"/>
    <cellStyle name="Output 5 10 5" xfId="29233"/>
    <cellStyle name="Output 5 11" xfId="29234"/>
    <cellStyle name="Output 5 11 2" xfId="29235"/>
    <cellStyle name="Output 5 11 2 2" xfId="29236"/>
    <cellStyle name="Output 5 11 2 3" xfId="29237"/>
    <cellStyle name="Output 5 11 2 4" xfId="29238"/>
    <cellStyle name="Output 5 11 3" xfId="29239"/>
    <cellStyle name="Output 5 11 4" xfId="29240"/>
    <cellStyle name="Output 5 11 5" xfId="29241"/>
    <cellStyle name="Output 5 12" xfId="29242"/>
    <cellStyle name="Output 5 12 2" xfId="29243"/>
    <cellStyle name="Output 5 12 2 2" xfId="29244"/>
    <cellStyle name="Output 5 12 2 3" xfId="29245"/>
    <cellStyle name="Output 5 12 2 4" xfId="29246"/>
    <cellStyle name="Output 5 12 3" xfId="29247"/>
    <cellStyle name="Output 5 12 4" xfId="29248"/>
    <cellStyle name="Output 5 12 5" xfId="29249"/>
    <cellStyle name="Output 5 13" xfId="29250"/>
    <cellStyle name="Output 5 13 2" xfId="29251"/>
    <cellStyle name="Output 5 13 3" xfId="29252"/>
    <cellStyle name="Output 5 13 4" xfId="29253"/>
    <cellStyle name="Output 5 14" xfId="29254"/>
    <cellStyle name="Output 5 14 2" xfId="29255"/>
    <cellStyle name="Output 5 14 3" xfId="29256"/>
    <cellStyle name="Output 5 14 4" xfId="29257"/>
    <cellStyle name="Output 5 15" xfId="29258"/>
    <cellStyle name="Output 5 16" xfId="29259"/>
    <cellStyle name="Output 5 17" xfId="29260"/>
    <cellStyle name="Output 5 2" xfId="29261"/>
    <cellStyle name="Output 5 2 2" xfId="29262"/>
    <cellStyle name="Output 5 2 2 2" xfId="29263"/>
    <cellStyle name="Output 5 2 2 2 2" xfId="29264"/>
    <cellStyle name="Output 5 2 2 2 3" xfId="29265"/>
    <cellStyle name="Output 5 2 2 2 4" xfId="29266"/>
    <cellStyle name="Output 5 2 2 3" xfId="29267"/>
    <cellStyle name="Output 5 2 2 4" xfId="29268"/>
    <cellStyle name="Output 5 2 2 5" xfId="29269"/>
    <cellStyle name="Output 5 2 3" xfId="29270"/>
    <cellStyle name="Output 5 2 3 2" xfId="29271"/>
    <cellStyle name="Output 5 2 3 3" xfId="29272"/>
    <cellStyle name="Output 5 2 3 4" xfId="29273"/>
    <cellStyle name="Output 5 2 4" xfId="29274"/>
    <cellStyle name="Output 5 2 5" xfId="29275"/>
    <cellStyle name="Output 5 2 6" xfId="29276"/>
    <cellStyle name="Output 5 3" xfId="29277"/>
    <cellStyle name="Output 5 3 2" xfId="29278"/>
    <cellStyle name="Output 5 3 2 2" xfId="29279"/>
    <cellStyle name="Output 5 3 2 3" xfId="29280"/>
    <cellStyle name="Output 5 3 2 4" xfId="29281"/>
    <cellStyle name="Output 5 3 3" xfId="29282"/>
    <cellStyle name="Output 5 3 4" xfId="29283"/>
    <cellStyle name="Output 5 3 5" xfId="29284"/>
    <cellStyle name="Output 5 4" xfId="29285"/>
    <cellStyle name="Output 5 4 2" xfId="29286"/>
    <cellStyle name="Output 5 4 2 2" xfId="29287"/>
    <cellStyle name="Output 5 4 2 3" xfId="29288"/>
    <cellStyle name="Output 5 4 2 4" xfId="29289"/>
    <cellStyle name="Output 5 4 3" xfId="29290"/>
    <cellStyle name="Output 5 4 4" xfId="29291"/>
    <cellStyle name="Output 5 4 5" xfId="29292"/>
    <cellStyle name="Output 5 5" xfId="29293"/>
    <cellStyle name="Output 5 5 2" xfId="29294"/>
    <cellStyle name="Output 5 5 2 2" xfId="29295"/>
    <cellStyle name="Output 5 5 2 3" xfId="29296"/>
    <cellStyle name="Output 5 5 2 4" xfId="29297"/>
    <cellStyle name="Output 5 5 3" xfId="29298"/>
    <cellStyle name="Output 5 5 4" xfId="29299"/>
    <cellStyle name="Output 5 5 5" xfId="29300"/>
    <cellStyle name="Output 5 6" xfId="29301"/>
    <cellStyle name="Output 5 6 2" xfId="29302"/>
    <cellStyle name="Output 5 6 2 2" xfId="29303"/>
    <cellStyle name="Output 5 6 2 3" xfId="29304"/>
    <cellStyle name="Output 5 6 2 4" xfId="29305"/>
    <cellStyle name="Output 5 6 3" xfId="29306"/>
    <cellStyle name="Output 5 6 4" xfId="29307"/>
    <cellStyle name="Output 5 6 5" xfId="29308"/>
    <cellStyle name="Output 5 7" xfId="29309"/>
    <cellStyle name="Output 5 7 2" xfId="29310"/>
    <cellStyle name="Output 5 7 2 2" xfId="29311"/>
    <cellStyle name="Output 5 7 2 3" xfId="29312"/>
    <cellStyle name="Output 5 7 2 4" xfId="29313"/>
    <cellStyle name="Output 5 7 3" xfId="29314"/>
    <cellStyle name="Output 5 7 4" xfId="29315"/>
    <cellStyle name="Output 5 7 5" xfId="29316"/>
    <cellStyle name="Output 5 8" xfId="29317"/>
    <cellStyle name="Output 5 8 2" xfId="29318"/>
    <cellStyle name="Output 5 8 2 2" xfId="29319"/>
    <cellStyle name="Output 5 8 2 3" xfId="29320"/>
    <cellStyle name="Output 5 8 2 4" xfId="29321"/>
    <cellStyle name="Output 5 8 3" xfId="29322"/>
    <cellStyle name="Output 5 8 4" xfId="29323"/>
    <cellStyle name="Output 5 8 5" xfId="29324"/>
    <cellStyle name="Output 5 9" xfId="29325"/>
    <cellStyle name="Output 5 9 2" xfId="29326"/>
    <cellStyle name="Output 5 9 2 2" xfId="29327"/>
    <cellStyle name="Output 5 9 2 3" xfId="29328"/>
    <cellStyle name="Output 5 9 2 4" xfId="29329"/>
    <cellStyle name="Output 5 9 3" xfId="29330"/>
    <cellStyle name="Output 5 9 4" xfId="29331"/>
    <cellStyle name="Output 5 9 5" xfId="29332"/>
    <cellStyle name="Output 6" xfId="29333"/>
    <cellStyle name="Output 6 10" xfId="29334"/>
    <cellStyle name="Output 6 10 2" xfId="29335"/>
    <cellStyle name="Output 6 10 2 2" xfId="29336"/>
    <cellStyle name="Output 6 10 2 3" xfId="29337"/>
    <cellStyle name="Output 6 10 2 4" xfId="29338"/>
    <cellStyle name="Output 6 10 3" xfId="29339"/>
    <cellStyle name="Output 6 10 4" xfId="29340"/>
    <cellStyle name="Output 6 10 5" xfId="29341"/>
    <cellStyle name="Output 6 11" xfId="29342"/>
    <cellStyle name="Output 6 11 2" xfId="29343"/>
    <cellStyle name="Output 6 11 2 2" xfId="29344"/>
    <cellStyle name="Output 6 11 2 3" xfId="29345"/>
    <cellStyle name="Output 6 11 2 4" xfId="29346"/>
    <cellStyle name="Output 6 11 3" xfId="29347"/>
    <cellStyle name="Output 6 11 4" xfId="29348"/>
    <cellStyle name="Output 6 11 5" xfId="29349"/>
    <cellStyle name="Output 6 12" xfId="29350"/>
    <cellStyle name="Output 6 12 2" xfId="29351"/>
    <cellStyle name="Output 6 12 2 2" xfId="29352"/>
    <cellStyle name="Output 6 12 2 3" xfId="29353"/>
    <cellStyle name="Output 6 12 2 4" xfId="29354"/>
    <cellStyle name="Output 6 12 3" xfId="29355"/>
    <cellStyle name="Output 6 12 4" xfId="29356"/>
    <cellStyle name="Output 6 12 5" xfId="29357"/>
    <cellStyle name="Output 6 13" xfId="29358"/>
    <cellStyle name="Output 6 13 2" xfId="29359"/>
    <cellStyle name="Output 6 13 3" xfId="29360"/>
    <cellStyle name="Output 6 13 4" xfId="29361"/>
    <cellStyle name="Output 6 14" xfId="29362"/>
    <cellStyle name="Output 6 14 2" xfId="29363"/>
    <cellStyle name="Output 6 14 3" xfId="29364"/>
    <cellStyle name="Output 6 14 4" xfId="29365"/>
    <cellStyle name="Output 6 15" xfId="29366"/>
    <cellStyle name="Output 6 16" xfId="29367"/>
    <cellStyle name="Output 6 17" xfId="29368"/>
    <cellStyle name="Output 6 2" xfId="29369"/>
    <cellStyle name="Output 6 2 2" xfId="29370"/>
    <cellStyle name="Output 6 2 2 2" xfId="29371"/>
    <cellStyle name="Output 6 2 2 3" xfId="29372"/>
    <cellStyle name="Output 6 2 2 4" xfId="29373"/>
    <cellStyle name="Output 6 2 3" xfId="29374"/>
    <cellStyle name="Output 6 2 4" xfId="29375"/>
    <cellStyle name="Output 6 2 5" xfId="29376"/>
    <cellStyle name="Output 6 3" xfId="29377"/>
    <cellStyle name="Output 6 3 2" xfId="29378"/>
    <cellStyle name="Output 6 3 2 2" xfId="29379"/>
    <cellStyle name="Output 6 3 2 3" xfId="29380"/>
    <cellStyle name="Output 6 3 2 4" xfId="29381"/>
    <cellStyle name="Output 6 3 3" xfId="29382"/>
    <cellStyle name="Output 6 3 4" xfId="29383"/>
    <cellStyle name="Output 6 3 5" xfId="29384"/>
    <cellStyle name="Output 6 4" xfId="29385"/>
    <cellStyle name="Output 6 4 2" xfId="29386"/>
    <cellStyle name="Output 6 4 2 2" xfId="29387"/>
    <cellStyle name="Output 6 4 2 3" xfId="29388"/>
    <cellStyle name="Output 6 4 2 4" xfId="29389"/>
    <cellStyle name="Output 6 4 3" xfId="29390"/>
    <cellStyle name="Output 6 4 4" xfId="29391"/>
    <cellStyle name="Output 6 4 5" xfId="29392"/>
    <cellStyle name="Output 6 5" xfId="29393"/>
    <cellStyle name="Output 6 5 2" xfId="29394"/>
    <cellStyle name="Output 6 5 2 2" xfId="29395"/>
    <cellStyle name="Output 6 5 2 3" xfId="29396"/>
    <cellStyle name="Output 6 5 2 4" xfId="29397"/>
    <cellStyle name="Output 6 5 3" xfId="29398"/>
    <cellStyle name="Output 6 5 4" xfId="29399"/>
    <cellStyle name="Output 6 5 5" xfId="29400"/>
    <cellStyle name="Output 6 6" xfId="29401"/>
    <cellStyle name="Output 6 6 2" xfId="29402"/>
    <cellStyle name="Output 6 6 2 2" xfId="29403"/>
    <cellStyle name="Output 6 6 2 3" xfId="29404"/>
    <cellStyle name="Output 6 6 2 4" xfId="29405"/>
    <cellStyle name="Output 6 6 3" xfId="29406"/>
    <cellStyle name="Output 6 6 4" xfId="29407"/>
    <cellStyle name="Output 6 6 5" xfId="29408"/>
    <cellStyle name="Output 6 7" xfId="29409"/>
    <cellStyle name="Output 6 7 2" xfId="29410"/>
    <cellStyle name="Output 6 7 2 2" xfId="29411"/>
    <cellStyle name="Output 6 7 2 3" xfId="29412"/>
    <cellStyle name="Output 6 7 2 4" xfId="29413"/>
    <cellStyle name="Output 6 7 3" xfId="29414"/>
    <cellStyle name="Output 6 7 4" xfId="29415"/>
    <cellStyle name="Output 6 7 5" xfId="29416"/>
    <cellStyle name="Output 6 8" xfId="29417"/>
    <cellStyle name="Output 6 8 2" xfId="29418"/>
    <cellStyle name="Output 6 8 2 2" xfId="29419"/>
    <cellStyle name="Output 6 8 2 3" xfId="29420"/>
    <cellStyle name="Output 6 8 2 4" xfId="29421"/>
    <cellStyle name="Output 6 8 3" xfId="29422"/>
    <cellStyle name="Output 6 8 4" xfId="29423"/>
    <cellStyle name="Output 6 8 5" xfId="29424"/>
    <cellStyle name="Output 6 9" xfId="29425"/>
    <cellStyle name="Output 6 9 2" xfId="29426"/>
    <cellStyle name="Output 6 9 2 2" xfId="29427"/>
    <cellStyle name="Output 6 9 2 3" xfId="29428"/>
    <cellStyle name="Output 6 9 2 4" xfId="29429"/>
    <cellStyle name="Output 6 9 3" xfId="29430"/>
    <cellStyle name="Output 6 9 4" xfId="29431"/>
    <cellStyle name="Output 6 9 5" xfId="29432"/>
    <cellStyle name="Output 7" xfId="29433"/>
    <cellStyle name="Output 7 2" xfId="29434"/>
    <cellStyle name="Output 7 2 2" xfId="29435"/>
    <cellStyle name="Output 7 2 2 2" xfId="29436"/>
    <cellStyle name="Output 7 2 2 3" xfId="29437"/>
    <cellStyle name="Output 7 2 2 4" xfId="29438"/>
    <cellStyle name="Output 7 2 3" xfId="29439"/>
    <cellStyle name="Output 7 2 4" xfId="29440"/>
    <cellStyle name="Output 7 2 5" xfId="29441"/>
    <cellStyle name="Output 7 3" xfId="29442"/>
    <cellStyle name="Output 7 3 2" xfId="29443"/>
    <cellStyle name="Output 7 3 2 2" xfId="29444"/>
    <cellStyle name="Output 7 3 2 3" xfId="29445"/>
    <cellStyle name="Output 7 3 2 4" xfId="29446"/>
    <cellStyle name="Output 7 3 3" xfId="29447"/>
    <cellStyle name="Output 7 3 4" xfId="29448"/>
    <cellStyle name="Output 7 3 5" xfId="29449"/>
    <cellStyle name="Output 7 4" xfId="29450"/>
    <cellStyle name="Output 7 4 2" xfId="29451"/>
    <cellStyle name="Output 7 4 2 2" xfId="29452"/>
    <cellStyle name="Output 7 4 2 3" xfId="29453"/>
    <cellStyle name="Output 7 4 2 4" xfId="29454"/>
    <cellStyle name="Output 7 4 3" xfId="29455"/>
    <cellStyle name="Output 7 4 4" xfId="29456"/>
    <cellStyle name="Output 7 4 5" xfId="29457"/>
    <cellStyle name="Output 7 5" xfId="29458"/>
    <cellStyle name="Output 7 5 2" xfId="29459"/>
    <cellStyle name="Output 7 5 3" xfId="29460"/>
    <cellStyle name="Output 7 5 4" xfId="29461"/>
    <cellStyle name="Output 7 6" xfId="29462"/>
    <cellStyle name="Output 7 6 2" xfId="29463"/>
    <cellStyle name="Output 7 6 3" xfId="29464"/>
    <cellStyle name="Output 7 6 4" xfId="29465"/>
    <cellStyle name="Output 7 7" xfId="29466"/>
    <cellStyle name="Output 7 8" xfId="29467"/>
    <cellStyle name="Output 7 9" xfId="29468"/>
    <cellStyle name="Output 8" xfId="29469"/>
    <cellStyle name="Output 8 2" xfId="29470"/>
    <cellStyle name="Output 8 2 2" xfId="29471"/>
    <cellStyle name="Output 8 2 3" xfId="29472"/>
    <cellStyle name="Output 8 2 4" xfId="29473"/>
    <cellStyle name="Output 8 3" xfId="29474"/>
    <cellStyle name="Output 8 3 2" xfId="29475"/>
    <cellStyle name="Output 8 3 3" xfId="29476"/>
    <cellStyle name="Output 8 3 4" xfId="29477"/>
    <cellStyle name="Output 8 4" xfId="29478"/>
    <cellStyle name="Output 8 5" xfId="29479"/>
    <cellStyle name="Output 8 6" xfId="29480"/>
    <cellStyle name="Output 9" xfId="29481"/>
    <cellStyle name="Output 9 2" xfId="29482"/>
    <cellStyle name="Output 9 2 2" xfId="29483"/>
    <cellStyle name="Output 9 2 3" xfId="29484"/>
    <cellStyle name="Output 9 2 4" xfId="29485"/>
    <cellStyle name="Output 9 3" xfId="29486"/>
    <cellStyle name="Output 9 3 2" xfId="29487"/>
    <cellStyle name="Output 9 3 3" xfId="29488"/>
    <cellStyle name="Output 9 3 4" xfId="29489"/>
    <cellStyle name="Output 9 4" xfId="29490"/>
    <cellStyle name="Output 9 5" xfId="29491"/>
    <cellStyle name="Output 9 6" xfId="29492"/>
    <cellStyle name="Output Amounts" xfId="29493"/>
    <cellStyle name="Output Column Headings" xfId="29494"/>
    <cellStyle name="Output Line Items" xfId="29495"/>
    <cellStyle name="Output Report Heading" xfId="29496"/>
    <cellStyle name="Output Report Title" xfId="29497"/>
    <cellStyle name="p" xfId="29498"/>
    <cellStyle name="p " xfId="29499"/>
    <cellStyle name="p  2" xfId="29500"/>
    <cellStyle name="p  3" xfId="29501"/>
    <cellStyle name="p  4" xfId="29502"/>
    <cellStyle name="p  5" xfId="29503"/>
    <cellStyle name="p  6" xfId="29504"/>
    <cellStyle name="p  7" xfId="29505"/>
    <cellStyle name="p  8" xfId="29506"/>
    <cellStyle name="P&amp;L Numbers" xfId="29507"/>
    <cellStyle name="Page Heading" xfId="29508"/>
    <cellStyle name="Page Heading Large" xfId="29509"/>
    <cellStyle name="Page Heading Small" xfId="29510"/>
    <cellStyle name="Page Number" xfId="29511"/>
    <cellStyle name="paint" xfId="29512"/>
    <cellStyle name="paint 10" xfId="29513"/>
    <cellStyle name="paint 11" xfId="29514"/>
    <cellStyle name="paint 12" xfId="29515"/>
    <cellStyle name="paint 13" xfId="29516"/>
    <cellStyle name="paint 2" xfId="29517"/>
    <cellStyle name="paint 3" xfId="29518"/>
    <cellStyle name="paint 4" xfId="29519"/>
    <cellStyle name="paint 5" xfId="29520"/>
    <cellStyle name="paint 6" xfId="29521"/>
    <cellStyle name="paint 7" xfId="29522"/>
    <cellStyle name="paint 8" xfId="29523"/>
    <cellStyle name="paint 9" xfId="29524"/>
    <cellStyle name="Patterna" xfId="29525"/>
    <cellStyle name="pd" xfId="29526"/>
    <cellStyle name="Pence" xfId="29527"/>
    <cellStyle name="per.style" xfId="29528"/>
    <cellStyle name="Percen - Style2" xfId="29529"/>
    <cellStyle name="Percent" xfId="1" builtinId="5"/>
    <cellStyle name="Percent [0]" xfId="29906"/>
    <cellStyle name="Percent [0] 10" xfId="29907"/>
    <cellStyle name="Percent [0] 2" xfId="29908"/>
    <cellStyle name="Percent [0] 3" xfId="29909"/>
    <cellStyle name="Percent [0] 4" xfId="29910"/>
    <cellStyle name="Percent [0] 5" xfId="29911"/>
    <cellStyle name="Percent [0] 6" xfId="29912"/>
    <cellStyle name="Percent [0] 7" xfId="29913"/>
    <cellStyle name="Percent [0] 8" xfId="29914"/>
    <cellStyle name="Percent [0] 9" xfId="29915"/>
    <cellStyle name="Percent [00]" xfId="29893"/>
    <cellStyle name="Percent [00] 10" xfId="29894"/>
    <cellStyle name="Percent [00] 11" xfId="29895"/>
    <cellStyle name="Percent [00] 2" xfId="29896"/>
    <cellStyle name="Percent [00] 2 2" xfId="29897"/>
    <cellStyle name="Percent [00] 3" xfId="29898"/>
    <cellStyle name="Percent [00] 3 2" xfId="29899"/>
    <cellStyle name="Percent [00] 4" xfId="29900"/>
    <cellStyle name="Percent [00] 5" xfId="29901"/>
    <cellStyle name="Percent [00] 6" xfId="29902"/>
    <cellStyle name="Percent [00] 7" xfId="29903"/>
    <cellStyle name="Percent [00] 8" xfId="29904"/>
    <cellStyle name="Percent [00] 9" xfId="29905"/>
    <cellStyle name="Percent [1]" xfId="29916"/>
    <cellStyle name="Percent [1] --" xfId="29917"/>
    <cellStyle name="Percent [1]_Budget Oberoi Commerz 2  3 R3_08052008 (3)" xfId="29918"/>
    <cellStyle name="Percent [2]" xfId="29919"/>
    <cellStyle name="Percent [2] 10" xfId="29920"/>
    <cellStyle name="Percent [2] 11" xfId="29921"/>
    <cellStyle name="Percent [2] 2" xfId="29922"/>
    <cellStyle name="Percent [2] 2 2" xfId="29923"/>
    <cellStyle name="Percent [2] 2 3" xfId="29924"/>
    <cellStyle name="Percent [2] 3" xfId="29925"/>
    <cellStyle name="Percent [2] 3 2" xfId="29926"/>
    <cellStyle name="Percent [2] 4" xfId="29927"/>
    <cellStyle name="Percent [2] 5" xfId="29928"/>
    <cellStyle name="Percent [2] 6" xfId="29929"/>
    <cellStyle name="Percent [2] 7" xfId="29930"/>
    <cellStyle name="Percent [2] 8" xfId="29931"/>
    <cellStyle name="Percent [2] 9" xfId="29932"/>
    <cellStyle name="Percent [2]_DLF Capital Greens -Consolidated Finishes BOQ Phase II " xfId="29933"/>
    <cellStyle name="Percent [3]" xfId="29934"/>
    <cellStyle name="Percent [3]--" xfId="29935"/>
    <cellStyle name="Percent [3]_Airport Road 24 July 2006 V4.0" xfId="29936"/>
    <cellStyle name="Percent 10" xfId="29530"/>
    <cellStyle name="Percent 10 2" xfId="29531"/>
    <cellStyle name="Percent 10 2 2" xfId="29532"/>
    <cellStyle name="Percent 10 3" xfId="29533"/>
    <cellStyle name="Percent 10 3 2" xfId="29534"/>
    <cellStyle name="Percent 10 3 3" xfId="29535"/>
    <cellStyle name="Percent 10 4" xfId="29536"/>
    <cellStyle name="Percent 10 5" xfId="29537"/>
    <cellStyle name="Percent 11" xfId="29538"/>
    <cellStyle name="Percent 11 2" xfId="29539"/>
    <cellStyle name="Percent 12" xfId="29540"/>
    <cellStyle name="Percent 12 2" xfId="29541"/>
    <cellStyle name="Percent 12 3" xfId="29542"/>
    <cellStyle name="Percent 12 4" xfId="29543"/>
    <cellStyle name="Percent 12 4 2" xfId="29544"/>
    <cellStyle name="Percent 12 4 3" xfId="29545"/>
    <cellStyle name="Percent 12 5" xfId="29546"/>
    <cellStyle name="Percent 12 6" xfId="29547"/>
    <cellStyle name="Percent 13" xfId="29548"/>
    <cellStyle name="Percent 13 2" xfId="29549"/>
    <cellStyle name="Percent 13 3" xfId="29550"/>
    <cellStyle name="Percent 13 3 2" xfId="29551"/>
    <cellStyle name="Percent 13 3 3" xfId="29552"/>
    <cellStyle name="Percent 13 4" xfId="29553"/>
    <cellStyle name="Percent 13 5" xfId="29554"/>
    <cellStyle name="Percent 14" xfId="29555"/>
    <cellStyle name="Percent 14 2" xfId="29556"/>
    <cellStyle name="Percent 14 2 2" xfId="29557"/>
    <cellStyle name="Percent 14 2 3" xfId="29558"/>
    <cellStyle name="Percent 14 3" xfId="29559"/>
    <cellStyle name="Percent 14 4" xfId="29560"/>
    <cellStyle name="Percent 15" xfId="29561"/>
    <cellStyle name="Percent 16" xfId="29562"/>
    <cellStyle name="Percent 17" xfId="29563"/>
    <cellStyle name="Percent 18" xfId="29564"/>
    <cellStyle name="Percent 19" xfId="29565"/>
    <cellStyle name="Percent 2" xfId="29566"/>
    <cellStyle name="Percent 2 10" xfId="29567"/>
    <cellStyle name="Percent 2 11" xfId="29568"/>
    <cellStyle name="Percent 2 12" xfId="29569"/>
    <cellStyle name="Percent 2 13" xfId="29570"/>
    <cellStyle name="Percent 2 14" xfId="29571"/>
    <cellStyle name="Percent 2 15" xfId="29572"/>
    <cellStyle name="Percent 2 16" xfId="29573"/>
    <cellStyle name="Percent 2 17" xfId="29574"/>
    <cellStyle name="Percent 2 18" xfId="29575"/>
    <cellStyle name="Percent 2 19" xfId="29576"/>
    <cellStyle name="Percent 2 2" xfId="29577"/>
    <cellStyle name="Percent 2 2 10" xfId="29578"/>
    <cellStyle name="Percent 2 2 11" xfId="29579"/>
    <cellStyle name="Percent 2 2 12" xfId="29580"/>
    <cellStyle name="Percent 2 2 13" xfId="29581"/>
    <cellStyle name="Percent 2 2 14" xfId="29582"/>
    <cellStyle name="Percent 2 2 15" xfId="29583"/>
    <cellStyle name="Percent 2 2 16" xfId="29584"/>
    <cellStyle name="Percent 2 2 17" xfId="29585"/>
    <cellStyle name="Percent 2 2 18" xfId="29586"/>
    <cellStyle name="Percent 2 2 19" xfId="29587"/>
    <cellStyle name="Percent 2 2 2" xfId="29588"/>
    <cellStyle name="Percent 2 2 3" xfId="29589"/>
    <cellStyle name="Percent 2 2 4" xfId="29590"/>
    <cellStyle name="Percent 2 2 5" xfId="29591"/>
    <cellStyle name="Percent 2 2 6" xfId="29592"/>
    <cellStyle name="Percent 2 2 7" xfId="29593"/>
    <cellStyle name="Percent 2 2 8" xfId="29594"/>
    <cellStyle name="Percent 2 2 9" xfId="29595"/>
    <cellStyle name="Percent 2 20" xfId="29596"/>
    <cellStyle name="Percent 2 21" xfId="29597"/>
    <cellStyle name="Percent 2 22" xfId="29598"/>
    <cellStyle name="Percent 2 23" xfId="29599"/>
    <cellStyle name="Percent 2 24" xfId="29600"/>
    <cellStyle name="Percent 2 25" xfId="29601"/>
    <cellStyle name="Percent 2 26" xfId="29602"/>
    <cellStyle name="Percent 2 27" xfId="29603"/>
    <cellStyle name="Percent 2 28" xfId="29604"/>
    <cellStyle name="Percent 2 29" xfId="29605"/>
    <cellStyle name="Percent 2 3" xfId="29606"/>
    <cellStyle name="Percent 2 3 10" xfId="29607"/>
    <cellStyle name="Percent 2 3 2" xfId="29608"/>
    <cellStyle name="Percent 2 3 2 2" xfId="29609"/>
    <cellStyle name="Percent 2 3 2 3" xfId="29610"/>
    <cellStyle name="Percent 2 3 2 4" xfId="29611"/>
    <cellStyle name="Percent 2 3 2 5" xfId="29612"/>
    <cellStyle name="Percent 2 3 2 6" xfId="29613"/>
    <cellStyle name="Percent 2 3 2 7" xfId="29614"/>
    <cellStyle name="Percent 2 3 2 8" xfId="29615"/>
    <cellStyle name="Percent 2 3 2 9" xfId="29616"/>
    <cellStyle name="Percent 2 3 3" xfId="29617"/>
    <cellStyle name="Percent 2 3 4" xfId="29618"/>
    <cellStyle name="Percent 2 3 5" xfId="29619"/>
    <cellStyle name="Percent 2 3 6" xfId="29620"/>
    <cellStyle name="Percent 2 3 7" xfId="29621"/>
    <cellStyle name="Percent 2 3 8" xfId="29622"/>
    <cellStyle name="Percent 2 3 9" xfId="29623"/>
    <cellStyle name="Percent 2 30" xfId="29624"/>
    <cellStyle name="Percent 2 31" xfId="29625"/>
    <cellStyle name="Percent 2 32" xfId="29626"/>
    <cellStyle name="Percent 2 33" xfId="29627"/>
    <cellStyle name="Percent 2 34" xfId="29628"/>
    <cellStyle name="Percent 2 35" xfId="29629"/>
    <cellStyle name="Percent 2 36" xfId="29630"/>
    <cellStyle name="Percent 2 37" xfId="29631"/>
    <cellStyle name="Percent 2 4" xfId="29632"/>
    <cellStyle name="Percent 2 5" xfId="29633"/>
    <cellStyle name="Percent 2 5 2" xfId="29634"/>
    <cellStyle name="Percent 2 6" xfId="29635"/>
    <cellStyle name="Percent 2 7" xfId="29636"/>
    <cellStyle name="Percent 2 8" xfId="29637"/>
    <cellStyle name="Percent 2 9" xfId="29638"/>
    <cellStyle name="Percent 2_281210 EOT PLAMA" xfId="29669"/>
    <cellStyle name="Percent 20" xfId="29639"/>
    <cellStyle name="Percent 21" xfId="29640"/>
    <cellStyle name="Percent 22" xfId="29641"/>
    <cellStyle name="Percent 23" xfId="29642"/>
    <cellStyle name="Percent 24" xfId="29643"/>
    <cellStyle name="Percent 25" xfId="29644"/>
    <cellStyle name="Percent 26" xfId="29645"/>
    <cellStyle name="Percent 26 2" xfId="29646"/>
    <cellStyle name="Percent 26 2 2" xfId="29647"/>
    <cellStyle name="Percent 26 2 3" xfId="29648"/>
    <cellStyle name="Percent 26 3" xfId="29649"/>
    <cellStyle name="Percent 26 4" xfId="29650"/>
    <cellStyle name="Percent 27" xfId="29651"/>
    <cellStyle name="Percent 27 2" xfId="29652"/>
    <cellStyle name="Percent 27 2 2" xfId="29653"/>
    <cellStyle name="Percent 27 2 3" xfId="29654"/>
    <cellStyle name="Percent 27 3" xfId="29655"/>
    <cellStyle name="Percent 27 4" xfId="29656"/>
    <cellStyle name="Percent 28" xfId="29657"/>
    <cellStyle name="Percent 28 2" xfId="29658"/>
    <cellStyle name="Percent 28 2 2" xfId="29659"/>
    <cellStyle name="Percent 28 2 3" xfId="29660"/>
    <cellStyle name="Percent 28 3" xfId="29661"/>
    <cellStyle name="Percent 28 4" xfId="29662"/>
    <cellStyle name="Percent 29" xfId="29663"/>
    <cellStyle name="Percent 29 2" xfId="29664"/>
    <cellStyle name="Percent 29 2 2" xfId="29665"/>
    <cellStyle name="Percent 29 2 3" xfId="29666"/>
    <cellStyle name="Percent 29 3" xfId="29667"/>
    <cellStyle name="Percent 29 4" xfId="29668"/>
    <cellStyle name="Percent 3" xfId="29670"/>
    <cellStyle name="Percent 3 10" xfId="29671"/>
    <cellStyle name="Percent 3 11" xfId="29672"/>
    <cellStyle name="Percent 3 12" xfId="29673"/>
    <cellStyle name="Percent 3 13" xfId="29674"/>
    <cellStyle name="Percent 3 14" xfId="29675"/>
    <cellStyle name="Percent 3 15" xfId="29676"/>
    <cellStyle name="Percent 3 16" xfId="29677"/>
    <cellStyle name="Percent 3 17" xfId="29678"/>
    <cellStyle name="Percent 3 18" xfId="29679"/>
    <cellStyle name="Percent 3 19" xfId="29680"/>
    <cellStyle name="Percent 3 2" xfId="29681"/>
    <cellStyle name="Percent 3 2 10" xfId="29682"/>
    <cellStyle name="Percent 3 2 11" xfId="29683"/>
    <cellStyle name="Percent 3 2 12" xfId="29684"/>
    <cellStyle name="Percent 3 2 12 2" xfId="29685"/>
    <cellStyle name="Percent 3 2 12 3" xfId="29686"/>
    <cellStyle name="Percent 3 2 13" xfId="29687"/>
    <cellStyle name="Percent 3 2 13 2" xfId="29688"/>
    <cellStyle name="Percent 3 2 13 3" xfId="29689"/>
    <cellStyle name="Percent 3 2 14" xfId="29690"/>
    <cellStyle name="Percent 3 2 15" xfId="29691"/>
    <cellStyle name="Percent 3 2 16" xfId="29692"/>
    <cellStyle name="Percent 3 2 2" xfId="29693"/>
    <cellStyle name="Percent 3 2 2 2" xfId="29694"/>
    <cellStyle name="Percent 3 2 2 2 2" xfId="29695"/>
    <cellStyle name="Percent 3 2 2 2 3" xfId="29696"/>
    <cellStyle name="Percent 3 2 2 2 4" xfId="29697"/>
    <cellStyle name="Percent 3 2 2 2 5" xfId="29698"/>
    <cellStyle name="Percent 3 2 2 3" xfId="29699"/>
    <cellStyle name="Percent 3 2 2 4" xfId="29700"/>
    <cellStyle name="Percent 3 2 2 5" xfId="29701"/>
    <cellStyle name="Percent 3 2 3" xfId="29702"/>
    <cellStyle name="Percent 3 2 3 2" xfId="29703"/>
    <cellStyle name="Percent 3 2 3 2 2" xfId="29704"/>
    <cellStyle name="Percent 3 2 3 2 3" xfId="29705"/>
    <cellStyle name="Percent 3 2 4" xfId="29706"/>
    <cellStyle name="Percent 3 2 4 2" xfId="29707"/>
    <cellStyle name="Percent 3 2 4 2 2" xfId="29708"/>
    <cellStyle name="Percent 3 2 4 2 3" xfId="29709"/>
    <cellStyle name="Percent 3 2 5" xfId="29710"/>
    <cellStyle name="Percent 3 2 5 2" xfId="29711"/>
    <cellStyle name="Percent 3 2 5 2 2" xfId="29712"/>
    <cellStyle name="Percent 3 2 5 2 3" xfId="29713"/>
    <cellStyle name="Percent 3 2 6" xfId="29714"/>
    <cellStyle name="Percent 3 2 6 2" xfId="29715"/>
    <cellStyle name="Percent 3 2 6 2 2" xfId="29716"/>
    <cellStyle name="Percent 3 2 6 2 3" xfId="29717"/>
    <cellStyle name="Percent 3 2 7" xfId="29718"/>
    <cellStyle name="Percent 3 2 7 2" xfId="29719"/>
    <cellStyle name="Percent 3 2 7 2 2" xfId="29720"/>
    <cellStyle name="Percent 3 2 7 2 3" xfId="29721"/>
    <cellStyle name="Percent 3 2 8" xfId="29722"/>
    <cellStyle name="Percent 3 2 8 2" xfId="29723"/>
    <cellStyle name="Percent 3 2 8 2 2" xfId="29724"/>
    <cellStyle name="Percent 3 2 8 2 3" xfId="29725"/>
    <cellStyle name="Percent 3 2 9" xfId="29726"/>
    <cellStyle name="Percent 3 20" xfId="29727"/>
    <cellStyle name="Percent 3 21" xfId="29728"/>
    <cellStyle name="Percent 3 22" xfId="29729"/>
    <cellStyle name="Percent 3 23" xfId="29730"/>
    <cellStyle name="Percent 3 24" xfId="29731"/>
    <cellStyle name="Percent 3 25" xfId="29732"/>
    <cellStyle name="Percent 3 26" xfId="29733"/>
    <cellStyle name="Percent 3 27" xfId="29734"/>
    <cellStyle name="Percent 3 28" xfId="29735"/>
    <cellStyle name="Percent 3 29" xfId="29736"/>
    <cellStyle name="Percent 3 3" xfId="29737"/>
    <cellStyle name="Percent 3 3 2" xfId="29738"/>
    <cellStyle name="Percent 3 3 3" xfId="29739"/>
    <cellStyle name="Percent 3 3 4" xfId="29740"/>
    <cellStyle name="Percent 3 3 5" xfId="29741"/>
    <cellStyle name="Percent 3 3 6" xfId="29742"/>
    <cellStyle name="Percent 3 3 7" xfId="29743"/>
    <cellStyle name="Percent 3 3 8" xfId="29744"/>
    <cellStyle name="Percent 3 3 9" xfId="29745"/>
    <cellStyle name="Percent 3 30" xfId="29746"/>
    <cellStyle name="Percent 3 31" xfId="29747"/>
    <cellStyle name="Percent 3 32" xfId="29748"/>
    <cellStyle name="Percent 3 33" xfId="29749"/>
    <cellStyle name="Percent 3 34" xfId="29750"/>
    <cellStyle name="Percent 3 35" xfId="29751"/>
    <cellStyle name="Percent 3 36" xfId="29752"/>
    <cellStyle name="Percent 3 37" xfId="29753"/>
    <cellStyle name="Percent 3 38" xfId="29754"/>
    <cellStyle name="Percent 3 39" xfId="29755"/>
    <cellStyle name="Percent 3 4" xfId="29756"/>
    <cellStyle name="Percent 3 40" xfId="29757"/>
    <cellStyle name="Percent 3 41" xfId="29758"/>
    <cellStyle name="Percent 3 42" xfId="29759"/>
    <cellStyle name="Percent 3 43" xfId="29760"/>
    <cellStyle name="Percent 3 44" xfId="29761"/>
    <cellStyle name="Percent 3 45" xfId="29762"/>
    <cellStyle name="Percent 3 46" xfId="29763"/>
    <cellStyle name="Percent 3 47" xfId="29764"/>
    <cellStyle name="Percent 3 48" xfId="29765"/>
    <cellStyle name="Percent 3 49" xfId="29766"/>
    <cellStyle name="Percent 3 5" xfId="29767"/>
    <cellStyle name="Percent 3 50" xfId="29768"/>
    <cellStyle name="Percent 3 51" xfId="29769"/>
    <cellStyle name="Percent 3 52" xfId="29770"/>
    <cellStyle name="Percent 3 53" xfId="29771"/>
    <cellStyle name="Percent 3 54" xfId="29772"/>
    <cellStyle name="Percent 3 55" xfId="29773"/>
    <cellStyle name="Percent 3 56" xfId="29774"/>
    <cellStyle name="Percent 3 57" xfId="29775"/>
    <cellStyle name="Percent 3 58" xfId="29776"/>
    <cellStyle name="Percent 3 59" xfId="29777"/>
    <cellStyle name="Percent 3 6" xfId="29778"/>
    <cellStyle name="Percent 3 60" xfId="29779"/>
    <cellStyle name="Percent 3 7" xfId="29780"/>
    <cellStyle name="Percent 3 7 2" xfId="29781"/>
    <cellStyle name="Percent 3 7 2 2" xfId="29782"/>
    <cellStyle name="Percent 3 7 2 2 2" xfId="29783"/>
    <cellStyle name="Percent 3 7 2 2 3" xfId="29784"/>
    <cellStyle name="Percent 3 7 2 3" xfId="29785"/>
    <cellStyle name="Percent 3 7 2 4" xfId="29786"/>
    <cellStyle name="Percent 3 7 3" xfId="29787"/>
    <cellStyle name="Percent 3 7 3 2" xfId="29788"/>
    <cellStyle name="Percent 3 7 3 2 2" xfId="29789"/>
    <cellStyle name="Percent 3 7 3 2 3" xfId="29790"/>
    <cellStyle name="Percent 3 7 3 3" xfId="29791"/>
    <cellStyle name="Percent 3 7 3 4" xfId="29792"/>
    <cellStyle name="Percent 3 7 4" xfId="29793"/>
    <cellStyle name="Percent 3 7 4 2" xfId="29794"/>
    <cellStyle name="Percent 3 7 4 2 2" xfId="29795"/>
    <cellStyle name="Percent 3 7 4 2 3" xfId="29796"/>
    <cellStyle name="Percent 3 7 4 3" xfId="29797"/>
    <cellStyle name="Percent 3 7 4 4" xfId="29798"/>
    <cellStyle name="Percent 3 7 5" xfId="29799"/>
    <cellStyle name="Percent 3 7 5 2" xfId="29800"/>
    <cellStyle name="Percent 3 7 5 2 2" xfId="29801"/>
    <cellStyle name="Percent 3 7 5 2 3" xfId="29802"/>
    <cellStyle name="Percent 3 7 5 3" xfId="29803"/>
    <cellStyle name="Percent 3 7 5 4" xfId="29804"/>
    <cellStyle name="Percent 3 8" xfId="29805"/>
    <cellStyle name="Percent 3 8 2" xfId="29806"/>
    <cellStyle name="Percent 3 8 2 2" xfId="29807"/>
    <cellStyle name="Percent 3 8 2 2 2" xfId="29808"/>
    <cellStyle name="Percent 3 8 2 2 3" xfId="29809"/>
    <cellStyle name="Percent 3 8 2 3" xfId="29810"/>
    <cellStyle name="Percent 3 8 2 4" xfId="29811"/>
    <cellStyle name="Percent 3 8 3" xfId="29812"/>
    <cellStyle name="Percent 3 8 3 2" xfId="29813"/>
    <cellStyle name="Percent 3 8 3 2 2" xfId="29814"/>
    <cellStyle name="Percent 3 8 3 2 3" xfId="29815"/>
    <cellStyle name="Percent 3 8 3 3" xfId="29816"/>
    <cellStyle name="Percent 3 8 3 4" xfId="29817"/>
    <cellStyle name="Percent 3 9" xfId="29818"/>
    <cellStyle name="Percent 30" xfId="29819"/>
    <cellStyle name="Percent 30 2" xfId="29820"/>
    <cellStyle name="Percent 30 2 2" xfId="29821"/>
    <cellStyle name="Percent 30 2 3" xfId="29822"/>
    <cellStyle name="Percent 30 3" xfId="29823"/>
    <cellStyle name="Percent 30 4" xfId="29824"/>
    <cellStyle name="Percent 31" xfId="29825"/>
    <cellStyle name="Percent 32" xfId="29826"/>
    <cellStyle name="Percent 33" xfId="29827"/>
    <cellStyle name="Percent 34" xfId="29828"/>
    <cellStyle name="Percent 35" xfId="29829"/>
    <cellStyle name="Percent 36" xfId="29830"/>
    <cellStyle name="Percent 37" xfId="29831"/>
    <cellStyle name="Percent 38" xfId="29832"/>
    <cellStyle name="Percent 39" xfId="29833"/>
    <cellStyle name="Percent 4" xfId="29834"/>
    <cellStyle name="Percent 4 2" xfId="29835"/>
    <cellStyle name="Percent 4 2 10" xfId="29836"/>
    <cellStyle name="Percent 4 2 2" xfId="29837"/>
    <cellStyle name="Percent 4 2 3" xfId="29838"/>
    <cellStyle name="Percent 4 2 4" xfId="29839"/>
    <cellStyle name="Percent 4 2 5" xfId="29840"/>
    <cellStyle name="Percent 4 2 6" xfId="29841"/>
    <cellStyle name="Percent 4 2 7" xfId="29842"/>
    <cellStyle name="Percent 4 2 8" xfId="29843"/>
    <cellStyle name="Percent 4 2 9" xfId="29844"/>
    <cellStyle name="Percent 4 3" xfId="29845"/>
    <cellStyle name="Percent 4 4" xfId="29846"/>
    <cellStyle name="Percent 40" xfId="29847"/>
    <cellStyle name="Percent 41" xfId="29848"/>
    <cellStyle name="Percent 5" xfId="29849"/>
    <cellStyle name="Percent 5 2" xfId="29850"/>
    <cellStyle name="Percent 5 2 2" xfId="29851"/>
    <cellStyle name="Percent 5 2 3" xfId="29852"/>
    <cellStyle name="Percent 5 2 4" xfId="29853"/>
    <cellStyle name="Percent 5 2 5" xfId="29854"/>
    <cellStyle name="Percent 5 2 6" xfId="29855"/>
    <cellStyle name="Percent 5 2 7" xfId="29856"/>
    <cellStyle name="Percent 5 2 8" xfId="29857"/>
    <cellStyle name="Percent 5 2 9" xfId="29858"/>
    <cellStyle name="Percent 5 3" xfId="29859"/>
    <cellStyle name="Percent 5 3 2" xfId="29860"/>
    <cellStyle name="Percent 5 4" xfId="29861"/>
    <cellStyle name="Percent 6" xfId="29862"/>
    <cellStyle name="Percent 6 2" xfId="29863"/>
    <cellStyle name="Percent 6 2 2" xfId="29864"/>
    <cellStyle name="Percent 7" xfId="29865"/>
    <cellStyle name="Percent 7 2" xfId="29866"/>
    <cellStyle name="Percent 7 2 2" xfId="29867"/>
    <cellStyle name="Percent 7 3" xfId="29868"/>
    <cellStyle name="Percent 7 4" xfId="29869"/>
    <cellStyle name="Percent 7 5" xfId="29870"/>
    <cellStyle name="Percent 7 6" xfId="29871"/>
    <cellStyle name="Percent 7 7" xfId="29872"/>
    <cellStyle name="Percent 7 8" xfId="29873"/>
    <cellStyle name="Percent 7 9" xfId="29874"/>
    <cellStyle name="Percent 8" xfId="29875"/>
    <cellStyle name="Percent 8 2" xfId="29876"/>
    <cellStyle name="Percent 8 2 2" xfId="29877"/>
    <cellStyle name="Percent 8 2 2 2" xfId="29878"/>
    <cellStyle name="Percent 8 2 2 2 2" xfId="29879"/>
    <cellStyle name="Percent 8 2 2 2 2 2" xfId="29880"/>
    <cellStyle name="Percent 8 2 2 2 2 3" xfId="29881"/>
    <cellStyle name="Percent 8 2 2 2 3" xfId="29882"/>
    <cellStyle name="Percent 8 2 2 2 4" xfId="29883"/>
    <cellStyle name="Percent 8 2 2 3" xfId="29884"/>
    <cellStyle name="Percent 8 2 2 3 2" xfId="29885"/>
    <cellStyle name="Percent 8 2 2 3 3" xfId="29886"/>
    <cellStyle name="Percent 8 2 2 4" xfId="29887"/>
    <cellStyle name="Percent 8 2 2 5" xfId="29888"/>
    <cellStyle name="Percent 8 3" xfId="29889"/>
    <cellStyle name="Percent 9" xfId="29890"/>
    <cellStyle name="Percent 9 2" xfId="29891"/>
    <cellStyle name="Percent 9 3" xfId="29892"/>
    <cellStyle name="percent had" xfId="29937"/>
    <cellStyle name="percent har" xfId="29938"/>
    <cellStyle name="Percent Hard" xfId="29939"/>
    <cellStyle name="Percent*" xfId="29940"/>
    <cellStyle name="Percent1" xfId="29941"/>
    <cellStyle name="PERCENTAGE" xfId="29942"/>
    <cellStyle name="percentr" xfId="29943"/>
    <cellStyle name="PercentSales" xfId="29944"/>
    <cellStyle name="percnet" xfId="29945"/>
    <cellStyle name="percnet 2" xfId="29946"/>
    <cellStyle name="perecent" xfId="29947"/>
    <cellStyle name="Periode" xfId="29948"/>
    <cellStyle name="pf" xfId="29949"/>
    <cellStyle name="Pf / kWh" xfId="29950"/>
    <cellStyle name="Poneet Standard" xfId="29951"/>
    <cellStyle name="Popis" xfId="29952"/>
    <cellStyle name="pound" xfId="29953"/>
    <cellStyle name="Pounds" xfId="29954"/>
    <cellStyle name="Pounds.00" xfId="29955"/>
    <cellStyle name="Pourcentage_PLDT" xfId="29956"/>
    <cellStyle name="pp" xfId="29957"/>
    <cellStyle name="ppp" xfId="29958"/>
    <cellStyle name="prabhakar" xfId="29959"/>
    <cellStyle name="PrePop Currency (0)" xfId="29960"/>
    <cellStyle name="PrePop Currency (0) 10" xfId="29961"/>
    <cellStyle name="PrePop Currency (0) 11" xfId="29962"/>
    <cellStyle name="PrePop Currency (0) 2" xfId="29963"/>
    <cellStyle name="PrePop Currency (0) 2 2" xfId="29964"/>
    <cellStyle name="PrePop Currency (0) 3" xfId="29965"/>
    <cellStyle name="PrePop Currency (0) 3 2" xfId="29966"/>
    <cellStyle name="PrePop Currency (0) 4" xfId="29967"/>
    <cellStyle name="PrePop Currency (0) 5" xfId="29968"/>
    <cellStyle name="PrePop Currency (0) 6" xfId="29969"/>
    <cellStyle name="PrePop Currency (0) 7" xfId="29970"/>
    <cellStyle name="PrePop Currency (0) 8" xfId="29971"/>
    <cellStyle name="PrePop Currency (0) 9" xfId="29972"/>
    <cellStyle name="PrePop Currency (2)" xfId="29973"/>
    <cellStyle name="PrePop Units (0)" xfId="29974"/>
    <cellStyle name="PrePop Units (0) 10" xfId="29975"/>
    <cellStyle name="PrePop Units (0) 11" xfId="29976"/>
    <cellStyle name="PrePop Units (0) 2" xfId="29977"/>
    <cellStyle name="PrePop Units (0) 2 2" xfId="29978"/>
    <cellStyle name="PrePop Units (0) 3" xfId="29979"/>
    <cellStyle name="PrePop Units (0) 3 2" xfId="29980"/>
    <cellStyle name="PrePop Units (0) 4" xfId="29981"/>
    <cellStyle name="PrePop Units (0) 5" xfId="29982"/>
    <cellStyle name="PrePop Units (0) 6" xfId="29983"/>
    <cellStyle name="PrePop Units (0) 7" xfId="29984"/>
    <cellStyle name="PrePop Units (0) 8" xfId="29985"/>
    <cellStyle name="PrePop Units (0) 9" xfId="29986"/>
    <cellStyle name="PrePop Units (1)" xfId="29987"/>
    <cellStyle name="PrePop Units (1) 10" xfId="29988"/>
    <cellStyle name="PrePop Units (1) 11" xfId="29989"/>
    <cellStyle name="PrePop Units (1) 2" xfId="29990"/>
    <cellStyle name="PrePop Units (1) 2 2" xfId="29991"/>
    <cellStyle name="PrePop Units (1) 3" xfId="29992"/>
    <cellStyle name="PrePop Units (1) 3 2" xfId="29993"/>
    <cellStyle name="PrePop Units (1) 4" xfId="29994"/>
    <cellStyle name="PrePop Units (1) 5" xfId="29995"/>
    <cellStyle name="PrePop Units (1) 6" xfId="29996"/>
    <cellStyle name="PrePop Units (1) 7" xfId="29997"/>
    <cellStyle name="PrePop Units (1) 8" xfId="29998"/>
    <cellStyle name="PrePop Units (1) 9" xfId="29999"/>
    <cellStyle name="PrePop Units (2)" xfId="30000"/>
    <cellStyle name="pricing" xfId="30001"/>
    <cellStyle name="Private" xfId="30002"/>
    <cellStyle name="Private 2" xfId="30003"/>
    <cellStyle name="Private 2 2" xfId="30004"/>
    <cellStyle name="Private 2 3" xfId="30005"/>
    <cellStyle name="Private 2 4" xfId="30006"/>
    <cellStyle name="Private 3" xfId="30007"/>
    <cellStyle name="Private 4" xfId="30008"/>
    <cellStyle name="Private 5" xfId="30009"/>
    <cellStyle name="Private 6" xfId="30010"/>
    <cellStyle name="Private 7" xfId="30011"/>
    <cellStyle name="Private1" xfId="30012"/>
    <cellStyle name="Proj" xfId="30013"/>
    <cellStyle name="PROJECT" xfId="30014"/>
    <cellStyle name="PROJECT R" xfId="30015"/>
    <cellStyle name="Projections" xfId="30016"/>
    <cellStyle name="Projections;0" xfId="30017"/>
    <cellStyle name="Projections;C" xfId="30018"/>
    <cellStyle name="Projections_artek98" xfId="30019"/>
    <cellStyle name="ProjRevenue" xfId="30020"/>
    <cellStyle name="ProjRevenue 2" xfId="30021"/>
    <cellStyle name="ProjRevenue 2 2" xfId="30022"/>
    <cellStyle name="ProjRevenue 2 3" xfId="30023"/>
    <cellStyle name="ProjRevenue 2 4" xfId="30024"/>
    <cellStyle name="ProjRevenue 3" xfId="30025"/>
    <cellStyle name="ProjRevenue 4" xfId="30026"/>
    <cellStyle name="ProjRevenue 5" xfId="30027"/>
    <cellStyle name="ProjRevenue 6" xfId="30028"/>
    <cellStyle name="ProjRevenue 7" xfId="30029"/>
    <cellStyle name="ProjRevenue.total" xfId="30030"/>
    <cellStyle name="ProjRevenue.total 2" xfId="30031"/>
    <cellStyle name="ProjRevenue.total 2 2" xfId="30032"/>
    <cellStyle name="ProjRevenue.total 2 3" xfId="30033"/>
    <cellStyle name="ProjRevenue.total 2 4" xfId="30034"/>
    <cellStyle name="ProjRevenue.total 3" xfId="30035"/>
    <cellStyle name="ProjRevenue.total 4" xfId="30036"/>
    <cellStyle name="ProjRevenue.total 5" xfId="30037"/>
    <cellStyle name="ProjRevenue.total 6" xfId="30038"/>
    <cellStyle name="ProjRevenue.total 7" xfId="30039"/>
    <cellStyle name="Prozent[2]" xfId="30040"/>
    <cellStyle name="PSChar" xfId="30041"/>
    <cellStyle name="PSDate" xfId="30042"/>
    <cellStyle name="PSDec" xfId="30043"/>
    <cellStyle name="PSHeading" xfId="30044"/>
    <cellStyle name="PSInt" xfId="30045"/>
    <cellStyle name="PSSpacer" xfId="30046"/>
    <cellStyle name="r" xfId="30047"/>
    <cellStyle name="Rate" xfId="30048"/>
    <cellStyle name="Rate 2" xfId="30049"/>
    <cellStyle name="Rate_DLF Capital Greens -Consolidated Finishes BOQ Phase II " xfId="30050"/>
    <cellStyle name="RateBold" xfId="30051"/>
    <cellStyle name="RateBold 2" xfId="30052"/>
    <cellStyle name="RateBold_DLF Capital Greens -Consolidated Finishes BOQ Phase II " xfId="30053"/>
    <cellStyle name="Reset  - Style7" xfId="30054"/>
    <cellStyle name="Result 1" xfId="30055"/>
    <cellStyle name="Result 15" xfId="30056"/>
    <cellStyle name="Result2" xfId="30057"/>
    <cellStyle name="RevList" xfId="30058"/>
    <cellStyle name="RevList 2" xfId="30059"/>
    <cellStyle name="RowLevel_0" xfId="30060"/>
    <cellStyle name="sara" xfId="30061"/>
    <cellStyle name="sara 2" xfId="30062"/>
    <cellStyle name="sara 2 2" xfId="30063"/>
    <cellStyle name="sara 2 3" xfId="30064"/>
    <cellStyle name="sara 2 4" xfId="30065"/>
    <cellStyle name="sara 3" xfId="30066"/>
    <cellStyle name="sara 4" xfId="30067"/>
    <cellStyle name="sara 5" xfId="30068"/>
    <cellStyle name="sara 6" xfId="30069"/>
    <cellStyle name="sara 7" xfId="30070"/>
    <cellStyle name="sebi" xfId="30071"/>
    <cellStyle name="Section Title" xfId="30072"/>
    <cellStyle name="Sheet Title" xfId="30073"/>
    <cellStyle name="Sheet Title 2" xfId="30074"/>
    <cellStyle name="Sheet Title 3" xfId="30075"/>
    <cellStyle name="Sheet Title 4" xfId="30076"/>
    <cellStyle name="Sheet Title 5" xfId="30077"/>
    <cellStyle name="Sheet Title 6" xfId="30078"/>
    <cellStyle name="Sheet Title 7" xfId="30079"/>
    <cellStyle name="Sheet Title 8" xfId="30080"/>
    <cellStyle name="Sheet Title 9" xfId="30081"/>
    <cellStyle name="Sledovaný hypertextový odkaz" xfId="30082"/>
    <cellStyle name="Standard_234  ANLAGE 2" xfId="30083"/>
    <cellStyle name="Status 1" xfId="30084"/>
    <cellStyle name="Status 13" xfId="30085"/>
    <cellStyle name="Status 16" xfId="30086"/>
    <cellStyle name="Status 2" xfId="30087"/>
    <cellStyle name="Status 3" xfId="30088"/>
    <cellStyle name="style" xfId="30089"/>
    <cellStyle name="Style 1" xfId="30090"/>
    <cellStyle name="Style 1 10" xfId="30879"/>
    <cellStyle name="Style 1 2" xfId="30091"/>
    <cellStyle name="Style 1 2 10" xfId="30092"/>
    <cellStyle name="Style 1 2 11" xfId="30093"/>
    <cellStyle name="Style 1 2 2" xfId="30094"/>
    <cellStyle name="Style 1 2 3" xfId="30095"/>
    <cellStyle name="Style 1 2 4" xfId="30096"/>
    <cellStyle name="Style 1 2 5" xfId="30097"/>
    <cellStyle name="Style 1 2 6" xfId="30098"/>
    <cellStyle name="Style 1 2 7" xfId="30099"/>
    <cellStyle name="Style 1 2 8" xfId="30100"/>
    <cellStyle name="Style 1 2 9" xfId="30101"/>
    <cellStyle name="Style 1 2_Ramadugu_ SWGH" xfId="30102"/>
    <cellStyle name="Style 1 3" xfId="30103"/>
    <cellStyle name="Style 1 3 2" xfId="30104"/>
    <cellStyle name="Style 1 3 3" xfId="30105"/>
    <cellStyle name="Style 1 3 4" xfId="30106"/>
    <cellStyle name="Style 1 3 5" xfId="30107"/>
    <cellStyle name="Style 1 3 6" xfId="30108"/>
    <cellStyle name="Style 1 3 7" xfId="30109"/>
    <cellStyle name="Style 1 3 8" xfId="30110"/>
    <cellStyle name="Style 1 3 9" xfId="30111"/>
    <cellStyle name="Style 1 4" xfId="30112"/>
    <cellStyle name="Style 1 4 2" xfId="30113"/>
    <cellStyle name="Style 1 5" xfId="30114"/>
    <cellStyle name="Style 1 6" xfId="30115"/>
    <cellStyle name="Style 1 7" xfId="30116"/>
    <cellStyle name="Style 1 8" xfId="30117"/>
    <cellStyle name="Style 1 9" xfId="30118"/>
    <cellStyle name="Style 1_abridged version DORMITORY" xfId="30119"/>
    <cellStyle name="Style 2" xfId="30120"/>
    <cellStyle name="Style 2 2" xfId="30121"/>
    <cellStyle name="Style 2 2 2" xfId="30122"/>
    <cellStyle name="Style 2 3" xfId="30123"/>
    <cellStyle name="Style 2 3 2" xfId="30124"/>
    <cellStyle name="Style 2 4" xfId="30125"/>
    <cellStyle name="Style 2 5" xfId="30126"/>
    <cellStyle name="style 3" xfId="30127"/>
    <cellStyle name="style 3 2" xfId="30128"/>
    <cellStyle name="style 3 2 2" xfId="30129"/>
    <cellStyle name="style 3 2 3" xfId="30130"/>
    <cellStyle name="style 3 2 4" xfId="30131"/>
    <cellStyle name="style 3 3" xfId="30132"/>
    <cellStyle name="style 3 4" xfId="30133"/>
    <cellStyle name="style 3 5" xfId="30134"/>
    <cellStyle name="style 3 6" xfId="30135"/>
    <cellStyle name="style 3 7" xfId="30136"/>
    <cellStyle name="style 4" xfId="30137"/>
    <cellStyle name="style 4 2" xfId="30138"/>
    <cellStyle name="style 4 3" xfId="30139"/>
    <cellStyle name="style 4 4" xfId="30140"/>
    <cellStyle name="style 5" xfId="30141"/>
    <cellStyle name="style 5 2" xfId="30142"/>
    <cellStyle name="style 5 3" xfId="30143"/>
    <cellStyle name="style 5 4" xfId="30144"/>
    <cellStyle name="style 6" xfId="30145"/>
    <cellStyle name="style 7" xfId="30146"/>
    <cellStyle name="style 8" xfId="30147"/>
    <cellStyle name="style 9" xfId="30148"/>
    <cellStyle name="style_1_Pattapupalem_road estt-NCRMP" xfId="30157"/>
    <cellStyle name="style1" xfId="30149"/>
    <cellStyle name="style1 2" xfId="30150"/>
    <cellStyle name="style1 3" xfId="30151"/>
    <cellStyle name="style1_COMPOUND WALL TO IWHB - CHANDRAGIRI" xfId="30152"/>
    <cellStyle name="style2" xfId="30153"/>
    <cellStyle name="style2 2" xfId="30154"/>
    <cellStyle name="style2 3" xfId="30155"/>
    <cellStyle name="style2_COMPOUND WALL TO IWHB - CHANDRAGIRI" xfId="30156"/>
    <cellStyle name="SUB" xfId="30158"/>
    <cellStyle name="Sub Head" xfId="30159"/>
    <cellStyle name="Sub Head 2" xfId="30160"/>
    <cellStyle name="Sub Head 2 2" xfId="30161"/>
    <cellStyle name="Sub Head 2 3" xfId="30162"/>
    <cellStyle name="Sub Head 2 4" xfId="30163"/>
    <cellStyle name="Sub Head 3" xfId="30164"/>
    <cellStyle name="Sub Head 4" xfId="30165"/>
    <cellStyle name="Sub Head 5" xfId="30166"/>
    <cellStyle name="SubDescription" xfId="30167"/>
    <cellStyle name="Subtitle" xfId="30168"/>
    <cellStyle name="Subtotal" xfId="30169"/>
    <cellStyle name="sum" xfId="30170"/>
    <cellStyle name="sum8" xfId="30171"/>
    <cellStyle name="Summary_back" xfId="30172"/>
    <cellStyle name="Summenz." xfId="30173"/>
    <cellStyle name="Summenz. 12" xfId="30174"/>
    <cellStyle name="Table  - Style6" xfId="30175"/>
    <cellStyle name="Table  - Style6 2" xfId="30176"/>
    <cellStyle name="Table  - Style6 2 2" xfId="30177"/>
    <cellStyle name="Table  - Style6 2 3" xfId="30178"/>
    <cellStyle name="Table  - Style6 2 4" xfId="30179"/>
    <cellStyle name="Table  - Style6 3" xfId="30180"/>
    <cellStyle name="Table  - Style6 4" xfId="30181"/>
    <cellStyle name="Table  - Style6 5" xfId="30182"/>
    <cellStyle name="TableStyleLight1" xfId="30183"/>
    <cellStyle name="text 1" xfId="30184"/>
    <cellStyle name="Text 14" xfId="30185"/>
    <cellStyle name="text 17" xfId="30186"/>
    <cellStyle name="Text 2" xfId="30187"/>
    <cellStyle name="text 3" xfId="30188"/>
    <cellStyle name="Text Indent A" xfId="30189"/>
    <cellStyle name="Text Indent B" xfId="30190"/>
    <cellStyle name="Text Indent C" xfId="30191"/>
    <cellStyle name="þ_x005f_x001d_ð &amp;ý&amp;†ýG_x005f_x0008_ X&#10;_x005f_x0007__x005f_x0001__x005f_x0001_" xfId="30843"/>
    <cellStyle name="þ_x005f_x001d_ð &amp;ý&amp;†ýG_x005f_x0008_ X&#10;_x005f_x0007__x005f_x0001__x005f_x0001_ 2" xfId="30844"/>
    <cellStyle name="þ_x005f_x001d_ð &amp;ý&amp;†ýG_x005f_x0008_ X&#10;_x005f_x0007__x005f_x0001__x005f_x0001_ 2 2" xfId="30845"/>
    <cellStyle name="þ_x005f_x001d_ð &amp;ý&amp;†ýG_x005f_x0008_ X&#10;_x005f_x0007__x005f_x0001__x005f_x0001_ 3" xfId="30846"/>
    <cellStyle name="þ_x005f_x001d_ð &amp;ý&amp;†ýG_x005f_x0008_ X&#10;_x005f_x0007__x005f_x0001__x005f_x0001_ 3 2" xfId="30847"/>
    <cellStyle name="þ_x005f_x001d_ð &amp;ý&amp;†ýG_x005f_x0008_ X&#10;_x005f_x0007__x005f_x0001__x005f_x0001_ 4" xfId="30848"/>
    <cellStyle name="þ_x005f_x001d_ð&quot;_x005f_x000c_Býò_x005f_x000c_5ýU_x005f_x0001_e_x005f_x0005_¹,_x005f_x0007__x005f_x0001__x005f_x0001_" xfId="30849"/>
    <cellStyle name="þ_x005f_x001d_ð&quot;_x005f_x000c_Býò_x005f_x000c_5ýU_x005f_x0001_e_x005f_x0005_¹,_x005f_x0007__x005f_x0001__x005f_x0001_ 2" xfId="30850"/>
    <cellStyle name="þ_x005f_x001d_ð&quot;_x005f_x000c_Býò_x005f_x000c_5ýU_x005f_x0001_e_x005f_x0005_¹,_x005f_x0007__x005f_x0001__x005f_x0001_ 2 2" xfId="30851"/>
    <cellStyle name="þ_x005f_x001d_ð&quot;_x005f_x000c_Býò_x005f_x000c_5ýU_x005f_x0001_e_x005f_x0005_¹,_x005f_x0007__x005f_x0001__x005f_x0001_ 3" xfId="30852"/>
    <cellStyle name="þ_x005f_x001d_ð&quot;_x005f_x000c_Býò_x005f_x000c_5ýU_x005f_x0001_e_x005f_x0005_¹,_x005f_x0007__x005f_x0001__x005f_x0001_ 3 2" xfId="30853"/>
    <cellStyle name="þ_x005f_x001d_ð&quot;_x005f_x000c_Býò_x005f_x000c_5ýU_x005f_x0001_e_x005f_x0005_¹,_x005f_x0007__x005f_x0001__x005f_x0001_ 4" xfId="30854"/>
    <cellStyle name="þ_x001d_ð &amp;ý&amp;†ýG_x0008_€ X&#10;_x0007__x0001__x0001_" xfId="30835"/>
    <cellStyle name="þð &amp;ý&amp;†ýG X&#10;" xfId="30855"/>
    <cellStyle name="þ_x001d_ð &amp;ý&amp;†ýG_x0008_ X&#10;_x0007__x0001__x0001_" xfId="30829"/>
    <cellStyle name="þ_x001d_ð &amp;ý&amp;†ýG_x0008_ X&#10;_x0007__x0001__x0001_ 2" xfId="30830"/>
    <cellStyle name="þ_x001d_ð &amp;ý&amp;†ýG_x0008_ X&#10;_x0007__x0001__x0001_ 2 2" xfId="30831"/>
    <cellStyle name="þ_x001d_ð &amp;ý&amp;†ýG_x0008_ X&#10;_x0007__x0001__x0001_ 3" xfId="30832"/>
    <cellStyle name="þ_x001d_ð &amp;ý&amp;†ýG_x0008_ X&#10;_x0007__x0001__x0001_ 3 2" xfId="30833"/>
    <cellStyle name="þ_x001d_ð &amp;ý&amp;†ýG_x0008_ X&#10;_x0007__x0001__x0001_ 4" xfId="30834"/>
    <cellStyle name="þ_x001d_ð&quot;_x000c_Býò_x000c_5ýU_x0001_e_x0005_¹,_x0007__x0001__x0001_" xfId="30836"/>
    <cellStyle name="þ_x001d_ð&quot;_x000c_Býò_x000c_5ýU_x0001_e_x0005_¹,_x0007__x0001__x0001_ 2" xfId="30837"/>
    <cellStyle name="þ_x001d_ð&quot;_x000c_Býò_x000c_5ýU_x0001_e_x0005_¹,_x0007__x0001__x0001_ 2 2" xfId="30838"/>
    <cellStyle name="þ_x001d_ð&quot;_x000c_Býò_x000c_5ýU_x0001_e_x0005_¹,_x0007__x0001__x0001_ 3" xfId="30839"/>
    <cellStyle name="þ_x001d_ð&quot;_x000c_Býò_x000c_5ýU_x0001_e_x0005_¹,_x0007__x0001__x0001_ 3 2" xfId="30840"/>
    <cellStyle name="þ_x001d_ð&quot;_x000c_Býò_x000c_5ýU_x0001_e_x0005_¹,_x0007__x0001__x0001_ 4" xfId="30841"/>
    <cellStyle name="þ_x001d_ð&quot;_x000c_Býò_x000c_5ýU_x0001_e_x0005_¹,_x0007__x0001__x0001__COMPOUND WALL TO IWHB - CHANDRAGIRI" xfId="30842"/>
    <cellStyle name="þð&quot;Býò5ýUe¹," xfId="30856"/>
    <cellStyle name="Times New Roman" xfId="30192"/>
    <cellStyle name="Title  - Style1" xfId="30193"/>
    <cellStyle name="Title 10" xfId="30194"/>
    <cellStyle name="Title 11" xfId="30195"/>
    <cellStyle name="Title 12" xfId="30196"/>
    <cellStyle name="Title 2" xfId="30197"/>
    <cellStyle name="Title 2 2" xfId="30198"/>
    <cellStyle name="Title 2 3" xfId="30199"/>
    <cellStyle name="Title 2 4" xfId="30200"/>
    <cellStyle name="Title 2 5" xfId="30201"/>
    <cellStyle name="Title 2_Block-F LGF POur-II BBS" xfId="30202"/>
    <cellStyle name="Title 3" xfId="30203"/>
    <cellStyle name="Title 3 2" xfId="30204"/>
    <cellStyle name="Title 4" xfId="30205"/>
    <cellStyle name="Title 5" xfId="30206"/>
    <cellStyle name="Title 6" xfId="30207"/>
    <cellStyle name="Title 7" xfId="30208"/>
    <cellStyle name="Title 8" xfId="30209"/>
    <cellStyle name="Title 9" xfId="30210"/>
    <cellStyle name="Title Row" xfId="30211"/>
    <cellStyle name="Total 10" xfId="30212"/>
    <cellStyle name="Total 10 2" xfId="30213"/>
    <cellStyle name="Total 10 2 2" xfId="30214"/>
    <cellStyle name="Total 10 2 3" xfId="30215"/>
    <cellStyle name="Total 10 2 4" xfId="30216"/>
    <cellStyle name="Total 10 3" xfId="30217"/>
    <cellStyle name="Total 10 4" xfId="30218"/>
    <cellStyle name="Total 10 5" xfId="30219"/>
    <cellStyle name="Total 11" xfId="30220"/>
    <cellStyle name="Total 11 2" xfId="30221"/>
    <cellStyle name="Total 11 2 2" xfId="30222"/>
    <cellStyle name="Total 11 2 3" xfId="30223"/>
    <cellStyle name="Total 11 2 4" xfId="30224"/>
    <cellStyle name="Total 11 3" xfId="30225"/>
    <cellStyle name="Total 11 4" xfId="30226"/>
    <cellStyle name="Total 11 5" xfId="30227"/>
    <cellStyle name="Total 12" xfId="30228"/>
    <cellStyle name="Total 12 2" xfId="30229"/>
    <cellStyle name="Total 12 2 2" xfId="30230"/>
    <cellStyle name="Total 12 2 3" xfId="30231"/>
    <cellStyle name="Total 12 2 4" xfId="30232"/>
    <cellStyle name="Total 12 3" xfId="30233"/>
    <cellStyle name="Total 12 3 2" xfId="30234"/>
    <cellStyle name="Total 12 3 3" xfId="30235"/>
    <cellStyle name="Total 12 3 4" xfId="30236"/>
    <cellStyle name="Total 12 4" xfId="30237"/>
    <cellStyle name="Total 12 5" xfId="30238"/>
    <cellStyle name="Total 12 6" xfId="30239"/>
    <cellStyle name="Total 13" xfId="30240"/>
    <cellStyle name="Total 13 2" xfId="30241"/>
    <cellStyle name="Total 13 2 2" xfId="30242"/>
    <cellStyle name="Total 13 2 3" xfId="30243"/>
    <cellStyle name="Total 13 2 4" xfId="30244"/>
    <cellStyle name="Total 13 3" xfId="30245"/>
    <cellStyle name="Total 13 3 2" xfId="30246"/>
    <cellStyle name="Total 13 3 3" xfId="30247"/>
    <cellStyle name="Total 13 3 4" xfId="30248"/>
    <cellStyle name="Total 13 4" xfId="30249"/>
    <cellStyle name="Total 13 5" xfId="30250"/>
    <cellStyle name="Total 13 6" xfId="30251"/>
    <cellStyle name="Total 14" xfId="30252"/>
    <cellStyle name="Total 14 2" xfId="30253"/>
    <cellStyle name="Total 14 2 2" xfId="30254"/>
    <cellStyle name="Total 14 2 3" xfId="30255"/>
    <cellStyle name="Total 14 2 4" xfId="30256"/>
    <cellStyle name="Total 14 3" xfId="30257"/>
    <cellStyle name="Total 14 3 2" xfId="30258"/>
    <cellStyle name="Total 14 3 3" xfId="30259"/>
    <cellStyle name="Total 14 3 4" xfId="30260"/>
    <cellStyle name="Total 14 4" xfId="30261"/>
    <cellStyle name="Total 14 5" xfId="30262"/>
    <cellStyle name="Total 14 6" xfId="30263"/>
    <cellStyle name="Total 15" xfId="30264"/>
    <cellStyle name="Total 15 2" xfId="30265"/>
    <cellStyle name="Total 15 2 2" xfId="30266"/>
    <cellStyle name="Total 15 2 3" xfId="30267"/>
    <cellStyle name="Total 15 2 4" xfId="30268"/>
    <cellStyle name="Total 15 3" xfId="30269"/>
    <cellStyle name="Total 15 3 2" xfId="30270"/>
    <cellStyle name="Total 15 3 3" xfId="30271"/>
    <cellStyle name="Total 15 3 4" xfId="30272"/>
    <cellStyle name="Total 15 4" xfId="30273"/>
    <cellStyle name="Total 15 5" xfId="30274"/>
    <cellStyle name="Total 15 6" xfId="30275"/>
    <cellStyle name="Total 16" xfId="30276"/>
    <cellStyle name="Total 16 2" xfId="30277"/>
    <cellStyle name="Total 16 2 2" xfId="30278"/>
    <cellStyle name="Total 16 2 3" xfId="30279"/>
    <cellStyle name="Total 16 2 4" xfId="30280"/>
    <cellStyle name="Total 16 3" xfId="30281"/>
    <cellStyle name="Total 16 3 2" xfId="30282"/>
    <cellStyle name="Total 16 3 3" xfId="30283"/>
    <cellStyle name="Total 16 3 4" xfId="30284"/>
    <cellStyle name="Total 16 4" xfId="30285"/>
    <cellStyle name="Total 16 5" xfId="30286"/>
    <cellStyle name="Total 16 6" xfId="30287"/>
    <cellStyle name="Total 2" xfId="30288"/>
    <cellStyle name="Total 2 10" xfId="30289"/>
    <cellStyle name="Total 2 10 2" xfId="30290"/>
    <cellStyle name="Total 2 10 2 2" xfId="30291"/>
    <cellStyle name="Total 2 10 2 3" xfId="30292"/>
    <cellStyle name="Total 2 10 2 4" xfId="30293"/>
    <cellStyle name="Total 2 10 3" xfId="30294"/>
    <cellStyle name="Total 2 10 4" xfId="30295"/>
    <cellStyle name="Total 2 11" xfId="30296"/>
    <cellStyle name="Total 2 11 2" xfId="30297"/>
    <cellStyle name="Total 2 11 2 2" xfId="30298"/>
    <cellStyle name="Total 2 11 2 3" xfId="30299"/>
    <cellStyle name="Total 2 11 2 4" xfId="30300"/>
    <cellStyle name="Total 2 11 3" xfId="30301"/>
    <cellStyle name="Total 2 11 4" xfId="30302"/>
    <cellStyle name="Total 2 12" xfId="30303"/>
    <cellStyle name="Total 2 12 2" xfId="30304"/>
    <cellStyle name="Total 2 12 3" xfId="30305"/>
    <cellStyle name="Total 2 12 4" xfId="30306"/>
    <cellStyle name="Total 2 13" xfId="30307"/>
    <cellStyle name="Total 2 13 2" xfId="30308"/>
    <cellStyle name="Total 2 13 3" xfId="30309"/>
    <cellStyle name="Total 2 13 4" xfId="30310"/>
    <cellStyle name="Total 2 14" xfId="30311"/>
    <cellStyle name="Total 2 15" xfId="30312"/>
    <cellStyle name="Total 2 16" xfId="30313"/>
    <cellStyle name="Total 2 2" xfId="30314"/>
    <cellStyle name="Total 2 2 10" xfId="30315"/>
    <cellStyle name="Total 2 2 10 2" xfId="30316"/>
    <cellStyle name="Total 2 2 10 3" xfId="30317"/>
    <cellStyle name="Total 2 2 10 4" xfId="30318"/>
    <cellStyle name="Total 2 2 11" xfId="30319"/>
    <cellStyle name="Total 2 2 11 2" xfId="30320"/>
    <cellStyle name="Total 2 2 11 3" xfId="30321"/>
    <cellStyle name="Total 2 2 11 4" xfId="30322"/>
    <cellStyle name="Total 2 2 12" xfId="30323"/>
    <cellStyle name="Total 2 2 13" xfId="30324"/>
    <cellStyle name="Total 2 2 14" xfId="30325"/>
    <cellStyle name="Total 2 2 2" xfId="30326"/>
    <cellStyle name="Total 2 2 2 2" xfId="30327"/>
    <cellStyle name="Total 2 2 2 2 2" xfId="30328"/>
    <cellStyle name="Total 2 2 2 2 3" xfId="30329"/>
    <cellStyle name="Total 2 2 2 2 4" xfId="30330"/>
    <cellStyle name="Total 2 2 2 3" xfId="30331"/>
    <cellStyle name="Total 2 2 2 4" xfId="30332"/>
    <cellStyle name="Total 2 2 3" xfId="30333"/>
    <cellStyle name="Total 2 2 3 2" xfId="30334"/>
    <cellStyle name="Total 2 2 3 2 2" xfId="30335"/>
    <cellStyle name="Total 2 2 3 2 3" xfId="30336"/>
    <cellStyle name="Total 2 2 3 2 4" xfId="30337"/>
    <cellStyle name="Total 2 2 3 3" xfId="30338"/>
    <cellStyle name="Total 2 2 3 4" xfId="30339"/>
    <cellStyle name="Total 2 2 4" xfId="30340"/>
    <cellStyle name="Total 2 2 4 2" xfId="30341"/>
    <cellStyle name="Total 2 2 4 2 2" xfId="30342"/>
    <cellStyle name="Total 2 2 4 2 3" xfId="30343"/>
    <cellStyle name="Total 2 2 4 2 4" xfId="30344"/>
    <cellStyle name="Total 2 2 4 3" xfId="30345"/>
    <cellStyle name="Total 2 2 4 4" xfId="30346"/>
    <cellStyle name="Total 2 2 5" xfId="30347"/>
    <cellStyle name="Total 2 2 5 2" xfId="30348"/>
    <cellStyle name="Total 2 2 5 2 2" xfId="30349"/>
    <cellStyle name="Total 2 2 5 2 3" xfId="30350"/>
    <cellStyle name="Total 2 2 5 2 4" xfId="30351"/>
    <cellStyle name="Total 2 2 5 3" xfId="30352"/>
    <cellStyle name="Total 2 2 5 4" xfId="30353"/>
    <cellStyle name="Total 2 2 6" xfId="30354"/>
    <cellStyle name="Total 2 2 6 2" xfId="30355"/>
    <cellStyle name="Total 2 2 6 2 2" xfId="30356"/>
    <cellStyle name="Total 2 2 6 2 3" xfId="30357"/>
    <cellStyle name="Total 2 2 6 2 4" xfId="30358"/>
    <cellStyle name="Total 2 2 6 3" xfId="30359"/>
    <cellStyle name="Total 2 2 6 4" xfId="30360"/>
    <cellStyle name="Total 2 2 7" xfId="30361"/>
    <cellStyle name="Total 2 2 7 2" xfId="30362"/>
    <cellStyle name="Total 2 2 7 2 2" xfId="30363"/>
    <cellStyle name="Total 2 2 7 2 3" xfId="30364"/>
    <cellStyle name="Total 2 2 7 2 4" xfId="30365"/>
    <cellStyle name="Total 2 2 7 3" xfId="30366"/>
    <cellStyle name="Total 2 2 7 4" xfId="30367"/>
    <cellStyle name="Total 2 2 8" xfId="30368"/>
    <cellStyle name="Total 2 2 8 2" xfId="30369"/>
    <cellStyle name="Total 2 2 8 2 2" xfId="30370"/>
    <cellStyle name="Total 2 2 8 2 3" xfId="30371"/>
    <cellStyle name="Total 2 2 8 2 4" xfId="30372"/>
    <cellStyle name="Total 2 2 8 3" xfId="30373"/>
    <cellStyle name="Total 2 2 8 4" xfId="30374"/>
    <cellStyle name="Total 2 2 9" xfId="30375"/>
    <cellStyle name="Total 2 2 9 2" xfId="30376"/>
    <cellStyle name="Total 2 2 9 2 2" xfId="30377"/>
    <cellStyle name="Total 2 2 9 2 3" xfId="30378"/>
    <cellStyle name="Total 2 2 9 2 4" xfId="30379"/>
    <cellStyle name="Total 2 2 9 3" xfId="30380"/>
    <cellStyle name="Total 2 2 9 4" xfId="30381"/>
    <cellStyle name="Total 2 3" xfId="30382"/>
    <cellStyle name="Total 2 3 2" xfId="30383"/>
    <cellStyle name="Total 2 3 2 2" xfId="30384"/>
    <cellStyle name="Total 2 3 2 3" xfId="30385"/>
    <cellStyle name="Total 2 3 2 4" xfId="30386"/>
    <cellStyle name="Total 2 3 3" xfId="30387"/>
    <cellStyle name="Total 2 3 3 2" xfId="30388"/>
    <cellStyle name="Total 2 3 3 3" xfId="30389"/>
    <cellStyle name="Total 2 3 3 4" xfId="30390"/>
    <cellStyle name="Total 2 3 4" xfId="30391"/>
    <cellStyle name="Total 2 3 5" xfId="30392"/>
    <cellStyle name="Total 2 3 6" xfId="30393"/>
    <cellStyle name="Total 2 4" xfId="30394"/>
    <cellStyle name="Total 2 4 2" xfId="30395"/>
    <cellStyle name="Total 2 4 2 2" xfId="30396"/>
    <cellStyle name="Total 2 4 2 3" xfId="30397"/>
    <cellStyle name="Total 2 4 2 4" xfId="30398"/>
    <cellStyle name="Total 2 4 3" xfId="30399"/>
    <cellStyle name="Total 2 4 3 2" xfId="30400"/>
    <cellStyle name="Total 2 4 3 3" xfId="30401"/>
    <cellStyle name="Total 2 4 3 4" xfId="30402"/>
    <cellStyle name="Total 2 4 4" xfId="30403"/>
    <cellStyle name="Total 2 4 5" xfId="30404"/>
    <cellStyle name="Total 2 4 6" xfId="30405"/>
    <cellStyle name="Total 2 5" xfId="30406"/>
    <cellStyle name="Total 2 5 2" xfId="30407"/>
    <cellStyle name="Total 2 5 2 2" xfId="30408"/>
    <cellStyle name="Total 2 5 2 3" xfId="30409"/>
    <cellStyle name="Total 2 5 2 4" xfId="30410"/>
    <cellStyle name="Total 2 5 3" xfId="30411"/>
    <cellStyle name="Total 2 5 3 2" xfId="30412"/>
    <cellStyle name="Total 2 5 3 3" xfId="30413"/>
    <cellStyle name="Total 2 5 3 4" xfId="30414"/>
    <cellStyle name="Total 2 5 4" xfId="30415"/>
    <cellStyle name="Total 2 5 5" xfId="30416"/>
    <cellStyle name="Total 2 5 6" xfId="30417"/>
    <cellStyle name="Total 2 6" xfId="30418"/>
    <cellStyle name="Total 2 6 2" xfId="30419"/>
    <cellStyle name="Total 2 6 2 2" xfId="30420"/>
    <cellStyle name="Total 2 6 2 3" xfId="30421"/>
    <cellStyle name="Total 2 6 2 4" xfId="30422"/>
    <cellStyle name="Total 2 6 3" xfId="30423"/>
    <cellStyle name="Total 2 6 4" xfId="30424"/>
    <cellStyle name="Total 2 7" xfId="30425"/>
    <cellStyle name="Total 2 7 2" xfId="30426"/>
    <cellStyle name="Total 2 7 2 2" xfId="30427"/>
    <cellStyle name="Total 2 7 2 3" xfId="30428"/>
    <cellStyle name="Total 2 7 2 4" xfId="30429"/>
    <cellStyle name="Total 2 7 3" xfId="30430"/>
    <cellStyle name="Total 2 7 4" xfId="30431"/>
    <cellStyle name="Total 2 8" xfId="30432"/>
    <cellStyle name="Total 2 8 2" xfId="30433"/>
    <cellStyle name="Total 2 8 2 2" xfId="30434"/>
    <cellStyle name="Total 2 8 2 3" xfId="30435"/>
    <cellStyle name="Total 2 8 2 4" xfId="30436"/>
    <cellStyle name="Total 2 8 3" xfId="30437"/>
    <cellStyle name="Total 2 8 4" xfId="30438"/>
    <cellStyle name="Total 2 9" xfId="30439"/>
    <cellStyle name="Total 2 9 2" xfId="30440"/>
    <cellStyle name="Total 2 9 2 2" xfId="30441"/>
    <cellStyle name="Total 2 9 2 3" xfId="30442"/>
    <cellStyle name="Total 2 9 2 4" xfId="30443"/>
    <cellStyle name="Total 2 9 3" xfId="30444"/>
    <cellStyle name="Total 2 9 4" xfId="30445"/>
    <cellStyle name="Total 2_POST METRIC - ELEC" xfId="30446"/>
    <cellStyle name="Total 3" xfId="30447"/>
    <cellStyle name="Total 3 10" xfId="30448"/>
    <cellStyle name="Total 3 10 2" xfId="30449"/>
    <cellStyle name="Total 3 10 2 2" xfId="30450"/>
    <cellStyle name="Total 3 10 2 3" xfId="30451"/>
    <cellStyle name="Total 3 10 2 4" xfId="30452"/>
    <cellStyle name="Total 3 10 3" xfId="30453"/>
    <cellStyle name="Total 3 10 4" xfId="30454"/>
    <cellStyle name="Total 3 11" xfId="30455"/>
    <cellStyle name="Total 3 11 2" xfId="30456"/>
    <cellStyle name="Total 3 11 3" xfId="30457"/>
    <cellStyle name="Total 3 11 4" xfId="30458"/>
    <cellStyle name="Total 3 12" xfId="30459"/>
    <cellStyle name="Total 3 12 2" xfId="30460"/>
    <cellStyle name="Total 3 12 3" xfId="30461"/>
    <cellStyle name="Total 3 12 4" xfId="30462"/>
    <cellStyle name="Total 3 13" xfId="30463"/>
    <cellStyle name="Total 3 14" xfId="30464"/>
    <cellStyle name="Total 3 15" xfId="30465"/>
    <cellStyle name="Total 3 2" xfId="30466"/>
    <cellStyle name="Total 3 2 10" xfId="30467"/>
    <cellStyle name="Total 3 2 10 2" xfId="30468"/>
    <cellStyle name="Total 3 2 10 3" xfId="30469"/>
    <cellStyle name="Total 3 2 10 4" xfId="30470"/>
    <cellStyle name="Total 3 2 11" xfId="30471"/>
    <cellStyle name="Total 3 2 11 2" xfId="30472"/>
    <cellStyle name="Total 3 2 11 3" xfId="30473"/>
    <cellStyle name="Total 3 2 11 4" xfId="30474"/>
    <cellStyle name="Total 3 2 12" xfId="30475"/>
    <cellStyle name="Total 3 2 13" xfId="30476"/>
    <cellStyle name="Total 3 2 14" xfId="30477"/>
    <cellStyle name="Total 3 2 2" xfId="30478"/>
    <cellStyle name="Total 3 2 2 2" xfId="30479"/>
    <cellStyle name="Total 3 2 2 2 2" xfId="30480"/>
    <cellStyle name="Total 3 2 2 2 3" xfId="30481"/>
    <cellStyle name="Total 3 2 2 2 4" xfId="30482"/>
    <cellStyle name="Total 3 2 2 3" xfId="30483"/>
    <cellStyle name="Total 3 2 2 4" xfId="30484"/>
    <cellStyle name="Total 3 2 3" xfId="30485"/>
    <cellStyle name="Total 3 2 3 2" xfId="30486"/>
    <cellStyle name="Total 3 2 3 2 2" xfId="30487"/>
    <cellStyle name="Total 3 2 3 2 3" xfId="30488"/>
    <cellStyle name="Total 3 2 3 2 4" xfId="30489"/>
    <cellStyle name="Total 3 2 3 3" xfId="30490"/>
    <cellStyle name="Total 3 2 3 4" xfId="30491"/>
    <cellStyle name="Total 3 2 4" xfId="30492"/>
    <cellStyle name="Total 3 2 4 2" xfId="30493"/>
    <cellStyle name="Total 3 2 4 2 2" xfId="30494"/>
    <cellStyle name="Total 3 2 4 2 3" xfId="30495"/>
    <cellStyle name="Total 3 2 4 2 4" xfId="30496"/>
    <cellStyle name="Total 3 2 4 3" xfId="30497"/>
    <cellStyle name="Total 3 2 4 4" xfId="30498"/>
    <cellStyle name="Total 3 2 5" xfId="30499"/>
    <cellStyle name="Total 3 2 5 2" xfId="30500"/>
    <cellStyle name="Total 3 2 5 2 2" xfId="30501"/>
    <cellStyle name="Total 3 2 5 2 3" xfId="30502"/>
    <cellStyle name="Total 3 2 5 2 4" xfId="30503"/>
    <cellStyle name="Total 3 2 5 3" xfId="30504"/>
    <cellStyle name="Total 3 2 5 4" xfId="30505"/>
    <cellStyle name="Total 3 2 6" xfId="30506"/>
    <cellStyle name="Total 3 2 6 2" xfId="30507"/>
    <cellStyle name="Total 3 2 6 2 2" xfId="30508"/>
    <cellStyle name="Total 3 2 6 2 3" xfId="30509"/>
    <cellStyle name="Total 3 2 6 2 4" xfId="30510"/>
    <cellStyle name="Total 3 2 6 3" xfId="30511"/>
    <cellStyle name="Total 3 2 6 4" xfId="30512"/>
    <cellStyle name="Total 3 2 7" xfId="30513"/>
    <cellStyle name="Total 3 2 7 2" xfId="30514"/>
    <cellStyle name="Total 3 2 7 2 2" xfId="30515"/>
    <cellStyle name="Total 3 2 7 2 3" xfId="30516"/>
    <cellStyle name="Total 3 2 7 2 4" xfId="30517"/>
    <cellStyle name="Total 3 2 7 3" xfId="30518"/>
    <cellStyle name="Total 3 2 7 4" xfId="30519"/>
    <cellStyle name="Total 3 2 8" xfId="30520"/>
    <cellStyle name="Total 3 2 8 2" xfId="30521"/>
    <cellStyle name="Total 3 2 8 2 2" xfId="30522"/>
    <cellStyle name="Total 3 2 8 2 3" xfId="30523"/>
    <cellStyle name="Total 3 2 8 2 4" xfId="30524"/>
    <cellStyle name="Total 3 2 8 3" xfId="30525"/>
    <cellStyle name="Total 3 2 8 4" xfId="30526"/>
    <cellStyle name="Total 3 2 9" xfId="30527"/>
    <cellStyle name="Total 3 2 9 2" xfId="30528"/>
    <cellStyle name="Total 3 2 9 2 2" xfId="30529"/>
    <cellStyle name="Total 3 2 9 2 3" xfId="30530"/>
    <cellStyle name="Total 3 2 9 2 4" xfId="30531"/>
    <cellStyle name="Total 3 2 9 3" xfId="30532"/>
    <cellStyle name="Total 3 2 9 4" xfId="30533"/>
    <cellStyle name="Total 3 3" xfId="30534"/>
    <cellStyle name="Total 3 3 2" xfId="30535"/>
    <cellStyle name="Total 3 3 2 2" xfId="30536"/>
    <cellStyle name="Total 3 3 2 3" xfId="30537"/>
    <cellStyle name="Total 3 3 2 4" xfId="30538"/>
    <cellStyle name="Total 3 3 3" xfId="30539"/>
    <cellStyle name="Total 3 3 4" xfId="30540"/>
    <cellStyle name="Total 3 4" xfId="30541"/>
    <cellStyle name="Total 3 4 2" xfId="30542"/>
    <cellStyle name="Total 3 4 2 2" xfId="30543"/>
    <cellStyle name="Total 3 4 2 3" xfId="30544"/>
    <cellStyle name="Total 3 4 2 4" xfId="30545"/>
    <cellStyle name="Total 3 4 3" xfId="30546"/>
    <cellStyle name="Total 3 4 4" xfId="30547"/>
    <cellStyle name="Total 3 5" xfId="30548"/>
    <cellStyle name="Total 3 5 2" xfId="30549"/>
    <cellStyle name="Total 3 5 2 2" xfId="30550"/>
    <cellStyle name="Total 3 5 2 3" xfId="30551"/>
    <cellStyle name="Total 3 5 2 4" xfId="30552"/>
    <cellStyle name="Total 3 5 3" xfId="30553"/>
    <cellStyle name="Total 3 5 4" xfId="30554"/>
    <cellStyle name="Total 3 6" xfId="30555"/>
    <cellStyle name="Total 3 6 2" xfId="30556"/>
    <cellStyle name="Total 3 6 2 2" xfId="30557"/>
    <cellStyle name="Total 3 6 2 3" xfId="30558"/>
    <cellStyle name="Total 3 6 2 4" xfId="30559"/>
    <cellStyle name="Total 3 6 3" xfId="30560"/>
    <cellStyle name="Total 3 6 4" xfId="30561"/>
    <cellStyle name="Total 3 7" xfId="30562"/>
    <cellStyle name="Total 3 7 2" xfId="30563"/>
    <cellStyle name="Total 3 7 2 2" xfId="30564"/>
    <cellStyle name="Total 3 7 2 3" xfId="30565"/>
    <cellStyle name="Total 3 7 2 4" xfId="30566"/>
    <cellStyle name="Total 3 7 3" xfId="30567"/>
    <cellStyle name="Total 3 7 4" xfId="30568"/>
    <cellStyle name="Total 3 8" xfId="30569"/>
    <cellStyle name="Total 3 8 2" xfId="30570"/>
    <cellStyle name="Total 3 8 2 2" xfId="30571"/>
    <cellStyle name="Total 3 8 2 3" xfId="30572"/>
    <cellStyle name="Total 3 8 2 4" xfId="30573"/>
    <cellStyle name="Total 3 8 3" xfId="30574"/>
    <cellStyle name="Total 3 8 4" xfId="30575"/>
    <cellStyle name="Total 3 9" xfId="30576"/>
    <cellStyle name="Total 3 9 2" xfId="30577"/>
    <cellStyle name="Total 3 9 2 2" xfId="30578"/>
    <cellStyle name="Total 3 9 2 3" xfId="30579"/>
    <cellStyle name="Total 3 9 2 4" xfId="30580"/>
    <cellStyle name="Total 3 9 3" xfId="30581"/>
    <cellStyle name="Total 3 9 4" xfId="30582"/>
    <cellStyle name="Total 3_KC720 - JCR - Mar '11" xfId="30583"/>
    <cellStyle name="Total 4" xfId="30584"/>
    <cellStyle name="Total 4 2" xfId="30585"/>
    <cellStyle name="Total 4 2 2" xfId="30586"/>
    <cellStyle name="Total 4 2 3" xfId="30587"/>
    <cellStyle name="Total 4 2 4" xfId="30588"/>
    <cellStyle name="Total 4 3" xfId="30589"/>
    <cellStyle name="Total 4 3 2" xfId="30590"/>
    <cellStyle name="Total 4 3 3" xfId="30591"/>
    <cellStyle name="Total 4 3 4" xfId="30592"/>
    <cellStyle name="Total 4 4" xfId="30593"/>
    <cellStyle name="Total 4 5" xfId="30594"/>
    <cellStyle name="Total 4 6" xfId="30595"/>
    <cellStyle name="Total 5" xfId="30596"/>
    <cellStyle name="Total 5 2" xfId="30597"/>
    <cellStyle name="Total 5 2 2" xfId="30598"/>
    <cellStyle name="Total 5 2 3" xfId="30599"/>
    <cellStyle name="Total 5 2 4" xfId="30600"/>
    <cellStyle name="Total 5 3" xfId="30601"/>
    <cellStyle name="Total 5 3 2" xfId="30602"/>
    <cellStyle name="Total 5 3 3" xfId="30603"/>
    <cellStyle name="Total 5 3 4" xfId="30604"/>
    <cellStyle name="Total 5 4" xfId="30605"/>
    <cellStyle name="Total 5 5" xfId="30606"/>
    <cellStyle name="Total 5 6" xfId="30607"/>
    <cellStyle name="Total 6" xfId="30608"/>
    <cellStyle name="Total 6 2" xfId="30609"/>
    <cellStyle name="Total 6 2 2" xfId="30610"/>
    <cellStyle name="Total 6 2 3" xfId="30611"/>
    <cellStyle name="Total 6 2 4" xfId="30612"/>
    <cellStyle name="Total 6 3" xfId="30613"/>
    <cellStyle name="Total 6 3 2" xfId="30614"/>
    <cellStyle name="Total 6 3 3" xfId="30615"/>
    <cellStyle name="Total 6 3 4" xfId="30616"/>
    <cellStyle name="Total 6 4" xfId="30617"/>
    <cellStyle name="Total 6 5" xfId="30618"/>
    <cellStyle name="Total 6 6" xfId="30619"/>
    <cellStyle name="Total 7" xfId="30620"/>
    <cellStyle name="Total 7 2" xfId="30621"/>
    <cellStyle name="Total 7 2 2" xfId="30622"/>
    <cellStyle name="Total 7 2 3" xfId="30623"/>
    <cellStyle name="Total 7 2 4" xfId="30624"/>
    <cellStyle name="Total 7 3" xfId="30625"/>
    <cellStyle name="Total 7 3 2" xfId="30626"/>
    <cellStyle name="Total 7 3 3" xfId="30627"/>
    <cellStyle name="Total 7 3 4" xfId="30628"/>
    <cellStyle name="Total 7 4" xfId="30629"/>
    <cellStyle name="Total 7 5" xfId="30630"/>
    <cellStyle name="Total 7 6" xfId="30631"/>
    <cellStyle name="Total 8" xfId="30632"/>
    <cellStyle name="Total 8 2" xfId="30633"/>
    <cellStyle name="Total 8 2 2" xfId="30634"/>
    <cellStyle name="Total 8 2 3" xfId="30635"/>
    <cellStyle name="Total 8 2 4" xfId="30636"/>
    <cellStyle name="Total 8 3" xfId="30637"/>
    <cellStyle name="Total 8 4" xfId="30638"/>
    <cellStyle name="Total 8 5" xfId="30639"/>
    <cellStyle name="Total 9" xfId="30640"/>
    <cellStyle name="Total 9 2" xfId="30641"/>
    <cellStyle name="Total 9 2 2" xfId="30642"/>
    <cellStyle name="Total 9 2 3" xfId="30643"/>
    <cellStyle name="Total 9 2 4" xfId="30644"/>
    <cellStyle name="Total 9 3" xfId="30645"/>
    <cellStyle name="Total 9 4" xfId="30646"/>
    <cellStyle name="Total 9 5" xfId="30647"/>
    <cellStyle name="totalbold" xfId="30648"/>
    <cellStyle name="TotCol - Style5" xfId="30649"/>
    <cellStyle name="TotRow - Style4" xfId="30650"/>
    <cellStyle name="TotRow - Style4 2" xfId="30651"/>
    <cellStyle name="TotRow - Style4 2 2" xfId="30652"/>
    <cellStyle name="TotRow - Style4 2 3" xfId="30653"/>
    <cellStyle name="TotRow - Style4 2 4" xfId="30654"/>
    <cellStyle name="TotRow - Style4 3" xfId="30655"/>
    <cellStyle name="TotRow - Style4 4" xfId="30656"/>
    <cellStyle name="TotRow - Style4 5" xfId="30657"/>
    <cellStyle name="Tusental (0)_pldt" xfId="30658"/>
    <cellStyle name="Tusental_pldt" xfId="30659"/>
    <cellStyle name="uni" xfId="30660"/>
    <cellStyle name="Unit" xfId="30661"/>
    <cellStyle name="v" xfId="30662"/>
    <cellStyle name="v 2" xfId="30663"/>
    <cellStyle name="v 2 2" xfId="30664"/>
    <cellStyle name="v 2 3" xfId="30665"/>
    <cellStyle name="v 2 4" xfId="30666"/>
    <cellStyle name="v 3" xfId="30667"/>
    <cellStyle name="v 3 2" xfId="30668"/>
    <cellStyle name="v 3 3" xfId="30669"/>
    <cellStyle name="v 3 4" xfId="30670"/>
    <cellStyle name="v 4" xfId="30671"/>
    <cellStyle name="v 5" xfId="30672"/>
    <cellStyle name="v 6" xfId="30673"/>
    <cellStyle name="v 7" xfId="30674"/>
    <cellStyle name="v_25-8-2010  ABS &amp; Det" xfId="30675"/>
    <cellStyle name="v_25-8-2010  ABS &amp; Det 2" xfId="30676"/>
    <cellStyle name="v_25-8-2010  ABS &amp; Det 2 2" xfId="30677"/>
    <cellStyle name="v_25-8-2010  ABS &amp; Det 2 3" xfId="30678"/>
    <cellStyle name="v_25-8-2010  ABS &amp; Det 2 4" xfId="30679"/>
    <cellStyle name="v_25-8-2010  ABS &amp; Det 3" xfId="30680"/>
    <cellStyle name="v_25-8-2010  ABS &amp; Det 3 2" xfId="30681"/>
    <cellStyle name="v_25-8-2010  ABS &amp; Det 3 3" xfId="30682"/>
    <cellStyle name="v_25-8-2010  ABS &amp; Det 3 4" xfId="30683"/>
    <cellStyle name="v_25-8-2010  ABS &amp; Det 4" xfId="30684"/>
    <cellStyle name="v_25-8-2010  ABS &amp; Det 5" xfId="30685"/>
    <cellStyle name="v_25-8-2010  ABS &amp; Det 6" xfId="30686"/>
    <cellStyle name="v_25-8-2010  ABS &amp; Det 7" xfId="30687"/>
    <cellStyle name="v_25-8-2010  ABS &amp; Det_POST METRIC - ELEC" xfId="30688"/>
    <cellStyle name="v_25-8-2010  ABS &amp; Det_POST METRIC - ELEC 2" xfId="30689"/>
    <cellStyle name="v_25-8-2010  ABS &amp; Det_POST METRIC - ELEC 2 2" xfId="30690"/>
    <cellStyle name="v_25-8-2010  ABS &amp; Det_POST METRIC - ELEC 2 3" xfId="30691"/>
    <cellStyle name="v_25-8-2010  ABS &amp; Det_POST METRIC - ELEC 2 4" xfId="30692"/>
    <cellStyle name="v_25-8-2010  ABS &amp; Det_POST METRIC - ELEC 3" xfId="30693"/>
    <cellStyle name="v_25-8-2010  ABS &amp; Det_POST METRIC - ELEC 3 2" xfId="30694"/>
    <cellStyle name="v_25-8-2010  ABS &amp; Det_POST METRIC - ELEC 3 3" xfId="30695"/>
    <cellStyle name="v_25-8-2010  ABS &amp; Det_POST METRIC - ELEC 3 4" xfId="30696"/>
    <cellStyle name="v_25-8-2010  ABS &amp; Det_POST METRIC - ELEC 4" xfId="30697"/>
    <cellStyle name="v_25-8-2010  ABS &amp; Det_POST METRIC - ELEC 5" xfId="30698"/>
    <cellStyle name="v_25-8-2010  ABS &amp; Det_POST METRIC - ELEC 6" xfId="30699"/>
    <cellStyle name="v_25-8-2010  ABS &amp; Det_POST METRIC - ELEC 7" xfId="30700"/>
    <cellStyle name="v_25-8-2010  ABS &amp; Det_revised  Estimation-1" xfId="30701"/>
    <cellStyle name="v_25-8-2010  ABS &amp; Det_revised  Estimation-1 2" xfId="30702"/>
    <cellStyle name="v_25-8-2010  ABS &amp; Det_revised  Estimation-1 2 2" xfId="30703"/>
    <cellStyle name="v_25-8-2010  ABS &amp; Det_revised  Estimation-1 2 3" xfId="30704"/>
    <cellStyle name="v_25-8-2010  ABS &amp; Det_revised  Estimation-1 2 4" xfId="30705"/>
    <cellStyle name="v_25-8-2010  ABS &amp; Det_revised  Estimation-1 3" xfId="30706"/>
    <cellStyle name="v_25-8-2010  ABS &amp; Det_revised  Estimation-1 3 2" xfId="30707"/>
    <cellStyle name="v_25-8-2010  ABS &amp; Det_revised  Estimation-1 3 3" xfId="30708"/>
    <cellStyle name="v_25-8-2010  ABS &amp; Det_revised  Estimation-1 3 4" xfId="30709"/>
    <cellStyle name="v_25-8-2010  ABS &amp; Det_revised  Estimation-1 4" xfId="30710"/>
    <cellStyle name="v_25-8-2010  ABS &amp; Det_revised  Estimation-1 5" xfId="30711"/>
    <cellStyle name="v_25-8-2010  ABS &amp; Det_revised  Estimation-1 6" xfId="30712"/>
    <cellStyle name="v_25-8-2010  ABS &amp; Det_revised  Estimation-1 7" xfId="30713"/>
    <cellStyle name="v_25-8-2010  ABS &amp; Det_TIRUPATI  ELEC" xfId="30714"/>
    <cellStyle name="v_25-8-2010  ABS &amp; Det_TIRUPATI  ELEC 2" xfId="30715"/>
    <cellStyle name="v_25-8-2010  ABS &amp; Det_TIRUPATI  ELEC 2 2" xfId="30716"/>
    <cellStyle name="v_25-8-2010  ABS &amp; Det_TIRUPATI  ELEC 2 3" xfId="30717"/>
    <cellStyle name="v_25-8-2010  ABS &amp; Det_TIRUPATI  ELEC 2 4" xfId="30718"/>
    <cellStyle name="v_25-8-2010  ABS &amp; Det_TIRUPATI  ELEC 3" xfId="30719"/>
    <cellStyle name="v_25-8-2010  ABS &amp; Det_TIRUPATI  ELEC 3 2" xfId="30720"/>
    <cellStyle name="v_25-8-2010  ABS &amp; Det_TIRUPATI  ELEC 3 3" xfId="30721"/>
    <cellStyle name="v_25-8-2010  ABS &amp; Det_TIRUPATI  ELEC 3 4" xfId="30722"/>
    <cellStyle name="v_25-8-2010  ABS &amp; Det_TIRUPATI  ELEC 4" xfId="30723"/>
    <cellStyle name="v_25-8-2010  ABS &amp; Det_TIRUPATI  ELEC 5" xfId="30724"/>
    <cellStyle name="v_25-8-2010  ABS &amp; Det_TIRUPATI  ELEC 6" xfId="30725"/>
    <cellStyle name="v_25-8-2010  ABS &amp; Det_TIRUPATI  ELEC 7" xfId="30726"/>
    <cellStyle name="v_KC 640 Venk. Hatcheries Final" xfId="30727"/>
    <cellStyle name="v_KC 640 Venk. Hatcheries Final 2" xfId="30728"/>
    <cellStyle name="v_KC 640 Venk. Hatcheries Final 2 2" xfId="30729"/>
    <cellStyle name="v_KC 640 Venk. Hatcheries Final 2 3" xfId="30730"/>
    <cellStyle name="v_KC 640 Venk. Hatcheries Final 2 4" xfId="30731"/>
    <cellStyle name="v_KC 640 Venk. Hatcheries Final 3" xfId="30732"/>
    <cellStyle name="v_KC 640 Venk. Hatcheries Final 4" xfId="30733"/>
    <cellStyle name="v_KC 640 Venk. Hatcheries Final 5" xfId="30734"/>
    <cellStyle name="v_KC 640 Venk. Hatcheries Final 6" xfId="30735"/>
    <cellStyle name="v_KC 640 Venk. Hatcheries Final 7" xfId="30736"/>
    <cellStyle name="v_POST METRIC - ELEC" xfId="30737"/>
    <cellStyle name="v_POST METRIC - ELEC 2" xfId="30738"/>
    <cellStyle name="v_POST METRIC - ELEC 2 2" xfId="30739"/>
    <cellStyle name="v_POST METRIC - ELEC 2 3" xfId="30740"/>
    <cellStyle name="v_POST METRIC - ELEC 2 4" xfId="30741"/>
    <cellStyle name="v_POST METRIC - ELEC 3" xfId="30742"/>
    <cellStyle name="v_POST METRIC - ELEC 3 2" xfId="30743"/>
    <cellStyle name="v_POST METRIC - ELEC 3 3" xfId="30744"/>
    <cellStyle name="v_POST METRIC - ELEC 3 4" xfId="30745"/>
    <cellStyle name="v_POST METRIC - ELEC 4" xfId="30746"/>
    <cellStyle name="v_POST METRIC - ELEC 5" xfId="30747"/>
    <cellStyle name="v_POST METRIC - ELEC 6" xfId="30748"/>
    <cellStyle name="v_POST METRIC - ELEC 7" xfId="30749"/>
    <cellStyle name="v_revised  Estimation-1" xfId="30750"/>
    <cellStyle name="v_revised  Estimation-1 2" xfId="30751"/>
    <cellStyle name="v_revised  Estimation-1 2 2" xfId="30752"/>
    <cellStyle name="v_revised  Estimation-1 2 3" xfId="30753"/>
    <cellStyle name="v_revised  Estimation-1 2 4" xfId="30754"/>
    <cellStyle name="v_revised  Estimation-1 3" xfId="30755"/>
    <cellStyle name="v_revised  Estimation-1 3 2" xfId="30756"/>
    <cellStyle name="v_revised  Estimation-1 3 3" xfId="30757"/>
    <cellStyle name="v_revised  Estimation-1 3 4" xfId="30758"/>
    <cellStyle name="v_revised  Estimation-1 4" xfId="30759"/>
    <cellStyle name="v_revised  Estimation-1 5" xfId="30760"/>
    <cellStyle name="v_revised  Estimation-1 6" xfId="30761"/>
    <cellStyle name="v_revised  Estimation-1 7" xfId="30762"/>
    <cellStyle name="v_TIRUPATI  ELEC" xfId="30763"/>
    <cellStyle name="v_TIRUPATI  ELEC 2" xfId="30764"/>
    <cellStyle name="v_TIRUPATI  ELEC 2 2" xfId="30765"/>
    <cellStyle name="v_TIRUPATI  ELEC 2 3" xfId="30766"/>
    <cellStyle name="v_TIRUPATI  ELEC 2 4" xfId="30767"/>
    <cellStyle name="v_TIRUPATI  ELEC 3" xfId="30768"/>
    <cellStyle name="v_TIRUPATI  ELEC 3 2" xfId="30769"/>
    <cellStyle name="v_TIRUPATI  ELEC 3 3" xfId="30770"/>
    <cellStyle name="v_TIRUPATI  ELEC 3 4" xfId="30771"/>
    <cellStyle name="v_TIRUPATI  ELEC 4" xfId="30772"/>
    <cellStyle name="v_TIRUPATI  ELEC 5" xfId="30773"/>
    <cellStyle name="v_TIRUPATI  ELEC 6" xfId="30774"/>
    <cellStyle name="v_TIRUPATI  ELEC 7" xfId="30775"/>
    <cellStyle name="Value" xfId="30776"/>
    <cellStyle name="Value 2" xfId="30777"/>
    <cellStyle name="Value 3" xfId="30778"/>
    <cellStyle name="Value 4" xfId="30779"/>
    <cellStyle name="Value 5" xfId="30780"/>
    <cellStyle name="Value 6" xfId="30781"/>
    <cellStyle name="Value 7" xfId="30782"/>
    <cellStyle name="Valuta (0)_pldt" xfId="30783"/>
    <cellStyle name="Valuta_pldt" xfId="30784"/>
    <cellStyle name="Währung [0]_A_CAS_99" xfId="30806"/>
    <cellStyle name="Währung_A_CAS_99" xfId="30807"/>
    <cellStyle name="Warning Text 10" xfId="30785"/>
    <cellStyle name="Warning Text 11" xfId="30786"/>
    <cellStyle name="Warning Text 12" xfId="30787"/>
    <cellStyle name="Warning Text 13" xfId="30788"/>
    <cellStyle name="Warning Text 14" xfId="30789"/>
    <cellStyle name="Warning Text 15" xfId="30790"/>
    <cellStyle name="Warning Text 16" xfId="30791"/>
    <cellStyle name="Warning Text 2" xfId="30792"/>
    <cellStyle name="Warning Text 2 2" xfId="30793"/>
    <cellStyle name="Warning Text 2 3" xfId="30794"/>
    <cellStyle name="Warning Text 2 4" xfId="30795"/>
    <cellStyle name="Warning Text 2 5" xfId="30796"/>
    <cellStyle name="Warning Text 2_Block-F LGF POur-II BBS" xfId="30797"/>
    <cellStyle name="Warning Text 3" xfId="30798"/>
    <cellStyle name="Warning Text 3 2" xfId="30799"/>
    <cellStyle name="Warning Text 4" xfId="30800"/>
    <cellStyle name="Warning Text 5" xfId="30801"/>
    <cellStyle name="Warning Text 6" xfId="30802"/>
    <cellStyle name="Warning Text 7" xfId="30803"/>
    <cellStyle name="Warning Text 8" xfId="30804"/>
    <cellStyle name="Warning Text 9" xfId="30805"/>
    <cellStyle name="Yellow" xfId="30808"/>
    <cellStyle name="సాధారణ_Copy of Model estimate-Basnapally--07-05-06-Final" xfId="30860"/>
    <cellStyle name="_Revenue_Manpower Loading呃䍜" xfId="30876"/>
    <cellStyle name="콤마 [0]_Book1" xfId="30871"/>
    <cellStyle name="콤마_Book1" xfId="30872"/>
    <cellStyle name="통화 [0]_9634매출 " xfId="30873"/>
    <cellStyle name="통화_9634매출 " xfId="30874"/>
    <cellStyle name="표준_0N-HANDLING " xfId="30875"/>
    <cellStyle name="常规_geotextile cost" xfId="30863"/>
    <cellStyle name="桁区切り [0.00]_laroux" xfId="30864"/>
    <cellStyle name="桁区切り_COST (3)" xfId="30865"/>
    <cellStyle name="標準_94物件" xfId="30866"/>
    <cellStyle name="砯刽 [0]_Revenuenu" xfId="30867"/>
    <cellStyle name="砯刽_Revenueen" xfId="30868"/>
    <cellStyle name="通貨 [0.00]_laroux" xfId="30869"/>
    <cellStyle name="通貨_laroux" xfId="3087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DEADA"/>
      <rgbColor rgb="0000FFFF"/>
      <rgbColor rgb="00800000"/>
      <rgbColor rgb="0000A930"/>
      <rgbColor rgb="00000080"/>
      <rgbColor rgb="00CCCCCC"/>
      <rgbColor rgb="00800055"/>
      <rgbColor rgb="00E6E0EC"/>
      <rgbColor rgb="00C0C0C0"/>
      <rgbColor rgb="00948A54"/>
      <rgbColor rgb="00B3A2C7"/>
      <rgbColor rgb="00B84747"/>
      <rgbColor rgb="00EBF1DE"/>
      <rgbColor rgb="00CCFFFF"/>
      <rgbColor rgb="00660066"/>
      <rgbColor rgb="00FF8080"/>
      <rgbColor rgb="00FFDBB6"/>
      <rgbColor rgb="00CCCCFF"/>
      <rgbColor rgb="00000080"/>
      <rgbColor rgb="00EEEEEE"/>
      <rgbColor rgb="00FFBF00"/>
      <rgbColor rgb="0006F3F5"/>
      <rgbColor rgb="00800080"/>
      <rgbColor rgb="00800000"/>
      <rgbColor rgb="00F2DCDB"/>
      <rgbColor rgb="000000FF"/>
      <rgbColor rgb="0000B0F0"/>
      <rgbColor rgb="00DBEEF4"/>
      <rgbColor rgb="00CCFFCC"/>
      <rgbColor rgb="00FFFF99"/>
      <rgbColor rgb="008EB4E3"/>
      <rgbColor rgb="00FF99CC"/>
      <rgbColor rgb="00CC99FF"/>
      <rgbColor rgb="00FFCC99"/>
      <rgbColor rgb="00DCE6F2"/>
      <rgbColor rgb="0033CCCC"/>
      <rgbColor rgb="0092D050"/>
      <rgbColor rgb="00FFC000"/>
      <rgbColor rgb="00FF8000"/>
      <rgbColor rgb="00FF7F00"/>
      <rgbColor rgb="00666666"/>
      <rgbColor rgb="00999999"/>
      <rgbColor rgb="00003366"/>
      <rgbColor rgb="0000B050"/>
      <rgbColor rgb="00003300"/>
      <rgbColor rgb="00333300"/>
      <rgbColor rgb="00B12B04"/>
      <rgbColor rgb="00BE3F3F"/>
      <rgbColor rgb="007029A4"/>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NULL"/><Relationship Id="rId2" Type="http://schemas.openxmlformats.org/officeDocument/2006/relationships/image" Target="NULL"/><Relationship Id="rId1" Type="http://schemas.openxmlformats.org/officeDocument/2006/relationships/image" Target="NULL"/><Relationship Id="rId4"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3</xdr:row>
      <xdr:rowOff>171450</xdr:rowOff>
    </xdr:from>
    <xdr:to>
      <xdr:col>1</xdr:col>
      <xdr:colOff>123825</xdr:colOff>
      <xdr:row>7</xdr:row>
      <xdr:rowOff>95250</xdr:rowOff>
    </xdr:to>
    <xdr:pic>
      <xdr:nvPicPr>
        <xdr:cNvPr id="22529" name="Picture 1">
          <a:extLst>
            <a:ext uri="{FF2B5EF4-FFF2-40B4-BE49-F238E27FC236}">
              <a16:creationId xmlns="" xmlns:a16="http://schemas.microsoft.com/office/drawing/2014/main" id="{CF670181-AA00-4DC4-8D93-E175255830E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0" y="752475"/>
          <a:ext cx="657225" cy="72390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24</xdr:row>
      <xdr:rowOff>152400</xdr:rowOff>
    </xdr:from>
    <xdr:to>
      <xdr:col>1</xdr:col>
      <xdr:colOff>123825</xdr:colOff>
      <xdr:row>27</xdr:row>
      <xdr:rowOff>85725</xdr:rowOff>
    </xdr:to>
    <xdr:pic>
      <xdr:nvPicPr>
        <xdr:cNvPr id="22530" name="Picture 2">
          <a:extLst>
            <a:ext uri="{FF2B5EF4-FFF2-40B4-BE49-F238E27FC236}">
              <a16:creationId xmlns="" xmlns:a16="http://schemas.microsoft.com/office/drawing/2014/main" id="{51EC4C42-4EC6-4DED-8286-E8C15A2E6E5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0" y="4933950"/>
          <a:ext cx="657225" cy="523875"/>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35</xdr:row>
      <xdr:rowOff>57150</xdr:rowOff>
    </xdr:from>
    <xdr:to>
      <xdr:col>1</xdr:col>
      <xdr:colOff>123825</xdr:colOff>
      <xdr:row>37</xdr:row>
      <xdr:rowOff>19050</xdr:rowOff>
    </xdr:to>
    <xdr:pic>
      <xdr:nvPicPr>
        <xdr:cNvPr id="22531" name="Picture 3">
          <a:extLst>
            <a:ext uri="{FF2B5EF4-FFF2-40B4-BE49-F238E27FC236}">
              <a16:creationId xmlns="" xmlns:a16="http://schemas.microsoft.com/office/drawing/2014/main" id="{F174B4D7-A6C1-498B-A6A2-EEB54101E64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rcRect/>
        <a:stretch>
          <a:fillRect/>
        </a:stretch>
      </xdr:blipFill>
      <xdr:spPr bwMode="auto">
        <a:xfrm>
          <a:off x="0" y="7019925"/>
          <a:ext cx="657225" cy="36195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twoCellAnchor editAs="absolute">
    <xdr:from>
      <xdr:col>0</xdr:col>
      <xdr:colOff>0</xdr:colOff>
      <xdr:row>44</xdr:row>
      <xdr:rowOff>152400</xdr:rowOff>
    </xdr:from>
    <xdr:to>
      <xdr:col>1</xdr:col>
      <xdr:colOff>123825</xdr:colOff>
      <xdr:row>47</xdr:row>
      <xdr:rowOff>38100</xdr:rowOff>
    </xdr:to>
    <xdr:pic>
      <xdr:nvPicPr>
        <xdr:cNvPr id="22532" name="Picture 4">
          <a:extLst>
            <a:ext uri="{FF2B5EF4-FFF2-40B4-BE49-F238E27FC236}">
              <a16:creationId xmlns="" xmlns:a16="http://schemas.microsoft.com/office/drawing/2014/main" id="{EE18AD48-EFD1-4A2A-9A8A-53A8935E504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rcRect/>
        <a:stretch>
          <a:fillRect/>
        </a:stretch>
      </xdr:blipFill>
      <xdr:spPr bwMode="auto">
        <a:xfrm>
          <a:off x="0" y="8915400"/>
          <a:ext cx="657225" cy="476250"/>
        </a:xfrm>
        <a:prstGeom prst="rect">
          <a:avLst/>
        </a:prstGeom>
        <a:noFill/>
        <a:ln>
          <a:noFill/>
        </a:ln>
        <a:effectLst/>
        <a:extLst>
          <a:ext uri="{909E8E84-426E-40DD-AFC4-6F175D3DCCD1}">
            <a14:hiddenFill xmlns="" xmlns:a14="http://schemas.microsoft.com/office/drawing/2010/main">
              <a:blipFill dpi="0" rotWithShape="0">
                <a:blip xmlns:r="http://schemas.openxmlformats.org/officeDocument/2006/relationships"/>
                <a:srcRect/>
                <a:stretch>
                  <a:fillRect/>
                </a:stretch>
              </a:blipFill>
            </a14:hiddenFill>
          </a:ext>
          <a:ext uri="{91240B29-F687-4F45-9708-019B960494DF}">
            <a14:hiddenLine xmlns="" xmlns:a14="http://schemas.microsoft.com/office/drawing/2010/main" w="9525" cap="flat">
              <a:solidFill>
                <a:srgbClr val="3465A4"/>
              </a:solidFill>
              <a:round/>
              <a:headEnd/>
              <a:tailEnd/>
            </a14:hiddenLine>
          </a:ext>
          <a:ext uri="{AF507438-7753-43E0-B8FC-AC1667EBCBE1}">
            <a14:hiddenEffects xmlns="" xmlns:a14="http://schemas.microsoft.com/office/drawing/2010/main">
              <a:effectLst>
                <a:outerShdw dist="35921" dir="2700000" algn="ctr" rotWithShape="0">
                  <a:srgbClr val="808080"/>
                </a:outerShdw>
              </a:effectLst>
            </a14:hiddenEffects>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ETSMSIDC/Downloads/Electrical%20Datas%202022-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KOTI/Desktop/RE%20Totals%20Bharath/RE%20of%20Sub%20Centre%20Shaik%20pally.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BCD"/>
      <sheetName val="All E-Data 22-23"/>
      <sheetName val="MGPS"/>
      <sheetName val="AMB"/>
      <sheetName val="ESS"/>
      <sheetName val="All E-Data 22-23 (2)"/>
    </sheetNames>
    <sheetDataSet>
      <sheetData sheetId="0">
        <row r="2">
          <cell r="A2" t="str">
            <v xml:space="preserve">NAME OF THE WORK : CONSTRUCTION OF NEW GOV. SS HOSPITAL PATANCHERUVU
(SSR 2022-23)
</v>
          </cell>
        </row>
      </sheetData>
      <sheetData sheetId="1">
        <row r="2">
          <cell r="A2" t="str">
            <v xml:space="preserve">NAME OF THE WORK : CONSTRUCTION OF NEW GOV. SS HOSPITAL PATANCHERUVU
(SSR 2022-23)
</v>
          </cell>
        </row>
      </sheetData>
      <sheetData sheetId="2"/>
      <sheetData sheetId="3"/>
      <sheetData sheetId="4"/>
      <sheetData sheetId="5"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nveyance "/>
      <sheetName val="Civil SoR"/>
      <sheetName val="WS SoR "/>
      <sheetName val="Input"/>
      <sheetName val="LEAD"/>
      <sheetName val="C-data"/>
      <sheetName val="Joinery"/>
      <sheetName val="WS Data"/>
      <sheetName val="Civil RE"/>
      <sheetName val="WS  RE"/>
      <sheetName val="Ele RE"/>
      <sheetName val="GA RE"/>
      <sheetName val="RE Cvr Pg"/>
      <sheetName val="Civil Datas Print"/>
      <sheetName val="WS Supply Datas Print"/>
      <sheetName val="Ele Supply datas"/>
      <sheetName val="Details"/>
      <sheetName val="Steel Details"/>
    </sheetNames>
    <sheetDataSet>
      <sheetData sheetId="0" refreshError="1"/>
      <sheetData sheetId="1"/>
      <sheetData sheetId="2" refreshError="1"/>
      <sheetData sheetId="3">
        <row r="49">
          <cell r="C49" t="str">
            <v>Overheads&amp;Contractors Profit @13.615%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dimension ref="A3:BL22"/>
  <sheetViews>
    <sheetView view="pageBreakPreview" zoomScaleSheetLayoutView="100" workbookViewId="0">
      <selection activeCell="D24" sqref="D24"/>
    </sheetView>
  </sheetViews>
  <sheetFormatPr defaultColWidth="8.5703125" defaultRowHeight="14.25"/>
  <cols>
    <col min="1" max="1" width="8.42578125" style="1" customWidth="1"/>
    <col min="2" max="2" width="33.28515625" style="1" customWidth="1"/>
    <col min="3" max="3" width="6.85546875" style="1" customWidth="1"/>
    <col min="4" max="4" width="10.42578125" style="1" customWidth="1"/>
    <col min="5" max="5" width="10.85546875" style="1" customWidth="1"/>
    <col min="6" max="6" width="8.42578125" style="1" customWidth="1"/>
    <col min="7" max="8" width="10.85546875" style="1" customWidth="1"/>
    <col min="9" max="9" width="8.85546875" style="1" customWidth="1"/>
    <col min="10" max="64" width="8.42578125" style="1" customWidth="1"/>
    <col min="65" max="16384" width="8.5703125" style="2"/>
  </cols>
  <sheetData>
    <row r="3" spans="1:9" ht="15.75" customHeight="1">
      <c r="A3" s="3" t="s">
        <v>0</v>
      </c>
    </row>
    <row r="4" spans="1:9" ht="10.5" customHeight="1"/>
    <row r="6" spans="1:9" ht="168.6" customHeight="1">
      <c r="A6" s="4" t="s">
        <v>1</v>
      </c>
      <c r="B6" s="4" t="s">
        <v>2</v>
      </c>
      <c r="C6" s="4"/>
      <c r="D6" s="5" t="s">
        <v>3</v>
      </c>
      <c r="E6" s="5" t="s">
        <v>4</v>
      </c>
      <c r="F6" s="5" t="s">
        <v>5</v>
      </c>
      <c r="G6" s="5" t="s">
        <v>6</v>
      </c>
      <c r="H6" s="6" t="s">
        <v>7</v>
      </c>
      <c r="I6" s="6" t="s">
        <v>8</v>
      </c>
    </row>
    <row r="7" spans="1:9" ht="15.75" customHeight="1">
      <c r="A7" s="7">
        <v>1</v>
      </c>
      <c r="B7" s="7">
        <v>2</v>
      </c>
      <c r="C7" s="7"/>
      <c r="D7" s="7">
        <v>3</v>
      </c>
      <c r="E7" s="7">
        <v>4</v>
      </c>
      <c r="F7" s="7">
        <v>5</v>
      </c>
      <c r="G7" s="7">
        <v>6</v>
      </c>
      <c r="H7" s="7">
        <v>7</v>
      </c>
      <c r="I7" s="7">
        <v>8</v>
      </c>
    </row>
    <row r="8" spans="1:9" ht="15.75" customHeight="1">
      <c r="A8" s="8">
        <v>1</v>
      </c>
      <c r="B8" s="8" t="s">
        <v>9</v>
      </c>
      <c r="C8" s="8">
        <v>1</v>
      </c>
      <c r="D8" s="9">
        <v>42.6</v>
      </c>
      <c r="E8" s="9">
        <v>41.1</v>
      </c>
      <c r="F8" s="9">
        <v>25.7</v>
      </c>
      <c r="G8" s="9">
        <v>60.4</v>
      </c>
      <c r="H8" s="10">
        <v>25</v>
      </c>
      <c r="I8" s="9">
        <v>68.5</v>
      </c>
    </row>
    <row r="9" spans="1:9" ht="15.75" customHeight="1">
      <c r="A9" s="8">
        <v>2</v>
      </c>
      <c r="B9" s="8" t="s">
        <v>10</v>
      </c>
      <c r="C9" s="8">
        <v>2</v>
      </c>
      <c r="D9" s="9">
        <v>59.7</v>
      </c>
      <c r="E9" s="9">
        <v>57.5</v>
      </c>
      <c r="F9" s="9">
        <v>36</v>
      </c>
      <c r="G9" s="9">
        <v>84.6</v>
      </c>
      <c r="H9" s="9">
        <v>35.1</v>
      </c>
      <c r="I9" s="9">
        <v>95.9</v>
      </c>
    </row>
    <row r="10" spans="1:9" ht="15.75" customHeight="1">
      <c r="A10" s="8">
        <v>3</v>
      </c>
      <c r="B10" s="8" t="s">
        <v>11</v>
      </c>
      <c r="C10" s="8">
        <v>3</v>
      </c>
      <c r="D10" s="9">
        <v>79.5</v>
      </c>
      <c r="E10" s="9">
        <v>79.5</v>
      </c>
      <c r="F10" s="9">
        <v>49.7</v>
      </c>
      <c r="G10" s="9">
        <v>117</v>
      </c>
      <c r="H10" s="9">
        <v>46.8</v>
      </c>
      <c r="I10" s="9">
        <v>127.9</v>
      </c>
    </row>
    <row r="11" spans="1:9" ht="15.75" customHeight="1">
      <c r="A11" s="8">
        <v>4</v>
      </c>
      <c r="B11" s="8" t="s">
        <v>12</v>
      </c>
      <c r="C11" s="8">
        <v>4</v>
      </c>
      <c r="D11" s="9">
        <v>96.6</v>
      </c>
      <c r="E11" s="9">
        <v>96.6</v>
      </c>
      <c r="F11" s="9">
        <v>60.4</v>
      </c>
      <c r="G11" s="9">
        <v>142</v>
      </c>
      <c r="H11" s="9">
        <v>56.8</v>
      </c>
      <c r="I11" s="9">
        <v>155.30000000000001</v>
      </c>
    </row>
    <row r="12" spans="1:9" ht="15.75" customHeight="1">
      <c r="A12" s="8">
        <v>5</v>
      </c>
      <c r="B12" s="8" t="s">
        <v>13</v>
      </c>
      <c r="C12" s="8">
        <v>5</v>
      </c>
      <c r="D12" s="9">
        <v>113.6</v>
      </c>
      <c r="E12" s="9">
        <v>113.6</v>
      </c>
      <c r="F12" s="9">
        <v>71</v>
      </c>
      <c r="G12" s="9">
        <v>167.1</v>
      </c>
      <c r="H12" s="9">
        <v>66.8</v>
      </c>
      <c r="I12" s="9">
        <v>182.6</v>
      </c>
    </row>
    <row r="13" spans="1:9" ht="15.75" customHeight="1">
      <c r="A13" s="8">
        <v>6</v>
      </c>
      <c r="B13" s="8" t="s">
        <v>14</v>
      </c>
      <c r="C13" s="8">
        <v>30</v>
      </c>
      <c r="D13" s="9">
        <v>17</v>
      </c>
      <c r="E13" s="9">
        <v>17</v>
      </c>
      <c r="F13" s="9">
        <v>10.7</v>
      </c>
      <c r="G13" s="9">
        <v>25.1</v>
      </c>
      <c r="H13" s="9">
        <v>10</v>
      </c>
      <c r="I13" s="9">
        <v>27.4</v>
      </c>
    </row>
    <row r="14" spans="1:9" ht="15.75" customHeight="1">
      <c r="A14" s="8">
        <v>7</v>
      </c>
      <c r="B14" s="8" t="s">
        <v>15</v>
      </c>
      <c r="C14" s="8">
        <v>10000</v>
      </c>
      <c r="D14" s="9">
        <v>14.2</v>
      </c>
      <c r="E14" s="9">
        <v>14.2</v>
      </c>
      <c r="F14" s="9">
        <v>8.9</v>
      </c>
      <c r="G14" s="9">
        <v>20.9</v>
      </c>
      <c r="H14" s="9">
        <v>8.3000000000000007</v>
      </c>
      <c r="I14" s="9">
        <v>22.8</v>
      </c>
    </row>
    <row r="15" spans="1:9" ht="15.75" customHeight="1">
      <c r="A15" s="11"/>
      <c r="B15" s="11"/>
      <c r="C15" s="11"/>
      <c r="D15" s="11"/>
      <c r="E15" s="11"/>
      <c r="F15" s="11"/>
      <c r="G15" s="11"/>
      <c r="H15" s="11"/>
      <c r="I15" s="12"/>
    </row>
    <row r="16" spans="1:9" ht="15.75" customHeight="1">
      <c r="A16" s="11"/>
      <c r="B16" s="11"/>
      <c r="C16" s="11"/>
      <c r="D16" s="11"/>
      <c r="E16" s="11"/>
      <c r="F16" s="11"/>
      <c r="G16" s="11"/>
      <c r="H16" s="11"/>
      <c r="I16" s="12"/>
    </row>
    <row r="17" spans="1:9" ht="15.75" customHeight="1">
      <c r="A17" s="11"/>
      <c r="B17" s="11"/>
      <c r="C17" s="11"/>
      <c r="D17" s="11"/>
      <c r="E17" s="11"/>
      <c r="F17" s="11"/>
      <c r="G17" s="11"/>
      <c r="H17" s="11"/>
      <c r="I17" s="12"/>
    </row>
    <row r="18" spans="1:9" ht="81.400000000000006" customHeight="1">
      <c r="A18" s="4" t="s">
        <v>1</v>
      </c>
      <c r="B18" s="4" t="s">
        <v>16</v>
      </c>
      <c r="C18" s="4"/>
      <c r="D18" s="6" t="s">
        <v>17</v>
      </c>
      <c r="E18" s="6" t="s">
        <v>18</v>
      </c>
      <c r="F18" s="6" t="s">
        <v>19</v>
      </c>
      <c r="G18" s="6" t="s">
        <v>20</v>
      </c>
      <c r="H18" s="6" t="s">
        <v>21</v>
      </c>
      <c r="I18" s="12"/>
    </row>
    <row r="19" spans="1:9" ht="15.75" customHeight="1">
      <c r="A19" s="8"/>
      <c r="B19" s="8"/>
      <c r="C19" s="8"/>
      <c r="D19" s="8"/>
      <c r="E19" s="8"/>
      <c r="F19" s="8"/>
      <c r="G19" s="8"/>
      <c r="H19" s="8"/>
      <c r="I19" s="12"/>
    </row>
    <row r="20" spans="1:9" s="15" customFormat="1" ht="15.75" customHeight="1">
      <c r="A20" s="13">
        <v>1</v>
      </c>
      <c r="B20" s="13" t="s">
        <v>22</v>
      </c>
      <c r="C20" s="13"/>
      <c r="D20" s="9">
        <v>28</v>
      </c>
      <c r="E20" s="9">
        <v>56</v>
      </c>
      <c r="F20" s="9">
        <v>0</v>
      </c>
      <c r="G20" s="9">
        <v>92.4</v>
      </c>
      <c r="H20" s="9">
        <v>110.7</v>
      </c>
      <c r="I20" s="14"/>
    </row>
    <row r="21" spans="1:9" s="15" customFormat="1" ht="15.75" customHeight="1">
      <c r="A21" s="13"/>
      <c r="B21" s="13"/>
      <c r="C21" s="13"/>
      <c r="D21" s="9"/>
      <c r="E21" s="9"/>
      <c r="F21" s="9"/>
      <c r="G21" s="9"/>
      <c r="H21" s="9"/>
      <c r="I21" s="14"/>
    </row>
    <row r="22" spans="1:9" s="15" customFormat="1" ht="15.75" customHeight="1">
      <c r="A22" s="13">
        <v>2</v>
      </c>
      <c r="B22" s="13" t="s">
        <v>23</v>
      </c>
      <c r="C22" s="13"/>
      <c r="D22" s="9">
        <v>14</v>
      </c>
      <c r="E22" s="9">
        <v>28</v>
      </c>
      <c r="F22" s="9">
        <v>0</v>
      </c>
      <c r="G22" s="9">
        <v>92.4</v>
      </c>
      <c r="H22" s="9">
        <v>110.7</v>
      </c>
      <c r="I22" s="14"/>
    </row>
  </sheetData>
  <sheetProtection selectLockedCells="1" selectUnlockedCells="1"/>
  <printOptions horizontalCentered="1"/>
  <pageMargins left="0.31527777777777777" right="0.11805555555555555" top="0.55138888888888893" bottom="0.55138888888888893" header="0.51180555555555551" footer="0.51180555555555551"/>
  <pageSetup paperSize="9" scale="90" firstPageNumber="0" orientation="landscape" horizontalDpi="300" verticalDpi="300" r:id="rId1"/>
  <headerFooter alignWithMargins="0"/>
</worksheet>
</file>

<file path=xl/worksheets/sheet2.xml><?xml version="1.0" encoding="utf-8"?>
<worksheet xmlns="http://schemas.openxmlformats.org/spreadsheetml/2006/main" xmlns:r="http://schemas.openxmlformats.org/officeDocument/2006/relationships">
  <sheetPr>
    <tabColor indexed="40"/>
  </sheetPr>
  <dimension ref="A1:BL399"/>
  <sheetViews>
    <sheetView view="pageBreakPreview" zoomScaleSheetLayoutView="100" workbookViewId="0">
      <selection activeCell="C392" sqref="C392"/>
    </sheetView>
  </sheetViews>
  <sheetFormatPr defaultColWidth="8.42578125" defaultRowHeight="15"/>
  <cols>
    <col min="1" max="1" width="3.85546875" style="16" customWidth="1"/>
    <col min="2" max="2" width="3" style="16" customWidth="1"/>
    <col min="3" max="3" width="34" style="16" customWidth="1"/>
    <col min="4" max="5" width="8.42578125" style="16"/>
    <col min="6" max="6" width="13" style="16" customWidth="1"/>
    <col min="7" max="7" width="10" style="17" customWidth="1"/>
    <col min="8" max="11" width="8.42578125" style="16"/>
    <col min="12" max="12" width="8.28515625" style="16" customWidth="1"/>
    <col min="13" max="13" width="8.85546875" style="16" customWidth="1"/>
    <col min="14" max="16" width="8.28515625" style="16" customWidth="1"/>
    <col min="17" max="17" width="8.42578125" style="16"/>
    <col min="18" max="18" width="15.28515625" style="16" customWidth="1"/>
    <col min="19" max="19" width="8.85546875" style="18" customWidth="1"/>
    <col min="20" max="64" width="8.42578125" style="16"/>
    <col min="65" max="16384" width="8.42578125" style="19"/>
  </cols>
  <sheetData>
    <row r="1" spans="1:20" ht="12.75" customHeight="1">
      <c r="A1" s="1991" t="s">
        <v>24</v>
      </c>
      <c r="B1" s="1991"/>
      <c r="C1" s="1991"/>
      <c r="D1" s="1991"/>
      <c r="E1" s="1991"/>
      <c r="F1" s="1991"/>
      <c r="G1" s="1991"/>
      <c r="H1" s="1991"/>
      <c r="I1" s="1991"/>
      <c r="J1" s="1991"/>
    </row>
    <row r="2" spans="1:20" ht="25.5" customHeight="1">
      <c r="A2" s="20" t="s">
        <v>25</v>
      </c>
      <c r="B2" s="20"/>
      <c r="C2" s="20" t="s">
        <v>26</v>
      </c>
      <c r="D2" s="1992" t="s">
        <v>27</v>
      </c>
      <c r="E2" s="1992"/>
      <c r="F2" s="1992" t="s">
        <v>28</v>
      </c>
      <c r="G2" s="1993" t="s">
        <v>29</v>
      </c>
      <c r="H2" s="1994" t="s">
        <v>30</v>
      </c>
      <c r="I2" s="1994"/>
      <c r="J2" s="22"/>
      <c r="K2" s="23"/>
      <c r="L2" s="23"/>
      <c r="M2" s="23"/>
      <c r="N2" s="23"/>
      <c r="O2" s="23"/>
      <c r="P2" s="23"/>
      <c r="Q2" s="23"/>
      <c r="R2" s="23"/>
    </row>
    <row r="3" spans="1:20" ht="15.75" customHeight="1">
      <c r="A3" s="20"/>
      <c r="B3" s="20"/>
      <c r="C3" s="20"/>
      <c r="D3" s="20" t="s">
        <v>31</v>
      </c>
      <c r="E3" s="20" t="s">
        <v>32</v>
      </c>
      <c r="F3" s="1992"/>
      <c r="G3" s="1993"/>
      <c r="H3" s="1994"/>
      <c r="I3" s="1994"/>
      <c r="J3" s="22"/>
      <c r="K3" s="23"/>
      <c r="L3" s="23"/>
      <c r="M3" s="23"/>
      <c r="N3" s="23"/>
      <c r="O3" s="23"/>
      <c r="P3" s="23"/>
      <c r="Q3" s="23"/>
      <c r="R3" s="23"/>
    </row>
    <row r="4" spans="1:20" ht="15.75" customHeight="1">
      <c r="A4" s="24">
        <v>1</v>
      </c>
      <c r="B4" s="25"/>
      <c r="C4" s="26" t="s">
        <v>33</v>
      </c>
      <c r="D4" s="27" t="s">
        <v>34</v>
      </c>
      <c r="E4" s="28">
        <v>47</v>
      </c>
      <c r="F4" s="29" t="s">
        <v>35</v>
      </c>
      <c r="G4" s="30">
        <f>K4*H4</f>
        <v>9000</v>
      </c>
      <c r="H4" s="31">
        <v>1000</v>
      </c>
      <c r="I4" s="32" t="s">
        <v>36</v>
      </c>
      <c r="J4" s="33"/>
      <c r="K4" s="23">
        <v>9</v>
      </c>
      <c r="L4" s="23"/>
      <c r="M4" s="23"/>
      <c r="N4" s="23"/>
      <c r="O4" s="23"/>
      <c r="P4" s="23"/>
      <c r="Q4" s="23"/>
      <c r="R4" s="23"/>
    </row>
    <row r="5" spans="1:20" ht="25.35" customHeight="1">
      <c r="A5" s="24">
        <f t="shared" ref="A5:A7" si="0">A4+1</f>
        <v>2</v>
      </c>
      <c r="B5" s="25"/>
      <c r="C5" s="34" t="s">
        <v>37</v>
      </c>
      <c r="D5" s="34"/>
      <c r="E5" s="28">
        <v>47</v>
      </c>
      <c r="F5" s="29" t="s">
        <v>38</v>
      </c>
      <c r="G5" s="30">
        <v>32</v>
      </c>
      <c r="H5" s="31">
        <v>1</v>
      </c>
      <c r="I5" s="32" t="s">
        <v>39</v>
      </c>
      <c r="J5" s="22"/>
      <c r="K5" s="23"/>
      <c r="L5" s="23"/>
      <c r="M5" s="23"/>
      <c r="N5" s="23"/>
      <c r="O5" s="23"/>
      <c r="P5" s="23"/>
      <c r="Q5" s="23"/>
      <c r="R5" s="23"/>
    </row>
    <row r="6" spans="1:20" ht="25.35" customHeight="1">
      <c r="A6" s="24">
        <f t="shared" si="0"/>
        <v>3</v>
      </c>
      <c r="B6" s="25"/>
      <c r="C6" s="34" t="s">
        <v>40</v>
      </c>
      <c r="D6" s="34"/>
      <c r="E6" s="28">
        <v>47</v>
      </c>
      <c r="F6" s="35" t="s">
        <v>41</v>
      </c>
      <c r="G6" s="30">
        <v>14</v>
      </c>
      <c r="H6" s="31">
        <v>1</v>
      </c>
      <c r="I6" s="32" t="s">
        <v>39</v>
      </c>
      <c r="J6" s="22"/>
      <c r="K6" s="23"/>
      <c r="L6" s="23"/>
      <c r="M6" s="23"/>
      <c r="N6" s="23"/>
      <c r="O6" s="23"/>
      <c r="P6" s="23"/>
      <c r="Q6" s="23"/>
      <c r="R6" s="23"/>
    </row>
    <row r="7" spans="1:20" ht="25.35" customHeight="1">
      <c r="A7" s="24">
        <f t="shared" si="0"/>
        <v>4</v>
      </c>
      <c r="B7" s="25"/>
      <c r="C7" s="34" t="s">
        <v>42</v>
      </c>
      <c r="D7" s="34"/>
      <c r="E7" s="28">
        <v>48</v>
      </c>
      <c r="F7" s="29" t="s">
        <v>43</v>
      </c>
      <c r="G7" s="30">
        <v>9</v>
      </c>
      <c r="H7" s="31">
        <v>1</v>
      </c>
      <c r="I7" s="32" t="s">
        <v>39</v>
      </c>
      <c r="J7" s="33"/>
      <c r="K7" s="23"/>
      <c r="L7" s="23"/>
      <c r="M7" s="23"/>
      <c r="N7" s="23"/>
      <c r="O7" s="23"/>
      <c r="P7" s="23"/>
      <c r="Q7" s="23"/>
      <c r="R7" s="23"/>
    </row>
    <row r="8" spans="1:20" ht="15.75" customHeight="1">
      <c r="A8" s="36"/>
      <c r="B8" s="20"/>
      <c r="C8" s="37"/>
      <c r="D8" s="37"/>
      <c r="E8" s="38"/>
      <c r="F8" s="39"/>
      <c r="G8" s="30"/>
      <c r="H8" s="40"/>
      <c r="I8" s="41"/>
      <c r="J8" s="22"/>
      <c r="K8" s="23"/>
      <c r="L8" s="23"/>
      <c r="M8" s="23"/>
      <c r="N8" s="23"/>
      <c r="O8" s="23"/>
      <c r="P8" s="23"/>
      <c r="Q8" s="23"/>
      <c r="R8" s="23"/>
    </row>
    <row r="9" spans="1:20" ht="25.35" customHeight="1">
      <c r="A9" s="24">
        <f>A7+1</f>
        <v>5</v>
      </c>
      <c r="B9" s="25"/>
      <c r="C9" s="34" t="s">
        <v>44</v>
      </c>
      <c r="D9" s="34"/>
      <c r="E9" s="28">
        <v>48</v>
      </c>
      <c r="F9" s="29" t="s">
        <v>45</v>
      </c>
      <c r="G9" s="30">
        <v>2700</v>
      </c>
      <c r="H9" s="31">
        <v>10</v>
      </c>
      <c r="I9" s="32" t="s">
        <v>46</v>
      </c>
      <c r="J9" s="33"/>
      <c r="K9" s="23"/>
      <c r="L9" s="23"/>
      <c r="M9" s="23"/>
      <c r="N9" s="23"/>
      <c r="O9" s="23"/>
      <c r="P9" s="23"/>
      <c r="Q9" s="23"/>
      <c r="R9" s="23"/>
    </row>
    <row r="10" spans="1:20" ht="25.35" customHeight="1">
      <c r="A10" s="24">
        <f t="shared" ref="A10:A14" si="1">A9+1</f>
        <v>6</v>
      </c>
      <c r="B10" s="25"/>
      <c r="C10" s="34" t="s">
        <v>47</v>
      </c>
      <c r="D10" s="34"/>
      <c r="E10" s="28">
        <v>48</v>
      </c>
      <c r="F10" s="29" t="s">
        <v>48</v>
      </c>
      <c r="G10" s="30">
        <v>1540</v>
      </c>
      <c r="H10" s="31">
        <v>10</v>
      </c>
      <c r="I10" s="32" t="s">
        <v>46</v>
      </c>
      <c r="J10" s="22"/>
      <c r="K10" s="23"/>
      <c r="L10" s="23"/>
      <c r="M10" s="23"/>
      <c r="N10" s="23"/>
      <c r="O10" s="23"/>
      <c r="P10" s="23"/>
      <c r="Q10" s="42"/>
      <c r="R10" s="23"/>
    </row>
    <row r="11" spans="1:20" ht="36.6" customHeight="1">
      <c r="A11" s="24">
        <f t="shared" si="1"/>
        <v>7</v>
      </c>
      <c r="B11" s="25"/>
      <c r="C11" s="34" t="s">
        <v>49</v>
      </c>
      <c r="D11" s="34"/>
      <c r="E11" s="28">
        <v>49</v>
      </c>
      <c r="F11" s="35" t="s">
        <v>50</v>
      </c>
      <c r="G11" s="30">
        <v>3486</v>
      </c>
      <c r="H11" s="31">
        <v>1</v>
      </c>
      <c r="I11" s="32" t="s">
        <v>46</v>
      </c>
      <c r="J11" s="22"/>
      <c r="K11" s="23"/>
      <c r="L11" s="23"/>
      <c r="M11" s="23"/>
      <c r="N11" s="23"/>
      <c r="O11" s="23"/>
      <c r="P11" s="23"/>
      <c r="Q11" s="23"/>
      <c r="R11" s="42"/>
    </row>
    <row r="12" spans="1:20" ht="36.6" customHeight="1">
      <c r="A12" s="24">
        <f t="shared" si="1"/>
        <v>8</v>
      </c>
      <c r="B12" s="25"/>
      <c r="C12" s="34" t="s">
        <v>51</v>
      </c>
      <c r="D12" s="34"/>
      <c r="E12" s="28">
        <v>49</v>
      </c>
      <c r="F12" s="29" t="s">
        <v>52</v>
      </c>
      <c r="G12" s="30">
        <v>3030</v>
      </c>
      <c r="H12" s="31">
        <v>1</v>
      </c>
      <c r="I12" s="32" t="s">
        <v>46</v>
      </c>
      <c r="J12" s="22"/>
      <c r="K12" s="23"/>
      <c r="L12" s="23"/>
      <c r="M12" s="23"/>
      <c r="N12" s="23"/>
      <c r="O12" s="23"/>
      <c r="P12" s="23"/>
      <c r="Q12" s="23"/>
      <c r="R12" s="23"/>
    </row>
    <row r="13" spans="1:20" ht="25.35" customHeight="1">
      <c r="A13" s="24">
        <f t="shared" si="1"/>
        <v>9</v>
      </c>
      <c r="B13" s="25"/>
      <c r="C13" s="34" t="s">
        <v>53</v>
      </c>
      <c r="D13" s="34"/>
      <c r="E13" s="28">
        <v>49</v>
      </c>
      <c r="F13" s="29" t="s">
        <v>54</v>
      </c>
      <c r="G13" s="30">
        <v>2576</v>
      </c>
      <c r="H13" s="31">
        <v>1</v>
      </c>
      <c r="I13" s="32" t="s">
        <v>46</v>
      </c>
      <c r="J13" s="22"/>
      <c r="K13" s="23"/>
      <c r="L13" s="23"/>
      <c r="M13" s="23"/>
      <c r="N13" s="23"/>
      <c r="O13" s="23"/>
      <c r="P13" s="23"/>
      <c r="Q13" s="23"/>
      <c r="R13" s="23"/>
    </row>
    <row r="14" spans="1:20" ht="25.35" customHeight="1">
      <c r="A14" s="24">
        <f t="shared" si="1"/>
        <v>10</v>
      </c>
      <c r="B14" s="25"/>
      <c r="C14" s="43" t="s">
        <v>55</v>
      </c>
      <c r="D14" s="43"/>
      <c r="E14" s="28">
        <v>49</v>
      </c>
      <c r="F14" s="29" t="s">
        <v>56</v>
      </c>
      <c r="G14" s="30">
        <v>1182</v>
      </c>
      <c r="H14" s="31">
        <v>1</v>
      </c>
      <c r="I14" s="32" t="s">
        <v>46</v>
      </c>
      <c r="J14" s="22"/>
      <c r="K14" s="23"/>
      <c r="L14" s="23"/>
      <c r="M14" s="23"/>
      <c r="N14" s="23"/>
      <c r="O14" s="23"/>
      <c r="P14" s="23"/>
      <c r="Q14" s="23"/>
      <c r="R14" s="42"/>
      <c r="S14" s="44"/>
      <c r="T14" s="23"/>
    </row>
    <row r="15" spans="1:20" ht="15.75" customHeight="1">
      <c r="A15" s="36"/>
      <c r="B15" s="20"/>
      <c r="C15" s="45"/>
      <c r="D15" s="45"/>
      <c r="E15" s="38"/>
      <c r="F15" s="39"/>
      <c r="G15" s="30"/>
      <c r="H15" s="40"/>
      <c r="I15" s="41"/>
      <c r="J15" s="22"/>
      <c r="K15" s="23"/>
      <c r="L15" s="23"/>
      <c r="M15" s="23"/>
      <c r="N15" s="23"/>
      <c r="O15" s="23"/>
      <c r="P15" s="23"/>
      <c r="Q15" s="23"/>
      <c r="R15" s="23"/>
      <c r="S15" s="44"/>
      <c r="T15" s="23"/>
    </row>
    <row r="16" spans="1:20" ht="25.35" customHeight="1">
      <c r="A16" s="46">
        <f>A14+1</f>
        <v>11</v>
      </c>
      <c r="B16" s="47"/>
      <c r="C16" s="48" t="s">
        <v>57</v>
      </c>
      <c r="D16" s="48"/>
      <c r="E16" s="28">
        <v>49</v>
      </c>
      <c r="F16" s="29" t="s">
        <v>58</v>
      </c>
      <c r="G16" s="30">
        <v>315</v>
      </c>
      <c r="H16" s="31">
        <v>1</v>
      </c>
      <c r="I16" s="32" t="s">
        <v>46</v>
      </c>
      <c r="J16" s="49"/>
      <c r="K16" s="23"/>
      <c r="L16" s="23"/>
      <c r="M16" s="23"/>
      <c r="N16" s="23"/>
      <c r="O16" s="23"/>
      <c r="P16" s="23"/>
      <c r="Q16" s="23"/>
      <c r="R16" s="23"/>
      <c r="S16" s="44"/>
      <c r="T16" s="23"/>
    </row>
    <row r="17" spans="1:20" ht="25.35" customHeight="1">
      <c r="A17" s="46">
        <f t="shared" ref="A17:A22" si="2">A16+1</f>
        <v>12</v>
      </c>
      <c r="B17" s="47"/>
      <c r="C17" s="48" t="s">
        <v>59</v>
      </c>
      <c r="D17" s="48"/>
      <c r="E17" s="28">
        <v>49</v>
      </c>
      <c r="F17" s="29" t="s">
        <v>60</v>
      </c>
      <c r="G17" s="30">
        <v>326</v>
      </c>
      <c r="H17" s="31">
        <v>1</v>
      </c>
      <c r="I17" s="32" t="s">
        <v>46</v>
      </c>
      <c r="J17" s="50"/>
      <c r="K17" s="23"/>
      <c r="L17" s="23"/>
      <c r="M17" s="23"/>
      <c r="N17" s="23"/>
      <c r="O17" s="23"/>
      <c r="P17" s="23"/>
      <c r="Q17" s="23"/>
      <c r="R17" s="23"/>
      <c r="S17" s="44"/>
      <c r="T17" s="23"/>
    </row>
    <row r="18" spans="1:20" ht="58.9" customHeight="1">
      <c r="A18" s="46">
        <f t="shared" si="2"/>
        <v>13</v>
      </c>
      <c r="B18" s="47"/>
      <c r="C18" s="43" t="s">
        <v>61</v>
      </c>
      <c r="D18" s="43"/>
      <c r="E18" s="28">
        <v>50</v>
      </c>
      <c r="F18" s="29" t="s">
        <v>62</v>
      </c>
      <c r="G18" s="30">
        <v>443</v>
      </c>
      <c r="H18" s="31">
        <v>1</v>
      </c>
      <c r="I18" s="32" t="s">
        <v>46</v>
      </c>
      <c r="J18" s="51"/>
      <c r="K18" s="23"/>
      <c r="L18" s="23"/>
      <c r="M18" s="23"/>
      <c r="N18" s="23"/>
      <c r="O18" s="23"/>
      <c r="P18" s="23"/>
      <c r="Q18" s="23"/>
      <c r="R18" s="23"/>
      <c r="S18" s="44"/>
      <c r="T18" s="23"/>
    </row>
    <row r="19" spans="1:20" ht="58.9" customHeight="1">
      <c r="A19" s="46">
        <f t="shared" si="2"/>
        <v>14</v>
      </c>
      <c r="B19" s="47"/>
      <c r="C19" s="43" t="s">
        <v>63</v>
      </c>
      <c r="D19" s="43"/>
      <c r="E19" s="28">
        <v>50</v>
      </c>
      <c r="F19" s="29" t="s">
        <v>64</v>
      </c>
      <c r="G19" s="30">
        <v>443</v>
      </c>
      <c r="H19" s="31">
        <v>1</v>
      </c>
      <c r="I19" s="32" t="s">
        <v>46</v>
      </c>
      <c r="J19" s="51"/>
      <c r="K19" s="23"/>
      <c r="L19" s="23"/>
      <c r="M19" s="23"/>
      <c r="N19" s="23"/>
      <c r="O19" s="23"/>
      <c r="P19" s="23"/>
      <c r="Q19" s="23"/>
      <c r="R19" s="23"/>
      <c r="S19" s="44"/>
      <c r="T19" s="23"/>
    </row>
    <row r="20" spans="1:20" ht="103.5">
      <c r="A20" s="46">
        <f t="shared" si="2"/>
        <v>15</v>
      </c>
      <c r="B20" s="47"/>
      <c r="C20" s="43" t="s">
        <v>65</v>
      </c>
      <c r="D20" s="43"/>
      <c r="E20" s="28">
        <v>50</v>
      </c>
      <c r="F20" s="29" t="s">
        <v>66</v>
      </c>
      <c r="G20" s="30">
        <v>578</v>
      </c>
      <c r="H20" s="31">
        <v>1</v>
      </c>
      <c r="I20" s="32" t="s">
        <v>46</v>
      </c>
      <c r="J20" s="51"/>
      <c r="K20" s="23"/>
      <c r="L20" s="23"/>
      <c r="M20" s="23"/>
      <c r="N20" s="23"/>
      <c r="O20" s="23"/>
      <c r="P20" s="23"/>
      <c r="Q20" s="23"/>
      <c r="R20" s="23"/>
      <c r="S20" s="44"/>
      <c r="T20" s="23"/>
    </row>
    <row r="21" spans="1:20" ht="25.35" customHeight="1">
      <c r="A21" s="46">
        <f t="shared" si="2"/>
        <v>16</v>
      </c>
      <c r="B21" s="47"/>
      <c r="C21" s="48" t="s">
        <v>67</v>
      </c>
      <c r="D21" s="48"/>
      <c r="E21" s="28">
        <v>55</v>
      </c>
      <c r="F21" s="29" t="s">
        <v>68</v>
      </c>
      <c r="G21" s="30">
        <v>504</v>
      </c>
      <c r="H21" s="31">
        <v>1</v>
      </c>
      <c r="I21" s="32" t="s">
        <v>46</v>
      </c>
      <c r="J21" s="51"/>
      <c r="K21" s="23"/>
      <c r="L21" s="23"/>
      <c r="M21" s="23"/>
      <c r="N21" s="23"/>
      <c r="O21" s="23"/>
      <c r="P21" s="23"/>
      <c r="Q21" s="42"/>
      <c r="R21" s="23"/>
      <c r="S21" s="52"/>
      <c r="T21" s="23"/>
    </row>
    <row r="22" spans="1:20" ht="36.6" customHeight="1">
      <c r="A22" s="46">
        <f t="shared" si="2"/>
        <v>17</v>
      </c>
      <c r="B22" s="47"/>
      <c r="C22" s="48" t="s">
        <v>69</v>
      </c>
      <c r="D22" s="48"/>
      <c r="E22" s="28">
        <v>53</v>
      </c>
      <c r="F22" s="29" t="s">
        <v>70</v>
      </c>
      <c r="G22" s="30">
        <v>750</v>
      </c>
      <c r="H22" s="31">
        <v>1</v>
      </c>
      <c r="I22" s="32" t="s">
        <v>46</v>
      </c>
      <c r="J22" s="51"/>
      <c r="K22" s="23"/>
      <c r="L22" s="23"/>
      <c r="M22" s="23"/>
      <c r="N22" s="23"/>
      <c r="O22" s="23"/>
      <c r="P22" s="23"/>
      <c r="Q22" s="42"/>
      <c r="R22" s="23"/>
      <c r="S22" s="52"/>
      <c r="T22" s="23"/>
    </row>
    <row r="23" spans="1:20" ht="25.35" customHeight="1">
      <c r="A23" s="46">
        <f>A21+1</f>
        <v>17</v>
      </c>
      <c r="B23" s="47"/>
      <c r="C23" s="48" t="s">
        <v>71</v>
      </c>
      <c r="D23" s="48"/>
      <c r="E23" s="24">
        <v>56</v>
      </c>
      <c r="F23" s="29" t="s">
        <v>72</v>
      </c>
      <c r="G23" s="30">
        <v>288</v>
      </c>
      <c r="H23" s="31">
        <v>1</v>
      </c>
      <c r="I23" s="32" t="s">
        <v>46</v>
      </c>
      <c r="J23" s="51"/>
      <c r="K23" s="23"/>
      <c r="L23" s="23"/>
      <c r="M23" s="23"/>
      <c r="N23" s="23"/>
      <c r="O23" s="23"/>
      <c r="P23" s="23"/>
      <c r="Q23" s="23"/>
      <c r="R23" s="23"/>
      <c r="S23" s="44"/>
      <c r="T23" s="23"/>
    </row>
    <row r="24" spans="1:20" ht="15.75" customHeight="1">
      <c r="A24" s="53"/>
      <c r="B24" s="54"/>
      <c r="C24" s="55"/>
      <c r="D24" s="55"/>
      <c r="E24" s="56"/>
      <c r="F24" s="57"/>
      <c r="G24" s="30"/>
      <c r="H24" s="40"/>
      <c r="I24" s="41"/>
      <c r="J24" s="51"/>
      <c r="K24" s="23"/>
      <c r="L24" s="23"/>
      <c r="M24" s="23"/>
      <c r="N24" s="23"/>
      <c r="O24" s="23"/>
      <c r="P24" s="23"/>
      <c r="Q24" s="23"/>
      <c r="R24" s="23"/>
    </row>
    <row r="25" spans="1:20" ht="15.75" customHeight="1">
      <c r="A25" s="46">
        <f>A23+1</f>
        <v>18</v>
      </c>
      <c r="B25" s="47"/>
      <c r="C25" s="48" t="s">
        <v>73</v>
      </c>
      <c r="D25" s="48"/>
      <c r="E25" s="24">
        <v>58</v>
      </c>
      <c r="F25" s="58" t="s">
        <v>74</v>
      </c>
      <c r="G25" s="51">
        <v>82331</v>
      </c>
      <c r="H25" s="31">
        <v>1</v>
      </c>
      <c r="I25" s="32" t="s">
        <v>75</v>
      </c>
      <c r="J25" s="51"/>
      <c r="K25" s="23"/>
      <c r="L25" s="23"/>
      <c r="M25" s="23"/>
      <c r="N25" s="23"/>
      <c r="O25" s="23"/>
      <c r="P25" s="23"/>
      <c r="Q25" s="42"/>
      <c r="R25" s="23"/>
    </row>
    <row r="26" spans="1:20" ht="15.75" customHeight="1">
      <c r="A26" s="46">
        <f t="shared" ref="A26:A28" si="3">A25+1</f>
        <v>19</v>
      </c>
      <c r="B26" s="47"/>
      <c r="C26" s="48" t="s">
        <v>76</v>
      </c>
      <c r="D26" s="48"/>
      <c r="E26" s="24">
        <v>58</v>
      </c>
      <c r="F26" s="58" t="s">
        <v>77</v>
      </c>
      <c r="G26" s="51">
        <v>91479</v>
      </c>
      <c r="H26" s="31">
        <v>1</v>
      </c>
      <c r="I26" s="32" t="s">
        <v>75</v>
      </c>
      <c r="J26" s="51"/>
      <c r="K26" s="23"/>
      <c r="L26" s="23"/>
      <c r="M26" s="23"/>
      <c r="N26" s="23"/>
      <c r="O26" s="23"/>
      <c r="P26" s="23"/>
      <c r="Q26" s="42"/>
      <c r="R26" s="23"/>
    </row>
    <row r="27" spans="1:20" ht="15.75" customHeight="1">
      <c r="A27" s="46">
        <f t="shared" si="3"/>
        <v>20</v>
      </c>
      <c r="B27" s="47"/>
      <c r="C27" s="48" t="s">
        <v>78</v>
      </c>
      <c r="D27" s="48"/>
      <c r="E27" s="24">
        <v>58</v>
      </c>
      <c r="F27" s="58" t="s">
        <v>79</v>
      </c>
      <c r="G27" s="51">
        <v>100628</v>
      </c>
      <c r="H27" s="31">
        <v>1</v>
      </c>
      <c r="I27" s="32" t="s">
        <v>75</v>
      </c>
      <c r="J27" s="51"/>
      <c r="K27" s="23"/>
      <c r="L27" s="23"/>
      <c r="M27" s="23"/>
      <c r="N27" s="23"/>
      <c r="O27" s="23"/>
      <c r="P27" s="23"/>
      <c r="Q27" s="42"/>
      <c r="R27" s="23"/>
    </row>
    <row r="28" spans="1:20" ht="15.75" customHeight="1">
      <c r="A28" s="46">
        <f t="shared" si="3"/>
        <v>21</v>
      </c>
      <c r="B28" s="47"/>
      <c r="C28" s="48" t="s">
        <v>80</v>
      </c>
      <c r="D28" s="48"/>
      <c r="E28" s="24">
        <v>58</v>
      </c>
      <c r="F28" s="58" t="s">
        <v>81</v>
      </c>
      <c r="G28" s="51">
        <v>164661</v>
      </c>
      <c r="H28" s="31">
        <v>1</v>
      </c>
      <c r="I28" s="32" t="s">
        <v>75</v>
      </c>
      <c r="J28" s="51"/>
      <c r="K28" s="23"/>
      <c r="L28" s="23"/>
      <c r="M28" s="23"/>
      <c r="N28" s="23"/>
      <c r="O28" s="23"/>
      <c r="P28" s="23"/>
      <c r="Q28" s="42"/>
      <c r="R28" s="23"/>
    </row>
    <row r="29" spans="1:20" ht="15.75" customHeight="1">
      <c r="A29" s="46">
        <f>A26+1</f>
        <v>20</v>
      </c>
      <c r="B29" s="47"/>
      <c r="C29" s="48" t="s">
        <v>82</v>
      </c>
      <c r="D29" s="48"/>
      <c r="E29" s="24">
        <v>58</v>
      </c>
      <c r="F29" s="58" t="s">
        <v>83</v>
      </c>
      <c r="G29" s="51">
        <v>141792</v>
      </c>
      <c r="H29" s="31">
        <v>1</v>
      </c>
      <c r="I29" s="32" t="s">
        <v>75</v>
      </c>
      <c r="J29" s="51"/>
      <c r="K29" s="23"/>
      <c r="L29" s="23"/>
      <c r="M29" s="23"/>
      <c r="N29" s="23"/>
      <c r="O29" s="23"/>
      <c r="P29" s="23"/>
      <c r="Q29" s="42"/>
      <c r="R29" s="23"/>
    </row>
    <row r="30" spans="1:20" ht="15.75" customHeight="1">
      <c r="A30" s="46">
        <f t="shared" ref="A30:A41" si="4">A29+1</f>
        <v>21</v>
      </c>
      <c r="B30" s="47"/>
      <c r="C30" s="48" t="s">
        <v>84</v>
      </c>
      <c r="D30" s="48"/>
      <c r="E30" s="24">
        <v>58</v>
      </c>
      <c r="F30" s="58" t="s">
        <v>85</v>
      </c>
      <c r="G30" s="51">
        <v>150940</v>
      </c>
      <c r="H30" s="31">
        <v>1</v>
      </c>
      <c r="I30" s="32" t="s">
        <v>75</v>
      </c>
      <c r="J30" s="51"/>
      <c r="K30" s="23"/>
      <c r="L30" s="23"/>
      <c r="M30" s="23"/>
      <c r="N30" s="23"/>
      <c r="O30" s="23"/>
      <c r="P30" s="23"/>
      <c r="Q30" s="42"/>
      <c r="R30" s="23"/>
    </row>
    <row r="31" spans="1:20" ht="15.75" customHeight="1">
      <c r="A31" s="46">
        <f t="shared" si="4"/>
        <v>22</v>
      </c>
      <c r="B31" s="47"/>
      <c r="C31" s="48" t="s">
        <v>86</v>
      </c>
      <c r="D31" s="48"/>
      <c r="E31" s="24">
        <v>58</v>
      </c>
      <c r="F31" s="58" t="s">
        <v>87</v>
      </c>
      <c r="G31" s="51">
        <v>160088</v>
      </c>
      <c r="H31" s="31">
        <v>1</v>
      </c>
      <c r="I31" s="32" t="s">
        <v>75</v>
      </c>
      <c r="J31" s="51"/>
      <c r="K31" s="23"/>
      <c r="L31" s="23"/>
      <c r="M31" s="23"/>
      <c r="N31" s="23"/>
      <c r="O31" s="23"/>
      <c r="P31" s="23"/>
      <c r="Q31" s="42"/>
      <c r="R31" s="23"/>
    </row>
    <row r="32" spans="1:20" ht="15.75" customHeight="1">
      <c r="A32" s="46">
        <f t="shared" si="4"/>
        <v>23</v>
      </c>
      <c r="B32" s="47"/>
      <c r="C32" s="48" t="s">
        <v>88</v>
      </c>
      <c r="D32" s="48"/>
      <c r="E32" s="24">
        <v>58</v>
      </c>
      <c r="F32" s="58" t="s">
        <v>89</v>
      </c>
      <c r="G32" s="51">
        <v>178384</v>
      </c>
      <c r="H32" s="31">
        <v>1</v>
      </c>
      <c r="I32" s="32" t="s">
        <v>75</v>
      </c>
      <c r="J32" s="51"/>
      <c r="K32" s="23"/>
      <c r="L32" s="23"/>
      <c r="M32" s="23"/>
      <c r="N32" s="23"/>
      <c r="O32" s="23"/>
      <c r="P32" s="23"/>
      <c r="Q32" s="42"/>
      <c r="R32" s="23"/>
    </row>
    <row r="33" spans="1:18" ht="15.75" customHeight="1">
      <c r="A33" s="46">
        <f t="shared" si="4"/>
        <v>24</v>
      </c>
      <c r="B33" s="47"/>
      <c r="C33" s="48" t="s">
        <v>90</v>
      </c>
      <c r="D33" s="48"/>
      <c r="E33" s="24">
        <v>59</v>
      </c>
      <c r="F33" s="58" t="s">
        <v>91</v>
      </c>
      <c r="G33" s="51">
        <v>50775</v>
      </c>
      <c r="H33" s="31">
        <v>1</v>
      </c>
      <c r="I33" s="32" t="s">
        <v>75</v>
      </c>
      <c r="J33" s="51"/>
      <c r="K33" s="23"/>
      <c r="L33" s="23"/>
      <c r="M33" s="23"/>
      <c r="N33" s="23"/>
      <c r="O33" s="23"/>
      <c r="P33" s="23"/>
      <c r="Q33" s="42"/>
      <c r="R33" s="23"/>
    </row>
    <row r="34" spans="1:18" ht="15.75" customHeight="1">
      <c r="A34" s="46">
        <f t="shared" si="4"/>
        <v>25</v>
      </c>
      <c r="B34" s="47"/>
      <c r="C34" s="59" t="s">
        <v>92</v>
      </c>
      <c r="D34" s="59"/>
      <c r="E34" s="24">
        <v>59</v>
      </c>
      <c r="F34" s="58" t="s">
        <v>93</v>
      </c>
      <c r="G34" s="30">
        <v>246</v>
      </c>
      <c r="H34" s="31">
        <v>1</v>
      </c>
      <c r="I34" s="32" t="s">
        <v>94</v>
      </c>
      <c r="J34" s="51"/>
      <c r="K34" s="23"/>
      <c r="L34" s="23"/>
      <c r="M34" s="23"/>
      <c r="N34" s="23"/>
      <c r="O34" s="23"/>
      <c r="P34" s="23"/>
      <c r="Q34" s="42"/>
      <c r="R34" s="23"/>
    </row>
    <row r="35" spans="1:18" ht="25.35" customHeight="1">
      <c r="A35" s="46">
        <f t="shared" si="4"/>
        <v>26</v>
      </c>
      <c r="B35" s="47"/>
      <c r="C35" s="59" t="s">
        <v>95</v>
      </c>
      <c r="D35" s="59"/>
      <c r="E35" s="24">
        <v>59</v>
      </c>
      <c r="F35" s="58" t="s">
        <v>96</v>
      </c>
      <c r="G35" s="30">
        <v>68</v>
      </c>
      <c r="H35" s="31">
        <v>1</v>
      </c>
      <c r="I35" s="32" t="s">
        <v>97</v>
      </c>
      <c r="J35" s="51"/>
      <c r="K35" s="23"/>
      <c r="L35" s="23"/>
      <c r="M35" s="23"/>
      <c r="N35" s="23"/>
      <c r="O35" s="23"/>
      <c r="P35" s="23"/>
      <c r="Q35" s="23"/>
      <c r="R35" s="23"/>
    </row>
    <row r="36" spans="1:18" ht="25.35" customHeight="1">
      <c r="A36" s="46">
        <f t="shared" si="4"/>
        <v>27</v>
      </c>
      <c r="B36" s="47"/>
      <c r="C36" s="48" t="s">
        <v>98</v>
      </c>
      <c r="D36" s="48"/>
      <c r="E36" s="24">
        <v>59</v>
      </c>
      <c r="F36" s="58" t="s">
        <v>99</v>
      </c>
      <c r="G36" s="30">
        <v>434</v>
      </c>
      <c r="H36" s="31">
        <v>1</v>
      </c>
      <c r="I36" s="32" t="s">
        <v>94</v>
      </c>
      <c r="J36" s="51"/>
      <c r="K36" s="23"/>
      <c r="L36" s="23"/>
      <c r="M36" s="23"/>
      <c r="N36" s="23"/>
      <c r="O36" s="23"/>
      <c r="P36" s="23"/>
      <c r="Q36" s="42"/>
      <c r="R36" s="23"/>
    </row>
    <row r="37" spans="1:18" ht="15.75" customHeight="1">
      <c r="A37" s="46">
        <f t="shared" si="4"/>
        <v>28</v>
      </c>
      <c r="B37" s="47"/>
      <c r="C37" s="32" t="s">
        <v>100</v>
      </c>
      <c r="D37" s="32"/>
      <c r="E37" s="24">
        <v>60</v>
      </c>
      <c r="F37" s="58" t="s">
        <v>101</v>
      </c>
      <c r="G37" s="30">
        <v>8</v>
      </c>
      <c r="H37" s="31">
        <v>1</v>
      </c>
      <c r="I37" s="32" t="s">
        <v>39</v>
      </c>
      <c r="J37" s="51"/>
      <c r="K37" s="23"/>
      <c r="L37" s="23"/>
      <c r="M37" s="23"/>
      <c r="N37" s="23"/>
      <c r="O37" s="23"/>
      <c r="P37" s="23"/>
      <c r="Q37" s="23"/>
      <c r="R37" s="23"/>
    </row>
    <row r="38" spans="1:18" ht="15.75" customHeight="1">
      <c r="A38" s="46">
        <f t="shared" si="4"/>
        <v>29</v>
      </c>
      <c r="B38" s="47"/>
      <c r="C38" s="60" t="s">
        <v>102</v>
      </c>
      <c r="D38" s="60"/>
      <c r="E38" s="24">
        <v>60</v>
      </c>
      <c r="F38" s="58" t="s">
        <v>103</v>
      </c>
      <c r="G38" s="30">
        <v>12</v>
      </c>
      <c r="H38" s="31">
        <v>1</v>
      </c>
      <c r="I38" s="32" t="s">
        <v>39</v>
      </c>
      <c r="J38" s="51"/>
      <c r="K38" s="23"/>
      <c r="L38" s="23"/>
      <c r="M38" s="23"/>
      <c r="N38" s="23"/>
      <c r="O38" s="23"/>
      <c r="P38" s="23"/>
      <c r="Q38" s="23"/>
      <c r="R38" s="23"/>
    </row>
    <row r="39" spans="1:18" ht="15.75" customHeight="1">
      <c r="A39" s="46">
        <f t="shared" si="4"/>
        <v>30</v>
      </c>
      <c r="B39" s="47"/>
      <c r="C39" s="60" t="s">
        <v>104</v>
      </c>
      <c r="D39" s="60"/>
      <c r="E39" s="24">
        <v>60</v>
      </c>
      <c r="F39" s="58" t="s">
        <v>105</v>
      </c>
      <c r="G39" s="30">
        <v>4</v>
      </c>
      <c r="H39" s="31">
        <v>1</v>
      </c>
      <c r="I39" s="32" t="s">
        <v>39</v>
      </c>
      <c r="J39" s="51"/>
      <c r="K39" s="23"/>
      <c r="L39" s="23"/>
      <c r="M39" s="23"/>
      <c r="N39" s="23"/>
      <c r="O39" s="23"/>
      <c r="P39" s="23"/>
      <c r="Q39" s="23"/>
      <c r="R39" s="23"/>
    </row>
    <row r="40" spans="1:18" ht="15.75" customHeight="1">
      <c r="A40" s="46">
        <f t="shared" si="4"/>
        <v>31</v>
      </c>
      <c r="B40" s="47"/>
      <c r="C40" s="60" t="s">
        <v>106</v>
      </c>
      <c r="D40" s="60"/>
      <c r="E40" s="24">
        <v>60</v>
      </c>
      <c r="F40" s="58" t="s">
        <v>107</v>
      </c>
      <c r="G40" s="30">
        <v>4</v>
      </c>
      <c r="H40" s="31">
        <v>1</v>
      </c>
      <c r="I40" s="32" t="s">
        <v>39</v>
      </c>
      <c r="J40" s="51"/>
      <c r="K40" s="23"/>
      <c r="L40" s="23"/>
      <c r="M40" s="23"/>
      <c r="N40" s="23"/>
      <c r="O40" s="23"/>
      <c r="P40" s="23"/>
      <c r="Q40" s="23"/>
      <c r="R40" s="23"/>
    </row>
    <row r="41" spans="1:18" ht="15.75" customHeight="1">
      <c r="A41" s="46">
        <f t="shared" si="4"/>
        <v>32</v>
      </c>
      <c r="B41" s="47"/>
      <c r="C41" s="60" t="s">
        <v>108</v>
      </c>
      <c r="D41" s="60"/>
      <c r="E41" s="24">
        <v>60</v>
      </c>
      <c r="F41" s="58" t="s">
        <v>109</v>
      </c>
      <c r="G41" s="30">
        <v>4</v>
      </c>
      <c r="H41" s="31">
        <v>1</v>
      </c>
      <c r="I41" s="32" t="s">
        <v>39</v>
      </c>
      <c r="J41" s="51"/>
      <c r="K41" s="23"/>
      <c r="L41" s="23"/>
      <c r="M41" s="23"/>
      <c r="N41" s="23"/>
      <c r="O41" s="23"/>
      <c r="P41" s="23"/>
      <c r="Q41" s="23"/>
      <c r="R41" s="23"/>
    </row>
    <row r="42" spans="1:18" ht="15.75" customHeight="1">
      <c r="A42" s="53"/>
      <c r="B42" s="54"/>
      <c r="C42" s="61"/>
      <c r="D42" s="61"/>
      <c r="E42" s="56"/>
      <c r="F42" s="57"/>
      <c r="G42" s="30"/>
      <c r="H42" s="40"/>
      <c r="I42" s="41"/>
      <c r="J42" s="51"/>
      <c r="K42" s="23"/>
      <c r="L42" s="23"/>
      <c r="M42" s="23"/>
      <c r="N42" s="23"/>
      <c r="O42" s="23"/>
      <c r="P42" s="23"/>
      <c r="Q42" s="23"/>
      <c r="R42" s="23"/>
    </row>
    <row r="43" spans="1:18" ht="15.75" customHeight="1">
      <c r="A43" s="46">
        <f>A41+1</f>
        <v>33</v>
      </c>
      <c r="B43" s="47"/>
      <c r="C43" s="48" t="s">
        <v>110</v>
      </c>
      <c r="D43" s="48"/>
      <c r="E43" s="24">
        <v>61</v>
      </c>
      <c r="F43" s="29" t="s">
        <v>111</v>
      </c>
      <c r="G43" s="62">
        <v>4431</v>
      </c>
      <c r="H43" s="31">
        <v>1</v>
      </c>
      <c r="I43" s="32" t="s">
        <v>46</v>
      </c>
      <c r="J43" s="51"/>
      <c r="K43" s="23"/>
      <c r="L43" s="23"/>
      <c r="M43" s="23"/>
      <c r="N43" s="23"/>
      <c r="O43" s="23"/>
      <c r="P43" s="23"/>
      <c r="Q43" s="42"/>
      <c r="R43" s="23"/>
    </row>
    <row r="44" spans="1:18" ht="15.75" customHeight="1">
      <c r="A44" s="46">
        <f t="shared" ref="A44:A47" si="5">A43+1</f>
        <v>34</v>
      </c>
      <c r="B44" s="47"/>
      <c r="C44" s="48" t="s">
        <v>112</v>
      </c>
      <c r="D44" s="48"/>
      <c r="E44" s="24">
        <v>61</v>
      </c>
      <c r="F44" s="29" t="s">
        <v>113</v>
      </c>
      <c r="G44" s="30">
        <v>3876</v>
      </c>
      <c r="H44" s="31">
        <v>1</v>
      </c>
      <c r="I44" s="32" t="s">
        <v>46</v>
      </c>
      <c r="J44" s="51"/>
      <c r="K44" s="23"/>
      <c r="L44" s="23"/>
      <c r="M44" s="23"/>
      <c r="N44" s="23"/>
      <c r="O44" s="23"/>
      <c r="P44" s="23"/>
      <c r="Q44" s="42"/>
      <c r="R44" s="23"/>
    </row>
    <row r="45" spans="1:18" ht="15.75" customHeight="1">
      <c r="A45" s="46">
        <f t="shared" si="5"/>
        <v>35</v>
      </c>
      <c r="B45" s="47"/>
      <c r="C45" s="48" t="s">
        <v>114</v>
      </c>
      <c r="D45" s="48"/>
      <c r="E45" s="63">
        <v>62</v>
      </c>
      <c r="F45" s="64" t="s">
        <v>115</v>
      </c>
      <c r="G45" s="30">
        <v>22</v>
      </c>
      <c r="H45" s="31">
        <v>1</v>
      </c>
      <c r="I45" s="32" t="s">
        <v>46</v>
      </c>
      <c r="J45" s="51"/>
      <c r="K45" s="23"/>
      <c r="L45" s="23"/>
      <c r="M45" s="23"/>
      <c r="N45" s="23"/>
      <c r="O45" s="23"/>
      <c r="P45" s="23"/>
      <c r="Q45" s="23"/>
      <c r="R45" s="23"/>
    </row>
    <row r="46" spans="1:18" ht="15.75" customHeight="1">
      <c r="A46" s="46">
        <f t="shared" si="5"/>
        <v>36</v>
      </c>
      <c r="B46" s="47"/>
      <c r="C46" s="65" t="s">
        <v>116</v>
      </c>
      <c r="D46" s="65"/>
      <c r="E46" s="24">
        <v>62</v>
      </c>
      <c r="F46" s="58" t="s">
        <v>117</v>
      </c>
      <c r="G46" s="30">
        <v>75</v>
      </c>
      <c r="H46" s="31">
        <v>1</v>
      </c>
      <c r="I46" s="32" t="s">
        <v>97</v>
      </c>
      <c r="J46" s="51"/>
      <c r="K46" s="23"/>
      <c r="L46" s="23"/>
      <c r="M46" s="23"/>
      <c r="N46" s="23"/>
      <c r="O46" s="23"/>
      <c r="P46" s="23"/>
      <c r="Q46" s="23"/>
      <c r="R46" s="23"/>
    </row>
    <row r="47" spans="1:18" ht="15.75" customHeight="1">
      <c r="A47" s="46">
        <f t="shared" si="5"/>
        <v>37</v>
      </c>
      <c r="B47" s="47"/>
      <c r="C47" s="48" t="s">
        <v>118</v>
      </c>
      <c r="D47" s="48"/>
      <c r="E47" s="24">
        <v>63</v>
      </c>
      <c r="F47" s="58" t="s">
        <v>119</v>
      </c>
      <c r="G47" s="30">
        <v>434</v>
      </c>
      <c r="H47" s="31">
        <v>1</v>
      </c>
      <c r="I47" s="32" t="s">
        <v>97</v>
      </c>
      <c r="J47" s="51"/>
      <c r="K47" s="23"/>
      <c r="L47" s="23"/>
      <c r="M47" s="23"/>
      <c r="N47" s="23"/>
      <c r="O47" s="23"/>
      <c r="P47" s="23"/>
      <c r="Q47" s="42"/>
      <c r="R47" s="23"/>
    </row>
    <row r="48" spans="1:18" ht="15.75" customHeight="1">
      <c r="A48" s="53"/>
      <c r="B48" s="54"/>
      <c r="C48" s="66"/>
      <c r="D48" s="66"/>
      <c r="E48" s="67"/>
      <c r="F48" s="68"/>
      <c r="G48" s="69"/>
      <c r="H48" s="70"/>
      <c r="I48" s="71"/>
      <c r="J48" s="51"/>
      <c r="K48" s="23"/>
      <c r="L48" s="23"/>
      <c r="M48" s="23"/>
      <c r="N48" s="23"/>
      <c r="O48" s="23"/>
      <c r="P48" s="23"/>
      <c r="Q48" s="23"/>
      <c r="R48" s="23"/>
    </row>
    <row r="49" spans="1:18" ht="15.75" customHeight="1">
      <c r="A49" s="46">
        <f>A47+1</f>
        <v>38</v>
      </c>
      <c r="B49" s="47"/>
      <c r="C49" s="43" t="s">
        <v>120</v>
      </c>
      <c r="D49" s="43"/>
      <c r="E49" s="24">
        <v>60</v>
      </c>
      <c r="F49" s="58" t="s">
        <v>121</v>
      </c>
      <c r="G49" s="51">
        <v>568</v>
      </c>
      <c r="H49" s="31">
        <v>1</v>
      </c>
      <c r="I49" s="32" t="s">
        <v>94</v>
      </c>
      <c r="J49" s="51"/>
      <c r="K49" s="23"/>
      <c r="L49" s="23"/>
      <c r="M49" s="23"/>
      <c r="N49" s="23"/>
      <c r="O49" s="23"/>
      <c r="P49" s="23"/>
      <c r="Q49" s="23"/>
      <c r="R49" s="23"/>
    </row>
    <row r="50" spans="1:18" ht="15.75" customHeight="1">
      <c r="A50" s="46">
        <f t="shared" ref="A50:A53" si="6">A49+1</f>
        <v>39</v>
      </c>
      <c r="B50" s="47"/>
      <c r="C50" s="43" t="s">
        <v>122</v>
      </c>
      <c r="D50" s="43"/>
      <c r="E50" s="24">
        <v>60</v>
      </c>
      <c r="F50" s="58" t="s">
        <v>123</v>
      </c>
      <c r="G50" s="51">
        <v>1194</v>
      </c>
      <c r="H50" s="31">
        <v>1</v>
      </c>
      <c r="I50" s="32" t="s">
        <v>94</v>
      </c>
      <c r="J50" s="51"/>
      <c r="K50" s="23"/>
      <c r="L50" s="23"/>
      <c r="M50" s="23"/>
      <c r="N50" s="23"/>
      <c r="O50" s="23"/>
      <c r="P50" s="23"/>
      <c r="Q50" s="23"/>
      <c r="R50" s="23"/>
    </row>
    <row r="51" spans="1:18" ht="15.75" customHeight="1">
      <c r="A51" s="46">
        <f t="shared" si="6"/>
        <v>40</v>
      </c>
      <c r="B51" s="47"/>
      <c r="C51" s="48" t="s">
        <v>124</v>
      </c>
      <c r="D51" s="48"/>
      <c r="E51" s="24">
        <v>63</v>
      </c>
      <c r="F51" s="58" t="s">
        <v>125</v>
      </c>
      <c r="G51" s="51">
        <v>336</v>
      </c>
      <c r="H51" s="31">
        <v>1</v>
      </c>
      <c r="I51" s="32" t="s">
        <v>94</v>
      </c>
      <c r="J51" s="51"/>
      <c r="K51" s="23"/>
      <c r="L51" s="23"/>
      <c r="M51" s="23"/>
      <c r="N51" s="23"/>
      <c r="O51" s="23"/>
      <c r="P51" s="23"/>
      <c r="Q51" s="23"/>
      <c r="R51" s="23"/>
    </row>
    <row r="52" spans="1:18" ht="15.75" customHeight="1">
      <c r="A52" s="46">
        <f t="shared" si="6"/>
        <v>41</v>
      </c>
      <c r="B52" s="47"/>
      <c r="C52" s="43" t="s">
        <v>126</v>
      </c>
      <c r="D52" s="43"/>
      <c r="E52" s="24">
        <v>63</v>
      </c>
      <c r="F52" s="58" t="s">
        <v>127</v>
      </c>
      <c r="G52" s="51">
        <v>1569</v>
      </c>
      <c r="H52" s="31">
        <v>1</v>
      </c>
      <c r="I52" s="32" t="s">
        <v>94</v>
      </c>
      <c r="J52" s="51"/>
      <c r="K52" s="23"/>
      <c r="L52" s="23"/>
      <c r="M52" s="23"/>
      <c r="N52" s="23"/>
      <c r="O52" s="23"/>
      <c r="P52" s="23"/>
      <c r="Q52" s="23"/>
      <c r="R52" s="23"/>
    </row>
    <row r="53" spans="1:18" ht="15.75" customHeight="1">
      <c r="A53" s="46">
        <f t="shared" si="6"/>
        <v>42</v>
      </c>
      <c r="B53" s="47"/>
      <c r="C53" s="43" t="s">
        <v>128</v>
      </c>
      <c r="D53" s="43"/>
      <c r="E53" s="24">
        <v>63</v>
      </c>
      <c r="F53" s="58" t="s">
        <v>129</v>
      </c>
      <c r="G53" s="51">
        <v>759</v>
      </c>
      <c r="H53" s="31">
        <v>1</v>
      </c>
      <c r="I53" s="32" t="s">
        <v>94</v>
      </c>
      <c r="J53" s="51"/>
      <c r="K53" s="23"/>
      <c r="L53" s="23"/>
      <c r="M53" s="23"/>
      <c r="N53" s="23"/>
      <c r="O53" s="23"/>
      <c r="P53" s="23"/>
      <c r="Q53" s="23"/>
      <c r="R53" s="23"/>
    </row>
    <row r="54" spans="1:18" ht="15.75" customHeight="1">
      <c r="A54" s="53"/>
      <c r="B54" s="54"/>
      <c r="C54" s="66"/>
      <c r="D54" s="66"/>
      <c r="E54" s="67"/>
      <c r="F54" s="68"/>
      <c r="G54" s="69"/>
      <c r="H54" s="70"/>
      <c r="I54" s="71"/>
      <c r="J54" s="51"/>
      <c r="K54" s="23"/>
      <c r="L54" s="23"/>
      <c r="M54" s="23"/>
      <c r="N54" s="23"/>
      <c r="O54" s="23"/>
      <c r="P54" s="23"/>
      <c r="Q54" s="23"/>
      <c r="R54" s="23"/>
    </row>
    <row r="55" spans="1:18" ht="25.35" customHeight="1">
      <c r="A55" s="46">
        <f>A53+1</f>
        <v>43</v>
      </c>
      <c r="B55" s="47"/>
      <c r="C55" s="43" t="s">
        <v>130</v>
      </c>
      <c r="D55" s="43"/>
      <c r="E55" s="28">
        <v>65</v>
      </c>
      <c r="F55" s="29" t="s">
        <v>131</v>
      </c>
      <c r="G55" s="72">
        <v>173</v>
      </c>
      <c r="H55" s="31">
        <v>1</v>
      </c>
      <c r="I55" s="32" t="s">
        <v>97</v>
      </c>
      <c r="J55" s="51"/>
      <c r="K55" s="23"/>
      <c r="L55" s="23"/>
      <c r="M55" s="23"/>
      <c r="N55" s="23"/>
      <c r="O55" s="23"/>
      <c r="P55" s="23"/>
      <c r="Q55" s="23"/>
      <c r="R55" s="23"/>
    </row>
    <row r="56" spans="1:18" ht="25.35" customHeight="1">
      <c r="A56" s="46">
        <f t="shared" ref="A56:A71" si="7">A55+1</f>
        <v>44</v>
      </c>
      <c r="B56" s="47"/>
      <c r="C56" s="43" t="s">
        <v>132</v>
      </c>
      <c r="D56" s="43"/>
      <c r="E56" s="28">
        <v>65</v>
      </c>
      <c r="F56" s="29" t="s">
        <v>133</v>
      </c>
      <c r="G56" s="72">
        <v>221</v>
      </c>
      <c r="H56" s="31">
        <v>1</v>
      </c>
      <c r="I56" s="32" t="s">
        <v>97</v>
      </c>
      <c r="J56" s="51"/>
      <c r="K56" s="23"/>
      <c r="L56" s="23"/>
      <c r="M56" s="23"/>
      <c r="N56" s="23"/>
      <c r="O56" s="23"/>
      <c r="P56" s="23"/>
      <c r="Q56" s="23"/>
      <c r="R56" s="23"/>
    </row>
    <row r="57" spans="1:18" ht="25.35" customHeight="1">
      <c r="A57" s="46">
        <f t="shared" si="7"/>
        <v>45</v>
      </c>
      <c r="B57" s="47"/>
      <c r="C57" s="48" t="s">
        <v>134</v>
      </c>
      <c r="D57" s="48"/>
      <c r="E57" s="28">
        <v>65</v>
      </c>
      <c r="F57" s="29" t="s">
        <v>135</v>
      </c>
      <c r="G57" s="30">
        <v>41</v>
      </c>
      <c r="H57" s="31">
        <v>1</v>
      </c>
      <c r="I57" s="32" t="s">
        <v>97</v>
      </c>
      <c r="J57" s="51"/>
      <c r="K57" s="23"/>
      <c r="L57" s="23"/>
      <c r="M57" s="23"/>
      <c r="N57" s="23"/>
      <c r="O57" s="23"/>
      <c r="P57" s="23"/>
      <c r="Q57" s="23"/>
      <c r="R57" s="23"/>
    </row>
    <row r="58" spans="1:18" ht="15.75" customHeight="1">
      <c r="A58" s="46">
        <f t="shared" si="7"/>
        <v>46</v>
      </c>
      <c r="B58" s="47"/>
      <c r="C58" s="48" t="s">
        <v>136</v>
      </c>
      <c r="D58" s="48"/>
      <c r="E58" s="28">
        <v>65</v>
      </c>
      <c r="F58" s="29" t="s">
        <v>137</v>
      </c>
      <c r="G58" s="30">
        <v>149</v>
      </c>
      <c r="H58" s="31">
        <v>1</v>
      </c>
      <c r="I58" s="32" t="s">
        <v>138</v>
      </c>
      <c r="J58" s="51"/>
      <c r="K58" s="23"/>
      <c r="L58" s="23"/>
      <c r="M58" s="23"/>
      <c r="N58" s="23"/>
      <c r="O58" s="23"/>
      <c r="P58" s="23"/>
      <c r="Q58" s="23"/>
      <c r="R58" s="23"/>
    </row>
    <row r="59" spans="1:18" ht="25.35" customHeight="1">
      <c r="A59" s="46">
        <f t="shared" si="7"/>
        <v>47</v>
      </c>
      <c r="B59" s="47"/>
      <c r="C59" s="48" t="s">
        <v>139</v>
      </c>
      <c r="D59" s="48"/>
      <c r="E59" s="28">
        <v>65</v>
      </c>
      <c r="F59" s="29" t="s">
        <v>140</v>
      </c>
      <c r="G59" s="30">
        <v>236</v>
      </c>
      <c r="H59" s="31">
        <v>1</v>
      </c>
      <c r="I59" s="32" t="s">
        <v>138</v>
      </c>
      <c r="J59" s="51"/>
      <c r="K59" s="23"/>
      <c r="L59" s="23"/>
      <c r="M59" s="23"/>
      <c r="N59" s="23"/>
      <c r="O59" s="23"/>
      <c r="P59" s="23"/>
      <c r="Q59" s="23"/>
      <c r="R59" s="23"/>
    </row>
    <row r="60" spans="1:18" ht="15.75" customHeight="1">
      <c r="A60" s="46">
        <f t="shared" si="7"/>
        <v>48</v>
      </c>
      <c r="B60" s="47"/>
      <c r="C60" s="48" t="s">
        <v>141</v>
      </c>
      <c r="D60" s="48"/>
      <c r="E60" s="28">
        <v>65</v>
      </c>
      <c r="F60" s="29" t="s">
        <v>142</v>
      </c>
      <c r="G60" s="72">
        <v>167</v>
      </c>
      <c r="H60" s="31">
        <v>1</v>
      </c>
      <c r="I60" s="32" t="s">
        <v>138</v>
      </c>
      <c r="J60" s="51"/>
      <c r="K60" s="23"/>
      <c r="L60" s="23"/>
      <c r="M60" s="23"/>
      <c r="N60" s="23"/>
      <c r="O60" s="23"/>
      <c r="P60" s="23"/>
      <c r="Q60" s="23"/>
      <c r="R60" s="23"/>
    </row>
    <row r="61" spans="1:18" ht="15.75" customHeight="1">
      <c r="A61" s="46">
        <f t="shared" si="7"/>
        <v>49</v>
      </c>
      <c r="B61" s="47"/>
      <c r="C61" s="48" t="s">
        <v>143</v>
      </c>
      <c r="D61" s="48"/>
      <c r="E61" s="28">
        <v>65</v>
      </c>
      <c r="F61" s="29" t="s">
        <v>144</v>
      </c>
      <c r="G61" s="72">
        <v>167</v>
      </c>
      <c r="H61" s="31">
        <v>1</v>
      </c>
      <c r="I61" s="32" t="s">
        <v>97</v>
      </c>
      <c r="J61" s="51"/>
      <c r="K61" s="23"/>
      <c r="L61" s="23"/>
      <c r="M61" s="23"/>
      <c r="N61" s="23"/>
      <c r="O61" s="23"/>
      <c r="P61" s="23"/>
      <c r="Q61" s="23"/>
      <c r="R61" s="23"/>
    </row>
    <row r="62" spans="1:18" ht="15.75" customHeight="1">
      <c r="A62" s="46">
        <f t="shared" si="7"/>
        <v>50</v>
      </c>
      <c r="B62" s="47"/>
      <c r="C62" s="48" t="s">
        <v>145</v>
      </c>
      <c r="D62" s="48"/>
      <c r="E62" s="28">
        <v>66</v>
      </c>
      <c r="F62" s="29" t="s">
        <v>146</v>
      </c>
      <c r="G62" s="30">
        <v>118</v>
      </c>
      <c r="H62" s="31">
        <v>1</v>
      </c>
      <c r="I62" s="32" t="s">
        <v>138</v>
      </c>
      <c r="J62" s="51"/>
      <c r="K62" s="23"/>
      <c r="L62" s="23"/>
      <c r="M62" s="23"/>
      <c r="N62" s="23"/>
      <c r="O62" s="23"/>
      <c r="P62" s="23"/>
      <c r="Q62" s="23"/>
      <c r="R62" s="23"/>
    </row>
    <row r="63" spans="1:18" ht="15.75" customHeight="1">
      <c r="A63" s="46">
        <f t="shared" si="7"/>
        <v>51</v>
      </c>
      <c r="B63" s="47"/>
      <c r="C63" s="48" t="s">
        <v>147</v>
      </c>
      <c r="D63" s="48"/>
      <c r="E63" s="28">
        <v>66</v>
      </c>
      <c r="F63" s="29" t="s">
        <v>148</v>
      </c>
      <c r="G63" s="30">
        <v>67</v>
      </c>
      <c r="H63" s="31">
        <v>1</v>
      </c>
      <c r="I63" s="32" t="s">
        <v>138</v>
      </c>
      <c r="J63" s="51"/>
      <c r="K63" s="23"/>
      <c r="L63" s="23"/>
      <c r="M63" s="23"/>
      <c r="N63" s="23"/>
      <c r="O63" s="23"/>
      <c r="P63" s="23"/>
      <c r="Q63" s="23"/>
      <c r="R63" s="23"/>
    </row>
    <row r="64" spans="1:18" ht="15.75" customHeight="1">
      <c r="A64" s="46">
        <f t="shared" si="7"/>
        <v>52</v>
      </c>
      <c r="B64" s="47"/>
      <c r="C64" s="48" t="s">
        <v>149</v>
      </c>
      <c r="D64" s="48"/>
      <c r="E64" s="28">
        <v>66</v>
      </c>
      <c r="F64" s="29" t="s">
        <v>150</v>
      </c>
      <c r="G64" s="30">
        <v>154</v>
      </c>
      <c r="H64" s="31">
        <v>1</v>
      </c>
      <c r="I64" s="32" t="s">
        <v>138</v>
      </c>
      <c r="J64" s="51"/>
      <c r="K64" s="23"/>
      <c r="L64" s="23"/>
      <c r="M64" s="23"/>
      <c r="N64" s="23"/>
      <c r="O64" s="23"/>
      <c r="P64" s="23"/>
      <c r="Q64" s="23"/>
      <c r="R64" s="23"/>
    </row>
    <row r="65" spans="1:19" ht="15.75" customHeight="1">
      <c r="A65" s="46">
        <f t="shared" si="7"/>
        <v>53</v>
      </c>
      <c r="B65" s="47"/>
      <c r="C65" s="48" t="s">
        <v>151</v>
      </c>
      <c r="D65" s="48"/>
      <c r="E65" s="28">
        <v>66</v>
      </c>
      <c r="F65" s="29" t="s">
        <v>152</v>
      </c>
      <c r="G65" s="30">
        <v>217</v>
      </c>
      <c r="H65" s="31">
        <v>1</v>
      </c>
      <c r="I65" s="32" t="s">
        <v>153</v>
      </c>
      <c r="J65" s="51"/>
      <c r="K65" s="23"/>
      <c r="L65" s="23"/>
      <c r="M65" s="23"/>
      <c r="N65" s="23"/>
      <c r="O65" s="23"/>
      <c r="P65" s="23"/>
      <c r="Q65" s="23"/>
      <c r="R65" s="23"/>
    </row>
    <row r="66" spans="1:19" ht="36.6" customHeight="1">
      <c r="A66" s="46">
        <f t="shared" si="7"/>
        <v>54</v>
      </c>
      <c r="B66" s="47"/>
      <c r="C66" s="48" t="s">
        <v>154</v>
      </c>
      <c r="D66" s="48"/>
      <c r="E66" s="28">
        <v>66</v>
      </c>
      <c r="F66" s="29" t="s">
        <v>155</v>
      </c>
      <c r="G66" s="30">
        <v>63</v>
      </c>
      <c r="H66" s="31">
        <v>1</v>
      </c>
      <c r="I66" s="32" t="s">
        <v>97</v>
      </c>
      <c r="J66" s="51"/>
      <c r="K66" s="23"/>
      <c r="L66" s="23"/>
      <c r="M66" s="23">
        <v>82</v>
      </c>
      <c r="N66" s="23"/>
      <c r="O66" s="23"/>
      <c r="P66" s="23"/>
      <c r="Q66" s="23"/>
      <c r="R66" s="23"/>
    </row>
    <row r="67" spans="1:19" ht="15.75" customHeight="1">
      <c r="A67" s="46">
        <f t="shared" si="7"/>
        <v>55</v>
      </c>
      <c r="B67" s="47"/>
      <c r="C67" s="48" t="s">
        <v>156</v>
      </c>
      <c r="D67" s="48"/>
      <c r="E67" s="28">
        <v>66</v>
      </c>
      <c r="F67" s="29" t="s">
        <v>157</v>
      </c>
      <c r="G67" s="30">
        <v>60</v>
      </c>
      <c r="H67" s="31">
        <v>1</v>
      </c>
      <c r="I67" s="32" t="s">
        <v>97</v>
      </c>
      <c r="J67" s="51"/>
      <c r="K67" s="23"/>
      <c r="L67" s="23"/>
      <c r="M67" s="23"/>
      <c r="N67" s="23"/>
      <c r="O67" s="23"/>
      <c r="P67" s="23"/>
      <c r="Q67" s="23"/>
      <c r="R67" s="23"/>
    </row>
    <row r="68" spans="1:19" ht="25.35" customHeight="1">
      <c r="A68" s="46">
        <f t="shared" si="7"/>
        <v>56</v>
      </c>
      <c r="B68" s="47"/>
      <c r="C68" s="48" t="s">
        <v>158</v>
      </c>
      <c r="D68" s="48"/>
      <c r="E68" s="28">
        <v>66</v>
      </c>
      <c r="F68" s="29" t="s">
        <v>2652</v>
      </c>
      <c r="G68" s="30">
        <v>263</v>
      </c>
      <c r="H68" s="31">
        <v>1</v>
      </c>
      <c r="I68" s="32" t="s">
        <v>138</v>
      </c>
      <c r="J68" s="51"/>
      <c r="K68" s="23"/>
      <c r="L68" s="23"/>
      <c r="M68" s="23"/>
      <c r="N68" s="23"/>
      <c r="O68" s="23"/>
      <c r="P68" s="23"/>
      <c r="Q68" s="23"/>
      <c r="R68" s="23"/>
    </row>
    <row r="69" spans="1:19" ht="47.85" customHeight="1">
      <c r="A69" s="46">
        <f t="shared" si="7"/>
        <v>57</v>
      </c>
      <c r="B69" s="47"/>
      <c r="C69" s="73" t="s">
        <v>160</v>
      </c>
      <c r="D69" s="48"/>
      <c r="E69" s="28">
        <v>66</v>
      </c>
      <c r="F69" s="29" t="s">
        <v>161</v>
      </c>
      <c r="G69" s="30">
        <v>236</v>
      </c>
      <c r="H69" s="31">
        <v>1</v>
      </c>
      <c r="I69" s="32" t="s">
        <v>138</v>
      </c>
      <c r="J69" s="51"/>
      <c r="K69" s="23"/>
      <c r="L69" s="23"/>
      <c r="M69" s="23"/>
      <c r="N69" s="23"/>
      <c r="O69" s="23"/>
      <c r="P69" s="23"/>
      <c r="Q69" s="23"/>
      <c r="R69" s="23"/>
    </row>
    <row r="70" spans="1:19" ht="25.35" customHeight="1">
      <c r="A70" s="46">
        <f t="shared" si="7"/>
        <v>58</v>
      </c>
      <c r="B70" s="47"/>
      <c r="C70" s="48" t="s">
        <v>162</v>
      </c>
      <c r="D70" s="48"/>
      <c r="E70" s="28">
        <v>67</v>
      </c>
      <c r="F70" s="29" t="s">
        <v>163</v>
      </c>
      <c r="G70" s="30">
        <v>289</v>
      </c>
      <c r="H70" s="31">
        <v>1</v>
      </c>
      <c r="I70" s="32" t="s">
        <v>138</v>
      </c>
      <c r="J70" s="49"/>
      <c r="K70" s="23"/>
      <c r="L70" s="23"/>
      <c r="M70" s="23"/>
      <c r="N70" s="23"/>
      <c r="O70" s="23"/>
      <c r="P70" s="23"/>
      <c r="Q70" s="23"/>
      <c r="R70" s="23"/>
    </row>
    <row r="71" spans="1:19" ht="25.35" customHeight="1">
      <c r="A71" s="46">
        <f t="shared" si="7"/>
        <v>59</v>
      </c>
      <c r="B71" s="47"/>
      <c r="C71" s="48" t="s">
        <v>164</v>
      </c>
      <c r="D71" s="48"/>
      <c r="E71" s="28">
        <v>67</v>
      </c>
      <c r="F71" s="29" t="s">
        <v>165</v>
      </c>
      <c r="G71" s="30">
        <v>221</v>
      </c>
      <c r="H71" s="31">
        <v>1</v>
      </c>
      <c r="I71" s="32" t="s">
        <v>138</v>
      </c>
      <c r="J71" s="51"/>
      <c r="K71" s="23"/>
      <c r="L71" s="23"/>
      <c r="M71" s="23"/>
      <c r="N71" s="23"/>
      <c r="O71" s="23"/>
      <c r="P71" s="23"/>
      <c r="Q71" s="23"/>
      <c r="R71" s="23"/>
    </row>
    <row r="72" spans="1:19" ht="47.85" customHeight="1">
      <c r="A72" s="46">
        <f>A70+1</f>
        <v>59</v>
      </c>
      <c r="B72" s="47"/>
      <c r="C72" s="48" t="s">
        <v>166</v>
      </c>
      <c r="D72" s="48"/>
      <c r="E72" s="28">
        <v>67</v>
      </c>
      <c r="F72" s="29" t="s">
        <v>167</v>
      </c>
      <c r="G72" s="30">
        <v>43</v>
      </c>
      <c r="H72" s="31">
        <v>1</v>
      </c>
      <c r="I72" s="32" t="s">
        <v>97</v>
      </c>
      <c r="J72" s="51"/>
      <c r="K72" s="23"/>
      <c r="L72" s="23"/>
      <c r="M72" s="23"/>
      <c r="N72" s="23"/>
      <c r="O72" s="23"/>
      <c r="P72" s="23"/>
      <c r="Q72" s="23"/>
      <c r="R72" s="23"/>
    </row>
    <row r="73" spans="1:19" ht="58.9" customHeight="1">
      <c r="A73" s="46">
        <f t="shared" ref="A73:A76" si="8">A72+1</f>
        <v>60</v>
      </c>
      <c r="B73" s="47"/>
      <c r="C73" s="48" t="s">
        <v>168</v>
      </c>
      <c r="D73" s="48"/>
      <c r="E73" s="28">
        <v>67</v>
      </c>
      <c r="F73" s="29" t="s">
        <v>169</v>
      </c>
      <c r="G73" s="30">
        <v>55</v>
      </c>
      <c r="H73" s="31">
        <v>1</v>
      </c>
      <c r="I73" s="32" t="s">
        <v>97</v>
      </c>
      <c r="J73" s="51"/>
      <c r="K73" s="23"/>
      <c r="L73" s="23"/>
      <c r="M73" s="23"/>
      <c r="N73" s="23"/>
      <c r="O73" s="23"/>
      <c r="P73" s="23"/>
      <c r="Q73" s="23"/>
      <c r="R73" s="23"/>
    </row>
    <row r="74" spans="1:19" ht="15.75" customHeight="1">
      <c r="A74" s="46">
        <f t="shared" si="8"/>
        <v>61</v>
      </c>
      <c r="B74" s="47"/>
      <c r="C74" s="48" t="s">
        <v>170</v>
      </c>
      <c r="D74" s="48"/>
      <c r="E74" s="28">
        <v>67</v>
      </c>
      <c r="F74" s="29" t="s">
        <v>171</v>
      </c>
      <c r="G74" s="30">
        <v>365</v>
      </c>
      <c r="H74" s="31">
        <v>1</v>
      </c>
      <c r="I74" s="32" t="s">
        <v>153</v>
      </c>
      <c r="J74" s="51"/>
      <c r="K74" s="23"/>
      <c r="L74" s="23"/>
      <c r="M74" s="23"/>
      <c r="N74" s="23"/>
      <c r="O74" s="23"/>
      <c r="P74" s="23"/>
      <c r="Q74" s="23"/>
      <c r="R74" s="23"/>
    </row>
    <row r="75" spans="1:19" ht="15.75" customHeight="1">
      <c r="A75" s="46">
        <f t="shared" si="8"/>
        <v>62</v>
      </c>
      <c r="B75" s="47"/>
      <c r="C75" s="48" t="s">
        <v>172</v>
      </c>
      <c r="D75" s="48"/>
      <c r="E75" s="28">
        <v>67</v>
      </c>
      <c r="F75" s="29" t="s">
        <v>173</v>
      </c>
      <c r="G75" s="30">
        <v>743</v>
      </c>
      <c r="H75" s="31">
        <v>1</v>
      </c>
      <c r="I75" s="32" t="s">
        <v>153</v>
      </c>
      <c r="J75" s="51"/>
      <c r="K75" s="23"/>
      <c r="L75" s="23"/>
      <c r="M75" s="23"/>
      <c r="N75" s="23"/>
      <c r="O75" s="23"/>
      <c r="P75" s="23"/>
      <c r="Q75" s="23"/>
      <c r="R75" s="23"/>
    </row>
    <row r="76" spans="1:19" ht="15.75" customHeight="1">
      <c r="A76" s="46">
        <f t="shared" si="8"/>
        <v>63</v>
      </c>
      <c r="B76" s="47"/>
      <c r="C76" s="48" t="s">
        <v>174</v>
      </c>
      <c r="D76" s="48"/>
      <c r="E76" s="28">
        <v>67</v>
      </c>
      <c r="F76" s="29" t="s">
        <v>175</v>
      </c>
      <c r="G76" s="30">
        <v>907</v>
      </c>
      <c r="H76" s="31">
        <v>1</v>
      </c>
      <c r="I76" s="32" t="s">
        <v>153</v>
      </c>
      <c r="J76" s="51"/>
      <c r="K76" s="23"/>
      <c r="L76" s="23"/>
      <c r="M76" s="23"/>
      <c r="N76" s="23"/>
      <c r="O76" s="23"/>
      <c r="P76" s="23"/>
      <c r="Q76" s="23"/>
      <c r="R76" s="23"/>
    </row>
    <row r="77" spans="1:19" ht="15.75" customHeight="1">
      <c r="A77" s="53"/>
      <c r="B77" s="54"/>
      <c r="C77" s="66"/>
      <c r="D77" s="66"/>
      <c r="E77" s="67"/>
      <c r="F77" s="68"/>
      <c r="G77" s="69"/>
      <c r="H77" s="70"/>
      <c r="I77" s="71"/>
      <c r="J77" s="51"/>
      <c r="K77" s="23"/>
      <c r="L77" s="23"/>
      <c r="M77" s="23"/>
      <c r="N77" s="23"/>
      <c r="O77" s="23"/>
      <c r="P77" s="23"/>
      <c r="Q77" s="23"/>
      <c r="R77" s="23" t="s">
        <v>176</v>
      </c>
    </row>
    <row r="78" spans="1:19" ht="25.35" customHeight="1">
      <c r="A78" s="46">
        <f>A76+1</f>
        <v>64</v>
      </c>
      <c r="B78" s="47"/>
      <c r="C78" s="43" t="s">
        <v>177</v>
      </c>
      <c r="D78" s="43"/>
      <c r="E78" s="24">
        <v>70</v>
      </c>
      <c r="F78" s="74" t="s">
        <v>178</v>
      </c>
      <c r="G78" s="75">
        <v>877</v>
      </c>
      <c r="H78" s="31">
        <v>1</v>
      </c>
      <c r="I78" s="32" t="s">
        <v>94</v>
      </c>
      <c r="J78" s="51"/>
      <c r="K78" s="23"/>
      <c r="L78" s="23"/>
      <c r="M78" s="23"/>
      <c r="N78" s="23"/>
      <c r="O78" s="23"/>
      <c r="P78" s="23"/>
      <c r="Q78" s="23"/>
      <c r="R78" s="76" t="s">
        <v>179</v>
      </c>
      <c r="S78" s="77">
        <v>667</v>
      </c>
    </row>
    <row r="79" spans="1:19" ht="15.75" customHeight="1">
      <c r="A79" s="46">
        <f>A78+1</f>
        <v>65</v>
      </c>
      <c r="B79" s="47"/>
      <c r="C79" s="43" t="s">
        <v>180</v>
      </c>
      <c r="D79" s="43"/>
      <c r="E79" s="24">
        <v>70</v>
      </c>
      <c r="F79" s="58" t="s">
        <v>181</v>
      </c>
      <c r="G79" s="51">
        <v>886</v>
      </c>
      <c r="H79" s="31">
        <v>1</v>
      </c>
      <c r="I79" s="32" t="s">
        <v>94</v>
      </c>
      <c r="J79" s="51"/>
      <c r="K79" s="23"/>
      <c r="L79" s="23"/>
      <c r="M79" s="23"/>
      <c r="N79" s="23"/>
      <c r="O79" s="23"/>
      <c r="P79" s="23"/>
      <c r="Q79" s="23"/>
      <c r="R79" s="23"/>
    </row>
    <row r="80" spans="1:19" ht="15.75" customHeight="1">
      <c r="A80" s="53"/>
      <c r="B80" s="54"/>
      <c r="C80" s="45"/>
      <c r="D80" s="45"/>
      <c r="E80" s="56"/>
      <c r="F80" s="57"/>
      <c r="G80" s="51"/>
      <c r="H80" s="40"/>
      <c r="I80" s="41"/>
      <c r="J80" s="51"/>
      <c r="K80" s="23"/>
      <c r="L80" s="23"/>
      <c r="M80" s="23"/>
      <c r="N80" s="23"/>
      <c r="O80" s="23"/>
      <c r="P80" s="23"/>
      <c r="Q80" s="23"/>
      <c r="R80" s="23"/>
    </row>
    <row r="81" spans="1:19" ht="15.75" customHeight="1">
      <c r="A81" s="46">
        <f>A79+1</f>
        <v>66</v>
      </c>
      <c r="B81" s="47"/>
      <c r="C81" s="48" t="s">
        <v>182</v>
      </c>
      <c r="D81" s="48"/>
      <c r="E81" s="24">
        <v>72</v>
      </c>
      <c r="F81" s="58" t="s">
        <v>183</v>
      </c>
      <c r="G81" s="30">
        <v>286</v>
      </c>
      <c r="H81" s="31">
        <v>1</v>
      </c>
      <c r="I81" s="32" t="s">
        <v>94</v>
      </c>
      <c r="J81" s="51"/>
      <c r="K81" s="23"/>
      <c r="L81" s="23"/>
      <c r="M81" s="23"/>
      <c r="N81" s="23"/>
      <c r="O81" s="23"/>
      <c r="P81" s="23"/>
      <c r="Q81" s="23"/>
      <c r="R81" s="23"/>
    </row>
    <row r="82" spans="1:19" ht="15.75" customHeight="1">
      <c r="A82" s="46">
        <f t="shared" ref="A82:A95" si="9">A81+1</f>
        <v>67</v>
      </c>
      <c r="B82" s="47"/>
      <c r="C82" s="48" t="s">
        <v>184</v>
      </c>
      <c r="D82" s="48"/>
      <c r="E82" s="24">
        <v>73</v>
      </c>
      <c r="F82" s="58" t="s">
        <v>185</v>
      </c>
      <c r="G82" s="51">
        <v>253</v>
      </c>
      <c r="H82" s="78">
        <v>1</v>
      </c>
      <c r="I82" s="65" t="s">
        <v>94</v>
      </c>
      <c r="J82" s="51"/>
      <c r="K82" s="23"/>
      <c r="L82" s="23"/>
      <c r="M82" s="23"/>
      <c r="N82" s="23"/>
      <c r="O82" s="23"/>
      <c r="P82" s="23"/>
      <c r="Q82" s="23"/>
      <c r="R82" s="23"/>
    </row>
    <row r="83" spans="1:19" ht="15.75" customHeight="1">
      <c r="A83" s="46">
        <f t="shared" si="9"/>
        <v>68</v>
      </c>
      <c r="B83" s="47"/>
      <c r="C83" s="48" t="s">
        <v>186</v>
      </c>
      <c r="D83" s="48"/>
      <c r="E83" s="24">
        <v>73</v>
      </c>
      <c r="F83" s="58" t="s">
        <v>187</v>
      </c>
      <c r="G83" s="75">
        <v>0</v>
      </c>
      <c r="H83" s="78">
        <v>1</v>
      </c>
      <c r="I83" s="65" t="s">
        <v>94</v>
      </c>
      <c r="J83" s="49"/>
      <c r="K83" s="79" t="s">
        <v>188</v>
      </c>
      <c r="L83" s="23"/>
      <c r="M83" s="23"/>
      <c r="N83" s="23"/>
      <c r="O83" s="23"/>
      <c r="P83" s="23"/>
      <c r="Q83" s="23"/>
      <c r="R83" s="23"/>
    </row>
    <row r="84" spans="1:19" ht="15.75" customHeight="1">
      <c r="A84" s="46">
        <f t="shared" si="9"/>
        <v>69</v>
      </c>
      <c r="B84" s="47"/>
      <c r="C84" s="48" t="s">
        <v>189</v>
      </c>
      <c r="D84" s="48"/>
      <c r="E84" s="24">
        <v>73</v>
      </c>
      <c r="F84" s="58" t="s">
        <v>190</v>
      </c>
      <c r="G84" s="51">
        <v>599</v>
      </c>
      <c r="H84" s="78">
        <v>1</v>
      </c>
      <c r="I84" s="65" t="s">
        <v>94</v>
      </c>
      <c r="J84" s="51"/>
      <c r="K84" s="23"/>
      <c r="L84" s="23"/>
      <c r="M84" s="23"/>
      <c r="N84" s="23"/>
      <c r="O84" s="23"/>
      <c r="P84" s="23"/>
      <c r="Q84" s="23"/>
      <c r="R84" s="23"/>
    </row>
    <row r="85" spans="1:19" ht="15.75" customHeight="1">
      <c r="A85" s="46">
        <f t="shared" si="9"/>
        <v>70</v>
      </c>
      <c r="B85" s="47"/>
      <c r="C85" s="48" t="s">
        <v>191</v>
      </c>
      <c r="D85" s="48"/>
      <c r="E85" s="24">
        <v>73</v>
      </c>
      <c r="F85" s="58" t="s">
        <v>192</v>
      </c>
      <c r="G85" s="51">
        <v>701</v>
      </c>
      <c r="H85" s="78">
        <v>1</v>
      </c>
      <c r="I85" s="65" t="s">
        <v>94</v>
      </c>
      <c r="J85" s="51"/>
      <c r="K85" s="23"/>
      <c r="L85" s="23"/>
      <c r="M85" s="23"/>
      <c r="N85" s="23"/>
      <c r="O85" s="23"/>
      <c r="P85" s="23"/>
      <c r="Q85" s="23"/>
      <c r="R85" s="23"/>
    </row>
    <row r="86" spans="1:19" ht="15.75" customHeight="1">
      <c r="A86" s="46">
        <f t="shared" si="9"/>
        <v>71</v>
      </c>
      <c r="B86" s="47"/>
      <c r="C86" s="48" t="s">
        <v>193</v>
      </c>
      <c r="D86" s="48"/>
      <c r="E86" s="24">
        <v>74</v>
      </c>
      <c r="F86" s="58" t="s">
        <v>194</v>
      </c>
      <c r="G86" s="51">
        <v>28</v>
      </c>
      <c r="H86" s="31">
        <v>1</v>
      </c>
      <c r="I86" s="32" t="s">
        <v>94</v>
      </c>
      <c r="J86" s="51"/>
      <c r="K86" s="23"/>
      <c r="L86" s="23"/>
      <c r="M86" s="23"/>
      <c r="N86" s="23"/>
      <c r="O86" s="23"/>
      <c r="P86" s="23"/>
      <c r="Q86" s="23"/>
      <c r="R86" s="23"/>
    </row>
    <row r="87" spans="1:19" ht="15.75" customHeight="1">
      <c r="A87" s="46">
        <f t="shared" si="9"/>
        <v>72</v>
      </c>
      <c r="B87" s="47"/>
      <c r="C87" s="48" t="s">
        <v>195</v>
      </c>
      <c r="D87" s="48"/>
      <c r="E87" s="24">
        <v>87</v>
      </c>
      <c r="F87" s="58" t="s">
        <v>196</v>
      </c>
      <c r="G87" s="51">
        <v>76</v>
      </c>
      <c r="H87" s="78">
        <v>1</v>
      </c>
      <c r="I87" s="65" t="s">
        <v>197</v>
      </c>
      <c r="J87" s="51"/>
      <c r="K87" s="23"/>
      <c r="L87" s="23"/>
      <c r="M87" s="23"/>
      <c r="N87" s="23"/>
      <c r="O87" s="23"/>
      <c r="P87" s="23"/>
      <c r="Q87" s="23"/>
      <c r="R87" s="23"/>
    </row>
    <row r="88" spans="1:19" ht="25.35" customHeight="1">
      <c r="A88" s="46">
        <f t="shared" si="9"/>
        <v>73</v>
      </c>
      <c r="B88" s="47"/>
      <c r="C88" s="48" t="s">
        <v>198</v>
      </c>
      <c r="D88" s="48"/>
      <c r="E88" s="24">
        <v>87</v>
      </c>
      <c r="F88" s="58" t="s">
        <v>199</v>
      </c>
      <c r="G88" s="51">
        <v>88</v>
      </c>
      <c r="H88" s="78">
        <v>1</v>
      </c>
      <c r="I88" s="65" t="s">
        <v>197</v>
      </c>
      <c r="J88" s="51"/>
      <c r="K88" s="23"/>
      <c r="L88" s="23"/>
      <c r="M88" s="23"/>
      <c r="N88" s="23"/>
      <c r="O88" s="23"/>
      <c r="P88" s="23"/>
      <c r="Q88" s="23"/>
      <c r="R88" s="23"/>
    </row>
    <row r="89" spans="1:19" ht="25.35" customHeight="1">
      <c r="A89" s="46">
        <f t="shared" si="9"/>
        <v>74</v>
      </c>
      <c r="B89" s="47"/>
      <c r="C89" s="48" t="s">
        <v>200</v>
      </c>
      <c r="D89" s="48"/>
      <c r="E89" s="24">
        <v>87</v>
      </c>
      <c r="F89" s="58" t="s">
        <v>201</v>
      </c>
      <c r="G89" s="51">
        <v>87</v>
      </c>
      <c r="H89" s="78">
        <v>1</v>
      </c>
      <c r="I89" s="65" t="s">
        <v>197</v>
      </c>
      <c r="J89" s="51"/>
      <c r="K89" s="23"/>
      <c r="L89" s="23"/>
      <c r="M89" s="23"/>
      <c r="N89" s="23"/>
      <c r="O89" s="23"/>
      <c r="P89" s="23"/>
      <c r="Q89" s="23"/>
      <c r="R89" s="23"/>
    </row>
    <row r="90" spans="1:19" ht="25.35" customHeight="1">
      <c r="A90" s="46">
        <f t="shared" si="9"/>
        <v>75</v>
      </c>
      <c r="B90" s="47"/>
      <c r="C90" s="48" t="s">
        <v>202</v>
      </c>
      <c r="D90" s="48"/>
      <c r="E90" s="24">
        <v>87</v>
      </c>
      <c r="F90" s="58" t="s">
        <v>203</v>
      </c>
      <c r="G90" s="51">
        <v>76</v>
      </c>
      <c r="H90" s="78">
        <v>1</v>
      </c>
      <c r="I90" s="65" t="s">
        <v>197</v>
      </c>
      <c r="J90" s="51"/>
      <c r="K90" s="23"/>
      <c r="L90" s="23"/>
      <c r="M90" s="23"/>
      <c r="N90" s="23"/>
      <c r="O90" s="23"/>
      <c r="P90" s="23"/>
      <c r="Q90" s="23"/>
      <c r="R90" s="23"/>
    </row>
    <row r="91" spans="1:19" ht="25.35" customHeight="1">
      <c r="A91" s="46">
        <f t="shared" si="9"/>
        <v>76</v>
      </c>
      <c r="B91" s="47"/>
      <c r="C91" s="48" t="s">
        <v>204</v>
      </c>
      <c r="D91" s="48"/>
      <c r="E91" s="24">
        <v>87</v>
      </c>
      <c r="F91" s="58" t="s">
        <v>205</v>
      </c>
      <c r="G91" s="30">
        <v>43</v>
      </c>
      <c r="H91" s="31">
        <v>1</v>
      </c>
      <c r="I91" s="32" t="s">
        <v>197</v>
      </c>
      <c r="J91" s="51"/>
      <c r="K91" s="23"/>
      <c r="L91" s="23"/>
      <c r="M91" s="23"/>
      <c r="N91" s="23"/>
      <c r="O91" s="23"/>
      <c r="P91" s="23"/>
      <c r="Q91" s="23"/>
      <c r="R91" s="23"/>
    </row>
    <row r="92" spans="1:19" ht="25.35" customHeight="1">
      <c r="A92" s="46">
        <f t="shared" si="9"/>
        <v>77</v>
      </c>
      <c r="B92" s="47"/>
      <c r="C92" s="48" t="s">
        <v>206</v>
      </c>
      <c r="D92" s="48"/>
      <c r="E92" s="24">
        <v>87</v>
      </c>
      <c r="F92" s="58" t="s">
        <v>207</v>
      </c>
      <c r="G92" s="30">
        <v>57</v>
      </c>
      <c r="H92" s="31">
        <v>1</v>
      </c>
      <c r="I92" s="32" t="s">
        <v>197</v>
      </c>
      <c r="J92" s="51"/>
      <c r="K92" s="23"/>
      <c r="L92" s="23"/>
      <c r="M92" s="23"/>
      <c r="N92" s="23"/>
      <c r="O92" s="23"/>
      <c r="P92" s="23"/>
      <c r="Q92" s="23"/>
      <c r="R92" s="23"/>
    </row>
    <row r="93" spans="1:19" ht="25.35" customHeight="1">
      <c r="A93" s="46">
        <f t="shared" si="9"/>
        <v>78</v>
      </c>
      <c r="B93" s="47"/>
      <c r="C93" s="48" t="s">
        <v>208</v>
      </c>
      <c r="D93" s="48"/>
      <c r="E93" s="24">
        <v>87</v>
      </c>
      <c r="F93" s="58" t="s">
        <v>209</v>
      </c>
      <c r="G93" s="51">
        <v>42</v>
      </c>
      <c r="H93" s="78">
        <v>1</v>
      </c>
      <c r="I93" s="65" t="s">
        <v>197</v>
      </c>
      <c r="J93" s="51"/>
      <c r="K93" s="23"/>
      <c r="L93" s="23"/>
      <c r="M93" s="23"/>
      <c r="N93" s="23"/>
      <c r="O93" s="23"/>
      <c r="P93" s="23"/>
      <c r="Q93" s="23"/>
      <c r="R93" s="23"/>
    </row>
    <row r="94" spans="1:19" ht="25.35" customHeight="1">
      <c r="A94" s="46">
        <f t="shared" si="9"/>
        <v>79</v>
      </c>
      <c r="B94" s="47"/>
      <c r="C94" s="48" t="s">
        <v>210</v>
      </c>
      <c r="D94" s="48"/>
      <c r="E94" s="24">
        <v>87</v>
      </c>
      <c r="F94" s="80" t="s">
        <v>211</v>
      </c>
      <c r="G94" s="51">
        <v>52</v>
      </c>
      <c r="H94" s="78">
        <v>1</v>
      </c>
      <c r="I94" s="65" t="s">
        <v>197</v>
      </c>
      <c r="J94" s="51"/>
      <c r="K94" s="23"/>
      <c r="L94" s="23"/>
      <c r="M94" s="23"/>
      <c r="N94" s="23"/>
      <c r="O94" s="23"/>
      <c r="P94" s="23"/>
      <c r="Q94" s="23">
        <v>45</v>
      </c>
      <c r="R94" s="23" t="s">
        <v>212</v>
      </c>
      <c r="S94" s="18">
        <v>41</v>
      </c>
    </row>
    <row r="95" spans="1:19" ht="25.35" customHeight="1">
      <c r="A95" s="46">
        <f t="shared" si="9"/>
        <v>80</v>
      </c>
      <c r="B95" s="47"/>
      <c r="C95" s="48" t="s">
        <v>210</v>
      </c>
      <c r="D95" s="48"/>
      <c r="E95" s="24">
        <v>88</v>
      </c>
      <c r="F95" s="80" t="s">
        <v>213</v>
      </c>
      <c r="G95" s="51">
        <v>47</v>
      </c>
      <c r="H95" s="78">
        <v>1</v>
      </c>
      <c r="I95" s="65" t="s">
        <v>197</v>
      </c>
      <c r="J95" s="51"/>
      <c r="K95" s="23"/>
      <c r="L95" s="23"/>
      <c r="M95" s="23"/>
      <c r="N95" s="23"/>
      <c r="O95" s="23"/>
      <c r="P95" s="23"/>
      <c r="Q95" s="23">
        <v>45</v>
      </c>
      <c r="R95" s="23" t="s">
        <v>212</v>
      </c>
      <c r="S95" s="18">
        <v>41</v>
      </c>
    </row>
    <row r="96" spans="1:19" ht="25.35" customHeight="1">
      <c r="A96" s="46">
        <f>A94+1</f>
        <v>80</v>
      </c>
      <c r="B96" s="47"/>
      <c r="C96" s="48" t="s">
        <v>214</v>
      </c>
      <c r="D96" s="48"/>
      <c r="E96" s="24">
        <v>88</v>
      </c>
      <c r="F96" s="58" t="s">
        <v>215</v>
      </c>
      <c r="G96" s="51">
        <v>48</v>
      </c>
      <c r="H96" s="78">
        <v>1</v>
      </c>
      <c r="I96" s="65" t="s">
        <v>197</v>
      </c>
      <c r="J96" s="51"/>
      <c r="K96" s="23"/>
      <c r="L96" s="23"/>
      <c r="Q96" s="23"/>
      <c r="R96" s="23"/>
    </row>
    <row r="97" spans="1:18" ht="15.75" customHeight="1">
      <c r="A97" s="46">
        <f t="shared" ref="A97:A110" si="10">A96+1</f>
        <v>81</v>
      </c>
      <c r="B97" s="47"/>
      <c r="C97" s="48" t="s">
        <v>216</v>
      </c>
      <c r="D97" s="48"/>
      <c r="E97" s="24">
        <v>88</v>
      </c>
      <c r="F97" s="58" t="s">
        <v>217</v>
      </c>
      <c r="G97" s="51">
        <v>29</v>
      </c>
      <c r="H97" s="31">
        <v>1</v>
      </c>
      <c r="I97" s="32" t="s">
        <v>197</v>
      </c>
      <c r="J97" s="51"/>
      <c r="K97" s="23"/>
      <c r="L97" s="23"/>
      <c r="M97" s="23"/>
      <c r="N97" s="23"/>
      <c r="O97" s="23"/>
      <c r="P97" s="23"/>
      <c r="Q97" s="23"/>
      <c r="R97" s="23"/>
    </row>
    <row r="98" spans="1:18" ht="25.35" customHeight="1">
      <c r="A98" s="46">
        <f t="shared" si="10"/>
        <v>82</v>
      </c>
      <c r="B98" s="47"/>
      <c r="C98" s="48" t="s">
        <v>218</v>
      </c>
      <c r="D98" s="48"/>
      <c r="E98" s="24">
        <v>88</v>
      </c>
      <c r="F98" s="58" t="s">
        <v>219</v>
      </c>
      <c r="G98" s="51">
        <v>36</v>
      </c>
      <c r="H98" s="31">
        <v>1</v>
      </c>
      <c r="I98" s="32" t="s">
        <v>197</v>
      </c>
      <c r="J98" s="51"/>
      <c r="K98" s="23"/>
      <c r="L98" s="23"/>
      <c r="M98" s="23"/>
      <c r="N98" s="23"/>
      <c r="O98" s="23"/>
      <c r="P98" s="23"/>
      <c r="Q98" s="23"/>
      <c r="R98" s="23"/>
    </row>
    <row r="99" spans="1:18" ht="15.75" customHeight="1">
      <c r="A99" s="46">
        <f t="shared" si="10"/>
        <v>83</v>
      </c>
      <c r="B99" s="47"/>
      <c r="C99" s="48" t="s">
        <v>220</v>
      </c>
      <c r="D99" s="48"/>
      <c r="E99" s="24">
        <v>88</v>
      </c>
      <c r="F99" s="58" t="s">
        <v>221</v>
      </c>
      <c r="G99" s="51">
        <v>5</v>
      </c>
      <c r="H99" s="78">
        <v>1</v>
      </c>
      <c r="I99" s="65" t="s">
        <v>39</v>
      </c>
      <c r="J99" s="51"/>
      <c r="K99" s="23"/>
      <c r="L99" s="23"/>
      <c r="M99" s="23"/>
      <c r="N99" s="23"/>
      <c r="O99" s="23"/>
      <c r="P99" s="23"/>
      <c r="Q99" s="23"/>
      <c r="R99" s="23"/>
    </row>
    <row r="100" spans="1:18" ht="15.75" customHeight="1">
      <c r="A100" s="46">
        <f t="shared" si="10"/>
        <v>84</v>
      </c>
      <c r="B100" s="47"/>
      <c r="C100" s="48" t="s">
        <v>222</v>
      </c>
      <c r="D100" s="48"/>
      <c r="E100" s="24">
        <v>88</v>
      </c>
      <c r="F100" s="58" t="s">
        <v>223</v>
      </c>
      <c r="G100" s="51">
        <v>5</v>
      </c>
      <c r="H100" s="78">
        <v>1</v>
      </c>
      <c r="I100" s="65" t="s">
        <v>39</v>
      </c>
      <c r="J100" s="51"/>
      <c r="K100" s="23"/>
      <c r="L100" s="23"/>
      <c r="M100" s="23"/>
      <c r="N100" s="23"/>
      <c r="O100" s="23"/>
      <c r="P100" s="23"/>
      <c r="Q100" s="23"/>
      <c r="R100" s="23"/>
    </row>
    <row r="101" spans="1:18" ht="15.75" customHeight="1">
      <c r="A101" s="46">
        <f t="shared" si="10"/>
        <v>85</v>
      </c>
      <c r="B101" s="47"/>
      <c r="C101" s="48" t="s">
        <v>224</v>
      </c>
      <c r="D101" s="48"/>
      <c r="E101" s="24">
        <v>88</v>
      </c>
      <c r="F101" s="58" t="s">
        <v>225</v>
      </c>
      <c r="G101" s="51">
        <v>5</v>
      </c>
      <c r="H101" s="78">
        <v>1</v>
      </c>
      <c r="I101" s="65" t="s">
        <v>39</v>
      </c>
      <c r="J101" s="51"/>
      <c r="K101" s="23"/>
      <c r="L101" s="23"/>
      <c r="M101" s="23"/>
      <c r="N101" s="23"/>
      <c r="O101" s="23"/>
      <c r="P101" s="23"/>
      <c r="Q101" s="23"/>
      <c r="R101" s="23"/>
    </row>
    <row r="102" spans="1:18" ht="15.75" customHeight="1">
      <c r="A102" s="46">
        <f t="shared" si="10"/>
        <v>86</v>
      </c>
      <c r="B102" s="47"/>
      <c r="C102" s="48" t="s">
        <v>226</v>
      </c>
      <c r="D102" s="48"/>
      <c r="E102" s="24">
        <v>88</v>
      </c>
      <c r="F102" s="58" t="s">
        <v>227</v>
      </c>
      <c r="G102" s="51">
        <v>5</v>
      </c>
      <c r="H102" s="78">
        <v>1</v>
      </c>
      <c r="I102" s="65" t="s">
        <v>39</v>
      </c>
      <c r="J102" s="51"/>
      <c r="K102" s="23"/>
      <c r="L102" s="23"/>
      <c r="M102" s="23"/>
      <c r="N102" s="23"/>
      <c r="O102" s="23"/>
      <c r="P102" s="23"/>
      <c r="Q102" s="23"/>
      <c r="R102" s="23"/>
    </row>
    <row r="103" spans="1:18" ht="15.75" customHeight="1">
      <c r="A103" s="46">
        <f t="shared" si="10"/>
        <v>87</v>
      </c>
      <c r="B103" s="47"/>
      <c r="C103" s="48" t="s">
        <v>228</v>
      </c>
      <c r="D103" s="48"/>
      <c r="E103" s="24">
        <v>88</v>
      </c>
      <c r="F103" s="58" t="s">
        <v>229</v>
      </c>
      <c r="G103" s="51">
        <v>5</v>
      </c>
      <c r="H103" s="78">
        <v>1</v>
      </c>
      <c r="I103" s="65" t="s">
        <v>39</v>
      </c>
      <c r="J103" s="51"/>
      <c r="K103" s="23"/>
      <c r="L103" s="23"/>
      <c r="M103" s="23"/>
      <c r="N103" s="23"/>
      <c r="O103" s="23"/>
      <c r="P103" s="23"/>
      <c r="Q103" s="23"/>
      <c r="R103" s="23"/>
    </row>
    <row r="104" spans="1:18" ht="15.75" customHeight="1">
      <c r="A104" s="46">
        <f t="shared" si="10"/>
        <v>88</v>
      </c>
      <c r="B104" s="47"/>
      <c r="C104" s="48" t="s">
        <v>230</v>
      </c>
      <c r="D104" s="48"/>
      <c r="E104" s="24">
        <v>88</v>
      </c>
      <c r="F104" s="58" t="s">
        <v>231</v>
      </c>
      <c r="G104" s="51">
        <v>31</v>
      </c>
      <c r="H104" s="78">
        <v>1</v>
      </c>
      <c r="I104" s="65" t="s">
        <v>232</v>
      </c>
      <c r="J104" s="51"/>
      <c r="K104" s="23"/>
      <c r="L104" s="23"/>
      <c r="M104" s="23"/>
      <c r="N104" s="23"/>
      <c r="O104" s="23"/>
      <c r="P104" s="23"/>
      <c r="Q104" s="23"/>
      <c r="R104" s="23"/>
    </row>
    <row r="105" spans="1:18" ht="15.75" customHeight="1">
      <c r="A105" s="46">
        <f t="shared" si="10"/>
        <v>89</v>
      </c>
      <c r="B105" s="47"/>
      <c r="C105" s="48" t="s">
        <v>233</v>
      </c>
      <c r="D105" s="48"/>
      <c r="E105" s="24">
        <v>88</v>
      </c>
      <c r="F105" s="58" t="s">
        <v>234</v>
      </c>
      <c r="G105" s="51">
        <v>7</v>
      </c>
      <c r="H105" s="78">
        <v>1</v>
      </c>
      <c r="I105" s="65" t="s">
        <v>197</v>
      </c>
      <c r="J105" s="51"/>
      <c r="K105" s="23"/>
      <c r="L105" s="23"/>
      <c r="M105" s="23"/>
      <c r="N105" s="23"/>
      <c r="O105" s="23"/>
      <c r="P105" s="23"/>
      <c r="Q105" s="23"/>
      <c r="R105" s="23"/>
    </row>
    <row r="106" spans="1:18" ht="15.75" customHeight="1">
      <c r="A106" s="46">
        <f t="shared" si="10"/>
        <v>90</v>
      </c>
      <c r="B106" s="47"/>
      <c r="C106" s="48" t="s">
        <v>235</v>
      </c>
      <c r="D106" s="48"/>
      <c r="E106" s="24">
        <v>88</v>
      </c>
      <c r="F106" s="58" t="s">
        <v>236</v>
      </c>
      <c r="G106" s="51">
        <v>145</v>
      </c>
      <c r="H106" s="78">
        <v>1</v>
      </c>
      <c r="I106" s="65" t="s">
        <v>138</v>
      </c>
      <c r="J106" s="51"/>
      <c r="K106" s="23"/>
      <c r="L106" s="23"/>
      <c r="M106" s="23"/>
      <c r="N106" s="23"/>
      <c r="O106" s="23"/>
      <c r="P106" s="23"/>
      <c r="Q106" s="23"/>
      <c r="R106" s="23"/>
    </row>
    <row r="107" spans="1:18" ht="15.75" customHeight="1">
      <c r="A107" s="46">
        <f t="shared" si="10"/>
        <v>91</v>
      </c>
      <c r="B107" s="47"/>
      <c r="C107" s="48" t="s">
        <v>237</v>
      </c>
      <c r="D107" s="48"/>
      <c r="E107" s="24">
        <v>88</v>
      </c>
      <c r="F107" s="58" t="s">
        <v>238</v>
      </c>
      <c r="G107" s="30">
        <v>5</v>
      </c>
      <c r="H107" s="31">
        <v>1</v>
      </c>
      <c r="I107" s="32" t="s">
        <v>39</v>
      </c>
      <c r="J107" s="51"/>
      <c r="K107" s="23"/>
      <c r="L107" s="23"/>
      <c r="M107" s="23"/>
      <c r="N107" s="23"/>
      <c r="O107" s="23"/>
      <c r="P107" s="23"/>
      <c r="Q107" s="23"/>
      <c r="R107" s="23"/>
    </row>
    <row r="108" spans="1:18" ht="15.75" customHeight="1">
      <c r="A108" s="46">
        <f t="shared" si="10"/>
        <v>92</v>
      </c>
      <c r="B108" s="47"/>
      <c r="C108" s="48" t="s">
        <v>239</v>
      </c>
      <c r="D108" s="48"/>
      <c r="E108" s="24">
        <v>88</v>
      </c>
      <c r="F108" s="58" t="s">
        <v>240</v>
      </c>
      <c r="G108" s="30">
        <v>13</v>
      </c>
      <c r="H108" s="31">
        <v>1</v>
      </c>
      <c r="I108" s="32" t="s">
        <v>197</v>
      </c>
      <c r="J108" s="51"/>
      <c r="K108" s="23"/>
      <c r="L108" s="23"/>
      <c r="M108" s="23"/>
      <c r="N108" s="23"/>
      <c r="O108" s="23"/>
      <c r="P108" s="23"/>
      <c r="Q108" s="23"/>
      <c r="R108" s="23"/>
    </row>
    <row r="109" spans="1:18" ht="25.35" customHeight="1">
      <c r="A109" s="46">
        <f t="shared" si="10"/>
        <v>93</v>
      </c>
      <c r="B109" s="47"/>
      <c r="C109" s="48" t="s">
        <v>241</v>
      </c>
      <c r="D109" s="48"/>
      <c r="E109" s="24">
        <v>88</v>
      </c>
      <c r="F109" s="58" t="s">
        <v>242</v>
      </c>
      <c r="G109" s="51">
        <v>12</v>
      </c>
      <c r="H109" s="31">
        <v>1</v>
      </c>
      <c r="I109" s="32" t="s">
        <v>197</v>
      </c>
      <c r="J109" s="51"/>
      <c r="K109" s="23"/>
      <c r="L109" s="23"/>
      <c r="M109" s="23"/>
      <c r="N109" s="23"/>
      <c r="O109" s="23"/>
      <c r="P109" s="23"/>
      <c r="Q109" s="23"/>
      <c r="R109" s="23"/>
    </row>
    <row r="110" spans="1:18" ht="25.35" customHeight="1">
      <c r="A110" s="46">
        <f t="shared" si="10"/>
        <v>94</v>
      </c>
      <c r="B110" s="47"/>
      <c r="C110" s="48" t="s">
        <v>243</v>
      </c>
      <c r="D110" s="48"/>
      <c r="E110" s="46">
        <v>98</v>
      </c>
      <c r="F110" s="58" t="s">
        <v>244</v>
      </c>
      <c r="G110" s="72">
        <v>4030</v>
      </c>
      <c r="H110" s="31">
        <v>1</v>
      </c>
      <c r="I110" s="32" t="s">
        <v>94</v>
      </c>
      <c r="J110" s="51"/>
      <c r="K110" s="23"/>
      <c r="L110" s="23"/>
      <c r="M110" s="23"/>
      <c r="N110" s="23"/>
      <c r="O110" s="23"/>
      <c r="P110" s="23"/>
      <c r="Q110" s="23"/>
      <c r="R110" s="23"/>
    </row>
    <row r="111" spans="1:18" ht="15.75" customHeight="1">
      <c r="A111" s="53"/>
      <c r="B111" s="54"/>
      <c r="C111" s="37"/>
      <c r="D111" s="37"/>
      <c r="E111" s="53"/>
      <c r="F111" s="53"/>
      <c r="G111" s="22"/>
      <c r="H111" s="40"/>
      <c r="I111" s="41"/>
      <c r="J111" s="51"/>
      <c r="K111" s="23"/>
      <c r="L111" s="23"/>
      <c r="M111" s="23"/>
      <c r="N111" s="23"/>
      <c r="O111" s="23"/>
      <c r="P111" s="23"/>
      <c r="Q111" s="23"/>
      <c r="R111" s="23"/>
    </row>
    <row r="112" spans="1:18" ht="36.6" customHeight="1">
      <c r="A112" s="46">
        <f>A110+1</f>
        <v>95</v>
      </c>
      <c r="B112" s="47"/>
      <c r="C112" s="34" t="s">
        <v>245</v>
      </c>
      <c r="D112" s="34"/>
      <c r="E112" s="46">
        <v>106</v>
      </c>
      <c r="F112" s="58" t="s">
        <v>246</v>
      </c>
      <c r="G112" s="22">
        <v>783</v>
      </c>
      <c r="H112" s="31">
        <v>1</v>
      </c>
      <c r="I112" s="32" t="s">
        <v>197</v>
      </c>
      <c r="J112" s="51"/>
      <c r="K112" s="23"/>
      <c r="L112" s="23"/>
      <c r="M112" s="23"/>
      <c r="N112" s="23"/>
      <c r="O112" s="23"/>
      <c r="P112" s="23"/>
      <c r="Q112" s="23"/>
      <c r="R112" s="23"/>
    </row>
    <row r="113" spans="1:19" ht="15.75" customHeight="1">
      <c r="A113" s="53"/>
      <c r="B113" s="54"/>
      <c r="C113" s="37"/>
      <c r="D113" s="37"/>
      <c r="E113" s="53"/>
      <c r="F113" s="53"/>
      <c r="G113" s="22"/>
      <c r="H113" s="40"/>
      <c r="I113" s="41"/>
      <c r="J113" s="51"/>
      <c r="K113" s="23"/>
      <c r="L113" s="23"/>
      <c r="M113" s="23"/>
      <c r="N113" s="23"/>
      <c r="O113" s="23"/>
      <c r="P113" s="23"/>
      <c r="Q113" s="23"/>
      <c r="R113" s="23"/>
    </row>
    <row r="114" spans="1:19" ht="15.75" customHeight="1">
      <c r="A114" s="46">
        <f>A112+1</f>
        <v>96</v>
      </c>
      <c r="B114" s="47"/>
      <c r="C114" s="48" t="s">
        <v>247</v>
      </c>
      <c r="D114" s="48"/>
      <c r="E114" s="24">
        <v>109</v>
      </c>
      <c r="F114" s="58" t="s">
        <v>248</v>
      </c>
      <c r="G114" s="51">
        <v>1334</v>
      </c>
      <c r="H114" s="31">
        <v>1</v>
      </c>
      <c r="I114" s="32" t="s">
        <v>94</v>
      </c>
      <c r="J114" s="51"/>
      <c r="K114" s="23"/>
      <c r="L114" s="23"/>
      <c r="M114" s="23"/>
      <c r="N114" s="23"/>
      <c r="O114" s="23"/>
      <c r="P114" s="23"/>
      <c r="Q114" s="23"/>
      <c r="R114" s="23"/>
    </row>
    <row r="115" spans="1:19" ht="15.75" customHeight="1">
      <c r="A115" s="46">
        <f>A114+1</f>
        <v>97</v>
      </c>
      <c r="B115" s="47"/>
      <c r="C115" s="48" t="s">
        <v>249</v>
      </c>
      <c r="D115" s="48"/>
      <c r="E115" s="24">
        <v>109</v>
      </c>
      <c r="F115" s="58" t="s">
        <v>250</v>
      </c>
      <c r="G115" s="51">
        <v>1509</v>
      </c>
      <c r="H115" s="31">
        <v>1</v>
      </c>
      <c r="I115" s="32" t="s">
        <v>94</v>
      </c>
      <c r="J115" s="49"/>
      <c r="K115" s="23"/>
      <c r="L115" s="23"/>
      <c r="M115" s="23"/>
      <c r="N115" s="23"/>
      <c r="O115" s="23"/>
      <c r="P115" s="23"/>
      <c r="Q115" s="23"/>
      <c r="R115" s="23"/>
    </row>
    <row r="116" spans="1:19" ht="15.75" customHeight="1">
      <c r="A116" s="53"/>
      <c r="B116" s="54"/>
      <c r="C116" s="66"/>
      <c r="D116" s="66"/>
      <c r="E116" s="67"/>
      <c r="F116" s="68"/>
      <c r="G116" s="81"/>
      <c r="H116" s="70"/>
      <c r="I116" s="71"/>
      <c r="J116" s="51"/>
      <c r="K116" s="23"/>
      <c r="L116" s="23"/>
      <c r="M116" s="23"/>
      <c r="N116" s="23"/>
      <c r="O116" s="23"/>
      <c r="P116" s="23"/>
      <c r="Q116" s="23"/>
      <c r="R116" s="23"/>
    </row>
    <row r="117" spans="1:19" ht="25.35" customHeight="1">
      <c r="A117" s="46">
        <f>A115+1</f>
        <v>98</v>
      </c>
      <c r="B117" s="47"/>
      <c r="C117" s="34" t="s">
        <v>251</v>
      </c>
      <c r="D117" s="34"/>
      <c r="E117" s="46">
        <v>92</v>
      </c>
      <c r="F117" s="58" t="s">
        <v>252</v>
      </c>
      <c r="G117" s="82">
        <v>7538</v>
      </c>
      <c r="H117" s="31">
        <v>1</v>
      </c>
      <c r="I117" s="32" t="s">
        <v>94</v>
      </c>
      <c r="J117" s="51"/>
      <c r="K117" s="23"/>
      <c r="L117" s="23"/>
      <c r="M117" s="72"/>
      <c r="N117" s="83"/>
      <c r="O117" s="83"/>
      <c r="P117" s="83"/>
      <c r="Q117" s="23"/>
      <c r="R117" s="23"/>
    </row>
    <row r="118" spans="1:19" ht="15.75" customHeight="1">
      <c r="A118" s="46">
        <f t="shared" ref="A118:A120" si="11">A117+1</f>
        <v>99</v>
      </c>
      <c r="B118" s="47"/>
      <c r="C118" s="34" t="s">
        <v>253</v>
      </c>
      <c r="D118" s="34"/>
      <c r="E118" s="46">
        <v>93</v>
      </c>
      <c r="F118" s="58" t="s">
        <v>254</v>
      </c>
      <c r="G118" s="84">
        <v>8544</v>
      </c>
      <c r="H118" s="31">
        <v>1</v>
      </c>
      <c r="I118" s="32" t="s">
        <v>94</v>
      </c>
      <c r="J118" s="51"/>
      <c r="K118" s="23"/>
      <c r="L118" s="23"/>
      <c r="M118" s="23"/>
      <c r="N118" s="23"/>
      <c r="O118" s="23"/>
      <c r="P118" s="23"/>
      <c r="Q118" s="23"/>
      <c r="R118" s="23"/>
    </row>
    <row r="119" spans="1:19" ht="25.35" customHeight="1">
      <c r="A119" s="46">
        <f t="shared" si="11"/>
        <v>100</v>
      </c>
      <c r="B119" s="47"/>
      <c r="C119" s="34" t="s">
        <v>255</v>
      </c>
      <c r="D119" s="34"/>
      <c r="E119" s="24">
        <v>95</v>
      </c>
      <c r="F119" s="58" t="s">
        <v>256</v>
      </c>
      <c r="G119" s="85">
        <v>11680</v>
      </c>
      <c r="H119" s="31">
        <v>1</v>
      </c>
      <c r="I119" s="32" t="s">
        <v>94</v>
      </c>
      <c r="J119" s="51"/>
      <c r="K119" s="23"/>
      <c r="L119" s="23"/>
      <c r="M119" s="23"/>
      <c r="N119" s="23"/>
      <c r="O119" s="23"/>
      <c r="P119" s="23"/>
      <c r="Q119" s="23"/>
      <c r="R119" s="23"/>
    </row>
    <row r="120" spans="1:19" ht="25.35" customHeight="1">
      <c r="A120" s="46">
        <f t="shared" si="11"/>
        <v>101</v>
      </c>
      <c r="B120" s="47"/>
      <c r="C120" s="34" t="s">
        <v>257</v>
      </c>
      <c r="D120" s="34"/>
      <c r="E120" s="24">
        <v>96</v>
      </c>
      <c r="F120" s="58" t="s">
        <v>258</v>
      </c>
      <c r="G120" s="85">
        <v>12459</v>
      </c>
      <c r="H120" s="31">
        <v>1</v>
      </c>
      <c r="I120" s="32" t="s">
        <v>94</v>
      </c>
      <c r="J120" s="51"/>
      <c r="K120" s="23"/>
      <c r="L120" s="23"/>
      <c r="M120" s="23"/>
      <c r="N120" s="23"/>
      <c r="O120" s="23"/>
      <c r="P120" s="23"/>
      <c r="Q120" s="23"/>
      <c r="R120" s="23"/>
    </row>
    <row r="121" spans="1:19" ht="15.75" customHeight="1">
      <c r="A121" s="53"/>
      <c r="B121" s="54"/>
      <c r="C121" s="37"/>
      <c r="D121" s="37"/>
      <c r="E121" s="56"/>
      <c r="F121" s="53"/>
      <c r="G121" s="30"/>
      <c r="H121" s="40"/>
      <c r="I121" s="41"/>
      <c r="J121" s="51"/>
      <c r="K121" s="23"/>
      <c r="L121" s="23"/>
      <c r="M121" s="23"/>
      <c r="N121" s="23"/>
      <c r="O121" s="23"/>
      <c r="P121" s="23"/>
      <c r="Q121" s="23"/>
      <c r="R121" s="23"/>
    </row>
    <row r="122" spans="1:19" ht="15.75" customHeight="1">
      <c r="A122" s="46"/>
      <c r="B122" s="47"/>
      <c r="C122" s="86" t="s">
        <v>259</v>
      </c>
      <c r="D122" s="55"/>
      <c r="E122" s="56"/>
      <c r="F122" s="53"/>
      <c r="G122" s="30"/>
      <c r="H122" s="40"/>
      <c r="I122" s="41"/>
      <c r="J122" s="51"/>
      <c r="K122" s="23"/>
      <c r="L122" s="23"/>
      <c r="M122" s="23"/>
      <c r="N122" s="23"/>
      <c r="O122" s="23"/>
      <c r="P122" s="23"/>
      <c r="Q122" s="23"/>
      <c r="R122" s="23"/>
    </row>
    <row r="123" spans="1:19" ht="15.75" customHeight="1">
      <c r="A123" s="46">
        <f>A120+1</f>
        <v>102</v>
      </c>
      <c r="B123" s="47"/>
      <c r="C123" s="86" t="s">
        <v>260</v>
      </c>
      <c r="D123" s="55"/>
      <c r="E123" s="56"/>
      <c r="F123" s="53"/>
      <c r="G123" s="30"/>
      <c r="H123" s="40"/>
      <c r="I123" s="41"/>
      <c r="J123" s="51"/>
      <c r="K123" s="23"/>
      <c r="L123" s="23"/>
      <c r="M123" s="23"/>
      <c r="N123" s="23"/>
      <c r="O123" s="23"/>
      <c r="P123" s="23"/>
      <c r="Q123" s="23"/>
      <c r="R123" s="23"/>
    </row>
    <row r="124" spans="1:19" ht="15.75" customHeight="1">
      <c r="A124" s="46"/>
      <c r="B124" s="47" t="s">
        <v>261</v>
      </c>
      <c r="C124" s="48" t="s">
        <v>262</v>
      </c>
      <c r="D124" s="34"/>
      <c r="E124" s="24">
        <v>129</v>
      </c>
      <c r="F124" s="87" t="s">
        <v>263</v>
      </c>
      <c r="G124" s="85">
        <v>7696</v>
      </c>
      <c r="H124" s="88">
        <v>1</v>
      </c>
      <c r="I124" s="89" t="s">
        <v>94</v>
      </c>
      <c r="J124" s="51"/>
      <c r="K124" s="23"/>
      <c r="L124" s="23"/>
      <c r="M124" s="23"/>
      <c r="N124" s="23"/>
      <c r="O124" s="23"/>
      <c r="P124" s="23"/>
      <c r="Q124" s="23"/>
      <c r="R124" s="23"/>
    </row>
    <row r="125" spans="1:19" s="17" customFormat="1" ht="58.9" customHeight="1">
      <c r="A125" s="46"/>
      <c r="B125" s="47" t="s">
        <v>264</v>
      </c>
      <c r="C125" s="90" t="s">
        <v>265</v>
      </c>
      <c r="D125" s="48"/>
      <c r="E125" s="24">
        <v>130</v>
      </c>
      <c r="F125" s="58" t="s">
        <v>266</v>
      </c>
      <c r="G125" s="85">
        <v>6858</v>
      </c>
      <c r="H125" s="31">
        <v>1</v>
      </c>
      <c r="I125" s="32" t="s">
        <v>94</v>
      </c>
      <c r="J125" s="49"/>
      <c r="K125" s="23"/>
      <c r="L125" s="23"/>
      <c r="M125" s="23"/>
      <c r="N125" s="23"/>
      <c r="O125" s="23"/>
      <c r="P125" s="23"/>
      <c r="Q125" s="23"/>
      <c r="R125" s="23"/>
      <c r="S125" s="18"/>
    </row>
    <row r="126" spans="1:19" s="17" customFormat="1" ht="47.85" customHeight="1">
      <c r="A126" s="46"/>
      <c r="B126" s="91" t="s">
        <v>264</v>
      </c>
      <c r="C126" s="90" t="s">
        <v>267</v>
      </c>
      <c r="D126" s="92"/>
      <c r="E126" s="93">
        <v>131</v>
      </c>
      <c r="F126" s="94" t="s">
        <v>268</v>
      </c>
      <c r="G126" s="95">
        <v>6140</v>
      </c>
      <c r="H126" s="96">
        <v>1</v>
      </c>
      <c r="I126" s="97" t="s">
        <v>94</v>
      </c>
      <c r="J126" s="51"/>
      <c r="K126" s="23"/>
      <c r="L126" s="23"/>
      <c r="M126" s="23"/>
      <c r="N126" s="23"/>
      <c r="O126" s="23"/>
      <c r="P126" s="23"/>
      <c r="Q126" s="23"/>
      <c r="R126" s="23"/>
      <c r="S126" s="18"/>
    </row>
    <row r="127" spans="1:19" s="92" customFormat="1" ht="15.75" customHeight="1">
      <c r="A127" s="46">
        <f>A123+1</f>
        <v>103</v>
      </c>
      <c r="B127" s="47"/>
      <c r="C127" s="86" t="s">
        <v>269</v>
      </c>
      <c r="D127" s="48"/>
      <c r="E127" s="24"/>
      <c r="F127" s="46"/>
      <c r="G127" s="30"/>
      <c r="H127" s="31"/>
      <c r="I127" s="32"/>
      <c r="J127" s="49"/>
      <c r="K127" s="98"/>
      <c r="L127" s="98"/>
      <c r="M127" s="98"/>
      <c r="N127" s="98"/>
      <c r="O127" s="98"/>
      <c r="P127" s="98"/>
      <c r="Q127" s="98"/>
      <c r="R127" s="98"/>
      <c r="S127" s="18"/>
    </row>
    <row r="128" spans="1:19" s="92" customFormat="1" ht="36.6" customHeight="1">
      <c r="A128" s="46"/>
      <c r="B128" s="47" t="s">
        <v>261</v>
      </c>
      <c r="C128" s="48" t="s">
        <v>270</v>
      </c>
      <c r="D128" s="48"/>
      <c r="E128" s="24">
        <v>131</v>
      </c>
      <c r="F128" s="58" t="s">
        <v>271</v>
      </c>
      <c r="G128" s="85">
        <v>9106</v>
      </c>
      <c r="H128" s="31">
        <v>1</v>
      </c>
      <c r="I128" s="32" t="s">
        <v>94</v>
      </c>
      <c r="J128" s="49"/>
      <c r="K128" s="98"/>
      <c r="L128" s="98"/>
      <c r="M128" s="98"/>
      <c r="N128" s="98"/>
      <c r="O128" s="98"/>
      <c r="P128" s="98"/>
      <c r="Q128" s="98"/>
      <c r="R128" s="98"/>
      <c r="S128" s="18"/>
    </row>
    <row r="129" spans="1:19" s="92" customFormat="1" ht="36.6" customHeight="1">
      <c r="A129" s="46"/>
      <c r="B129" s="47" t="s">
        <v>264</v>
      </c>
      <c r="C129" s="48" t="s">
        <v>272</v>
      </c>
      <c r="D129" s="48"/>
      <c r="E129" s="24">
        <v>132</v>
      </c>
      <c r="F129" s="58" t="s">
        <v>273</v>
      </c>
      <c r="G129" s="85">
        <v>8280</v>
      </c>
      <c r="H129" s="31">
        <v>1</v>
      </c>
      <c r="I129" s="32" t="s">
        <v>94</v>
      </c>
      <c r="J129" s="49"/>
      <c r="K129" s="98"/>
      <c r="L129" s="98"/>
      <c r="M129" s="98"/>
      <c r="N129" s="98"/>
      <c r="O129" s="98"/>
      <c r="P129" s="98"/>
      <c r="Q129" s="98" t="s">
        <v>274</v>
      </c>
      <c r="R129" s="98"/>
      <c r="S129" s="18"/>
    </row>
    <row r="130" spans="1:19" ht="25.35" customHeight="1">
      <c r="A130" s="46"/>
      <c r="B130" s="47" t="s">
        <v>275</v>
      </c>
      <c r="C130" s="99" t="s">
        <v>276</v>
      </c>
      <c r="D130" s="48"/>
      <c r="E130" s="24">
        <v>132</v>
      </c>
      <c r="F130" s="58" t="s">
        <v>277</v>
      </c>
      <c r="G130" s="85">
        <v>7244</v>
      </c>
      <c r="H130" s="31">
        <v>1</v>
      </c>
      <c r="I130" s="32" t="s">
        <v>94</v>
      </c>
      <c r="J130" s="51"/>
      <c r="K130" s="23"/>
      <c r="L130" s="23"/>
      <c r="M130" s="23"/>
      <c r="N130" s="23"/>
      <c r="O130" s="23"/>
      <c r="P130" s="23"/>
      <c r="Q130" s="79" t="s">
        <v>278</v>
      </c>
      <c r="R130" s="23"/>
    </row>
    <row r="131" spans="1:19" s="16" customFormat="1" ht="25.35" customHeight="1">
      <c r="A131" s="46">
        <f>A127+1</f>
        <v>104</v>
      </c>
      <c r="B131" s="47"/>
      <c r="C131" s="34" t="s">
        <v>279</v>
      </c>
      <c r="D131" s="34"/>
      <c r="E131" s="24">
        <v>138</v>
      </c>
      <c r="F131" s="58" t="s">
        <v>280</v>
      </c>
      <c r="G131" s="85">
        <v>7521</v>
      </c>
      <c r="H131" s="31">
        <v>1</v>
      </c>
      <c r="I131" s="32" t="s">
        <v>94</v>
      </c>
      <c r="J131" s="49"/>
      <c r="K131" s="23"/>
      <c r="L131" s="23"/>
      <c r="M131" s="23"/>
      <c r="N131" s="23"/>
      <c r="O131" s="23"/>
      <c r="P131" s="23"/>
      <c r="Q131" s="23"/>
      <c r="R131" s="23"/>
      <c r="S131" s="18"/>
    </row>
    <row r="132" spans="1:19" s="92" customFormat="1" ht="25.35" customHeight="1">
      <c r="A132" s="46">
        <f t="shared" ref="A132:A134" si="12">A131+1</f>
        <v>105</v>
      </c>
      <c r="B132" s="47"/>
      <c r="C132" s="34" t="s">
        <v>281</v>
      </c>
      <c r="D132" s="34"/>
      <c r="E132" s="24">
        <v>140</v>
      </c>
      <c r="F132" s="58" t="s">
        <v>282</v>
      </c>
      <c r="G132" s="84">
        <v>7813</v>
      </c>
      <c r="H132" s="31">
        <v>1</v>
      </c>
      <c r="I132" s="32" t="s">
        <v>94</v>
      </c>
      <c r="J132" s="49"/>
      <c r="K132" s="98"/>
      <c r="L132" s="98"/>
      <c r="M132" s="98"/>
      <c r="N132" s="98"/>
      <c r="O132" s="98"/>
      <c r="P132" s="98"/>
      <c r="Q132" s="100" t="s">
        <v>283</v>
      </c>
      <c r="R132" s="98"/>
      <c r="S132" s="18"/>
    </row>
    <row r="133" spans="1:19" s="92" customFormat="1" ht="25.35" customHeight="1">
      <c r="A133" s="46">
        <f t="shared" si="12"/>
        <v>106</v>
      </c>
      <c r="B133" s="47"/>
      <c r="C133" s="101" t="s">
        <v>284</v>
      </c>
      <c r="D133" s="34"/>
      <c r="E133" s="24">
        <v>145</v>
      </c>
      <c r="F133" s="58" t="s">
        <v>285</v>
      </c>
      <c r="G133" s="85">
        <v>6818</v>
      </c>
      <c r="H133" s="31">
        <v>1</v>
      </c>
      <c r="I133" s="32" t="s">
        <v>94</v>
      </c>
      <c r="J133" s="49"/>
      <c r="K133" s="98"/>
      <c r="L133" s="98"/>
      <c r="M133" s="98"/>
      <c r="N133" s="98"/>
      <c r="O133" s="98"/>
      <c r="P133" s="98"/>
      <c r="Q133" s="100" t="s">
        <v>286</v>
      </c>
      <c r="R133" s="98"/>
      <c r="S133" s="18"/>
    </row>
    <row r="134" spans="1:19" ht="36.6" customHeight="1">
      <c r="A134" s="46">
        <f t="shared" si="12"/>
        <v>107</v>
      </c>
      <c r="B134" s="47"/>
      <c r="C134" s="101" t="s">
        <v>287</v>
      </c>
      <c r="D134" s="34"/>
      <c r="E134" s="24">
        <v>146</v>
      </c>
      <c r="F134" s="58" t="s">
        <v>288</v>
      </c>
      <c r="G134" s="85">
        <v>7119</v>
      </c>
      <c r="H134" s="31">
        <v>1</v>
      </c>
      <c r="I134" s="32" t="s">
        <v>94</v>
      </c>
      <c r="J134" s="49"/>
      <c r="K134" s="23"/>
      <c r="L134" s="23"/>
      <c r="M134" s="23"/>
      <c r="N134" s="23"/>
      <c r="O134" s="23"/>
      <c r="P134" s="23"/>
      <c r="Q134" s="79" t="s">
        <v>289</v>
      </c>
      <c r="R134" s="23"/>
    </row>
    <row r="135" spans="1:19" s="92" customFormat="1" ht="36.6" customHeight="1">
      <c r="A135" s="46"/>
      <c r="B135" s="47"/>
      <c r="C135" s="101" t="s">
        <v>290</v>
      </c>
      <c r="D135" s="34"/>
      <c r="E135" s="24">
        <v>147</v>
      </c>
      <c r="F135" s="58" t="s">
        <v>291</v>
      </c>
      <c r="G135" s="85">
        <v>8638</v>
      </c>
      <c r="H135" s="31">
        <v>1</v>
      </c>
      <c r="I135" s="32" t="s">
        <v>94</v>
      </c>
      <c r="J135" s="49"/>
      <c r="K135" s="98"/>
      <c r="L135" s="98"/>
      <c r="M135" s="98"/>
      <c r="N135" s="98"/>
      <c r="O135" s="98"/>
      <c r="P135" s="98"/>
      <c r="Q135" s="100" t="s">
        <v>292</v>
      </c>
      <c r="R135" s="98"/>
      <c r="S135" s="18"/>
    </row>
    <row r="136" spans="1:19" ht="15.75" customHeight="1">
      <c r="A136" s="46">
        <f>A134+1</f>
        <v>108</v>
      </c>
      <c r="B136" s="47"/>
      <c r="C136" s="48" t="s">
        <v>293</v>
      </c>
      <c r="D136" s="48"/>
      <c r="E136" s="65"/>
      <c r="F136" s="46"/>
      <c r="G136" s="102"/>
      <c r="H136" s="65"/>
      <c r="I136" s="65"/>
      <c r="J136" s="51"/>
      <c r="K136" s="23"/>
      <c r="L136" s="23"/>
      <c r="M136" s="23"/>
      <c r="N136" s="23"/>
      <c r="O136" s="23"/>
      <c r="P136" s="23"/>
      <c r="Q136" s="23"/>
      <c r="R136" s="23"/>
    </row>
    <row r="137" spans="1:19" s="92" customFormat="1" ht="15.75" customHeight="1">
      <c r="A137" s="46"/>
      <c r="B137" s="47" t="s">
        <v>294</v>
      </c>
      <c r="C137" s="48" t="s">
        <v>295</v>
      </c>
      <c r="D137" s="48"/>
      <c r="E137" s="24">
        <v>149</v>
      </c>
      <c r="F137" s="58" t="s">
        <v>296</v>
      </c>
      <c r="G137" s="85">
        <v>7978</v>
      </c>
      <c r="H137" s="31">
        <v>1</v>
      </c>
      <c r="I137" s="32" t="s">
        <v>94</v>
      </c>
      <c r="J137" s="49"/>
      <c r="K137" s="98"/>
      <c r="L137" s="98"/>
      <c r="M137" s="98"/>
      <c r="N137" s="98"/>
      <c r="O137" s="98"/>
      <c r="P137" s="98"/>
      <c r="Q137" s="98"/>
      <c r="R137" s="98"/>
      <c r="S137" s="18"/>
    </row>
    <row r="138" spans="1:19" s="92" customFormat="1" ht="15.75" customHeight="1">
      <c r="A138" s="46"/>
      <c r="B138" s="47" t="s">
        <v>297</v>
      </c>
      <c r="C138" s="48" t="s">
        <v>298</v>
      </c>
      <c r="D138" s="48"/>
      <c r="E138" s="24">
        <v>149</v>
      </c>
      <c r="F138" s="58" t="s">
        <v>299</v>
      </c>
      <c r="G138" s="85">
        <v>5457</v>
      </c>
      <c r="H138" s="31">
        <v>1</v>
      </c>
      <c r="I138" s="32" t="s">
        <v>94</v>
      </c>
      <c r="J138" s="49"/>
      <c r="K138" s="98"/>
      <c r="L138" s="98"/>
      <c r="M138" s="98"/>
      <c r="N138" s="98"/>
      <c r="O138" s="98"/>
      <c r="P138" s="98"/>
      <c r="Q138" s="98"/>
      <c r="R138" s="98"/>
      <c r="S138" s="18"/>
    </row>
    <row r="139" spans="1:19" ht="15.75" customHeight="1">
      <c r="A139" s="53"/>
      <c r="B139" s="102"/>
      <c r="C139" s="102"/>
      <c r="D139" s="102"/>
      <c r="E139" s="102"/>
      <c r="F139" s="53"/>
      <c r="G139" s="102"/>
      <c r="H139" s="102"/>
      <c r="I139" s="102"/>
      <c r="J139" s="51"/>
      <c r="K139" s="23"/>
      <c r="L139" s="23"/>
      <c r="M139" s="23"/>
      <c r="N139" s="23"/>
      <c r="O139" s="23"/>
      <c r="P139" s="23"/>
      <c r="Q139" s="23"/>
      <c r="R139" s="23"/>
    </row>
    <row r="140" spans="1:19" s="92" customFormat="1" ht="36.6" customHeight="1">
      <c r="A140" s="46">
        <f>A136+1</f>
        <v>109</v>
      </c>
      <c r="B140" s="47"/>
      <c r="C140" s="34" t="s">
        <v>300</v>
      </c>
      <c r="D140" s="34"/>
      <c r="E140" s="24">
        <v>151</v>
      </c>
      <c r="F140" s="58" t="s">
        <v>301</v>
      </c>
      <c r="G140" s="84">
        <v>6407</v>
      </c>
      <c r="H140" s="31">
        <v>1</v>
      </c>
      <c r="I140" s="32" t="s">
        <v>94</v>
      </c>
      <c r="J140" s="49"/>
      <c r="K140" s="98"/>
      <c r="L140" s="98"/>
      <c r="M140" s="98"/>
      <c r="N140" s="98"/>
      <c r="O140" s="98"/>
      <c r="P140" s="98"/>
      <c r="Q140" s="98"/>
      <c r="R140" s="98"/>
      <c r="S140" s="18"/>
    </row>
    <row r="141" spans="1:19" s="92" customFormat="1" ht="36.6" customHeight="1">
      <c r="A141" s="46">
        <f>A140+1</f>
        <v>110</v>
      </c>
      <c r="B141" s="47"/>
      <c r="C141" s="34" t="s">
        <v>302</v>
      </c>
      <c r="D141" s="34"/>
      <c r="E141" s="24">
        <v>152</v>
      </c>
      <c r="F141" s="58" t="s">
        <v>303</v>
      </c>
      <c r="G141" s="84">
        <v>9014</v>
      </c>
      <c r="H141" s="31">
        <v>1</v>
      </c>
      <c r="I141" s="32" t="s">
        <v>94</v>
      </c>
      <c r="J141" s="49"/>
      <c r="K141" s="98"/>
      <c r="L141" s="98"/>
      <c r="M141" s="98"/>
      <c r="N141" s="98"/>
      <c r="O141" s="98"/>
      <c r="P141" s="98"/>
      <c r="Q141" s="98"/>
      <c r="R141" s="98"/>
      <c r="S141" s="18"/>
    </row>
    <row r="142" spans="1:19" ht="15.75" customHeight="1">
      <c r="A142" s="53"/>
      <c r="B142" s="54"/>
      <c r="C142" s="37"/>
      <c r="D142" s="37"/>
      <c r="E142" s="56"/>
      <c r="F142" s="53"/>
      <c r="G142" s="72"/>
      <c r="H142" s="40"/>
      <c r="I142" s="41"/>
      <c r="J142" s="51"/>
      <c r="K142" s="23"/>
      <c r="L142" s="23"/>
      <c r="M142" s="23"/>
      <c r="N142" s="23"/>
      <c r="O142" s="23"/>
      <c r="P142" s="23"/>
      <c r="Q142" s="23"/>
      <c r="R142" s="23"/>
    </row>
    <row r="143" spans="1:19" ht="15.75" customHeight="1">
      <c r="A143" s="46">
        <f>A141+1</f>
        <v>111</v>
      </c>
      <c r="B143" s="47"/>
      <c r="C143" s="86" t="s">
        <v>304</v>
      </c>
      <c r="D143" s="48"/>
      <c r="E143" s="65"/>
      <c r="F143" s="46"/>
      <c r="G143" s="102"/>
      <c r="H143" s="65"/>
      <c r="I143" s="65"/>
      <c r="J143" s="49"/>
      <c r="K143" s="23"/>
      <c r="L143" s="23"/>
      <c r="M143" s="23"/>
      <c r="N143" s="23"/>
      <c r="O143" s="23"/>
      <c r="P143" s="23"/>
      <c r="Q143" s="23"/>
      <c r="R143" s="23"/>
    </row>
    <row r="144" spans="1:19" ht="25.35" customHeight="1">
      <c r="A144" s="46"/>
      <c r="B144" s="47" t="s">
        <v>294</v>
      </c>
      <c r="C144" s="43" t="s">
        <v>305</v>
      </c>
      <c r="D144" s="43"/>
      <c r="E144" s="24">
        <v>152</v>
      </c>
      <c r="F144" s="80" t="s">
        <v>306</v>
      </c>
      <c r="G144" s="85">
        <v>6926</v>
      </c>
      <c r="H144" s="31">
        <v>1</v>
      </c>
      <c r="I144" s="32" t="s">
        <v>94</v>
      </c>
      <c r="J144" s="49"/>
      <c r="K144" s="23"/>
      <c r="L144" s="23"/>
      <c r="M144" s="30"/>
      <c r="N144" s="69"/>
      <c r="O144" s="69"/>
      <c r="P144" s="69"/>
      <c r="Q144" s="23"/>
      <c r="R144" s="23"/>
    </row>
    <row r="145" spans="1:19" s="92" customFormat="1" ht="25.35" customHeight="1">
      <c r="A145" s="46"/>
      <c r="B145" s="47" t="s">
        <v>297</v>
      </c>
      <c r="C145" s="43" t="s">
        <v>307</v>
      </c>
      <c r="D145" s="43"/>
      <c r="E145" s="24">
        <v>153</v>
      </c>
      <c r="F145" s="80" t="s">
        <v>308</v>
      </c>
      <c r="G145" s="85">
        <v>5877</v>
      </c>
      <c r="H145" s="31">
        <v>1</v>
      </c>
      <c r="I145" s="32" t="s">
        <v>94</v>
      </c>
      <c r="J145" s="49"/>
      <c r="K145" s="98"/>
      <c r="L145" s="98"/>
      <c r="M145" s="30"/>
      <c r="N145" s="69"/>
      <c r="O145" s="69"/>
      <c r="P145" s="69"/>
      <c r="Q145" s="98"/>
      <c r="R145" s="98"/>
      <c r="S145" s="18"/>
    </row>
    <row r="146" spans="1:19" s="92" customFormat="1" ht="15.75" customHeight="1">
      <c r="A146" s="46"/>
      <c r="B146" s="47"/>
      <c r="C146" s="43" t="s">
        <v>309</v>
      </c>
      <c r="D146" s="43"/>
      <c r="E146" s="24">
        <v>153</v>
      </c>
      <c r="F146" s="80" t="s">
        <v>310</v>
      </c>
      <c r="G146" s="85">
        <v>3756</v>
      </c>
      <c r="H146" s="31">
        <v>1</v>
      </c>
      <c r="I146" s="32" t="s">
        <v>94</v>
      </c>
      <c r="J146" s="49"/>
      <c r="K146" s="98"/>
      <c r="L146" s="98"/>
      <c r="M146" s="30"/>
      <c r="N146" s="69"/>
      <c r="O146" s="69"/>
      <c r="P146" s="69"/>
      <c r="Q146" s="98"/>
      <c r="R146" s="98"/>
      <c r="S146" s="18"/>
    </row>
    <row r="147" spans="1:19" s="92" customFormat="1" ht="15.75" customHeight="1">
      <c r="A147" s="46">
        <f>A143+1</f>
        <v>112</v>
      </c>
      <c r="B147" s="47"/>
      <c r="C147" s="48" t="s">
        <v>311</v>
      </c>
      <c r="D147" s="48"/>
      <c r="E147" s="24">
        <v>154</v>
      </c>
      <c r="F147" s="58" t="s">
        <v>312</v>
      </c>
      <c r="G147" s="85">
        <v>8280</v>
      </c>
      <c r="H147" s="31">
        <v>1</v>
      </c>
      <c r="I147" s="32" t="s">
        <v>94</v>
      </c>
      <c r="J147" s="49"/>
      <c r="K147" s="98"/>
      <c r="L147" s="98"/>
      <c r="M147" s="30"/>
      <c r="N147" s="69"/>
      <c r="O147" s="69"/>
      <c r="P147" s="69"/>
      <c r="Q147" s="98"/>
      <c r="R147" s="98"/>
      <c r="S147" s="18"/>
    </row>
    <row r="148" spans="1:19" ht="15.75" customHeight="1">
      <c r="A148" s="46">
        <f>A147+1</f>
        <v>113</v>
      </c>
      <c r="B148" s="47"/>
      <c r="C148" s="48" t="s">
        <v>313</v>
      </c>
      <c r="D148" s="48"/>
      <c r="E148" s="24">
        <v>154</v>
      </c>
      <c r="F148" s="58" t="s">
        <v>314</v>
      </c>
      <c r="G148" s="85">
        <v>6785</v>
      </c>
      <c r="H148" s="31">
        <v>1</v>
      </c>
      <c r="I148" s="32" t="s">
        <v>94</v>
      </c>
      <c r="J148" s="51"/>
      <c r="K148" s="23"/>
      <c r="L148" s="23"/>
      <c r="M148" s="30"/>
      <c r="N148" s="69"/>
      <c r="O148" s="69"/>
      <c r="P148" s="69"/>
      <c r="Q148" s="23"/>
      <c r="R148" s="23"/>
    </row>
    <row r="149" spans="1:19" ht="15.75" customHeight="1">
      <c r="A149" s="53"/>
      <c r="B149" s="54"/>
      <c r="C149" s="66"/>
      <c r="D149" s="66"/>
      <c r="E149" s="67"/>
      <c r="F149" s="68"/>
      <c r="G149" s="103"/>
      <c r="H149" s="70"/>
      <c r="I149" s="71"/>
      <c r="J149" s="51"/>
      <c r="K149" s="23"/>
      <c r="L149" s="23"/>
      <c r="M149" s="103"/>
      <c r="N149" s="103"/>
      <c r="O149" s="103"/>
      <c r="P149" s="103"/>
      <c r="Q149" s="23"/>
      <c r="R149" s="23"/>
    </row>
    <row r="150" spans="1:19" ht="15.75" customHeight="1">
      <c r="A150" s="46">
        <f>A148+1</f>
        <v>114</v>
      </c>
      <c r="B150" s="47"/>
      <c r="C150" s="43" t="s">
        <v>315</v>
      </c>
      <c r="D150" s="43"/>
      <c r="E150" s="24">
        <v>156</v>
      </c>
      <c r="F150" s="58" t="s">
        <v>316</v>
      </c>
      <c r="G150" s="51">
        <v>268</v>
      </c>
      <c r="H150" s="31">
        <v>1</v>
      </c>
      <c r="I150" s="32" t="s">
        <v>39</v>
      </c>
      <c r="J150" s="51"/>
      <c r="K150" s="23"/>
      <c r="L150" s="23"/>
      <c r="M150" s="51"/>
      <c r="N150" s="103"/>
      <c r="O150" s="103"/>
      <c r="P150" s="103"/>
      <c r="Q150" s="23"/>
      <c r="R150" s="23"/>
    </row>
    <row r="151" spans="1:19" ht="15.75" customHeight="1">
      <c r="A151" s="46">
        <f t="shared" ref="A151:A178" si="13">A150+1</f>
        <v>115</v>
      </c>
      <c r="B151" s="47"/>
      <c r="C151" s="43" t="s">
        <v>317</v>
      </c>
      <c r="D151" s="43"/>
      <c r="E151" s="24">
        <v>156</v>
      </c>
      <c r="F151" s="58" t="s">
        <v>318</v>
      </c>
      <c r="G151" s="51">
        <v>358</v>
      </c>
      <c r="H151" s="31">
        <v>1</v>
      </c>
      <c r="I151" s="32" t="s">
        <v>39</v>
      </c>
      <c r="J151" s="51"/>
      <c r="K151" s="23"/>
      <c r="L151" s="23"/>
      <c r="M151" s="51"/>
      <c r="N151" s="103"/>
      <c r="O151" s="103"/>
      <c r="P151" s="103"/>
      <c r="Q151" s="23"/>
      <c r="R151" s="23"/>
    </row>
    <row r="152" spans="1:19" ht="15.75" customHeight="1">
      <c r="A152" s="46">
        <f t="shared" si="13"/>
        <v>116</v>
      </c>
      <c r="B152" s="47"/>
      <c r="C152" s="43" t="s">
        <v>319</v>
      </c>
      <c r="D152" s="43"/>
      <c r="E152" s="24">
        <v>156</v>
      </c>
      <c r="F152" s="58" t="s">
        <v>320</v>
      </c>
      <c r="G152" s="51">
        <v>76</v>
      </c>
      <c r="H152" s="31">
        <v>1</v>
      </c>
      <c r="I152" s="32" t="s">
        <v>39</v>
      </c>
      <c r="J152" s="51"/>
      <c r="K152" s="23"/>
      <c r="L152" s="23"/>
      <c r="M152" s="51"/>
      <c r="N152" s="103"/>
      <c r="O152" s="103"/>
      <c r="P152" s="103"/>
      <c r="Q152" s="23"/>
      <c r="R152" s="23"/>
    </row>
    <row r="153" spans="1:19" ht="15.75" customHeight="1">
      <c r="A153" s="46">
        <f t="shared" si="13"/>
        <v>117</v>
      </c>
      <c r="B153" s="47"/>
      <c r="C153" s="43" t="s">
        <v>321</v>
      </c>
      <c r="D153" s="43"/>
      <c r="E153" s="24">
        <v>156</v>
      </c>
      <c r="F153" s="58" t="s">
        <v>322</v>
      </c>
      <c r="G153" s="51">
        <v>90</v>
      </c>
      <c r="H153" s="31">
        <v>1</v>
      </c>
      <c r="I153" s="32" t="s">
        <v>39</v>
      </c>
      <c r="J153" s="51"/>
      <c r="K153" s="23"/>
      <c r="L153" s="23"/>
      <c r="M153" s="51"/>
      <c r="N153" s="103"/>
      <c r="O153" s="103"/>
      <c r="P153" s="103"/>
      <c r="Q153" s="23"/>
      <c r="R153" s="23"/>
    </row>
    <row r="154" spans="1:19" ht="15.75" customHeight="1">
      <c r="A154" s="46">
        <f t="shared" si="13"/>
        <v>118</v>
      </c>
      <c r="B154" s="47"/>
      <c r="C154" s="43" t="s">
        <v>323</v>
      </c>
      <c r="D154" s="43"/>
      <c r="E154" s="24">
        <v>156</v>
      </c>
      <c r="F154" s="58" t="s">
        <v>324</v>
      </c>
      <c r="G154" s="51">
        <v>125</v>
      </c>
      <c r="H154" s="31">
        <v>1</v>
      </c>
      <c r="I154" s="32" t="s">
        <v>39</v>
      </c>
      <c r="J154" s="51"/>
      <c r="K154" s="23"/>
      <c r="L154" s="23"/>
      <c r="M154" s="51"/>
      <c r="N154" s="103"/>
      <c r="O154" s="103"/>
      <c r="P154" s="103"/>
      <c r="Q154" s="23"/>
      <c r="R154" s="23"/>
    </row>
    <row r="155" spans="1:19" ht="15.75" customHeight="1">
      <c r="A155" s="46">
        <f t="shared" si="13"/>
        <v>119</v>
      </c>
      <c r="B155" s="47"/>
      <c r="C155" s="43" t="s">
        <v>325</v>
      </c>
      <c r="D155" s="43"/>
      <c r="E155" s="24">
        <v>156</v>
      </c>
      <c r="F155" s="58" t="s">
        <v>326</v>
      </c>
      <c r="G155" s="51">
        <v>28</v>
      </c>
      <c r="H155" s="31">
        <v>1</v>
      </c>
      <c r="I155" s="32" t="s">
        <v>39</v>
      </c>
      <c r="J155" s="49"/>
      <c r="K155" s="23"/>
      <c r="L155" s="23"/>
      <c r="M155" s="51"/>
      <c r="N155" s="103"/>
      <c r="O155" s="103"/>
      <c r="P155" s="103"/>
      <c r="Q155" s="23"/>
      <c r="R155" s="23"/>
    </row>
    <row r="156" spans="1:19" ht="15.75" customHeight="1">
      <c r="A156" s="46">
        <f t="shared" si="13"/>
        <v>120</v>
      </c>
      <c r="B156" s="47"/>
      <c r="C156" s="43" t="s">
        <v>327</v>
      </c>
      <c r="D156" s="43"/>
      <c r="E156" s="24">
        <v>156</v>
      </c>
      <c r="F156" s="58" t="s">
        <v>328</v>
      </c>
      <c r="G156" s="51">
        <v>40</v>
      </c>
      <c r="H156" s="31">
        <v>1</v>
      </c>
      <c r="I156" s="32" t="s">
        <v>39</v>
      </c>
      <c r="J156" s="51"/>
      <c r="K156" s="23"/>
      <c r="L156" s="23"/>
      <c r="M156" s="51"/>
      <c r="N156" s="103"/>
      <c r="O156" s="103"/>
      <c r="P156" s="103"/>
      <c r="Q156" s="23"/>
      <c r="R156" s="23"/>
    </row>
    <row r="157" spans="1:19" ht="15.75" customHeight="1">
      <c r="A157" s="46">
        <f t="shared" si="13"/>
        <v>121</v>
      </c>
      <c r="B157" s="47"/>
      <c r="C157" s="43" t="s">
        <v>329</v>
      </c>
      <c r="D157" s="43"/>
      <c r="E157" s="24">
        <v>156</v>
      </c>
      <c r="F157" s="58" t="s">
        <v>330</v>
      </c>
      <c r="G157" s="51">
        <v>59</v>
      </c>
      <c r="H157" s="31">
        <v>1</v>
      </c>
      <c r="I157" s="32" t="s">
        <v>39</v>
      </c>
      <c r="J157" s="51"/>
      <c r="K157" s="23"/>
      <c r="L157" s="23"/>
      <c r="M157" s="51"/>
      <c r="N157" s="103"/>
      <c r="O157" s="103"/>
      <c r="P157" s="103"/>
      <c r="Q157" s="23"/>
      <c r="R157" s="23"/>
    </row>
    <row r="158" spans="1:19" ht="15.75" customHeight="1">
      <c r="A158" s="46">
        <f t="shared" si="13"/>
        <v>122</v>
      </c>
      <c r="B158" s="47"/>
      <c r="C158" s="43" t="s">
        <v>331</v>
      </c>
      <c r="D158" s="43"/>
      <c r="E158" s="24">
        <v>156</v>
      </c>
      <c r="F158" s="58" t="s">
        <v>332</v>
      </c>
      <c r="G158" s="51">
        <v>396</v>
      </c>
      <c r="H158" s="31">
        <v>1</v>
      </c>
      <c r="I158" s="32" t="s">
        <v>39</v>
      </c>
      <c r="J158" s="51"/>
      <c r="K158" s="23"/>
      <c r="L158" s="23"/>
      <c r="M158" s="51"/>
      <c r="N158" s="103"/>
      <c r="O158" s="103"/>
      <c r="P158" s="103"/>
      <c r="Q158" s="23"/>
      <c r="R158" s="23"/>
    </row>
    <row r="159" spans="1:19" ht="15.75" customHeight="1">
      <c r="A159" s="46">
        <f t="shared" si="13"/>
        <v>123</v>
      </c>
      <c r="B159" s="47"/>
      <c r="C159" s="43" t="s">
        <v>333</v>
      </c>
      <c r="D159" s="43"/>
      <c r="E159" s="24">
        <v>157</v>
      </c>
      <c r="F159" s="58" t="s">
        <v>334</v>
      </c>
      <c r="G159" s="51">
        <v>106</v>
      </c>
      <c r="H159" s="31">
        <v>1</v>
      </c>
      <c r="I159" s="32" t="s">
        <v>39</v>
      </c>
      <c r="J159" s="51"/>
      <c r="K159" s="23"/>
      <c r="L159" s="23"/>
      <c r="M159" s="51"/>
      <c r="N159" s="103"/>
      <c r="O159" s="103"/>
      <c r="P159" s="103"/>
      <c r="Q159" s="23"/>
      <c r="R159" s="23"/>
    </row>
    <row r="160" spans="1:19" ht="15.75" customHeight="1">
      <c r="A160" s="46">
        <f t="shared" si="13"/>
        <v>124</v>
      </c>
      <c r="B160" s="47"/>
      <c r="C160" s="43" t="s">
        <v>335</v>
      </c>
      <c r="D160" s="43"/>
      <c r="E160" s="24">
        <v>157</v>
      </c>
      <c r="F160" s="58" t="s">
        <v>336</v>
      </c>
      <c r="G160" s="51">
        <v>25</v>
      </c>
      <c r="H160" s="31">
        <v>1</v>
      </c>
      <c r="I160" s="32" t="s">
        <v>39</v>
      </c>
      <c r="J160" s="51"/>
      <c r="K160" s="23"/>
      <c r="L160" s="23"/>
      <c r="M160" s="51"/>
      <c r="N160" s="103"/>
      <c r="O160" s="103"/>
      <c r="P160" s="103"/>
      <c r="Q160" s="23"/>
      <c r="R160" s="23"/>
    </row>
    <row r="161" spans="1:18" ht="15.75" customHeight="1">
      <c r="A161" s="46">
        <f t="shared" si="13"/>
        <v>125</v>
      </c>
      <c r="B161" s="47"/>
      <c r="C161" s="43" t="s">
        <v>337</v>
      </c>
      <c r="D161" s="43"/>
      <c r="E161" s="24">
        <v>157</v>
      </c>
      <c r="F161" s="58" t="s">
        <v>338</v>
      </c>
      <c r="G161" s="51">
        <v>45</v>
      </c>
      <c r="H161" s="31">
        <v>1</v>
      </c>
      <c r="I161" s="32" t="s">
        <v>39</v>
      </c>
      <c r="J161" s="51"/>
      <c r="K161" s="23"/>
      <c r="L161" s="23"/>
      <c r="M161" s="51"/>
      <c r="N161" s="103"/>
      <c r="O161" s="103"/>
      <c r="P161" s="103"/>
      <c r="Q161" s="23"/>
      <c r="R161" s="23"/>
    </row>
    <row r="162" spans="1:18" ht="15.75" customHeight="1">
      <c r="A162" s="46">
        <f t="shared" si="13"/>
        <v>126</v>
      </c>
      <c r="B162" s="47"/>
      <c r="C162" s="43" t="s">
        <v>339</v>
      </c>
      <c r="D162" s="43"/>
      <c r="E162" s="24">
        <v>157</v>
      </c>
      <c r="F162" s="58" t="s">
        <v>340</v>
      </c>
      <c r="G162" s="51">
        <v>239</v>
      </c>
      <c r="H162" s="31">
        <v>1</v>
      </c>
      <c r="I162" s="32" t="s">
        <v>39</v>
      </c>
      <c r="J162" s="51"/>
      <c r="K162" s="23"/>
      <c r="L162" s="23"/>
      <c r="M162" s="51"/>
      <c r="N162" s="103"/>
      <c r="O162" s="103"/>
      <c r="P162" s="103"/>
      <c r="Q162" s="23"/>
      <c r="R162" s="23"/>
    </row>
    <row r="163" spans="1:18" ht="15.75" customHeight="1">
      <c r="A163" s="46">
        <f t="shared" si="13"/>
        <v>127</v>
      </c>
      <c r="B163" s="47"/>
      <c r="C163" s="43" t="s">
        <v>341</v>
      </c>
      <c r="D163" s="43"/>
      <c r="E163" s="24">
        <v>157</v>
      </c>
      <c r="F163" s="58" t="s">
        <v>342</v>
      </c>
      <c r="G163" s="51">
        <v>85</v>
      </c>
      <c r="H163" s="31">
        <v>1</v>
      </c>
      <c r="I163" s="32" t="s">
        <v>39</v>
      </c>
      <c r="J163" s="51"/>
      <c r="K163" s="23"/>
      <c r="L163" s="23"/>
      <c r="M163" s="51"/>
      <c r="N163" s="103"/>
      <c r="O163" s="103"/>
      <c r="P163" s="103"/>
      <c r="Q163" s="23"/>
      <c r="R163" s="23"/>
    </row>
    <row r="164" spans="1:18" ht="15.75" customHeight="1">
      <c r="A164" s="46">
        <f t="shared" si="13"/>
        <v>128</v>
      </c>
      <c r="B164" s="47"/>
      <c r="C164" s="43" t="s">
        <v>343</v>
      </c>
      <c r="D164" s="43"/>
      <c r="E164" s="24">
        <v>157</v>
      </c>
      <c r="F164" s="58" t="s">
        <v>344</v>
      </c>
      <c r="G164" s="51">
        <v>100</v>
      </c>
      <c r="H164" s="31">
        <v>1</v>
      </c>
      <c r="I164" s="32" t="s">
        <v>39</v>
      </c>
      <c r="J164" s="51"/>
      <c r="K164" s="23"/>
      <c r="L164" s="23"/>
      <c r="M164" s="51"/>
      <c r="N164" s="103"/>
      <c r="O164" s="103"/>
      <c r="P164" s="103"/>
      <c r="Q164" s="23"/>
      <c r="R164" s="23"/>
    </row>
    <row r="165" spans="1:18" ht="15.75" customHeight="1">
      <c r="A165" s="46">
        <f t="shared" si="13"/>
        <v>129</v>
      </c>
      <c r="B165" s="47"/>
      <c r="C165" s="43" t="s">
        <v>345</v>
      </c>
      <c r="D165" s="43"/>
      <c r="E165" s="24">
        <v>157</v>
      </c>
      <c r="F165" s="58" t="s">
        <v>346</v>
      </c>
      <c r="G165" s="51">
        <v>36</v>
      </c>
      <c r="H165" s="31">
        <v>1</v>
      </c>
      <c r="I165" s="32" t="s">
        <v>39</v>
      </c>
      <c r="J165" s="51"/>
      <c r="K165" s="23"/>
      <c r="L165" s="23"/>
      <c r="M165" s="51"/>
      <c r="N165" s="103"/>
      <c r="O165" s="103"/>
      <c r="P165" s="103"/>
      <c r="Q165" s="23"/>
      <c r="R165" s="23"/>
    </row>
    <row r="166" spans="1:18" ht="15.75" customHeight="1">
      <c r="A166" s="46">
        <f t="shared" si="13"/>
        <v>130</v>
      </c>
      <c r="B166" s="47"/>
      <c r="C166" s="43" t="s">
        <v>347</v>
      </c>
      <c r="D166" s="43"/>
      <c r="E166" s="24">
        <v>157</v>
      </c>
      <c r="F166" s="58" t="s">
        <v>348</v>
      </c>
      <c r="G166" s="51">
        <v>52</v>
      </c>
      <c r="H166" s="31">
        <v>1</v>
      </c>
      <c r="I166" s="32" t="s">
        <v>39</v>
      </c>
      <c r="J166" s="51"/>
      <c r="K166" s="23"/>
      <c r="L166" s="23"/>
      <c r="M166" s="51"/>
      <c r="N166" s="103"/>
      <c r="O166" s="103"/>
      <c r="P166" s="103"/>
      <c r="Q166" s="23"/>
      <c r="R166" s="23"/>
    </row>
    <row r="167" spans="1:18" ht="15.75" customHeight="1">
      <c r="A167" s="46">
        <f t="shared" si="13"/>
        <v>131</v>
      </c>
      <c r="B167" s="47"/>
      <c r="C167" s="43" t="s">
        <v>349</v>
      </c>
      <c r="D167" s="43"/>
      <c r="E167" s="24">
        <v>157</v>
      </c>
      <c r="F167" s="58" t="s">
        <v>350</v>
      </c>
      <c r="G167" s="51">
        <v>346</v>
      </c>
      <c r="H167" s="31">
        <v>1</v>
      </c>
      <c r="I167" s="32" t="s">
        <v>39</v>
      </c>
      <c r="J167" s="51"/>
      <c r="K167" s="23"/>
      <c r="L167" s="23"/>
      <c r="M167" s="51"/>
      <c r="N167" s="103"/>
      <c r="O167" s="103"/>
      <c r="P167" s="103"/>
      <c r="Q167" s="23"/>
      <c r="R167" s="23"/>
    </row>
    <row r="168" spans="1:18" ht="15.75" customHeight="1">
      <c r="A168" s="46">
        <f t="shared" si="13"/>
        <v>132</v>
      </c>
      <c r="B168" s="47"/>
      <c r="C168" s="43" t="s">
        <v>351</v>
      </c>
      <c r="D168" s="43"/>
      <c r="E168" s="24">
        <v>158</v>
      </c>
      <c r="F168" s="58" t="s">
        <v>352</v>
      </c>
      <c r="G168" s="51">
        <v>1683</v>
      </c>
      <c r="H168" s="31">
        <v>1</v>
      </c>
      <c r="I168" s="32" t="s">
        <v>39</v>
      </c>
      <c r="J168" s="51"/>
      <c r="K168" s="23"/>
      <c r="L168" s="23"/>
      <c r="M168" s="51"/>
      <c r="N168" s="103"/>
      <c r="O168" s="103"/>
      <c r="P168" s="103"/>
      <c r="Q168" s="23"/>
      <c r="R168" s="23"/>
    </row>
    <row r="169" spans="1:18" ht="15.75" customHeight="1">
      <c r="A169" s="46">
        <f t="shared" si="13"/>
        <v>133</v>
      </c>
      <c r="B169" s="47"/>
      <c r="C169" s="43" t="s">
        <v>353</v>
      </c>
      <c r="D169" s="43"/>
      <c r="E169" s="24">
        <v>158</v>
      </c>
      <c r="F169" s="58" t="s">
        <v>354</v>
      </c>
      <c r="G169" s="51">
        <v>1321</v>
      </c>
      <c r="H169" s="31">
        <v>1</v>
      </c>
      <c r="I169" s="32" t="s">
        <v>39</v>
      </c>
      <c r="J169" s="51"/>
      <c r="K169" s="23"/>
      <c r="L169" s="23"/>
      <c r="M169" s="51"/>
      <c r="N169" s="103"/>
      <c r="O169" s="103"/>
      <c r="P169" s="103"/>
      <c r="Q169" s="23"/>
      <c r="R169" s="23"/>
    </row>
    <row r="170" spans="1:18" ht="15.75" customHeight="1">
      <c r="A170" s="46">
        <f t="shared" si="13"/>
        <v>134</v>
      </c>
      <c r="B170" s="47"/>
      <c r="C170" s="43" t="s">
        <v>355</v>
      </c>
      <c r="D170" s="43"/>
      <c r="E170" s="24">
        <v>158</v>
      </c>
      <c r="F170" s="58" t="s">
        <v>356</v>
      </c>
      <c r="G170" s="51">
        <v>3622</v>
      </c>
      <c r="H170" s="31">
        <v>1</v>
      </c>
      <c r="I170" s="32" t="s">
        <v>39</v>
      </c>
      <c r="J170" s="51"/>
      <c r="K170" s="23"/>
      <c r="L170" s="23"/>
      <c r="M170" s="51"/>
      <c r="N170" s="103"/>
      <c r="O170" s="103"/>
      <c r="P170" s="103"/>
      <c r="Q170" s="23"/>
      <c r="R170" s="23"/>
    </row>
    <row r="171" spans="1:18" ht="15.75" customHeight="1">
      <c r="A171" s="46">
        <f t="shared" si="13"/>
        <v>135</v>
      </c>
      <c r="B171" s="47"/>
      <c r="C171" s="43" t="s">
        <v>357</v>
      </c>
      <c r="D171" s="43"/>
      <c r="E171" s="24">
        <v>158</v>
      </c>
      <c r="F171" s="58" t="s">
        <v>358</v>
      </c>
      <c r="G171" s="51">
        <v>219</v>
      </c>
      <c r="H171" s="31">
        <v>1</v>
      </c>
      <c r="I171" s="32" t="s">
        <v>39</v>
      </c>
      <c r="J171" s="51"/>
      <c r="K171" s="23"/>
      <c r="L171" s="23"/>
      <c r="M171" s="51"/>
      <c r="N171" s="103"/>
      <c r="O171" s="103"/>
      <c r="P171" s="103"/>
      <c r="Q171" s="23"/>
      <c r="R171" s="23"/>
    </row>
    <row r="172" spans="1:18" ht="15.75" customHeight="1">
      <c r="A172" s="46">
        <f t="shared" si="13"/>
        <v>136</v>
      </c>
      <c r="B172" s="47"/>
      <c r="C172" s="43" t="s">
        <v>359</v>
      </c>
      <c r="D172" s="43"/>
      <c r="E172" s="24">
        <v>158</v>
      </c>
      <c r="F172" s="58" t="s">
        <v>360</v>
      </c>
      <c r="G172" s="51">
        <v>239</v>
      </c>
      <c r="H172" s="31">
        <v>1</v>
      </c>
      <c r="I172" s="32" t="s">
        <v>39</v>
      </c>
      <c r="J172" s="51"/>
      <c r="K172" s="23"/>
      <c r="L172" s="23"/>
      <c r="M172" s="51"/>
      <c r="N172" s="103"/>
      <c r="O172" s="103"/>
      <c r="P172" s="103"/>
      <c r="Q172" s="23"/>
      <c r="R172" s="23"/>
    </row>
    <row r="173" spans="1:18" ht="15.75" customHeight="1">
      <c r="A173" s="46">
        <f t="shared" si="13"/>
        <v>137</v>
      </c>
      <c r="B173" s="47"/>
      <c r="C173" s="43" t="s">
        <v>361</v>
      </c>
      <c r="D173" s="43"/>
      <c r="E173" s="24">
        <v>130</v>
      </c>
      <c r="F173" s="58" t="s">
        <v>362</v>
      </c>
      <c r="G173" s="51">
        <v>154</v>
      </c>
      <c r="H173" s="31">
        <v>1</v>
      </c>
      <c r="I173" s="32" t="s">
        <v>39</v>
      </c>
      <c r="J173" s="51"/>
      <c r="K173" s="23"/>
      <c r="L173" s="23"/>
      <c r="M173" s="51"/>
      <c r="N173" s="103"/>
      <c r="O173" s="103"/>
      <c r="P173" s="103"/>
      <c r="Q173" s="23"/>
      <c r="R173" s="23"/>
    </row>
    <row r="174" spans="1:18" ht="15.75" customHeight="1">
      <c r="A174" s="46">
        <f t="shared" si="13"/>
        <v>138</v>
      </c>
      <c r="B174" s="47"/>
      <c r="C174" s="43" t="s">
        <v>363</v>
      </c>
      <c r="D174" s="43"/>
      <c r="E174" s="24">
        <v>130</v>
      </c>
      <c r="F174" s="58" t="s">
        <v>364</v>
      </c>
      <c r="G174" s="51">
        <v>185</v>
      </c>
      <c r="H174" s="31">
        <v>1</v>
      </c>
      <c r="I174" s="32" t="s">
        <v>39</v>
      </c>
      <c r="J174" s="51"/>
      <c r="K174" s="23"/>
      <c r="L174" s="23"/>
      <c r="M174" s="51"/>
      <c r="N174" s="103"/>
      <c r="O174" s="103"/>
      <c r="P174" s="103"/>
      <c r="Q174" s="23"/>
      <c r="R174" s="23"/>
    </row>
    <row r="175" spans="1:18" ht="15.75" customHeight="1">
      <c r="A175" s="46">
        <f t="shared" si="13"/>
        <v>139</v>
      </c>
      <c r="B175" s="47"/>
      <c r="C175" s="43" t="s">
        <v>365</v>
      </c>
      <c r="D175" s="43"/>
      <c r="E175" s="24">
        <v>159</v>
      </c>
      <c r="F175" s="58" t="s">
        <v>366</v>
      </c>
      <c r="G175" s="51">
        <v>3967</v>
      </c>
      <c r="H175" s="31">
        <v>1</v>
      </c>
      <c r="I175" s="32" t="s">
        <v>39</v>
      </c>
      <c r="J175" s="51"/>
      <c r="K175" s="23"/>
      <c r="L175" s="23"/>
      <c r="M175" s="51"/>
      <c r="N175" s="103"/>
      <c r="O175" s="103"/>
      <c r="P175" s="103"/>
      <c r="Q175" s="23"/>
      <c r="R175" s="23"/>
    </row>
    <row r="176" spans="1:18" ht="15.75" customHeight="1">
      <c r="A176" s="46">
        <f t="shared" si="13"/>
        <v>140</v>
      </c>
      <c r="B176" s="47"/>
      <c r="C176" s="43" t="s">
        <v>367</v>
      </c>
      <c r="D176" s="43"/>
      <c r="E176" s="24">
        <v>160</v>
      </c>
      <c r="F176" s="58" t="s">
        <v>368</v>
      </c>
      <c r="G176" s="51">
        <v>205</v>
      </c>
      <c r="H176" s="31">
        <v>1</v>
      </c>
      <c r="I176" s="32" t="s">
        <v>39</v>
      </c>
      <c r="J176" s="51"/>
      <c r="K176" s="23"/>
      <c r="L176" s="23"/>
      <c r="M176" s="51"/>
      <c r="N176" s="103"/>
      <c r="O176" s="103"/>
      <c r="P176" s="103"/>
      <c r="Q176" s="23"/>
      <c r="R176" s="23"/>
    </row>
    <row r="177" spans="1:18" ht="15.75" customHeight="1">
      <c r="A177" s="46">
        <f t="shared" si="13"/>
        <v>141</v>
      </c>
      <c r="B177" s="47"/>
      <c r="C177" s="43" t="s">
        <v>369</v>
      </c>
      <c r="D177" s="43"/>
      <c r="E177" s="24">
        <v>160</v>
      </c>
      <c r="F177" s="58" t="s">
        <v>370</v>
      </c>
      <c r="G177" s="51">
        <v>52</v>
      </c>
      <c r="H177" s="31">
        <v>1</v>
      </c>
      <c r="I177" s="32" t="s">
        <v>39</v>
      </c>
      <c r="J177" s="51"/>
      <c r="K177" s="23"/>
      <c r="L177" s="23"/>
      <c r="M177" s="51"/>
      <c r="N177" s="103"/>
      <c r="O177" s="103"/>
      <c r="P177" s="103"/>
      <c r="Q177" s="23"/>
      <c r="R177" s="23"/>
    </row>
    <row r="178" spans="1:18" ht="15.75" customHeight="1">
      <c r="A178" s="46">
        <f t="shared" si="13"/>
        <v>142</v>
      </c>
      <c r="B178" s="47"/>
      <c r="C178" s="43" t="s">
        <v>371</v>
      </c>
      <c r="D178" s="43"/>
      <c r="E178" s="24">
        <v>160</v>
      </c>
      <c r="F178" s="58" t="s">
        <v>372</v>
      </c>
      <c r="G178" s="51">
        <v>66</v>
      </c>
      <c r="H178" s="31">
        <v>1</v>
      </c>
      <c r="I178" s="32" t="s">
        <v>39</v>
      </c>
      <c r="J178" s="51"/>
      <c r="K178" s="23"/>
      <c r="L178" s="23"/>
      <c r="M178" s="51"/>
      <c r="N178" s="103"/>
      <c r="O178" s="103"/>
      <c r="P178" s="103"/>
      <c r="Q178" s="23"/>
      <c r="R178" s="23"/>
    </row>
    <row r="179" spans="1:18" ht="15.75" customHeight="1">
      <c r="A179" s="53"/>
      <c r="B179" s="54"/>
      <c r="C179" s="45"/>
      <c r="D179" s="45"/>
      <c r="E179" s="56"/>
      <c r="F179" s="57"/>
      <c r="G179" s="51"/>
      <c r="H179" s="40"/>
      <c r="I179" s="41"/>
      <c r="J179" s="51"/>
      <c r="K179" s="23"/>
      <c r="L179" s="23"/>
      <c r="M179" s="23"/>
      <c r="N179" s="23"/>
      <c r="O179" s="23"/>
      <c r="P179" s="23"/>
      <c r="Q179" s="23"/>
      <c r="R179" s="23"/>
    </row>
    <row r="180" spans="1:18" ht="15.75" customHeight="1">
      <c r="A180" s="46">
        <f>A178+1</f>
        <v>143</v>
      </c>
      <c r="B180" s="47"/>
      <c r="C180" s="104" t="s">
        <v>373</v>
      </c>
      <c r="D180" s="104"/>
      <c r="E180" s="24">
        <v>161</v>
      </c>
      <c r="F180" s="58" t="s">
        <v>374</v>
      </c>
      <c r="G180" s="51">
        <v>215</v>
      </c>
      <c r="H180" s="31">
        <v>1</v>
      </c>
      <c r="I180" s="32" t="s">
        <v>138</v>
      </c>
      <c r="J180" s="51"/>
      <c r="K180" s="23"/>
      <c r="L180" s="23"/>
      <c r="M180" s="51"/>
      <c r="N180" s="103"/>
      <c r="O180" s="103"/>
      <c r="P180" s="103"/>
      <c r="Q180" s="23"/>
      <c r="R180" s="23"/>
    </row>
    <row r="181" spans="1:18" s="18" customFormat="1" ht="99.75">
      <c r="A181" s="74">
        <f t="shared" ref="A181:A183" si="14">A180+1</f>
        <v>144</v>
      </c>
      <c r="B181" s="105"/>
      <c r="C181" s="106" t="s">
        <v>375</v>
      </c>
      <c r="D181" s="107"/>
      <c r="E181" s="108">
        <v>102</v>
      </c>
      <c r="F181" s="74" t="s">
        <v>376</v>
      </c>
      <c r="G181" s="109">
        <v>3727</v>
      </c>
      <c r="H181" s="110">
        <v>1</v>
      </c>
      <c r="I181" s="111" t="s">
        <v>138</v>
      </c>
      <c r="J181" s="77"/>
      <c r="K181" s="109"/>
      <c r="L181" s="44"/>
      <c r="M181" s="44"/>
      <c r="N181" s="44"/>
      <c r="O181" s="44"/>
      <c r="P181" s="44"/>
      <c r="Q181" s="44"/>
      <c r="R181" s="44"/>
    </row>
    <row r="182" spans="1:18" s="18" customFormat="1" ht="25.35" customHeight="1">
      <c r="A182" s="74">
        <f t="shared" si="14"/>
        <v>145</v>
      </c>
      <c r="B182" s="112"/>
      <c r="C182" s="113" t="s">
        <v>377</v>
      </c>
      <c r="D182" s="113"/>
      <c r="E182" s="114">
        <v>134</v>
      </c>
      <c r="F182" s="115" t="s">
        <v>378</v>
      </c>
      <c r="G182" s="30">
        <v>139</v>
      </c>
      <c r="H182" s="116">
        <v>1</v>
      </c>
      <c r="I182" s="117" t="s">
        <v>94</v>
      </c>
      <c r="J182" s="82"/>
      <c r="K182" s="118" t="s">
        <v>379</v>
      </c>
      <c r="L182" s="44"/>
      <c r="M182" s="44"/>
      <c r="N182" s="44"/>
      <c r="O182" s="44"/>
      <c r="P182" s="44"/>
      <c r="Q182" s="44"/>
      <c r="R182" s="44"/>
    </row>
    <row r="183" spans="1:18" ht="25.35" customHeight="1">
      <c r="A183" s="74">
        <f t="shared" si="14"/>
        <v>146</v>
      </c>
      <c r="B183" s="65"/>
      <c r="C183" s="48" t="s">
        <v>380</v>
      </c>
      <c r="D183" s="48"/>
      <c r="E183" s="24">
        <v>167</v>
      </c>
      <c r="F183" s="58" t="s">
        <v>381</v>
      </c>
      <c r="G183" s="30">
        <v>410</v>
      </c>
      <c r="H183" s="31">
        <v>1</v>
      </c>
      <c r="I183" s="32" t="s">
        <v>94</v>
      </c>
      <c r="J183" s="72"/>
      <c r="K183" s="23"/>
      <c r="L183" s="23"/>
      <c r="M183" s="23"/>
      <c r="N183" s="23"/>
      <c r="O183" s="23"/>
      <c r="P183" s="23"/>
      <c r="Q183" s="23"/>
      <c r="R183" s="23"/>
    </row>
    <row r="184" spans="1:18" ht="15.75" customHeight="1">
      <c r="B184" s="102"/>
      <c r="J184" s="72"/>
      <c r="K184" s="23"/>
      <c r="L184" s="23"/>
      <c r="M184" s="23"/>
      <c r="N184" s="23"/>
      <c r="O184" s="23"/>
      <c r="P184" s="23"/>
      <c r="Q184" s="23"/>
      <c r="R184" s="23"/>
    </row>
    <row r="185" spans="1:18" ht="15.75" customHeight="1">
      <c r="A185" s="119">
        <f>A183+1</f>
        <v>147</v>
      </c>
      <c r="B185" s="65"/>
      <c r="C185" s="48" t="s">
        <v>382</v>
      </c>
      <c r="D185" s="48"/>
      <c r="E185" s="24">
        <v>169</v>
      </c>
      <c r="F185" s="120" t="s">
        <v>383</v>
      </c>
      <c r="G185" s="121">
        <v>34</v>
      </c>
      <c r="H185" s="78">
        <v>1</v>
      </c>
      <c r="I185" s="32" t="s">
        <v>97</v>
      </c>
      <c r="J185" s="72"/>
      <c r="K185" s="23"/>
      <c r="L185" s="23"/>
      <c r="M185" s="23"/>
      <c r="N185" s="23"/>
      <c r="O185" s="23"/>
      <c r="P185" s="23"/>
      <c r="Q185" s="23"/>
      <c r="R185" s="23"/>
    </row>
    <row r="186" spans="1:18" ht="15.75" customHeight="1">
      <c r="A186" s="46">
        <f t="shared" ref="A186:A192" si="15">A185+1</f>
        <v>148</v>
      </c>
      <c r="B186" s="65"/>
      <c r="C186" s="43" t="s">
        <v>384</v>
      </c>
      <c r="D186" s="43"/>
      <c r="E186" s="24">
        <v>169</v>
      </c>
      <c r="F186" s="58" t="s">
        <v>385</v>
      </c>
      <c r="G186" s="51">
        <v>332</v>
      </c>
      <c r="H186" s="31">
        <v>1</v>
      </c>
      <c r="I186" s="32" t="s">
        <v>97</v>
      </c>
      <c r="J186" s="72"/>
      <c r="K186" s="23"/>
      <c r="L186" s="23"/>
      <c r="M186" s="23"/>
      <c r="N186" s="23"/>
      <c r="O186" s="23"/>
      <c r="P186" s="23"/>
      <c r="Q186" s="23"/>
      <c r="R186" s="23"/>
    </row>
    <row r="187" spans="1:18" ht="15.75" customHeight="1">
      <c r="A187" s="46">
        <f t="shared" si="15"/>
        <v>149</v>
      </c>
      <c r="B187" s="65"/>
      <c r="C187" s="43" t="s">
        <v>386</v>
      </c>
      <c r="D187" s="43"/>
      <c r="E187" s="24">
        <v>169</v>
      </c>
      <c r="F187" s="58" t="s">
        <v>387</v>
      </c>
      <c r="G187" s="51">
        <v>5</v>
      </c>
      <c r="H187" s="31">
        <v>1</v>
      </c>
      <c r="I187" s="32" t="s">
        <v>197</v>
      </c>
      <c r="J187" s="72"/>
      <c r="K187" s="23"/>
      <c r="L187" s="23"/>
      <c r="M187" s="23"/>
      <c r="N187" s="23"/>
      <c r="O187" s="23"/>
      <c r="P187" s="23"/>
      <c r="Q187" s="23"/>
      <c r="R187" s="23"/>
    </row>
    <row r="188" spans="1:18" ht="25.35" customHeight="1">
      <c r="A188" s="46">
        <f t="shared" si="15"/>
        <v>150</v>
      </c>
      <c r="B188" s="65"/>
      <c r="C188" s="43" t="s">
        <v>388</v>
      </c>
      <c r="D188" s="43"/>
      <c r="E188" s="24">
        <v>170</v>
      </c>
      <c r="F188" s="58" t="s">
        <v>389</v>
      </c>
      <c r="G188" s="30">
        <v>2955</v>
      </c>
      <c r="H188" s="31">
        <v>1</v>
      </c>
      <c r="I188" s="32" t="s">
        <v>94</v>
      </c>
      <c r="J188" s="72"/>
      <c r="K188" s="23"/>
      <c r="L188" s="23"/>
      <c r="M188" s="30"/>
      <c r="N188" s="69"/>
      <c r="O188" s="69"/>
      <c r="P188" s="69"/>
      <c r="Q188" s="23"/>
      <c r="R188" s="23"/>
    </row>
    <row r="189" spans="1:18" ht="25.35" customHeight="1">
      <c r="A189" s="46">
        <f t="shared" si="15"/>
        <v>151</v>
      </c>
      <c r="B189" s="65"/>
      <c r="C189" s="43" t="s">
        <v>390</v>
      </c>
      <c r="D189" s="43"/>
      <c r="E189" s="24">
        <v>170</v>
      </c>
      <c r="F189" s="58" t="s">
        <v>391</v>
      </c>
      <c r="G189" s="30">
        <v>3313</v>
      </c>
      <c r="H189" s="31">
        <v>1</v>
      </c>
      <c r="I189" s="32" t="s">
        <v>94</v>
      </c>
      <c r="J189" s="72"/>
      <c r="K189" s="23"/>
      <c r="L189" s="23"/>
      <c r="M189" s="30"/>
      <c r="N189" s="69"/>
      <c r="O189" s="69"/>
      <c r="P189" s="69"/>
      <c r="Q189" s="23"/>
      <c r="R189" s="23"/>
    </row>
    <row r="190" spans="1:18" ht="25.35" customHeight="1">
      <c r="A190" s="46">
        <f t="shared" si="15"/>
        <v>152</v>
      </c>
      <c r="B190" s="65"/>
      <c r="C190" s="43" t="s">
        <v>392</v>
      </c>
      <c r="D190" s="43"/>
      <c r="E190" s="24">
        <v>171</v>
      </c>
      <c r="F190" s="58" t="s">
        <v>393</v>
      </c>
      <c r="G190" s="30">
        <v>641</v>
      </c>
      <c r="H190" s="31">
        <v>1</v>
      </c>
      <c r="I190" s="32" t="s">
        <v>94</v>
      </c>
      <c r="J190" s="72"/>
      <c r="K190" s="23"/>
      <c r="L190" s="23"/>
      <c r="M190" s="30"/>
      <c r="N190" s="69"/>
      <c r="O190" s="69"/>
      <c r="P190" s="69"/>
      <c r="Q190" s="23"/>
      <c r="R190" s="23"/>
    </row>
    <row r="191" spans="1:18" ht="15.75" customHeight="1">
      <c r="A191" s="46">
        <f t="shared" si="15"/>
        <v>153</v>
      </c>
      <c r="B191" s="65"/>
      <c r="C191" s="48" t="s">
        <v>394</v>
      </c>
      <c r="D191" s="48"/>
      <c r="E191" s="24">
        <v>171</v>
      </c>
      <c r="F191" s="58" t="s">
        <v>395</v>
      </c>
      <c r="G191" s="30">
        <v>311</v>
      </c>
      <c r="H191" s="31">
        <v>1</v>
      </c>
      <c r="I191" s="32" t="s">
        <v>94</v>
      </c>
      <c r="J191" s="72"/>
      <c r="K191" s="23"/>
      <c r="L191" s="23"/>
      <c r="M191" s="30"/>
      <c r="N191" s="69"/>
      <c r="O191" s="69"/>
      <c r="P191" s="69"/>
      <c r="Q191" s="23"/>
      <c r="R191" s="23"/>
    </row>
    <row r="192" spans="1:18" ht="25.35" customHeight="1">
      <c r="A192" s="46">
        <f t="shared" si="15"/>
        <v>154</v>
      </c>
      <c r="B192" s="65"/>
      <c r="C192" s="48" t="s">
        <v>396</v>
      </c>
      <c r="D192" s="48"/>
      <c r="E192" s="24">
        <v>171</v>
      </c>
      <c r="F192" s="58" t="s">
        <v>397</v>
      </c>
      <c r="G192" s="30">
        <v>1145</v>
      </c>
      <c r="H192" s="31">
        <v>1</v>
      </c>
      <c r="I192" s="32" t="s">
        <v>94</v>
      </c>
      <c r="J192" s="72"/>
      <c r="K192" s="23"/>
      <c r="L192" s="23"/>
      <c r="M192" s="30"/>
      <c r="N192" s="69"/>
      <c r="O192" s="69"/>
      <c r="P192" s="69"/>
      <c r="Q192" s="23"/>
      <c r="R192" s="23"/>
    </row>
    <row r="193" spans="1:18" ht="15.75" customHeight="1">
      <c r="A193" s="53"/>
      <c r="B193" s="102"/>
      <c r="C193" s="66"/>
      <c r="D193" s="66"/>
      <c r="E193" s="67"/>
      <c r="F193" s="68"/>
      <c r="G193" s="69"/>
      <c r="H193" s="70"/>
      <c r="I193" s="71"/>
      <c r="J193" s="72"/>
      <c r="K193" s="23"/>
      <c r="L193" s="23"/>
      <c r="M193" s="69"/>
      <c r="N193" s="69"/>
      <c r="O193" s="69"/>
      <c r="P193" s="69"/>
      <c r="Q193" s="23"/>
      <c r="R193" s="23"/>
    </row>
    <row r="194" spans="1:18" ht="25.35" customHeight="1">
      <c r="A194" s="46">
        <f>A192+1</f>
        <v>155</v>
      </c>
      <c r="B194" s="65"/>
      <c r="C194" s="48" t="s">
        <v>398</v>
      </c>
      <c r="D194" s="48"/>
      <c r="E194" s="122">
        <v>177</v>
      </c>
      <c r="F194" s="29" t="s">
        <v>399</v>
      </c>
      <c r="G194" s="72">
        <v>146</v>
      </c>
      <c r="H194" s="31">
        <v>1</v>
      </c>
      <c r="I194" s="32" t="s">
        <v>400</v>
      </c>
      <c r="J194" s="72"/>
      <c r="K194" s="23"/>
      <c r="L194" s="23"/>
      <c r="M194" s="72"/>
      <c r="N194" s="83"/>
      <c r="O194" s="83"/>
      <c r="P194" s="83"/>
      <c r="Q194" s="23"/>
      <c r="R194" s="23"/>
    </row>
    <row r="195" spans="1:18" ht="15.75" customHeight="1">
      <c r="A195" s="46">
        <f>A194+1</f>
        <v>156</v>
      </c>
      <c r="B195" s="65"/>
      <c r="C195" s="48" t="s">
        <v>401</v>
      </c>
      <c r="D195" s="48"/>
      <c r="E195" s="122">
        <v>177</v>
      </c>
      <c r="F195" s="29" t="s">
        <v>402</v>
      </c>
      <c r="G195" s="72">
        <v>137</v>
      </c>
      <c r="H195" s="31">
        <v>1</v>
      </c>
      <c r="I195" s="32" t="s">
        <v>400</v>
      </c>
      <c r="J195" s="72"/>
      <c r="K195" s="23"/>
      <c r="L195" s="23"/>
      <c r="M195" s="72"/>
      <c r="N195" s="83"/>
      <c r="O195" s="83"/>
      <c r="P195" s="83"/>
      <c r="Q195" s="23"/>
      <c r="R195" s="23"/>
    </row>
    <row r="196" spans="1:18" ht="15.75" customHeight="1">
      <c r="A196" s="53"/>
      <c r="B196" s="102"/>
      <c r="C196" s="66"/>
      <c r="D196" s="66"/>
      <c r="E196" s="67"/>
      <c r="F196" s="68"/>
      <c r="G196" s="69"/>
      <c r="H196" s="70"/>
      <c r="I196" s="71"/>
      <c r="J196" s="72"/>
      <c r="K196" s="23"/>
      <c r="L196" s="23"/>
      <c r="M196" s="69"/>
      <c r="N196" s="69"/>
      <c r="O196" s="69"/>
      <c r="P196" s="69"/>
      <c r="Q196" s="23"/>
      <c r="R196" s="23"/>
    </row>
    <row r="197" spans="1:18" ht="36.6" customHeight="1">
      <c r="A197" s="46">
        <f>A195+1</f>
        <v>157</v>
      </c>
      <c r="B197" s="65"/>
      <c r="C197" s="48" t="s">
        <v>403</v>
      </c>
      <c r="D197" s="48"/>
      <c r="E197" s="36">
        <v>179</v>
      </c>
      <c r="F197" s="29" t="s">
        <v>404</v>
      </c>
      <c r="G197" s="30">
        <v>150</v>
      </c>
      <c r="H197" s="31">
        <v>1</v>
      </c>
      <c r="I197" s="32" t="s">
        <v>197</v>
      </c>
      <c r="J197" s="72"/>
      <c r="K197" s="23"/>
      <c r="L197" s="23"/>
      <c r="M197" s="30"/>
      <c r="N197" s="69"/>
      <c r="O197" s="69"/>
      <c r="P197" s="69"/>
      <c r="Q197" s="23"/>
      <c r="R197" s="23"/>
    </row>
    <row r="198" spans="1:18" ht="36.6" customHeight="1">
      <c r="A198" s="46">
        <f t="shared" ref="A198:A207" si="16">A197+1</f>
        <v>158</v>
      </c>
      <c r="B198" s="65"/>
      <c r="C198" s="48" t="s">
        <v>405</v>
      </c>
      <c r="D198" s="48"/>
      <c r="E198" s="36">
        <v>179</v>
      </c>
      <c r="F198" s="29" t="s">
        <v>406</v>
      </c>
      <c r="G198" s="30">
        <v>456</v>
      </c>
      <c r="H198" s="31">
        <v>1</v>
      </c>
      <c r="I198" s="32" t="s">
        <v>197</v>
      </c>
      <c r="J198" s="72"/>
      <c r="K198" s="23"/>
      <c r="L198" s="23"/>
      <c r="M198" s="30"/>
      <c r="N198" s="69"/>
      <c r="O198" s="69"/>
      <c r="P198" s="69"/>
      <c r="Q198" s="23"/>
      <c r="R198" s="23"/>
    </row>
    <row r="199" spans="1:18" ht="36.6" customHeight="1">
      <c r="A199" s="46">
        <f t="shared" si="16"/>
        <v>159</v>
      </c>
      <c r="B199" s="65"/>
      <c r="C199" s="48" t="s">
        <v>407</v>
      </c>
      <c r="D199" s="48"/>
      <c r="E199" s="36">
        <v>179</v>
      </c>
      <c r="F199" s="29" t="s">
        <v>408</v>
      </c>
      <c r="G199" s="30">
        <v>590</v>
      </c>
      <c r="H199" s="31">
        <v>1</v>
      </c>
      <c r="I199" s="32" t="s">
        <v>197</v>
      </c>
      <c r="J199" s="72"/>
      <c r="K199" s="23"/>
      <c r="L199" s="23"/>
      <c r="M199" s="30"/>
      <c r="N199" s="69"/>
      <c r="O199" s="69"/>
      <c r="P199" s="69"/>
      <c r="Q199" s="23"/>
      <c r="R199" s="23"/>
    </row>
    <row r="200" spans="1:18" ht="36.6" customHeight="1">
      <c r="A200" s="46">
        <f t="shared" si="16"/>
        <v>160</v>
      </c>
      <c r="B200" s="65"/>
      <c r="C200" s="48" t="s">
        <v>409</v>
      </c>
      <c r="D200" s="48"/>
      <c r="E200" s="36">
        <v>179</v>
      </c>
      <c r="F200" s="29" t="s">
        <v>410</v>
      </c>
      <c r="G200" s="30">
        <v>24</v>
      </c>
      <c r="H200" s="31">
        <v>1</v>
      </c>
      <c r="I200" s="32" t="s">
        <v>197</v>
      </c>
      <c r="J200" s="72"/>
      <c r="K200" s="23"/>
      <c r="L200" s="23"/>
      <c r="M200" s="30"/>
      <c r="N200" s="69"/>
      <c r="O200" s="69"/>
      <c r="P200" s="69"/>
      <c r="Q200" s="23"/>
      <c r="R200" s="23"/>
    </row>
    <row r="201" spans="1:18" ht="25.35" customHeight="1">
      <c r="A201" s="46">
        <f t="shared" si="16"/>
        <v>161</v>
      </c>
      <c r="B201" s="65"/>
      <c r="C201" s="48" t="s">
        <v>411</v>
      </c>
      <c r="D201" s="48"/>
      <c r="E201" s="36">
        <v>179</v>
      </c>
      <c r="F201" s="29" t="s">
        <v>412</v>
      </c>
      <c r="G201" s="30">
        <v>73</v>
      </c>
      <c r="H201" s="31">
        <v>1</v>
      </c>
      <c r="I201" s="32" t="s">
        <v>197</v>
      </c>
      <c r="J201" s="72"/>
      <c r="K201" s="23"/>
      <c r="L201" s="23"/>
      <c r="M201" s="30"/>
      <c r="N201" s="69"/>
      <c r="O201" s="69"/>
      <c r="P201" s="69"/>
      <c r="Q201" s="23"/>
      <c r="R201" s="23"/>
    </row>
    <row r="202" spans="1:18" ht="58.9" customHeight="1">
      <c r="A202" s="46">
        <f t="shared" si="16"/>
        <v>162</v>
      </c>
      <c r="B202" s="65"/>
      <c r="C202" s="48" t="s">
        <v>413</v>
      </c>
      <c r="D202" s="48"/>
      <c r="E202" s="36">
        <v>179</v>
      </c>
      <c r="F202" s="58" t="s">
        <v>414</v>
      </c>
      <c r="G202" s="121">
        <v>37</v>
      </c>
      <c r="H202" s="78">
        <v>1</v>
      </c>
      <c r="I202" s="32" t="s">
        <v>97</v>
      </c>
      <c r="J202" s="72"/>
      <c r="K202" s="23"/>
      <c r="L202" s="23"/>
      <c r="M202" s="121"/>
      <c r="N202" s="123"/>
      <c r="O202" s="123"/>
      <c r="P202" s="123"/>
      <c r="Q202" s="23"/>
      <c r="R202" s="23"/>
    </row>
    <row r="203" spans="1:18" ht="25.35" customHeight="1">
      <c r="A203" s="46">
        <f t="shared" si="16"/>
        <v>163</v>
      </c>
      <c r="B203" s="65"/>
      <c r="C203" s="48" t="s">
        <v>415</v>
      </c>
      <c r="D203" s="48"/>
      <c r="E203" s="36">
        <v>179</v>
      </c>
      <c r="F203" s="58" t="s">
        <v>416</v>
      </c>
      <c r="G203" s="121">
        <v>6</v>
      </c>
      <c r="H203" s="78">
        <v>1</v>
      </c>
      <c r="I203" s="32" t="s">
        <v>97</v>
      </c>
      <c r="J203" s="72"/>
      <c r="K203" s="23"/>
      <c r="L203" s="23"/>
      <c r="M203" s="121"/>
      <c r="N203" s="123"/>
      <c r="O203" s="123"/>
      <c r="P203" s="123"/>
      <c r="Q203" s="23"/>
      <c r="R203" s="23"/>
    </row>
    <row r="204" spans="1:18" ht="25.35" customHeight="1">
      <c r="A204" s="46">
        <f t="shared" si="16"/>
        <v>164</v>
      </c>
      <c r="B204" s="65"/>
      <c r="C204" s="43" t="s">
        <v>417</v>
      </c>
      <c r="D204" s="43"/>
      <c r="E204" s="36">
        <v>179</v>
      </c>
      <c r="F204" s="58" t="s">
        <v>418</v>
      </c>
      <c r="G204" s="30">
        <v>188</v>
      </c>
      <c r="H204" s="31">
        <v>1</v>
      </c>
      <c r="I204" s="32" t="s">
        <v>97</v>
      </c>
      <c r="J204" s="72"/>
      <c r="K204" s="23"/>
      <c r="L204" s="23"/>
      <c r="M204" s="30"/>
      <c r="N204" s="69"/>
      <c r="O204" s="69"/>
      <c r="P204" s="69"/>
      <c r="Q204" s="23"/>
      <c r="R204" s="23"/>
    </row>
    <row r="205" spans="1:18" ht="25.35" customHeight="1">
      <c r="A205" s="46">
        <f t="shared" si="16"/>
        <v>165</v>
      </c>
      <c r="B205" s="65"/>
      <c r="C205" s="43" t="s">
        <v>419</v>
      </c>
      <c r="D205" s="43"/>
      <c r="E205" s="36">
        <v>179</v>
      </c>
      <c r="F205" s="58" t="s">
        <v>420</v>
      </c>
      <c r="G205" s="124">
        <v>1369</v>
      </c>
      <c r="H205" s="31">
        <v>1</v>
      </c>
      <c r="I205" s="32" t="s">
        <v>94</v>
      </c>
      <c r="J205" s="72"/>
      <c r="K205" s="23"/>
      <c r="L205" s="23"/>
      <c r="M205" s="124"/>
      <c r="N205" s="125"/>
      <c r="O205" s="125"/>
      <c r="P205" s="125"/>
      <c r="Q205" s="23"/>
      <c r="R205" s="23"/>
    </row>
    <row r="206" spans="1:18" ht="25.35" customHeight="1">
      <c r="A206" s="46">
        <f t="shared" si="16"/>
        <v>166</v>
      </c>
      <c r="B206" s="65"/>
      <c r="C206" s="48" t="s">
        <v>421</v>
      </c>
      <c r="D206" s="48"/>
      <c r="E206" s="36">
        <v>179</v>
      </c>
      <c r="F206" s="58" t="s">
        <v>422</v>
      </c>
      <c r="G206" s="30">
        <v>550</v>
      </c>
      <c r="H206" s="31">
        <v>1</v>
      </c>
      <c r="I206" s="32" t="s">
        <v>94</v>
      </c>
      <c r="J206" s="72"/>
      <c r="K206" s="23"/>
      <c r="L206" s="23"/>
      <c r="M206" s="30"/>
      <c r="N206" s="69"/>
      <c r="O206" s="69"/>
      <c r="P206" s="69"/>
      <c r="Q206" s="23"/>
      <c r="R206" s="23"/>
    </row>
    <row r="207" spans="1:18" ht="15.75" customHeight="1">
      <c r="A207" s="46">
        <f t="shared" si="16"/>
        <v>167</v>
      </c>
      <c r="B207" s="65"/>
      <c r="C207" s="43" t="s">
        <v>423</v>
      </c>
      <c r="D207" s="43"/>
      <c r="E207" s="36">
        <v>179</v>
      </c>
      <c r="F207" s="58" t="s">
        <v>424</v>
      </c>
      <c r="G207" s="30">
        <v>410</v>
      </c>
      <c r="H207" s="31">
        <v>1</v>
      </c>
      <c r="I207" s="32" t="s">
        <v>94</v>
      </c>
      <c r="J207" s="72"/>
      <c r="K207" s="23"/>
      <c r="L207" s="23"/>
      <c r="M207" s="30"/>
      <c r="N207" s="69"/>
      <c r="O207" s="69"/>
      <c r="P207" s="69"/>
      <c r="Q207" s="23"/>
      <c r="R207" s="23"/>
    </row>
    <row r="208" spans="1:18" ht="15.75" customHeight="1">
      <c r="A208" s="53"/>
      <c r="B208" s="102"/>
      <c r="C208" s="66"/>
      <c r="D208" s="66"/>
      <c r="E208" s="67"/>
      <c r="F208" s="68"/>
      <c r="G208" s="69"/>
      <c r="H208" s="70"/>
      <c r="I208" s="71"/>
      <c r="J208" s="72"/>
      <c r="K208" s="23"/>
      <c r="L208" s="23"/>
      <c r="M208" s="69"/>
      <c r="N208" s="69"/>
      <c r="O208" s="69"/>
      <c r="P208" s="69"/>
      <c r="Q208" s="23"/>
      <c r="R208" s="23"/>
    </row>
    <row r="209" spans="1:18" ht="15.75" customHeight="1">
      <c r="A209" s="46">
        <f>A207+1</f>
        <v>168</v>
      </c>
      <c r="B209" s="47"/>
      <c r="C209" s="86" t="s">
        <v>425</v>
      </c>
      <c r="D209" s="86"/>
      <c r="E209" s="126"/>
      <c r="F209" s="122"/>
      <c r="G209" s="121"/>
      <c r="H209" s="31"/>
      <c r="I209" s="32"/>
      <c r="J209" s="51"/>
      <c r="K209" s="23"/>
      <c r="L209" s="23"/>
      <c r="M209" s="121"/>
      <c r="N209" s="123"/>
      <c r="O209" s="123"/>
      <c r="P209" s="123"/>
      <c r="Q209" s="23"/>
      <c r="R209" s="23"/>
    </row>
    <row r="210" spans="1:18" ht="15.75" customHeight="1">
      <c r="A210" s="46"/>
      <c r="B210" s="47" t="s">
        <v>294</v>
      </c>
      <c r="C210" s="48" t="s">
        <v>426</v>
      </c>
      <c r="D210" s="48"/>
      <c r="E210" s="127">
        <v>182</v>
      </c>
      <c r="F210" s="58" t="s">
        <v>427</v>
      </c>
      <c r="G210" s="121">
        <v>571</v>
      </c>
      <c r="H210" s="31">
        <v>1</v>
      </c>
      <c r="I210" s="32" t="s">
        <v>75</v>
      </c>
      <c r="J210" s="51"/>
      <c r="K210" s="23"/>
      <c r="L210" s="23"/>
      <c r="M210" s="121"/>
      <c r="N210" s="123"/>
      <c r="O210" s="123"/>
      <c r="P210" s="123"/>
      <c r="Q210" s="23"/>
      <c r="R210" s="23"/>
    </row>
    <row r="211" spans="1:18" ht="15.75" customHeight="1">
      <c r="A211" s="46"/>
      <c r="B211" s="47" t="s">
        <v>297</v>
      </c>
      <c r="C211" s="48" t="s">
        <v>428</v>
      </c>
      <c r="D211" s="48"/>
      <c r="E211" s="127">
        <v>182</v>
      </c>
      <c r="F211" s="58" t="s">
        <v>429</v>
      </c>
      <c r="G211" s="121">
        <v>22</v>
      </c>
      <c r="H211" s="31">
        <v>1</v>
      </c>
      <c r="I211" s="32" t="s">
        <v>94</v>
      </c>
      <c r="J211" s="51"/>
      <c r="K211" s="23"/>
      <c r="L211" s="23"/>
      <c r="M211" s="121"/>
      <c r="N211" s="123"/>
      <c r="O211" s="123"/>
      <c r="P211" s="123"/>
      <c r="Q211" s="23"/>
      <c r="R211" s="23"/>
    </row>
    <row r="212" spans="1:18" ht="25.35" customHeight="1">
      <c r="A212" s="46"/>
      <c r="B212" s="47" t="s">
        <v>430</v>
      </c>
      <c r="C212" s="128" t="s">
        <v>431</v>
      </c>
      <c r="D212" s="128"/>
      <c r="E212" s="127">
        <v>182</v>
      </c>
      <c r="F212" s="58" t="s">
        <v>432</v>
      </c>
      <c r="G212" s="121">
        <v>20</v>
      </c>
      <c r="H212" s="31">
        <v>1</v>
      </c>
      <c r="I212" s="32" t="s">
        <v>94</v>
      </c>
      <c r="J212" s="51"/>
      <c r="K212" s="23"/>
      <c r="L212" s="23"/>
      <c r="M212" s="121"/>
      <c r="N212" s="123"/>
      <c r="O212" s="123"/>
      <c r="P212" s="123"/>
      <c r="Q212" s="23"/>
      <c r="R212" s="23"/>
    </row>
    <row r="213" spans="1:18" ht="15.75" customHeight="1">
      <c r="A213" s="46"/>
      <c r="B213" s="47" t="s">
        <v>433</v>
      </c>
      <c r="C213" s="48" t="s">
        <v>434</v>
      </c>
      <c r="D213" s="48"/>
      <c r="E213" s="127">
        <v>182</v>
      </c>
      <c r="F213" s="58" t="s">
        <v>435</v>
      </c>
      <c r="G213" s="121">
        <v>297</v>
      </c>
      <c r="H213" s="31">
        <v>1</v>
      </c>
      <c r="I213" s="32" t="s">
        <v>75</v>
      </c>
      <c r="J213" s="51"/>
      <c r="K213" s="23"/>
      <c r="L213" s="23"/>
      <c r="M213" s="121"/>
      <c r="N213" s="123"/>
      <c r="O213" s="123"/>
      <c r="P213" s="123"/>
      <c r="Q213" s="23"/>
      <c r="R213" s="23"/>
    </row>
    <row r="214" spans="1:18" ht="15.75" customHeight="1">
      <c r="A214" s="46"/>
      <c r="B214" s="47" t="s">
        <v>436</v>
      </c>
      <c r="C214" s="48" t="s">
        <v>437</v>
      </c>
      <c r="D214" s="48"/>
      <c r="E214" s="127">
        <v>182</v>
      </c>
      <c r="F214" s="58" t="s">
        <v>438</v>
      </c>
      <c r="G214" s="121">
        <v>7</v>
      </c>
      <c r="H214" s="31">
        <v>1</v>
      </c>
      <c r="I214" s="32" t="s">
        <v>94</v>
      </c>
      <c r="J214" s="51"/>
      <c r="K214" s="23"/>
      <c r="L214" s="23"/>
      <c r="M214" s="121"/>
      <c r="N214" s="123"/>
      <c r="O214" s="123"/>
      <c r="P214" s="123"/>
      <c r="Q214" s="23"/>
      <c r="R214" s="23"/>
    </row>
    <row r="215" spans="1:18" ht="15.75" customHeight="1">
      <c r="A215" s="46"/>
      <c r="B215" s="47" t="s">
        <v>439</v>
      </c>
      <c r="C215" s="48" t="s">
        <v>440</v>
      </c>
      <c r="D215" s="48"/>
      <c r="E215" s="127">
        <v>182</v>
      </c>
      <c r="F215" s="58" t="s">
        <v>441</v>
      </c>
      <c r="G215" s="121">
        <v>7</v>
      </c>
      <c r="H215" s="31">
        <v>1</v>
      </c>
      <c r="I215" s="32" t="s">
        <v>94</v>
      </c>
      <c r="J215" s="51"/>
      <c r="K215" s="23"/>
      <c r="L215" s="23"/>
      <c r="M215" s="121"/>
      <c r="N215" s="123"/>
      <c r="O215" s="123"/>
      <c r="P215" s="123"/>
      <c r="Q215" s="23"/>
      <c r="R215" s="23"/>
    </row>
    <row r="216" spans="1:18" ht="25.35" customHeight="1">
      <c r="A216" s="46"/>
      <c r="B216" s="47" t="s">
        <v>442</v>
      </c>
      <c r="C216" s="128" t="s">
        <v>443</v>
      </c>
      <c r="D216" s="128"/>
      <c r="E216" s="127">
        <v>182</v>
      </c>
      <c r="F216" s="58" t="s">
        <v>444</v>
      </c>
      <c r="G216" s="121">
        <v>11</v>
      </c>
      <c r="H216" s="31">
        <v>1</v>
      </c>
      <c r="I216" s="32" t="s">
        <v>94</v>
      </c>
      <c r="J216" s="51"/>
      <c r="K216" s="23"/>
      <c r="L216" s="23"/>
      <c r="M216" s="121"/>
      <c r="N216" s="123"/>
      <c r="O216" s="123"/>
      <c r="P216" s="123"/>
      <c r="Q216" s="23"/>
      <c r="R216" s="23"/>
    </row>
    <row r="217" spans="1:18" ht="36.6" customHeight="1">
      <c r="A217" s="53"/>
      <c r="B217" s="47" t="s">
        <v>445</v>
      </c>
      <c r="C217" s="48" t="s">
        <v>446</v>
      </c>
      <c r="D217" s="48"/>
      <c r="E217" s="127">
        <v>182</v>
      </c>
      <c r="F217" s="58" t="s">
        <v>447</v>
      </c>
      <c r="G217" s="121">
        <v>7</v>
      </c>
      <c r="H217" s="31">
        <v>1</v>
      </c>
      <c r="I217" s="32" t="s">
        <v>94</v>
      </c>
      <c r="J217" s="51"/>
      <c r="K217" s="23"/>
      <c r="L217" s="23"/>
      <c r="M217" s="121"/>
      <c r="N217" s="123"/>
      <c r="O217" s="123"/>
      <c r="P217" s="123"/>
      <c r="Q217" s="23"/>
      <c r="R217" s="23"/>
    </row>
    <row r="218" spans="1:18" ht="25.35" customHeight="1">
      <c r="A218" s="53"/>
      <c r="B218" s="47" t="s">
        <v>261</v>
      </c>
      <c r="C218" s="48" t="s">
        <v>448</v>
      </c>
      <c r="D218" s="48"/>
      <c r="E218" s="127">
        <v>182</v>
      </c>
      <c r="F218" s="58" t="s">
        <v>449</v>
      </c>
      <c r="G218" s="121">
        <v>8</v>
      </c>
      <c r="H218" s="31">
        <v>1</v>
      </c>
      <c r="I218" s="32" t="s">
        <v>94</v>
      </c>
      <c r="J218" s="51"/>
      <c r="K218" s="23"/>
      <c r="L218" s="23"/>
      <c r="M218" s="121"/>
      <c r="N218" s="123"/>
      <c r="O218" s="123"/>
      <c r="P218" s="123"/>
      <c r="Q218" s="23"/>
      <c r="R218" s="23"/>
    </row>
    <row r="219" spans="1:18" ht="15.75" customHeight="1">
      <c r="A219" s="53"/>
      <c r="B219" s="54"/>
      <c r="C219" s="129"/>
      <c r="D219" s="129"/>
      <c r="E219" s="130"/>
      <c r="F219" s="57"/>
      <c r="G219" s="121"/>
      <c r="H219" s="40"/>
      <c r="I219" s="41"/>
      <c r="J219" s="51"/>
      <c r="K219" s="23"/>
      <c r="L219" s="23"/>
      <c r="M219" s="23"/>
      <c r="N219" s="23"/>
      <c r="O219" s="23"/>
      <c r="P219" s="23"/>
      <c r="Q219" s="23"/>
      <c r="R219" s="23"/>
    </row>
    <row r="220" spans="1:18" ht="36.6" customHeight="1">
      <c r="A220" s="24">
        <f>A209+1</f>
        <v>169</v>
      </c>
      <c r="B220" s="65"/>
      <c r="C220" s="86" t="s">
        <v>450</v>
      </c>
      <c r="D220" s="131" t="s">
        <v>34</v>
      </c>
      <c r="E220" s="25" t="s">
        <v>451</v>
      </c>
      <c r="F220" s="132" t="s">
        <v>452</v>
      </c>
      <c r="G220" s="133" t="s">
        <v>453</v>
      </c>
      <c r="H220" s="134" t="s">
        <v>30</v>
      </c>
      <c r="I220" s="134"/>
      <c r="J220" s="135"/>
      <c r="K220" s="23"/>
      <c r="L220" s="23"/>
      <c r="M220" s="23"/>
      <c r="N220" s="23"/>
      <c r="O220" s="23"/>
      <c r="P220" s="23"/>
      <c r="Q220" s="23"/>
      <c r="R220" s="23"/>
    </row>
    <row r="221" spans="1:18" ht="76.5">
      <c r="A221" s="136" t="s">
        <v>454</v>
      </c>
      <c r="B221" s="65"/>
      <c r="C221" s="86" t="s">
        <v>455</v>
      </c>
      <c r="D221" s="86"/>
      <c r="E221" s="49"/>
      <c r="F221" s="65"/>
      <c r="G221" s="51"/>
      <c r="H221" s="31"/>
      <c r="I221" s="32"/>
      <c r="J221" s="51"/>
      <c r="K221" s="23"/>
      <c r="L221" s="23"/>
      <c r="M221" s="137" t="s">
        <v>456</v>
      </c>
      <c r="N221" s="23"/>
      <c r="O221" s="23"/>
      <c r="P221" s="23"/>
      <c r="Q221" s="23"/>
      <c r="R221" s="138"/>
    </row>
    <row r="222" spans="1:18" ht="15.75" customHeight="1">
      <c r="A222" s="47"/>
      <c r="B222" s="47" t="s">
        <v>294</v>
      </c>
      <c r="C222" s="48" t="s">
        <v>457</v>
      </c>
      <c r="D222" s="48"/>
      <c r="E222" s="64">
        <v>196</v>
      </c>
      <c r="F222" s="122">
        <v>11.66</v>
      </c>
      <c r="G222" s="72">
        <v>94.29</v>
      </c>
      <c r="H222" s="139">
        <v>1</v>
      </c>
      <c r="I222" s="140" t="s">
        <v>46</v>
      </c>
      <c r="J222" s="51"/>
      <c r="K222" s="42"/>
      <c r="L222" s="42"/>
      <c r="M222" s="122">
        <v>13.06</v>
      </c>
      <c r="N222" s="72">
        <v>95.98</v>
      </c>
      <c r="O222" s="23"/>
      <c r="P222" s="23"/>
      <c r="Q222" s="23"/>
      <c r="R222" s="138"/>
    </row>
    <row r="223" spans="1:18" ht="15.75" customHeight="1">
      <c r="A223" s="54"/>
      <c r="B223" s="47" t="s">
        <v>297</v>
      </c>
      <c r="C223" s="48" t="s">
        <v>458</v>
      </c>
      <c r="D223" s="48"/>
      <c r="E223" s="141"/>
      <c r="F223" s="122">
        <f t="shared" ref="F223:F231" si="17">F222</f>
        <v>11.66</v>
      </c>
      <c r="G223" s="72">
        <v>135.61000000000001</v>
      </c>
      <c r="H223" s="139">
        <v>1</v>
      </c>
      <c r="I223" s="140" t="s">
        <v>46</v>
      </c>
      <c r="J223" s="51"/>
      <c r="K223" s="42"/>
      <c r="L223" s="42"/>
      <c r="M223" s="122">
        <f t="shared" ref="M223:M231" si="18">M222</f>
        <v>13.06</v>
      </c>
      <c r="N223" s="72">
        <v>137.44999999999999</v>
      </c>
      <c r="O223" s="23"/>
      <c r="P223" s="23"/>
      <c r="Q223" s="23"/>
      <c r="R223" s="138"/>
    </row>
    <row r="224" spans="1:18" ht="15.75" customHeight="1">
      <c r="A224" s="54"/>
      <c r="B224" s="47" t="s">
        <v>430</v>
      </c>
      <c r="C224" s="48" t="s">
        <v>459</v>
      </c>
      <c r="D224" s="48"/>
      <c r="E224" s="141"/>
      <c r="F224" s="122">
        <f t="shared" si="17"/>
        <v>11.66</v>
      </c>
      <c r="G224" s="72">
        <v>176.93</v>
      </c>
      <c r="H224" s="139">
        <v>1</v>
      </c>
      <c r="I224" s="140" t="s">
        <v>46</v>
      </c>
      <c r="J224" s="51"/>
      <c r="K224" s="42"/>
      <c r="L224" s="42"/>
      <c r="M224" s="122">
        <f t="shared" si="18"/>
        <v>13.06</v>
      </c>
      <c r="N224" s="72">
        <v>178.91</v>
      </c>
      <c r="O224" s="23"/>
      <c r="P224" s="23"/>
      <c r="Q224" s="23"/>
      <c r="R224" s="138"/>
    </row>
    <row r="225" spans="1:18" ht="15.75" customHeight="1">
      <c r="A225" s="54"/>
      <c r="B225" s="47" t="s">
        <v>433</v>
      </c>
      <c r="C225" s="65" t="s">
        <v>460</v>
      </c>
      <c r="D225" s="65"/>
      <c r="E225" s="141"/>
      <c r="F225" s="122">
        <f t="shared" si="17"/>
        <v>11.66</v>
      </c>
      <c r="G225" s="72">
        <v>218.25</v>
      </c>
      <c r="H225" s="139">
        <v>1</v>
      </c>
      <c r="I225" s="140" t="s">
        <v>46</v>
      </c>
      <c r="J225" s="51"/>
      <c r="K225" s="42"/>
      <c r="L225" s="42"/>
      <c r="M225" s="122">
        <f t="shared" si="18"/>
        <v>13.06</v>
      </c>
      <c r="N225" s="72">
        <v>220.37</v>
      </c>
      <c r="O225" s="23"/>
      <c r="P225" s="23"/>
      <c r="Q225" s="23"/>
      <c r="R225" s="138"/>
    </row>
    <row r="226" spans="1:18" ht="15.75" customHeight="1">
      <c r="A226" s="54"/>
      <c r="B226" s="47" t="s">
        <v>436</v>
      </c>
      <c r="C226" s="65" t="s">
        <v>461</v>
      </c>
      <c r="D226" s="65"/>
      <c r="E226" s="141"/>
      <c r="F226" s="122">
        <f t="shared" si="17"/>
        <v>11.66</v>
      </c>
      <c r="G226" s="72">
        <v>259.57</v>
      </c>
      <c r="H226" s="139">
        <v>1</v>
      </c>
      <c r="I226" s="140" t="s">
        <v>46</v>
      </c>
      <c r="J226" s="51"/>
      <c r="K226" s="42"/>
      <c r="L226" s="42"/>
      <c r="M226" s="122">
        <f t="shared" si="18"/>
        <v>13.06</v>
      </c>
      <c r="N226" s="72">
        <v>261.83999999999997</v>
      </c>
      <c r="O226" s="23"/>
      <c r="P226" s="23"/>
      <c r="Q226" s="23"/>
      <c r="R226" s="138"/>
    </row>
    <row r="227" spans="1:18" ht="15.75" customHeight="1">
      <c r="A227" s="54"/>
      <c r="B227" s="47" t="s">
        <v>439</v>
      </c>
      <c r="C227" s="65" t="s">
        <v>462</v>
      </c>
      <c r="D227" s="65"/>
      <c r="E227" s="141"/>
      <c r="F227" s="122">
        <f t="shared" si="17"/>
        <v>11.66</v>
      </c>
      <c r="G227" s="72">
        <v>300.89</v>
      </c>
      <c r="H227" s="139">
        <v>1</v>
      </c>
      <c r="I227" s="140" t="s">
        <v>46</v>
      </c>
      <c r="J227" s="51"/>
      <c r="K227" s="42"/>
      <c r="L227" s="42"/>
      <c r="M227" s="122">
        <f t="shared" si="18"/>
        <v>13.06</v>
      </c>
      <c r="N227" s="72">
        <v>303.3</v>
      </c>
      <c r="O227" s="23"/>
      <c r="P227" s="23"/>
      <c r="Q227" s="23"/>
      <c r="R227" s="138"/>
    </row>
    <row r="228" spans="1:18" ht="15.75" customHeight="1">
      <c r="A228" s="54"/>
      <c r="B228" s="47" t="s">
        <v>442</v>
      </c>
      <c r="C228" s="65" t="s">
        <v>463</v>
      </c>
      <c r="D228" s="65"/>
      <c r="E228" s="141"/>
      <c r="F228" s="122">
        <f t="shared" si="17"/>
        <v>11.66</v>
      </c>
      <c r="G228" s="72">
        <v>342.42</v>
      </c>
      <c r="H228" s="139">
        <v>1</v>
      </c>
      <c r="I228" s="140" t="s">
        <v>46</v>
      </c>
      <c r="J228" s="51"/>
      <c r="K228" s="42"/>
      <c r="L228" s="42"/>
      <c r="M228" s="122">
        <f t="shared" si="18"/>
        <v>13.06</v>
      </c>
      <c r="N228" s="72">
        <v>344.76</v>
      </c>
      <c r="O228" s="23"/>
      <c r="P228" s="23"/>
      <c r="Q228" s="23"/>
      <c r="R228" s="138"/>
    </row>
    <row r="229" spans="1:18" ht="15.75" customHeight="1">
      <c r="A229" s="54"/>
      <c r="B229" s="47" t="s">
        <v>445</v>
      </c>
      <c r="C229" s="65" t="s">
        <v>464</v>
      </c>
      <c r="D229" s="65"/>
      <c r="E229" s="141"/>
      <c r="F229" s="122">
        <f t="shared" si="17"/>
        <v>11.66</v>
      </c>
      <c r="G229" s="72">
        <v>383.52</v>
      </c>
      <c r="H229" s="139">
        <v>1</v>
      </c>
      <c r="I229" s="140" t="s">
        <v>46</v>
      </c>
      <c r="J229" s="51"/>
      <c r="K229" s="42"/>
      <c r="L229" s="42"/>
      <c r="M229" s="122">
        <f t="shared" si="18"/>
        <v>13.06</v>
      </c>
      <c r="N229" s="72">
        <v>386.22</v>
      </c>
      <c r="O229" s="23"/>
      <c r="P229" s="23"/>
      <c r="Q229" s="23"/>
      <c r="R229" s="138"/>
    </row>
    <row r="230" spans="1:18" ht="15.75" customHeight="1">
      <c r="A230" s="54"/>
      <c r="B230" s="47" t="s">
        <v>261</v>
      </c>
      <c r="C230" s="65" t="s">
        <v>465</v>
      </c>
      <c r="D230" s="65"/>
      <c r="E230" s="141"/>
      <c r="F230" s="122">
        <f t="shared" si="17"/>
        <v>11.66</v>
      </c>
      <c r="G230" s="72">
        <v>424.84</v>
      </c>
      <c r="H230" s="139">
        <v>1</v>
      </c>
      <c r="I230" s="140" t="s">
        <v>46</v>
      </c>
      <c r="J230" s="51"/>
      <c r="K230" s="42"/>
      <c r="L230" s="42"/>
      <c r="M230" s="122">
        <f t="shared" si="18"/>
        <v>13.06</v>
      </c>
      <c r="N230" s="72">
        <v>427.69</v>
      </c>
      <c r="O230" s="23"/>
      <c r="P230" s="23"/>
      <c r="Q230" s="23"/>
      <c r="R230" s="138"/>
    </row>
    <row r="231" spans="1:18" ht="15.75" customHeight="1">
      <c r="A231" s="54"/>
      <c r="B231" s="47" t="s">
        <v>466</v>
      </c>
      <c r="C231" s="65" t="s">
        <v>467</v>
      </c>
      <c r="D231" s="55"/>
      <c r="E231" s="142"/>
      <c r="F231" s="122">
        <f t="shared" si="17"/>
        <v>11.66</v>
      </c>
      <c r="G231" s="102">
        <v>466.16</v>
      </c>
      <c r="H231" s="139">
        <v>1</v>
      </c>
      <c r="I231" s="140" t="s">
        <v>46</v>
      </c>
      <c r="J231" s="51"/>
      <c r="K231" s="23"/>
      <c r="L231" s="23"/>
      <c r="M231" s="122">
        <f t="shared" si="18"/>
        <v>13.06</v>
      </c>
      <c r="N231" s="102">
        <v>469.15</v>
      </c>
      <c r="O231" s="23"/>
      <c r="P231" s="23"/>
      <c r="Q231" s="23"/>
      <c r="R231" s="138"/>
    </row>
    <row r="232" spans="1:18" ht="15.75" customHeight="1">
      <c r="A232" s="136" t="s">
        <v>468</v>
      </c>
      <c r="B232" s="47"/>
      <c r="C232" s="86" t="s">
        <v>469</v>
      </c>
      <c r="D232" s="131"/>
      <c r="E232" s="46"/>
      <c r="F232" s="122"/>
      <c r="G232" s="72"/>
      <c r="H232" s="31"/>
      <c r="I232" s="32"/>
      <c r="J232" s="51"/>
      <c r="K232" s="23"/>
      <c r="L232" s="23"/>
      <c r="M232" s="23"/>
      <c r="N232" s="23"/>
      <c r="O232" s="23"/>
      <c r="P232" s="23"/>
      <c r="Q232" s="23"/>
      <c r="R232" s="138"/>
    </row>
    <row r="233" spans="1:18" ht="15.75" customHeight="1">
      <c r="A233" s="46"/>
      <c r="B233" s="47" t="s">
        <v>294</v>
      </c>
      <c r="C233" s="48" t="s">
        <v>457</v>
      </c>
      <c r="D233" s="48"/>
      <c r="E233" s="64">
        <v>196</v>
      </c>
      <c r="F233" s="141">
        <v>1.17</v>
      </c>
      <c r="G233" s="72">
        <v>9.43</v>
      </c>
      <c r="H233" s="139">
        <v>1</v>
      </c>
      <c r="I233" s="140" t="s">
        <v>46</v>
      </c>
      <c r="J233" s="51"/>
      <c r="K233" s="23"/>
      <c r="L233" s="23"/>
      <c r="M233" s="141">
        <v>1.31</v>
      </c>
      <c r="N233" s="72">
        <v>9.6</v>
      </c>
      <c r="O233" s="23"/>
      <c r="P233" s="23"/>
      <c r="Q233" s="23"/>
      <c r="R233" s="138"/>
    </row>
    <row r="234" spans="1:18" ht="15.75" customHeight="1">
      <c r="A234" s="46"/>
      <c r="B234" s="47" t="s">
        <v>297</v>
      </c>
      <c r="C234" s="48" t="s">
        <v>458</v>
      </c>
      <c r="D234" s="48"/>
      <c r="E234" s="141"/>
      <c r="F234" s="141">
        <f t="shared" ref="F234:F242" si="19">F233</f>
        <v>1.17</v>
      </c>
      <c r="G234" s="72">
        <v>13.56</v>
      </c>
      <c r="H234" s="139">
        <v>1</v>
      </c>
      <c r="I234" s="140" t="s">
        <v>46</v>
      </c>
      <c r="J234" s="51"/>
      <c r="K234" s="23"/>
      <c r="L234" s="23"/>
      <c r="M234" s="141">
        <f t="shared" ref="M234:M242" si="20">M233</f>
        <v>1.31</v>
      </c>
      <c r="N234" s="72">
        <v>13.74</v>
      </c>
      <c r="O234" s="23"/>
      <c r="P234" s="23"/>
      <c r="Q234" s="23"/>
      <c r="R234" s="138"/>
    </row>
    <row r="235" spans="1:18" ht="15.75" customHeight="1">
      <c r="A235" s="46"/>
      <c r="B235" s="47" t="s">
        <v>430</v>
      </c>
      <c r="C235" s="48" t="s">
        <v>459</v>
      </c>
      <c r="D235" s="48"/>
      <c r="E235" s="141"/>
      <c r="F235" s="141">
        <f t="shared" si="19"/>
        <v>1.17</v>
      </c>
      <c r="G235" s="72">
        <v>17.690000000000001</v>
      </c>
      <c r="H235" s="139">
        <v>1</v>
      </c>
      <c r="I235" s="140" t="s">
        <v>46</v>
      </c>
      <c r="J235" s="51"/>
      <c r="K235" s="23"/>
      <c r="L235" s="23"/>
      <c r="M235" s="141">
        <f t="shared" si="20"/>
        <v>1.31</v>
      </c>
      <c r="N235" s="72">
        <v>17.89</v>
      </c>
      <c r="O235" s="23"/>
      <c r="P235" s="23"/>
      <c r="Q235" s="23"/>
      <c r="R235" s="138"/>
    </row>
    <row r="236" spans="1:18" ht="15.75" customHeight="1">
      <c r="A236" s="46"/>
      <c r="B236" s="47" t="s">
        <v>433</v>
      </c>
      <c r="C236" s="65" t="s">
        <v>460</v>
      </c>
      <c r="D236" s="65"/>
      <c r="E236" s="141"/>
      <c r="F236" s="141">
        <f t="shared" si="19"/>
        <v>1.17</v>
      </c>
      <c r="G236" s="72">
        <v>21.82</v>
      </c>
      <c r="H236" s="139">
        <v>1</v>
      </c>
      <c r="I236" s="140" t="s">
        <v>46</v>
      </c>
      <c r="J236" s="51"/>
      <c r="K236" s="23"/>
      <c r="L236" s="23"/>
      <c r="M236" s="141">
        <f t="shared" si="20"/>
        <v>1.31</v>
      </c>
      <c r="N236" s="72">
        <v>22.04</v>
      </c>
      <c r="O236" s="23"/>
      <c r="P236" s="23"/>
      <c r="Q236" s="23"/>
      <c r="R236" s="138"/>
    </row>
    <row r="237" spans="1:18" ht="15.75" customHeight="1">
      <c r="A237" s="46"/>
      <c r="B237" s="47" t="s">
        <v>436</v>
      </c>
      <c r="C237" s="65" t="s">
        <v>461</v>
      </c>
      <c r="D237" s="65"/>
      <c r="E237" s="141"/>
      <c r="F237" s="141">
        <f t="shared" si="19"/>
        <v>1.17</v>
      </c>
      <c r="G237" s="72">
        <v>25.96</v>
      </c>
      <c r="H237" s="139">
        <v>1</v>
      </c>
      <c r="I237" s="140" t="s">
        <v>46</v>
      </c>
      <c r="J237" s="51"/>
      <c r="K237" s="23"/>
      <c r="L237" s="23"/>
      <c r="M237" s="141">
        <f t="shared" si="20"/>
        <v>1.31</v>
      </c>
      <c r="N237" s="72">
        <v>26.18</v>
      </c>
      <c r="O237" s="23"/>
      <c r="P237" s="23"/>
      <c r="Q237" s="23"/>
      <c r="R237" s="138"/>
    </row>
    <row r="238" spans="1:18" ht="15.75" customHeight="1">
      <c r="A238" s="46"/>
      <c r="B238" s="47" t="s">
        <v>439</v>
      </c>
      <c r="C238" s="65" t="s">
        <v>462</v>
      </c>
      <c r="D238" s="65"/>
      <c r="E238" s="141"/>
      <c r="F238" s="141">
        <f t="shared" si="19"/>
        <v>1.17</v>
      </c>
      <c r="G238" s="72">
        <v>30.09</v>
      </c>
      <c r="H238" s="139">
        <v>1</v>
      </c>
      <c r="I238" s="140" t="s">
        <v>46</v>
      </c>
      <c r="J238" s="51"/>
      <c r="K238" s="23"/>
      <c r="L238" s="23"/>
      <c r="M238" s="141">
        <f t="shared" si="20"/>
        <v>1.31</v>
      </c>
      <c r="N238" s="72">
        <v>30.33</v>
      </c>
      <c r="O238" s="23"/>
      <c r="P238" s="23"/>
      <c r="Q238" s="23"/>
      <c r="R238" s="138"/>
    </row>
    <row r="239" spans="1:18" ht="15.75" customHeight="1">
      <c r="A239" s="54"/>
      <c r="B239" s="47" t="s">
        <v>442</v>
      </c>
      <c r="C239" s="65" t="s">
        <v>463</v>
      </c>
      <c r="D239" s="65"/>
      <c r="E239" s="141"/>
      <c r="F239" s="122">
        <f t="shared" si="19"/>
        <v>1.17</v>
      </c>
      <c r="G239" s="72">
        <v>34.22</v>
      </c>
      <c r="H239" s="139">
        <v>1</v>
      </c>
      <c r="I239" s="140" t="s">
        <v>46</v>
      </c>
      <c r="J239" s="51"/>
      <c r="K239" s="42"/>
      <c r="L239" s="42"/>
      <c r="M239" s="122">
        <f t="shared" si="20"/>
        <v>1.31</v>
      </c>
      <c r="N239" s="72">
        <v>34.479999999999997</v>
      </c>
      <c r="O239" s="23"/>
      <c r="P239" s="23"/>
      <c r="Q239" s="23"/>
      <c r="R239" s="138"/>
    </row>
    <row r="240" spans="1:18" ht="15.75" customHeight="1">
      <c r="A240" s="54"/>
      <c r="B240" s="47" t="s">
        <v>445</v>
      </c>
      <c r="C240" s="65" t="s">
        <v>464</v>
      </c>
      <c r="D240" s="65"/>
      <c r="E240" s="141"/>
      <c r="F240" s="122">
        <f t="shared" si="19"/>
        <v>1.17</v>
      </c>
      <c r="G240" s="72">
        <v>38.35</v>
      </c>
      <c r="H240" s="139">
        <v>1</v>
      </c>
      <c r="I240" s="140" t="s">
        <v>46</v>
      </c>
      <c r="J240" s="51"/>
      <c r="K240" s="42"/>
      <c r="L240" s="42"/>
      <c r="M240" s="122">
        <f t="shared" si="20"/>
        <v>1.31</v>
      </c>
      <c r="N240" s="72">
        <v>38.619999999999997</v>
      </c>
      <c r="O240" s="23"/>
      <c r="P240" s="23"/>
      <c r="Q240" s="23"/>
      <c r="R240" s="138"/>
    </row>
    <row r="241" spans="1:18" ht="15.75" customHeight="1">
      <c r="A241" s="54"/>
      <c r="B241" s="47" t="s">
        <v>261</v>
      </c>
      <c r="C241" s="65" t="s">
        <v>465</v>
      </c>
      <c r="D241" s="65"/>
      <c r="E241" s="141"/>
      <c r="F241" s="122">
        <f t="shared" si="19"/>
        <v>1.17</v>
      </c>
      <c r="G241" s="72">
        <v>42.48</v>
      </c>
      <c r="H241" s="139">
        <v>1</v>
      </c>
      <c r="I241" s="140" t="s">
        <v>46</v>
      </c>
      <c r="J241" s="51"/>
      <c r="K241" s="42"/>
      <c r="L241" s="42"/>
      <c r="M241" s="122">
        <f t="shared" si="20"/>
        <v>1.31</v>
      </c>
      <c r="N241" s="72">
        <v>42.77</v>
      </c>
      <c r="O241" s="23"/>
      <c r="P241" s="23"/>
      <c r="Q241" s="23"/>
      <c r="R241" s="138"/>
    </row>
    <row r="242" spans="1:18" ht="15.75" customHeight="1">
      <c r="A242" s="53"/>
      <c r="B242" s="54"/>
      <c r="C242" s="55"/>
      <c r="D242" s="55"/>
      <c r="E242" s="143"/>
      <c r="F242" s="122">
        <f t="shared" si="19"/>
        <v>1.17</v>
      </c>
      <c r="G242" s="72">
        <v>46.62</v>
      </c>
      <c r="H242" s="139">
        <v>1</v>
      </c>
      <c r="I242" s="140" t="s">
        <v>46</v>
      </c>
      <c r="J242" s="51"/>
      <c r="K242" s="23"/>
      <c r="L242" s="23"/>
      <c r="M242" s="122">
        <f t="shared" si="20"/>
        <v>1.31</v>
      </c>
      <c r="N242" s="72">
        <v>46.91</v>
      </c>
      <c r="O242" s="23"/>
      <c r="P242" s="23"/>
      <c r="Q242" s="23"/>
      <c r="R242" s="138"/>
    </row>
    <row r="243" spans="1:18" ht="15.75" customHeight="1">
      <c r="A243" s="46">
        <f>A220+1</f>
        <v>170</v>
      </c>
      <c r="B243" s="47"/>
      <c r="C243" s="86" t="s">
        <v>470</v>
      </c>
      <c r="D243" s="131"/>
      <c r="E243" s="141"/>
      <c r="F243" s="122"/>
      <c r="G243" s="72"/>
      <c r="H243" s="31"/>
      <c r="I243" s="32"/>
      <c r="J243" s="51"/>
      <c r="K243" s="23"/>
      <c r="L243" s="23"/>
      <c r="M243" s="23"/>
      <c r="N243" s="23"/>
      <c r="O243" s="23"/>
      <c r="P243" s="23"/>
      <c r="Q243" s="23"/>
      <c r="R243" s="138"/>
    </row>
    <row r="244" spans="1:18" ht="15.75" customHeight="1">
      <c r="A244" s="46"/>
      <c r="B244" s="47"/>
      <c r="C244" s="86" t="s">
        <v>471</v>
      </c>
      <c r="D244" s="86"/>
      <c r="E244" s="141"/>
      <c r="F244" s="122"/>
      <c r="G244" s="72"/>
      <c r="H244" s="31"/>
      <c r="I244" s="32"/>
      <c r="J244" s="51"/>
      <c r="K244" s="23"/>
      <c r="L244" s="23"/>
      <c r="M244" s="23"/>
      <c r="N244" s="23"/>
      <c r="O244" s="23"/>
      <c r="P244" s="23"/>
      <c r="Q244" s="23"/>
      <c r="R244" s="138"/>
    </row>
    <row r="245" spans="1:18" ht="15.75" customHeight="1">
      <c r="A245" s="46"/>
      <c r="B245" s="47" t="s">
        <v>294</v>
      </c>
      <c r="C245" s="48" t="s">
        <v>457</v>
      </c>
      <c r="D245" s="48"/>
      <c r="E245" s="28">
        <v>197</v>
      </c>
      <c r="F245" s="122">
        <v>2.78</v>
      </c>
      <c r="G245" s="72">
        <v>18.940000000000001</v>
      </c>
      <c r="H245" s="139">
        <v>1</v>
      </c>
      <c r="I245" s="140" t="s">
        <v>46</v>
      </c>
      <c r="J245" s="51"/>
      <c r="K245" s="23"/>
      <c r="L245" s="23"/>
      <c r="M245" s="122">
        <v>4.07</v>
      </c>
      <c r="N245" s="72">
        <v>20.18</v>
      </c>
      <c r="O245" s="23"/>
      <c r="P245" s="23"/>
      <c r="Q245" s="23"/>
      <c r="R245" s="138"/>
    </row>
    <row r="246" spans="1:18" ht="15.75" customHeight="1">
      <c r="A246" s="46"/>
      <c r="B246" s="47" t="s">
        <v>297</v>
      </c>
      <c r="C246" s="48" t="s">
        <v>458</v>
      </c>
      <c r="D246" s="48"/>
      <c r="E246" s="141"/>
      <c r="F246" s="122">
        <f t="shared" ref="F246:F253" si="21">+F245</f>
        <v>2.78</v>
      </c>
      <c r="G246" s="72">
        <v>27.03</v>
      </c>
      <c r="H246" s="139">
        <v>1</v>
      </c>
      <c r="I246" s="140" t="s">
        <v>46</v>
      </c>
      <c r="J246" s="51"/>
      <c r="K246" s="23"/>
      <c r="L246" s="23"/>
      <c r="M246" s="122">
        <f t="shared" ref="M246:M253" si="22">+M245</f>
        <v>4.07</v>
      </c>
      <c r="N246" s="72">
        <v>28.24</v>
      </c>
      <c r="O246" s="23"/>
      <c r="P246" s="23"/>
      <c r="Q246" s="23"/>
      <c r="R246" s="138"/>
    </row>
    <row r="247" spans="1:18" ht="15.75" customHeight="1">
      <c r="A247" s="46"/>
      <c r="B247" s="47" t="s">
        <v>430</v>
      </c>
      <c r="C247" s="48" t="s">
        <v>459</v>
      </c>
      <c r="D247" s="48"/>
      <c r="E247" s="141"/>
      <c r="F247" s="122">
        <f t="shared" si="21"/>
        <v>2.78</v>
      </c>
      <c r="G247" s="72">
        <v>35.11</v>
      </c>
      <c r="H247" s="139">
        <v>1</v>
      </c>
      <c r="I247" s="140" t="s">
        <v>46</v>
      </c>
      <c r="J247" s="51"/>
      <c r="K247" s="23"/>
      <c r="L247" s="23"/>
      <c r="M247" s="122">
        <f t="shared" si="22"/>
        <v>4.07</v>
      </c>
      <c r="N247" s="72">
        <v>36.29</v>
      </c>
      <c r="O247" s="23"/>
      <c r="P247" s="23"/>
      <c r="Q247" s="23"/>
      <c r="R247" s="138"/>
    </row>
    <row r="248" spans="1:18" ht="15.75" customHeight="1">
      <c r="A248" s="46"/>
      <c r="B248" s="47" t="s">
        <v>433</v>
      </c>
      <c r="C248" s="65" t="s">
        <v>460</v>
      </c>
      <c r="D248" s="65"/>
      <c r="E248" s="141"/>
      <c r="F248" s="122">
        <f t="shared" si="21"/>
        <v>2.78</v>
      </c>
      <c r="G248" s="72">
        <v>43.2</v>
      </c>
      <c r="H248" s="139">
        <v>1</v>
      </c>
      <c r="I248" s="140" t="s">
        <v>46</v>
      </c>
      <c r="J248" s="51"/>
      <c r="K248" s="23"/>
      <c r="L248" s="23"/>
      <c r="M248" s="122">
        <f t="shared" si="22"/>
        <v>4.07</v>
      </c>
      <c r="N248" s="72">
        <v>44.35</v>
      </c>
      <c r="O248" s="23"/>
      <c r="P248" s="23"/>
      <c r="Q248" s="23"/>
      <c r="R248" s="138"/>
    </row>
    <row r="249" spans="1:18" ht="15.75" customHeight="1">
      <c r="A249" s="46"/>
      <c r="B249" s="47" t="s">
        <v>436</v>
      </c>
      <c r="C249" s="65" t="s">
        <v>461</v>
      </c>
      <c r="D249" s="65"/>
      <c r="E249" s="141"/>
      <c r="F249" s="122">
        <f t="shared" si="21"/>
        <v>2.78</v>
      </c>
      <c r="G249" s="72">
        <v>51.28</v>
      </c>
      <c r="H249" s="139">
        <v>1</v>
      </c>
      <c r="I249" s="140" t="s">
        <v>46</v>
      </c>
      <c r="J249" s="51"/>
      <c r="K249" s="23"/>
      <c r="L249" s="23"/>
      <c r="M249" s="122">
        <f t="shared" si="22"/>
        <v>4.07</v>
      </c>
      <c r="N249" s="72">
        <v>52.41</v>
      </c>
      <c r="O249" s="23"/>
      <c r="P249" s="23"/>
      <c r="Q249" s="23"/>
      <c r="R249" s="138"/>
    </row>
    <row r="250" spans="1:18" ht="15.75" customHeight="1">
      <c r="A250" s="46"/>
      <c r="B250" s="47" t="s">
        <v>439</v>
      </c>
      <c r="C250" s="65" t="s">
        <v>462</v>
      </c>
      <c r="D250" s="65"/>
      <c r="E250" s="141"/>
      <c r="F250" s="122">
        <f t="shared" si="21"/>
        <v>2.78</v>
      </c>
      <c r="G250" s="72">
        <v>59.37</v>
      </c>
      <c r="H250" s="139">
        <v>1</v>
      </c>
      <c r="I250" s="140" t="s">
        <v>46</v>
      </c>
      <c r="J250" s="51"/>
      <c r="K250" s="23"/>
      <c r="L250" s="23"/>
      <c r="M250" s="122">
        <f t="shared" si="22"/>
        <v>4.07</v>
      </c>
      <c r="N250" s="72">
        <v>60.47</v>
      </c>
      <c r="O250" s="23"/>
      <c r="P250" s="23"/>
      <c r="Q250" s="23"/>
      <c r="R250" s="138"/>
    </row>
    <row r="251" spans="1:18" ht="15.75" customHeight="1">
      <c r="A251" s="53"/>
      <c r="B251" s="54" t="s">
        <v>442</v>
      </c>
      <c r="C251" s="65" t="s">
        <v>463</v>
      </c>
      <c r="D251" s="55"/>
      <c r="E251" s="142"/>
      <c r="F251" s="122">
        <f t="shared" si="21"/>
        <v>2.78</v>
      </c>
      <c r="G251" s="72">
        <v>67.45</v>
      </c>
      <c r="H251" s="139">
        <v>1</v>
      </c>
      <c r="I251" s="140" t="s">
        <v>46</v>
      </c>
      <c r="J251" s="51"/>
      <c r="K251" s="23"/>
      <c r="L251" s="23"/>
      <c r="M251" s="122">
        <f t="shared" si="22"/>
        <v>4.07</v>
      </c>
      <c r="N251" s="72">
        <v>68.52</v>
      </c>
      <c r="O251" s="23"/>
      <c r="P251" s="23"/>
      <c r="Q251" s="23"/>
      <c r="R251" s="138"/>
    </row>
    <row r="252" spans="1:18" ht="15.75" customHeight="1">
      <c r="A252" s="54"/>
      <c r="B252" s="47" t="s">
        <v>445</v>
      </c>
      <c r="C252" s="65" t="s">
        <v>464</v>
      </c>
      <c r="D252" s="65"/>
      <c r="E252" s="141"/>
      <c r="F252" s="122">
        <f t="shared" si="21"/>
        <v>2.78</v>
      </c>
      <c r="G252" s="72">
        <v>75.540000000000006</v>
      </c>
      <c r="H252" s="139">
        <v>1</v>
      </c>
      <c r="I252" s="140" t="s">
        <v>46</v>
      </c>
      <c r="J252" s="51"/>
      <c r="K252" s="42"/>
      <c r="L252" s="42"/>
      <c r="M252" s="122">
        <f t="shared" si="22"/>
        <v>4.07</v>
      </c>
      <c r="N252" s="72">
        <v>76.58</v>
      </c>
      <c r="O252" s="23"/>
      <c r="P252" s="23"/>
      <c r="Q252" s="23"/>
      <c r="R252" s="138"/>
    </row>
    <row r="253" spans="1:18" ht="15.75" customHeight="1">
      <c r="A253" s="54"/>
      <c r="B253" s="47" t="s">
        <v>261</v>
      </c>
      <c r="C253" s="65" t="s">
        <v>465</v>
      </c>
      <c r="D253" s="65"/>
      <c r="E253" s="141"/>
      <c r="F253" s="122">
        <f t="shared" si="21"/>
        <v>2.78</v>
      </c>
      <c r="G253" s="72">
        <v>83.62</v>
      </c>
      <c r="H253" s="139">
        <v>1</v>
      </c>
      <c r="I253" s="140" t="s">
        <v>46</v>
      </c>
      <c r="J253" s="51"/>
      <c r="K253" s="42"/>
      <c r="L253" s="42"/>
      <c r="M253" s="122">
        <f t="shared" si="22"/>
        <v>4.07</v>
      </c>
      <c r="N253" s="72">
        <v>84.64</v>
      </c>
      <c r="O253" s="23"/>
      <c r="P253" s="23"/>
      <c r="Q253" s="23"/>
      <c r="R253" s="138"/>
    </row>
    <row r="254" spans="1:18" ht="29.25" customHeight="1">
      <c r="A254" s="144">
        <f>A243+1</f>
        <v>171</v>
      </c>
      <c r="B254" s="145"/>
      <c r="C254" s="1987" t="s">
        <v>472</v>
      </c>
      <c r="D254" s="1987"/>
      <c r="E254" s="1987"/>
      <c r="F254" s="1987"/>
      <c r="G254" s="1987"/>
      <c r="H254" s="1987"/>
      <c r="I254" s="1987"/>
      <c r="J254" s="1987"/>
      <c r="K254" s="1987"/>
      <c r="L254" s="1987"/>
      <c r="M254" s="1987"/>
      <c r="N254" s="1987"/>
      <c r="O254" s="1987"/>
      <c r="P254" s="1987"/>
      <c r="Q254" s="1987"/>
      <c r="R254" s="1987"/>
    </row>
    <row r="255" spans="1:18" ht="25.5" customHeight="1">
      <c r="A255" s="147"/>
      <c r="B255" s="148"/>
      <c r="C255" s="131"/>
      <c r="D255" s="131" t="s">
        <v>34</v>
      </c>
      <c r="E255" s="149" t="s">
        <v>27</v>
      </c>
      <c r="F255" s="146" t="s">
        <v>452</v>
      </c>
      <c r="G255" s="1985" t="s">
        <v>453</v>
      </c>
      <c r="H255" s="1985"/>
      <c r="I255" s="1985"/>
      <c r="J255" s="1985"/>
      <c r="K255" s="1985"/>
      <c r="L255" s="1985"/>
      <c r="M255" s="1985"/>
      <c r="N255" s="150"/>
      <c r="O255" s="150"/>
      <c r="P255" s="150"/>
      <c r="Q255" s="1986" t="s">
        <v>30</v>
      </c>
      <c r="R255" s="1986"/>
    </row>
    <row r="256" spans="1:18" ht="25.35" customHeight="1">
      <c r="A256" s="147"/>
      <c r="B256" s="148"/>
      <c r="C256" s="131"/>
      <c r="D256" s="131"/>
      <c r="E256" s="151"/>
      <c r="F256" s="131"/>
      <c r="G256" s="20" t="s">
        <v>473</v>
      </c>
      <c r="H256" s="134" t="s">
        <v>474</v>
      </c>
      <c r="I256" s="134" t="s">
        <v>475</v>
      </c>
      <c r="J256" s="134" t="s">
        <v>476</v>
      </c>
      <c r="K256" s="134" t="s">
        <v>477</v>
      </c>
      <c r="L256" s="134" t="s">
        <v>478</v>
      </c>
      <c r="M256" s="134" t="s">
        <v>479</v>
      </c>
      <c r="N256" s="134" t="s">
        <v>480</v>
      </c>
      <c r="O256" s="134" t="s">
        <v>481</v>
      </c>
      <c r="P256" s="134" t="s">
        <v>482</v>
      </c>
      <c r="Q256" s="46"/>
      <c r="R256" s="25"/>
    </row>
    <row r="257" spans="1:18" ht="15.75" customHeight="1">
      <c r="A257" s="147"/>
      <c r="B257" s="152" t="s">
        <v>294</v>
      </c>
      <c r="C257" s="153" t="s">
        <v>483</v>
      </c>
      <c r="D257" s="153"/>
      <c r="E257" s="154">
        <v>195</v>
      </c>
      <c r="F257" s="155">
        <v>325</v>
      </c>
      <c r="G257" s="156">
        <v>760</v>
      </c>
      <c r="H257" s="155"/>
      <c r="I257" s="155"/>
      <c r="J257" s="155"/>
      <c r="K257" s="157"/>
      <c r="L257" s="157"/>
      <c r="M257" s="157"/>
      <c r="N257" s="157"/>
      <c r="O257" s="157"/>
      <c r="P257"/>
      <c r="Q257" s="158">
        <v>1</v>
      </c>
      <c r="R257" s="159" t="s">
        <v>484</v>
      </c>
    </row>
    <row r="258" spans="1:18" ht="15.75" customHeight="1">
      <c r="A258" s="160"/>
      <c r="B258" s="152" t="s">
        <v>297</v>
      </c>
      <c r="C258" s="153" t="s">
        <v>485</v>
      </c>
      <c r="D258" s="153"/>
      <c r="E258" s="154"/>
      <c r="F258" s="155">
        <v>72</v>
      </c>
      <c r="G258" s="156">
        <v>392</v>
      </c>
      <c r="H258" s="155">
        <f>G258*1.1</f>
        <v>431.20000000000005</v>
      </c>
      <c r="I258" s="155">
        <f>G258*1.2</f>
        <v>470.4</v>
      </c>
      <c r="J258" s="155">
        <f>G258*1.3</f>
        <v>509.6</v>
      </c>
      <c r="K258" s="161">
        <f>G258*1.4</f>
        <v>548.79999999999995</v>
      </c>
      <c r="L258" s="161">
        <f>G258*1.5</f>
        <v>588</v>
      </c>
      <c r="M258" s="161">
        <f>G258*1.6</f>
        <v>627.20000000000005</v>
      </c>
      <c r="N258" s="161">
        <f>G258*1.7</f>
        <v>666.4</v>
      </c>
      <c r="O258" s="161">
        <f>G258*1.8</f>
        <v>705.6</v>
      </c>
      <c r="P258" s="161">
        <f>H258*1.9</f>
        <v>819.28000000000009</v>
      </c>
      <c r="Q258" s="158">
        <v>1</v>
      </c>
      <c r="R258" s="159" t="s">
        <v>484</v>
      </c>
    </row>
    <row r="259" spans="1:18" ht="15.75" customHeight="1">
      <c r="A259" s="160"/>
      <c r="B259" s="152" t="s">
        <v>430</v>
      </c>
      <c r="C259" s="153" t="s">
        <v>486</v>
      </c>
      <c r="D259" s="153"/>
      <c r="E259" s="155"/>
      <c r="F259" s="155">
        <v>369</v>
      </c>
      <c r="G259" s="156">
        <v>1209</v>
      </c>
      <c r="H259" s="162"/>
      <c r="I259" s="163"/>
      <c r="J259" s="163"/>
      <c r="K259" s="164"/>
      <c r="L259" s="164"/>
      <c r="M259" s="164"/>
      <c r="N259" s="164"/>
      <c r="O259" s="164"/>
      <c r="P259" s="164"/>
      <c r="Q259" s="158">
        <v>1</v>
      </c>
      <c r="R259" s="159" t="s">
        <v>484</v>
      </c>
    </row>
    <row r="260" spans="1:18" ht="15.75" customHeight="1">
      <c r="A260" s="160"/>
      <c r="B260" s="152" t="s">
        <v>433</v>
      </c>
      <c r="C260" s="153" t="s">
        <v>487</v>
      </c>
      <c r="D260" s="153"/>
      <c r="E260" s="155"/>
      <c r="F260" s="155">
        <v>1566</v>
      </c>
      <c r="G260" s="156">
        <v>1833</v>
      </c>
      <c r="H260" s="162"/>
      <c r="I260" s="163"/>
      <c r="J260" s="163"/>
      <c r="K260" s="164"/>
      <c r="L260" s="164"/>
      <c r="M260" s="164"/>
      <c r="N260" s="164"/>
      <c r="O260" s="164"/>
      <c r="P260" s="164"/>
      <c r="Q260" s="158">
        <v>1</v>
      </c>
      <c r="R260" s="159" t="s">
        <v>484</v>
      </c>
    </row>
    <row r="261" spans="1:18" ht="15.75" customHeight="1">
      <c r="A261" s="160"/>
      <c r="B261" s="160"/>
      <c r="C261" s="165"/>
      <c r="D261" s="165"/>
      <c r="E261" s="166"/>
      <c r="F261" s="167"/>
      <c r="G261" s="167"/>
      <c r="H261" s="168"/>
      <c r="I261" s="169"/>
      <c r="J261" s="169"/>
      <c r="K261" s="164"/>
      <c r="L261" s="164"/>
      <c r="M261" s="164"/>
      <c r="N261" s="164"/>
      <c r="O261" s="164"/>
      <c r="P261" s="164"/>
      <c r="Q261" s="170"/>
      <c r="R261" s="171"/>
    </row>
    <row r="262" spans="1:18" ht="15" customHeight="1">
      <c r="A262" s="147">
        <f>A254+1</f>
        <v>172</v>
      </c>
      <c r="B262" s="147"/>
      <c r="C262" s="1987" t="s">
        <v>472</v>
      </c>
      <c r="D262" s="1987"/>
      <c r="E262" s="1987"/>
      <c r="F262" s="1987"/>
      <c r="G262" s="1987"/>
      <c r="H262" s="1987"/>
      <c r="I262" s="1987"/>
      <c r="J262" s="1987"/>
      <c r="K262" s="1987"/>
      <c r="L262" s="1987"/>
      <c r="M262" s="1987"/>
      <c r="N262" s="1987"/>
      <c r="O262" s="1987"/>
      <c r="P262" s="1987"/>
      <c r="Q262" s="1987"/>
      <c r="R262" s="1987"/>
    </row>
    <row r="263" spans="1:18" ht="25.5" customHeight="1">
      <c r="A263" s="147"/>
      <c r="B263" s="147"/>
      <c r="C263" s="131"/>
      <c r="D263" s="146" t="s">
        <v>34</v>
      </c>
      <c r="E263" s="149" t="s">
        <v>27</v>
      </c>
      <c r="F263" s="146" t="s">
        <v>452</v>
      </c>
      <c r="G263" s="1986" t="s">
        <v>453</v>
      </c>
      <c r="H263" s="1986"/>
      <c r="I263" s="1986"/>
      <c r="J263" s="1986"/>
      <c r="K263" s="1986"/>
      <c r="L263" s="1986"/>
      <c r="M263" s="1986"/>
      <c r="N263" s="172"/>
      <c r="O263" s="172"/>
      <c r="P263" s="172"/>
      <c r="Q263" s="1986" t="s">
        <v>30</v>
      </c>
      <c r="R263" s="1986"/>
    </row>
    <row r="264" spans="1:18" ht="25.35" customHeight="1">
      <c r="A264" s="147"/>
      <c r="B264" s="147"/>
      <c r="C264" s="131"/>
      <c r="D264" s="131"/>
      <c r="E264" s="151"/>
      <c r="F264" s="131"/>
      <c r="G264" s="20" t="s">
        <v>473</v>
      </c>
      <c r="H264" s="134" t="s">
        <v>474</v>
      </c>
      <c r="I264" s="134" t="s">
        <v>475</v>
      </c>
      <c r="J264" s="134" t="s">
        <v>476</v>
      </c>
      <c r="K264" s="134" t="s">
        <v>477</v>
      </c>
      <c r="L264" s="134" t="s">
        <v>478</v>
      </c>
      <c r="M264" s="134" t="s">
        <v>479</v>
      </c>
      <c r="N264" s="134" t="s">
        <v>480</v>
      </c>
      <c r="O264" s="134" t="s">
        <v>481</v>
      </c>
      <c r="P264" s="134" t="s">
        <v>482</v>
      </c>
      <c r="Q264" s="46"/>
      <c r="R264" s="25"/>
    </row>
    <row r="265" spans="1:18" ht="15.75" customHeight="1">
      <c r="A265" s="160"/>
      <c r="B265" s="152" t="s">
        <v>294</v>
      </c>
      <c r="C265" s="153" t="s">
        <v>488</v>
      </c>
      <c r="D265" s="153"/>
      <c r="E265" s="173">
        <v>198</v>
      </c>
      <c r="F265" s="174">
        <v>1330</v>
      </c>
      <c r="G265" s="167">
        <v>1945</v>
      </c>
      <c r="H265" s="175">
        <v>2140</v>
      </c>
      <c r="I265" s="175">
        <v>2334</v>
      </c>
      <c r="J265" s="175">
        <v>2529</v>
      </c>
      <c r="K265" s="175">
        <v>2723</v>
      </c>
      <c r="L265" s="175">
        <v>2918</v>
      </c>
      <c r="M265" s="175">
        <v>3112</v>
      </c>
      <c r="N265" s="175">
        <v>3307</v>
      </c>
      <c r="O265" s="175">
        <v>3501</v>
      </c>
      <c r="P265" s="175">
        <v>3696</v>
      </c>
      <c r="Q265" s="158">
        <v>1</v>
      </c>
      <c r="R265" s="159" t="s">
        <v>484</v>
      </c>
    </row>
    <row r="266" spans="1:18" ht="15.75" customHeight="1">
      <c r="A266" s="160"/>
      <c r="B266" s="152" t="s">
        <v>297</v>
      </c>
      <c r="C266" s="153" t="s">
        <v>489</v>
      </c>
      <c r="D266" s="153"/>
      <c r="E266" s="176"/>
      <c r="F266" s="174">
        <v>263</v>
      </c>
      <c r="G266" s="167">
        <v>299</v>
      </c>
      <c r="H266" s="175">
        <v>329</v>
      </c>
      <c r="I266" s="175">
        <v>359</v>
      </c>
      <c r="J266" s="175">
        <v>389</v>
      </c>
      <c r="K266" s="175">
        <v>419</v>
      </c>
      <c r="L266" s="175">
        <v>449</v>
      </c>
      <c r="M266" s="175">
        <v>478</v>
      </c>
      <c r="N266" s="175">
        <v>508</v>
      </c>
      <c r="O266" s="175">
        <v>538</v>
      </c>
      <c r="P266" s="175">
        <v>568</v>
      </c>
      <c r="Q266" s="158">
        <v>1</v>
      </c>
      <c r="R266" s="159" t="s">
        <v>46</v>
      </c>
    </row>
    <row r="267" spans="1:18" ht="15.75" customHeight="1">
      <c r="A267" s="160"/>
      <c r="B267" s="152" t="s">
        <v>430</v>
      </c>
      <c r="C267" s="153" t="s">
        <v>490</v>
      </c>
      <c r="D267" s="153"/>
      <c r="E267" s="176"/>
      <c r="F267" s="174">
        <v>400</v>
      </c>
      <c r="G267" s="167">
        <v>2732</v>
      </c>
      <c r="H267" s="175">
        <v>3005</v>
      </c>
      <c r="I267" s="175">
        <v>3278</v>
      </c>
      <c r="J267" s="175">
        <v>3552</v>
      </c>
      <c r="K267" s="175">
        <v>3825</v>
      </c>
      <c r="L267" s="175">
        <v>4098</v>
      </c>
      <c r="M267" s="175">
        <v>4371</v>
      </c>
      <c r="N267" s="175">
        <v>4644</v>
      </c>
      <c r="O267" s="175">
        <v>4918</v>
      </c>
      <c r="P267" s="175">
        <v>5191</v>
      </c>
      <c r="Q267" s="158">
        <v>1</v>
      </c>
      <c r="R267" s="159" t="s">
        <v>484</v>
      </c>
    </row>
    <row r="268" spans="1:18" ht="15.75" customHeight="1">
      <c r="A268" s="160"/>
      <c r="B268" s="152" t="s">
        <v>433</v>
      </c>
      <c r="C268" s="153" t="s">
        <v>491</v>
      </c>
      <c r="D268" s="153"/>
      <c r="E268" s="176"/>
      <c r="F268" s="174">
        <v>2349</v>
      </c>
      <c r="G268" s="167">
        <v>2291</v>
      </c>
      <c r="H268" s="175">
        <v>2520</v>
      </c>
      <c r="I268" s="175">
        <v>2749</v>
      </c>
      <c r="J268" s="175">
        <v>2978</v>
      </c>
      <c r="K268" s="175">
        <v>3207</v>
      </c>
      <c r="L268" s="175">
        <v>3437</v>
      </c>
      <c r="M268" s="175">
        <v>3666</v>
      </c>
      <c r="N268" s="175">
        <v>3895</v>
      </c>
      <c r="O268" s="175">
        <v>4124</v>
      </c>
      <c r="P268" s="175">
        <v>4353</v>
      </c>
      <c r="Q268" s="158">
        <v>1</v>
      </c>
      <c r="R268" s="159" t="s">
        <v>484</v>
      </c>
    </row>
    <row r="269" spans="1:18" ht="15.75" customHeight="1">
      <c r="A269" s="160"/>
      <c r="B269" s="152" t="s">
        <v>436</v>
      </c>
      <c r="C269" s="153" t="s">
        <v>492</v>
      </c>
      <c r="D269" s="153"/>
      <c r="E269" s="176"/>
      <c r="F269" s="174">
        <v>266</v>
      </c>
      <c r="G269" s="167">
        <v>260</v>
      </c>
      <c r="H269" s="175">
        <v>286</v>
      </c>
      <c r="I269" s="175">
        <v>312</v>
      </c>
      <c r="J269" s="175">
        <v>338</v>
      </c>
      <c r="K269" s="175">
        <v>364</v>
      </c>
      <c r="L269" s="175">
        <v>390</v>
      </c>
      <c r="M269" s="175">
        <v>416</v>
      </c>
      <c r="N269" s="175">
        <v>442</v>
      </c>
      <c r="O269" s="175">
        <v>468</v>
      </c>
      <c r="P269" s="175">
        <v>494</v>
      </c>
      <c r="Q269" s="158">
        <v>1</v>
      </c>
      <c r="R269" s="159" t="s">
        <v>46</v>
      </c>
    </row>
    <row r="270" spans="1:18" ht="15.75" customHeight="1">
      <c r="A270" s="160"/>
      <c r="B270" s="152" t="s">
        <v>439</v>
      </c>
      <c r="C270" s="153" t="s">
        <v>493</v>
      </c>
      <c r="D270" s="153"/>
      <c r="E270" s="176"/>
      <c r="F270" s="174">
        <v>274</v>
      </c>
      <c r="G270" s="167">
        <v>267</v>
      </c>
      <c r="H270" s="175">
        <v>294</v>
      </c>
      <c r="I270" s="175">
        <v>320</v>
      </c>
      <c r="J270" s="175">
        <v>347</v>
      </c>
      <c r="K270" s="175">
        <v>374</v>
      </c>
      <c r="L270" s="175">
        <v>401</v>
      </c>
      <c r="M270" s="175">
        <v>427</v>
      </c>
      <c r="N270" s="175">
        <v>454</v>
      </c>
      <c r="O270" s="175">
        <v>481</v>
      </c>
      <c r="P270" s="175">
        <v>507</v>
      </c>
      <c r="Q270" s="158">
        <v>1</v>
      </c>
      <c r="R270" s="159" t="s">
        <v>46</v>
      </c>
    </row>
    <row r="272" spans="1:18" ht="15.75" customHeight="1">
      <c r="A272" s="160"/>
      <c r="B272" s="160"/>
      <c r="C272" s="177"/>
      <c r="D272" s="178"/>
      <c r="E272" s="179"/>
      <c r="F272" s="180"/>
      <c r="G272" s="180"/>
      <c r="H272" s="181"/>
      <c r="I272" s="182"/>
      <c r="J272" s="182"/>
      <c r="K272" s="183"/>
      <c r="L272" s="183"/>
      <c r="M272" s="183"/>
      <c r="N272" s="183"/>
      <c r="O272" s="183"/>
      <c r="P272" s="183"/>
      <c r="Q272" s="184"/>
      <c r="R272" s="185"/>
    </row>
    <row r="273" spans="1:19" ht="27" customHeight="1">
      <c r="A273" s="147">
        <f>A262+1</f>
        <v>173</v>
      </c>
      <c r="B273" s="147"/>
      <c r="C273" s="1987" t="s">
        <v>494</v>
      </c>
      <c r="D273" s="1987"/>
      <c r="E273" s="1987"/>
      <c r="F273" s="1987"/>
      <c r="G273" s="1987"/>
      <c r="H273" s="1987"/>
      <c r="I273" s="1987"/>
      <c r="J273" s="1987"/>
      <c r="K273" s="1987"/>
      <c r="L273" s="1987"/>
      <c r="M273" s="1987"/>
      <c r="N273" s="1987"/>
      <c r="O273" s="1987"/>
      <c r="P273" s="1987"/>
      <c r="Q273" s="1987"/>
      <c r="R273" s="1987"/>
    </row>
    <row r="274" spans="1:19" ht="25.5" customHeight="1">
      <c r="A274" s="147"/>
      <c r="B274" s="147"/>
      <c r="C274" s="131"/>
      <c r="D274" s="146" t="s">
        <v>34</v>
      </c>
      <c r="E274" s="149" t="s">
        <v>27</v>
      </c>
      <c r="F274" s="146" t="s">
        <v>452</v>
      </c>
      <c r="G274" s="1986" t="s">
        <v>453</v>
      </c>
      <c r="H274" s="1986"/>
      <c r="I274" s="1986"/>
      <c r="J274" s="1986"/>
      <c r="K274" s="1986"/>
      <c r="L274" s="1986"/>
      <c r="M274" s="1986"/>
      <c r="N274" s="172"/>
      <c r="O274" s="172"/>
      <c r="P274" s="172"/>
      <c r="Q274" s="1986" t="s">
        <v>30</v>
      </c>
      <c r="R274" s="1986"/>
    </row>
    <row r="275" spans="1:19" ht="25.35" customHeight="1">
      <c r="A275" s="147"/>
      <c r="B275" s="147"/>
      <c r="C275" s="131"/>
      <c r="D275" s="131"/>
      <c r="E275" s="151"/>
      <c r="F275" s="131"/>
      <c r="G275" s="20" t="s">
        <v>473</v>
      </c>
      <c r="H275" s="134" t="s">
        <v>474</v>
      </c>
      <c r="I275" s="134" t="s">
        <v>475</v>
      </c>
      <c r="J275" s="134" t="s">
        <v>476</v>
      </c>
      <c r="K275" s="134" t="s">
        <v>477</v>
      </c>
      <c r="L275" s="134" t="s">
        <v>478</v>
      </c>
      <c r="M275" s="134" t="s">
        <v>479</v>
      </c>
      <c r="N275" s="134" t="s">
        <v>480</v>
      </c>
      <c r="O275" s="134" t="s">
        <v>481</v>
      </c>
      <c r="P275" s="134" t="s">
        <v>482</v>
      </c>
      <c r="Q275" s="46"/>
      <c r="R275" s="25"/>
    </row>
    <row r="276" spans="1:19" s="17" customFormat="1" ht="15.75" customHeight="1">
      <c r="A276" s="160"/>
      <c r="B276" s="186" t="s">
        <v>294</v>
      </c>
      <c r="C276" s="187" t="s">
        <v>488</v>
      </c>
      <c r="D276" s="187"/>
      <c r="E276" s="188">
        <v>199</v>
      </c>
      <c r="F276" s="167">
        <v>886</v>
      </c>
      <c r="G276" s="175">
        <v>1489</v>
      </c>
      <c r="H276" s="175">
        <v>1638</v>
      </c>
      <c r="I276" s="175">
        <v>1787</v>
      </c>
      <c r="J276" s="175">
        <v>1936</v>
      </c>
      <c r="K276" s="175">
        <v>2085</v>
      </c>
      <c r="L276" s="175">
        <v>2234</v>
      </c>
      <c r="M276" s="175">
        <v>2382</v>
      </c>
      <c r="N276" s="175">
        <v>2531</v>
      </c>
      <c r="O276" s="175">
        <v>2680</v>
      </c>
      <c r="P276" s="175">
        <v>2829</v>
      </c>
      <c r="Q276" s="170">
        <v>1</v>
      </c>
      <c r="R276" s="171" t="s">
        <v>484</v>
      </c>
      <c r="S276" s="189">
        <v>2607</v>
      </c>
    </row>
    <row r="277" spans="1:19" s="17" customFormat="1" ht="15.75" customHeight="1">
      <c r="A277" s="160"/>
      <c r="B277" s="186" t="s">
        <v>297</v>
      </c>
      <c r="C277" s="187" t="s">
        <v>489</v>
      </c>
      <c r="D277" s="187"/>
      <c r="E277" s="190"/>
      <c r="F277" s="167">
        <v>175</v>
      </c>
      <c r="G277" s="175">
        <v>229</v>
      </c>
      <c r="H277" s="175">
        <v>252</v>
      </c>
      <c r="I277" s="175">
        <v>275</v>
      </c>
      <c r="J277" s="175">
        <v>298</v>
      </c>
      <c r="K277" s="175">
        <v>321</v>
      </c>
      <c r="L277" s="175">
        <v>344</v>
      </c>
      <c r="M277" s="175">
        <v>366</v>
      </c>
      <c r="N277" s="175">
        <v>389</v>
      </c>
      <c r="O277" s="175">
        <v>412</v>
      </c>
      <c r="P277" s="175">
        <v>435</v>
      </c>
      <c r="Q277" s="170">
        <v>1</v>
      </c>
      <c r="R277" s="171" t="s">
        <v>46</v>
      </c>
      <c r="S277" s="189">
        <v>400</v>
      </c>
    </row>
    <row r="278" spans="1:19" s="17" customFormat="1" ht="15.75" customHeight="1">
      <c r="A278" s="160"/>
      <c r="B278" s="186" t="s">
        <v>430</v>
      </c>
      <c r="C278" s="187" t="s">
        <v>490</v>
      </c>
      <c r="D278" s="187"/>
      <c r="E278" s="190"/>
      <c r="F278" s="167">
        <v>267</v>
      </c>
      <c r="G278" s="175">
        <v>2091</v>
      </c>
      <c r="H278" s="175">
        <v>2300</v>
      </c>
      <c r="I278" s="175">
        <v>2509</v>
      </c>
      <c r="J278" s="175">
        <v>2718</v>
      </c>
      <c r="K278" s="175">
        <v>2927</v>
      </c>
      <c r="L278" s="175">
        <v>3137</v>
      </c>
      <c r="M278" s="175">
        <v>3346</v>
      </c>
      <c r="N278" s="175">
        <v>3555</v>
      </c>
      <c r="O278" s="175">
        <v>3764</v>
      </c>
      <c r="P278" s="175">
        <v>3973</v>
      </c>
      <c r="Q278" s="170">
        <v>1</v>
      </c>
      <c r="R278" s="171" t="s">
        <v>484</v>
      </c>
      <c r="S278" s="189">
        <v>3663</v>
      </c>
    </row>
    <row r="279" spans="1:19" s="17" customFormat="1" ht="15.75" customHeight="1">
      <c r="A279" s="160"/>
      <c r="B279" s="186" t="s">
        <v>433</v>
      </c>
      <c r="C279" s="187" t="s">
        <v>491</v>
      </c>
      <c r="D279" s="187"/>
      <c r="E279" s="190"/>
      <c r="F279" s="167">
        <v>1566</v>
      </c>
      <c r="G279" s="175">
        <v>1753</v>
      </c>
      <c r="H279" s="175">
        <v>1928</v>
      </c>
      <c r="I279" s="175">
        <v>2104</v>
      </c>
      <c r="J279" s="175">
        <v>2279</v>
      </c>
      <c r="K279" s="175">
        <v>2454</v>
      </c>
      <c r="L279" s="175">
        <v>2630</v>
      </c>
      <c r="M279" s="175">
        <v>2805</v>
      </c>
      <c r="N279" s="175">
        <v>2980</v>
      </c>
      <c r="O279" s="175">
        <v>3155</v>
      </c>
      <c r="P279" s="175">
        <v>3331</v>
      </c>
      <c r="Q279" s="170">
        <v>1</v>
      </c>
      <c r="R279" s="171" t="s">
        <v>484</v>
      </c>
      <c r="S279" s="189">
        <v>3071</v>
      </c>
    </row>
    <row r="280" spans="1:19" s="17" customFormat="1" ht="15.75" customHeight="1">
      <c r="A280" s="160"/>
      <c r="B280" s="186" t="s">
        <v>436</v>
      </c>
      <c r="C280" s="187" t="s">
        <v>492</v>
      </c>
      <c r="D280" s="187"/>
      <c r="E280" s="190"/>
      <c r="F280" s="167">
        <v>177</v>
      </c>
      <c r="G280" s="175">
        <v>199</v>
      </c>
      <c r="H280" s="175">
        <v>219</v>
      </c>
      <c r="I280" s="175">
        <v>239</v>
      </c>
      <c r="J280" s="175">
        <v>259</v>
      </c>
      <c r="K280" s="175">
        <v>279</v>
      </c>
      <c r="L280" s="175">
        <v>299</v>
      </c>
      <c r="M280" s="175">
        <v>318</v>
      </c>
      <c r="N280" s="175">
        <v>338</v>
      </c>
      <c r="O280" s="175">
        <v>358</v>
      </c>
      <c r="P280" s="175">
        <v>378</v>
      </c>
      <c r="Q280" s="170">
        <v>1</v>
      </c>
      <c r="R280" s="171" t="s">
        <v>46</v>
      </c>
      <c r="S280" s="189">
        <v>348</v>
      </c>
    </row>
    <row r="281" spans="1:19" s="17" customFormat="1" ht="15.75" customHeight="1">
      <c r="A281" s="160"/>
      <c r="B281" s="186" t="s">
        <v>439</v>
      </c>
      <c r="C281" s="187" t="s">
        <v>493</v>
      </c>
      <c r="D281" s="187"/>
      <c r="E281" s="190"/>
      <c r="F281" s="167">
        <v>183</v>
      </c>
      <c r="G281" s="175">
        <v>204</v>
      </c>
      <c r="H281" s="175">
        <v>224</v>
      </c>
      <c r="I281" s="191">
        <v>245</v>
      </c>
      <c r="J281" s="175">
        <v>265</v>
      </c>
      <c r="K281" s="175">
        <v>286</v>
      </c>
      <c r="L281" s="175">
        <v>306</v>
      </c>
      <c r="M281" s="175">
        <v>326</v>
      </c>
      <c r="N281" s="175">
        <v>347</v>
      </c>
      <c r="O281" s="175">
        <v>367</v>
      </c>
      <c r="P281" s="175">
        <v>388</v>
      </c>
      <c r="Q281" s="170">
        <v>1</v>
      </c>
      <c r="R281" s="171" t="s">
        <v>46</v>
      </c>
      <c r="S281" s="189">
        <v>359</v>
      </c>
    </row>
    <row r="282" spans="1:19" ht="25.35" customHeight="1">
      <c r="A282" s="160"/>
      <c r="B282" s="152" t="s">
        <v>442</v>
      </c>
      <c r="C282" s="153" t="s">
        <v>495</v>
      </c>
      <c r="D282" s="192" t="s">
        <v>496</v>
      </c>
      <c r="E282" s="193" t="s">
        <v>497</v>
      </c>
      <c r="F282" s="194">
        <v>1183</v>
      </c>
      <c r="G282" s="195"/>
      <c r="H282" s="195"/>
      <c r="I282" s="191"/>
      <c r="J282" s="191"/>
      <c r="K282" s="191"/>
      <c r="L282" s="191"/>
      <c r="M282" s="191"/>
      <c r="N282" s="191"/>
      <c r="O282" s="191"/>
      <c r="P282" s="191"/>
      <c r="Q282" s="158">
        <v>1</v>
      </c>
      <c r="R282" s="159" t="s">
        <v>46</v>
      </c>
    </row>
    <row r="283" spans="1:19" s="17" customFormat="1" ht="25.35" customHeight="1">
      <c r="A283" s="160">
        <f>A273+1</f>
        <v>174</v>
      </c>
      <c r="B283" s="196"/>
      <c r="C283" s="187" t="s">
        <v>498</v>
      </c>
      <c r="D283" s="197" t="s">
        <v>499</v>
      </c>
      <c r="E283" s="162">
        <v>236</v>
      </c>
      <c r="F283" s="198" t="s">
        <v>500</v>
      </c>
      <c r="G283" s="199">
        <v>21</v>
      </c>
      <c r="H283" s="200">
        <v>1</v>
      </c>
      <c r="I283" s="201" t="s">
        <v>501</v>
      </c>
      <c r="J283" s="202"/>
      <c r="K283" s="23"/>
      <c r="L283" s="23"/>
      <c r="M283" s="23"/>
      <c r="N283" s="23"/>
      <c r="O283" s="23"/>
      <c r="P283" s="23"/>
      <c r="Q283" s="23"/>
      <c r="R283" s="23"/>
    </row>
    <row r="284" spans="1:19" s="17" customFormat="1" ht="25.35" customHeight="1">
      <c r="A284" s="160"/>
      <c r="B284" s="196"/>
      <c r="C284" s="203" t="s">
        <v>502</v>
      </c>
      <c r="D284" s="204" t="s">
        <v>499</v>
      </c>
      <c r="E284" s="205">
        <v>213</v>
      </c>
      <c r="F284" s="206" t="s">
        <v>503</v>
      </c>
      <c r="G284" s="207">
        <v>41</v>
      </c>
      <c r="H284" s="208">
        <v>1</v>
      </c>
      <c r="I284" s="209" t="s">
        <v>501</v>
      </c>
      <c r="J284" s="202"/>
      <c r="K284" s="23"/>
      <c r="L284" s="23"/>
      <c r="M284" s="23"/>
      <c r="N284" s="23"/>
      <c r="O284" s="23"/>
      <c r="P284" s="23"/>
      <c r="Q284" s="23"/>
      <c r="R284" s="23"/>
    </row>
    <row r="285" spans="1:19" ht="15.75" customHeight="1">
      <c r="A285" s="160"/>
      <c r="B285" s="196"/>
      <c r="C285" s="187"/>
      <c r="D285" s="187"/>
      <c r="E285" s="210"/>
      <c r="F285" s="211"/>
      <c r="G285" s="199"/>
      <c r="H285" s="200"/>
      <c r="I285" s="201"/>
      <c r="J285" s="202"/>
      <c r="K285" s="23"/>
      <c r="L285" s="23"/>
      <c r="M285" s="23"/>
      <c r="N285" s="23"/>
      <c r="O285" s="23"/>
      <c r="P285" s="23"/>
      <c r="Q285" s="23"/>
      <c r="R285" s="23"/>
    </row>
    <row r="286" spans="1:19" ht="27" customHeight="1">
      <c r="A286" s="212"/>
      <c r="B286" s="152"/>
      <c r="C286" s="213" t="s">
        <v>504</v>
      </c>
      <c r="D286" s="1988" t="s">
        <v>505</v>
      </c>
      <c r="E286" s="1988"/>
      <c r="F286" s="169"/>
      <c r="G286" s="214"/>
      <c r="H286" s="168"/>
      <c r="I286" s="171"/>
      <c r="J286" s="202"/>
      <c r="K286" s="23"/>
      <c r="L286" s="23"/>
      <c r="M286" s="23"/>
      <c r="N286" s="23"/>
      <c r="O286" s="23"/>
      <c r="P286" s="23"/>
      <c r="Q286" s="23"/>
      <c r="R286" s="23"/>
    </row>
    <row r="287" spans="1:19" ht="15.75" customHeight="1">
      <c r="A287" s="212"/>
      <c r="B287" s="152"/>
      <c r="C287" s="213" t="s">
        <v>506</v>
      </c>
      <c r="D287" s="197"/>
      <c r="E287" s="215"/>
      <c r="F287" s="169"/>
      <c r="G287" s="214"/>
      <c r="H287" s="168"/>
      <c r="I287" s="171"/>
      <c r="J287" s="202"/>
      <c r="K287" s="23"/>
      <c r="L287" s="23"/>
      <c r="M287" s="23"/>
      <c r="N287" s="23"/>
      <c r="O287" s="23"/>
      <c r="P287" s="23"/>
      <c r="Q287" s="23"/>
      <c r="R287" s="23"/>
    </row>
    <row r="288" spans="1:19" ht="15.75" customHeight="1">
      <c r="A288" s="147">
        <f>A283+1</f>
        <v>175</v>
      </c>
      <c r="B288" s="152"/>
      <c r="C288" s="153" t="s">
        <v>507</v>
      </c>
      <c r="D288" s="153"/>
      <c r="E288" s="216">
        <v>15</v>
      </c>
      <c r="F288" s="217" t="s">
        <v>508</v>
      </c>
      <c r="G288" s="218">
        <v>685</v>
      </c>
      <c r="H288" s="219">
        <v>1</v>
      </c>
      <c r="I288" s="220" t="s">
        <v>501</v>
      </c>
      <c r="J288" s="202"/>
      <c r="K288" s="23"/>
      <c r="L288" s="23"/>
      <c r="M288" s="23"/>
      <c r="N288" s="23"/>
      <c r="O288" s="23"/>
      <c r="P288" s="23"/>
      <c r="Q288" s="23"/>
      <c r="R288" s="23"/>
    </row>
    <row r="289" spans="1:18" ht="15.75" customHeight="1">
      <c r="A289" s="147">
        <f t="shared" ref="A289:A297" si="23">A288+1</f>
        <v>176</v>
      </c>
      <c r="B289" s="152"/>
      <c r="C289" s="153" t="s">
        <v>509</v>
      </c>
      <c r="D289" s="153"/>
      <c r="E289" s="216">
        <v>15</v>
      </c>
      <c r="F289" s="217" t="s">
        <v>510</v>
      </c>
      <c r="G289" s="218">
        <v>575</v>
      </c>
      <c r="H289" s="219">
        <v>1</v>
      </c>
      <c r="I289" s="220" t="s">
        <v>501</v>
      </c>
      <c r="J289" s="202"/>
      <c r="K289" s="23"/>
      <c r="L289" s="23"/>
      <c r="M289" s="23"/>
      <c r="N289" s="23"/>
      <c r="O289" s="23"/>
      <c r="P289" s="23"/>
      <c r="Q289" s="23"/>
      <c r="R289" s="23"/>
    </row>
    <row r="290" spans="1:18" ht="15.75" customHeight="1">
      <c r="A290" s="147">
        <f t="shared" si="23"/>
        <v>177</v>
      </c>
      <c r="B290" s="152"/>
      <c r="C290" s="153" t="s">
        <v>511</v>
      </c>
      <c r="D290" s="153"/>
      <c r="E290" s="216">
        <v>15</v>
      </c>
      <c r="F290" s="217" t="s">
        <v>512</v>
      </c>
      <c r="G290" s="218">
        <v>685</v>
      </c>
      <c r="H290" s="219">
        <v>1</v>
      </c>
      <c r="I290" s="220" t="s">
        <v>501</v>
      </c>
      <c r="J290" s="202"/>
      <c r="K290" s="23"/>
      <c r="L290" s="23"/>
      <c r="M290" s="23"/>
      <c r="N290" s="23"/>
      <c r="O290" s="23"/>
      <c r="P290" s="23"/>
      <c r="Q290" s="23"/>
      <c r="R290" s="23"/>
    </row>
    <row r="291" spans="1:18" ht="15.75" customHeight="1">
      <c r="A291" s="147">
        <f t="shared" si="23"/>
        <v>178</v>
      </c>
      <c r="B291" s="152"/>
      <c r="C291" s="153" t="s">
        <v>513</v>
      </c>
      <c r="D291" s="153"/>
      <c r="E291" s="216">
        <v>15</v>
      </c>
      <c r="F291" s="217" t="s">
        <v>514</v>
      </c>
      <c r="G291" s="218">
        <v>685</v>
      </c>
      <c r="H291" s="219">
        <v>1</v>
      </c>
      <c r="I291" s="220" t="s">
        <v>501</v>
      </c>
      <c r="J291" s="202"/>
      <c r="K291" s="23"/>
      <c r="L291" s="23"/>
      <c r="M291" s="23"/>
      <c r="N291" s="23"/>
      <c r="O291" s="23"/>
      <c r="P291" s="23"/>
      <c r="Q291" s="23"/>
      <c r="R291" s="23"/>
    </row>
    <row r="292" spans="1:18" ht="15.75" customHeight="1">
      <c r="A292" s="147">
        <f t="shared" si="23"/>
        <v>179</v>
      </c>
      <c r="B292" s="152"/>
      <c r="C292" s="153" t="s">
        <v>515</v>
      </c>
      <c r="D292" s="153"/>
      <c r="E292" s="216">
        <v>15</v>
      </c>
      <c r="F292" s="217" t="s">
        <v>516</v>
      </c>
      <c r="G292" s="218">
        <v>685</v>
      </c>
      <c r="H292" s="219">
        <v>1</v>
      </c>
      <c r="I292" s="220" t="s">
        <v>501</v>
      </c>
      <c r="J292" s="202"/>
      <c r="K292" s="23"/>
      <c r="L292" s="23"/>
      <c r="M292" s="23"/>
      <c r="N292" s="23"/>
      <c r="O292" s="23"/>
      <c r="P292" s="23"/>
      <c r="Q292" s="23"/>
      <c r="R292" s="23"/>
    </row>
    <row r="293" spans="1:18" ht="15.75" customHeight="1">
      <c r="A293" s="147">
        <f t="shared" si="23"/>
        <v>180</v>
      </c>
      <c r="B293" s="152"/>
      <c r="C293" s="153" t="s">
        <v>517</v>
      </c>
      <c r="D293" s="153"/>
      <c r="E293" s="216">
        <v>15</v>
      </c>
      <c r="F293" s="217" t="s">
        <v>518</v>
      </c>
      <c r="G293" s="218">
        <v>580</v>
      </c>
      <c r="H293" s="219">
        <v>1</v>
      </c>
      <c r="I293" s="220" t="s">
        <v>501</v>
      </c>
      <c r="J293" s="202"/>
      <c r="K293" s="23"/>
      <c r="L293" s="23"/>
      <c r="M293" s="23"/>
      <c r="N293" s="23"/>
      <c r="O293" s="23"/>
      <c r="P293" s="23"/>
      <c r="Q293" s="23"/>
      <c r="R293" s="23"/>
    </row>
    <row r="294" spans="1:18" ht="15.75" customHeight="1">
      <c r="A294" s="147">
        <f t="shared" si="23"/>
        <v>181</v>
      </c>
      <c r="B294" s="152"/>
      <c r="C294" s="153" t="s">
        <v>519</v>
      </c>
      <c r="D294" s="153"/>
      <c r="E294" s="216">
        <v>15</v>
      </c>
      <c r="F294" s="217" t="s">
        <v>520</v>
      </c>
      <c r="G294" s="218">
        <v>615</v>
      </c>
      <c r="H294" s="219">
        <v>1</v>
      </c>
      <c r="I294" s="220" t="s">
        <v>501</v>
      </c>
      <c r="J294" s="202"/>
      <c r="K294" s="23"/>
      <c r="L294" s="23"/>
      <c r="M294" s="23"/>
      <c r="N294" s="23"/>
      <c r="O294" s="23"/>
      <c r="P294" s="23"/>
      <c r="Q294" s="23"/>
      <c r="R294" s="23"/>
    </row>
    <row r="295" spans="1:18" ht="25.35" customHeight="1">
      <c r="A295" s="147">
        <f t="shared" si="23"/>
        <v>182</v>
      </c>
      <c r="B295" s="152"/>
      <c r="C295" s="221" t="s">
        <v>521</v>
      </c>
      <c r="D295" s="221"/>
      <c r="E295" s="222">
        <v>15</v>
      </c>
      <c r="F295" s="223" t="s">
        <v>522</v>
      </c>
      <c r="G295" s="224">
        <v>605</v>
      </c>
      <c r="H295" s="225">
        <v>1</v>
      </c>
      <c r="I295" s="226" t="s">
        <v>501</v>
      </c>
      <c r="J295" s="202"/>
      <c r="K295" s="23"/>
      <c r="L295" s="23"/>
      <c r="M295" s="23"/>
      <c r="N295" s="23"/>
      <c r="O295" s="23"/>
      <c r="P295" s="23"/>
      <c r="Q295" s="23"/>
      <c r="R295" s="23"/>
    </row>
    <row r="296" spans="1:18" ht="15.75" customHeight="1">
      <c r="A296" s="147">
        <f t="shared" si="23"/>
        <v>183</v>
      </c>
      <c r="B296" s="152"/>
      <c r="C296" s="153" t="s">
        <v>523</v>
      </c>
      <c r="D296" s="153"/>
      <c r="E296" s="216">
        <v>16</v>
      </c>
      <c r="F296" s="217" t="s">
        <v>524</v>
      </c>
      <c r="G296" s="218">
        <v>665</v>
      </c>
      <c r="H296" s="219">
        <v>1</v>
      </c>
      <c r="I296" s="220" t="s">
        <v>501</v>
      </c>
      <c r="J296" s="202"/>
      <c r="K296" s="23"/>
      <c r="L296" s="23"/>
      <c r="M296" s="23"/>
      <c r="N296" s="23"/>
      <c r="O296" s="23"/>
      <c r="P296" s="23"/>
      <c r="Q296" s="23"/>
      <c r="R296" s="23"/>
    </row>
    <row r="297" spans="1:18" ht="15.75" customHeight="1">
      <c r="A297" s="147">
        <f t="shared" si="23"/>
        <v>184</v>
      </c>
      <c r="B297" s="152"/>
      <c r="C297" s="153" t="s">
        <v>525</v>
      </c>
      <c r="D297" s="153"/>
      <c r="E297" s="216">
        <v>16</v>
      </c>
      <c r="F297" s="217" t="s">
        <v>526</v>
      </c>
      <c r="G297" s="218">
        <v>675</v>
      </c>
      <c r="H297" s="219">
        <v>1</v>
      </c>
      <c r="I297" s="220" t="s">
        <v>501</v>
      </c>
      <c r="J297" s="202"/>
      <c r="K297" s="23"/>
      <c r="L297" s="23"/>
      <c r="M297" s="23"/>
      <c r="N297" s="23"/>
      <c r="O297" s="23"/>
      <c r="P297" s="23"/>
      <c r="Q297" s="23"/>
      <c r="R297" s="23"/>
    </row>
    <row r="298" spans="1:18" ht="15.75" customHeight="1">
      <c r="A298" s="147"/>
      <c r="B298" s="152"/>
      <c r="C298" s="213" t="s">
        <v>527</v>
      </c>
      <c r="D298" s="213"/>
      <c r="E298" s="216"/>
      <c r="F298" s="217"/>
      <c r="G298" s="227"/>
      <c r="H298" s="228"/>
      <c r="I298" s="229"/>
      <c r="J298" s="202"/>
      <c r="K298" s="23"/>
      <c r="L298" s="23"/>
      <c r="M298" s="23"/>
      <c r="N298" s="23"/>
      <c r="O298" s="23"/>
      <c r="P298" s="23"/>
      <c r="Q298" s="23"/>
      <c r="R298" s="23"/>
    </row>
    <row r="299" spans="1:18" ht="15.75" customHeight="1">
      <c r="A299" s="147">
        <f>A296+1</f>
        <v>184</v>
      </c>
      <c r="B299" s="152"/>
      <c r="C299" s="153" t="s">
        <v>528</v>
      </c>
      <c r="D299" s="153"/>
      <c r="E299" s="216">
        <v>16</v>
      </c>
      <c r="F299" s="217" t="s">
        <v>529</v>
      </c>
      <c r="G299" s="218">
        <v>550</v>
      </c>
      <c r="H299" s="219">
        <v>1</v>
      </c>
      <c r="I299" s="220" t="s">
        <v>501</v>
      </c>
      <c r="J299" s="202"/>
      <c r="K299" s="23"/>
      <c r="L299" s="23"/>
      <c r="M299" s="23"/>
      <c r="N299" s="23"/>
      <c r="O299" s="23"/>
      <c r="P299" s="23"/>
      <c r="Q299" s="23"/>
      <c r="R299" s="23"/>
    </row>
    <row r="300" spans="1:18" ht="15.75" customHeight="1">
      <c r="A300" s="147">
        <f t="shared" ref="A300:A301" si="24">A299+1</f>
        <v>185</v>
      </c>
      <c r="B300" s="152"/>
      <c r="C300" s="153" t="s">
        <v>530</v>
      </c>
      <c r="D300" s="153"/>
      <c r="E300" s="216">
        <v>16</v>
      </c>
      <c r="F300" s="217" t="s">
        <v>531</v>
      </c>
      <c r="G300" s="218">
        <v>550</v>
      </c>
      <c r="H300" s="219">
        <v>1</v>
      </c>
      <c r="I300" s="220" t="s">
        <v>501</v>
      </c>
      <c r="J300" s="202"/>
      <c r="K300" s="23"/>
      <c r="L300" s="23"/>
      <c r="M300" s="23"/>
      <c r="N300" s="23"/>
      <c r="O300" s="23"/>
      <c r="P300" s="23"/>
      <c r="Q300" s="23"/>
      <c r="R300" s="23"/>
    </row>
    <row r="301" spans="1:18" ht="15.75" customHeight="1">
      <c r="A301" s="147">
        <f t="shared" si="24"/>
        <v>186</v>
      </c>
      <c r="B301" s="152"/>
      <c r="C301" s="153" t="s">
        <v>532</v>
      </c>
      <c r="D301" s="153"/>
      <c r="E301" s="216">
        <v>17</v>
      </c>
      <c r="F301" s="217" t="s">
        <v>533</v>
      </c>
      <c r="G301" s="218">
        <v>550</v>
      </c>
      <c r="H301" s="219">
        <v>1</v>
      </c>
      <c r="I301" s="220" t="s">
        <v>501</v>
      </c>
      <c r="J301" s="202"/>
      <c r="K301" s="23"/>
      <c r="L301" s="23"/>
      <c r="M301" s="23"/>
      <c r="N301" s="23"/>
      <c r="O301" s="23"/>
      <c r="P301" s="23"/>
      <c r="Q301" s="23"/>
      <c r="R301" s="23"/>
    </row>
    <row r="302" spans="1:18" ht="15.75" customHeight="1">
      <c r="A302" s="147">
        <f>A300+1</f>
        <v>186</v>
      </c>
      <c r="B302" s="152"/>
      <c r="C302" s="153" t="s">
        <v>517</v>
      </c>
      <c r="D302" s="153"/>
      <c r="E302" s="216">
        <v>17</v>
      </c>
      <c r="F302" s="217" t="s">
        <v>534</v>
      </c>
      <c r="G302" s="218">
        <v>550</v>
      </c>
      <c r="H302" s="219">
        <v>1</v>
      </c>
      <c r="I302" s="220" t="s">
        <v>501</v>
      </c>
      <c r="J302" s="202"/>
      <c r="K302" s="23"/>
      <c r="L302" s="23"/>
      <c r="M302" s="23"/>
      <c r="N302" s="23"/>
      <c r="O302" s="23"/>
      <c r="P302" s="23"/>
      <c r="Q302" s="23"/>
      <c r="R302" s="23"/>
    </row>
    <row r="303" spans="1:18" ht="15.75" customHeight="1">
      <c r="A303" s="147">
        <f>A302+1</f>
        <v>187</v>
      </c>
      <c r="B303" s="157"/>
      <c r="C303" s="153" t="s">
        <v>535</v>
      </c>
      <c r="D303" s="153"/>
      <c r="E303" s="216">
        <v>17</v>
      </c>
      <c r="F303" s="217" t="s">
        <v>536</v>
      </c>
      <c r="G303" s="218">
        <v>550</v>
      </c>
      <c r="H303" s="219">
        <v>1</v>
      </c>
      <c r="I303" s="220" t="s">
        <v>501</v>
      </c>
      <c r="J303" s="202"/>
      <c r="K303" s="23"/>
      <c r="L303" s="23"/>
      <c r="M303" s="23"/>
      <c r="N303" s="23"/>
      <c r="O303" s="23"/>
      <c r="P303" s="23"/>
      <c r="Q303" s="23"/>
      <c r="R303" s="23"/>
    </row>
    <row r="304" spans="1:18" ht="15.75" customHeight="1">
      <c r="A304" s="147"/>
      <c r="B304" s="157"/>
      <c r="C304" s="187" t="s">
        <v>537</v>
      </c>
      <c r="D304" s="187"/>
      <c r="E304" s="230">
        <v>16</v>
      </c>
      <c r="F304" s="231" t="s">
        <v>538</v>
      </c>
      <c r="G304" s="218">
        <v>550</v>
      </c>
      <c r="H304" s="219">
        <v>1</v>
      </c>
      <c r="I304" s="220" t="s">
        <v>501</v>
      </c>
      <c r="J304" s="202"/>
      <c r="K304" s="23"/>
      <c r="L304" s="23"/>
      <c r="M304" s="23"/>
      <c r="N304" s="23"/>
      <c r="O304" s="23"/>
      <c r="P304" s="23"/>
      <c r="Q304" s="23"/>
      <c r="R304" s="23"/>
    </row>
    <row r="305" spans="1:18" ht="15.75" customHeight="1">
      <c r="A305" s="147"/>
      <c r="B305" s="157"/>
      <c r="C305" s="203" t="s">
        <v>539</v>
      </c>
      <c r="D305" s="232"/>
      <c r="E305" s="230">
        <v>16</v>
      </c>
      <c r="F305" s="231" t="s">
        <v>540</v>
      </c>
      <c r="G305" s="218">
        <v>550</v>
      </c>
      <c r="H305" s="219">
        <v>1</v>
      </c>
      <c r="I305" s="220" t="s">
        <v>501</v>
      </c>
      <c r="J305" s="202"/>
      <c r="K305" s="23"/>
      <c r="L305" s="23"/>
      <c r="M305" s="23"/>
      <c r="N305" s="23"/>
      <c r="O305" s="23"/>
      <c r="P305" s="23"/>
      <c r="Q305" s="23"/>
      <c r="R305" s="23"/>
    </row>
    <row r="306" spans="1:18" ht="15.75" customHeight="1">
      <c r="A306" s="157"/>
      <c r="B306" s="157"/>
      <c r="C306" s="213" t="s">
        <v>541</v>
      </c>
      <c r="D306" s="213"/>
      <c r="E306" s="216"/>
      <c r="F306" s="217"/>
      <c r="G306" s="227"/>
      <c r="H306" s="228"/>
      <c r="I306" s="229"/>
      <c r="J306" s="202"/>
      <c r="K306" s="23"/>
      <c r="L306" s="23"/>
      <c r="M306" s="23"/>
      <c r="N306" s="23"/>
      <c r="O306" s="23"/>
      <c r="P306" s="23"/>
      <c r="Q306" s="23"/>
      <c r="R306" s="23"/>
    </row>
    <row r="307" spans="1:18" ht="25.35" customHeight="1">
      <c r="A307" s="147">
        <f>A303+1</f>
        <v>188</v>
      </c>
      <c r="B307" s="152"/>
      <c r="C307" s="153" t="s">
        <v>542</v>
      </c>
      <c r="D307" s="153"/>
      <c r="E307" s="216">
        <v>17</v>
      </c>
      <c r="F307" s="217" t="s">
        <v>543</v>
      </c>
      <c r="G307" s="218">
        <v>520</v>
      </c>
      <c r="H307" s="219">
        <v>1</v>
      </c>
      <c r="I307" s="220" t="s">
        <v>501</v>
      </c>
      <c r="J307" s="202"/>
      <c r="K307" s="23"/>
      <c r="L307" s="23"/>
      <c r="M307" s="23"/>
      <c r="N307" s="23"/>
      <c r="O307" s="23"/>
      <c r="P307" s="23"/>
      <c r="Q307" s="23"/>
      <c r="R307" s="23"/>
    </row>
    <row r="308" spans="1:18" ht="15.75" customHeight="1">
      <c r="A308" s="147"/>
      <c r="B308" s="152"/>
      <c r="C308" s="213" t="s">
        <v>544</v>
      </c>
      <c r="D308" s="213"/>
      <c r="E308" s="233"/>
      <c r="F308" s="217"/>
      <c r="G308" s="227"/>
      <c r="H308" s="228"/>
      <c r="I308" s="229"/>
      <c r="J308" s="202"/>
      <c r="K308" s="23"/>
      <c r="L308" s="23"/>
      <c r="M308" s="23"/>
      <c r="N308" s="23"/>
      <c r="O308" s="23"/>
      <c r="P308" s="23"/>
      <c r="Q308" s="23"/>
      <c r="R308" s="23"/>
    </row>
    <row r="309" spans="1:18" ht="15.75" customHeight="1">
      <c r="A309" s="147">
        <f>A307+1</f>
        <v>189</v>
      </c>
      <c r="B309" s="152"/>
      <c r="C309" s="153" t="s">
        <v>545</v>
      </c>
      <c r="D309" s="153"/>
      <c r="E309" s="154">
        <v>1</v>
      </c>
      <c r="F309" s="217">
        <v>3</v>
      </c>
      <c r="G309" s="218">
        <v>71</v>
      </c>
      <c r="H309" s="219">
        <v>1</v>
      </c>
      <c r="I309" s="220" t="s">
        <v>97</v>
      </c>
      <c r="J309" s="202"/>
      <c r="K309" s="23"/>
      <c r="L309" s="23"/>
      <c r="M309" s="234"/>
      <c r="N309" s="234"/>
      <c r="O309" s="234"/>
      <c r="P309" s="234"/>
      <c r="Q309" s="23"/>
      <c r="R309" s="23"/>
    </row>
    <row r="310" spans="1:18" ht="15.75" customHeight="1">
      <c r="A310" s="147">
        <f t="shared" ref="A310:A324" si="25">A309+1</f>
        <v>190</v>
      </c>
      <c r="B310" s="235"/>
      <c r="C310" s="153" t="s">
        <v>546</v>
      </c>
      <c r="D310" s="153"/>
      <c r="E310" s="154">
        <v>2</v>
      </c>
      <c r="F310" s="217">
        <v>21</v>
      </c>
      <c r="G310" s="236">
        <v>12</v>
      </c>
      <c r="H310" s="237">
        <v>1</v>
      </c>
      <c r="I310" s="220" t="s">
        <v>39</v>
      </c>
      <c r="J310" s="238"/>
      <c r="K310" s="23"/>
      <c r="L310" s="23"/>
      <c r="M310" s="234"/>
      <c r="N310" s="234"/>
      <c r="O310" s="234"/>
      <c r="P310" s="234"/>
      <c r="Q310" s="23"/>
      <c r="R310" s="23"/>
    </row>
    <row r="311" spans="1:18" ht="15.75" customHeight="1">
      <c r="A311" s="147">
        <f t="shared" si="25"/>
        <v>191</v>
      </c>
      <c r="B311" s="235"/>
      <c r="C311" s="153" t="s">
        <v>547</v>
      </c>
      <c r="D311" s="153"/>
      <c r="E311" s="154">
        <v>2</v>
      </c>
      <c r="F311" s="217" t="s">
        <v>548</v>
      </c>
      <c r="G311" s="236">
        <v>630</v>
      </c>
      <c r="H311" s="237">
        <v>1</v>
      </c>
      <c r="I311" s="220" t="s">
        <v>484</v>
      </c>
      <c r="J311" s="202"/>
      <c r="K311" s="23"/>
      <c r="L311" s="23"/>
      <c r="M311" s="23"/>
      <c r="N311" s="23"/>
      <c r="O311" s="23"/>
      <c r="P311" s="23"/>
      <c r="Q311" s="23"/>
      <c r="R311" s="23"/>
    </row>
    <row r="312" spans="1:18" ht="15.75" customHeight="1">
      <c r="A312" s="147">
        <f t="shared" si="25"/>
        <v>192</v>
      </c>
      <c r="B312" s="235"/>
      <c r="C312" s="153" t="s">
        <v>549</v>
      </c>
      <c r="D312" s="153"/>
      <c r="E312" s="154">
        <v>2</v>
      </c>
      <c r="F312" s="217" t="s">
        <v>550</v>
      </c>
      <c r="G312" s="236">
        <v>630</v>
      </c>
      <c r="H312" s="237">
        <v>1</v>
      </c>
      <c r="I312" s="220" t="s">
        <v>484</v>
      </c>
      <c r="J312" s="202"/>
      <c r="K312" s="23"/>
      <c r="L312" s="23"/>
      <c r="M312" s="23"/>
      <c r="N312" s="23"/>
      <c r="O312" s="23"/>
      <c r="P312" s="23"/>
      <c r="Q312" s="23"/>
      <c r="R312" s="23"/>
    </row>
    <row r="313" spans="1:18" ht="25.35" customHeight="1">
      <c r="A313" s="147">
        <f t="shared" si="25"/>
        <v>193</v>
      </c>
      <c r="B313" s="235"/>
      <c r="C313" s="153" t="s">
        <v>551</v>
      </c>
      <c r="D313" s="153"/>
      <c r="E313" s="154">
        <v>2</v>
      </c>
      <c r="F313" s="217">
        <v>28</v>
      </c>
      <c r="G313" s="236">
        <v>830</v>
      </c>
      <c r="H313" s="237">
        <v>1</v>
      </c>
      <c r="I313" s="220" t="s">
        <v>484</v>
      </c>
      <c r="J313" s="202"/>
      <c r="K313" s="23"/>
      <c r="L313" s="23"/>
      <c r="M313" s="23"/>
      <c r="N313" s="23"/>
      <c r="O313" s="23"/>
      <c r="P313" s="23"/>
      <c r="Q313" s="23"/>
      <c r="R313" s="23"/>
    </row>
    <row r="314" spans="1:18" ht="15.75" customHeight="1">
      <c r="A314" s="147">
        <f t="shared" si="25"/>
        <v>194</v>
      </c>
      <c r="B314" s="235"/>
      <c r="C314" s="48" t="s">
        <v>552</v>
      </c>
      <c r="D314" s="48"/>
      <c r="E314" s="239">
        <v>4</v>
      </c>
      <c r="F314" s="46">
        <v>80</v>
      </c>
      <c r="G314" s="240">
        <v>108</v>
      </c>
      <c r="H314" s="139">
        <v>1</v>
      </c>
      <c r="I314" s="140" t="s">
        <v>97</v>
      </c>
      <c r="J314" s="202"/>
      <c r="K314" s="23"/>
      <c r="L314" s="23"/>
      <c r="M314" s="234"/>
      <c r="N314" s="234"/>
      <c r="O314" s="234"/>
      <c r="P314" s="234"/>
      <c r="Q314" s="23"/>
      <c r="R314" s="23"/>
    </row>
    <row r="315" spans="1:18" ht="36.6" customHeight="1">
      <c r="A315" s="147">
        <f t="shared" si="25"/>
        <v>195</v>
      </c>
      <c r="B315" s="235"/>
      <c r="C315" s="153" t="s">
        <v>553</v>
      </c>
      <c r="D315" s="241" t="s">
        <v>554</v>
      </c>
      <c r="E315" s="242">
        <v>31</v>
      </c>
      <c r="F315" s="217" t="s">
        <v>555</v>
      </c>
      <c r="G315" s="199">
        <v>108</v>
      </c>
      <c r="H315" s="237">
        <v>1</v>
      </c>
      <c r="I315" s="220" t="s">
        <v>484</v>
      </c>
      <c r="J315" s="202"/>
      <c r="K315" s="23"/>
      <c r="L315" s="23"/>
      <c r="M315" s="42"/>
      <c r="N315" s="42"/>
      <c r="O315" s="42"/>
      <c r="P315" s="42"/>
      <c r="Q315" s="23"/>
      <c r="R315" s="23"/>
    </row>
    <row r="316" spans="1:18" ht="15.75" customHeight="1">
      <c r="A316" s="147">
        <f t="shared" si="25"/>
        <v>196</v>
      </c>
      <c r="B316" s="235"/>
      <c r="C316" s="153" t="s">
        <v>556</v>
      </c>
      <c r="D316" s="153"/>
      <c r="E316" s="154">
        <v>28</v>
      </c>
      <c r="F316" s="217" t="s">
        <v>557</v>
      </c>
      <c r="G316" s="243">
        <v>800</v>
      </c>
      <c r="H316" s="237">
        <v>1</v>
      </c>
      <c r="I316" s="220" t="s">
        <v>484</v>
      </c>
      <c r="J316" s="202"/>
      <c r="K316" s="23"/>
      <c r="L316" s="23"/>
      <c r="M316" s="42"/>
      <c r="N316" s="42"/>
      <c r="O316" s="42"/>
      <c r="P316" s="42"/>
      <c r="Q316" s="23"/>
      <c r="R316" s="23"/>
    </row>
    <row r="317" spans="1:18" ht="15.75" customHeight="1">
      <c r="A317" s="147">
        <f t="shared" si="25"/>
        <v>197</v>
      </c>
      <c r="B317" s="235"/>
      <c r="C317" s="153" t="s">
        <v>558</v>
      </c>
      <c r="D317" s="153"/>
      <c r="E317" s="154">
        <v>28</v>
      </c>
      <c r="F317" s="217" t="s">
        <v>559</v>
      </c>
      <c r="G317" s="243">
        <v>950</v>
      </c>
      <c r="H317" s="237">
        <v>1</v>
      </c>
      <c r="I317" s="220" t="s">
        <v>484</v>
      </c>
      <c r="J317" s="202"/>
      <c r="K317" s="23"/>
      <c r="L317" s="23"/>
      <c r="M317" s="42"/>
      <c r="N317" s="42"/>
      <c r="O317" s="42"/>
      <c r="P317" s="42"/>
      <c r="Q317" s="23"/>
      <c r="R317" s="23"/>
    </row>
    <row r="318" spans="1:18" ht="25.35" customHeight="1">
      <c r="A318" s="147">
        <f t="shared" si="25"/>
        <v>198</v>
      </c>
      <c r="B318" s="235"/>
      <c r="C318" s="153" t="s">
        <v>560</v>
      </c>
      <c r="D318" s="153"/>
      <c r="E318" s="154">
        <v>28</v>
      </c>
      <c r="F318" s="217" t="s">
        <v>561</v>
      </c>
      <c r="G318" s="243">
        <v>1050</v>
      </c>
      <c r="H318" s="237">
        <v>1</v>
      </c>
      <c r="I318" s="220" t="s">
        <v>484</v>
      </c>
      <c r="J318" s="238"/>
      <c r="K318" s="23"/>
      <c r="L318" s="23"/>
      <c r="M318" s="42"/>
      <c r="N318" s="42"/>
      <c r="O318" s="42"/>
      <c r="P318" s="42"/>
      <c r="Q318" s="23"/>
      <c r="R318" s="23"/>
    </row>
    <row r="319" spans="1:18" ht="15.75" customHeight="1">
      <c r="A319" s="147">
        <f t="shared" si="25"/>
        <v>199</v>
      </c>
      <c r="B319" s="235"/>
      <c r="C319" s="153" t="s">
        <v>562</v>
      </c>
      <c r="D319" s="153"/>
      <c r="E319" s="154">
        <v>28</v>
      </c>
      <c r="F319" s="217" t="s">
        <v>563</v>
      </c>
      <c r="G319" s="243">
        <v>1100</v>
      </c>
      <c r="H319" s="237">
        <v>1</v>
      </c>
      <c r="I319" s="220" t="s">
        <v>484</v>
      </c>
      <c r="J319" s="202"/>
      <c r="K319" s="23"/>
      <c r="L319" s="23"/>
      <c r="M319" s="42"/>
      <c r="N319" s="42"/>
      <c r="O319" s="42"/>
      <c r="P319" s="42"/>
      <c r="Q319" s="23"/>
      <c r="R319" s="23"/>
    </row>
    <row r="320" spans="1:18" ht="15.75" customHeight="1">
      <c r="A320" s="147">
        <f t="shared" si="25"/>
        <v>200</v>
      </c>
      <c r="B320" s="235"/>
      <c r="C320" s="153" t="s">
        <v>564</v>
      </c>
      <c r="D320" s="153"/>
      <c r="E320" s="154">
        <v>28</v>
      </c>
      <c r="F320" s="217" t="s">
        <v>565</v>
      </c>
      <c r="G320" s="243">
        <v>903</v>
      </c>
      <c r="H320" s="237">
        <v>1</v>
      </c>
      <c r="I320" s="220" t="s">
        <v>484</v>
      </c>
      <c r="J320" s="202"/>
      <c r="K320" s="23"/>
      <c r="L320" s="23"/>
      <c r="M320" s="42"/>
      <c r="N320" s="42"/>
      <c r="O320" s="42"/>
      <c r="P320" s="42"/>
      <c r="Q320" s="23"/>
      <c r="R320" s="23"/>
    </row>
    <row r="321" spans="1:64" s="625" customFormat="1" ht="33.75" customHeight="1">
      <c r="A321" s="102">
        <f t="shared" si="25"/>
        <v>201</v>
      </c>
      <c r="B321" s="102"/>
      <c r="C321" s="37" t="s">
        <v>566</v>
      </c>
      <c r="D321" s="37"/>
      <c r="E321" s="244" t="s">
        <v>567</v>
      </c>
      <c r="F321" s="626" t="s">
        <v>568</v>
      </c>
      <c r="G321" s="627">
        <v>73</v>
      </c>
      <c r="H321" s="628">
        <v>1</v>
      </c>
      <c r="I321" s="102" t="s">
        <v>97</v>
      </c>
      <c r="J321" s="51"/>
      <c r="K321" s="622"/>
      <c r="L321" s="622"/>
      <c r="M321" s="103"/>
      <c r="N321" s="103"/>
      <c r="O321" s="103"/>
      <c r="P321" s="103"/>
      <c r="Q321" s="622"/>
      <c r="R321" s="622"/>
      <c r="S321" s="623"/>
      <c r="T321" s="624"/>
      <c r="U321" s="624"/>
      <c r="V321" s="624"/>
      <c r="W321" s="624"/>
      <c r="X321" s="624"/>
      <c r="Y321" s="624"/>
      <c r="Z321" s="624"/>
      <c r="AA321" s="624"/>
      <c r="AB321" s="624"/>
      <c r="AC321" s="624"/>
      <c r="AD321" s="624"/>
      <c r="AE321" s="624"/>
      <c r="AF321" s="624"/>
      <c r="AG321" s="624"/>
      <c r="AH321" s="624"/>
      <c r="AI321" s="624"/>
      <c r="AJ321" s="624"/>
      <c r="AK321" s="624"/>
      <c r="AL321" s="624"/>
      <c r="AM321" s="624"/>
      <c r="AN321" s="624"/>
      <c r="AO321" s="624"/>
      <c r="AP321" s="624"/>
      <c r="AQ321" s="624"/>
      <c r="AR321" s="624"/>
      <c r="AS321" s="624"/>
      <c r="AT321" s="624"/>
      <c r="AU321" s="624"/>
      <c r="AV321" s="624"/>
      <c r="AW321" s="624"/>
      <c r="AX321" s="624"/>
      <c r="AY321" s="624"/>
      <c r="AZ321" s="624"/>
      <c r="BA321" s="624"/>
      <c r="BB321" s="624"/>
      <c r="BC321" s="624"/>
      <c r="BD321" s="624"/>
      <c r="BE321" s="624"/>
      <c r="BF321" s="624"/>
      <c r="BG321" s="624"/>
      <c r="BH321" s="624"/>
      <c r="BI321" s="624"/>
      <c r="BJ321" s="624"/>
      <c r="BK321" s="624"/>
      <c r="BL321" s="624"/>
    </row>
    <row r="322" spans="1:64" ht="15.75" customHeight="1">
      <c r="A322" s="147">
        <f t="shared" si="25"/>
        <v>202</v>
      </c>
      <c r="B322" s="235"/>
      <c r="C322" s="153" t="s">
        <v>569</v>
      </c>
      <c r="D322" s="153"/>
      <c r="E322" s="245">
        <v>34</v>
      </c>
      <c r="F322" s="246">
        <v>276</v>
      </c>
      <c r="G322" s="199">
        <v>108</v>
      </c>
      <c r="H322" s="247">
        <v>1</v>
      </c>
      <c r="I322" s="220" t="s">
        <v>570</v>
      </c>
      <c r="J322" s="202"/>
      <c r="K322" s="23"/>
      <c r="L322" s="23"/>
      <c r="M322" s="42"/>
      <c r="N322" s="42"/>
      <c r="O322" s="42"/>
      <c r="P322" s="42"/>
      <c r="Q322" s="23"/>
      <c r="R322" s="23"/>
    </row>
    <row r="323" spans="1:64" ht="15.75" customHeight="1">
      <c r="A323" s="147">
        <f t="shared" si="25"/>
        <v>203</v>
      </c>
      <c r="B323" s="235"/>
      <c r="C323" s="153" t="s">
        <v>571</v>
      </c>
      <c r="D323" s="153"/>
      <c r="E323" s="248">
        <v>34</v>
      </c>
      <c r="F323" s="246">
        <v>275</v>
      </c>
      <c r="G323" s="199">
        <v>80</v>
      </c>
      <c r="H323" s="247">
        <v>1</v>
      </c>
      <c r="I323" s="220" t="s">
        <v>570</v>
      </c>
      <c r="J323" s="202"/>
      <c r="K323" s="23"/>
      <c r="L323" s="23"/>
      <c r="M323" s="42"/>
      <c r="N323" s="42"/>
      <c r="O323" s="42"/>
      <c r="P323" s="42"/>
      <c r="Q323" s="23"/>
      <c r="R323" s="23"/>
    </row>
    <row r="324" spans="1:64" s="625" customFormat="1" ht="25.35" customHeight="1">
      <c r="A324" s="58">
        <f t="shared" si="25"/>
        <v>204</v>
      </c>
      <c r="B324" s="112"/>
      <c r="C324" s="621" t="s">
        <v>572</v>
      </c>
      <c r="D324" s="620" t="s">
        <v>573</v>
      </c>
      <c r="E324" s="80"/>
      <c r="F324" s="35" t="s">
        <v>574</v>
      </c>
      <c r="G324" s="85">
        <v>227</v>
      </c>
      <c r="H324" s="139">
        <v>1</v>
      </c>
      <c r="I324" s="140" t="s">
        <v>197</v>
      </c>
      <c r="J324" s="51"/>
      <c r="K324" s="622"/>
      <c r="L324" s="622"/>
      <c r="M324" s="622"/>
      <c r="N324" s="622"/>
      <c r="O324" s="622"/>
      <c r="P324" s="622"/>
      <c r="Q324" s="622"/>
      <c r="R324" s="622" t="s">
        <v>575</v>
      </c>
      <c r="S324" s="623"/>
      <c r="T324" s="624"/>
      <c r="U324" s="624"/>
      <c r="V324" s="624"/>
      <c r="W324" s="624"/>
      <c r="X324" s="624"/>
      <c r="Y324" s="624"/>
      <c r="Z324" s="624"/>
      <c r="AA324" s="624"/>
      <c r="AB324" s="624"/>
      <c r="AC324" s="624"/>
      <c r="AD324" s="624"/>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row>
    <row r="325" spans="1:64" s="625" customFormat="1" ht="25.35" customHeight="1">
      <c r="A325" s="58"/>
      <c r="B325" s="112"/>
      <c r="C325" s="621" t="s">
        <v>576</v>
      </c>
      <c r="D325" s="620" t="s">
        <v>573</v>
      </c>
      <c r="E325" s="80"/>
      <c r="F325" s="35" t="s">
        <v>574</v>
      </c>
      <c r="G325" s="85">
        <v>483</v>
      </c>
      <c r="H325" s="139">
        <v>1</v>
      </c>
      <c r="I325" s="140" t="s">
        <v>197</v>
      </c>
      <c r="J325" s="51"/>
      <c r="K325" s="622"/>
      <c r="L325" s="622"/>
      <c r="M325" s="622"/>
      <c r="N325" s="622"/>
      <c r="O325" s="622"/>
      <c r="P325" s="622"/>
      <c r="Q325" s="622"/>
      <c r="R325" s="622"/>
      <c r="S325" s="623"/>
      <c r="T325" s="624"/>
      <c r="U325" s="624"/>
      <c r="V325" s="624"/>
      <c r="W325" s="624"/>
      <c r="X325" s="624"/>
      <c r="Y325" s="624"/>
      <c r="Z325" s="624"/>
      <c r="AA325" s="624"/>
      <c r="AB325" s="624"/>
      <c r="AC325" s="624"/>
      <c r="AD325" s="624"/>
      <c r="AE325" s="624"/>
      <c r="AF325" s="624"/>
      <c r="AG325" s="624"/>
      <c r="AH325" s="624"/>
      <c r="AI325" s="624"/>
      <c r="AJ325" s="624"/>
      <c r="AK325" s="624"/>
      <c r="AL325" s="624"/>
      <c r="AM325" s="624"/>
      <c r="AN325" s="624"/>
      <c r="AO325" s="624"/>
      <c r="AP325" s="624"/>
      <c r="AQ325" s="624"/>
      <c r="AR325" s="624"/>
      <c r="AS325" s="624"/>
      <c r="AT325" s="624"/>
      <c r="AU325" s="624"/>
      <c r="AV325" s="624"/>
      <c r="AW325" s="624"/>
      <c r="AX325" s="624"/>
      <c r="AY325" s="624"/>
      <c r="AZ325" s="624"/>
      <c r="BA325" s="624"/>
      <c r="BB325" s="624"/>
      <c r="BC325" s="624"/>
      <c r="BD325" s="624"/>
      <c r="BE325" s="624"/>
      <c r="BF325" s="624"/>
      <c r="BG325" s="624"/>
      <c r="BH325" s="624"/>
      <c r="BI325" s="624"/>
      <c r="BJ325" s="624"/>
      <c r="BK325" s="624"/>
      <c r="BL325" s="624"/>
    </row>
    <row r="326" spans="1:64" ht="15.75" customHeight="1">
      <c r="A326" s="160"/>
      <c r="B326" s="196"/>
      <c r="C326" s="250"/>
      <c r="D326" s="250"/>
      <c r="E326" s="242"/>
      <c r="F326" s="251"/>
      <c r="G326" s="199"/>
      <c r="H326" s="200"/>
      <c r="I326" s="201"/>
      <c r="J326" s="202"/>
      <c r="K326" s="23"/>
      <c r="L326" s="23"/>
      <c r="M326" s="23"/>
      <c r="N326" s="23"/>
      <c r="O326" s="23"/>
      <c r="P326" s="23"/>
      <c r="Q326" s="23"/>
      <c r="R326" s="23"/>
    </row>
    <row r="327" spans="1:64" ht="38.85" customHeight="1">
      <c r="A327" s="160">
        <f>A324+1</f>
        <v>205</v>
      </c>
      <c r="B327" s="160"/>
      <c r="C327" s="20" t="s">
        <v>577</v>
      </c>
      <c r="D327" s="192" t="s">
        <v>505</v>
      </c>
      <c r="E327" s="252" t="s">
        <v>27</v>
      </c>
      <c r="F327" s="253"/>
      <c r="G327" s="21" t="s">
        <v>578</v>
      </c>
      <c r="H327" s="254"/>
      <c r="I327" s="255"/>
      <c r="J327" s="21" t="s">
        <v>579</v>
      </c>
      <c r="K327" s="23"/>
      <c r="L327" s="23"/>
      <c r="M327" s="23"/>
      <c r="N327" s="23"/>
      <c r="O327" s="23"/>
      <c r="P327" s="23"/>
      <c r="Q327" s="23"/>
      <c r="R327" s="23"/>
    </row>
    <row r="328" spans="1:64" ht="15.75" customHeight="1">
      <c r="A328" s="147"/>
      <c r="B328" s="152" t="s">
        <v>294</v>
      </c>
      <c r="C328" s="157" t="s">
        <v>580</v>
      </c>
      <c r="D328" s="157"/>
      <c r="E328" s="256">
        <v>17</v>
      </c>
      <c r="F328" s="257">
        <v>3</v>
      </c>
      <c r="G328" s="258">
        <f>247.5+1210.5</f>
        <v>1458</v>
      </c>
      <c r="H328" s="259">
        <v>1</v>
      </c>
      <c r="I328" s="229" t="s">
        <v>400</v>
      </c>
      <c r="J328" s="260">
        <v>288.3</v>
      </c>
      <c r="K328" s="23"/>
      <c r="L328" s="23"/>
      <c r="M328" s="23"/>
      <c r="N328" s="23"/>
      <c r="O328" s="23"/>
      <c r="P328" s="23"/>
      <c r="Q328" s="23"/>
      <c r="R328" s="23"/>
    </row>
    <row r="329" spans="1:64" ht="15.75" customHeight="1">
      <c r="A329" s="160"/>
      <c r="B329" s="152" t="s">
        <v>297</v>
      </c>
      <c r="C329" s="153" t="s">
        <v>581</v>
      </c>
      <c r="D329" s="153"/>
      <c r="E329" s="256">
        <v>17</v>
      </c>
      <c r="F329" s="257">
        <v>9</v>
      </c>
      <c r="G329" s="261">
        <f>118.1+147.7</f>
        <v>265.79999999999995</v>
      </c>
      <c r="H329" s="259">
        <v>1</v>
      </c>
      <c r="I329" s="229" t="s">
        <v>400</v>
      </c>
      <c r="J329" s="260">
        <v>454.8</v>
      </c>
      <c r="K329" s="23"/>
      <c r="L329" s="23"/>
      <c r="M329" s="23"/>
      <c r="N329" s="23"/>
      <c r="O329" s="23"/>
      <c r="P329" s="23"/>
      <c r="Q329" s="23"/>
      <c r="R329" s="23"/>
    </row>
    <row r="330" spans="1:64" ht="25.35" customHeight="1">
      <c r="A330" s="160" t="s">
        <v>3275</v>
      </c>
      <c r="B330" s="152" t="s">
        <v>430</v>
      </c>
      <c r="C330" s="221" t="s">
        <v>582</v>
      </c>
      <c r="D330" s="221"/>
      <c r="E330" s="256">
        <v>17</v>
      </c>
      <c r="F330" s="257">
        <v>16</v>
      </c>
      <c r="G330" s="261">
        <f>58.4+134.5</f>
        <v>192.9</v>
      </c>
      <c r="H330" s="259">
        <v>1</v>
      </c>
      <c r="I330" s="229" t="s">
        <v>400</v>
      </c>
      <c r="J330" s="260">
        <v>302.89999999999998</v>
      </c>
      <c r="K330" s="23"/>
      <c r="L330" s="23"/>
      <c r="M330" s="23"/>
      <c r="N330" s="23"/>
      <c r="O330" s="23"/>
      <c r="P330" s="23"/>
      <c r="Q330" s="23"/>
      <c r="R330" s="23"/>
    </row>
    <row r="331" spans="1:64" ht="15.75" customHeight="1">
      <c r="A331" s="160"/>
      <c r="B331" s="152" t="s">
        <v>433</v>
      </c>
      <c r="C331" s="157" t="s">
        <v>583</v>
      </c>
      <c r="D331" s="157"/>
      <c r="E331" s="256">
        <v>17</v>
      </c>
      <c r="F331" s="257">
        <v>39</v>
      </c>
      <c r="G331" s="261">
        <v>21.4</v>
      </c>
      <c r="H331" s="259">
        <v>1</v>
      </c>
      <c r="I331" s="229" t="s">
        <v>400</v>
      </c>
      <c r="J331" s="260">
        <v>450.5</v>
      </c>
      <c r="K331" s="23"/>
      <c r="L331" s="23"/>
      <c r="M331" s="23"/>
      <c r="N331" s="23"/>
      <c r="O331" s="23"/>
      <c r="P331" s="23"/>
      <c r="Q331" s="23"/>
      <c r="R331" s="23"/>
    </row>
    <row r="332" spans="1:64" ht="15.75" customHeight="1">
      <c r="A332" s="160"/>
      <c r="B332" s="152" t="s">
        <v>436</v>
      </c>
      <c r="C332" s="153" t="s">
        <v>584</v>
      </c>
      <c r="D332" s="153"/>
      <c r="E332" s="256">
        <v>17</v>
      </c>
      <c r="F332" s="257">
        <v>40</v>
      </c>
      <c r="G332" s="261">
        <f>6.3+30.2</f>
        <v>36.5</v>
      </c>
      <c r="H332" s="259">
        <v>1</v>
      </c>
      <c r="I332" s="229" t="s">
        <v>400</v>
      </c>
      <c r="J332" s="238">
        <v>218</v>
      </c>
      <c r="K332" s="23"/>
      <c r="L332" s="23"/>
      <c r="M332" s="23"/>
      <c r="N332" s="23"/>
      <c r="O332" s="23"/>
      <c r="P332" s="23"/>
      <c r="Q332" s="23"/>
      <c r="R332" s="23"/>
    </row>
    <row r="333" spans="1:64" ht="15.75" customHeight="1">
      <c r="A333" s="160"/>
      <c r="B333" s="152" t="s">
        <v>439</v>
      </c>
      <c r="C333" s="157" t="s">
        <v>585</v>
      </c>
      <c r="D333" s="157"/>
      <c r="E333" s="256">
        <v>17</v>
      </c>
      <c r="F333" s="257">
        <v>52</v>
      </c>
      <c r="G333" s="261">
        <f>1706.2+1479.5</f>
        <v>3185.7</v>
      </c>
      <c r="H333" s="259">
        <v>1</v>
      </c>
      <c r="I333" s="229" t="s">
        <v>400</v>
      </c>
      <c r="J333" s="238">
        <v>317.2</v>
      </c>
      <c r="K333" s="23"/>
      <c r="L333" s="23"/>
      <c r="M333" s="23"/>
      <c r="N333" s="23"/>
      <c r="O333" s="23"/>
      <c r="P333" s="23"/>
      <c r="Q333" s="23"/>
      <c r="R333" s="23"/>
    </row>
    <row r="334" spans="1:64" ht="25.35" customHeight="1">
      <c r="A334" s="160"/>
      <c r="B334" s="152" t="s">
        <v>442</v>
      </c>
      <c r="C334" s="221" t="s">
        <v>586</v>
      </c>
      <c r="D334" s="221"/>
      <c r="E334" s="256">
        <v>17</v>
      </c>
      <c r="F334" s="262">
        <v>66</v>
      </c>
      <c r="G334" s="261">
        <f>137.4+241.3</f>
        <v>378.70000000000005</v>
      </c>
      <c r="H334" s="259">
        <v>1</v>
      </c>
      <c r="I334" s="229" t="s">
        <v>400</v>
      </c>
      <c r="J334" s="238">
        <v>360.4</v>
      </c>
      <c r="K334" s="23"/>
      <c r="L334" s="23"/>
      <c r="M334" s="23"/>
      <c r="N334" s="23"/>
      <c r="O334" s="23"/>
      <c r="P334" s="23"/>
      <c r="Q334" s="23"/>
      <c r="R334" s="23"/>
    </row>
    <row r="335" spans="1:64" ht="15.75" customHeight="1">
      <c r="A335" s="160"/>
      <c r="B335" s="196"/>
      <c r="C335" s="165"/>
      <c r="D335" s="165"/>
      <c r="E335" s="211"/>
      <c r="F335" s="211"/>
      <c r="G335" s="263"/>
      <c r="H335" s="200"/>
      <c r="I335" s="201"/>
      <c r="J335" s="202"/>
      <c r="K335" s="23"/>
      <c r="L335" s="23"/>
      <c r="M335" s="23"/>
      <c r="N335" s="23"/>
      <c r="O335" s="23"/>
      <c r="P335" s="23"/>
      <c r="Q335" s="23"/>
      <c r="R335" s="23"/>
    </row>
    <row r="336" spans="1:64" ht="15.75" customHeight="1">
      <c r="A336" s="264">
        <f>A327+1</f>
        <v>206</v>
      </c>
      <c r="B336" s="265"/>
      <c r="C336" s="266" t="s">
        <v>587</v>
      </c>
      <c r="D336" s="1989" t="s">
        <v>588</v>
      </c>
      <c r="E336" s="1989"/>
      <c r="F336" s="1989"/>
      <c r="G336" s="1989"/>
      <c r="H336" s="1989"/>
      <c r="I336" s="1989"/>
      <c r="J336" s="1989"/>
      <c r="K336" s="23"/>
      <c r="L336" s="23"/>
      <c r="M336" s="23"/>
      <c r="N336" s="23"/>
      <c r="O336" s="23"/>
      <c r="P336" s="23"/>
      <c r="Q336" s="23"/>
      <c r="R336" s="23"/>
    </row>
    <row r="337" spans="1:18" ht="15.75" customHeight="1">
      <c r="A337" s="264"/>
      <c r="B337" s="265" t="s">
        <v>261</v>
      </c>
      <c r="C337" s="267" t="s">
        <v>589</v>
      </c>
      <c r="D337" s="267"/>
      <c r="E337" s="268">
        <v>2</v>
      </c>
      <c r="F337" s="269"/>
      <c r="G337" s="270">
        <v>75</v>
      </c>
      <c r="H337" s="271">
        <v>1</v>
      </c>
      <c r="I337" s="272" t="s">
        <v>75</v>
      </c>
      <c r="J337" s="273"/>
      <c r="K337" s="23"/>
      <c r="L337" s="23"/>
      <c r="M337" s="23"/>
      <c r="N337" s="23"/>
      <c r="O337" s="23"/>
      <c r="P337" s="23"/>
      <c r="Q337" s="23"/>
      <c r="R337" s="23"/>
    </row>
    <row r="338" spans="1:18" ht="15.75" customHeight="1">
      <c r="A338" s="264"/>
      <c r="B338" s="265" t="s">
        <v>264</v>
      </c>
      <c r="C338" s="267" t="s">
        <v>590</v>
      </c>
      <c r="D338" s="267"/>
      <c r="E338" s="268">
        <v>2</v>
      </c>
      <c r="F338" s="269"/>
      <c r="G338" s="270">
        <v>30</v>
      </c>
      <c r="H338" s="271">
        <v>1</v>
      </c>
      <c r="I338" s="272" t="s">
        <v>75</v>
      </c>
      <c r="J338" s="273"/>
      <c r="K338" s="23"/>
      <c r="L338" s="23"/>
      <c r="M338" s="23"/>
      <c r="N338" s="23"/>
      <c r="O338" s="23"/>
      <c r="P338" s="23"/>
      <c r="Q338" s="23"/>
      <c r="R338" s="23"/>
    </row>
    <row r="339" spans="1:18" ht="15.75" customHeight="1">
      <c r="A339" s="264"/>
      <c r="B339" s="265" t="s">
        <v>264</v>
      </c>
      <c r="C339" s="267" t="s">
        <v>591</v>
      </c>
      <c r="D339" s="267"/>
      <c r="E339" s="268">
        <v>2</v>
      </c>
      <c r="F339" s="269"/>
      <c r="G339" s="270">
        <v>40</v>
      </c>
      <c r="H339" s="271">
        <v>1</v>
      </c>
      <c r="I339" s="272" t="s">
        <v>75</v>
      </c>
      <c r="J339" s="273"/>
      <c r="K339" s="23"/>
      <c r="L339" s="23"/>
      <c r="M339" s="23"/>
      <c r="N339" s="23"/>
      <c r="O339" s="23"/>
      <c r="P339" s="23"/>
      <c r="Q339" s="23"/>
      <c r="R339" s="23"/>
    </row>
    <row r="340" spans="1:18" ht="15.75" customHeight="1">
      <c r="A340" s="264"/>
      <c r="B340" s="265" t="s">
        <v>592</v>
      </c>
      <c r="C340" s="267" t="s">
        <v>593</v>
      </c>
      <c r="D340" s="267"/>
      <c r="E340" s="268">
        <v>3</v>
      </c>
      <c r="F340" s="269"/>
      <c r="G340" s="270">
        <v>60</v>
      </c>
      <c r="H340" s="271">
        <v>1000</v>
      </c>
      <c r="I340" s="272" t="s">
        <v>36</v>
      </c>
      <c r="J340" s="273"/>
      <c r="K340" s="23"/>
      <c r="L340" s="23"/>
      <c r="M340" s="23"/>
      <c r="N340" s="23"/>
      <c r="O340" s="23"/>
      <c r="P340" s="23"/>
      <c r="Q340" s="23"/>
      <c r="R340" s="23"/>
    </row>
    <row r="341" spans="1:18" ht="15.75" customHeight="1">
      <c r="A341" s="264"/>
      <c r="B341" s="265" t="s">
        <v>594</v>
      </c>
      <c r="C341" s="267" t="s">
        <v>595</v>
      </c>
      <c r="D341" s="267"/>
      <c r="E341" s="268">
        <v>3</v>
      </c>
      <c r="F341" s="269"/>
      <c r="G341" s="270">
        <v>8</v>
      </c>
      <c r="H341" s="271">
        <v>1</v>
      </c>
      <c r="I341" s="272" t="s">
        <v>94</v>
      </c>
      <c r="J341" s="273"/>
      <c r="K341" s="23"/>
      <c r="L341" s="23"/>
      <c r="M341" s="23"/>
      <c r="N341" s="23"/>
      <c r="O341" s="23"/>
      <c r="P341" s="23"/>
      <c r="Q341" s="23"/>
      <c r="R341" s="23"/>
    </row>
    <row r="342" spans="1:18" ht="15.75" customHeight="1">
      <c r="A342" s="264"/>
      <c r="B342" s="265" t="s">
        <v>596</v>
      </c>
      <c r="C342" s="267" t="s">
        <v>597</v>
      </c>
      <c r="D342" s="267"/>
      <c r="E342" s="268">
        <v>3</v>
      </c>
      <c r="F342" s="269"/>
      <c r="G342" s="270">
        <v>8</v>
      </c>
      <c r="H342" s="271">
        <v>1</v>
      </c>
      <c r="I342" s="272" t="s">
        <v>94</v>
      </c>
      <c r="J342" s="273"/>
      <c r="K342" s="23"/>
      <c r="L342" s="23"/>
      <c r="M342" s="23"/>
      <c r="N342" s="23"/>
      <c r="O342" s="23"/>
      <c r="P342" s="23"/>
      <c r="Q342" s="23"/>
      <c r="R342" s="23"/>
    </row>
    <row r="343" spans="1:18" ht="15.75" customHeight="1">
      <c r="A343" s="264"/>
      <c r="B343" s="265" t="s">
        <v>598</v>
      </c>
      <c r="C343" s="267" t="s">
        <v>599</v>
      </c>
      <c r="D343" s="267"/>
      <c r="E343" s="268">
        <v>3</v>
      </c>
      <c r="F343" s="269"/>
      <c r="G343" s="270">
        <v>39.1</v>
      </c>
      <c r="H343" s="271">
        <v>1</v>
      </c>
      <c r="I343" s="272" t="s">
        <v>94</v>
      </c>
      <c r="J343" s="273"/>
      <c r="K343" s="23"/>
      <c r="L343" s="23"/>
      <c r="M343" s="23"/>
      <c r="N343" s="23"/>
      <c r="O343" s="23"/>
      <c r="P343" s="23"/>
      <c r="Q343" s="23"/>
      <c r="R343" s="23"/>
    </row>
    <row r="344" spans="1:18" ht="15.75" customHeight="1">
      <c r="A344" s="264"/>
      <c r="B344" s="265" t="s">
        <v>600</v>
      </c>
      <c r="C344" s="267" t="s">
        <v>601</v>
      </c>
      <c r="D344" s="267"/>
      <c r="E344" s="268">
        <v>3</v>
      </c>
      <c r="F344" s="269"/>
      <c r="G344" s="270">
        <v>34</v>
      </c>
      <c r="H344" s="271">
        <v>1</v>
      </c>
      <c r="I344" s="272" t="s">
        <v>94</v>
      </c>
      <c r="J344" s="273"/>
      <c r="K344" s="23"/>
      <c r="L344" s="23"/>
      <c r="M344" s="23"/>
      <c r="N344" s="23"/>
      <c r="O344" s="23"/>
      <c r="P344" s="23"/>
      <c r="Q344" s="23"/>
      <c r="R344" s="23"/>
    </row>
    <row r="345" spans="1:18" ht="15.75" customHeight="1">
      <c r="A345" s="160"/>
      <c r="B345" s="196"/>
      <c r="C345" s="187"/>
      <c r="D345" s="187"/>
      <c r="E345" s="274"/>
      <c r="F345" s="190"/>
      <c r="G345" s="227"/>
      <c r="H345" s="200"/>
      <c r="I345" s="201"/>
      <c r="J345" s="202"/>
      <c r="K345" s="23"/>
      <c r="L345" s="23"/>
      <c r="M345" s="23"/>
      <c r="N345" s="23"/>
      <c r="O345" s="23"/>
      <c r="P345" s="23"/>
      <c r="Q345" s="23"/>
      <c r="R345" s="23"/>
    </row>
    <row r="346" spans="1:18" ht="15" customHeight="1">
      <c r="A346" s="147">
        <f>A336+1</f>
        <v>207</v>
      </c>
      <c r="B346" s="235"/>
      <c r="C346" s="153" t="s">
        <v>602</v>
      </c>
      <c r="D346" s="1990" t="s">
        <v>603</v>
      </c>
      <c r="E346" s="275"/>
      <c r="F346" s="276" t="s">
        <v>604</v>
      </c>
      <c r="G346" s="277">
        <v>167</v>
      </c>
      <c r="H346" s="237">
        <v>1</v>
      </c>
      <c r="I346" s="220" t="s">
        <v>75</v>
      </c>
      <c r="J346" s="202"/>
      <c r="K346" s="23"/>
      <c r="L346" s="23"/>
      <c r="M346" s="23"/>
      <c r="N346" s="23"/>
      <c r="O346" s="23"/>
      <c r="P346" s="23"/>
      <c r="Q346" s="23"/>
      <c r="R346" s="23"/>
    </row>
    <row r="347" spans="1:18" ht="15.75" customHeight="1">
      <c r="A347" s="147">
        <f t="shared" ref="A347:A348" si="26">A346+1</f>
        <v>208</v>
      </c>
      <c r="B347" s="235"/>
      <c r="C347" s="153" t="s">
        <v>605</v>
      </c>
      <c r="D347" s="1990"/>
      <c r="E347" s="275"/>
      <c r="F347" s="276" t="s">
        <v>606</v>
      </c>
      <c r="G347" s="277">
        <f>263+90</f>
        <v>353</v>
      </c>
      <c r="H347" s="237">
        <v>1</v>
      </c>
      <c r="I347" s="220" t="s">
        <v>75</v>
      </c>
      <c r="J347" s="202"/>
      <c r="K347" s="23"/>
      <c r="L347" s="23"/>
      <c r="M347" s="23"/>
      <c r="N347" s="23"/>
      <c r="O347" s="23"/>
      <c r="P347" s="23"/>
      <c r="Q347" s="23"/>
      <c r="R347" s="23"/>
    </row>
    <row r="348" spans="1:18" ht="25.35" customHeight="1">
      <c r="A348" s="147">
        <f t="shared" si="26"/>
        <v>209</v>
      </c>
      <c r="B348" s="235"/>
      <c r="C348" s="278" t="s">
        <v>607</v>
      </c>
      <c r="D348" s="1990"/>
      <c r="E348" s="275"/>
      <c r="F348" s="276" t="s">
        <v>608</v>
      </c>
      <c r="G348" s="277">
        <v>136</v>
      </c>
      <c r="H348" s="279">
        <v>1</v>
      </c>
      <c r="I348" s="280" t="s">
        <v>197</v>
      </c>
      <c r="J348" s="281"/>
      <c r="K348" s="23"/>
      <c r="L348" s="23"/>
      <c r="M348" s="23"/>
      <c r="N348" s="23"/>
      <c r="O348" s="23"/>
      <c r="P348" s="23"/>
      <c r="Q348" s="23"/>
      <c r="R348" s="23"/>
    </row>
    <row r="349" spans="1:18" ht="15.75" customHeight="1">
      <c r="A349" s="282"/>
      <c r="B349" s="283"/>
      <c r="C349" s="284"/>
      <c r="D349" s="285"/>
      <c r="E349" s="286"/>
      <c r="F349" s="287"/>
      <c r="G349" s="277"/>
      <c r="H349" s="279"/>
      <c r="I349" s="280"/>
      <c r="J349" s="281"/>
      <c r="K349" s="23"/>
      <c r="L349" s="23"/>
      <c r="M349" s="23"/>
      <c r="N349" s="23"/>
      <c r="O349" s="23"/>
      <c r="P349" s="23"/>
      <c r="Q349" s="23"/>
      <c r="R349" s="23"/>
    </row>
    <row r="350" spans="1:18" ht="15.75" customHeight="1">
      <c r="A350" s="288"/>
      <c r="B350" s="289"/>
      <c r="C350" s="290" t="s">
        <v>609</v>
      </c>
      <c r="D350" s="291"/>
      <c r="E350" s="292"/>
      <c r="F350" s="293"/>
      <c r="G350" s="294"/>
      <c r="H350" s="295"/>
      <c r="I350" s="296"/>
      <c r="J350" s="297"/>
      <c r="K350" s="297">
        <f>K348/2</f>
        <v>0</v>
      </c>
      <c r="L350" s="297">
        <f>K350/1000</f>
        <v>0</v>
      </c>
      <c r="M350" s="297"/>
      <c r="N350" s="23"/>
      <c r="O350" s="23"/>
      <c r="P350" s="23"/>
      <c r="Q350" s="23"/>
      <c r="R350" s="23"/>
    </row>
    <row r="351" spans="1:18" ht="15.75" customHeight="1">
      <c r="A351" s="288">
        <f>A341+1</f>
        <v>1</v>
      </c>
      <c r="B351" s="289"/>
      <c r="C351" s="298" t="s">
        <v>602</v>
      </c>
      <c r="D351" s="1984"/>
      <c r="E351" s="297"/>
      <c r="F351" s="300" t="s">
        <v>610</v>
      </c>
      <c r="G351" s="301">
        <v>167</v>
      </c>
      <c r="H351" s="294">
        <v>1</v>
      </c>
      <c r="I351" s="295" t="s">
        <v>75</v>
      </c>
      <c r="J351" s="296"/>
      <c r="K351" s="302">
        <f>L350*2300</f>
        <v>0</v>
      </c>
      <c r="L351" s="297"/>
      <c r="M351" s="297"/>
      <c r="N351" s="23"/>
      <c r="O351" s="23"/>
      <c r="P351" s="23"/>
      <c r="Q351" s="23"/>
      <c r="R351" s="23"/>
    </row>
    <row r="352" spans="1:18" ht="15.75" customHeight="1">
      <c r="A352" s="288">
        <f t="shared" ref="A352:A353" si="27">A351+1</f>
        <v>2</v>
      </c>
      <c r="B352" s="289"/>
      <c r="C352" s="298" t="s">
        <v>605</v>
      </c>
      <c r="D352" s="1984"/>
      <c r="E352" s="297"/>
      <c r="F352" s="300" t="s">
        <v>611</v>
      </c>
      <c r="G352" s="277">
        <f>263+90</f>
        <v>353</v>
      </c>
      <c r="H352" s="294">
        <v>1</v>
      </c>
      <c r="I352" s="295" t="s">
        <v>75</v>
      </c>
      <c r="J352" s="296"/>
      <c r="K352" s="297"/>
      <c r="L352" s="297"/>
      <c r="M352" s="297"/>
      <c r="N352" s="23"/>
      <c r="O352" s="23"/>
      <c r="P352" s="23"/>
      <c r="Q352" s="23"/>
      <c r="R352" s="23"/>
    </row>
    <row r="353" spans="1:18" ht="15.75" customHeight="1">
      <c r="A353" s="288">
        <f t="shared" si="27"/>
        <v>3</v>
      </c>
      <c r="B353" s="289"/>
      <c r="C353" s="303" t="s">
        <v>607</v>
      </c>
      <c r="D353" s="1984"/>
      <c r="E353" s="297"/>
      <c r="F353" s="300" t="s">
        <v>612</v>
      </c>
      <c r="G353" s="301">
        <v>136</v>
      </c>
      <c r="H353" s="294">
        <v>1</v>
      </c>
      <c r="I353" s="295" t="s">
        <v>197</v>
      </c>
      <c r="J353" s="296"/>
      <c r="K353" s="297"/>
      <c r="L353" s="297"/>
      <c r="M353" s="297"/>
      <c r="N353" s="23"/>
      <c r="O353" s="23"/>
      <c r="P353" s="23"/>
      <c r="Q353" s="23"/>
      <c r="R353" s="23"/>
    </row>
    <row r="354" spans="1:18" ht="15.75" customHeight="1">
      <c r="A354" s="304"/>
      <c r="B354" s="305"/>
      <c r="C354" s="306"/>
      <c r="D354" s="299"/>
      <c r="E354" s="2"/>
      <c r="F354" s="307" t="s">
        <v>613</v>
      </c>
      <c r="G354" s="308"/>
      <c r="H354" s="309"/>
      <c r="I354" s="310"/>
      <c r="J354" s="311"/>
      <c r="K354" s="2"/>
      <c r="L354" s="2"/>
      <c r="M354" s="2"/>
      <c r="N354" s="23"/>
      <c r="O354" s="23"/>
      <c r="P354" s="23"/>
      <c r="Q354" s="23"/>
      <c r="R354" s="23"/>
    </row>
    <row r="355" spans="1:18" ht="15.75" customHeight="1">
      <c r="A355" s="288">
        <f>A353+1</f>
        <v>4</v>
      </c>
      <c r="B355" s="289"/>
      <c r="C355" s="303" t="s">
        <v>614</v>
      </c>
      <c r="D355" s="307"/>
      <c r="E355" s="297"/>
      <c r="F355" s="307" t="s">
        <v>615</v>
      </c>
      <c r="G355" s="312">
        <v>1934</v>
      </c>
      <c r="H355" s="294">
        <v>1</v>
      </c>
      <c r="I355" s="295" t="s">
        <v>616</v>
      </c>
      <c r="J355" s="296"/>
      <c r="K355" s="297"/>
      <c r="L355" s="297"/>
      <c r="M355" s="297"/>
      <c r="N355" s="23"/>
      <c r="O355" s="23"/>
      <c r="P355" s="23"/>
      <c r="Q355" s="23"/>
      <c r="R355" s="23"/>
    </row>
    <row r="356" spans="1:18" ht="15.75" customHeight="1">
      <c r="A356" s="288">
        <f t="shared" ref="A356:A375" si="28">A355+1</f>
        <v>5</v>
      </c>
      <c r="B356" s="289"/>
      <c r="C356" s="303" t="s">
        <v>617</v>
      </c>
      <c r="D356" s="296" t="s">
        <v>618</v>
      </c>
      <c r="E356" s="297"/>
      <c r="F356" s="307" t="s">
        <v>619</v>
      </c>
      <c r="G356" s="312">
        <v>3475.2</v>
      </c>
      <c r="H356" s="294">
        <v>1</v>
      </c>
      <c r="I356" s="295" t="s">
        <v>616</v>
      </c>
      <c r="J356" s="296" t="s">
        <v>620</v>
      </c>
      <c r="K356" s="297"/>
      <c r="L356" s="297"/>
      <c r="M356" s="297"/>
      <c r="N356" s="23"/>
      <c r="O356" s="23"/>
      <c r="P356" s="23"/>
      <c r="Q356" s="23"/>
      <c r="R356" s="23"/>
    </row>
    <row r="357" spans="1:18" ht="15.75" customHeight="1">
      <c r="A357" s="288">
        <f t="shared" si="28"/>
        <v>6</v>
      </c>
      <c r="B357" s="289"/>
      <c r="C357" s="303" t="s">
        <v>621</v>
      </c>
      <c r="D357" s="307"/>
      <c r="E357" s="297"/>
      <c r="F357" s="307" t="s">
        <v>622</v>
      </c>
      <c r="G357" s="312">
        <v>769</v>
      </c>
      <c r="H357" s="294">
        <v>1</v>
      </c>
      <c r="I357" s="295" t="s">
        <v>616</v>
      </c>
      <c r="J357" s="296"/>
      <c r="K357" s="297"/>
      <c r="L357" s="297"/>
      <c r="M357" s="297"/>
      <c r="N357" s="23"/>
      <c r="O357" s="23"/>
      <c r="P357" s="23"/>
      <c r="Q357" s="23"/>
      <c r="R357" s="23"/>
    </row>
    <row r="358" spans="1:18" ht="15.75" customHeight="1">
      <c r="A358" s="288">
        <f t="shared" si="28"/>
        <v>7</v>
      </c>
      <c r="B358" s="289"/>
      <c r="C358" s="303" t="s">
        <v>623</v>
      </c>
      <c r="D358" s="307"/>
      <c r="E358" s="297"/>
      <c r="F358" s="307" t="s">
        <v>611</v>
      </c>
      <c r="G358" s="312">
        <v>520</v>
      </c>
      <c r="H358" s="294">
        <v>1</v>
      </c>
      <c r="I358" s="295" t="s">
        <v>616</v>
      </c>
      <c r="J358" s="296"/>
      <c r="K358" s="297"/>
      <c r="L358" s="297"/>
      <c r="M358" s="297"/>
      <c r="N358" s="23"/>
      <c r="O358" s="23"/>
      <c r="P358" s="23"/>
      <c r="Q358" s="23"/>
      <c r="R358" s="23"/>
    </row>
    <row r="359" spans="1:18" ht="15.75" customHeight="1">
      <c r="A359" s="288">
        <f t="shared" si="28"/>
        <v>8</v>
      </c>
      <c r="B359" s="289"/>
      <c r="C359" s="303" t="s">
        <v>624</v>
      </c>
      <c r="D359" s="307"/>
      <c r="E359" s="297"/>
      <c r="F359" s="307" t="s">
        <v>611</v>
      </c>
      <c r="G359" s="312">
        <v>520</v>
      </c>
      <c r="H359" s="294">
        <v>1</v>
      </c>
      <c r="I359" s="295" t="s">
        <v>616</v>
      </c>
      <c r="J359" s="296"/>
      <c r="K359" s="297"/>
      <c r="L359" s="297"/>
      <c r="M359" s="297"/>
      <c r="N359" s="23"/>
      <c r="O359" s="23"/>
      <c r="P359" s="23"/>
      <c r="Q359" s="23"/>
      <c r="R359" s="23"/>
    </row>
    <row r="360" spans="1:18" ht="15.75" customHeight="1">
      <c r="A360" s="288">
        <f t="shared" si="28"/>
        <v>9</v>
      </c>
      <c r="B360" s="289"/>
      <c r="C360" s="303" t="s">
        <v>625</v>
      </c>
      <c r="D360" s="307"/>
      <c r="E360" s="297"/>
      <c r="F360" s="307" t="s">
        <v>626</v>
      </c>
      <c r="G360" s="312">
        <v>3962</v>
      </c>
      <c r="H360" s="294">
        <v>1</v>
      </c>
      <c r="I360" s="295" t="s">
        <v>616</v>
      </c>
      <c r="J360" s="296"/>
      <c r="K360" s="297"/>
      <c r="L360" s="297"/>
      <c r="M360" s="297"/>
      <c r="N360" s="23"/>
      <c r="O360" s="23"/>
      <c r="P360" s="23"/>
      <c r="Q360" s="23"/>
      <c r="R360" s="23"/>
    </row>
    <row r="361" spans="1:18" ht="15.75" customHeight="1">
      <c r="A361" s="288">
        <f t="shared" si="28"/>
        <v>10</v>
      </c>
      <c r="B361" s="289"/>
      <c r="C361" s="303" t="s">
        <v>627</v>
      </c>
      <c r="D361" s="307"/>
      <c r="E361" s="297"/>
      <c r="F361" s="307" t="s">
        <v>628</v>
      </c>
      <c r="G361" s="312">
        <v>2028</v>
      </c>
      <c r="H361" s="294">
        <v>1</v>
      </c>
      <c r="I361" s="295" t="s">
        <v>616</v>
      </c>
      <c r="J361" s="296"/>
      <c r="K361" s="297"/>
      <c r="L361" s="297"/>
      <c r="M361" s="297"/>
      <c r="N361" s="23"/>
      <c r="O361" s="23"/>
      <c r="P361" s="23"/>
      <c r="Q361" s="23"/>
      <c r="R361" s="23"/>
    </row>
    <row r="362" spans="1:18" ht="15.75" customHeight="1">
      <c r="A362" s="288">
        <f t="shared" si="28"/>
        <v>11</v>
      </c>
      <c r="B362" s="289"/>
      <c r="C362" s="303" t="s">
        <v>629</v>
      </c>
      <c r="D362" s="307"/>
      <c r="E362" s="297"/>
      <c r="F362" s="307" t="s">
        <v>630</v>
      </c>
      <c r="G362" s="312">
        <v>2028</v>
      </c>
      <c r="H362" s="294">
        <v>1</v>
      </c>
      <c r="I362" s="295" t="s">
        <v>616</v>
      </c>
      <c r="J362" s="296"/>
      <c r="K362" s="297"/>
      <c r="L362" s="297"/>
      <c r="M362" s="297"/>
      <c r="N362" s="23"/>
      <c r="O362" s="23"/>
      <c r="P362" s="23"/>
      <c r="Q362" s="23"/>
      <c r="R362" s="23"/>
    </row>
    <row r="363" spans="1:18" ht="15.75" customHeight="1">
      <c r="A363" s="288">
        <f t="shared" si="28"/>
        <v>12</v>
      </c>
      <c r="B363" s="289"/>
      <c r="C363" s="303" t="s">
        <v>631</v>
      </c>
      <c r="D363" s="296" t="s">
        <v>632</v>
      </c>
      <c r="E363" s="297"/>
      <c r="F363" s="307" t="s">
        <v>633</v>
      </c>
      <c r="G363" s="312">
        <v>1250.0999999999999</v>
      </c>
      <c r="H363" s="294">
        <v>1</v>
      </c>
      <c r="I363" s="295" t="s">
        <v>616</v>
      </c>
      <c r="J363" s="296" t="s">
        <v>620</v>
      </c>
      <c r="K363" s="297"/>
      <c r="L363" s="297"/>
      <c r="M363" s="297"/>
      <c r="N363" s="23"/>
      <c r="O363" s="23"/>
      <c r="P363" s="23"/>
      <c r="Q363" s="23"/>
      <c r="R363" s="23"/>
    </row>
    <row r="364" spans="1:18" ht="15.75" customHeight="1">
      <c r="A364" s="288">
        <f t="shared" si="28"/>
        <v>13</v>
      </c>
      <c r="B364" s="289"/>
      <c r="C364" s="303" t="s">
        <v>634</v>
      </c>
      <c r="D364" s="307"/>
      <c r="E364" s="297"/>
      <c r="F364" s="307" t="s">
        <v>635</v>
      </c>
      <c r="G364" s="312">
        <v>1626</v>
      </c>
      <c r="H364" s="294">
        <v>1</v>
      </c>
      <c r="I364" s="295" t="s">
        <v>616</v>
      </c>
      <c r="J364" s="296"/>
      <c r="K364" s="297"/>
      <c r="L364" s="297"/>
      <c r="M364" s="297"/>
      <c r="N364" s="23"/>
      <c r="O364" s="23"/>
      <c r="P364" s="23"/>
      <c r="Q364" s="23"/>
      <c r="R364" s="23"/>
    </row>
    <row r="365" spans="1:18" ht="15.75" customHeight="1">
      <c r="A365" s="288">
        <f t="shared" si="28"/>
        <v>14</v>
      </c>
      <c r="B365" s="289"/>
      <c r="C365" s="303" t="s">
        <v>636</v>
      </c>
      <c r="D365" s="307"/>
      <c r="E365" s="297"/>
      <c r="F365" s="307" t="s">
        <v>637</v>
      </c>
      <c r="G365" s="312">
        <v>2771</v>
      </c>
      <c r="H365" s="294">
        <v>1</v>
      </c>
      <c r="I365" s="295" t="s">
        <v>616</v>
      </c>
      <c r="J365" s="296"/>
      <c r="K365" s="297"/>
      <c r="L365" s="297"/>
      <c r="M365" s="297"/>
      <c r="N365" s="23"/>
      <c r="O365" s="23"/>
      <c r="P365" s="23"/>
      <c r="Q365" s="23"/>
      <c r="R365" s="23"/>
    </row>
    <row r="366" spans="1:18" ht="15.75" customHeight="1">
      <c r="A366" s="288">
        <f t="shared" si="28"/>
        <v>15</v>
      </c>
      <c r="B366" s="289"/>
      <c r="C366" s="303" t="s">
        <v>638</v>
      </c>
      <c r="D366" s="307"/>
      <c r="E366" s="297"/>
      <c r="F366" s="307" t="s">
        <v>639</v>
      </c>
      <c r="G366" s="312">
        <v>30141</v>
      </c>
      <c r="H366" s="294">
        <v>1</v>
      </c>
      <c r="I366" s="295" t="s">
        <v>616</v>
      </c>
      <c r="J366" s="296"/>
      <c r="K366" s="297"/>
      <c r="L366" s="297"/>
      <c r="M366" s="297"/>
      <c r="N366" s="23"/>
      <c r="O366" s="23"/>
      <c r="P366" s="23"/>
      <c r="Q366" s="23"/>
      <c r="R366" s="23"/>
    </row>
    <row r="367" spans="1:18" ht="15.75" customHeight="1">
      <c r="A367" s="288">
        <f t="shared" si="28"/>
        <v>16</v>
      </c>
      <c r="B367" s="289"/>
      <c r="C367" s="303" t="s">
        <v>640</v>
      </c>
      <c r="D367" s="296" t="s">
        <v>641</v>
      </c>
      <c r="E367" s="297"/>
      <c r="F367" s="307" t="s">
        <v>642</v>
      </c>
      <c r="G367" s="312">
        <v>668.6</v>
      </c>
      <c r="H367" s="294">
        <v>1</v>
      </c>
      <c r="I367" s="295" t="s">
        <v>616</v>
      </c>
      <c r="J367" s="296" t="s">
        <v>620</v>
      </c>
      <c r="K367" s="297"/>
      <c r="L367" s="297"/>
      <c r="M367" s="297"/>
      <c r="N367" s="23"/>
      <c r="O367" s="23"/>
      <c r="P367" s="23"/>
      <c r="Q367" s="23"/>
      <c r="R367" s="23"/>
    </row>
    <row r="368" spans="1:18" ht="15.75" customHeight="1">
      <c r="A368" s="288">
        <f t="shared" si="28"/>
        <v>17</v>
      </c>
      <c r="B368" s="289"/>
      <c r="C368" s="313" t="s">
        <v>643</v>
      </c>
      <c r="D368" s="307"/>
      <c r="E368" s="297"/>
      <c r="F368" s="307" t="s">
        <v>635</v>
      </c>
      <c r="G368" s="312">
        <v>2279</v>
      </c>
      <c r="H368" s="294">
        <v>1</v>
      </c>
      <c r="I368" s="295" t="s">
        <v>616</v>
      </c>
      <c r="J368" s="296"/>
      <c r="K368" s="297"/>
      <c r="L368" s="297"/>
      <c r="M368" s="297"/>
      <c r="N368" s="23"/>
      <c r="O368" s="23"/>
      <c r="P368" s="23"/>
      <c r="Q368" s="23"/>
      <c r="R368" s="23"/>
    </row>
    <row r="369" spans="1:18" ht="15.75" customHeight="1">
      <c r="A369" s="288">
        <f t="shared" si="28"/>
        <v>18</v>
      </c>
      <c r="B369" s="289"/>
      <c r="C369" s="313" t="s">
        <v>644</v>
      </c>
      <c r="D369" s="296" t="s">
        <v>645</v>
      </c>
      <c r="E369" s="297"/>
      <c r="F369" s="307" t="s">
        <v>646</v>
      </c>
      <c r="G369" s="312">
        <v>1734.8</v>
      </c>
      <c r="H369" s="294">
        <v>1</v>
      </c>
      <c r="I369" s="295" t="s">
        <v>616</v>
      </c>
      <c r="J369" s="296" t="s">
        <v>620</v>
      </c>
      <c r="K369" s="297"/>
      <c r="L369" s="297"/>
      <c r="M369" s="297"/>
      <c r="N369" s="23"/>
      <c r="O369" s="23"/>
      <c r="P369" s="23"/>
      <c r="Q369" s="23"/>
      <c r="R369" s="23"/>
    </row>
    <row r="370" spans="1:18" ht="15.75" customHeight="1">
      <c r="A370" s="288">
        <f t="shared" si="28"/>
        <v>19</v>
      </c>
      <c r="B370" s="289"/>
      <c r="C370" s="313" t="s">
        <v>647</v>
      </c>
      <c r="D370" s="307"/>
      <c r="E370" s="297"/>
      <c r="F370" s="307" t="s">
        <v>648</v>
      </c>
      <c r="G370" s="312">
        <v>2028</v>
      </c>
      <c r="H370" s="294">
        <v>1</v>
      </c>
      <c r="I370" s="295" t="s">
        <v>616</v>
      </c>
      <c r="J370" s="296"/>
      <c r="K370" s="297"/>
      <c r="L370" s="297"/>
      <c r="M370" s="297"/>
      <c r="N370" s="23"/>
      <c r="O370" s="23"/>
      <c r="P370" s="23"/>
      <c r="Q370" s="23"/>
      <c r="R370" s="23"/>
    </row>
    <row r="371" spans="1:18" ht="15.75" customHeight="1">
      <c r="A371" s="288">
        <f t="shared" si="28"/>
        <v>20</v>
      </c>
      <c r="B371" s="289"/>
      <c r="C371" s="313" t="s">
        <v>649</v>
      </c>
      <c r="D371" s="307"/>
      <c r="E371" s="297"/>
      <c r="F371" s="307" t="s">
        <v>650</v>
      </c>
      <c r="G371" s="312">
        <v>257</v>
      </c>
      <c r="H371" s="294">
        <v>1</v>
      </c>
      <c r="I371" s="295" t="s">
        <v>616</v>
      </c>
      <c r="J371" s="296"/>
      <c r="K371" s="297"/>
      <c r="L371" s="297"/>
      <c r="M371" s="297"/>
      <c r="N371" s="23"/>
      <c r="O371" s="23"/>
      <c r="P371" s="23"/>
      <c r="Q371" s="23"/>
      <c r="R371" s="23"/>
    </row>
    <row r="372" spans="1:18" ht="15.75" customHeight="1">
      <c r="A372" s="288">
        <f t="shared" si="28"/>
        <v>21</v>
      </c>
      <c r="B372" s="289"/>
      <c r="C372" s="313" t="s">
        <v>651</v>
      </c>
      <c r="D372" s="307"/>
      <c r="E372" s="297"/>
      <c r="F372" s="307" t="s">
        <v>652</v>
      </c>
      <c r="G372" s="312">
        <v>440</v>
      </c>
      <c r="H372" s="294">
        <v>1</v>
      </c>
      <c r="I372" s="295" t="s">
        <v>616</v>
      </c>
      <c r="J372" s="296"/>
      <c r="K372" s="297"/>
      <c r="L372" s="297"/>
      <c r="M372" s="297"/>
      <c r="N372" s="23"/>
      <c r="O372" s="23"/>
      <c r="P372" s="23"/>
      <c r="Q372" s="23"/>
      <c r="R372" s="23"/>
    </row>
    <row r="373" spans="1:18" ht="15.75" customHeight="1">
      <c r="A373" s="288">
        <f t="shared" si="28"/>
        <v>22</v>
      </c>
      <c r="B373" s="289"/>
      <c r="C373" s="313" t="s">
        <v>653</v>
      </c>
      <c r="D373" s="307"/>
      <c r="E373" s="297"/>
      <c r="F373" s="307" t="s">
        <v>654</v>
      </c>
      <c r="G373" s="312">
        <v>1846</v>
      </c>
      <c r="H373" s="294">
        <v>1</v>
      </c>
      <c r="I373" s="295" t="s">
        <v>616</v>
      </c>
      <c r="J373" s="296"/>
      <c r="K373" s="297"/>
      <c r="L373" s="297"/>
      <c r="M373" s="297"/>
      <c r="N373" s="23"/>
      <c r="O373" s="23"/>
      <c r="P373" s="23"/>
      <c r="Q373" s="23"/>
      <c r="R373" s="23"/>
    </row>
    <row r="374" spans="1:18" ht="15.75" customHeight="1">
      <c r="A374" s="288">
        <f t="shared" si="28"/>
        <v>23</v>
      </c>
      <c r="B374" s="289"/>
      <c r="C374" s="313" t="s">
        <v>655</v>
      </c>
      <c r="D374" s="307"/>
      <c r="E374" s="297"/>
      <c r="F374" s="307" t="s">
        <v>656</v>
      </c>
      <c r="G374" s="312">
        <v>1059</v>
      </c>
      <c r="H374" s="294">
        <v>1</v>
      </c>
      <c r="I374" s="295" t="s">
        <v>616</v>
      </c>
      <c r="J374" s="296"/>
      <c r="K374" s="297"/>
      <c r="L374" s="297"/>
      <c r="M374" s="297"/>
      <c r="N374" s="23"/>
      <c r="O374" s="23"/>
      <c r="P374" s="23"/>
      <c r="Q374" s="23"/>
      <c r="R374" s="23"/>
    </row>
    <row r="375" spans="1:18" ht="25.5">
      <c r="A375" s="314">
        <f t="shared" si="28"/>
        <v>24</v>
      </c>
      <c r="B375" s="314"/>
      <c r="C375" s="315" t="s">
        <v>657</v>
      </c>
      <c r="D375" s="314"/>
      <c r="E375" s="297"/>
      <c r="F375" s="307" t="s">
        <v>648</v>
      </c>
      <c r="G375" s="312">
        <v>3770</v>
      </c>
      <c r="H375" s="294">
        <v>1</v>
      </c>
      <c r="I375" s="295" t="s">
        <v>616</v>
      </c>
      <c r="J375" s="314"/>
      <c r="K375" s="297"/>
      <c r="L375" s="297"/>
      <c r="M375" s="297"/>
      <c r="N375" s="23"/>
      <c r="O375" s="23"/>
      <c r="P375" s="23"/>
      <c r="Q375" s="23"/>
      <c r="R375" s="23"/>
    </row>
    <row r="376" spans="1:18" ht="15.75" customHeight="1">
      <c r="A376" s="164"/>
      <c r="B376" s="164"/>
      <c r="C376" s="164"/>
      <c r="D376" s="164"/>
      <c r="E376" s="164"/>
      <c r="F376" s="164"/>
      <c r="G376" s="164"/>
      <c r="H376" s="164"/>
      <c r="I376" s="164"/>
      <c r="J376" s="164"/>
      <c r="K376" s="23"/>
      <c r="L376" s="23"/>
      <c r="M376" s="23"/>
      <c r="N376" s="23"/>
      <c r="O376" s="23"/>
      <c r="P376" s="23"/>
      <c r="Q376" s="23"/>
      <c r="R376" s="23"/>
    </row>
    <row r="377" spans="1:18" s="18" customFormat="1" ht="15.6" customHeight="1">
      <c r="A377" s="316"/>
      <c r="B377" s="316"/>
      <c r="C377" s="317" t="s">
        <v>658</v>
      </c>
      <c r="D377" s="317"/>
      <c r="E377" s="316"/>
      <c r="F377" s="316"/>
      <c r="G377" s="316"/>
      <c r="H377" s="316"/>
      <c r="I377" s="316"/>
      <c r="J377" s="316"/>
      <c r="K377" s="44"/>
      <c r="L377" s="44"/>
      <c r="M377" s="44"/>
      <c r="N377" s="44"/>
      <c r="O377" s="23"/>
      <c r="P377" s="23"/>
      <c r="Q377" s="23"/>
      <c r="R377" s="23"/>
    </row>
    <row r="378" spans="1:18" s="18" customFormat="1" ht="25.35" customHeight="1">
      <c r="A378" s="249">
        <v>1</v>
      </c>
      <c r="B378" s="316"/>
      <c r="C378" s="318" t="s">
        <v>659</v>
      </c>
      <c r="D378" s="318"/>
      <c r="E378" s="316"/>
      <c r="F378" s="316"/>
      <c r="G378" s="319">
        <v>10</v>
      </c>
      <c r="H378" s="316">
        <v>1</v>
      </c>
      <c r="I378" s="316" t="s">
        <v>94</v>
      </c>
      <c r="J378" s="316"/>
      <c r="K378" s="44"/>
      <c r="L378" s="44"/>
      <c r="M378" s="44"/>
      <c r="N378" s="44"/>
      <c r="O378" s="23"/>
      <c r="P378" s="23"/>
      <c r="Q378" s="23"/>
      <c r="R378" s="23"/>
    </row>
    <row r="379" spans="1:18" s="18" customFormat="1" ht="25.35" customHeight="1">
      <c r="A379" s="249">
        <f t="shared" ref="A379:A388" si="29">A378+1</f>
        <v>2</v>
      </c>
      <c r="B379" s="316"/>
      <c r="C379" s="320" t="s">
        <v>660</v>
      </c>
      <c r="D379" s="320"/>
      <c r="E379" s="316"/>
      <c r="F379" s="316"/>
      <c r="G379" s="319">
        <v>100</v>
      </c>
      <c r="H379" s="316">
        <v>1</v>
      </c>
      <c r="I379" s="316" t="s">
        <v>39</v>
      </c>
      <c r="J379" s="316"/>
      <c r="K379" s="44"/>
      <c r="L379" s="44"/>
      <c r="M379" s="44"/>
      <c r="N379" s="44"/>
      <c r="O379" s="23"/>
      <c r="P379" s="23"/>
      <c r="Q379" s="23"/>
      <c r="R379" s="23"/>
    </row>
    <row r="380" spans="1:18" s="18" customFormat="1" ht="15.75" customHeight="1">
      <c r="A380" s="249">
        <f t="shared" si="29"/>
        <v>3</v>
      </c>
      <c r="B380" s="316"/>
      <c r="C380" s="321" t="s">
        <v>661</v>
      </c>
      <c r="D380" s="321"/>
      <c r="E380" s="316"/>
      <c r="F380" s="316"/>
      <c r="G380" s="319">
        <v>40</v>
      </c>
      <c r="H380" s="316">
        <v>1</v>
      </c>
      <c r="I380" s="316" t="s">
        <v>39</v>
      </c>
      <c r="J380" s="316"/>
      <c r="K380" s="44"/>
      <c r="L380" s="44"/>
      <c r="M380" s="44"/>
      <c r="N380" s="44"/>
      <c r="O380" s="23"/>
      <c r="P380" s="23"/>
      <c r="Q380" s="23"/>
      <c r="R380" s="23"/>
    </row>
    <row r="381" spans="1:18" s="18" customFormat="1" ht="15.75" customHeight="1">
      <c r="A381" s="249">
        <f t="shared" si="29"/>
        <v>4</v>
      </c>
      <c r="B381" s="316"/>
      <c r="C381" s="321" t="s">
        <v>662</v>
      </c>
      <c r="D381" s="321"/>
      <c r="E381" s="316"/>
      <c r="F381" s="316"/>
      <c r="G381" s="319">
        <v>20</v>
      </c>
      <c r="H381" s="316">
        <v>1</v>
      </c>
      <c r="I381" s="316" t="s">
        <v>39</v>
      </c>
      <c r="J381" s="316"/>
      <c r="K381" s="44"/>
      <c r="L381" s="44"/>
      <c r="M381" s="44"/>
      <c r="N381" s="44"/>
      <c r="O381" s="23"/>
      <c r="P381" s="23"/>
      <c r="Q381" s="23"/>
      <c r="R381" s="23"/>
    </row>
    <row r="382" spans="1:18" s="18" customFormat="1" ht="15.75" customHeight="1">
      <c r="A382" s="249">
        <f t="shared" si="29"/>
        <v>5</v>
      </c>
      <c r="B382" s="316"/>
      <c r="C382" s="321" t="s">
        <v>663</v>
      </c>
      <c r="D382" s="321"/>
      <c r="E382" s="316"/>
      <c r="F382" s="316"/>
      <c r="G382" s="319">
        <v>26</v>
      </c>
      <c r="H382" s="316">
        <v>1</v>
      </c>
      <c r="I382" s="316" t="s">
        <v>197</v>
      </c>
      <c r="J382" s="316"/>
      <c r="K382" s="44"/>
      <c r="L382" s="44"/>
      <c r="M382" s="44"/>
      <c r="N382" s="44"/>
      <c r="O382" s="23"/>
      <c r="P382" s="23"/>
      <c r="Q382" s="23"/>
      <c r="R382" s="23"/>
    </row>
    <row r="383" spans="1:18" s="18" customFormat="1" ht="15.75" customHeight="1">
      <c r="A383" s="249">
        <f t="shared" si="29"/>
        <v>6</v>
      </c>
      <c r="B383" s="316"/>
      <c r="C383" s="316" t="s">
        <v>664</v>
      </c>
      <c r="D383" s="316"/>
      <c r="E383" s="316"/>
      <c r="F383" s="316"/>
      <c r="G383" s="319">
        <v>32</v>
      </c>
      <c r="H383" s="316">
        <v>1</v>
      </c>
      <c r="I383" s="316" t="s">
        <v>197</v>
      </c>
      <c r="J383" s="316"/>
      <c r="K383" s="44"/>
      <c r="L383" s="44"/>
      <c r="M383" s="44"/>
      <c r="N383" s="44"/>
      <c r="O383" s="23"/>
      <c r="P383" s="23"/>
      <c r="Q383" s="23"/>
      <c r="R383" s="23"/>
    </row>
    <row r="384" spans="1:18" s="18" customFormat="1" ht="15.75" customHeight="1">
      <c r="A384" s="249">
        <f t="shared" si="29"/>
        <v>7</v>
      </c>
      <c r="B384" s="316"/>
      <c r="C384" s="318" t="s">
        <v>665</v>
      </c>
      <c r="D384" s="318"/>
      <c r="E384" s="316"/>
      <c r="F384" s="316"/>
      <c r="G384" s="319">
        <v>600</v>
      </c>
      <c r="H384" s="316">
        <v>1</v>
      </c>
      <c r="I384" s="316" t="s">
        <v>39</v>
      </c>
      <c r="J384" s="316"/>
      <c r="K384" s="44"/>
      <c r="L384" s="44"/>
      <c r="M384" s="44"/>
      <c r="N384" s="44"/>
      <c r="O384" s="23"/>
      <c r="P384" s="23"/>
      <c r="Q384" s="23"/>
      <c r="R384" s="23"/>
    </row>
    <row r="385" spans="1:18" s="18" customFormat="1" ht="15.75" customHeight="1">
      <c r="A385" s="249">
        <f t="shared" si="29"/>
        <v>8</v>
      </c>
      <c r="B385" s="316"/>
      <c r="C385" s="318" t="s">
        <v>666</v>
      </c>
      <c r="D385" s="322"/>
      <c r="E385" s="316">
        <v>160</v>
      </c>
      <c r="F385" s="316" t="s">
        <v>667</v>
      </c>
      <c r="G385" s="319">
        <v>37</v>
      </c>
      <c r="H385" s="316">
        <v>1</v>
      </c>
      <c r="I385" s="316" t="s">
        <v>39</v>
      </c>
      <c r="J385" s="316"/>
      <c r="K385" s="44"/>
      <c r="L385" s="44"/>
      <c r="M385" s="44"/>
      <c r="N385" s="44"/>
      <c r="O385" s="23"/>
      <c r="P385" s="23"/>
      <c r="Q385" s="23"/>
      <c r="R385" s="23"/>
    </row>
    <row r="386" spans="1:18" s="18" customFormat="1" ht="15.75" customHeight="1">
      <c r="A386" s="249">
        <f t="shared" si="29"/>
        <v>9</v>
      </c>
      <c r="B386" s="316"/>
      <c r="C386" s="316" t="s">
        <v>668</v>
      </c>
      <c r="D386" s="322"/>
      <c r="E386" s="316">
        <v>160</v>
      </c>
      <c r="F386" s="316" t="s">
        <v>669</v>
      </c>
      <c r="G386" s="319">
        <v>12</v>
      </c>
      <c r="H386" s="316">
        <v>1</v>
      </c>
      <c r="I386" s="316" t="s">
        <v>39</v>
      </c>
      <c r="J386" s="316"/>
      <c r="K386" s="44"/>
      <c r="L386" s="44"/>
      <c r="M386" s="44"/>
      <c r="N386" s="44"/>
      <c r="O386" s="23"/>
      <c r="P386" s="23"/>
      <c r="Q386" s="23"/>
      <c r="R386" s="23"/>
    </row>
    <row r="387" spans="1:18" s="18" customFormat="1" ht="15.75" customHeight="1">
      <c r="A387" s="249">
        <f t="shared" si="29"/>
        <v>10</v>
      </c>
      <c r="B387" s="316"/>
      <c r="C387" s="318" t="s">
        <v>670</v>
      </c>
      <c r="D387" s="322"/>
      <c r="E387" s="316"/>
      <c r="F387" s="316"/>
      <c r="G387" s="319">
        <v>170</v>
      </c>
      <c r="H387" s="316">
        <v>1</v>
      </c>
      <c r="I387" s="316" t="s">
        <v>94</v>
      </c>
      <c r="J387" s="316"/>
      <c r="K387" s="44"/>
      <c r="L387" s="44"/>
      <c r="M387" s="44"/>
      <c r="N387" s="44"/>
      <c r="O387" s="23"/>
      <c r="P387" s="23"/>
      <c r="Q387" s="23"/>
      <c r="R387" s="23"/>
    </row>
    <row r="388" spans="1:18" s="18" customFormat="1" ht="25.35" customHeight="1">
      <c r="A388" s="249">
        <f t="shared" si="29"/>
        <v>11</v>
      </c>
      <c r="B388" s="316"/>
      <c r="C388" s="318" t="s">
        <v>671</v>
      </c>
      <c r="D388" s="322"/>
      <c r="E388" s="316"/>
      <c r="F388" s="316"/>
      <c r="G388" s="319">
        <v>80</v>
      </c>
      <c r="H388" s="316">
        <v>1</v>
      </c>
      <c r="I388" s="316" t="s">
        <v>94</v>
      </c>
      <c r="J388" s="316"/>
      <c r="K388" s="44"/>
      <c r="L388" s="44"/>
      <c r="M388" s="44" t="s">
        <v>672</v>
      </c>
      <c r="N388" s="44"/>
      <c r="O388" s="23"/>
      <c r="P388" s="23"/>
      <c r="Q388" s="23"/>
      <c r="R388" s="23"/>
    </row>
    <row r="389" spans="1:18" s="18" customFormat="1" ht="15.75" customHeight="1">
      <c r="A389" s="249"/>
      <c r="B389" s="316"/>
      <c r="C389" s="318" t="s">
        <v>673</v>
      </c>
      <c r="D389" s="322">
        <v>203</v>
      </c>
      <c r="E389" s="316">
        <v>24</v>
      </c>
      <c r="F389" s="316" t="s">
        <v>674</v>
      </c>
      <c r="G389" s="319">
        <v>259</v>
      </c>
      <c r="H389" s="316">
        <v>1</v>
      </c>
      <c r="I389" s="316" t="s">
        <v>675</v>
      </c>
      <c r="J389" s="316"/>
      <c r="K389" s="44"/>
      <c r="L389" s="44"/>
      <c r="M389" s="44"/>
      <c r="N389" s="44"/>
      <c r="O389" s="23"/>
      <c r="P389" s="23"/>
      <c r="Q389" s="23"/>
      <c r="R389" s="23"/>
    </row>
    <row r="390" spans="1:18" s="18" customFormat="1" ht="15.75" customHeight="1">
      <c r="A390" s="249">
        <f>A388+1</f>
        <v>12</v>
      </c>
      <c r="B390" s="316"/>
      <c r="C390" s="318" t="s">
        <v>676</v>
      </c>
      <c r="D390" s="322"/>
      <c r="E390" s="316"/>
      <c r="F390" s="316"/>
      <c r="G390" s="319">
        <v>100</v>
      </c>
      <c r="H390" s="316">
        <v>1</v>
      </c>
      <c r="I390" s="316" t="s">
        <v>39</v>
      </c>
      <c r="J390" s="316"/>
      <c r="K390" s="44"/>
      <c r="L390" s="44"/>
      <c r="M390" s="44"/>
      <c r="N390" s="44"/>
      <c r="O390" s="23"/>
      <c r="P390" s="23"/>
      <c r="Q390" s="23"/>
      <c r="R390" s="23"/>
    </row>
    <row r="391" spans="1:18" s="18" customFormat="1" ht="15.75" customHeight="1">
      <c r="A391" s="249">
        <f t="shared" ref="A391:A396" si="30">A390+1</f>
        <v>13</v>
      </c>
      <c r="B391" s="316"/>
      <c r="C391" s="316" t="s">
        <v>677</v>
      </c>
      <c r="D391" s="322"/>
      <c r="E391" s="316"/>
      <c r="F391" s="316"/>
      <c r="G391" s="319">
        <v>30</v>
      </c>
      <c r="H391" s="316">
        <v>1</v>
      </c>
      <c r="I391" s="316" t="s">
        <v>39</v>
      </c>
      <c r="J391" s="316"/>
      <c r="K391" s="44"/>
      <c r="L391" s="44"/>
      <c r="M391" s="44"/>
      <c r="N391" s="44"/>
      <c r="O391" s="23"/>
      <c r="P391" s="23"/>
      <c r="Q391" s="23"/>
      <c r="R391" s="23"/>
    </row>
    <row r="392" spans="1:18" s="18" customFormat="1" ht="55.5" customHeight="1">
      <c r="A392" s="249">
        <f t="shared" si="30"/>
        <v>14</v>
      </c>
      <c r="B392" s="316"/>
      <c r="C392" s="318" t="s">
        <v>678</v>
      </c>
      <c r="D392" s="322"/>
      <c r="E392" s="316"/>
      <c r="F392" s="316"/>
      <c r="G392" s="319">
        <v>30</v>
      </c>
      <c r="H392" s="316">
        <v>1</v>
      </c>
      <c r="I392" s="316" t="s">
        <v>39</v>
      </c>
      <c r="J392" s="316"/>
      <c r="K392" s="44"/>
      <c r="L392" s="44"/>
      <c r="M392" s="44"/>
      <c r="N392" s="44"/>
      <c r="O392" s="23"/>
      <c r="P392" s="23"/>
      <c r="Q392" s="23"/>
      <c r="R392" s="23"/>
    </row>
    <row r="393" spans="1:18" s="18" customFormat="1" ht="25.35" customHeight="1">
      <c r="A393" s="249">
        <f t="shared" si="30"/>
        <v>15</v>
      </c>
      <c r="B393" s="316"/>
      <c r="C393" s="323" t="s">
        <v>679</v>
      </c>
      <c r="D393" s="324">
        <v>732</v>
      </c>
      <c r="E393" s="316">
        <v>104</v>
      </c>
      <c r="F393" s="316" t="s">
        <v>680</v>
      </c>
      <c r="G393" s="319">
        <v>769</v>
      </c>
      <c r="H393" s="316">
        <v>1</v>
      </c>
      <c r="I393" s="316" t="s">
        <v>197</v>
      </c>
      <c r="J393" s="316"/>
      <c r="K393" s="44"/>
      <c r="L393" s="44"/>
      <c r="M393" s="44"/>
      <c r="N393" s="44"/>
      <c r="O393" s="23"/>
      <c r="P393" s="23"/>
      <c r="Q393" s="23"/>
      <c r="R393" s="23"/>
    </row>
    <row r="394" spans="1:18" s="18" customFormat="1" ht="25.35" customHeight="1">
      <c r="A394" s="249">
        <f t="shared" si="30"/>
        <v>16</v>
      </c>
      <c r="B394" s="316"/>
      <c r="C394" s="325" t="s">
        <v>681</v>
      </c>
      <c r="D394" s="324"/>
      <c r="E394" s="316"/>
      <c r="F394" s="316"/>
      <c r="G394" s="319">
        <v>800</v>
      </c>
      <c r="H394" s="316">
        <v>1</v>
      </c>
      <c r="I394" s="316" t="s">
        <v>94</v>
      </c>
      <c r="J394" s="316"/>
      <c r="K394" s="44"/>
      <c r="L394" s="44"/>
      <c r="M394" s="44"/>
      <c r="N394" s="44"/>
      <c r="O394" s="23"/>
      <c r="P394" s="23"/>
      <c r="Q394" s="23"/>
      <c r="R394" s="23"/>
    </row>
    <row r="395" spans="1:18" s="18" customFormat="1" ht="15.75" customHeight="1">
      <c r="A395" s="249">
        <f t="shared" si="30"/>
        <v>17</v>
      </c>
      <c r="B395" s="316"/>
      <c r="C395" s="323" t="s">
        <v>682</v>
      </c>
      <c r="D395" s="323"/>
      <c r="E395" s="316"/>
      <c r="F395" s="316"/>
      <c r="G395" s="319">
        <v>100</v>
      </c>
      <c r="H395" s="316">
        <v>1</v>
      </c>
      <c r="I395" s="316" t="s">
        <v>39</v>
      </c>
      <c r="J395" s="316"/>
      <c r="K395" s="44"/>
      <c r="L395" s="44"/>
      <c r="M395" s="44"/>
      <c r="N395" s="44"/>
      <c r="O395" s="23"/>
      <c r="P395" s="23"/>
      <c r="Q395" s="23"/>
      <c r="R395" s="23"/>
    </row>
    <row r="396" spans="1:18" s="18" customFormat="1" ht="15.75" customHeight="1">
      <c r="A396" s="249">
        <f t="shared" si="30"/>
        <v>18</v>
      </c>
      <c r="B396" s="316"/>
      <c r="C396" s="318" t="s">
        <v>683</v>
      </c>
      <c r="D396" s="318"/>
      <c r="E396" s="316"/>
      <c r="F396" s="316"/>
      <c r="G396" s="319">
        <v>75</v>
      </c>
      <c r="H396" s="316">
        <v>1</v>
      </c>
      <c r="I396" s="316" t="s">
        <v>39</v>
      </c>
      <c r="J396" s="316"/>
      <c r="K396" s="44"/>
      <c r="L396" s="44"/>
      <c r="M396" s="44"/>
      <c r="N396" s="44"/>
      <c r="O396" s="23"/>
      <c r="P396" s="23"/>
      <c r="Q396" s="23"/>
      <c r="R396" s="23"/>
    </row>
    <row r="397" spans="1:18" s="18" customFormat="1" ht="15.75" customHeight="1">
      <c r="A397" s="326"/>
      <c r="B397" s="326"/>
      <c r="C397" s="326" t="s">
        <v>684</v>
      </c>
      <c r="D397" s="326" t="s">
        <v>685</v>
      </c>
      <c r="E397" s="326">
        <v>28</v>
      </c>
      <c r="F397" s="326" t="s">
        <v>686</v>
      </c>
      <c r="G397" s="327">
        <v>195</v>
      </c>
      <c r="H397" s="326">
        <v>1</v>
      </c>
      <c r="I397" s="316" t="s">
        <v>39</v>
      </c>
      <c r="J397" s="326"/>
      <c r="O397" s="23"/>
      <c r="P397" s="23"/>
      <c r="Q397" s="23"/>
      <c r="R397" s="23"/>
    </row>
    <row r="398" spans="1:18">
      <c r="O398" s="23"/>
      <c r="P398" s="23"/>
      <c r="Q398" s="23"/>
      <c r="R398" s="23"/>
    </row>
    <row r="399" spans="1:18">
      <c r="O399" s="23"/>
      <c r="P399" s="23"/>
      <c r="Q399" s="23"/>
      <c r="R399" s="23"/>
    </row>
  </sheetData>
  <sheetProtection selectLockedCells="1" selectUnlockedCells="1"/>
  <mergeCells count="18">
    <mergeCell ref="C254:R254"/>
    <mergeCell ref="A1:J1"/>
    <mergeCell ref="D2:E2"/>
    <mergeCell ref="F2:F3"/>
    <mergeCell ref="G2:G3"/>
    <mergeCell ref="H2:I3"/>
    <mergeCell ref="D351:D353"/>
    <mergeCell ref="G255:M255"/>
    <mergeCell ref="Q255:R255"/>
    <mergeCell ref="C262:R262"/>
    <mergeCell ref="G263:M263"/>
    <mergeCell ref="Q263:R263"/>
    <mergeCell ref="C273:R273"/>
    <mergeCell ref="G274:M274"/>
    <mergeCell ref="Q274:R274"/>
    <mergeCell ref="D286:E286"/>
    <mergeCell ref="D336:J336"/>
    <mergeCell ref="D346:D348"/>
  </mergeCells>
  <pageMargins left="0.7" right="0.7" top="0.75" bottom="0.75" header="0.51180555555555551" footer="0.51180555555555551"/>
  <pageSetup scale="90" firstPageNumber="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sheetPr>
    <tabColor indexed="40"/>
  </sheetPr>
  <dimension ref="A1:N114"/>
  <sheetViews>
    <sheetView view="pageBreakPreview" topLeftCell="A19" zoomScaleSheetLayoutView="100" workbookViewId="0">
      <selection activeCell="F30" sqref="F30"/>
    </sheetView>
  </sheetViews>
  <sheetFormatPr defaultColWidth="11" defaultRowHeight="15"/>
  <cols>
    <col min="1" max="1" width="5" style="328" customWidth="1"/>
    <col min="2" max="2" width="2.5703125" style="328" customWidth="1"/>
    <col min="3" max="3" width="32.42578125" style="328" customWidth="1"/>
    <col min="4" max="4" width="9" style="328" customWidth="1"/>
    <col min="5" max="5" width="7.85546875" style="328" customWidth="1"/>
    <col min="6" max="6" width="16" style="328" customWidth="1"/>
    <col min="7" max="8" width="8.5703125" style="2" customWidth="1"/>
    <col min="9" max="9" width="2.85546875" style="328" customWidth="1"/>
    <col min="10" max="10" width="4.85546875" style="328" customWidth="1"/>
    <col min="11" max="11" width="8" style="328" customWidth="1"/>
    <col min="12" max="13" width="8.28515625" style="329" customWidth="1"/>
    <col min="14" max="14" width="8.28515625" style="330" customWidth="1"/>
    <col min="15" max="64" width="8" style="328" customWidth="1"/>
    <col min="65" max="16384" width="11" style="328"/>
  </cols>
  <sheetData>
    <row r="1" spans="1:10" ht="15.75" customHeight="1">
      <c r="A1" s="1995" t="s">
        <v>687</v>
      </c>
      <c r="B1" s="1995"/>
      <c r="C1" s="1995"/>
      <c r="D1" s="1995"/>
      <c r="E1" s="1995"/>
      <c r="F1" s="1995"/>
      <c r="G1" s="1995"/>
      <c r="H1" s="1995"/>
      <c r="I1" s="1995"/>
      <c r="J1" s="331"/>
    </row>
    <row r="2" spans="1:10" ht="15.75" customHeight="1">
      <c r="A2" s="1995" t="s">
        <v>688</v>
      </c>
      <c r="B2" s="1995"/>
      <c r="C2" s="1995"/>
      <c r="D2" s="1995"/>
      <c r="E2" s="1995"/>
      <c r="F2" s="1995"/>
      <c r="G2" s="1995"/>
      <c r="H2" s="1995"/>
      <c r="I2" s="1995"/>
      <c r="J2" s="1995"/>
    </row>
    <row r="3" spans="1:10" ht="38.25" customHeight="1">
      <c r="A3" s="332" t="s">
        <v>689</v>
      </c>
      <c r="B3" s="333"/>
      <c r="C3" s="332" t="s">
        <v>690</v>
      </c>
      <c r="D3" s="334" t="s">
        <v>691</v>
      </c>
      <c r="E3" s="332" t="s">
        <v>692</v>
      </c>
      <c r="F3" s="333" t="s">
        <v>693</v>
      </c>
      <c r="G3" s="333" t="s">
        <v>29</v>
      </c>
      <c r="H3" s="333" t="s">
        <v>694</v>
      </c>
      <c r="I3" s="1996" t="s">
        <v>30</v>
      </c>
      <c r="J3" s="1996"/>
    </row>
    <row r="4" spans="1:10" ht="25.35" customHeight="1">
      <c r="A4" s="335">
        <v>1</v>
      </c>
      <c r="B4" s="335"/>
      <c r="C4" s="336" t="s">
        <v>695</v>
      </c>
      <c r="D4" s="336"/>
      <c r="E4" s="336"/>
      <c r="F4" s="337"/>
      <c r="G4" s="337"/>
      <c r="H4" s="337"/>
      <c r="I4" s="337"/>
      <c r="J4" s="337"/>
    </row>
    <row r="5" spans="1:10" ht="15.75" customHeight="1">
      <c r="A5" s="335"/>
      <c r="B5" s="335" t="s">
        <v>294</v>
      </c>
      <c r="C5" s="336" t="s">
        <v>696</v>
      </c>
      <c r="D5" s="336"/>
      <c r="E5" s="338">
        <v>209</v>
      </c>
      <c r="F5" s="335" t="s">
        <v>697</v>
      </c>
      <c r="G5" s="339">
        <v>573</v>
      </c>
      <c r="H5" s="340"/>
      <c r="I5" s="341">
        <v>1</v>
      </c>
      <c r="J5" s="340" t="s">
        <v>197</v>
      </c>
    </row>
    <row r="6" spans="1:10" ht="15.75" customHeight="1">
      <c r="A6" s="342"/>
      <c r="B6" s="335" t="s">
        <v>297</v>
      </c>
      <c r="C6" s="336" t="s">
        <v>698</v>
      </c>
      <c r="D6" s="336"/>
      <c r="E6" s="338">
        <v>209</v>
      </c>
      <c r="F6" s="335" t="s">
        <v>699</v>
      </c>
      <c r="G6" s="339">
        <v>495</v>
      </c>
      <c r="H6" s="340"/>
      <c r="I6" s="341">
        <v>1</v>
      </c>
      <c r="J6" s="340" t="s">
        <v>197</v>
      </c>
    </row>
    <row r="7" spans="1:10" ht="25.35" customHeight="1">
      <c r="A7" s="335">
        <f>A4+1</f>
        <v>2</v>
      </c>
      <c r="B7" s="335"/>
      <c r="C7" s="336" t="s">
        <v>700</v>
      </c>
      <c r="D7" s="336"/>
      <c r="E7" s="337"/>
      <c r="F7" s="335"/>
      <c r="G7" s="337"/>
      <c r="H7" s="337"/>
      <c r="I7" s="337"/>
      <c r="J7" s="337"/>
    </row>
    <row r="8" spans="1:10" ht="15.75" customHeight="1">
      <c r="A8" s="337"/>
      <c r="B8" s="335" t="s">
        <v>294</v>
      </c>
      <c r="C8" s="336" t="s">
        <v>696</v>
      </c>
      <c r="D8" s="336"/>
      <c r="E8" s="338">
        <v>209</v>
      </c>
      <c r="F8" s="335" t="s">
        <v>701</v>
      </c>
      <c r="G8" s="339">
        <v>828</v>
      </c>
      <c r="H8" s="340"/>
      <c r="I8" s="341">
        <v>1</v>
      </c>
      <c r="J8" s="340" t="s">
        <v>197</v>
      </c>
    </row>
    <row r="9" spans="1:10" ht="15.75" customHeight="1">
      <c r="A9" s="342"/>
      <c r="B9" s="335" t="s">
        <v>297</v>
      </c>
      <c r="C9" s="336" t="s">
        <v>698</v>
      </c>
      <c r="D9" s="336"/>
      <c r="E9" s="338">
        <v>209</v>
      </c>
      <c r="F9" s="335" t="s">
        <v>702</v>
      </c>
      <c r="G9" s="339">
        <v>736</v>
      </c>
      <c r="H9" s="340"/>
      <c r="I9" s="341">
        <v>1</v>
      </c>
      <c r="J9" s="340" t="s">
        <v>197</v>
      </c>
    </row>
    <row r="10" spans="1:10" ht="15.75" customHeight="1">
      <c r="A10" s="342"/>
      <c r="B10" s="343"/>
      <c r="C10" s="343"/>
      <c r="D10" s="343"/>
      <c r="E10" s="343"/>
      <c r="F10" s="342"/>
      <c r="G10" s="343"/>
      <c r="H10" s="343"/>
      <c r="I10" s="343"/>
      <c r="J10" s="343"/>
    </row>
    <row r="11" spans="1:10" ht="15.75" customHeight="1">
      <c r="A11" s="335">
        <f>A7+1</f>
        <v>3</v>
      </c>
      <c r="B11" s="335"/>
      <c r="C11" s="336" t="s">
        <v>703</v>
      </c>
      <c r="D11" s="336"/>
      <c r="E11" s="338">
        <v>209</v>
      </c>
      <c r="F11" s="335" t="s">
        <v>704</v>
      </c>
      <c r="G11" s="339">
        <v>722</v>
      </c>
      <c r="H11" s="340"/>
      <c r="I11" s="341">
        <v>1</v>
      </c>
      <c r="J11" s="340" t="s">
        <v>501</v>
      </c>
    </row>
    <row r="12" spans="1:10" ht="15.75" customHeight="1">
      <c r="A12" s="335">
        <f t="shared" ref="A12:A16" si="0">A11+1</f>
        <v>4</v>
      </c>
      <c r="B12" s="335"/>
      <c r="C12" s="336" t="s">
        <v>705</v>
      </c>
      <c r="D12" s="336"/>
      <c r="E12" s="338">
        <v>209</v>
      </c>
      <c r="F12" s="335" t="s">
        <v>706</v>
      </c>
      <c r="G12" s="339">
        <v>578</v>
      </c>
      <c r="H12" s="340"/>
      <c r="I12" s="341">
        <v>1</v>
      </c>
      <c r="J12" s="340" t="s">
        <v>197</v>
      </c>
    </row>
    <row r="13" spans="1:10" ht="15.75" customHeight="1">
      <c r="A13" s="335">
        <f t="shared" si="0"/>
        <v>5</v>
      </c>
      <c r="B13" s="335"/>
      <c r="C13" s="336" t="s">
        <v>707</v>
      </c>
      <c r="D13" s="336"/>
      <c r="E13" s="338">
        <v>209</v>
      </c>
      <c r="F13" s="335" t="s">
        <v>708</v>
      </c>
      <c r="G13" s="339">
        <v>1057</v>
      </c>
      <c r="H13" s="340"/>
      <c r="I13" s="341">
        <v>1</v>
      </c>
      <c r="J13" s="340" t="s">
        <v>197</v>
      </c>
    </row>
    <row r="14" spans="1:10" ht="15.75" customHeight="1">
      <c r="A14" s="335">
        <f t="shared" si="0"/>
        <v>6</v>
      </c>
      <c r="B14" s="335"/>
      <c r="C14" s="336" t="s">
        <v>709</v>
      </c>
      <c r="D14" s="336"/>
      <c r="E14" s="338">
        <v>209</v>
      </c>
      <c r="F14" s="335" t="s">
        <v>710</v>
      </c>
      <c r="G14" s="339">
        <v>1523</v>
      </c>
      <c r="H14" s="340"/>
      <c r="I14" s="341">
        <v>1</v>
      </c>
      <c r="J14" s="340" t="s">
        <v>197</v>
      </c>
    </row>
    <row r="15" spans="1:10" ht="36.6" customHeight="1">
      <c r="A15" s="335">
        <f t="shared" si="0"/>
        <v>7</v>
      </c>
      <c r="B15" s="335"/>
      <c r="C15" s="336" t="s">
        <v>711</v>
      </c>
      <c r="D15" s="336"/>
      <c r="E15" s="338">
        <v>212</v>
      </c>
      <c r="F15" s="335" t="s">
        <v>712</v>
      </c>
      <c r="G15" s="344">
        <v>326</v>
      </c>
      <c r="H15" s="345"/>
      <c r="I15" s="341">
        <v>1</v>
      </c>
      <c r="J15" s="340" t="s">
        <v>197</v>
      </c>
    </row>
    <row r="16" spans="1:10" ht="36.6" customHeight="1">
      <c r="A16" s="335">
        <f t="shared" si="0"/>
        <v>8</v>
      </c>
      <c r="B16" s="335"/>
      <c r="C16" s="336" t="s">
        <v>713</v>
      </c>
      <c r="D16" s="336"/>
      <c r="E16" s="338">
        <v>212</v>
      </c>
      <c r="F16" s="335" t="s">
        <v>714</v>
      </c>
      <c r="G16" s="344">
        <v>405</v>
      </c>
      <c r="H16" s="345"/>
      <c r="I16" s="341">
        <v>1</v>
      </c>
      <c r="J16" s="340" t="s">
        <v>197</v>
      </c>
    </row>
    <row r="17" spans="1:10" ht="15.75" customHeight="1">
      <c r="A17" s="342"/>
      <c r="B17" s="342"/>
      <c r="C17" s="346"/>
      <c r="D17" s="346"/>
      <c r="E17" s="347"/>
      <c r="F17" s="342"/>
      <c r="G17" s="348"/>
      <c r="H17" s="348"/>
      <c r="I17" s="349"/>
      <c r="J17" s="348"/>
    </row>
    <row r="18" spans="1:10" ht="25.35" customHeight="1">
      <c r="A18" s="335">
        <f>A16+1</f>
        <v>9</v>
      </c>
      <c r="B18" s="335"/>
      <c r="C18" s="336" t="s">
        <v>715</v>
      </c>
      <c r="D18" s="336"/>
      <c r="E18" s="338">
        <v>213</v>
      </c>
      <c r="F18" s="335" t="s">
        <v>716</v>
      </c>
      <c r="G18" s="339">
        <v>8607</v>
      </c>
      <c r="H18" s="340"/>
      <c r="I18" s="341">
        <v>1</v>
      </c>
      <c r="J18" s="340" t="s">
        <v>501</v>
      </c>
    </row>
    <row r="19" spans="1:10" ht="25.35" customHeight="1">
      <c r="A19" s="335">
        <f t="shared" ref="A19:A22" si="1">A18+1</f>
        <v>10</v>
      </c>
      <c r="B19" s="335"/>
      <c r="C19" s="336" t="s">
        <v>717</v>
      </c>
      <c r="D19" s="336"/>
      <c r="E19" s="338">
        <v>213</v>
      </c>
      <c r="F19" s="335" t="s">
        <v>718</v>
      </c>
      <c r="G19" s="339">
        <v>13919</v>
      </c>
      <c r="H19" s="340"/>
      <c r="I19" s="341">
        <v>1</v>
      </c>
      <c r="J19" s="340" t="s">
        <v>501</v>
      </c>
    </row>
    <row r="20" spans="1:10" ht="25.35" customHeight="1">
      <c r="A20" s="335">
        <f t="shared" si="1"/>
        <v>11</v>
      </c>
      <c r="B20" s="335"/>
      <c r="C20" s="336" t="s">
        <v>719</v>
      </c>
      <c r="D20" s="336"/>
      <c r="E20" s="338">
        <v>213</v>
      </c>
      <c r="F20" s="335" t="s">
        <v>720</v>
      </c>
      <c r="G20" s="339">
        <v>4448</v>
      </c>
      <c r="H20" s="340"/>
      <c r="I20" s="341">
        <v>1</v>
      </c>
      <c r="J20" s="340" t="s">
        <v>501</v>
      </c>
    </row>
    <row r="21" spans="1:10" ht="47.85" customHeight="1">
      <c r="A21" s="335">
        <f t="shared" si="1"/>
        <v>12</v>
      </c>
      <c r="B21" s="335"/>
      <c r="C21" s="336" t="s">
        <v>721</v>
      </c>
      <c r="D21" s="336"/>
      <c r="E21" s="338">
        <v>213</v>
      </c>
      <c r="F21" s="335" t="s">
        <v>722</v>
      </c>
      <c r="G21" s="339">
        <v>90</v>
      </c>
      <c r="H21" s="340"/>
      <c r="I21" s="341">
        <v>1</v>
      </c>
      <c r="J21" s="340" t="s">
        <v>501</v>
      </c>
    </row>
    <row r="22" spans="1:10" ht="15.75" customHeight="1">
      <c r="A22" s="335">
        <f t="shared" si="1"/>
        <v>13</v>
      </c>
      <c r="B22" s="335"/>
      <c r="C22" s="336" t="s">
        <v>723</v>
      </c>
      <c r="D22" s="336"/>
      <c r="E22" s="338">
        <v>213</v>
      </c>
      <c r="F22" s="335" t="s">
        <v>724</v>
      </c>
      <c r="G22" s="339">
        <v>146</v>
      </c>
      <c r="H22" s="340"/>
      <c r="I22" s="341">
        <v>1</v>
      </c>
      <c r="J22" s="340" t="s">
        <v>501</v>
      </c>
    </row>
    <row r="23" spans="1:10" ht="15.75" customHeight="1">
      <c r="A23" s="342"/>
      <c r="B23" s="342"/>
      <c r="C23" s="343"/>
      <c r="D23" s="343"/>
      <c r="E23" s="343"/>
      <c r="F23" s="342"/>
      <c r="G23" s="343"/>
      <c r="H23" s="343"/>
      <c r="I23" s="343"/>
      <c r="J23" s="343"/>
    </row>
    <row r="24" spans="1:10" ht="25.35" customHeight="1">
      <c r="A24" s="335">
        <f>A22+1</f>
        <v>14</v>
      </c>
      <c r="B24" s="335"/>
      <c r="C24" s="336" t="s">
        <v>725</v>
      </c>
      <c r="D24" s="336"/>
      <c r="E24" s="338" t="s">
        <v>726</v>
      </c>
      <c r="F24" s="338" t="s">
        <v>727</v>
      </c>
      <c r="G24" s="339">
        <v>2101</v>
      </c>
      <c r="H24" s="339">
        <v>527</v>
      </c>
      <c r="I24" s="341">
        <v>1</v>
      </c>
      <c r="J24" s="340" t="s">
        <v>501</v>
      </c>
    </row>
    <row r="25" spans="1:10" ht="15.75" customHeight="1">
      <c r="A25" s="335">
        <f t="shared" ref="A25:A37" si="2">A24+1</f>
        <v>15</v>
      </c>
      <c r="B25" s="335"/>
      <c r="C25" s="336" t="s">
        <v>728</v>
      </c>
      <c r="D25" s="336"/>
      <c r="E25" s="338">
        <v>221</v>
      </c>
      <c r="F25" s="335" t="s">
        <v>729</v>
      </c>
      <c r="G25" s="339">
        <v>321</v>
      </c>
      <c r="H25" s="340"/>
      <c r="I25" s="341">
        <v>1</v>
      </c>
      <c r="J25" s="340" t="s">
        <v>501</v>
      </c>
    </row>
    <row r="26" spans="1:10" ht="15.75" customHeight="1">
      <c r="A26" s="335">
        <f t="shared" si="2"/>
        <v>16</v>
      </c>
      <c r="B26" s="335"/>
      <c r="C26" s="336" t="s">
        <v>730</v>
      </c>
      <c r="D26" s="336"/>
      <c r="E26" s="338">
        <v>221</v>
      </c>
      <c r="F26" s="335" t="s">
        <v>731</v>
      </c>
      <c r="G26" s="339">
        <v>96</v>
      </c>
      <c r="H26" s="340"/>
      <c r="I26" s="341">
        <v>1</v>
      </c>
      <c r="J26" s="340" t="s">
        <v>501</v>
      </c>
    </row>
    <row r="27" spans="1:10" ht="25.35" customHeight="1">
      <c r="A27" s="335">
        <f t="shared" si="2"/>
        <v>17</v>
      </c>
      <c r="B27" s="335"/>
      <c r="C27" s="336" t="s">
        <v>732</v>
      </c>
      <c r="D27" s="336"/>
      <c r="E27" s="338" t="s">
        <v>726</v>
      </c>
      <c r="F27" s="338" t="s">
        <v>733</v>
      </c>
      <c r="G27" s="339">
        <v>2008</v>
      </c>
      <c r="H27" s="339">
        <v>370</v>
      </c>
      <c r="I27" s="341">
        <v>1</v>
      </c>
      <c r="J27" s="340" t="s">
        <v>501</v>
      </c>
    </row>
    <row r="28" spans="1:10" ht="28.5" customHeight="1">
      <c r="A28" s="335">
        <f t="shared" si="2"/>
        <v>18</v>
      </c>
      <c r="B28" s="335"/>
      <c r="C28" s="336" t="s">
        <v>734</v>
      </c>
      <c r="D28" s="336"/>
      <c r="E28" s="338" t="s">
        <v>735</v>
      </c>
      <c r="F28" s="338" t="s">
        <v>736</v>
      </c>
      <c r="G28" s="339">
        <v>1235</v>
      </c>
      <c r="H28" s="339">
        <v>108</v>
      </c>
      <c r="I28" s="341">
        <v>1</v>
      </c>
      <c r="J28" s="340" t="s">
        <v>501</v>
      </c>
    </row>
    <row r="29" spans="1:10" ht="39" customHeight="1">
      <c r="A29" s="335">
        <f t="shared" si="2"/>
        <v>19</v>
      </c>
      <c r="B29" s="335"/>
      <c r="C29" s="336" t="s">
        <v>737</v>
      </c>
      <c r="D29" s="336"/>
      <c r="E29" s="338" t="s">
        <v>735</v>
      </c>
      <c r="F29" s="338" t="s">
        <v>738</v>
      </c>
      <c r="G29" s="339">
        <v>2223</v>
      </c>
      <c r="H29" s="339">
        <v>527</v>
      </c>
      <c r="I29" s="341">
        <v>1</v>
      </c>
      <c r="J29" s="340" t="s">
        <v>501</v>
      </c>
    </row>
    <row r="30" spans="1:10" ht="39" customHeight="1">
      <c r="A30" s="335">
        <f t="shared" si="2"/>
        <v>20</v>
      </c>
      <c r="B30" s="335"/>
      <c r="C30" s="336" t="s">
        <v>739</v>
      </c>
      <c r="D30" s="336"/>
      <c r="E30" s="338" t="s">
        <v>740</v>
      </c>
      <c r="F30" s="338" t="s">
        <v>741</v>
      </c>
      <c r="G30" s="339">
        <v>4766</v>
      </c>
      <c r="H30" s="339">
        <v>527</v>
      </c>
      <c r="I30" s="341">
        <v>1</v>
      </c>
      <c r="J30" s="340" t="s">
        <v>501</v>
      </c>
    </row>
    <row r="31" spans="1:10" ht="39" customHeight="1">
      <c r="A31" s="335">
        <f t="shared" si="2"/>
        <v>21</v>
      </c>
      <c r="B31" s="335"/>
      <c r="C31" s="336" t="s">
        <v>742</v>
      </c>
      <c r="D31" s="336"/>
      <c r="E31" s="338" t="s">
        <v>740</v>
      </c>
      <c r="F31" s="338" t="s">
        <v>743</v>
      </c>
      <c r="G31" s="339">
        <v>5363</v>
      </c>
      <c r="H31" s="339">
        <v>527</v>
      </c>
      <c r="I31" s="341">
        <v>1</v>
      </c>
      <c r="J31" s="340" t="s">
        <v>501</v>
      </c>
    </row>
    <row r="32" spans="1:10" ht="25.35" customHeight="1">
      <c r="A32" s="335">
        <f t="shared" si="2"/>
        <v>22</v>
      </c>
      <c r="B32" s="335"/>
      <c r="C32" s="336" t="s">
        <v>744</v>
      </c>
      <c r="D32" s="336"/>
      <c r="E32" s="338" t="s">
        <v>740</v>
      </c>
      <c r="F32" s="338" t="s">
        <v>745</v>
      </c>
      <c r="G32" s="339">
        <v>1049</v>
      </c>
      <c r="H32" s="339">
        <v>211</v>
      </c>
      <c r="I32" s="341">
        <v>1</v>
      </c>
      <c r="J32" s="340" t="s">
        <v>501</v>
      </c>
    </row>
    <row r="33" spans="1:10" ht="25.35" customHeight="1">
      <c r="A33" s="335">
        <f t="shared" si="2"/>
        <v>23</v>
      </c>
      <c r="B33" s="335"/>
      <c r="C33" s="336" t="s">
        <v>746</v>
      </c>
      <c r="D33" s="336"/>
      <c r="E33" s="338" t="s">
        <v>740</v>
      </c>
      <c r="F33" s="338" t="s">
        <v>747</v>
      </c>
      <c r="G33" s="339">
        <v>3809</v>
      </c>
      <c r="H33" s="339">
        <v>211</v>
      </c>
      <c r="I33" s="341">
        <v>1</v>
      </c>
      <c r="J33" s="340" t="s">
        <v>501</v>
      </c>
    </row>
    <row r="34" spans="1:10" ht="36.6" customHeight="1">
      <c r="A34" s="335">
        <f t="shared" si="2"/>
        <v>24</v>
      </c>
      <c r="B34" s="335"/>
      <c r="C34" s="336" t="s">
        <v>748</v>
      </c>
      <c r="D34" s="336"/>
      <c r="E34" s="350">
        <v>224</v>
      </c>
      <c r="F34" s="335" t="s">
        <v>749</v>
      </c>
      <c r="G34" s="351">
        <v>7277</v>
      </c>
      <c r="H34" s="340"/>
      <c r="I34" s="341">
        <v>1</v>
      </c>
      <c r="J34" s="352" t="s">
        <v>501</v>
      </c>
    </row>
    <row r="35" spans="1:10" ht="36.6" customHeight="1">
      <c r="A35" s="335">
        <f t="shared" si="2"/>
        <v>25</v>
      </c>
      <c r="B35" s="335"/>
      <c r="C35" s="336" t="s">
        <v>750</v>
      </c>
      <c r="D35" s="336"/>
      <c r="E35" s="350">
        <v>224</v>
      </c>
      <c r="F35" s="335" t="s">
        <v>751</v>
      </c>
      <c r="G35" s="351">
        <v>4871</v>
      </c>
      <c r="H35" s="340"/>
      <c r="I35" s="341">
        <v>1</v>
      </c>
      <c r="J35" s="352" t="s">
        <v>501</v>
      </c>
    </row>
    <row r="36" spans="1:10" ht="15.75" customHeight="1">
      <c r="A36" s="335">
        <f t="shared" si="2"/>
        <v>26</v>
      </c>
      <c r="B36" s="335"/>
      <c r="C36" s="336" t="s">
        <v>752</v>
      </c>
      <c r="D36" s="336"/>
      <c r="E36" s="350">
        <v>224</v>
      </c>
      <c r="F36" s="338" t="s">
        <v>753</v>
      </c>
      <c r="G36" s="339">
        <v>761</v>
      </c>
      <c r="H36" s="340"/>
      <c r="I36" s="341">
        <v>1</v>
      </c>
      <c r="J36" s="340" t="s">
        <v>501</v>
      </c>
    </row>
    <row r="37" spans="1:10" ht="25.35" customHeight="1">
      <c r="A37" s="335">
        <f t="shared" si="2"/>
        <v>27</v>
      </c>
      <c r="B37" s="335"/>
      <c r="C37" s="336" t="s">
        <v>754</v>
      </c>
      <c r="D37" s="336"/>
      <c r="E37" s="338">
        <v>225</v>
      </c>
      <c r="F37" s="335" t="s">
        <v>755</v>
      </c>
      <c r="G37" s="339">
        <v>524</v>
      </c>
      <c r="H37" s="340"/>
      <c r="I37" s="341">
        <v>1</v>
      </c>
      <c r="J37" s="340" t="s">
        <v>501</v>
      </c>
    </row>
    <row r="38" spans="1:10" ht="15.75" customHeight="1">
      <c r="A38" s="342"/>
      <c r="B38" s="342"/>
      <c r="C38" s="346"/>
      <c r="D38" s="346"/>
      <c r="E38" s="347"/>
      <c r="F38" s="342"/>
      <c r="G38" s="339"/>
      <c r="H38" s="348"/>
      <c r="I38" s="349"/>
      <c r="J38" s="348"/>
    </row>
    <row r="39" spans="1:10" ht="36.6" customHeight="1">
      <c r="A39" s="335">
        <f>A37+1</f>
        <v>28</v>
      </c>
      <c r="B39" s="335"/>
      <c r="C39" s="336" t="s">
        <v>756</v>
      </c>
      <c r="D39" s="336"/>
      <c r="E39" s="338" t="s">
        <v>757</v>
      </c>
      <c r="F39" s="338" t="s">
        <v>758</v>
      </c>
      <c r="G39" s="339">
        <v>261</v>
      </c>
      <c r="H39" s="339">
        <v>64</v>
      </c>
      <c r="I39" s="341">
        <v>1</v>
      </c>
      <c r="J39" s="340" t="s">
        <v>501</v>
      </c>
    </row>
    <row r="40" spans="1:10" ht="47.85" customHeight="1">
      <c r="A40" s="335">
        <f t="shared" ref="A40:A41" si="3">A39+1</f>
        <v>29</v>
      </c>
      <c r="B40" s="335"/>
      <c r="C40" s="336" t="s">
        <v>759</v>
      </c>
      <c r="D40" s="336"/>
      <c r="E40" s="338" t="s">
        <v>760</v>
      </c>
      <c r="F40" s="338" t="s">
        <v>761</v>
      </c>
      <c r="G40" s="351">
        <v>3400</v>
      </c>
      <c r="H40" s="339">
        <v>64</v>
      </c>
      <c r="I40" s="341">
        <v>1</v>
      </c>
      <c r="J40" s="352" t="s">
        <v>501</v>
      </c>
    </row>
    <row r="41" spans="1:10" ht="29.25" customHeight="1">
      <c r="A41" s="335">
        <f t="shared" si="3"/>
        <v>30</v>
      </c>
      <c r="B41" s="335"/>
      <c r="C41" s="336" t="s">
        <v>762</v>
      </c>
      <c r="D41" s="336"/>
      <c r="E41" s="338" t="s">
        <v>760</v>
      </c>
      <c r="F41" s="338" t="s">
        <v>763</v>
      </c>
      <c r="G41" s="340">
        <v>287</v>
      </c>
      <c r="H41" s="339">
        <v>64</v>
      </c>
      <c r="I41" s="341">
        <v>1</v>
      </c>
      <c r="J41" s="340" t="s">
        <v>501</v>
      </c>
    </row>
    <row r="42" spans="1:10" ht="25.35" customHeight="1">
      <c r="A42" s="335">
        <f>A39+1</f>
        <v>29</v>
      </c>
      <c r="B42" s="335"/>
      <c r="C42" s="336" t="s">
        <v>764</v>
      </c>
      <c r="D42" s="336"/>
      <c r="E42" s="338" t="s">
        <v>765</v>
      </c>
      <c r="F42" s="338" t="s">
        <v>766</v>
      </c>
      <c r="G42" s="340">
        <v>251</v>
      </c>
      <c r="H42" s="339">
        <v>128</v>
      </c>
      <c r="I42" s="341">
        <v>1</v>
      </c>
      <c r="J42" s="340" t="s">
        <v>501</v>
      </c>
    </row>
    <row r="43" spans="1:10" ht="25.35" customHeight="1">
      <c r="A43" s="335">
        <f t="shared" ref="A43:A45" si="4">A42+1</f>
        <v>30</v>
      </c>
      <c r="B43" s="335"/>
      <c r="C43" s="336" t="s">
        <v>767</v>
      </c>
      <c r="D43" s="336"/>
      <c r="E43" s="338" t="s">
        <v>768</v>
      </c>
      <c r="F43" s="338" t="s">
        <v>769</v>
      </c>
      <c r="G43" s="340">
        <v>200</v>
      </c>
      <c r="H43" s="339">
        <v>128</v>
      </c>
      <c r="I43" s="341">
        <v>1</v>
      </c>
      <c r="J43" s="340" t="s">
        <v>501</v>
      </c>
    </row>
    <row r="44" spans="1:10" ht="25.35" customHeight="1">
      <c r="A44" s="335">
        <f t="shared" si="4"/>
        <v>31</v>
      </c>
      <c r="B44" s="335"/>
      <c r="C44" s="336" t="s">
        <v>770</v>
      </c>
      <c r="D44" s="336"/>
      <c r="E44" s="338" t="s">
        <v>771</v>
      </c>
      <c r="F44" s="338" t="s">
        <v>772</v>
      </c>
      <c r="G44" s="340">
        <v>601</v>
      </c>
      <c r="H44" s="339">
        <v>128</v>
      </c>
      <c r="I44" s="341">
        <v>1</v>
      </c>
      <c r="J44" s="340" t="s">
        <v>501</v>
      </c>
    </row>
    <row r="45" spans="1:10" ht="15.75" customHeight="1">
      <c r="A45" s="335">
        <f t="shared" si="4"/>
        <v>32</v>
      </c>
      <c r="B45" s="335"/>
      <c r="C45" s="336" t="s">
        <v>773</v>
      </c>
      <c r="D45" s="336"/>
      <c r="E45" s="338">
        <v>229</v>
      </c>
      <c r="F45" s="335" t="s">
        <v>774</v>
      </c>
      <c r="G45" s="340">
        <v>74</v>
      </c>
      <c r="H45" s="340"/>
      <c r="I45" s="341">
        <v>1</v>
      </c>
      <c r="J45" s="340" t="s">
        <v>501</v>
      </c>
    </row>
    <row r="46" spans="1:10" ht="15.75" customHeight="1">
      <c r="A46" s="342"/>
      <c r="B46" s="342"/>
    </row>
    <row r="47" spans="1:10" ht="25.35" customHeight="1">
      <c r="A47" s="353">
        <f>A45+1</f>
        <v>33</v>
      </c>
      <c r="B47" s="335"/>
      <c r="C47" s="336" t="s">
        <v>775</v>
      </c>
      <c r="D47" s="336"/>
      <c r="E47" s="338"/>
      <c r="F47" s="335"/>
      <c r="G47" s="340"/>
      <c r="H47" s="340"/>
      <c r="I47" s="341"/>
      <c r="J47" s="340"/>
    </row>
    <row r="48" spans="1:10" ht="15.75" customHeight="1">
      <c r="A48" s="353"/>
      <c r="B48" s="335" t="s">
        <v>294</v>
      </c>
      <c r="C48" s="336" t="s">
        <v>776</v>
      </c>
      <c r="D48" s="336"/>
      <c r="E48" s="338">
        <v>230</v>
      </c>
      <c r="F48" s="335" t="s">
        <v>777</v>
      </c>
      <c r="G48" s="340">
        <v>215</v>
      </c>
      <c r="H48" s="340"/>
      <c r="I48" s="341">
        <v>1</v>
      </c>
      <c r="J48" s="340" t="s">
        <v>197</v>
      </c>
    </row>
    <row r="49" spans="1:10" ht="15.75" customHeight="1">
      <c r="A49" s="354"/>
      <c r="B49" s="335" t="s">
        <v>297</v>
      </c>
      <c r="C49" s="336" t="s">
        <v>778</v>
      </c>
      <c r="D49" s="336"/>
      <c r="E49" s="338">
        <v>230</v>
      </c>
      <c r="F49" s="335" t="s">
        <v>779</v>
      </c>
      <c r="G49" s="340">
        <v>240</v>
      </c>
      <c r="H49" s="340"/>
      <c r="I49" s="341">
        <v>1</v>
      </c>
      <c r="J49" s="340" t="s">
        <v>197</v>
      </c>
    </row>
    <row r="50" spans="1:10" ht="15.75" customHeight="1">
      <c r="A50" s="354"/>
      <c r="B50" s="335" t="s">
        <v>430</v>
      </c>
      <c r="C50" s="336" t="s">
        <v>780</v>
      </c>
      <c r="D50" s="336"/>
      <c r="E50" s="338">
        <v>230</v>
      </c>
      <c r="F50" s="335" t="s">
        <v>781</v>
      </c>
      <c r="G50" s="340">
        <v>314</v>
      </c>
      <c r="H50" s="340"/>
      <c r="I50" s="341">
        <v>1</v>
      </c>
      <c r="J50" s="340" t="s">
        <v>197</v>
      </c>
    </row>
    <row r="51" spans="1:10" ht="15.75" customHeight="1">
      <c r="A51" s="354"/>
      <c r="B51" s="335" t="s">
        <v>433</v>
      </c>
      <c r="C51" s="336" t="s">
        <v>782</v>
      </c>
      <c r="D51" s="336"/>
      <c r="E51" s="338">
        <v>230</v>
      </c>
      <c r="F51" s="335" t="s">
        <v>783</v>
      </c>
      <c r="G51" s="340">
        <v>439</v>
      </c>
      <c r="H51" s="340"/>
      <c r="I51" s="341">
        <v>1</v>
      </c>
      <c r="J51" s="340" t="s">
        <v>197</v>
      </c>
    </row>
    <row r="52" spans="1:10" ht="15.75" customHeight="1">
      <c r="A52" s="354"/>
      <c r="B52" s="335" t="s">
        <v>436</v>
      </c>
      <c r="C52" s="336" t="s">
        <v>784</v>
      </c>
      <c r="D52" s="336"/>
      <c r="E52" s="338">
        <v>230</v>
      </c>
      <c r="F52" s="335" t="s">
        <v>785</v>
      </c>
      <c r="G52" s="340">
        <v>492</v>
      </c>
      <c r="H52" s="340"/>
      <c r="I52" s="341">
        <v>1</v>
      </c>
      <c r="J52" s="340" t="s">
        <v>197</v>
      </c>
    </row>
    <row r="53" spans="1:10" ht="15.75" customHeight="1">
      <c r="A53" s="354"/>
      <c r="B53" s="335" t="s">
        <v>439</v>
      </c>
      <c r="C53" s="336" t="s">
        <v>786</v>
      </c>
      <c r="D53" s="336"/>
      <c r="E53" s="338">
        <v>230</v>
      </c>
      <c r="F53" s="335" t="s">
        <v>787</v>
      </c>
      <c r="G53" s="340">
        <v>527</v>
      </c>
      <c r="H53" s="340"/>
      <c r="I53" s="341">
        <v>1</v>
      </c>
      <c r="J53" s="340" t="s">
        <v>197</v>
      </c>
    </row>
    <row r="54" spans="1:10" ht="15.75" customHeight="1">
      <c r="A54" s="354"/>
      <c r="B54" s="335" t="s">
        <v>442</v>
      </c>
      <c r="C54" s="336" t="s">
        <v>788</v>
      </c>
      <c r="D54" s="336"/>
      <c r="E54" s="338">
        <v>230</v>
      </c>
      <c r="F54" s="335" t="s">
        <v>789</v>
      </c>
      <c r="G54" s="340">
        <v>936</v>
      </c>
      <c r="H54" s="340"/>
      <c r="I54" s="341">
        <v>1</v>
      </c>
      <c r="J54" s="340" t="s">
        <v>197</v>
      </c>
    </row>
    <row r="55" spans="1:10" ht="15.75" customHeight="1">
      <c r="A55" s="354"/>
      <c r="B55" s="342"/>
      <c r="C55" s="346"/>
      <c r="D55" s="346"/>
      <c r="E55" s="347"/>
      <c r="F55" s="342"/>
      <c r="G55" s="348"/>
      <c r="H55" s="348"/>
      <c r="I55" s="349"/>
      <c r="J55" s="348"/>
    </row>
    <row r="56" spans="1:10" ht="25.35" customHeight="1">
      <c r="A56" s="353">
        <f>A47+1</f>
        <v>34</v>
      </c>
      <c r="B56" s="335"/>
      <c r="C56" s="355" t="s">
        <v>790</v>
      </c>
      <c r="D56" s="355"/>
      <c r="E56" s="338"/>
      <c r="F56" s="335"/>
      <c r="G56" s="340"/>
      <c r="H56" s="340"/>
      <c r="I56" s="341"/>
      <c r="J56" s="340"/>
    </row>
    <row r="57" spans="1:10" ht="15.75" customHeight="1">
      <c r="A57" s="337"/>
      <c r="B57" s="335" t="s">
        <v>294</v>
      </c>
      <c r="C57" s="336" t="s">
        <v>791</v>
      </c>
      <c r="D57" s="336"/>
      <c r="E57" s="338">
        <v>231</v>
      </c>
      <c r="F57" s="335" t="s">
        <v>792</v>
      </c>
      <c r="G57" s="340">
        <v>675</v>
      </c>
      <c r="H57" s="345"/>
      <c r="I57" s="341">
        <v>1</v>
      </c>
      <c r="J57" s="340" t="s">
        <v>501</v>
      </c>
    </row>
    <row r="58" spans="1:10" ht="15.75" customHeight="1">
      <c r="A58" s="342"/>
      <c r="B58" s="335" t="s">
        <v>297</v>
      </c>
      <c r="C58" s="336" t="s">
        <v>793</v>
      </c>
      <c r="D58" s="336"/>
      <c r="E58" s="338">
        <v>232</v>
      </c>
      <c r="F58" s="335" t="s">
        <v>794</v>
      </c>
      <c r="G58" s="340">
        <v>909</v>
      </c>
      <c r="H58" s="345"/>
      <c r="I58" s="341">
        <v>1</v>
      </c>
      <c r="J58" s="340" t="s">
        <v>501</v>
      </c>
    </row>
    <row r="59" spans="1:10" ht="15.75" customHeight="1">
      <c r="A59" s="342"/>
      <c r="B59" s="335" t="s">
        <v>430</v>
      </c>
      <c r="C59" s="336" t="s">
        <v>795</v>
      </c>
      <c r="D59" s="336"/>
      <c r="E59" s="338">
        <v>232</v>
      </c>
      <c r="F59" s="335" t="s">
        <v>796</v>
      </c>
      <c r="G59" s="340">
        <v>1306</v>
      </c>
      <c r="H59" s="345"/>
      <c r="I59" s="341">
        <v>1</v>
      </c>
      <c r="J59" s="340" t="s">
        <v>501</v>
      </c>
    </row>
    <row r="60" spans="1:10" ht="15.75" customHeight="1">
      <c r="A60" s="342"/>
      <c r="B60" s="335" t="s">
        <v>433</v>
      </c>
      <c r="C60" s="336" t="s">
        <v>797</v>
      </c>
      <c r="D60" s="336"/>
      <c r="E60" s="338">
        <v>232</v>
      </c>
      <c r="F60" s="335" t="s">
        <v>798</v>
      </c>
      <c r="G60" s="340">
        <v>1985</v>
      </c>
      <c r="H60" s="345"/>
      <c r="I60" s="341">
        <v>1</v>
      </c>
      <c r="J60" s="340" t="s">
        <v>501</v>
      </c>
    </row>
    <row r="61" spans="1:10" ht="15.75" customHeight="1">
      <c r="A61" s="342"/>
      <c r="B61" s="335" t="s">
        <v>436</v>
      </c>
      <c r="C61" s="336" t="s">
        <v>799</v>
      </c>
      <c r="D61" s="336"/>
      <c r="E61" s="338">
        <v>232</v>
      </c>
      <c r="F61" s="335" t="s">
        <v>800</v>
      </c>
      <c r="G61" s="340">
        <v>2677</v>
      </c>
      <c r="H61" s="345"/>
      <c r="I61" s="341">
        <v>1</v>
      </c>
      <c r="J61" s="340" t="s">
        <v>501</v>
      </c>
    </row>
    <row r="62" spans="1:10" ht="15.75" customHeight="1">
      <c r="A62" s="342"/>
      <c r="B62" s="335" t="s">
        <v>439</v>
      </c>
      <c r="C62" s="336" t="s">
        <v>801</v>
      </c>
      <c r="D62" s="336"/>
      <c r="E62" s="338">
        <v>232</v>
      </c>
      <c r="F62" s="335" t="s">
        <v>802</v>
      </c>
      <c r="G62" s="340">
        <v>3926</v>
      </c>
      <c r="H62" s="345"/>
      <c r="I62" s="341">
        <v>1</v>
      </c>
      <c r="J62" s="340" t="s">
        <v>501</v>
      </c>
    </row>
    <row r="63" spans="1:10" ht="15.75" customHeight="1">
      <c r="A63" s="342"/>
      <c r="B63" s="335" t="s">
        <v>442</v>
      </c>
      <c r="C63" s="336" t="s">
        <v>803</v>
      </c>
      <c r="D63" s="336"/>
      <c r="E63" s="338">
        <v>232</v>
      </c>
      <c r="F63" s="335" t="s">
        <v>804</v>
      </c>
      <c r="G63" s="340">
        <v>6060</v>
      </c>
      <c r="H63" s="345"/>
      <c r="I63" s="341">
        <v>1</v>
      </c>
      <c r="J63" s="340" t="s">
        <v>501</v>
      </c>
    </row>
    <row r="64" spans="1:10" ht="15.75" customHeight="1">
      <c r="A64" s="342"/>
      <c r="B64" s="335" t="s">
        <v>445</v>
      </c>
      <c r="C64" s="336" t="s">
        <v>805</v>
      </c>
      <c r="D64" s="336"/>
      <c r="E64" s="338">
        <v>232</v>
      </c>
      <c r="F64" s="335" t="s">
        <v>806</v>
      </c>
      <c r="G64" s="340">
        <v>8983</v>
      </c>
      <c r="H64" s="345"/>
      <c r="I64" s="341">
        <v>1</v>
      </c>
      <c r="J64" s="340" t="s">
        <v>501</v>
      </c>
    </row>
    <row r="65" spans="1:10" ht="15.75" customHeight="1">
      <c r="A65" s="342"/>
      <c r="B65" s="342"/>
      <c r="C65" s="346"/>
      <c r="D65" s="346"/>
      <c r="E65" s="347"/>
      <c r="F65" s="342"/>
      <c r="G65" s="348"/>
      <c r="H65" s="348"/>
      <c r="I65" s="349"/>
      <c r="J65" s="348"/>
    </row>
    <row r="66" spans="1:10" ht="25.35" customHeight="1">
      <c r="A66" s="335">
        <f>A56+1</f>
        <v>35</v>
      </c>
      <c r="B66" s="335"/>
      <c r="C66" s="355" t="s">
        <v>807</v>
      </c>
      <c r="D66" s="355"/>
      <c r="E66" s="336"/>
      <c r="F66" s="335"/>
      <c r="G66" s="337"/>
      <c r="H66" s="340"/>
      <c r="I66" s="341"/>
      <c r="J66" s="340"/>
    </row>
    <row r="67" spans="1:10" ht="15.75" customHeight="1">
      <c r="A67" s="335"/>
      <c r="B67" s="335" t="s">
        <v>294</v>
      </c>
      <c r="C67" s="336" t="s">
        <v>808</v>
      </c>
      <c r="D67" s="336"/>
      <c r="E67" s="338">
        <v>233</v>
      </c>
      <c r="F67" s="338" t="s">
        <v>809</v>
      </c>
      <c r="G67" s="340">
        <v>290</v>
      </c>
      <c r="H67" s="340"/>
      <c r="I67" s="356">
        <v>3</v>
      </c>
      <c r="J67" s="357" t="s">
        <v>197</v>
      </c>
    </row>
    <row r="68" spans="1:10" ht="15.75" customHeight="1">
      <c r="A68" s="342"/>
      <c r="B68" s="335" t="s">
        <v>297</v>
      </c>
      <c r="C68" s="336" t="s">
        <v>810</v>
      </c>
      <c r="D68" s="336"/>
      <c r="E68" s="338">
        <v>233</v>
      </c>
      <c r="F68" s="338" t="s">
        <v>811</v>
      </c>
      <c r="G68" s="340">
        <v>460</v>
      </c>
      <c r="H68" s="340"/>
      <c r="I68" s="356">
        <v>3</v>
      </c>
      <c r="J68" s="357" t="s">
        <v>197</v>
      </c>
    </row>
    <row r="69" spans="1:10" ht="15.75" customHeight="1">
      <c r="A69" s="342"/>
      <c r="B69" s="335" t="s">
        <v>430</v>
      </c>
      <c r="C69" s="336" t="s">
        <v>812</v>
      </c>
      <c r="D69" s="336"/>
      <c r="E69" s="338">
        <v>233</v>
      </c>
      <c r="F69" s="338" t="s">
        <v>813</v>
      </c>
      <c r="G69" s="340">
        <v>549</v>
      </c>
      <c r="H69" s="340"/>
      <c r="I69" s="358">
        <v>3</v>
      </c>
      <c r="J69" s="357" t="s">
        <v>197</v>
      </c>
    </row>
    <row r="70" spans="1:10" ht="15.75" customHeight="1">
      <c r="A70" s="342"/>
      <c r="B70" s="335" t="s">
        <v>433</v>
      </c>
      <c r="C70" s="336" t="s">
        <v>814</v>
      </c>
      <c r="D70" s="336"/>
      <c r="E70" s="338">
        <v>233</v>
      </c>
      <c r="F70" s="338" t="s">
        <v>815</v>
      </c>
      <c r="G70" s="340">
        <v>1306</v>
      </c>
      <c r="H70" s="340"/>
      <c r="I70" s="358">
        <v>3</v>
      </c>
      <c r="J70" s="357" t="s">
        <v>197</v>
      </c>
    </row>
    <row r="71" spans="1:10" ht="25.35" customHeight="1">
      <c r="A71" s="335">
        <f>A66+1</f>
        <v>36</v>
      </c>
      <c r="B71" s="335"/>
      <c r="C71" s="336" t="s">
        <v>816</v>
      </c>
      <c r="D71" s="336"/>
      <c r="E71" s="338">
        <v>234</v>
      </c>
      <c r="F71" s="335" t="s">
        <v>817</v>
      </c>
      <c r="G71" s="340">
        <v>9</v>
      </c>
      <c r="H71" s="340"/>
      <c r="I71" s="341">
        <v>1</v>
      </c>
      <c r="J71" s="340" t="s">
        <v>818</v>
      </c>
    </row>
    <row r="72" spans="1:10" ht="36.6" customHeight="1">
      <c r="A72" s="335">
        <f t="shared" ref="A72:A73" si="5">A71+1</f>
        <v>37</v>
      </c>
      <c r="B72" s="335"/>
      <c r="C72" s="336" t="s">
        <v>819</v>
      </c>
      <c r="D72" s="336"/>
      <c r="E72" s="338">
        <v>234</v>
      </c>
      <c r="F72" s="335" t="s">
        <v>820</v>
      </c>
      <c r="G72" s="340">
        <v>31</v>
      </c>
      <c r="H72" s="340"/>
      <c r="I72" s="341">
        <v>1</v>
      </c>
      <c r="J72" s="340" t="s">
        <v>501</v>
      </c>
    </row>
    <row r="73" spans="1:10" ht="25.35" customHeight="1">
      <c r="A73" s="335">
        <f t="shared" si="5"/>
        <v>38</v>
      </c>
      <c r="B73" s="335"/>
      <c r="C73" s="336" t="s">
        <v>821</v>
      </c>
      <c r="D73" s="336"/>
      <c r="E73" s="338"/>
      <c r="F73" s="335"/>
      <c r="G73" s="337"/>
      <c r="H73" s="340"/>
      <c r="I73" s="341"/>
      <c r="J73" s="337"/>
    </row>
    <row r="74" spans="1:10" ht="15.75" customHeight="1">
      <c r="A74" s="335"/>
      <c r="B74" s="335" t="s">
        <v>294</v>
      </c>
      <c r="C74" s="336" t="s">
        <v>822</v>
      </c>
      <c r="D74" s="336"/>
      <c r="E74" s="338">
        <v>234</v>
      </c>
      <c r="F74" s="335" t="s">
        <v>823</v>
      </c>
      <c r="G74" s="340">
        <v>1679</v>
      </c>
      <c r="H74" s="340"/>
      <c r="I74" s="341">
        <v>1</v>
      </c>
      <c r="J74" s="340" t="s">
        <v>501</v>
      </c>
    </row>
    <row r="75" spans="1:10" ht="15.75" customHeight="1">
      <c r="A75" s="342"/>
      <c r="B75" s="335" t="s">
        <v>297</v>
      </c>
      <c r="C75" s="336" t="s">
        <v>824</v>
      </c>
      <c r="D75" s="336"/>
      <c r="E75" s="338">
        <v>234</v>
      </c>
      <c r="F75" s="338" t="s">
        <v>825</v>
      </c>
      <c r="G75" s="340">
        <v>950</v>
      </c>
      <c r="H75" s="340"/>
      <c r="I75" s="341">
        <v>1</v>
      </c>
      <c r="J75" s="340" t="s">
        <v>501</v>
      </c>
    </row>
    <row r="76" spans="1:10" ht="15.75" customHeight="1">
      <c r="A76" s="335">
        <f>A73+1</f>
        <v>39</v>
      </c>
      <c r="B76" s="335"/>
      <c r="C76" s="355" t="s">
        <v>826</v>
      </c>
      <c r="D76" s="355"/>
      <c r="E76" s="338"/>
      <c r="F76" s="335"/>
      <c r="G76" s="340"/>
      <c r="H76" s="340"/>
      <c r="I76" s="341"/>
      <c r="J76" s="340"/>
    </row>
    <row r="77" spans="1:10" ht="15.75" customHeight="1">
      <c r="A77" s="335"/>
      <c r="B77" s="335" t="s">
        <v>294</v>
      </c>
      <c r="C77" s="336" t="s">
        <v>808</v>
      </c>
      <c r="D77" s="336"/>
      <c r="E77" s="338">
        <v>236</v>
      </c>
      <c r="F77" s="335" t="s">
        <v>827</v>
      </c>
      <c r="G77" s="340">
        <v>18</v>
      </c>
      <c r="H77" s="340"/>
      <c r="I77" s="341">
        <v>1</v>
      </c>
      <c r="J77" s="340" t="s">
        <v>501</v>
      </c>
    </row>
    <row r="78" spans="1:10" ht="15.75" customHeight="1">
      <c r="A78" s="342"/>
      <c r="B78" s="335" t="s">
        <v>297</v>
      </c>
      <c r="C78" s="336" t="s">
        <v>810</v>
      </c>
      <c r="D78" s="336"/>
      <c r="E78" s="338">
        <v>236</v>
      </c>
      <c r="F78" s="335" t="s">
        <v>828</v>
      </c>
      <c r="G78" s="340">
        <v>20</v>
      </c>
      <c r="H78" s="340"/>
      <c r="I78" s="341">
        <v>1</v>
      </c>
      <c r="J78" s="340" t="s">
        <v>501</v>
      </c>
    </row>
    <row r="79" spans="1:10" ht="15.75" customHeight="1">
      <c r="A79" s="342"/>
      <c r="B79" s="335" t="s">
        <v>430</v>
      </c>
      <c r="C79" s="336" t="s">
        <v>812</v>
      </c>
      <c r="D79" s="336"/>
      <c r="E79" s="338">
        <v>236</v>
      </c>
      <c r="F79" s="335" t="s">
        <v>500</v>
      </c>
      <c r="G79" s="340">
        <v>21</v>
      </c>
      <c r="H79" s="340"/>
      <c r="I79" s="341">
        <v>1</v>
      </c>
      <c r="J79" s="340" t="s">
        <v>501</v>
      </c>
    </row>
    <row r="80" spans="1:10" ht="15.75" customHeight="1">
      <c r="A80" s="342"/>
      <c r="B80" s="335" t="s">
        <v>433</v>
      </c>
      <c r="C80" s="336" t="s">
        <v>829</v>
      </c>
      <c r="D80" s="336"/>
      <c r="E80" s="338">
        <v>236</v>
      </c>
      <c r="F80" s="335" t="s">
        <v>503</v>
      </c>
      <c r="G80" s="340">
        <v>41</v>
      </c>
      <c r="H80" s="340"/>
      <c r="I80" s="341">
        <v>1</v>
      </c>
      <c r="J80" s="340" t="s">
        <v>501</v>
      </c>
    </row>
    <row r="81" spans="1:10" ht="15.75" customHeight="1">
      <c r="A81" s="335">
        <f>A76+1</f>
        <v>40</v>
      </c>
      <c r="B81" s="335"/>
      <c r="C81" s="336" t="s">
        <v>830</v>
      </c>
      <c r="D81" s="336"/>
      <c r="E81" s="338">
        <v>237</v>
      </c>
      <c r="F81" s="335" t="s">
        <v>831</v>
      </c>
      <c r="G81" s="340">
        <v>117</v>
      </c>
      <c r="H81" s="340"/>
      <c r="I81" s="341">
        <v>1</v>
      </c>
      <c r="J81" s="340" t="s">
        <v>501</v>
      </c>
    </row>
    <row r="82" spans="1:10" ht="15.75" customHeight="1">
      <c r="A82" s="335">
        <f t="shared" ref="A82:A83" si="6">A81+1</f>
        <v>41</v>
      </c>
      <c r="B82" s="335"/>
      <c r="C82" s="336" t="s">
        <v>832</v>
      </c>
      <c r="D82" s="336"/>
      <c r="E82" s="338">
        <v>237</v>
      </c>
      <c r="F82" s="335" t="s">
        <v>833</v>
      </c>
      <c r="G82" s="340">
        <v>165</v>
      </c>
      <c r="H82" s="340"/>
      <c r="I82" s="341">
        <v>1</v>
      </c>
      <c r="J82" s="340" t="s">
        <v>501</v>
      </c>
    </row>
    <row r="83" spans="1:10" ht="25.35" customHeight="1">
      <c r="A83" s="335">
        <f t="shared" si="6"/>
        <v>42</v>
      </c>
      <c r="B83" s="335"/>
      <c r="C83" s="336" t="s">
        <v>834</v>
      </c>
      <c r="D83" s="336"/>
      <c r="E83" s="338">
        <v>238</v>
      </c>
      <c r="F83" s="335" t="s">
        <v>835</v>
      </c>
      <c r="G83" s="359"/>
      <c r="H83" s="339">
        <v>99</v>
      </c>
      <c r="I83" s="341">
        <v>1</v>
      </c>
      <c r="J83" s="340" t="s">
        <v>501</v>
      </c>
    </row>
    <row r="84" spans="1:10" ht="15.75" customHeight="1">
      <c r="A84" s="342"/>
      <c r="B84" s="342"/>
      <c r="C84" s="346"/>
      <c r="D84" s="346"/>
      <c r="E84" s="347"/>
      <c r="F84" s="342"/>
      <c r="G84" s="348"/>
      <c r="H84" s="348"/>
      <c r="I84" s="349"/>
      <c r="J84" s="348"/>
    </row>
    <row r="85" spans="1:10" ht="25.35" customHeight="1">
      <c r="A85" s="335">
        <f>A83+1</f>
        <v>43</v>
      </c>
      <c r="B85" s="335"/>
      <c r="C85" s="336" t="s">
        <v>836</v>
      </c>
      <c r="D85" s="336"/>
      <c r="E85" s="338">
        <v>238</v>
      </c>
      <c r="F85" s="335" t="s">
        <v>837</v>
      </c>
      <c r="G85" s="337"/>
      <c r="H85" s="339">
        <v>40</v>
      </c>
      <c r="I85" s="341">
        <v>1</v>
      </c>
      <c r="J85" s="340" t="s">
        <v>197</v>
      </c>
    </row>
    <row r="86" spans="1:10" ht="15.75" customHeight="1">
      <c r="A86" s="335">
        <f t="shared" ref="A86:A93" si="7">A85+1</f>
        <v>44</v>
      </c>
      <c r="B86" s="335"/>
      <c r="C86" s="336" t="s">
        <v>838</v>
      </c>
      <c r="D86" s="336"/>
      <c r="E86" s="338">
        <v>239</v>
      </c>
      <c r="F86" s="335" t="s">
        <v>839</v>
      </c>
      <c r="G86" s="337"/>
      <c r="H86" s="339">
        <v>62</v>
      </c>
      <c r="I86" s="341">
        <v>1</v>
      </c>
      <c r="J86" s="340" t="s">
        <v>197</v>
      </c>
    </row>
    <row r="87" spans="1:10" ht="25.35" customHeight="1">
      <c r="A87" s="335">
        <f t="shared" si="7"/>
        <v>45</v>
      </c>
      <c r="B87" s="335"/>
      <c r="C87" s="336" t="s">
        <v>840</v>
      </c>
      <c r="D87" s="336"/>
      <c r="E87" s="338">
        <v>239</v>
      </c>
      <c r="F87" s="335" t="s">
        <v>841</v>
      </c>
      <c r="G87" s="337"/>
      <c r="H87" s="360">
        <v>92</v>
      </c>
      <c r="I87" s="361">
        <v>1</v>
      </c>
      <c r="J87" s="352" t="s">
        <v>39</v>
      </c>
    </row>
    <row r="88" spans="1:10" ht="15.75" customHeight="1">
      <c r="A88" s="335">
        <f t="shared" si="7"/>
        <v>46</v>
      </c>
      <c r="B88" s="335"/>
      <c r="C88" s="336" t="s">
        <v>842</v>
      </c>
      <c r="D88" s="336"/>
      <c r="E88" s="338">
        <v>239</v>
      </c>
      <c r="F88" s="335" t="s">
        <v>843</v>
      </c>
      <c r="G88" s="340">
        <v>45</v>
      </c>
      <c r="H88" s="340"/>
      <c r="I88" s="341">
        <v>1</v>
      </c>
      <c r="J88" s="340" t="s">
        <v>501</v>
      </c>
    </row>
    <row r="89" spans="1:10" ht="25.35" customHeight="1">
      <c r="A89" s="335">
        <f t="shared" si="7"/>
        <v>47</v>
      </c>
      <c r="B89" s="335"/>
      <c r="C89" s="336" t="s">
        <v>844</v>
      </c>
      <c r="D89" s="336"/>
      <c r="E89" s="338">
        <v>239</v>
      </c>
      <c r="F89" s="335" t="s">
        <v>845</v>
      </c>
      <c r="G89" s="340">
        <v>175</v>
      </c>
      <c r="H89" s="340"/>
      <c r="I89" s="341">
        <v>1</v>
      </c>
      <c r="J89" s="340" t="s">
        <v>501</v>
      </c>
    </row>
    <row r="90" spans="1:10" ht="15.75" customHeight="1">
      <c r="A90" s="335">
        <f t="shared" si="7"/>
        <v>48</v>
      </c>
      <c r="B90" s="335"/>
      <c r="C90" s="336" t="s">
        <v>846</v>
      </c>
      <c r="D90" s="336"/>
      <c r="E90" s="338">
        <v>239</v>
      </c>
      <c r="F90" s="335" t="s">
        <v>847</v>
      </c>
      <c r="G90" s="340">
        <v>29</v>
      </c>
      <c r="H90" s="340"/>
      <c r="I90" s="341">
        <v>1</v>
      </c>
      <c r="J90" s="340" t="s">
        <v>501</v>
      </c>
    </row>
    <row r="91" spans="1:10" ht="25.35" customHeight="1">
      <c r="A91" s="335">
        <f t="shared" si="7"/>
        <v>49</v>
      </c>
      <c r="B91" s="335"/>
      <c r="C91" s="336" t="s">
        <v>848</v>
      </c>
      <c r="D91" s="336"/>
      <c r="E91" s="338">
        <v>239</v>
      </c>
      <c r="F91" s="335" t="s">
        <v>849</v>
      </c>
      <c r="G91" s="340">
        <v>119</v>
      </c>
      <c r="H91" s="340"/>
      <c r="I91" s="341">
        <v>1</v>
      </c>
      <c r="J91" s="340" t="s">
        <v>501</v>
      </c>
    </row>
    <row r="92" spans="1:10" ht="25.35" customHeight="1">
      <c r="A92" s="335">
        <f t="shared" si="7"/>
        <v>50</v>
      </c>
      <c r="B92" s="335"/>
      <c r="C92" s="336" t="s">
        <v>850</v>
      </c>
      <c r="D92" s="336"/>
      <c r="E92" s="338">
        <v>239</v>
      </c>
      <c r="F92" s="335" t="s">
        <v>851</v>
      </c>
      <c r="G92" s="340">
        <v>544</v>
      </c>
      <c r="H92" s="340"/>
      <c r="I92" s="341">
        <v>1</v>
      </c>
      <c r="J92" s="340" t="s">
        <v>501</v>
      </c>
    </row>
    <row r="93" spans="1:10" ht="15.75" customHeight="1">
      <c r="A93" s="335">
        <f t="shared" si="7"/>
        <v>51</v>
      </c>
      <c r="B93" s="335"/>
      <c r="C93" s="355" t="s">
        <v>852</v>
      </c>
      <c r="D93" s="355"/>
      <c r="E93" s="338"/>
      <c r="F93" s="335"/>
      <c r="G93" s="362"/>
      <c r="H93" s="340"/>
      <c r="I93" s="341"/>
      <c r="J93" s="352"/>
    </row>
    <row r="94" spans="1:10" ht="15.75" customHeight="1">
      <c r="A94" s="335"/>
      <c r="B94" s="335"/>
      <c r="C94" s="336" t="s">
        <v>853</v>
      </c>
      <c r="D94" s="336"/>
      <c r="E94" s="338">
        <v>242</v>
      </c>
      <c r="F94" s="335" t="s">
        <v>854</v>
      </c>
      <c r="G94" s="351">
        <v>149</v>
      </c>
      <c r="H94" s="340"/>
      <c r="I94" s="341">
        <v>1</v>
      </c>
      <c r="J94" s="352" t="s">
        <v>197</v>
      </c>
    </row>
    <row r="95" spans="1:10" ht="15.75" customHeight="1">
      <c r="A95" s="335"/>
      <c r="B95" s="335"/>
      <c r="C95" s="336" t="s">
        <v>855</v>
      </c>
      <c r="D95" s="336"/>
      <c r="E95" s="338"/>
      <c r="F95" s="335" t="s">
        <v>856</v>
      </c>
      <c r="G95" s="351">
        <v>171</v>
      </c>
      <c r="H95" s="340"/>
      <c r="I95" s="341">
        <v>1</v>
      </c>
      <c r="J95" s="352" t="s">
        <v>197</v>
      </c>
    </row>
    <row r="96" spans="1:10" ht="15.75" customHeight="1">
      <c r="A96" s="335"/>
      <c r="B96" s="335"/>
      <c r="C96" s="336" t="s">
        <v>857</v>
      </c>
      <c r="D96" s="336"/>
      <c r="E96" s="338"/>
      <c r="F96" s="335" t="s">
        <v>858</v>
      </c>
      <c r="G96" s="351">
        <v>226</v>
      </c>
      <c r="H96" s="340"/>
      <c r="I96" s="341">
        <v>1</v>
      </c>
      <c r="J96" s="352" t="s">
        <v>197</v>
      </c>
    </row>
    <row r="97" spans="1:10" ht="15.75" customHeight="1">
      <c r="A97" s="335"/>
      <c r="B97" s="335"/>
      <c r="C97" s="336" t="s">
        <v>859</v>
      </c>
      <c r="D97" s="336"/>
      <c r="E97" s="338"/>
      <c r="F97" s="335" t="s">
        <v>860</v>
      </c>
      <c r="G97" s="351">
        <v>308</v>
      </c>
      <c r="H97" s="340"/>
      <c r="I97" s="341">
        <v>1</v>
      </c>
      <c r="J97" s="352" t="s">
        <v>197</v>
      </c>
    </row>
    <row r="98" spans="1:10" ht="15.75" customHeight="1">
      <c r="A98" s="342"/>
      <c r="B98" s="342"/>
      <c r="C98" s="336" t="s">
        <v>861</v>
      </c>
      <c r="D98" s="336"/>
      <c r="E98" s="338"/>
      <c r="F98" s="335" t="s">
        <v>862</v>
      </c>
      <c r="G98" s="351">
        <v>382</v>
      </c>
      <c r="H98" s="340"/>
      <c r="I98" s="341">
        <v>1</v>
      </c>
      <c r="J98" s="352" t="s">
        <v>197</v>
      </c>
    </row>
    <row r="99" spans="1:10" ht="15.75" customHeight="1">
      <c r="A99" s="342"/>
      <c r="B99" s="342"/>
      <c r="C99" s="336" t="s">
        <v>863</v>
      </c>
      <c r="D99" s="336"/>
      <c r="E99" s="338"/>
      <c r="F99" s="335" t="s">
        <v>864</v>
      </c>
      <c r="G99" s="351">
        <v>556</v>
      </c>
      <c r="H99" s="340"/>
      <c r="I99" s="341">
        <v>1</v>
      </c>
      <c r="J99" s="352" t="s">
        <v>197</v>
      </c>
    </row>
    <row r="100" spans="1:10" ht="15.75" customHeight="1">
      <c r="A100" s="342"/>
      <c r="B100" s="342"/>
      <c r="C100" s="336" t="s">
        <v>865</v>
      </c>
      <c r="D100" s="336"/>
      <c r="E100" s="338"/>
      <c r="F100" s="335" t="s">
        <v>866</v>
      </c>
      <c r="G100" s="351">
        <v>166</v>
      </c>
      <c r="H100" s="340"/>
      <c r="I100" s="341">
        <v>1</v>
      </c>
      <c r="J100" s="352" t="s">
        <v>197</v>
      </c>
    </row>
    <row r="101" spans="1:10" ht="15.75" customHeight="1">
      <c r="A101" s="342"/>
      <c r="B101" s="342"/>
      <c r="C101" s="336" t="s">
        <v>867</v>
      </c>
      <c r="D101" s="336"/>
      <c r="E101" s="338"/>
      <c r="F101" s="335" t="s">
        <v>868</v>
      </c>
      <c r="G101" s="351">
        <v>201</v>
      </c>
      <c r="H101" s="340"/>
      <c r="I101" s="341">
        <v>1</v>
      </c>
      <c r="J101" s="352" t="s">
        <v>197</v>
      </c>
    </row>
    <row r="102" spans="1:10" ht="15.75" customHeight="1">
      <c r="A102" s="342"/>
      <c r="B102" s="342"/>
      <c r="C102" s="336" t="s">
        <v>869</v>
      </c>
      <c r="D102" s="336"/>
      <c r="E102" s="338"/>
      <c r="F102" s="335" t="s">
        <v>870</v>
      </c>
      <c r="G102" s="351">
        <v>241</v>
      </c>
      <c r="H102" s="340"/>
      <c r="I102" s="341">
        <v>1</v>
      </c>
      <c r="J102" s="352" t="s">
        <v>197</v>
      </c>
    </row>
    <row r="103" spans="1:10" ht="15.75" customHeight="1">
      <c r="A103" s="342"/>
      <c r="B103" s="342"/>
      <c r="C103" s="336" t="s">
        <v>871</v>
      </c>
      <c r="D103" s="336"/>
      <c r="E103" s="338"/>
      <c r="F103" s="335" t="s">
        <v>872</v>
      </c>
      <c r="G103" s="351">
        <v>328</v>
      </c>
      <c r="H103" s="340"/>
      <c r="I103" s="341">
        <v>1</v>
      </c>
      <c r="J103" s="352" t="s">
        <v>197</v>
      </c>
    </row>
    <row r="104" spans="1:10" ht="15.75" customHeight="1">
      <c r="A104" s="342"/>
      <c r="B104" s="342"/>
      <c r="C104" s="336" t="s">
        <v>873</v>
      </c>
      <c r="D104" s="336"/>
      <c r="E104" s="338"/>
      <c r="F104" s="335" t="s">
        <v>874</v>
      </c>
      <c r="G104" s="351">
        <v>407</v>
      </c>
      <c r="H104" s="340"/>
      <c r="I104" s="341">
        <v>1</v>
      </c>
      <c r="J104" s="352" t="s">
        <v>197</v>
      </c>
    </row>
    <row r="105" spans="1:10" ht="15.75" customHeight="1">
      <c r="A105" s="342"/>
      <c r="B105" s="342"/>
      <c r="C105" s="336" t="s">
        <v>875</v>
      </c>
      <c r="D105" s="336"/>
      <c r="E105" s="338"/>
      <c r="F105" s="335" t="s">
        <v>876</v>
      </c>
      <c r="G105" s="351">
        <v>593</v>
      </c>
      <c r="H105" s="340"/>
      <c r="I105" s="341">
        <v>1</v>
      </c>
      <c r="J105" s="352" t="s">
        <v>197</v>
      </c>
    </row>
    <row r="106" spans="1:10" ht="15.75" customHeight="1">
      <c r="A106" s="342"/>
      <c r="B106" s="342"/>
      <c r="C106" s="346"/>
      <c r="D106" s="346"/>
      <c r="E106" s="347"/>
      <c r="F106" s="342"/>
      <c r="G106" s="363"/>
      <c r="H106" s="348"/>
      <c r="I106" s="349"/>
      <c r="J106" s="364"/>
    </row>
    <row r="107" spans="1:10" ht="15.75" customHeight="1">
      <c r="A107" s="335">
        <f>A93+1</f>
        <v>52</v>
      </c>
      <c r="B107" s="335"/>
      <c r="C107" s="336" t="s">
        <v>877</v>
      </c>
      <c r="D107" s="336"/>
      <c r="E107" s="338">
        <v>49</v>
      </c>
      <c r="F107" s="335" t="s">
        <v>878</v>
      </c>
      <c r="G107" s="362">
        <v>1015</v>
      </c>
      <c r="H107" s="340"/>
      <c r="I107" s="341">
        <v>1</v>
      </c>
      <c r="J107" s="352" t="s">
        <v>94</v>
      </c>
    </row>
    <row r="108" spans="1:10" ht="15.75" customHeight="1">
      <c r="A108" s="343"/>
      <c r="B108" s="343"/>
      <c r="C108" s="346"/>
      <c r="D108" s="346"/>
      <c r="E108" s="347"/>
      <c r="F108" s="342"/>
      <c r="G108" s="348"/>
      <c r="H108" s="348"/>
      <c r="I108" s="349"/>
      <c r="J108" s="348"/>
    </row>
    <row r="109" spans="1:10" ht="15.75" customHeight="1">
      <c r="A109" s="337"/>
      <c r="B109" s="337"/>
      <c r="C109" s="355" t="s">
        <v>879</v>
      </c>
      <c r="D109" s="355"/>
      <c r="E109" s="336"/>
      <c r="F109" s="337"/>
      <c r="G109" s="337"/>
      <c r="H109" s="340"/>
      <c r="I109" s="341"/>
      <c r="J109" s="340"/>
    </row>
    <row r="110" spans="1:10" ht="15.75" customHeight="1">
      <c r="A110" s="335">
        <v>1</v>
      </c>
      <c r="B110" s="337"/>
      <c r="C110" s="336" t="s">
        <v>880</v>
      </c>
      <c r="D110" s="336"/>
      <c r="E110" s="336"/>
      <c r="F110" s="337"/>
      <c r="G110" s="365">
        <v>100</v>
      </c>
      <c r="H110" s="340"/>
      <c r="I110" s="341">
        <v>1</v>
      </c>
      <c r="J110" s="352" t="s">
        <v>501</v>
      </c>
    </row>
    <row r="114" spans="1:10" ht="25.35" customHeight="1">
      <c r="A114" s="335">
        <f>1+A107</f>
        <v>53</v>
      </c>
      <c r="B114" s="335"/>
      <c r="C114" s="336" t="s">
        <v>881</v>
      </c>
      <c r="D114" s="336"/>
      <c r="E114" s="338">
        <v>167</v>
      </c>
      <c r="F114" s="335" t="s">
        <v>882</v>
      </c>
      <c r="G114" s="340">
        <v>421</v>
      </c>
      <c r="H114" s="340"/>
      <c r="I114" s="341">
        <v>1</v>
      </c>
      <c r="J114" s="340" t="s">
        <v>501</v>
      </c>
    </row>
  </sheetData>
  <sheetProtection selectLockedCells="1" selectUnlockedCells="1"/>
  <mergeCells count="3">
    <mergeCell ref="A1:I1"/>
    <mergeCell ref="A2:J2"/>
    <mergeCell ref="I3:J3"/>
  </mergeCells>
  <pageMargins left="0.7" right="0.7" top="0.75" bottom="0.75" header="0.51180555555555551" footer="0.51180555555555551"/>
  <pageSetup scale="92"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sheetPr>
    <tabColor indexed="29"/>
  </sheetPr>
  <dimension ref="A1:BL65534"/>
  <sheetViews>
    <sheetView view="pageBreakPreview" topLeftCell="B13" zoomScaleSheetLayoutView="100" workbookViewId="0">
      <selection activeCell="D48" sqref="D48"/>
    </sheetView>
  </sheetViews>
  <sheetFormatPr defaultColWidth="11" defaultRowHeight="15"/>
  <cols>
    <col min="1" max="1" width="3.140625" style="12" customWidth="1"/>
    <col min="2" max="2" width="3.85546875" style="12" customWidth="1"/>
    <col min="3" max="3" width="39.42578125" style="12" customWidth="1"/>
    <col min="4" max="4" width="30.140625" style="12" customWidth="1"/>
    <col min="5" max="5" width="10.85546875" style="12" customWidth="1"/>
    <col min="6" max="64" width="8.42578125" style="12" customWidth="1"/>
    <col min="65" max="16384" width="11" style="328"/>
  </cols>
  <sheetData>
    <row r="1" spans="1:5">
      <c r="B1" s="1686"/>
      <c r="C1" s="1686"/>
      <c r="D1" s="1686"/>
      <c r="E1" s="1686"/>
    </row>
    <row r="2" spans="1:5" ht="41.25" customHeight="1">
      <c r="A2" s="366" t="s">
        <v>883</v>
      </c>
      <c r="B2" s="1685"/>
      <c r="C2" s="1997" t="s">
        <v>3726</v>
      </c>
      <c r="D2" s="1997"/>
      <c r="E2" s="1997"/>
    </row>
    <row r="3" spans="1:5" ht="14.65" customHeight="1">
      <c r="A3" s="367" t="s">
        <v>884</v>
      </c>
      <c r="B3" s="1687"/>
      <c r="C3" s="1688" t="s">
        <v>885</v>
      </c>
      <c r="D3" s="1686"/>
      <c r="E3" s="1686"/>
    </row>
    <row r="4" spans="1:5" ht="14.65" customHeight="1">
      <c r="A4" s="11"/>
      <c r="B4" s="1686"/>
      <c r="C4" s="1689" t="s">
        <v>886</v>
      </c>
      <c r="D4" s="1689" t="s">
        <v>887</v>
      </c>
      <c r="E4" s="1689" t="s">
        <v>888</v>
      </c>
    </row>
    <row r="5" spans="1:5">
      <c r="A5" s="11"/>
      <c r="B5" s="1690">
        <v>1</v>
      </c>
      <c r="C5" s="1691" t="s">
        <v>889</v>
      </c>
      <c r="D5" s="1690"/>
      <c r="E5" s="1691"/>
    </row>
    <row r="6" spans="1:5">
      <c r="A6" s="11"/>
      <c r="B6" s="1690">
        <f t="shared" ref="B6:B23" si="0">B5+1</f>
        <v>2</v>
      </c>
      <c r="C6" s="1691" t="s">
        <v>890</v>
      </c>
      <c r="D6" s="1690"/>
      <c r="E6" s="1691"/>
    </row>
    <row r="7" spans="1:5">
      <c r="A7" s="11"/>
      <c r="B7" s="1690">
        <f t="shared" si="0"/>
        <v>3</v>
      </c>
      <c r="C7" s="1691" t="s">
        <v>891</v>
      </c>
      <c r="D7" s="1780" t="s">
        <v>3677</v>
      </c>
      <c r="E7" s="1786">
        <v>125</v>
      </c>
    </row>
    <row r="8" spans="1:5">
      <c r="A8" s="11"/>
      <c r="B8" s="1690">
        <f t="shared" si="0"/>
        <v>4</v>
      </c>
      <c r="C8" s="1691" t="s">
        <v>892</v>
      </c>
      <c r="D8" s="1773" t="str">
        <f>D7</f>
        <v>Koilkonda</v>
      </c>
      <c r="E8" s="1787">
        <f>E7</f>
        <v>125</v>
      </c>
    </row>
    <row r="9" spans="1:5">
      <c r="A9" s="11"/>
      <c r="B9" s="1690">
        <f t="shared" si="0"/>
        <v>5</v>
      </c>
      <c r="C9" s="1691" t="s">
        <v>893</v>
      </c>
      <c r="D9" s="1773" t="s">
        <v>896</v>
      </c>
      <c r="E9" s="1787">
        <v>20</v>
      </c>
    </row>
    <row r="10" spans="1:5">
      <c r="A10" s="11"/>
      <c r="B10" s="1690">
        <f t="shared" si="0"/>
        <v>6</v>
      </c>
      <c r="C10" s="1691" t="s">
        <v>894</v>
      </c>
      <c r="D10" s="1780" t="s">
        <v>896</v>
      </c>
      <c r="E10" s="1786">
        <v>15</v>
      </c>
    </row>
    <row r="11" spans="1:5">
      <c r="A11" s="11"/>
      <c r="B11" s="1690">
        <f t="shared" si="0"/>
        <v>7</v>
      </c>
      <c r="C11" s="1691" t="s">
        <v>895</v>
      </c>
      <c r="D11" s="1788"/>
      <c r="E11" s="1789"/>
    </row>
    <row r="12" spans="1:5">
      <c r="A12" s="11"/>
      <c r="B12" s="1690">
        <f t="shared" si="0"/>
        <v>8</v>
      </c>
      <c r="C12" s="1691" t="s">
        <v>897</v>
      </c>
      <c r="D12" s="1788"/>
      <c r="E12" s="1789"/>
    </row>
    <row r="13" spans="1:5">
      <c r="A13" s="11"/>
      <c r="B13" s="1690">
        <f t="shared" si="0"/>
        <v>9</v>
      </c>
      <c r="C13" s="1691" t="s">
        <v>898</v>
      </c>
      <c r="D13" s="1788"/>
      <c r="E13" s="1789"/>
    </row>
    <row r="14" spans="1:5" ht="15.75" customHeight="1">
      <c r="A14" s="11"/>
      <c r="B14" s="1690">
        <f t="shared" si="0"/>
        <v>10</v>
      </c>
      <c r="C14" s="1691" t="s">
        <v>899</v>
      </c>
      <c r="D14" s="1780" t="s">
        <v>3678</v>
      </c>
      <c r="E14" s="1786">
        <v>28</v>
      </c>
    </row>
    <row r="15" spans="1:5" ht="14.25" customHeight="1">
      <c r="A15" s="11"/>
      <c r="B15" s="1690">
        <f t="shared" si="0"/>
        <v>11</v>
      </c>
      <c r="C15" s="1691" t="s">
        <v>900</v>
      </c>
      <c r="D15" s="1773" t="str">
        <f>D14</f>
        <v>Ibrahimnagar 115/6 on Rajeev Rahariv</v>
      </c>
      <c r="E15" s="1790">
        <f>E14</f>
        <v>28</v>
      </c>
    </row>
    <row r="16" spans="1:5" ht="12" customHeight="1">
      <c r="A16" s="11"/>
      <c r="B16" s="1690">
        <f t="shared" si="0"/>
        <v>12</v>
      </c>
      <c r="C16" s="1691" t="s">
        <v>901</v>
      </c>
      <c r="D16" s="1773" t="str">
        <f>D14</f>
        <v>Ibrahimnagar 115/6 on Rajeev Rahariv</v>
      </c>
      <c r="E16" s="1790">
        <f>E14</f>
        <v>28</v>
      </c>
    </row>
    <row r="17" spans="1:5" ht="15.75" customHeight="1">
      <c r="A17" s="11"/>
      <c r="B17" s="1690">
        <f t="shared" si="0"/>
        <v>13</v>
      </c>
      <c r="C17" s="1691" t="s">
        <v>902</v>
      </c>
      <c r="D17" s="1773" t="str">
        <f>D14</f>
        <v>Ibrahimnagar 115/6 on Rajeev Rahariv</v>
      </c>
      <c r="E17" s="1790">
        <f>E14</f>
        <v>28</v>
      </c>
    </row>
    <row r="18" spans="1:5" ht="13.5" customHeight="1">
      <c r="A18" s="11"/>
      <c r="B18" s="1690">
        <f t="shared" si="0"/>
        <v>14</v>
      </c>
      <c r="C18" s="1691" t="s">
        <v>903</v>
      </c>
      <c r="D18" s="1773" t="str">
        <f>D14</f>
        <v>Ibrahimnagar 115/6 on Rajeev Rahariv</v>
      </c>
      <c r="E18" s="1790">
        <f>E14</f>
        <v>28</v>
      </c>
    </row>
    <row r="19" spans="1:5" ht="15.75" customHeight="1">
      <c r="A19" s="11"/>
      <c r="B19" s="1690">
        <f t="shared" si="0"/>
        <v>15</v>
      </c>
      <c r="C19" s="1691" t="s">
        <v>904</v>
      </c>
      <c r="D19" s="1773" t="str">
        <f>D14</f>
        <v>Ibrahimnagar 115/6 on Rajeev Rahariv</v>
      </c>
      <c r="E19" s="1790">
        <f>E14</f>
        <v>28</v>
      </c>
    </row>
    <row r="20" spans="1:5" ht="12.75" customHeight="1">
      <c r="A20" s="11"/>
      <c r="B20" s="1690">
        <f t="shared" si="0"/>
        <v>16</v>
      </c>
      <c r="C20" s="1691" t="s">
        <v>905</v>
      </c>
      <c r="D20" s="1773" t="str">
        <f>D19</f>
        <v>Ibrahimnagar 115/6 on Rajeev Rahariv</v>
      </c>
      <c r="E20" s="1790">
        <f>E19</f>
        <v>28</v>
      </c>
    </row>
    <row r="21" spans="1:5">
      <c r="A21" s="11"/>
      <c r="B21" s="1690">
        <f t="shared" si="0"/>
        <v>17</v>
      </c>
      <c r="C21" s="1691" t="s">
        <v>906</v>
      </c>
      <c r="D21" s="1791" t="s">
        <v>896</v>
      </c>
      <c r="E21" s="1786">
        <v>8</v>
      </c>
    </row>
    <row r="22" spans="1:5">
      <c r="A22" s="11"/>
      <c r="B22" s="1690">
        <f t="shared" si="0"/>
        <v>18</v>
      </c>
      <c r="C22" s="1691" t="s">
        <v>907</v>
      </c>
      <c r="D22" s="1792"/>
      <c r="E22" s="1787"/>
    </row>
    <row r="23" spans="1:5">
      <c r="A23" s="11"/>
      <c r="B23" s="1690">
        <f t="shared" si="0"/>
        <v>19</v>
      </c>
      <c r="C23" s="1691" t="s">
        <v>908</v>
      </c>
      <c r="D23" s="1734">
        <v>0</v>
      </c>
      <c r="E23" s="1779">
        <f>E22</f>
        <v>0</v>
      </c>
    </row>
    <row r="24" spans="1:5" ht="18" hidden="1" customHeight="1">
      <c r="A24" s="11"/>
      <c r="B24" s="1693"/>
      <c r="C24" s="1694" t="s">
        <v>909</v>
      </c>
      <c r="D24" s="1778"/>
      <c r="E24" s="1778"/>
    </row>
    <row r="25" spans="1:5" ht="18" hidden="1" customHeight="1">
      <c r="A25" s="11"/>
      <c r="B25" s="1695">
        <f>B22+1</f>
        <v>19</v>
      </c>
      <c r="C25" s="1696" t="s">
        <v>910</v>
      </c>
      <c r="D25" s="1697" t="s">
        <v>911</v>
      </c>
      <c r="E25" s="1692">
        <v>14</v>
      </c>
    </row>
    <row r="26" spans="1:5" ht="18" hidden="1" customHeight="1">
      <c r="A26" s="11"/>
      <c r="B26" s="1695">
        <f t="shared" ref="B26:B35" si="1">B25+1</f>
        <v>20</v>
      </c>
      <c r="C26" s="1696" t="s">
        <v>912</v>
      </c>
      <c r="D26" s="1697" t="s">
        <v>911</v>
      </c>
      <c r="E26" s="1692">
        <v>14</v>
      </c>
    </row>
    <row r="27" spans="1:5" ht="18" hidden="1" customHeight="1">
      <c r="A27" s="11"/>
      <c r="B27" s="1695">
        <f t="shared" si="1"/>
        <v>21</v>
      </c>
      <c r="C27" s="1696" t="s">
        <v>913</v>
      </c>
      <c r="D27" s="1697" t="s">
        <v>911</v>
      </c>
      <c r="E27" s="1692">
        <v>14</v>
      </c>
    </row>
    <row r="28" spans="1:5" ht="18" hidden="1" customHeight="1">
      <c r="A28" s="11"/>
      <c r="B28" s="1695">
        <f t="shared" si="1"/>
        <v>22</v>
      </c>
      <c r="C28" s="1698" t="s">
        <v>914</v>
      </c>
      <c r="D28" s="1697" t="s">
        <v>911</v>
      </c>
      <c r="E28" s="1692">
        <v>14</v>
      </c>
    </row>
    <row r="29" spans="1:5" ht="18" hidden="1" customHeight="1">
      <c r="A29" s="11"/>
      <c r="B29" s="1695">
        <f t="shared" si="1"/>
        <v>23</v>
      </c>
      <c r="C29" s="1698" t="s">
        <v>915</v>
      </c>
      <c r="D29" s="1697" t="s">
        <v>911</v>
      </c>
      <c r="E29" s="1692">
        <v>14</v>
      </c>
    </row>
    <row r="30" spans="1:5" ht="18" hidden="1" customHeight="1">
      <c r="A30" s="11"/>
      <c r="B30" s="1695">
        <f t="shared" si="1"/>
        <v>24</v>
      </c>
      <c r="C30" s="1698" t="s">
        <v>916</v>
      </c>
      <c r="D30" s="1697" t="s">
        <v>911</v>
      </c>
      <c r="E30" s="1692">
        <v>14</v>
      </c>
    </row>
    <row r="31" spans="1:5" ht="18" hidden="1" customHeight="1">
      <c r="A31" s="11"/>
      <c r="B31" s="1695">
        <f t="shared" si="1"/>
        <v>25</v>
      </c>
      <c r="C31" s="1699" t="s">
        <v>917</v>
      </c>
      <c r="D31" s="1697" t="s">
        <v>911</v>
      </c>
      <c r="E31" s="1692">
        <v>14</v>
      </c>
    </row>
    <row r="32" spans="1:5" ht="18" hidden="1" customHeight="1">
      <c r="A32" s="11"/>
      <c r="B32" s="1695">
        <f t="shared" si="1"/>
        <v>26</v>
      </c>
      <c r="C32" s="1699" t="s">
        <v>918</v>
      </c>
      <c r="D32" s="1697" t="s">
        <v>911</v>
      </c>
      <c r="E32" s="1692">
        <v>14</v>
      </c>
    </row>
    <row r="33" spans="1:7" ht="18" hidden="1" customHeight="1">
      <c r="A33" s="11"/>
      <c r="B33" s="1695">
        <f t="shared" si="1"/>
        <v>27</v>
      </c>
      <c r="C33" s="1699" t="s">
        <v>919</v>
      </c>
      <c r="D33" s="1697" t="s">
        <v>911</v>
      </c>
      <c r="E33" s="1692">
        <v>14</v>
      </c>
    </row>
    <row r="34" spans="1:7" ht="18" hidden="1" customHeight="1">
      <c r="A34" s="11"/>
      <c r="B34" s="1695">
        <f t="shared" si="1"/>
        <v>28</v>
      </c>
      <c r="C34" s="1699" t="s">
        <v>920</v>
      </c>
      <c r="D34" s="1697" t="s">
        <v>911</v>
      </c>
      <c r="E34" s="1692">
        <v>14</v>
      </c>
    </row>
    <row r="35" spans="1:7" ht="18" hidden="1" customHeight="1">
      <c r="A35" s="11"/>
      <c r="B35" s="1695">
        <f t="shared" si="1"/>
        <v>29</v>
      </c>
      <c r="C35" s="1699" t="s">
        <v>921</v>
      </c>
      <c r="D35" s="1697" t="s">
        <v>911</v>
      </c>
      <c r="E35" s="1692">
        <v>14</v>
      </c>
    </row>
    <row r="36" spans="1:7" ht="18" hidden="1" customHeight="1">
      <c r="A36" s="11"/>
      <c r="B36" s="1700"/>
      <c r="C36" s="1701"/>
      <c r="D36" s="1697" t="s">
        <v>911</v>
      </c>
      <c r="E36" s="1692">
        <v>14</v>
      </c>
    </row>
    <row r="37" spans="1:7" ht="18" customHeight="1">
      <c r="A37" s="11"/>
      <c r="B37" s="1702"/>
      <c r="C37" s="1686"/>
      <c r="D37" s="1686"/>
      <c r="E37" s="1686"/>
    </row>
    <row r="38" spans="1:7" ht="14.65" customHeight="1">
      <c r="A38" s="367" t="s">
        <v>922</v>
      </c>
      <c r="B38" s="1703"/>
      <c r="C38" s="1704" t="s">
        <v>923</v>
      </c>
      <c r="D38" s="1705" t="s">
        <v>3683</v>
      </c>
      <c r="E38" s="1706"/>
    </row>
    <row r="39" spans="1:7" ht="18" customHeight="1">
      <c r="A39" s="11"/>
      <c r="B39" s="1707">
        <v>1</v>
      </c>
      <c r="C39" s="1708" t="s">
        <v>889</v>
      </c>
      <c r="D39" s="1709">
        <v>5200</v>
      </c>
      <c r="E39" s="1710"/>
      <c r="F39" s="12">
        <v>5200</v>
      </c>
      <c r="G39" s="370"/>
    </row>
    <row r="40" spans="1:7" ht="18" customHeight="1">
      <c r="A40" s="11"/>
      <c r="B40" s="1707">
        <f t="shared" ref="B40:B44" si="2">B39+1</f>
        <v>2</v>
      </c>
      <c r="C40" s="1711" t="s">
        <v>924</v>
      </c>
      <c r="D40" s="1709">
        <v>60000</v>
      </c>
      <c r="E40" s="1686"/>
      <c r="F40" s="12">
        <v>60000</v>
      </c>
      <c r="G40" s="370"/>
    </row>
    <row r="41" spans="1:7" ht="18" customHeight="1">
      <c r="A41" s="11"/>
      <c r="B41" s="1707">
        <f t="shared" si="2"/>
        <v>3</v>
      </c>
      <c r="C41" s="1712" t="s">
        <v>925</v>
      </c>
      <c r="D41" s="1713">
        <v>0</v>
      </c>
      <c r="E41" s="1710"/>
      <c r="F41" s="371">
        <v>0</v>
      </c>
      <c r="G41" s="370"/>
    </row>
    <row r="42" spans="1:7" ht="18" customHeight="1">
      <c r="A42" s="11"/>
      <c r="B42" s="1707">
        <f t="shared" si="2"/>
        <v>4</v>
      </c>
      <c r="C42" s="1708" t="s">
        <v>926</v>
      </c>
      <c r="D42" s="1709">
        <v>60000</v>
      </c>
      <c r="E42" s="1710"/>
      <c r="F42" s="12">
        <v>60000</v>
      </c>
      <c r="G42" s="370"/>
    </row>
    <row r="43" spans="1:7" ht="18" customHeight="1">
      <c r="A43" s="11"/>
      <c r="B43" s="1707">
        <f t="shared" si="2"/>
        <v>5</v>
      </c>
      <c r="C43" s="1708" t="s">
        <v>927</v>
      </c>
      <c r="D43" s="1709">
        <v>61000</v>
      </c>
      <c r="E43" s="1710"/>
      <c r="F43" s="12">
        <v>61000</v>
      </c>
      <c r="G43" s="370"/>
    </row>
    <row r="44" spans="1:7" ht="18" customHeight="1">
      <c r="A44" s="11"/>
      <c r="B44" s="1707">
        <f t="shared" si="2"/>
        <v>6</v>
      </c>
      <c r="C44" s="1708" t="s">
        <v>928</v>
      </c>
      <c r="D44" s="1709">
        <v>62000</v>
      </c>
      <c r="E44" s="1710"/>
      <c r="F44" s="12">
        <v>62000</v>
      </c>
      <c r="G44" s="370"/>
    </row>
    <row r="45" spans="1:7" ht="14.65" customHeight="1">
      <c r="A45" s="11"/>
      <c r="B45" s="1702"/>
      <c r="C45" s="1686"/>
      <c r="D45" s="1686"/>
      <c r="E45" s="1686"/>
    </row>
    <row r="46" spans="1:7" ht="18" customHeight="1">
      <c r="A46" s="367" t="s">
        <v>929</v>
      </c>
      <c r="B46" s="1703"/>
      <c r="C46" s="1714" t="s">
        <v>930</v>
      </c>
      <c r="D46" s="1686"/>
      <c r="E46" s="1686"/>
    </row>
    <row r="47" spans="1:7">
      <c r="A47" s="11"/>
      <c r="B47" s="1702">
        <v>1</v>
      </c>
      <c r="C47" s="1715" t="str">
        <f>"Add for MA @ "&amp;D47*100&amp;"%"</f>
        <v>Add for MA @ 40%</v>
      </c>
      <c r="D47" s="1716">
        <v>0.4</v>
      </c>
      <c r="E47" s="1717"/>
    </row>
    <row r="48" spans="1:7">
      <c r="A48" s="11"/>
      <c r="B48" s="1702">
        <f>B47+1</f>
        <v>2</v>
      </c>
      <c r="C48" s="1708" t="s">
        <v>931</v>
      </c>
      <c r="D48" s="1718">
        <v>0.13614999999999999</v>
      </c>
      <c r="E48" s="1719"/>
    </row>
    <row r="49" spans="1:5" ht="18" customHeight="1">
      <c r="A49" s="11"/>
      <c r="B49" s="1702"/>
      <c r="C49" s="1691"/>
      <c r="D49" s="1720"/>
      <c r="E49" s="1719"/>
    </row>
    <row r="50" spans="1:5" ht="11.25" customHeight="1">
      <c r="A50" s="11"/>
      <c r="B50" s="1702"/>
      <c r="C50" s="1686"/>
      <c r="D50" s="1686"/>
      <c r="E50" s="1719"/>
    </row>
    <row r="51" spans="1:5">
      <c r="A51" s="11"/>
      <c r="B51" s="1702"/>
      <c r="C51" s="1686" t="s">
        <v>932</v>
      </c>
      <c r="D51" s="1721">
        <v>2</v>
      </c>
      <c r="E51" s="1687" t="s">
        <v>933</v>
      </c>
    </row>
    <row r="52" spans="1:5">
      <c r="A52" s="11"/>
      <c r="B52" s="1686"/>
      <c r="C52" s="1686"/>
      <c r="D52" s="1686"/>
      <c r="E52" s="1687" t="s">
        <v>934</v>
      </c>
    </row>
    <row r="53" spans="1:5" ht="14.65" customHeight="1">
      <c r="A53" s="11"/>
      <c r="B53" s="1686"/>
      <c r="C53" s="1722" t="s">
        <v>935</v>
      </c>
      <c r="D53" s="1723">
        <f>IF(D51=1,'Civil-SOR'!G323,'Civil-SOR'!G322)</f>
        <v>108</v>
      </c>
      <c r="E53" s="1686"/>
    </row>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sheetData>
  <sheetProtection selectLockedCells="1" selectUnlockedCells="1"/>
  <mergeCells count="1">
    <mergeCell ref="C2:E2"/>
  </mergeCells>
  <pageMargins left="0.7" right="0.7" top="0.75" bottom="0.75" header="0.51180555555555551" footer="0.51180555555555551"/>
  <pageSetup firstPageNumber="0"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sheetPr>
    <tabColor indexed="29"/>
  </sheetPr>
  <dimension ref="A1:AW49"/>
  <sheetViews>
    <sheetView view="pageBreakPreview" zoomScaleSheetLayoutView="100" workbookViewId="0">
      <selection activeCell="V47" sqref="V47"/>
    </sheetView>
  </sheetViews>
  <sheetFormatPr defaultColWidth="8.42578125" defaultRowHeight="12.75"/>
  <cols>
    <col min="1" max="1" width="3" style="11" customWidth="1"/>
    <col min="2" max="2" width="42.85546875" style="12" customWidth="1"/>
    <col min="3" max="3" width="14.28515625" style="12" customWidth="1"/>
    <col min="4" max="4" width="8.28515625" style="12" customWidth="1"/>
    <col min="5" max="5" width="9.5703125" style="12" customWidth="1"/>
    <col min="6" max="6" width="4.5703125" style="12" customWidth="1"/>
    <col min="7" max="7" width="4.42578125" style="11" customWidth="1"/>
    <col min="8" max="8" width="6.85546875" style="12" customWidth="1"/>
    <col min="9" max="9" width="9.28515625" style="12" customWidth="1"/>
    <col min="10" max="10" width="9.85546875" style="12" customWidth="1"/>
    <col min="11" max="11" width="6.85546875" style="12" customWidth="1"/>
    <col min="12" max="12" width="9" style="12" customWidth="1"/>
    <col min="13" max="13" width="5.85546875" style="12" customWidth="1"/>
    <col min="14" max="14" width="10.28515625" style="11" customWidth="1"/>
    <col min="15" max="22" width="10.28515625" style="12" customWidth="1"/>
    <col min="23" max="36" width="10.28515625" style="12" hidden="1" customWidth="1"/>
    <col min="37" max="49" width="11" style="12" hidden="1" customWidth="1"/>
    <col min="50" max="16384" width="8.42578125" style="12"/>
  </cols>
  <sheetData>
    <row r="1" spans="1:46" ht="41.25" customHeight="1">
      <c r="A1" s="1999" t="str">
        <f>Input!C2</f>
        <v>Name of Work:  Creation of Infrastructure Facilities for skill Dvelopment lab at 6th Floor OPD Block-3 in Gandhi Hospital, Secunderabad (Balance Work)</v>
      </c>
      <c r="B1" s="1999"/>
      <c r="C1" s="1999"/>
      <c r="D1" s="1999"/>
      <c r="E1" s="1999"/>
      <c r="F1" s="1999"/>
      <c r="G1" s="1999"/>
      <c r="H1" s="1999"/>
      <c r="I1" s="1999"/>
      <c r="J1" s="1999"/>
      <c r="K1" s="1999"/>
      <c r="L1" s="1999"/>
      <c r="M1" s="1999"/>
      <c r="N1" s="1999"/>
      <c r="O1" s="372"/>
      <c r="P1" s="372"/>
      <c r="Q1" s="372"/>
      <c r="R1" s="372"/>
      <c r="S1" s="372"/>
      <c r="T1" s="372"/>
      <c r="U1" s="372"/>
      <c r="V1" s="372"/>
      <c r="W1" s="372"/>
      <c r="X1" s="372"/>
      <c r="Y1" s="372"/>
      <c r="Z1" s="372"/>
      <c r="AA1" s="372"/>
      <c r="AB1" s="372"/>
      <c r="AC1" s="372"/>
      <c r="AD1" s="372"/>
      <c r="AE1" s="372"/>
      <c r="AF1" s="372"/>
      <c r="AG1" s="372"/>
      <c r="AH1" s="372"/>
      <c r="AI1" s="372"/>
      <c r="AJ1" s="372"/>
    </row>
    <row r="2" spans="1:46" ht="16.5" customHeight="1">
      <c r="A2" s="2000" t="str">
        <f>"LEAD CHART (COMMON SoR 2022-2023) (Cement &amp; Steel -  "&amp;Input!D38&amp;" rates)"</f>
        <v>LEAD CHART (COMMON SoR 2022-2023) (Cement &amp; Steel -  April, 2023 rates)</v>
      </c>
      <c r="B2" s="2000"/>
      <c r="C2" s="2000"/>
      <c r="D2" s="2000"/>
      <c r="E2" s="2000"/>
      <c r="F2" s="2000"/>
      <c r="G2" s="2000"/>
      <c r="H2" s="2000"/>
      <c r="I2" s="2000"/>
      <c r="J2" s="2000"/>
      <c r="K2" s="2000"/>
      <c r="L2" s="2000"/>
      <c r="M2" s="2000"/>
      <c r="N2" s="2000"/>
      <c r="O2" s="373"/>
      <c r="P2" s="373"/>
      <c r="Q2" s="373"/>
      <c r="R2" s="373"/>
      <c r="S2" s="373"/>
      <c r="T2" s="373"/>
      <c r="U2" s="373"/>
      <c r="V2" s="373"/>
      <c r="W2" s="373"/>
      <c r="X2" s="373"/>
      <c r="Y2" s="373"/>
      <c r="Z2" s="373"/>
      <c r="AA2" s="373"/>
      <c r="AB2" s="373"/>
      <c r="AC2" s="373"/>
      <c r="AD2" s="373"/>
      <c r="AE2" s="373"/>
      <c r="AF2" s="373"/>
      <c r="AG2" s="373"/>
      <c r="AH2" s="373"/>
      <c r="AI2" s="373"/>
      <c r="AJ2" s="373"/>
    </row>
    <row r="3" spans="1:46" ht="35.25" customHeight="1">
      <c r="A3" s="2001" t="s">
        <v>936</v>
      </c>
      <c r="B3" s="2001" t="s">
        <v>937</v>
      </c>
      <c r="C3" s="2001" t="s">
        <v>938</v>
      </c>
      <c r="D3" s="2002" t="s">
        <v>939</v>
      </c>
      <c r="E3" s="2003" t="s">
        <v>28</v>
      </c>
      <c r="F3" s="2001" t="s">
        <v>940</v>
      </c>
      <c r="G3" s="2001"/>
      <c r="H3" s="2001" t="s">
        <v>888</v>
      </c>
      <c r="I3" s="2001" t="s">
        <v>941</v>
      </c>
      <c r="J3" s="2004" t="s">
        <v>942</v>
      </c>
      <c r="K3" s="2001" t="s">
        <v>943</v>
      </c>
      <c r="L3" s="2004" t="s">
        <v>944</v>
      </c>
      <c r="M3" s="374" t="s">
        <v>945</v>
      </c>
      <c r="N3" s="2001" t="s">
        <v>946</v>
      </c>
      <c r="O3" s="375"/>
      <c r="P3" s="375"/>
      <c r="Q3" s="375"/>
      <c r="R3" s="375"/>
      <c r="S3" s="375"/>
      <c r="T3" s="375"/>
      <c r="U3" s="375"/>
      <c r="V3" s="375"/>
      <c r="W3" s="375"/>
      <c r="X3" s="375"/>
      <c r="Y3" s="375"/>
      <c r="Z3" s="375"/>
      <c r="AA3" s="375"/>
      <c r="AB3" s="375"/>
      <c r="AC3" s="375"/>
      <c r="AD3" s="375"/>
      <c r="AE3" s="375"/>
      <c r="AF3" s="375"/>
      <c r="AG3" s="375"/>
      <c r="AH3" s="375"/>
      <c r="AI3" s="375"/>
      <c r="AJ3" s="375"/>
    </row>
    <row r="4" spans="1:46" ht="13.9" customHeight="1">
      <c r="A4" s="2001"/>
      <c r="B4" s="2001"/>
      <c r="C4" s="2001"/>
      <c r="D4" s="2002"/>
      <c r="E4" s="2003"/>
      <c r="F4" s="2001"/>
      <c r="G4" s="2001"/>
      <c r="H4" s="2001"/>
      <c r="I4" s="2001"/>
      <c r="J4" s="2004"/>
      <c r="K4" s="2001"/>
      <c r="L4" s="2004"/>
      <c r="M4" s="376">
        <f>Input!$D$47</f>
        <v>0.4</v>
      </c>
      <c r="N4" s="2001"/>
      <c r="O4" s="375"/>
      <c r="P4" s="375"/>
      <c r="Q4" s="375"/>
      <c r="R4" s="375"/>
      <c r="S4" s="375"/>
      <c r="T4" s="375"/>
      <c r="U4" s="375"/>
      <c r="V4" s="375"/>
      <c r="W4" s="375"/>
      <c r="X4" s="375"/>
      <c r="Y4" s="375"/>
      <c r="Z4" s="375"/>
      <c r="AA4" s="375"/>
      <c r="AB4" s="375"/>
      <c r="AC4" s="375"/>
      <c r="AD4" s="375"/>
      <c r="AE4" s="375"/>
      <c r="AF4" s="375"/>
      <c r="AG4" s="375"/>
      <c r="AH4" s="375"/>
      <c r="AI4" s="375"/>
      <c r="AJ4" s="375"/>
    </row>
    <row r="5" spans="1:46" s="368" customFormat="1" ht="13.5" hidden="1" customHeight="1">
      <c r="A5" s="377">
        <v>1</v>
      </c>
      <c r="B5" s="377">
        <v>2</v>
      </c>
      <c r="C5" s="377">
        <v>3</v>
      </c>
      <c r="D5" s="378">
        <v>4</v>
      </c>
      <c r="E5" s="378">
        <v>5</v>
      </c>
      <c r="F5" s="1998">
        <v>6</v>
      </c>
      <c r="G5" s="1998"/>
      <c r="H5" s="377">
        <v>7</v>
      </c>
      <c r="I5" s="377">
        <f t="shared" ref="I5:N5" si="0">H5+1</f>
        <v>8</v>
      </c>
      <c r="J5" s="377">
        <f t="shared" si="0"/>
        <v>9</v>
      </c>
      <c r="K5" s="377">
        <f t="shared" si="0"/>
        <v>10</v>
      </c>
      <c r="L5" s="377">
        <f t="shared" si="0"/>
        <v>11</v>
      </c>
      <c r="M5" s="377">
        <f t="shared" si="0"/>
        <v>12</v>
      </c>
      <c r="N5" s="377">
        <f t="shared" si="0"/>
        <v>13</v>
      </c>
      <c r="O5" s="379"/>
      <c r="P5" s="379"/>
      <c r="Q5" s="379"/>
      <c r="R5" s="379"/>
      <c r="S5" s="379"/>
      <c r="T5" s="379"/>
      <c r="U5" s="379"/>
      <c r="V5" s="379"/>
      <c r="W5" s="379"/>
      <c r="X5" s="379"/>
      <c r="Y5" s="379"/>
      <c r="Z5" s="379"/>
      <c r="AA5" s="379"/>
      <c r="AB5" s="379"/>
      <c r="AC5" s="379"/>
      <c r="AD5" s="379"/>
      <c r="AE5" s="379"/>
      <c r="AF5" s="379"/>
      <c r="AG5" s="379"/>
      <c r="AH5" s="379"/>
      <c r="AI5" s="379"/>
      <c r="AJ5" s="379"/>
    </row>
    <row r="6" spans="1:46" s="396" customFormat="1" ht="28.9" customHeight="1">
      <c r="A6" s="380">
        <v>1</v>
      </c>
      <c r="B6" s="381" t="s">
        <v>947</v>
      </c>
      <c r="C6" s="382"/>
      <c r="D6" s="383"/>
      <c r="E6" s="384"/>
      <c r="F6" s="385">
        <v>1</v>
      </c>
      <c r="G6" s="386" t="s">
        <v>948</v>
      </c>
      <c r="H6" s="387"/>
      <c r="I6" s="388">
        <f>Input!$D$39</f>
        <v>5200</v>
      </c>
      <c r="J6" s="387"/>
      <c r="K6" s="387"/>
      <c r="L6" s="388"/>
      <c r="M6" s="388"/>
      <c r="N6" s="387">
        <f t="shared" ref="N6:N29" si="1">ROUND(SUM(I6:M6),2)</f>
        <v>5200</v>
      </c>
      <c r="O6" s="389"/>
      <c r="P6" s="389"/>
      <c r="Q6" s="389"/>
      <c r="R6" s="389"/>
      <c r="S6" s="389"/>
      <c r="T6" s="389"/>
      <c r="U6" s="389"/>
      <c r="V6" s="389"/>
      <c r="W6" s="389"/>
      <c r="X6" s="390"/>
      <c r="Y6" s="391"/>
      <c r="Z6" s="392"/>
      <c r="AA6" s="393">
        <v>1</v>
      </c>
      <c r="AB6" s="394" t="s">
        <v>948</v>
      </c>
      <c r="AC6" s="395"/>
      <c r="AD6" s="389">
        <f>Input!$D$39</f>
        <v>5200</v>
      </c>
      <c r="AE6" s="395"/>
      <c r="AF6" s="395"/>
      <c r="AG6" s="389">
        <f>ROUND(conveyance!$F$22/1.14,2)</f>
        <v>0</v>
      </c>
      <c r="AH6" s="389">
        <f>ROUND(AG6*$M$4,2)</f>
        <v>0</v>
      </c>
      <c r="AI6" s="389">
        <f t="shared" ref="AI6:AI29" si="2">ROUND(SUM(AD6:AH6),2)</f>
        <v>5200</v>
      </c>
      <c r="AJ6" s="389">
        <f t="shared" ref="AJ6:AJ29" si="3">AI6-N6</f>
        <v>0</v>
      </c>
      <c r="AR6" s="396">
        <v>46.32</v>
      </c>
      <c r="AS6" s="397"/>
      <c r="AT6" s="397">
        <f t="shared" ref="AT6:AT11" si="4">AR6-L6</f>
        <v>46.32</v>
      </c>
    </row>
    <row r="7" spans="1:46" s="406" customFormat="1" ht="15.75" customHeight="1">
      <c r="A7" s="380">
        <f t="shared" ref="A7:A29" si="5">A6+1</f>
        <v>2</v>
      </c>
      <c r="B7" s="398" t="s">
        <v>949</v>
      </c>
      <c r="C7" s="399"/>
      <c r="D7" s="384"/>
      <c r="E7" s="384"/>
      <c r="F7" s="385">
        <v>1</v>
      </c>
      <c r="G7" s="386" t="s">
        <v>948</v>
      </c>
      <c r="H7" s="387"/>
      <c r="I7" s="388">
        <f>Input!D40</f>
        <v>60000</v>
      </c>
      <c r="J7" s="387"/>
      <c r="K7" s="387"/>
      <c r="L7" s="388"/>
      <c r="M7" s="388"/>
      <c r="N7" s="387">
        <f t="shared" si="1"/>
        <v>60000</v>
      </c>
      <c r="O7" s="400"/>
      <c r="P7" s="400"/>
      <c r="Q7" s="400"/>
      <c r="R7" s="400"/>
      <c r="S7" s="400"/>
      <c r="T7" s="400"/>
      <c r="U7" s="400"/>
      <c r="V7" s="400"/>
      <c r="W7" s="400"/>
      <c r="X7" s="401"/>
      <c r="Y7" s="402"/>
      <c r="Z7" s="402"/>
      <c r="AA7" s="403">
        <v>1</v>
      </c>
      <c r="AB7" s="404" t="s">
        <v>948</v>
      </c>
      <c r="AC7" s="405"/>
      <c r="AD7" s="400">
        <f>Input!$D$40</f>
        <v>60000</v>
      </c>
      <c r="AE7" s="405"/>
      <c r="AF7" s="405"/>
      <c r="AG7" s="400">
        <f>conveyance!$G$22/1.14</f>
        <v>81.052631578947384</v>
      </c>
      <c r="AH7" s="400">
        <f t="shared" ref="AH7:AH11" si="6">AG7*$M$4</f>
        <v>32.421052631578952</v>
      </c>
      <c r="AI7" s="400">
        <f t="shared" si="2"/>
        <v>60113.47</v>
      </c>
      <c r="AJ7" s="400">
        <f t="shared" si="3"/>
        <v>113.47000000000116</v>
      </c>
      <c r="AR7" s="406">
        <v>55.526315789473699</v>
      </c>
      <c r="AT7" s="407">
        <f t="shared" si="4"/>
        <v>55.526315789473699</v>
      </c>
    </row>
    <row r="8" spans="1:46" s="369" customFormat="1" ht="15.75" customHeight="1">
      <c r="A8" s="380">
        <f t="shared" si="5"/>
        <v>3</v>
      </c>
      <c r="B8" s="398" t="s">
        <v>950</v>
      </c>
      <c r="C8" s="399"/>
      <c r="D8" s="384"/>
      <c r="E8" s="384"/>
      <c r="F8" s="385">
        <v>1</v>
      </c>
      <c r="G8" s="386" t="s">
        <v>948</v>
      </c>
      <c r="H8" s="387"/>
      <c r="I8" s="388">
        <f>Input!$D$41</f>
        <v>0</v>
      </c>
      <c r="J8" s="387"/>
      <c r="K8" s="387"/>
      <c r="L8" s="388"/>
      <c r="M8" s="388"/>
      <c r="N8" s="387">
        <f t="shared" si="1"/>
        <v>0</v>
      </c>
      <c r="O8" s="408"/>
      <c r="P8" s="408"/>
      <c r="Q8" s="408"/>
      <c r="R8" s="408"/>
      <c r="S8" s="408"/>
      <c r="T8" s="408"/>
      <c r="U8" s="408"/>
      <c r="V8" s="408"/>
      <c r="W8" s="408"/>
      <c r="X8" s="409"/>
      <c r="Y8" s="410"/>
      <c r="Z8" s="410"/>
      <c r="AA8" s="411">
        <v>1</v>
      </c>
      <c r="AB8" s="412" t="s">
        <v>948</v>
      </c>
      <c r="AC8" s="413"/>
      <c r="AD8" s="408">
        <f>Input!$D$41</f>
        <v>0</v>
      </c>
      <c r="AE8" s="413"/>
      <c r="AF8" s="413"/>
      <c r="AG8" s="408">
        <f>conveyance!$G$22/1.14</f>
        <v>81.052631578947384</v>
      </c>
      <c r="AH8" s="408">
        <f t="shared" si="6"/>
        <v>32.421052631578952</v>
      </c>
      <c r="AI8" s="408">
        <f t="shared" si="2"/>
        <v>113.47</v>
      </c>
      <c r="AJ8" s="408">
        <f t="shared" si="3"/>
        <v>113.47</v>
      </c>
      <c r="AR8" s="369">
        <v>55.526315789473699</v>
      </c>
      <c r="AT8" s="414">
        <f t="shared" si="4"/>
        <v>55.526315789473699</v>
      </c>
    </row>
    <row r="9" spans="1:46" s="369" customFormat="1" ht="15.75" customHeight="1">
      <c r="A9" s="380">
        <f t="shared" si="5"/>
        <v>4</v>
      </c>
      <c r="B9" s="398" t="s">
        <v>951</v>
      </c>
      <c r="C9" s="387"/>
      <c r="D9" s="384"/>
      <c r="E9" s="384"/>
      <c r="F9" s="385">
        <v>1</v>
      </c>
      <c r="G9" s="386" t="s">
        <v>948</v>
      </c>
      <c r="H9" s="387"/>
      <c r="I9" s="388">
        <f>Input!$D$42</f>
        <v>60000</v>
      </c>
      <c r="J9" s="387"/>
      <c r="K9" s="387"/>
      <c r="L9" s="388"/>
      <c r="M9" s="388"/>
      <c r="N9" s="387">
        <f t="shared" si="1"/>
        <v>60000</v>
      </c>
      <c r="O9" s="408"/>
      <c r="P9" s="408"/>
      <c r="Q9" s="408"/>
      <c r="R9" s="408"/>
      <c r="S9" s="408"/>
      <c r="T9" s="408"/>
      <c r="U9" s="408"/>
      <c r="V9" s="408"/>
      <c r="W9" s="408"/>
      <c r="X9" s="413"/>
      <c r="Y9" s="410"/>
      <c r="Z9" s="410"/>
      <c r="AA9" s="411">
        <v>1</v>
      </c>
      <c r="AB9" s="412" t="s">
        <v>948</v>
      </c>
      <c r="AC9" s="413"/>
      <c r="AD9" s="408">
        <f>Input!$D$42</f>
        <v>60000</v>
      </c>
      <c r="AE9" s="413"/>
      <c r="AF9" s="413"/>
      <c r="AG9" s="408">
        <f>AG7</f>
        <v>81.052631578947384</v>
      </c>
      <c r="AH9" s="408">
        <f t="shared" si="6"/>
        <v>32.421052631578952</v>
      </c>
      <c r="AI9" s="408">
        <f t="shared" si="2"/>
        <v>60113.47</v>
      </c>
      <c r="AJ9" s="408">
        <f t="shared" si="3"/>
        <v>113.47000000000116</v>
      </c>
      <c r="AR9" s="369">
        <v>55.526315789473699</v>
      </c>
      <c r="AT9" s="414">
        <f t="shared" si="4"/>
        <v>55.526315789473699</v>
      </c>
    </row>
    <row r="10" spans="1:46" s="369" customFormat="1" ht="15.75" customHeight="1">
      <c r="A10" s="380">
        <f t="shared" si="5"/>
        <v>5</v>
      </c>
      <c r="B10" s="398" t="s">
        <v>952</v>
      </c>
      <c r="C10" s="387"/>
      <c r="D10" s="384"/>
      <c r="E10" s="384"/>
      <c r="F10" s="385">
        <v>1</v>
      </c>
      <c r="G10" s="386" t="s">
        <v>948</v>
      </c>
      <c r="H10" s="387"/>
      <c r="I10" s="388">
        <f>Input!$D$43</f>
        <v>61000</v>
      </c>
      <c r="J10" s="387"/>
      <c r="K10" s="387"/>
      <c r="L10" s="388"/>
      <c r="M10" s="388"/>
      <c r="N10" s="387">
        <f t="shared" si="1"/>
        <v>61000</v>
      </c>
      <c r="O10" s="408"/>
      <c r="P10" s="408"/>
      <c r="Q10" s="408"/>
      <c r="R10" s="408"/>
      <c r="S10" s="408"/>
      <c r="T10" s="408"/>
      <c r="U10" s="408"/>
      <c r="V10" s="408"/>
      <c r="W10" s="408"/>
      <c r="X10" s="413"/>
      <c r="Y10" s="410"/>
      <c r="Z10" s="410"/>
      <c r="AA10" s="411">
        <v>1</v>
      </c>
      <c r="AB10" s="412" t="s">
        <v>948</v>
      </c>
      <c r="AC10" s="413"/>
      <c r="AD10" s="408">
        <f>Input!$D$43</f>
        <v>61000</v>
      </c>
      <c r="AE10" s="413"/>
      <c r="AF10" s="413"/>
      <c r="AG10" s="408">
        <f t="shared" ref="AG10:AG11" si="7">AG9</f>
        <v>81.052631578947384</v>
      </c>
      <c r="AH10" s="408">
        <f t="shared" si="6"/>
        <v>32.421052631578952</v>
      </c>
      <c r="AI10" s="408">
        <f t="shared" si="2"/>
        <v>61113.47</v>
      </c>
      <c r="AJ10" s="408">
        <f t="shared" si="3"/>
        <v>113.47000000000116</v>
      </c>
      <c r="AR10" s="369">
        <v>55.526315789473699</v>
      </c>
      <c r="AT10" s="414">
        <f t="shared" si="4"/>
        <v>55.526315789473699</v>
      </c>
    </row>
    <row r="11" spans="1:46" s="369" customFormat="1" ht="15.75" customHeight="1">
      <c r="A11" s="380">
        <f t="shared" si="5"/>
        <v>6</v>
      </c>
      <c r="B11" s="398" t="s">
        <v>953</v>
      </c>
      <c r="C11" s="387"/>
      <c r="D11" s="384"/>
      <c r="E11" s="384"/>
      <c r="F11" s="385">
        <v>1</v>
      </c>
      <c r="G11" s="386" t="s">
        <v>948</v>
      </c>
      <c r="H11" s="387"/>
      <c r="I11" s="388">
        <f>Input!$D$44</f>
        <v>62000</v>
      </c>
      <c r="J11" s="387"/>
      <c r="K11" s="387"/>
      <c r="L11" s="388"/>
      <c r="M11" s="388"/>
      <c r="N11" s="387">
        <f t="shared" si="1"/>
        <v>62000</v>
      </c>
      <c r="O11" s="408"/>
      <c r="P11" s="408"/>
      <c r="Q11" s="408"/>
      <c r="R11" s="408"/>
      <c r="S11" s="408"/>
      <c r="T11" s="408"/>
      <c r="U11" s="408"/>
      <c r="V11" s="408"/>
      <c r="W11" s="408"/>
      <c r="X11" s="413"/>
      <c r="Y11" s="410"/>
      <c r="Z11" s="410"/>
      <c r="AA11" s="411">
        <v>1</v>
      </c>
      <c r="AB11" s="412" t="s">
        <v>948</v>
      </c>
      <c r="AC11" s="413"/>
      <c r="AD11" s="408">
        <f>Input!$D$44</f>
        <v>62000</v>
      </c>
      <c r="AE11" s="413"/>
      <c r="AF11" s="413"/>
      <c r="AG11" s="408">
        <f t="shared" si="7"/>
        <v>81.052631578947384</v>
      </c>
      <c r="AH11" s="408">
        <f t="shared" si="6"/>
        <v>32.421052631578952</v>
      </c>
      <c r="AI11" s="408">
        <f t="shared" si="2"/>
        <v>62113.47</v>
      </c>
      <c r="AJ11" s="408">
        <f t="shared" si="3"/>
        <v>113.47000000000116</v>
      </c>
      <c r="AR11" s="369">
        <v>55.526315789473699</v>
      </c>
      <c r="AT11" s="414">
        <f t="shared" si="4"/>
        <v>55.526315789473699</v>
      </c>
    </row>
    <row r="12" spans="1:46" s="369" customFormat="1" ht="25.5" customHeight="1">
      <c r="A12" s="380">
        <f t="shared" si="5"/>
        <v>7</v>
      </c>
      <c r="B12" s="398" t="s">
        <v>547</v>
      </c>
      <c r="C12" s="415" t="str">
        <f>Input!D7</f>
        <v>Koilkonda</v>
      </c>
      <c r="D12" s="384">
        <f>'Civil-SOR'!$E$311</f>
        <v>2</v>
      </c>
      <c r="E12" s="416" t="str">
        <f>'Civil-SOR'!$F$311</f>
        <v>27 a</v>
      </c>
      <c r="F12" s="385">
        <v>1</v>
      </c>
      <c r="G12" s="386" t="s">
        <v>484</v>
      </c>
      <c r="H12" s="388">
        <f>Input!$E$7</f>
        <v>125</v>
      </c>
      <c r="I12" s="417">
        <f>'Civil-SOR'!$G$311</f>
        <v>630</v>
      </c>
      <c r="J12" s="417">
        <f>IF(H12=0,0,((ROUNDUP((((IF((H12&lt;=5),(VLOOKUP(H12,conveyance!$C$8:$D$12,2)),(IF((H12&lt;=30),((H12-conveyance!$C$12)*conveyance!$D$13+conveyance!$D$12),(IF((H12&lt;=10000),(conveyance!$D$12+(conveyance!$C$13-conveyance!$C$12)*conveyance!$D$13+(H12-conveyance!$C$13)*conveyance!$D$14),"CHECK"))))))-conveyance!D$8)/1.13615),2))))</f>
        <v>1623.91</v>
      </c>
      <c r="K12" s="388"/>
      <c r="L12" s="388"/>
      <c r="M12" s="388"/>
      <c r="N12" s="387">
        <f t="shared" si="1"/>
        <v>2253.91</v>
      </c>
      <c r="O12" s="408"/>
      <c r="P12" s="408"/>
      <c r="Q12" s="408"/>
      <c r="R12" s="408"/>
      <c r="S12" s="408"/>
      <c r="T12" s="408"/>
      <c r="U12" s="408"/>
      <c r="V12" s="408"/>
      <c r="W12" s="408"/>
      <c r="X12" s="368">
        <f>Input!P7</f>
        <v>0</v>
      </c>
      <c r="Y12" s="410">
        <f>'Civil-SOR'!$E$311</f>
        <v>2</v>
      </c>
      <c r="Z12" s="418" t="e">
        <f t="shared" ref="Z12:Z29" si="8">NA()</f>
        <v>#N/A</v>
      </c>
      <c r="AA12" s="411">
        <v>1</v>
      </c>
      <c r="AB12" s="412" t="s">
        <v>484</v>
      </c>
      <c r="AC12" s="408">
        <f>Input!$E$7</f>
        <v>125</v>
      </c>
      <c r="AD12" s="419">
        <f>'Civil-SOR'!$G$311</f>
        <v>630</v>
      </c>
      <c r="AE12" s="419">
        <f>IF(AC12=0,0,((ROUNDUP((((IF((AC12&lt;=5),(VLOOKUP(AC12,conveyance!$C$8:$D$12,2)),(IF((AC12&lt;=30),((AC12-conveyance!$C$12)*conveyance!$D$13+conveyance!$D$12),(IF((AC12&lt;=10000),(conveyance!$D$12+(conveyance!$C$13-conveyance!$C$12)*conveyance!$D$13+(AC12-conveyance!$C$13)*conveyance!$D$14),"CHECK"))))))-conveyance!$D$8)/1.14),2))))</f>
        <v>1618.43</v>
      </c>
      <c r="AF12" s="408"/>
      <c r="AG12" s="408"/>
      <c r="AH12" s="408"/>
      <c r="AI12" s="408">
        <f t="shared" si="2"/>
        <v>2248.4299999999998</v>
      </c>
      <c r="AJ12" s="408">
        <f t="shared" si="3"/>
        <v>-5.4800000000000182</v>
      </c>
      <c r="AK12" s="369">
        <v>257</v>
      </c>
      <c r="AL12" s="369">
        <v>462</v>
      </c>
      <c r="AM12" s="369">
        <f t="shared" ref="AM12:AM17" si="9">D12-AK12</f>
        <v>-255</v>
      </c>
      <c r="AN12" s="414">
        <f t="shared" ref="AN12:AN29" si="10">AL12-I12</f>
        <v>-168</v>
      </c>
      <c r="AO12" s="369">
        <v>782.99</v>
      </c>
      <c r="AP12" s="414">
        <f t="shared" ref="AP12:AP29" si="11">AO12-J12</f>
        <v>-840.92000000000007</v>
      </c>
    </row>
    <row r="13" spans="1:46" s="369" customFormat="1" ht="25.5" customHeight="1">
      <c r="A13" s="380">
        <f t="shared" si="5"/>
        <v>8</v>
      </c>
      <c r="B13" s="381" t="s">
        <v>954</v>
      </c>
      <c r="C13" s="415" t="str">
        <f>Input!D8</f>
        <v>Koilkonda</v>
      </c>
      <c r="D13" s="384">
        <f>'Civil-SOR'!$E$312</f>
        <v>2</v>
      </c>
      <c r="E13" s="416">
        <f>'Civil-SOR'!$F$313</f>
        <v>28</v>
      </c>
      <c r="F13" s="385">
        <v>1</v>
      </c>
      <c r="G13" s="386" t="s">
        <v>484</v>
      </c>
      <c r="H13" s="388">
        <f>Input!$E$8</f>
        <v>125</v>
      </c>
      <c r="I13" s="417">
        <f>'Civil-SOR'!$G$313</f>
        <v>830</v>
      </c>
      <c r="J13" s="417">
        <f>IF(H13=0,0,((ROUNDUP((((IF((H13&lt;=5),(VLOOKUP(H13,conveyance!$C$8:$D$12,2)),(IF((H13&lt;=30),((H13-conveyance!$C$12)*conveyance!$D$13+conveyance!$D$12),(IF((H13&lt;=10000),(conveyance!$D$12+(conveyance!$C$13-conveyance!$C$12)*conveyance!$D$13+(H13-conveyance!$C$13)*conveyance!$D$14),"CHECK"))))))-conveyance!D$8)/1.13615),2))))</f>
        <v>1623.91</v>
      </c>
      <c r="K13" s="388"/>
      <c r="L13" s="388"/>
      <c r="M13" s="388"/>
      <c r="N13" s="387">
        <f t="shared" si="1"/>
        <v>2453.91</v>
      </c>
      <c r="O13" s="408"/>
      <c r="P13" s="408"/>
      <c r="Q13" s="408"/>
      <c r="R13" s="408"/>
      <c r="S13" s="408"/>
      <c r="T13" s="408"/>
      <c r="U13" s="408"/>
      <c r="V13" s="408"/>
      <c r="W13" s="408"/>
      <c r="X13" s="368">
        <f>Input!P8</f>
        <v>0</v>
      </c>
      <c r="Y13" s="410">
        <f>'Civil-SOR'!$E$312</f>
        <v>2</v>
      </c>
      <c r="Z13" s="418" t="e">
        <f t="shared" si="8"/>
        <v>#N/A</v>
      </c>
      <c r="AA13" s="411"/>
      <c r="AB13" s="412"/>
      <c r="AC13" s="408">
        <f>Input!$E$8</f>
        <v>125</v>
      </c>
      <c r="AD13" s="419">
        <f>'Civil-SOR'!$G$313</f>
        <v>830</v>
      </c>
      <c r="AE13" s="419">
        <f>IF(AC13=0,0,((ROUNDUP((((IF((AC13&lt;=5),(VLOOKUP(AC13,conveyance!$C$8:$D$12,2)),(IF((AC13&lt;=30),((AC13-conveyance!$C$12)*conveyance!$D$13+conveyance!$D$12),(IF((AC13&lt;=10000),(conveyance!$D$12+(conveyance!$C$13-conveyance!$C$12)*conveyance!$D$13+(AC13-conveyance!$C$13)*conveyance!$D$14),"CHECK"))))))-conveyance!$D$8)/1.14),2))))</f>
        <v>1618.43</v>
      </c>
      <c r="AF13" s="408"/>
      <c r="AG13" s="408"/>
      <c r="AH13" s="408"/>
      <c r="AI13" s="408">
        <f t="shared" si="2"/>
        <v>2448.4299999999998</v>
      </c>
      <c r="AJ13" s="408">
        <f t="shared" si="3"/>
        <v>-5.4800000000000182</v>
      </c>
      <c r="AK13" s="369">
        <v>257</v>
      </c>
      <c r="AL13" s="369">
        <v>606</v>
      </c>
      <c r="AM13" s="369">
        <f t="shared" si="9"/>
        <v>-255</v>
      </c>
      <c r="AN13" s="414">
        <f t="shared" si="10"/>
        <v>-224</v>
      </c>
      <c r="AO13" s="369">
        <v>782.99</v>
      </c>
      <c r="AP13" s="414">
        <f t="shared" si="11"/>
        <v>-840.92000000000007</v>
      </c>
    </row>
    <row r="14" spans="1:46" s="369" customFormat="1" ht="25.5" customHeight="1">
      <c r="A14" s="380">
        <f t="shared" si="5"/>
        <v>9</v>
      </c>
      <c r="B14" s="398" t="s">
        <v>893</v>
      </c>
      <c r="C14" s="380" t="str">
        <f>Input!D9</f>
        <v>Local</v>
      </c>
      <c r="D14" s="384">
        <f>'Civil-SOR'!$E$313</f>
        <v>2</v>
      </c>
      <c r="E14" s="416" t="str">
        <f>'Civil-SOR'!$F$312</f>
        <v>27 b</v>
      </c>
      <c r="F14" s="385">
        <v>1</v>
      </c>
      <c r="G14" s="386" t="s">
        <v>484</v>
      </c>
      <c r="H14" s="388">
        <f>Input!$E$9</f>
        <v>20</v>
      </c>
      <c r="I14" s="417">
        <f>'Civil-SOR'!$G$312</f>
        <v>630</v>
      </c>
      <c r="J14" s="417">
        <f>IF(H14=0,0,((ROUNDUP((((IF((H14&lt;=5),(VLOOKUP(H14,conveyance!$C$8:$D$12,2)),(IF((H14&lt;=30),((H14-conveyance!$C$12)*conveyance!$D$13+conveyance!$D$12),(IF((H14&lt;=10000),(conveyance!$D$12+(conveyance!$C$13-conveyance!$C$12)*conveyance!$D$13+(H14-conveyance!$C$13)*conveyance!$D$14),"CHECK"))))))-conveyance!D$8)/1.13615),2))))</f>
        <v>286.94</v>
      </c>
      <c r="K14" s="388"/>
      <c r="L14" s="388"/>
      <c r="M14" s="388"/>
      <c r="N14" s="387">
        <f t="shared" si="1"/>
        <v>916.94</v>
      </c>
      <c r="O14" s="408"/>
      <c r="P14" s="408"/>
      <c r="Q14" s="408"/>
      <c r="R14" s="408"/>
      <c r="S14" s="408"/>
      <c r="T14" s="408"/>
      <c r="U14" s="408"/>
      <c r="V14" s="408"/>
      <c r="W14" s="408"/>
      <c r="X14" s="368">
        <f>Input!P9</f>
        <v>0</v>
      </c>
      <c r="Y14" s="410">
        <f>'Civil-SOR'!$E$313</f>
        <v>2</v>
      </c>
      <c r="Z14" s="418" t="e">
        <f t="shared" si="8"/>
        <v>#N/A</v>
      </c>
      <c r="AA14" s="411">
        <v>1</v>
      </c>
      <c r="AB14" s="412" t="s">
        <v>484</v>
      </c>
      <c r="AC14" s="408">
        <f>Input!$E$9</f>
        <v>20</v>
      </c>
      <c r="AD14" s="419">
        <f>'Civil-SOR'!$G$312</f>
        <v>630</v>
      </c>
      <c r="AE14" s="419">
        <f>IF(AC14=0,0,((ROUNDUP((((IF((AC14&lt;=5),(VLOOKUP(AC14,conveyance!$C$8:$D$12,2)),(IF((AC14&lt;=30),((AC14-conveyance!$C$12)*conveyance!$D$13+conveyance!$D$12),(IF((AC14&lt;=10000),(conveyance!$D$12+(conveyance!$C$13-conveyance!$C$12)*conveyance!$D$13+(AC14-conveyance!$C$13)*conveyance!$D$14),"CHECK"))))))-conveyance!$D$8)/1.14),2))))</f>
        <v>285.96999999999997</v>
      </c>
      <c r="AF14" s="408"/>
      <c r="AG14" s="408"/>
      <c r="AH14" s="408"/>
      <c r="AI14" s="408">
        <f t="shared" si="2"/>
        <v>915.97</v>
      </c>
      <c r="AJ14" s="408">
        <f t="shared" si="3"/>
        <v>-0.97000000000002728</v>
      </c>
      <c r="AK14" s="369">
        <v>257</v>
      </c>
      <c r="AL14" s="369">
        <v>342</v>
      </c>
      <c r="AM14" s="369">
        <f t="shared" si="9"/>
        <v>-255</v>
      </c>
      <c r="AN14" s="414">
        <f t="shared" si="10"/>
        <v>-288</v>
      </c>
      <c r="AO14" s="369">
        <v>782.99</v>
      </c>
      <c r="AP14" s="414">
        <f t="shared" si="11"/>
        <v>496.05</v>
      </c>
    </row>
    <row r="15" spans="1:46" s="369" customFormat="1" ht="25.35" customHeight="1">
      <c r="A15" s="380">
        <f t="shared" si="5"/>
        <v>10</v>
      </c>
      <c r="B15" s="398" t="s">
        <v>33</v>
      </c>
      <c r="C15" s="380" t="str">
        <f>Input!D10</f>
        <v>Local</v>
      </c>
      <c r="D15" s="420">
        <f>'Civil-SOR'!$E$4</f>
        <v>47</v>
      </c>
      <c r="E15" s="384" t="str">
        <f>'Civil-SOR'!$F$4</f>
        <v>TBSC-A.I-01</v>
      </c>
      <c r="F15" s="385">
        <v>1000</v>
      </c>
      <c r="G15" s="386" t="s">
        <v>955</v>
      </c>
      <c r="H15" s="388">
        <f>Input!E10</f>
        <v>15</v>
      </c>
      <c r="I15" s="417">
        <f>'Civil-SOR'!$G$4</f>
        <v>9000</v>
      </c>
      <c r="J15" s="388">
        <f>IF(H15=0,0,(ROUNDUP((((IF((H15&lt;=5),(VLOOKUP(H15,conveyance!$C$8:$I$14,7)),(IF((H15&lt;=30),((H15-conveyance!$C$12)*conveyance!$I$13+conveyance!$I$12),(IF((H15&lt;=10000),(conveyance!$I$12+(conveyance!$C$13-conveyance!$C$12)*conveyance!$I$13+(H15-conveyance!$C$13)*conveyance!$I$14),"CHECK"))))))-conveyance!I$8)/1.13615),2)))</f>
        <v>341.59999999999997</v>
      </c>
      <c r="K15" s="388"/>
      <c r="L15" s="421">
        <f>conveyance!$H$22/1.13615</f>
        <v>97.43431765171853</v>
      </c>
      <c r="M15" s="387">
        <f>L15*$M$4</f>
        <v>38.973727060687416</v>
      </c>
      <c r="N15" s="387">
        <f t="shared" si="1"/>
        <v>9478.01</v>
      </c>
      <c r="O15" s="408"/>
      <c r="P15" s="408"/>
      <c r="Q15" s="408"/>
      <c r="R15" s="408"/>
      <c r="S15" s="408"/>
      <c r="T15" s="408"/>
      <c r="U15" s="408"/>
      <c r="V15" s="408"/>
      <c r="W15" s="408"/>
      <c r="X15" s="368">
        <f>Input!P10</f>
        <v>0</v>
      </c>
      <c r="Y15" s="422">
        <f>'Civil-SOR'!$E$4</f>
        <v>47</v>
      </c>
      <c r="Z15" s="410" t="e">
        <f t="shared" si="8"/>
        <v>#N/A</v>
      </c>
      <c r="AA15" s="411">
        <v>1000</v>
      </c>
      <c r="AB15" s="412" t="s">
        <v>955</v>
      </c>
      <c r="AC15" s="408">
        <f>Input!Q10</f>
        <v>0</v>
      </c>
      <c r="AD15" s="419">
        <f>'Civil-SOR'!$G$4</f>
        <v>9000</v>
      </c>
      <c r="AE15" s="408">
        <f>IF(H15=0,0,(ROUNDUP((((IF((H15&lt;=5),(VLOOKUP(H15,conveyance!$C$8:$I$14,7)),(IF((H15&lt;=30),((H15-conveyance!$C$12)*conveyance!$I$13+conveyance!$I$12),(IF((H15&lt;=10000),(conveyance!$I$12+(conveyance!$C$13-conveyance!$C$12)*conveyance!$I$13+(H15-conveyance!$C$13)*conveyance!$I$14),"CHECK"))))))-conveyance!$I$8)/1.14),2)))</f>
        <v>340.44</v>
      </c>
      <c r="AF15" s="408">
        <f>conveyance!$H$20/1.14</f>
        <v>97.105263157894754</v>
      </c>
      <c r="AG15" s="408">
        <f>conveyance!$H$22/1.14</f>
        <v>97.105263157894754</v>
      </c>
      <c r="AH15" s="408">
        <f t="shared" ref="AH15:AH17" si="12">AG15*$M$4</f>
        <v>38.842105263157904</v>
      </c>
      <c r="AI15" s="408">
        <f t="shared" si="2"/>
        <v>9573.49</v>
      </c>
      <c r="AJ15" s="408">
        <f t="shared" si="3"/>
        <v>95.479999999999563</v>
      </c>
      <c r="AK15" s="369">
        <v>15</v>
      </c>
      <c r="AL15" s="369">
        <v>4700</v>
      </c>
      <c r="AM15" s="369">
        <f t="shared" si="9"/>
        <v>32</v>
      </c>
      <c r="AN15" s="414">
        <f t="shared" si="10"/>
        <v>-4300</v>
      </c>
      <c r="AO15" s="369">
        <v>1141.93</v>
      </c>
      <c r="AP15" s="414">
        <f t="shared" si="11"/>
        <v>800.33000000000015</v>
      </c>
      <c r="AQ15" s="408" t="e">
        <f t="shared" ref="AQ15:AQ17" si="13">NA()</f>
        <v>#N/A</v>
      </c>
      <c r="AR15" s="408" t="e">
        <f t="shared" ref="AR15:AR17" si="14">NA()</f>
        <v>#N/A</v>
      </c>
      <c r="AS15" s="414" t="e">
        <f t="shared" ref="AS15:AS17" si="15">AQ15-K15</f>
        <v>#N/A</v>
      </c>
      <c r="AT15" s="414" t="e">
        <f t="shared" ref="AT15:AT17" si="16">AR15-L15</f>
        <v>#N/A</v>
      </c>
    </row>
    <row r="16" spans="1:46" s="369" customFormat="1" ht="30" customHeight="1">
      <c r="A16" s="380">
        <f t="shared" si="5"/>
        <v>11</v>
      </c>
      <c r="B16" s="381" t="s">
        <v>37</v>
      </c>
      <c r="C16" s="380">
        <f>Input!D11</f>
        <v>0</v>
      </c>
      <c r="D16" s="420">
        <f>'Civil-SOR'!$E$5</f>
        <v>47</v>
      </c>
      <c r="E16" s="384" t="str">
        <f>'Civil-SOR'!$F$5</f>
        <v>TBSC-A.II-08</v>
      </c>
      <c r="F16" s="399">
        <v>1000</v>
      </c>
      <c r="G16" s="399" t="s">
        <v>955</v>
      </c>
      <c r="H16" s="388">
        <f>Input!E11</f>
        <v>0</v>
      </c>
      <c r="I16" s="417">
        <f>F16*'Civil-SOR'!$G$5</f>
        <v>32000</v>
      </c>
      <c r="J16" s="388">
        <f>IF(H16=0,0,(ROUNDUP(((9.135/1.771)*((IF((H16&lt;=5),(VLOOKUP(H16,conveyance!$C$8:$I$14,7)),(IF((H16&lt;=30),((H16-conveyance!$C$12)*conveyance!$I$13+conveyance!$I$12),(IF((H16&lt;=10000),(conveyance!$I$12+(conveyance!$C$13-conveyance!$C$12)*conveyance!$I$13+(H16-conveyance!$C$13)*conveyance!$I$14),"CHECK"))))))-conveyance!I$8)/1.13615),2)))</f>
        <v>0</v>
      </c>
      <c r="K16" s="388"/>
      <c r="L16" s="423"/>
      <c r="M16" s="388"/>
      <c r="N16" s="387">
        <f t="shared" si="1"/>
        <v>32000</v>
      </c>
      <c r="O16" s="408"/>
      <c r="P16" s="408"/>
      <c r="Q16" s="408"/>
      <c r="R16" s="408"/>
      <c r="S16" s="408"/>
      <c r="T16" s="408"/>
      <c r="U16" s="408"/>
      <c r="V16" s="408"/>
      <c r="W16" s="408"/>
      <c r="X16" s="368">
        <f>Input!P11</f>
        <v>0</v>
      </c>
      <c r="Y16" s="422">
        <f>'Civil-SOR'!$E$5</f>
        <v>47</v>
      </c>
      <c r="Z16" s="410" t="e">
        <f t="shared" si="8"/>
        <v>#N/A</v>
      </c>
      <c r="AA16" s="409">
        <v>1000</v>
      </c>
      <c r="AB16" s="409" t="s">
        <v>955</v>
      </c>
      <c r="AC16" s="408">
        <f>Input!Q11</f>
        <v>0</v>
      </c>
      <c r="AD16" s="419">
        <f>AA16*'Civil-SOR'!$G$5</f>
        <v>32000</v>
      </c>
      <c r="AE16" s="408">
        <f>IF(AC16=0,0,(ROUNDUP(((9.135/1.771)*((IF((AC16&lt;=5),(VLOOKUP(AC16,conveyance!$C$8:$I$14,7)),(IF((AC16&lt;=30),((AC16-conveyance!$C$12)*conveyance!$I$13+conveyance!$I$12),(IF((AC16&lt;=10000),(conveyance!$I$12+(conveyance!$C$13-conveyance!$C$12)*conveyance!$I$13+(AC16-conveyance!$C$13)*conveyance!$I$14),"CHECK"))))))-conveyance!$I$8)/1.14),2)))</f>
        <v>0</v>
      </c>
      <c r="AF16" s="408">
        <f>conveyance!$H$20/1.14*(9.135/1.771)</f>
        <v>500.8789265654255</v>
      </c>
      <c r="AG16" s="408">
        <f>conveyance!$H$22/1.14*(9.135/1.771)</f>
        <v>500.8789265654255</v>
      </c>
      <c r="AH16" s="408">
        <f t="shared" si="12"/>
        <v>200.3515706261702</v>
      </c>
      <c r="AI16" s="408">
        <f t="shared" si="2"/>
        <v>33202.11</v>
      </c>
      <c r="AJ16" s="408">
        <f t="shared" si="3"/>
        <v>1202.1100000000006</v>
      </c>
      <c r="AK16" s="369">
        <v>15</v>
      </c>
      <c r="AL16" s="369">
        <v>24000</v>
      </c>
      <c r="AM16" s="369">
        <f t="shared" si="9"/>
        <v>32</v>
      </c>
      <c r="AN16" s="414">
        <f t="shared" si="10"/>
        <v>-8000</v>
      </c>
      <c r="AO16" s="369">
        <v>0</v>
      </c>
      <c r="AP16" s="414">
        <f t="shared" si="11"/>
        <v>0</v>
      </c>
      <c r="AQ16" s="408" t="e">
        <f t="shared" si="13"/>
        <v>#N/A</v>
      </c>
      <c r="AR16" s="408" t="e">
        <f t="shared" si="14"/>
        <v>#N/A</v>
      </c>
      <c r="AS16" s="414" t="e">
        <f t="shared" si="15"/>
        <v>#N/A</v>
      </c>
      <c r="AT16" s="414" t="e">
        <f t="shared" si="16"/>
        <v>#N/A</v>
      </c>
    </row>
    <row r="17" spans="1:46" s="369" customFormat="1" ht="27" customHeight="1">
      <c r="A17" s="380">
        <f t="shared" si="5"/>
        <v>12</v>
      </c>
      <c r="B17" s="381" t="s">
        <v>40</v>
      </c>
      <c r="C17" s="380">
        <f>Input!D12</f>
        <v>0</v>
      </c>
      <c r="D17" s="420">
        <f>'Civil-SOR'!$E$6</f>
        <v>47</v>
      </c>
      <c r="E17" s="384" t="str">
        <f>'Civil-SOR'!$F$6</f>
        <v>TBSC-A.II-11</v>
      </c>
      <c r="F17" s="399">
        <v>1000</v>
      </c>
      <c r="G17" s="399" t="s">
        <v>955</v>
      </c>
      <c r="H17" s="388">
        <f>Input!E12</f>
        <v>0</v>
      </c>
      <c r="I17" s="417">
        <f>F17*'Civil-SOR'!$G$6</f>
        <v>14000</v>
      </c>
      <c r="J17" s="388">
        <f>IF(H17=0,0,(ROUNDUP(((4.06/1.771)*((IF((H17&lt;=5),(VLOOKUP(H17,conveyance!$C$8:$I$14,7)),(IF((H17&lt;=30),((H17-conveyance!$C$12)*conveyance!$I$13+conveyance!$I$12),(IF((H17&lt;=10000),(conveyance!$I$12+(conveyance!$C$13-conveyance!$C$12)*conveyance!$I$13+(H17-conveyance!$C$13)*conveyance!$I$14),"CHECK"))))))-conveyance!I$8)/1.13615),2)))</f>
        <v>0</v>
      </c>
      <c r="K17" s="388"/>
      <c r="L17" s="423"/>
      <c r="M17" s="388"/>
      <c r="N17" s="387">
        <f t="shared" si="1"/>
        <v>14000</v>
      </c>
      <c r="O17" s="408"/>
      <c r="P17" s="408"/>
      <c r="Q17" s="408"/>
      <c r="R17" s="408"/>
      <c r="S17" s="408"/>
      <c r="T17" s="408"/>
      <c r="U17" s="408"/>
      <c r="V17" s="408"/>
      <c r="W17" s="408"/>
      <c r="X17" s="368">
        <f>Input!P12</f>
        <v>0</v>
      </c>
      <c r="Y17" s="422">
        <f>'Civil-SOR'!$E$6</f>
        <v>47</v>
      </c>
      <c r="Z17" s="410" t="e">
        <f t="shared" si="8"/>
        <v>#N/A</v>
      </c>
      <c r="AA17" s="409">
        <v>1000</v>
      </c>
      <c r="AB17" s="409" t="s">
        <v>955</v>
      </c>
      <c r="AC17" s="408">
        <f>Input!Q12</f>
        <v>0</v>
      </c>
      <c r="AD17" s="419">
        <f>AA17*'Civil-SOR'!$G$6</f>
        <v>14000</v>
      </c>
      <c r="AE17" s="408">
        <f>IF(AC17=0,0,(ROUNDUP(((4.06/1.771)*((IF((AC17&lt;=5),(VLOOKUP(AC17,conveyance!$C$8:$I$14,7)),(IF((AC17&lt;=30),((AC17-conveyance!$C$12)*conveyance!$I$13+conveyance!$I$12),(IF((AC17&lt;=10000),(conveyance!$I$12+(conveyance!$C$13-conveyance!$C$12)*conveyance!$I$13+(AC17-conveyance!$C$13)*conveyance!$I$14),"CHECK"))))))-conveyance!$I$8)/1.14),2)))</f>
        <v>0</v>
      </c>
      <c r="AF17" s="408">
        <f>conveyance!$H$20/1.14*(4.06/1.771)</f>
        <v>222.61285625130023</v>
      </c>
      <c r="AG17" s="408">
        <f>conveyance!$H$22/1.14*(4.06/1.771)</f>
        <v>222.61285625130023</v>
      </c>
      <c r="AH17" s="408">
        <f t="shared" si="12"/>
        <v>89.0451425005201</v>
      </c>
      <c r="AI17" s="408">
        <f t="shared" si="2"/>
        <v>14534.27</v>
      </c>
      <c r="AJ17" s="408">
        <f t="shared" si="3"/>
        <v>534.27000000000044</v>
      </c>
      <c r="AK17" s="369">
        <v>15</v>
      </c>
      <c r="AL17" s="369">
        <v>11000</v>
      </c>
      <c r="AM17" s="369">
        <f t="shared" si="9"/>
        <v>32</v>
      </c>
      <c r="AN17" s="414">
        <f t="shared" si="10"/>
        <v>-3000</v>
      </c>
      <c r="AO17" s="369">
        <v>0</v>
      </c>
      <c r="AP17" s="414">
        <f t="shared" si="11"/>
        <v>0</v>
      </c>
      <c r="AQ17" s="408" t="e">
        <f t="shared" si="13"/>
        <v>#N/A</v>
      </c>
      <c r="AR17" s="408" t="e">
        <f t="shared" si="14"/>
        <v>#N/A</v>
      </c>
      <c r="AS17" s="414" t="e">
        <f t="shared" si="15"/>
        <v>#N/A</v>
      </c>
      <c r="AT17" s="414" t="e">
        <f t="shared" si="16"/>
        <v>#N/A</v>
      </c>
    </row>
    <row r="18" spans="1:46" s="369" customFormat="1" ht="15" customHeight="1">
      <c r="A18" s="380">
        <f t="shared" si="5"/>
        <v>13</v>
      </c>
      <c r="B18" s="381" t="s">
        <v>564</v>
      </c>
      <c r="C18" s="424" t="str">
        <f>Input!D14</f>
        <v>Ibrahimnagar 115/6 on Rajeev Rahariv</v>
      </c>
      <c r="D18" s="384">
        <f>'Civil-SOR'!$E$320</f>
        <v>28</v>
      </c>
      <c r="E18" s="425" t="str">
        <f>'Civil-SOR'!$F$320</f>
        <v>S.No.25/33 f</v>
      </c>
      <c r="F18" s="385">
        <v>1</v>
      </c>
      <c r="G18" s="386" t="s">
        <v>484</v>
      </c>
      <c r="H18" s="388">
        <f>Input!$E$14</f>
        <v>28</v>
      </c>
      <c r="I18" s="417">
        <f>'Civil-SOR'!$G$320</f>
        <v>903</v>
      </c>
      <c r="J18" s="417">
        <f>IF(H18=0,0,(ROUNDUP((((IF((H18&lt;=5),(VLOOKUP(H18,conveyance!$C$8:$E$14,3)),(IF((H18&lt;=30),((H18-conveyance!$C$12)*conveyance!$E$13+conveyance!$E$12),(IF((H18&lt;=10000),(conveyance!$E$12+(conveyance!$C$13-conveyance!$C$12)*conveyance!$E$13+(H18-conveyance!$C$13)*conveyance!$E$14),"CHECK"))))))-conveyance!E$8)/1.13615),2)))</f>
        <v>407.96</v>
      </c>
      <c r="K18" s="388"/>
      <c r="L18" s="388"/>
      <c r="M18" s="388"/>
      <c r="N18" s="387">
        <f t="shared" si="1"/>
        <v>1310.96</v>
      </c>
      <c r="O18" s="408"/>
      <c r="P18" s="408"/>
      <c r="Q18" s="408"/>
      <c r="R18" s="408"/>
      <c r="S18" s="408"/>
      <c r="T18" s="408"/>
      <c r="U18" s="408"/>
      <c r="V18" s="408"/>
      <c r="W18" s="408"/>
      <c r="X18" s="368">
        <f>Input!P14</f>
        <v>0</v>
      </c>
      <c r="Y18" s="410">
        <f>'Civil-SOR'!$E$320</f>
        <v>28</v>
      </c>
      <c r="Z18" s="410" t="e">
        <f t="shared" si="8"/>
        <v>#N/A</v>
      </c>
      <c r="AA18" s="411">
        <v>1</v>
      </c>
      <c r="AB18" s="412" t="s">
        <v>484</v>
      </c>
      <c r="AC18" s="408">
        <f>Input!$E$14</f>
        <v>28</v>
      </c>
      <c r="AD18" s="419">
        <f>'Civil-SOR'!$G$320</f>
        <v>903</v>
      </c>
      <c r="AE18" s="419">
        <f>IF(AC18=0,0,(ROUNDUP((((IF((AC18&lt;=5),(VLOOKUP(AC18,conveyance!$C$8:$E$14,3)),(IF((AC18&lt;=30),((AC18-conveyance!$C$12)*conveyance!$E$13+conveyance!$E$12),(IF((AC18&lt;=10000),(conveyance!$E$12+(conveyance!$C$13-conveyance!$C$12)*conveyance!$E$13+(AC18-conveyance!$C$13)*conveyance!$E$14),"CHECK"))))))-conveyance!$E$8)/1.14),2)))</f>
        <v>406.58</v>
      </c>
      <c r="AF18" s="408"/>
      <c r="AG18" s="408"/>
      <c r="AH18" s="408"/>
      <c r="AI18" s="408">
        <f t="shared" si="2"/>
        <v>1309.58</v>
      </c>
      <c r="AJ18" s="408">
        <f t="shared" si="3"/>
        <v>-1.3800000000001091</v>
      </c>
      <c r="AK18" s="369">
        <v>273</v>
      </c>
      <c r="AL18" s="369">
        <v>845</v>
      </c>
      <c r="AM18" s="369">
        <f>IF(H18=0,0,(ROUNDUP((((IF((H18&lt;=5),(VLOOKUP(H18,conveyance!$C$8:$E$14,3)),(IF((H18&lt;=30),((H18-conveyance!$C$12)*conveyance!$E$13+conveyance!$E$12),(IF((H18&lt;=10000),(conveyance!$E$12+(conveyance!$C$13-conveyance!$C$12)*conveyance!$E$13+(H18-conveyance!$C$13)*conveyance!$E$14),"CHECK"))))))-conveyance!$E$8)/1.14),2)))</f>
        <v>406.58</v>
      </c>
      <c r="AN18" s="414">
        <f t="shared" si="10"/>
        <v>-58</v>
      </c>
      <c r="AO18" s="369">
        <v>783.95</v>
      </c>
      <c r="AP18" s="414">
        <f t="shared" si="11"/>
        <v>375.99000000000007</v>
      </c>
    </row>
    <row r="19" spans="1:46" s="369" customFormat="1" ht="18" customHeight="1">
      <c r="A19" s="380">
        <f t="shared" si="5"/>
        <v>14</v>
      </c>
      <c r="B19" s="381" t="s">
        <v>562</v>
      </c>
      <c r="C19" s="380" t="str">
        <f>Input!D15</f>
        <v>Ibrahimnagar 115/6 on Rajeev Rahariv</v>
      </c>
      <c r="D19" s="384">
        <f>'Civil-SOR'!$E$319</f>
        <v>28</v>
      </c>
      <c r="E19" s="425" t="str">
        <f>'Civil-SOR'!$F$319</f>
        <v>S.No.25/33 d</v>
      </c>
      <c r="F19" s="385">
        <v>1</v>
      </c>
      <c r="G19" s="386" t="s">
        <v>484</v>
      </c>
      <c r="H19" s="388">
        <f>Input!$E$15</f>
        <v>28</v>
      </c>
      <c r="I19" s="417">
        <f>'Civil-SOR'!$G$319</f>
        <v>1100</v>
      </c>
      <c r="J19" s="417">
        <f>IF(H19=0,0,(ROUNDUP((((IF((H19&lt;=5),(VLOOKUP(H19,conveyance!$C$8:$E$14,3)),(IF((H19&lt;=30),((H19-conveyance!$C$12)*conveyance!$E$13+conveyance!$E$12),(IF((H19&lt;=10000),(conveyance!$E$12+(conveyance!$C$13-conveyance!$C$12)*conveyance!$E$13+(H19-conveyance!$C$13)*conveyance!$E$14),"CHECK"))))))-conveyance!E$8)/1.13615),2)))</f>
        <v>407.96</v>
      </c>
      <c r="K19" s="388"/>
      <c r="L19" s="388"/>
      <c r="M19" s="388"/>
      <c r="N19" s="387">
        <f t="shared" si="1"/>
        <v>1507.96</v>
      </c>
      <c r="O19" s="408"/>
      <c r="P19" s="408"/>
      <c r="Q19" s="408"/>
      <c r="R19" s="408"/>
      <c r="S19" s="408"/>
      <c r="T19" s="408"/>
      <c r="U19" s="408"/>
      <c r="V19" s="408"/>
      <c r="W19" s="408"/>
      <c r="X19" s="368">
        <f>Input!P15</f>
        <v>0</v>
      </c>
      <c r="Y19" s="410">
        <f>'Civil-SOR'!$E$319</f>
        <v>28</v>
      </c>
      <c r="Z19" s="410" t="e">
        <f t="shared" si="8"/>
        <v>#N/A</v>
      </c>
      <c r="AA19" s="411">
        <v>1</v>
      </c>
      <c r="AB19" s="412" t="s">
        <v>484</v>
      </c>
      <c r="AC19" s="408">
        <f>Input!$E$15</f>
        <v>28</v>
      </c>
      <c r="AD19" s="419">
        <f>'Civil-SOR'!$G$319</f>
        <v>1100</v>
      </c>
      <c r="AE19" s="419">
        <f>IF(AC19=0,0,(ROUNDUP((((IF((AC19&lt;=5),(VLOOKUP(AC19,conveyance!$C$8:$E$14,3)),(IF((AC19&lt;=30),((AC19-conveyance!$C$12)*conveyance!$E$13+conveyance!$E$12),(IF((AC19&lt;=10000),(conveyance!$E$12+(conveyance!$C$13-conveyance!$C$12)*conveyance!$E$13+(AC19-conveyance!$C$13)*conveyance!$E$14),"CHECK"))))))-conveyance!$E$8)/1.14),2)))</f>
        <v>406.58</v>
      </c>
      <c r="AF19" s="408"/>
      <c r="AG19" s="408"/>
      <c r="AH19" s="408"/>
      <c r="AI19" s="408">
        <f t="shared" si="2"/>
        <v>1506.58</v>
      </c>
      <c r="AJ19" s="408">
        <f t="shared" si="3"/>
        <v>-1.3800000000001091</v>
      </c>
      <c r="AK19" s="369">
        <v>273</v>
      </c>
      <c r="AL19" s="369">
        <v>1365</v>
      </c>
      <c r="AM19" s="369">
        <f t="shared" ref="AM19:AM22" si="17">D19-AK19</f>
        <v>-245</v>
      </c>
      <c r="AN19" s="414">
        <f t="shared" si="10"/>
        <v>265</v>
      </c>
      <c r="AO19" s="369">
        <v>783.95</v>
      </c>
      <c r="AP19" s="414">
        <f t="shared" si="11"/>
        <v>375.99000000000007</v>
      </c>
    </row>
    <row r="20" spans="1:46" s="369" customFormat="1" ht="17.45" customHeight="1">
      <c r="A20" s="380">
        <f t="shared" si="5"/>
        <v>15</v>
      </c>
      <c r="B20" s="381" t="s">
        <v>560</v>
      </c>
      <c r="C20" s="380" t="str">
        <f>Input!D16</f>
        <v>Ibrahimnagar 115/6 on Rajeev Rahariv</v>
      </c>
      <c r="D20" s="384">
        <f>'Civil-SOR'!$E$318</f>
        <v>28</v>
      </c>
      <c r="E20" s="425" t="str">
        <f>'Civil-SOR'!$F$318</f>
        <v>S.No.25/33 c</v>
      </c>
      <c r="F20" s="385">
        <v>1</v>
      </c>
      <c r="G20" s="386" t="s">
        <v>484</v>
      </c>
      <c r="H20" s="388">
        <f>Input!$E$16</f>
        <v>28</v>
      </c>
      <c r="I20" s="417">
        <f>'Civil-SOR'!$G$318</f>
        <v>1050</v>
      </c>
      <c r="J20" s="417">
        <f>IF(H20=0,0,(ROUNDUP((((IF((H20&lt;=5),(VLOOKUP(H20,conveyance!$C$8:$E$14,3)),(IF((H20&lt;=30),((H20-conveyance!$C$12)*conveyance!$E$13+conveyance!$E$12),(IF((H20&lt;=10000),(conveyance!$E$12+(conveyance!$C$13-conveyance!$C$12)*conveyance!$E$13+(H20-conveyance!$C$13)*conveyance!$E$14),"CHECK"))))))-conveyance!E$8)/1.13615),2)))</f>
        <v>407.96</v>
      </c>
      <c r="K20" s="388"/>
      <c r="L20" s="388"/>
      <c r="M20" s="388"/>
      <c r="N20" s="387">
        <f t="shared" si="1"/>
        <v>1457.96</v>
      </c>
      <c r="O20" s="408"/>
      <c r="P20" s="408"/>
      <c r="Q20" s="408"/>
      <c r="R20" s="408"/>
      <c r="S20" s="408"/>
      <c r="T20" s="408"/>
      <c r="U20" s="408"/>
      <c r="V20" s="408"/>
      <c r="W20" s="408"/>
      <c r="X20" s="368">
        <f>Input!P16</f>
        <v>0</v>
      </c>
      <c r="Y20" s="410">
        <f>'Civil-SOR'!$E$318</f>
        <v>28</v>
      </c>
      <c r="Z20" s="410" t="e">
        <f t="shared" si="8"/>
        <v>#N/A</v>
      </c>
      <c r="AA20" s="411">
        <v>1</v>
      </c>
      <c r="AB20" s="412" t="s">
        <v>484</v>
      </c>
      <c r="AC20" s="408">
        <f>Input!$E$16</f>
        <v>28</v>
      </c>
      <c r="AD20" s="419">
        <f>'Civil-SOR'!$G$318</f>
        <v>1050</v>
      </c>
      <c r="AE20" s="419">
        <f>IF(AC20=0,0,(ROUNDUP((((IF((AC20&lt;=5),(VLOOKUP(AC20,conveyance!$C$8:$E$14,3)),(IF((AC20&lt;=30),((AC20-conveyance!$C$12)*conveyance!$E$13+conveyance!$E$12),(IF((AC20&lt;=10000),(conveyance!$E$12+(conveyance!$C$13-conveyance!$C$12)*conveyance!$E$13+(AC20-conveyance!$C$13)*conveyance!$E$14),"CHECK"))))))-conveyance!$E$8)/1.14),2)))</f>
        <v>406.58</v>
      </c>
      <c r="AF20" s="408"/>
      <c r="AG20" s="408"/>
      <c r="AH20" s="408"/>
      <c r="AI20" s="408">
        <f t="shared" si="2"/>
        <v>1456.58</v>
      </c>
      <c r="AJ20" s="408">
        <f t="shared" si="3"/>
        <v>-1.3800000000001091</v>
      </c>
      <c r="AK20" s="369">
        <v>273</v>
      </c>
      <c r="AL20" s="369">
        <v>1097</v>
      </c>
      <c r="AM20" s="369">
        <f t="shared" si="17"/>
        <v>-245</v>
      </c>
      <c r="AN20" s="414">
        <f t="shared" si="10"/>
        <v>47</v>
      </c>
      <c r="AO20" s="369">
        <v>783.95</v>
      </c>
      <c r="AP20" s="414">
        <f t="shared" si="11"/>
        <v>375.99000000000007</v>
      </c>
    </row>
    <row r="21" spans="1:46" s="369" customFormat="1" ht="17.25" customHeight="1">
      <c r="A21" s="380">
        <f t="shared" si="5"/>
        <v>16</v>
      </c>
      <c r="B21" s="381" t="s">
        <v>558</v>
      </c>
      <c r="C21" s="380" t="str">
        <f>Input!D17</f>
        <v>Ibrahimnagar 115/6 on Rajeev Rahariv</v>
      </c>
      <c r="D21" s="384">
        <f>'Civil-SOR'!$E$317</f>
        <v>28</v>
      </c>
      <c r="E21" s="425" t="str">
        <f>'Civil-SOR'!$F$317</f>
        <v>S.No.25/33 b</v>
      </c>
      <c r="F21" s="385">
        <v>1</v>
      </c>
      <c r="G21" s="386" t="s">
        <v>484</v>
      </c>
      <c r="H21" s="388">
        <f>Input!$E$17</f>
        <v>28</v>
      </c>
      <c r="I21" s="417">
        <f>'Civil-SOR'!$G$317</f>
        <v>950</v>
      </c>
      <c r="J21" s="417">
        <f>IF(H21=0,0,(ROUNDUP((((IF((H21&lt;=5),(VLOOKUP(H21,conveyance!$C$8:$E$14,3)),(IF((H21&lt;=30),((H21-conveyance!$C$12)*conveyance!$E$13+conveyance!$E$12),(IF((H21&lt;=10000),(conveyance!$E$12+(conveyance!$C$13-conveyance!$C$12)*conveyance!$E$13+(H21-conveyance!$C$13)*conveyance!$E$14),"CHECK"))))))-conveyance!E$8)/1.13615),2)))</f>
        <v>407.96</v>
      </c>
      <c r="K21" s="388"/>
      <c r="L21" s="388"/>
      <c r="M21" s="388"/>
      <c r="N21" s="387">
        <f t="shared" si="1"/>
        <v>1357.96</v>
      </c>
      <c r="O21" s="408"/>
      <c r="P21" s="408"/>
      <c r="Q21" s="408"/>
      <c r="R21" s="408"/>
      <c r="S21" s="408"/>
      <c r="T21" s="408"/>
      <c r="U21" s="408"/>
      <c r="V21" s="408"/>
      <c r="W21" s="408"/>
      <c r="X21" s="368">
        <f>Input!P17</f>
        <v>0</v>
      </c>
      <c r="Y21" s="410">
        <f>'Civil-SOR'!$E$317</f>
        <v>28</v>
      </c>
      <c r="Z21" s="410" t="e">
        <f t="shared" si="8"/>
        <v>#N/A</v>
      </c>
      <c r="AA21" s="411">
        <v>1</v>
      </c>
      <c r="AB21" s="412" t="s">
        <v>484</v>
      </c>
      <c r="AC21" s="408">
        <f>Input!$E$17</f>
        <v>28</v>
      </c>
      <c r="AD21" s="419">
        <f>'Civil-SOR'!$G$317</f>
        <v>950</v>
      </c>
      <c r="AE21" s="419">
        <f>IF(AC21=0,0,(ROUNDUP((((IF((AC21&lt;=5),(VLOOKUP(AC21,conveyance!$C$8:$E$14,3)),(IF((AC21&lt;=30),((AC21-conveyance!$C$12)*conveyance!$E$13+conveyance!$E$12),(IF((AC21&lt;=10000),(conveyance!$E$12+(conveyance!$C$13-conveyance!$C$12)*conveyance!$E$13+(AC21-conveyance!$C$13)*conveyance!$E$14),"CHECK"))))))-conveyance!$E$8)/1.14),2)))</f>
        <v>406.58</v>
      </c>
      <c r="AF21" s="408"/>
      <c r="AG21" s="408"/>
      <c r="AH21" s="408"/>
      <c r="AI21" s="408">
        <f t="shared" si="2"/>
        <v>1356.58</v>
      </c>
      <c r="AJ21" s="408">
        <f t="shared" si="3"/>
        <v>-1.3800000000001091</v>
      </c>
      <c r="AK21" s="369">
        <v>272</v>
      </c>
      <c r="AL21" s="369">
        <v>935</v>
      </c>
      <c r="AM21" s="369">
        <f t="shared" si="17"/>
        <v>-244</v>
      </c>
      <c r="AN21" s="414">
        <f t="shared" si="10"/>
        <v>-15</v>
      </c>
      <c r="AO21" s="369">
        <v>783.95</v>
      </c>
      <c r="AP21" s="414">
        <f t="shared" si="11"/>
        <v>375.99000000000007</v>
      </c>
    </row>
    <row r="22" spans="1:46" s="369" customFormat="1" ht="17.25" customHeight="1">
      <c r="A22" s="380">
        <f t="shared" si="5"/>
        <v>17</v>
      </c>
      <c r="B22" s="381" t="s">
        <v>556</v>
      </c>
      <c r="C22" s="380" t="str">
        <f>Input!D18</f>
        <v>Ibrahimnagar 115/6 on Rajeev Rahariv</v>
      </c>
      <c r="D22" s="384">
        <f>'Civil-SOR'!$E$316</f>
        <v>28</v>
      </c>
      <c r="E22" s="425" t="str">
        <f>'Civil-SOR'!$F$316</f>
        <v>S.No.25/33 a</v>
      </c>
      <c r="F22" s="385">
        <v>1</v>
      </c>
      <c r="G22" s="386" t="s">
        <v>484</v>
      </c>
      <c r="H22" s="388">
        <f>Input!$E$18</f>
        <v>28</v>
      </c>
      <c r="I22" s="417">
        <f>'Civil-SOR'!$G$316</f>
        <v>800</v>
      </c>
      <c r="J22" s="417">
        <f>IF(H22=0,0,(ROUNDUP((((IF((H22&lt;=5),(VLOOKUP(H22,conveyance!$C$8:$E$14,3)),(IF((H22&lt;=30),((H22-conveyance!$C$12)*conveyance!$E$13+conveyance!$E$12),(IF((H22&lt;=10000),(conveyance!$E$12+(conveyance!$C$13-conveyance!$C$12)*conveyance!$E$13+(H22-conveyance!$C$13)*conveyance!$E$14),"CHECK"))))))-conveyance!E$8)/1.13615),2)))</f>
        <v>407.96</v>
      </c>
      <c r="K22" s="388"/>
      <c r="L22" s="388"/>
      <c r="M22" s="388"/>
      <c r="N22" s="387">
        <f t="shared" si="1"/>
        <v>1207.96</v>
      </c>
      <c r="O22" s="426"/>
      <c r="P22" s="408"/>
      <c r="Q22" s="408"/>
      <c r="R22" s="408"/>
      <c r="S22" s="408"/>
      <c r="T22" s="408"/>
      <c r="U22" s="408"/>
      <c r="V22" s="408"/>
      <c r="W22" s="408"/>
      <c r="X22" s="368">
        <f>Input!P18</f>
        <v>0</v>
      </c>
      <c r="Y22" s="410">
        <f>'Civil-SOR'!$E$316</f>
        <v>28</v>
      </c>
      <c r="Z22" s="410" t="e">
        <f t="shared" si="8"/>
        <v>#N/A</v>
      </c>
      <c r="AA22" s="411">
        <v>1</v>
      </c>
      <c r="AB22" s="412" t="s">
        <v>484</v>
      </c>
      <c r="AC22" s="408">
        <f>Input!$E$18</f>
        <v>28</v>
      </c>
      <c r="AD22" s="419">
        <f>'Civil-SOR'!$G$316</f>
        <v>800</v>
      </c>
      <c r="AE22" s="419">
        <f>IF(AC22=0,0,(ROUNDUP((((IF((AC22&lt;=5),(VLOOKUP(AC22,conveyance!$C$8:$E$14,3)),(IF((AC22&lt;=30),((AC22-conveyance!$C$12)*conveyance!$E$13+conveyance!$E$12),(IF((AC22&lt;=10000),(conveyance!$E$12+(conveyance!$C$13-conveyance!$C$12)*conveyance!$E$13+(AC22-conveyance!$C$13)*conveyance!$E$14),"CHECK"))))))-conveyance!$E$8)/1.14),2)))</f>
        <v>406.58</v>
      </c>
      <c r="AF22" s="408"/>
      <c r="AG22" s="408"/>
      <c r="AH22" s="408"/>
      <c r="AI22" s="408">
        <f t="shared" si="2"/>
        <v>1206.58</v>
      </c>
      <c r="AJ22" s="408">
        <f t="shared" si="3"/>
        <v>-1.3800000000001091</v>
      </c>
      <c r="AK22" s="369">
        <v>272</v>
      </c>
      <c r="AL22" s="369">
        <v>735</v>
      </c>
      <c r="AM22" s="369">
        <f t="shared" si="17"/>
        <v>-244</v>
      </c>
      <c r="AN22" s="414">
        <f t="shared" si="10"/>
        <v>-65</v>
      </c>
      <c r="AO22" s="369">
        <v>783.95</v>
      </c>
      <c r="AP22" s="414">
        <f t="shared" si="11"/>
        <v>375.99000000000007</v>
      </c>
    </row>
    <row r="23" spans="1:46" s="369" customFormat="1" ht="39.75" customHeight="1">
      <c r="A23" s="380">
        <f t="shared" si="5"/>
        <v>18</v>
      </c>
      <c r="B23" s="381" t="s">
        <v>602</v>
      </c>
      <c r="C23" s="380" t="str">
        <f>Input!D19</f>
        <v>Ibrahimnagar 115/6 on Rajeev Rahariv</v>
      </c>
      <c r="D23" s="427" t="s">
        <v>956</v>
      </c>
      <c r="E23" s="384" t="str">
        <f>'Civil-SOR'!$F$346</f>
        <v>1 (22.a)</v>
      </c>
      <c r="F23" s="385">
        <v>1</v>
      </c>
      <c r="G23" s="386" t="s">
        <v>484</v>
      </c>
      <c r="H23" s="388">
        <f>Input!$E$20</f>
        <v>28</v>
      </c>
      <c r="I23" s="388">
        <f>'Civil-SOR'!$G$346</f>
        <v>167</v>
      </c>
      <c r="J23" s="417">
        <f>IF(H23=0,0,(ROUNDUP((((IF((H23&lt;=5),(VLOOKUP(H23,conveyance!$C$8:$E$14,3)),(IF((H23&lt;=30),((H23-conveyance!$C$12)*conveyance!$E$13+conveyance!$E$12),(IF((H23&lt;=10000),(conveyance!$E$12+(conveyance!$C$13-conveyance!$C$12)*conveyance!$E$13+(H23-conveyance!$C$13)*conveyance!$E$14),"CHECK"))))))-conveyance!E$8)/1.13615),2)))</f>
        <v>407.96</v>
      </c>
      <c r="K23" s="388"/>
      <c r="L23" s="388"/>
      <c r="M23" s="388"/>
      <c r="N23" s="387">
        <f t="shared" si="1"/>
        <v>574.96</v>
      </c>
      <c r="O23" s="408"/>
      <c r="P23" s="408"/>
      <c r="Q23" s="408"/>
      <c r="R23" s="408"/>
      <c r="S23" s="408"/>
      <c r="T23" s="408"/>
      <c r="U23" s="408"/>
      <c r="V23" s="408"/>
      <c r="W23" s="408"/>
      <c r="X23" s="368">
        <f>Input!P19</f>
        <v>0</v>
      </c>
      <c r="Y23" s="418" t="s">
        <v>956</v>
      </c>
      <c r="Z23" s="410" t="e">
        <f t="shared" si="8"/>
        <v>#N/A</v>
      </c>
      <c r="AA23" s="411">
        <v>1</v>
      </c>
      <c r="AB23" s="412" t="s">
        <v>484</v>
      </c>
      <c r="AC23" s="408">
        <f>Input!$E$20</f>
        <v>28</v>
      </c>
      <c r="AD23" s="408">
        <f>'Civil-SOR'!$G$346</f>
        <v>167</v>
      </c>
      <c r="AE23" s="419">
        <f>IF(AC23=0,0,(ROUNDUP((((IF((AC23&lt;=5),(VLOOKUP(AC23,conveyance!$C$8:$E$14,3)),(IF((AC23&lt;=30),((AC23-conveyance!$C$12)*conveyance!$E$13+conveyance!$E$12),(IF((AC23&lt;=10000),(conveyance!$E$12+(conveyance!$C$13-conveyance!$C$12)*conveyance!$E$13+(AC23-conveyance!$C$13)*conveyance!$E$14),"CHECK"))))))-conveyance!$E$8)/1.14),2)))</f>
        <v>406.58</v>
      </c>
      <c r="AF23" s="408"/>
      <c r="AG23" s="408"/>
      <c r="AH23" s="408"/>
      <c r="AI23" s="408">
        <f t="shared" si="2"/>
        <v>573.58000000000004</v>
      </c>
      <c r="AJ23" s="408">
        <f t="shared" si="3"/>
        <v>-1.3799999999999955</v>
      </c>
      <c r="AL23" s="369">
        <v>160</v>
      </c>
      <c r="AN23" s="414">
        <f t="shared" si="10"/>
        <v>-7</v>
      </c>
      <c r="AO23" s="369">
        <v>710.27</v>
      </c>
      <c r="AP23" s="414">
        <f t="shared" si="11"/>
        <v>302.31</v>
      </c>
    </row>
    <row r="24" spans="1:46" s="369" customFormat="1" ht="39.75" customHeight="1">
      <c r="A24" s="380">
        <f t="shared" si="5"/>
        <v>19</v>
      </c>
      <c r="B24" s="381" t="s">
        <v>605</v>
      </c>
      <c r="C24" s="380" t="str">
        <f>Input!D20</f>
        <v>Ibrahimnagar 115/6 on Rajeev Rahariv</v>
      </c>
      <c r="D24" s="427" t="s">
        <v>957</v>
      </c>
      <c r="E24" s="384" t="str">
        <f>'Civil-SOR'!$F$347</f>
        <v>12 (g)</v>
      </c>
      <c r="F24" s="385">
        <v>1</v>
      </c>
      <c r="G24" s="386" t="s">
        <v>484</v>
      </c>
      <c r="H24" s="388">
        <f>Input!$E$20</f>
        <v>28</v>
      </c>
      <c r="I24" s="388">
        <f>'Civil-SOR'!$G$347</f>
        <v>353</v>
      </c>
      <c r="J24" s="417">
        <f>IF(H24=0,0,(ROUNDUP((((IF((H24&lt;=5),(VLOOKUP(H24,conveyance!$C$8:$E$14,3)),(IF((H24&lt;=30),((H24-conveyance!$C$12)*conveyance!$E$13+conveyance!$E$12),(IF((H24&lt;=10000),(conveyance!$E$12+(conveyance!$C$13-conveyance!$C$12)*conveyance!$E$13+(H24-conveyance!$C$13)*conveyance!$E$14),"CHECK"))))))-conveyance!E$8)/1.13615),2)))</f>
        <v>407.96</v>
      </c>
      <c r="K24" s="388"/>
      <c r="L24" s="388"/>
      <c r="M24" s="388"/>
      <c r="N24" s="387">
        <f t="shared" si="1"/>
        <v>760.96</v>
      </c>
      <c r="O24" s="408"/>
      <c r="P24" s="408"/>
      <c r="Q24" s="408"/>
      <c r="R24" s="408"/>
      <c r="S24" s="408"/>
      <c r="T24" s="408"/>
      <c r="U24" s="408"/>
      <c r="V24" s="408"/>
      <c r="W24" s="408"/>
      <c r="X24" s="368">
        <f>Input!P20</f>
        <v>0</v>
      </c>
      <c r="Y24" s="418" t="s">
        <v>957</v>
      </c>
      <c r="Z24" s="410" t="e">
        <f t="shared" si="8"/>
        <v>#N/A</v>
      </c>
      <c r="AA24" s="411">
        <v>1</v>
      </c>
      <c r="AB24" s="412" t="s">
        <v>484</v>
      </c>
      <c r="AC24" s="408">
        <f>Input!$E$20</f>
        <v>28</v>
      </c>
      <c r="AD24" s="408">
        <f>'Civil-SOR'!$G$347</f>
        <v>353</v>
      </c>
      <c r="AE24" s="419">
        <f>IF(AC24=0,0,(ROUNDUP((((IF((AC24&lt;=5),(VLOOKUP(AC24,conveyance!$C$8:$E$14,3)),(IF((AC24&lt;=30),((AC24-conveyance!$C$12)*conveyance!$E$13+conveyance!$E$12),(IF((AC24&lt;=10000),(conveyance!$E$12+(conveyance!$C$13-conveyance!$C$12)*conveyance!$E$13+(AC24-conveyance!$C$13)*conveyance!$E$14),"CHECK"))))))-conveyance!$E$8)/1.14),2)))</f>
        <v>406.58</v>
      </c>
      <c r="AF24" s="408"/>
      <c r="AG24" s="408"/>
      <c r="AH24" s="408"/>
      <c r="AI24" s="408">
        <f t="shared" si="2"/>
        <v>759.58</v>
      </c>
      <c r="AJ24" s="408">
        <f t="shared" si="3"/>
        <v>-1.3799999999999955</v>
      </c>
      <c r="AL24" s="369">
        <v>252</v>
      </c>
      <c r="AN24" s="414">
        <f t="shared" si="10"/>
        <v>-101</v>
      </c>
      <c r="AO24" s="369">
        <v>710.27</v>
      </c>
      <c r="AP24" s="414">
        <f t="shared" si="11"/>
        <v>302.31</v>
      </c>
    </row>
    <row r="25" spans="1:46" s="369" customFormat="1" ht="16.5" customHeight="1">
      <c r="A25" s="380">
        <f t="shared" si="5"/>
        <v>20</v>
      </c>
      <c r="B25" s="398" t="s">
        <v>553</v>
      </c>
      <c r="C25" s="380" t="str">
        <f>Input!D21</f>
        <v>Local</v>
      </c>
      <c r="D25" s="384">
        <f>'Civil-SOR'!$E$315</f>
        <v>31</v>
      </c>
      <c r="E25" s="428" t="str">
        <f>'Civil-SOR'!$F$315</f>
        <v>S.No.89/34</v>
      </c>
      <c r="F25" s="385">
        <v>1</v>
      </c>
      <c r="G25" s="386" t="s">
        <v>484</v>
      </c>
      <c r="H25" s="388">
        <f>Input!$E$21</f>
        <v>8</v>
      </c>
      <c r="I25" s="417">
        <f>'Civil-SOR'!$G$315</f>
        <v>108</v>
      </c>
      <c r="J25" s="388">
        <f>IF(H25=0,0,(ROUNDUP((((IF((H25&lt;=5),(VLOOKUP(H25,conveyance!$C$8:$D$12,2)),(IF((H25&lt;=30),((H25-conveyance!$C$12)*conveyance!$D$13+conveyance!$D$12),(IF((H25&lt;=10000),(conveyance!$D$12+(conveyance!$C$13-conveyance!$C$12)*conveyance!$D$13+(H25-conveyance!$C$13)*conveyance!$D$14),"CHECK"))))))-conveyance!D8)/1.13615),2)))</f>
        <v>107.39</v>
      </c>
      <c r="K25" s="388"/>
      <c r="L25" s="388"/>
      <c r="M25" s="388"/>
      <c r="N25" s="387">
        <f t="shared" si="1"/>
        <v>215.39</v>
      </c>
      <c r="O25" s="408"/>
      <c r="P25" s="408"/>
      <c r="Q25" s="408"/>
      <c r="R25" s="408"/>
      <c r="S25" s="408"/>
      <c r="T25" s="408"/>
      <c r="U25" s="408"/>
      <c r="V25" s="408"/>
      <c r="W25" s="408"/>
      <c r="X25" s="368">
        <f>Input!P21</f>
        <v>0</v>
      </c>
      <c r="Y25" s="410">
        <f>'Civil-SOR'!$E$315</f>
        <v>31</v>
      </c>
      <c r="Z25" s="410" t="e">
        <f t="shared" si="8"/>
        <v>#N/A</v>
      </c>
      <c r="AA25" s="411">
        <v>1</v>
      </c>
      <c r="AB25" s="412" t="s">
        <v>484</v>
      </c>
      <c r="AC25" s="408">
        <f>Input!$E$21</f>
        <v>8</v>
      </c>
      <c r="AD25" s="419">
        <f>'Civil-SOR'!$G$315</f>
        <v>108</v>
      </c>
      <c r="AE25" s="408">
        <f>IF(AC25=0,0,(ROUNDUP((((IF((AC25&lt;=5),(VLOOKUP(AC25,conveyance!$C$8:$D$12,2)),(IF((AC25&lt;=30),((AC25-conveyance!$C$12)*conveyance!$D$13+conveyance!$D$12),(IF((AC25&lt;=10000),(conveyance!$D$12+(conveyance!$C$13-conveyance!$C$12)*conveyance!$D$13+(AC25-conveyance!$C$13)*conveyance!$D$14),"CHECK"))))))-conveyance!$D$8)/1.14),2)))</f>
        <v>107.02000000000001</v>
      </c>
      <c r="AF25" s="408"/>
      <c r="AG25" s="408"/>
      <c r="AH25" s="408"/>
      <c r="AI25" s="408">
        <f t="shared" si="2"/>
        <v>215.02</v>
      </c>
      <c r="AJ25" s="408">
        <f t="shared" si="3"/>
        <v>-0.36999999999997613</v>
      </c>
      <c r="AK25" s="369">
        <v>270</v>
      </c>
      <c r="AL25" s="369">
        <v>103</v>
      </c>
      <c r="AM25" s="369">
        <f t="shared" ref="AM25:AM29" si="18">D25-AK25</f>
        <v>-239</v>
      </c>
      <c r="AN25" s="414">
        <f t="shared" si="10"/>
        <v>-5</v>
      </c>
      <c r="AO25" s="369">
        <v>167.72</v>
      </c>
      <c r="AP25" s="414">
        <f t="shared" si="11"/>
        <v>60.33</v>
      </c>
    </row>
    <row r="26" spans="1:46" s="369" customFormat="1" ht="28.5" customHeight="1">
      <c r="A26" s="380">
        <f t="shared" si="5"/>
        <v>21</v>
      </c>
      <c r="B26" s="381" t="s">
        <v>44</v>
      </c>
      <c r="C26" s="380">
        <f>Input!D22</f>
        <v>0</v>
      </c>
      <c r="D26" s="420">
        <f>'Civil-SOR'!$E$9</f>
        <v>48</v>
      </c>
      <c r="E26" s="384" t="str">
        <f>'Civil-SOR'!$F$9</f>
        <v>TBSC-B.I-03</v>
      </c>
      <c r="F26" s="385">
        <v>10</v>
      </c>
      <c r="G26" s="386" t="s">
        <v>46</v>
      </c>
      <c r="H26" s="388">
        <f>Input!$E$22</f>
        <v>0</v>
      </c>
      <c r="I26" s="388">
        <f>'Civil-SOR'!$G$9</f>
        <v>2700</v>
      </c>
      <c r="J26" s="388">
        <f>IF(H26=0,0,(ROUNDUP((0.165*(((IF((H26&lt;=5),(VLOOKUP(H26,conveyance!$C$8:$G$12,3)),(IF((H26&lt;=30),((H26-conveyance!$C$12)*conveyance!$G$13+conveyance!$G$12),(IF((H26&lt;=10000),(conveyance!$G$12+(conveyance!$C$13-conveyance!$C$12)*conveyance!$G$13+(H26-conveyance!$C$13)*conveyance!$G$14),"CHECK"))))))-conveyance!G$8)/1.13615)),2)))</f>
        <v>0</v>
      </c>
      <c r="K26" s="388"/>
      <c r="L26" s="387">
        <f>(0.165*conveyance!$E$22/1.13615)</f>
        <v>4.0663644765215858</v>
      </c>
      <c r="M26" s="387">
        <f t="shared" ref="M26:M27" si="19">L26*$M$4</f>
        <v>1.6265457906086345</v>
      </c>
      <c r="N26" s="387">
        <f t="shared" si="1"/>
        <v>2705.69</v>
      </c>
      <c r="O26" s="408"/>
      <c r="P26" s="408"/>
      <c r="Q26" s="408"/>
      <c r="R26" s="408"/>
      <c r="S26" s="408"/>
      <c r="T26" s="408"/>
      <c r="U26" s="408"/>
      <c r="V26" s="408"/>
      <c r="W26" s="408"/>
      <c r="X26" s="368">
        <f>Input!P22</f>
        <v>0</v>
      </c>
      <c r="Y26" s="422">
        <f>'Civil-SOR'!$E$9</f>
        <v>48</v>
      </c>
      <c r="Z26" s="410" t="e">
        <f t="shared" si="8"/>
        <v>#N/A</v>
      </c>
      <c r="AA26" s="411">
        <v>10</v>
      </c>
      <c r="AB26" s="412" t="s">
        <v>46</v>
      </c>
      <c r="AC26" s="408">
        <f>Input!$E$22</f>
        <v>0</v>
      </c>
      <c r="AD26" s="408">
        <f>'Civil-SOR'!$G$9</f>
        <v>2700</v>
      </c>
      <c r="AE26" s="408">
        <f>IF(AC26=0,0,(ROUNDUP((0.165*(((IF((AC26&lt;=5),(VLOOKUP(AC26,conveyance!$C$8:$G$12,3)),(IF((AC26&lt;=30),((AC26-conveyance!$C$12)*conveyance!$G$13+conveyance!$G$12),(IF((AC26&lt;=10000),(conveyance!$G$12+(conveyance!$C$13-conveyance!$C$12)*conveyance!$G$13+(AC26-conveyance!$C$13)*conveyance!$G$14),"CHECK"))))))-conveyance!$G$8)/1.14)),2)))</f>
        <v>0</v>
      </c>
      <c r="AF26" s="408">
        <f>(0.165*conveyance!$E$20/1.14)</f>
        <v>8.1052631578947381</v>
      </c>
      <c r="AG26" s="408">
        <f>(0.165*conveyance!$E$22/1.14)</f>
        <v>4.052631578947369</v>
      </c>
      <c r="AH26" s="408">
        <f t="shared" ref="AH26:AH27" si="20">AG26*$M$4</f>
        <v>1.6210526315789477</v>
      </c>
      <c r="AI26" s="408">
        <f t="shared" si="2"/>
        <v>2713.78</v>
      </c>
      <c r="AJ26" s="408">
        <f t="shared" si="3"/>
        <v>8.0900000000001455</v>
      </c>
      <c r="AK26" s="414">
        <v>16</v>
      </c>
      <c r="AL26" s="414">
        <v>1654</v>
      </c>
      <c r="AM26" s="369">
        <f t="shared" si="18"/>
        <v>32</v>
      </c>
      <c r="AN26" s="414">
        <f t="shared" si="10"/>
        <v>-1046</v>
      </c>
      <c r="AO26" s="369">
        <v>24.83</v>
      </c>
      <c r="AP26" s="414">
        <f t="shared" si="11"/>
        <v>24.83</v>
      </c>
      <c r="AQ26" s="369">
        <v>4.6315789473684204</v>
      </c>
      <c r="AR26" s="369">
        <v>2.3157894736842102</v>
      </c>
      <c r="AS26" s="414">
        <f t="shared" ref="AS26:AS27" si="21">AQ26-K26</f>
        <v>4.6315789473684204</v>
      </c>
      <c r="AT26" s="414">
        <f t="shared" ref="AT26:AT27" si="22">AR26-L26</f>
        <v>-1.7505750028373757</v>
      </c>
    </row>
    <row r="27" spans="1:46" s="369" customFormat="1" ht="18" customHeight="1">
      <c r="A27" s="380">
        <f t="shared" si="5"/>
        <v>22</v>
      </c>
      <c r="B27" s="381" t="s">
        <v>958</v>
      </c>
      <c r="C27" s="380">
        <f>Input!D23</f>
        <v>0</v>
      </c>
      <c r="D27" s="420">
        <f>'Civil-SOR'!$E$10</f>
        <v>48</v>
      </c>
      <c r="E27" s="384" t="str">
        <f>'Civil-SOR'!$F$10</f>
        <v>TBSC-B.I-06</v>
      </c>
      <c r="F27" s="385">
        <v>10</v>
      </c>
      <c r="G27" s="386" t="s">
        <v>46</v>
      </c>
      <c r="H27" s="388">
        <f>Input!$E$23</f>
        <v>0</v>
      </c>
      <c r="I27" s="388">
        <f>'Civil-SOR'!$G$10</f>
        <v>1540</v>
      </c>
      <c r="J27" s="388">
        <f>IF(H27=0,0,(ROUNDUP((0.165*(((IF((H27&lt;=5),(VLOOKUP(H27,conveyance!$C$8:$G$12,3)),(IF((H27&lt;=30),((H27-conveyance!$C$12)*conveyance!$G$13+conveyance!$G$12),(IF((H27&lt;=10000),(conveyance!$G$12+(conveyance!$C$13-conveyance!$C$12)*conveyance!$G$13+(H27-conveyance!$C$13)*conveyance!$G$14),"CHECK"))))))-conveyance!G8)/1.13615)),2)))</f>
        <v>0</v>
      </c>
      <c r="K27" s="388"/>
      <c r="L27" s="387">
        <f>(0.165*conveyance!$E$22/1.13615)</f>
        <v>4.0663644765215858</v>
      </c>
      <c r="M27" s="387">
        <f t="shared" si="19"/>
        <v>1.6265457906086345</v>
      </c>
      <c r="N27" s="387">
        <f t="shared" si="1"/>
        <v>1545.69</v>
      </c>
      <c r="O27" s="408"/>
      <c r="P27" s="408"/>
      <c r="Q27" s="408"/>
      <c r="R27" s="408"/>
      <c r="S27" s="408"/>
      <c r="T27" s="408"/>
      <c r="U27" s="408"/>
      <c r="V27" s="408"/>
      <c r="W27" s="408"/>
      <c r="X27" s="368">
        <f>Input!P23</f>
        <v>0</v>
      </c>
      <c r="Y27" s="422">
        <f>'Civil-SOR'!$E$10</f>
        <v>48</v>
      </c>
      <c r="Z27" s="410" t="e">
        <f t="shared" si="8"/>
        <v>#N/A</v>
      </c>
      <c r="AA27" s="411">
        <v>10</v>
      </c>
      <c r="AB27" s="412" t="s">
        <v>46</v>
      </c>
      <c r="AC27" s="408">
        <f>Input!$E$23</f>
        <v>0</v>
      </c>
      <c r="AD27" s="408">
        <f>'Civil-SOR'!$G$10</f>
        <v>1540</v>
      </c>
      <c r="AE27" s="408">
        <f>IF(AC27=0,0,(ROUNDUP((0.15*(((IF((AC27&lt;=5),(VLOOKUP(AC27,conveyance!$C$8:$G$12,3)),(IF((AC27&lt;=30),((AC27-conveyance!$C$12)*conveyance!$G$13+conveyance!$G$12),(IF((AC27&lt;=10000),(conveyance!$G$12+(conveyance!$C$13-conveyance!$C$12)*conveyance!$G$13+(AC27-conveyance!$C$13)*conveyance!$G$14),"CHECK"))))))-conveyance!$G$8)/1.14)),2)))</f>
        <v>0</v>
      </c>
      <c r="AF27" s="408">
        <f>(0.15*conveyance!$E$20/1.14)</f>
        <v>7.3684210526315796</v>
      </c>
      <c r="AG27" s="408">
        <f>(0.15*conveyance!$E$22/1.14)</f>
        <v>3.6842105263157898</v>
      </c>
      <c r="AH27" s="408">
        <f t="shared" si="20"/>
        <v>1.4736842105263159</v>
      </c>
      <c r="AI27" s="408">
        <f t="shared" si="2"/>
        <v>1552.53</v>
      </c>
      <c r="AJ27" s="408">
        <f t="shared" si="3"/>
        <v>6.8399999999999181</v>
      </c>
      <c r="AK27" s="414">
        <v>16</v>
      </c>
      <c r="AL27" s="414">
        <v>1379</v>
      </c>
      <c r="AM27" s="369">
        <f t="shared" si="18"/>
        <v>32</v>
      </c>
      <c r="AN27" s="414">
        <f t="shared" si="10"/>
        <v>-161</v>
      </c>
      <c r="AO27" s="369">
        <v>22.57</v>
      </c>
      <c r="AP27" s="414">
        <f t="shared" si="11"/>
        <v>22.57</v>
      </c>
      <c r="AQ27" s="369">
        <v>4.2105263157894699</v>
      </c>
      <c r="AR27" s="369">
        <v>2.1052631578947398</v>
      </c>
      <c r="AS27" s="414">
        <f t="shared" si="21"/>
        <v>4.2105263157894699</v>
      </c>
      <c r="AT27" s="414">
        <f t="shared" si="22"/>
        <v>-1.961101318626846</v>
      </c>
    </row>
    <row r="28" spans="1:46" s="369" customFormat="1" ht="31.15" customHeight="1">
      <c r="A28" s="380">
        <f t="shared" si="5"/>
        <v>23</v>
      </c>
      <c r="B28" s="381" t="s">
        <v>51</v>
      </c>
      <c r="C28" s="399"/>
      <c r="D28" s="420">
        <f>'Civil-SOR'!$E$12</f>
        <v>49</v>
      </c>
      <c r="E28" s="384" t="str">
        <f>'Civil-SOR'!$F$12</f>
        <v>TBSC-B.III-02</v>
      </c>
      <c r="F28" s="385">
        <v>1</v>
      </c>
      <c r="G28" s="399" t="s">
        <v>46</v>
      </c>
      <c r="H28" s="387" t="s">
        <v>959</v>
      </c>
      <c r="I28" s="417">
        <f>'Civil-SOR'!$G$12</f>
        <v>3030</v>
      </c>
      <c r="J28" s="387"/>
      <c r="K28" s="387"/>
      <c r="L28" s="387"/>
      <c r="M28" s="388"/>
      <c r="N28" s="387">
        <f t="shared" si="1"/>
        <v>3030</v>
      </c>
      <c r="O28" s="408"/>
      <c r="P28" s="408"/>
      <c r="Q28" s="408"/>
      <c r="R28" s="408"/>
      <c r="S28" s="408"/>
      <c r="T28" s="408"/>
      <c r="U28" s="408"/>
      <c r="V28" s="408"/>
      <c r="W28" s="408"/>
      <c r="X28" s="409"/>
      <c r="Y28" s="422">
        <f>'Civil-SOR'!$E$12</f>
        <v>49</v>
      </c>
      <c r="Z28" s="410" t="e">
        <f t="shared" si="8"/>
        <v>#N/A</v>
      </c>
      <c r="AA28" s="409">
        <v>1</v>
      </c>
      <c r="AB28" s="409" t="s">
        <v>46</v>
      </c>
      <c r="AC28" s="413" t="s">
        <v>959</v>
      </c>
      <c r="AD28" s="419">
        <f>'Civil-SOR'!$G$12</f>
        <v>3030</v>
      </c>
      <c r="AE28" s="413"/>
      <c r="AF28" s="413"/>
      <c r="AG28" s="413"/>
      <c r="AH28" s="408"/>
      <c r="AI28" s="408">
        <f t="shared" si="2"/>
        <v>3030</v>
      </c>
      <c r="AJ28" s="408">
        <f t="shared" si="3"/>
        <v>0</v>
      </c>
      <c r="AK28" s="369">
        <v>16</v>
      </c>
      <c r="AL28" s="414">
        <v>2562</v>
      </c>
      <c r="AM28" s="369">
        <f t="shared" si="18"/>
        <v>33</v>
      </c>
      <c r="AN28" s="414">
        <f t="shared" si="10"/>
        <v>-468</v>
      </c>
      <c r="AP28" s="414">
        <f t="shared" si="11"/>
        <v>0</v>
      </c>
    </row>
    <row r="29" spans="1:46" s="369" customFormat="1" ht="29.25" customHeight="1">
      <c r="A29" s="380">
        <f t="shared" si="5"/>
        <v>24</v>
      </c>
      <c r="B29" s="381" t="s">
        <v>53</v>
      </c>
      <c r="C29" s="399"/>
      <c r="D29" s="420">
        <f>'Civil-SOR'!$E$13</f>
        <v>49</v>
      </c>
      <c r="E29" s="384" t="str">
        <f>'Civil-SOR'!$F$13</f>
        <v>TBSC-B.III-03</v>
      </c>
      <c r="F29" s="385">
        <v>1</v>
      </c>
      <c r="G29" s="399" t="s">
        <v>46</v>
      </c>
      <c r="H29" s="387" t="s">
        <v>959</v>
      </c>
      <c r="I29" s="417">
        <f>'Civil-SOR'!$G$13</f>
        <v>2576</v>
      </c>
      <c r="J29" s="387"/>
      <c r="K29" s="387"/>
      <c r="L29" s="387"/>
      <c r="M29" s="388"/>
      <c r="N29" s="387">
        <f t="shared" si="1"/>
        <v>2576</v>
      </c>
      <c r="O29" s="408"/>
      <c r="P29" s="408"/>
      <c r="Q29" s="408"/>
      <c r="R29" s="408"/>
      <c r="S29" s="408"/>
      <c r="T29" s="408"/>
      <c r="U29" s="408"/>
      <c r="V29" s="408"/>
      <c r="W29" s="408"/>
      <c r="X29" s="409"/>
      <c r="Y29" s="422">
        <f>'Civil-SOR'!$E$13</f>
        <v>49</v>
      </c>
      <c r="Z29" s="410" t="e">
        <f t="shared" si="8"/>
        <v>#N/A</v>
      </c>
      <c r="AA29" s="409">
        <v>1</v>
      </c>
      <c r="AB29" s="409" t="s">
        <v>46</v>
      </c>
      <c r="AC29" s="413" t="s">
        <v>959</v>
      </c>
      <c r="AD29" s="419">
        <f>'Civil-SOR'!$G$13</f>
        <v>2576</v>
      </c>
      <c r="AE29" s="413"/>
      <c r="AF29" s="413"/>
      <c r="AG29" s="413"/>
      <c r="AH29" s="408"/>
      <c r="AI29" s="408">
        <f t="shared" si="2"/>
        <v>2576</v>
      </c>
      <c r="AJ29" s="408">
        <f t="shared" si="3"/>
        <v>0</v>
      </c>
      <c r="AK29" s="369">
        <v>16</v>
      </c>
      <c r="AL29" s="414">
        <v>2178</v>
      </c>
      <c r="AM29" s="369">
        <f t="shared" si="18"/>
        <v>33</v>
      </c>
      <c r="AN29" s="414">
        <f t="shared" si="10"/>
        <v>-398</v>
      </c>
      <c r="AP29" s="414">
        <f t="shared" si="11"/>
        <v>0</v>
      </c>
    </row>
    <row r="30" spans="1:46" s="369" customFormat="1" ht="29.25" hidden="1" customHeight="1">
      <c r="A30" s="429"/>
      <c r="B30" s="430" t="s">
        <v>960</v>
      </c>
      <c r="C30" s="431"/>
      <c r="D30" s="429"/>
      <c r="E30" s="432" t="s">
        <v>961</v>
      </c>
      <c r="F30" s="429"/>
      <c r="G30" s="433"/>
      <c r="H30" s="429"/>
      <c r="I30" s="429"/>
      <c r="J30" s="429"/>
      <c r="K30" s="429"/>
      <c r="L30" s="429"/>
      <c r="M30" s="429"/>
      <c r="N30" s="429"/>
      <c r="O30" s="434"/>
      <c r="P30" s="435"/>
      <c r="Q30" s="436">
        <f t="shared" ref="Q30:Q44" si="23">N30-P30</f>
        <v>0</v>
      </c>
      <c r="R30" s="437"/>
      <c r="S30" s="437"/>
      <c r="T30" s="438"/>
      <c r="U30" s="438"/>
      <c r="V30" s="438"/>
      <c r="W30" s="408"/>
      <c r="X30" s="409"/>
      <c r="Y30" s="422"/>
      <c r="Z30" s="410"/>
      <c r="AA30" s="409"/>
      <c r="AB30" s="409"/>
      <c r="AC30" s="413"/>
      <c r="AD30" s="419"/>
      <c r="AE30" s="413"/>
      <c r="AF30" s="413"/>
      <c r="AG30" s="413"/>
      <c r="AH30" s="408"/>
      <c r="AI30" s="408"/>
      <c r="AJ30" s="408"/>
      <c r="AL30" s="414"/>
      <c r="AN30" s="414"/>
      <c r="AP30" s="414"/>
    </row>
    <row r="31" spans="1:46" s="369" customFormat="1" ht="29.25" hidden="1" customHeight="1">
      <c r="A31" s="439">
        <f>A29+1</f>
        <v>25</v>
      </c>
      <c r="B31" s="440" t="s">
        <v>962</v>
      </c>
      <c r="C31" s="432" t="s">
        <v>963</v>
      </c>
      <c r="D31" s="441" t="s">
        <v>964</v>
      </c>
      <c r="E31" s="441" t="s">
        <v>965</v>
      </c>
      <c r="F31" s="442">
        <v>1</v>
      </c>
      <c r="G31" s="443" t="s">
        <v>484</v>
      </c>
      <c r="H31" s="444">
        <f>Input!E25</f>
        <v>14</v>
      </c>
      <c r="I31" s="445">
        <v>520</v>
      </c>
      <c r="J31" s="445">
        <v>70</v>
      </c>
      <c r="K31" s="445">
        <f t="shared" ref="K31:K37" si="24">I31*0.25</f>
        <v>130</v>
      </c>
      <c r="L31" s="444">
        <f>IF(H31=0,0,(ROUNDUP((((IF((H31&lt;=5),(VLOOKUP(H31,conveyance!$C$8:$E$14,3)),(IF((H31&lt;=30),((H31-conveyance!$C$12)*conveyance!$E$13+conveyance!$E$12),(IF((H31&lt;=10000),(conveyance!$E$12+(conveyance!$C$13-conveyance!$C$12)*conveyance!$E$13+(H31-conveyance!$C$13)*conveyance!$E$14),"CHECK"))))))-conveyance!$E$8)/1.13615),2)))</f>
        <v>198.48</v>
      </c>
      <c r="M31" s="444"/>
      <c r="N31" s="444">
        <f t="shared" ref="N31:N44" si="25">ROUND(SUM(I31:M31),2)</f>
        <v>918.48</v>
      </c>
      <c r="O31" s="434"/>
      <c r="P31" s="438">
        <v>1055.52</v>
      </c>
      <c r="Q31" s="436">
        <f t="shared" si="23"/>
        <v>-137.03999999999996</v>
      </c>
      <c r="R31" s="438"/>
      <c r="S31" s="438"/>
      <c r="T31" s="438"/>
      <c r="U31" s="438"/>
      <c r="V31" s="438"/>
      <c r="W31" s="408"/>
      <c r="X31" s="409"/>
      <c r="Y31" s="422"/>
      <c r="Z31" s="410"/>
      <c r="AA31" s="409"/>
      <c r="AB31" s="409"/>
      <c r="AC31" s="413"/>
      <c r="AD31" s="419"/>
      <c r="AE31" s="413"/>
      <c r="AF31" s="413"/>
      <c r="AG31" s="413"/>
      <c r="AH31" s="408"/>
      <c r="AI31" s="408"/>
      <c r="AJ31" s="408"/>
      <c r="AL31" s="414"/>
      <c r="AN31" s="414"/>
      <c r="AP31" s="414"/>
    </row>
    <row r="32" spans="1:46" s="369" customFormat="1" ht="29.25" hidden="1" customHeight="1">
      <c r="A32" s="446">
        <f t="shared" ref="A32:A44" si="26">A31+1</f>
        <v>26</v>
      </c>
      <c r="B32" s="440" t="s">
        <v>966</v>
      </c>
      <c r="C32" s="432" t="s">
        <v>963</v>
      </c>
      <c r="D32" s="441" t="s">
        <v>967</v>
      </c>
      <c r="E32" s="441" t="s">
        <v>968</v>
      </c>
      <c r="F32" s="442">
        <v>1</v>
      </c>
      <c r="G32" s="443" t="s">
        <v>484</v>
      </c>
      <c r="H32" s="444">
        <f>Input!E26</f>
        <v>14</v>
      </c>
      <c r="I32" s="445">
        <v>790</v>
      </c>
      <c r="J32" s="445">
        <v>70</v>
      </c>
      <c r="K32" s="445">
        <f t="shared" si="24"/>
        <v>197.5</v>
      </c>
      <c r="L32" s="444">
        <f>IF(H32=0,0,(ROUNDUP((((IF((H32&lt;=5),(VLOOKUP(H32,conveyance!$C$8:$E$14,3)),(IF((H32&lt;=30),((H32-conveyance!$C$12)*conveyance!$E$13+conveyance!$E$12),(IF((H32&lt;=10000),(conveyance!$E$12+(conveyance!$C$13-conveyance!$C$12)*conveyance!$E$13+(H32-conveyance!$C$13)*conveyance!$E$14),"CHECK"))))))-conveyance!$E$8)/1.13615),2)))</f>
        <v>198.48</v>
      </c>
      <c r="M32" s="444"/>
      <c r="N32" s="444">
        <f t="shared" si="25"/>
        <v>1255.98</v>
      </c>
      <c r="O32" s="447"/>
      <c r="P32" s="448">
        <v>1393.02</v>
      </c>
      <c r="Q32" s="436">
        <f t="shared" si="23"/>
        <v>-137.03999999999996</v>
      </c>
      <c r="R32" s="438"/>
      <c r="S32" s="437"/>
      <c r="T32" s="438"/>
      <c r="U32" s="438"/>
      <c r="V32" s="438"/>
      <c r="W32" s="408"/>
      <c r="X32" s="409"/>
      <c r="Y32" s="422"/>
      <c r="Z32" s="410"/>
      <c r="AA32" s="409"/>
      <c r="AB32" s="409"/>
      <c r="AC32" s="413"/>
      <c r="AD32" s="419"/>
      <c r="AE32" s="413"/>
      <c r="AF32" s="413"/>
      <c r="AG32" s="413"/>
      <c r="AH32" s="408"/>
      <c r="AI32" s="408"/>
      <c r="AJ32" s="408"/>
      <c r="AL32" s="414"/>
      <c r="AN32" s="414"/>
      <c r="AP32" s="414"/>
    </row>
    <row r="33" spans="1:42" s="369" customFormat="1" ht="29.25" hidden="1" customHeight="1">
      <c r="A33" s="439">
        <f t="shared" si="26"/>
        <v>27</v>
      </c>
      <c r="B33" s="440" t="s">
        <v>969</v>
      </c>
      <c r="C33" s="432" t="s">
        <v>963</v>
      </c>
      <c r="D33" s="441" t="s">
        <v>970</v>
      </c>
      <c r="E33" s="441" t="s">
        <v>971</v>
      </c>
      <c r="F33" s="442">
        <v>1</v>
      </c>
      <c r="G33" s="443" t="s">
        <v>484</v>
      </c>
      <c r="H33" s="444">
        <v>28</v>
      </c>
      <c r="I33" s="445">
        <v>821</v>
      </c>
      <c r="J33" s="445">
        <v>70</v>
      </c>
      <c r="K33" s="445">
        <f t="shared" si="24"/>
        <v>205.25</v>
      </c>
      <c r="L33" s="444">
        <f>IF(H33=0,0,(ROUNDUP((((IF((H33&lt;=5),(VLOOKUP(H33,conveyance!$C$8:$E$14,3)),(IF((H33&lt;=30),((H33-conveyance!$C$12)*conveyance!$E$13+conveyance!$E$12),(IF((H33&lt;=10000),(conveyance!$E$12+(conveyance!$C$13-conveyance!$C$12)*conveyance!$E$13+(H33-conveyance!$C$13)*conveyance!$E$14),"CHECK"))))))-conveyance!$E$8)/1.13615),2)))</f>
        <v>407.96</v>
      </c>
      <c r="M33" s="444"/>
      <c r="N33" s="444">
        <f t="shared" si="25"/>
        <v>1504.21</v>
      </c>
      <c r="O33" s="447"/>
      <c r="P33" s="448">
        <v>1431.77</v>
      </c>
      <c r="Q33" s="436">
        <f t="shared" si="23"/>
        <v>72.440000000000055</v>
      </c>
      <c r="R33" s="438"/>
      <c r="S33" s="438"/>
      <c r="T33" s="438"/>
      <c r="U33" s="438"/>
      <c r="V33" s="438">
        <v>320</v>
      </c>
      <c r="W33" s="408"/>
      <c r="X33" s="409"/>
      <c r="Y33" s="422"/>
      <c r="Z33" s="410"/>
      <c r="AA33" s="409"/>
      <c r="AB33" s="409"/>
      <c r="AC33" s="413"/>
      <c r="AD33" s="419"/>
      <c r="AE33" s="413"/>
      <c r="AF33" s="413"/>
      <c r="AG33" s="413"/>
      <c r="AH33" s="408"/>
      <c r="AI33" s="408"/>
      <c r="AJ33" s="408"/>
      <c r="AL33" s="414"/>
      <c r="AN33" s="414"/>
      <c r="AP33" s="414"/>
    </row>
    <row r="34" spans="1:42" s="369" customFormat="1" ht="29.25" hidden="1" customHeight="1">
      <c r="A34" s="439">
        <f t="shared" si="26"/>
        <v>28</v>
      </c>
      <c r="B34" s="440" t="s">
        <v>972</v>
      </c>
      <c r="C34" s="432" t="s">
        <v>963</v>
      </c>
      <c r="D34" s="441" t="s">
        <v>973</v>
      </c>
      <c r="E34" s="441" t="s">
        <v>974</v>
      </c>
      <c r="F34" s="442">
        <v>1</v>
      </c>
      <c r="G34" s="443" t="s">
        <v>484</v>
      </c>
      <c r="H34" s="444">
        <f t="shared" ref="H34:H37" si="27">H33</f>
        <v>28</v>
      </c>
      <c r="I34" s="445">
        <v>700</v>
      </c>
      <c r="J34" s="445">
        <v>70</v>
      </c>
      <c r="K34" s="445">
        <f t="shared" si="24"/>
        <v>175</v>
      </c>
      <c r="L34" s="444">
        <f>IF(H34=0,0,(ROUNDUP((((IF((H34&lt;=5),(VLOOKUP(H34,conveyance!$C$8:$E$14,3)),(IF((H34&lt;=30),((H34-conveyance!$C$12)*conveyance!$E$13+conveyance!$E$12),(IF((H34&lt;=10000),(conveyance!$E$12+(conveyance!$C$13-conveyance!$C$12)*conveyance!$E$13+(H34-conveyance!$C$13)*conveyance!$E$14),"CHECK"))))))-conveyance!$E$8)/1.13615),2)))</f>
        <v>407.96</v>
      </c>
      <c r="M34" s="444"/>
      <c r="N34" s="444">
        <f t="shared" si="25"/>
        <v>1352.96</v>
      </c>
      <c r="O34" s="447"/>
      <c r="P34" s="448">
        <v>1280.52</v>
      </c>
      <c r="Q34" s="436">
        <f t="shared" si="23"/>
        <v>72.440000000000055</v>
      </c>
      <c r="R34" s="438"/>
      <c r="S34" s="438"/>
      <c r="T34" s="438"/>
      <c r="U34" s="438"/>
      <c r="V34" s="438"/>
      <c r="W34" s="408"/>
      <c r="X34" s="409"/>
      <c r="Y34" s="422"/>
      <c r="Z34" s="410"/>
      <c r="AA34" s="409"/>
      <c r="AB34" s="409"/>
      <c r="AC34" s="413"/>
      <c r="AD34" s="419"/>
      <c r="AE34" s="413"/>
      <c r="AF34" s="413"/>
      <c r="AG34" s="413"/>
      <c r="AH34" s="408"/>
      <c r="AI34" s="408"/>
      <c r="AJ34" s="408"/>
      <c r="AL34" s="414"/>
      <c r="AN34" s="414"/>
      <c r="AP34" s="414"/>
    </row>
    <row r="35" spans="1:42" s="369" customFormat="1" ht="29.25" hidden="1" customHeight="1">
      <c r="A35" s="439">
        <f t="shared" si="26"/>
        <v>29</v>
      </c>
      <c r="B35" s="440" t="s">
        <v>975</v>
      </c>
      <c r="C35" s="432" t="s">
        <v>963</v>
      </c>
      <c r="D35" s="441" t="s">
        <v>976</v>
      </c>
      <c r="E35" s="441" t="s">
        <v>977</v>
      </c>
      <c r="F35" s="442">
        <v>1</v>
      </c>
      <c r="G35" s="443" t="s">
        <v>484</v>
      </c>
      <c r="H35" s="444">
        <f t="shared" si="27"/>
        <v>28</v>
      </c>
      <c r="I35" s="445">
        <v>620</v>
      </c>
      <c r="J35" s="445">
        <v>70</v>
      </c>
      <c r="K35" s="445">
        <f t="shared" si="24"/>
        <v>155</v>
      </c>
      <c r="L35" s="444">
        <f>IF(H35=0,0,(ROUNDUP((((IF((H35&lt;=5),(VLOOKUP(H35,conveyance!$C$8:$E$14,3)),(IF((H35&lt;=30),((H35-conveyance!$C$12)*conveyance!$E$13+conveyance!$E$12),(IF((H35&lt;=10000),(conveyance!$E$12+(conveyance!$C$13-conveyance!$C$12)*conveyance!$E$13+(H35-conveyance!$C$13)*conveyance!$E$14),"CHECK"))))))-conveyance!$E$8)/1.13615),2)))</f>
        <v>407.96</v>
      </c>
      <c r="M35" s="444"/>
      <c r="N35" s="444">
        <f t="shared" si="25"/>
        <v>1252.96</v>
      </c>
      <c r="O35" s="447"/>
      <c r="P35" s="448">
        <v>1180.52</v>
      </c>
      <c r="Q35" s="436">
        <f t="shared" si="23"/>
        <v>72.440000000000055</v>
      </c>
      <c r="R35" s="438"/>
      <c r="S35" s="438"/>
      <c r="T35" s="438"/>
      <c r="U35" s="438"/>
      <c r="V35" s="438"/>
      <c r="W35" s="408"/>
      <c r="X35" s="409"/>
      <c r="Y35" s="422"/>
      <c r="Z35" s="410"/>
      <c r="AA35" s="409"/>
      <c r="AB35" s="409"/>
      <c r="AC35" s="413"/>
      <c r="AD35" s="419"/>
      <c r="AE35" s="413"/>
      <c r="AF35" s="413"/>
      <c r="AG35" s="413"/>
      <c r="AH35" s="408"/>
      <c r="AI35" s="408"/>
      <c r="AJ35" s="408"/>
      <c r="AL35" s="414"/>
      <c r="AN35" s="414"/>
      <c r="AP35" s="414"/>
    </row>
    <row r="36" spans="1:42" s="369" customFormat="1" ht="29.25" hidden="1" customHeight="1">
      <c r="A36" s="439">
        <f t="shared" si="26"/>
        <v>30</v>
      </c>
      <c r="B36" s="440" t="s">
        <v>978</v>
      </c>
      <c r="C36" s="432" t="s">
        <v>963</v>
      </c>
      <c r="D36" s="441" t="s">
        <v>979</v>
      </c>
      <c r="E36" s="441" t="s">
        <v>980</v>
      </c>
      <c r="F36" s="442">
        <v>1</v>
      </c>
      <c r="G36" s="443" t="s">
        <v>484</v>
      </c>
      <c r="H36" s="444">
        <f t="shared" si="27"/>
        <v>28</v>
      </c>
      <c r="I36" s="445">
        <v>485</v>
      </c>
      <c r="J36" s="445">
        <v>70</v>
      </c>
      <c r="K36" s="445">
        <f t="shared" si="24"/>
        <v>121.25</v>
      </c>
      <c r="L36" s="444">
        <f>IF(H36=0,0,(ROUNDUP((((IF((H36&lt;=5),(VLOOKUP(H36,conveyance!$C$8:$E$14,3)),(IF((H36&lt;=30),((H36-conveyance!$C$12)*conveyance!$E$13+conveyance!$E$12),(IF((H36&lt;=10000),(conveyance!$E$12+(conveyance!$C$13-conveyance!$C$12)*conveyance!$E$13+(H36-conveyance!$C$13)*conveyance!$E$14),"CHECK"))))))-conveyance!$E$8)/1.13615),2)))</f>
        <v>407.96</v>
      </c>
      <c r="M36" s="444"/>
      <c r="N36" s="444">
        <f t="shared" si="25"/>
        <v>1084.21</v>
      </c>
      <c r="O36" s="447"/>
      <c r="P36" s="448">
        <v>1011.77</v>
      </c>
      <c r="Q36" s="436">
        <f t="shared" si="23"/>
        <v>72.440000000000055</v>
      </c>
      <c r="R36" s="438"/>
      <c r="S36" s="438"/>
      <c r="T36" s="438"/>
      <c r="U36" s="438"/>
      <c r="V36" s="438"/>
      <c r="W36" s="408"/>
      <c r="X36" s="409"/>
      <c r="Y36" s="422"/>
      <c r="Z36" s="410"/>
      <c r="AA36" s="409"/>
      <c r="AB36" s="409"/>
      <c r="AC36" s="413"/>
      <c r="AD36" s="419"/>
      <c r="AE36" s="413"/>
      <c r="AF36" s="413"/>
      <c r="AG36" s="413"/>
      <c r="AH36" s="408"/>
      <c r="AI36" s="408"/>
      <c r="AJ36" s="408"/>
      <c r="AL36" s="414"/>
      <c r="AN36" s="414"/>
      <c r="AP36" s="414"/>
    </row>
    <row r="37" spans="1:42" s="369" customFormat="1" ht="29.25" hidden="1" customHeight="1">
      <c r="A37" s="439">
        <f t="shared" si="26"/>
        <v>31</v>
      </c>
      <c r="B37" s="440" t="s">
        <v>981</v>
      </c>
      <c r="C37" s="432" t="s">
        <v>963</v>
      </c>
      <c r="D37" s="441" t="s">
        <v>979</v>
      </c>
      <c r="E37" s="441" t="s">
        <v>982</v>
      </c>
      <c r="F37" s="442">
        <v>1</v>
      </c>
      <c r="G37" s="443" t="s">
        <v>484</v>
      </c>
      <c r="H37" s="444">
        <f t="shared" si="27"/>
        <v>28</v>
      </c>
      <c r="I37" s="445">
        <v>485</v>
      </c>
      <c r="J37" s="445">
        <v>70</v>
      </c>
      <c r="K37" s="445">
        <f t="shared" si="24"/>
        <v>121.25</v>
      </c>
      <c r="L37" s="444">
        <f>IF(H37=0,0,(ROUNDUP((((IF((H37&lt;=5),(VLOOKUP(H37,conveyance!$C$8:$E$14,3)),(IF((H37&lt;=30),((H37-conveyance!$C$12)*conveyance!$E$13+conveyance!$E$12),(IF((H37&lt;=10000),(conveyance!$E$12+(conveyance!$C$13-conveyance!$C$12)*conveyance!$E$13+(H37-conveyance!$C$13)*conveyance!$E$14),"CHECK"))))))-conveyance!$E$8)/1.13615),2)))</f>
        <v>407.96</v>
      </c>
      <c r="M37" s="444"/>
      <c r="N37" s="444">
        <f t="shared" si="25"/>
        <v>1084.21</v>
      </c>
      <c r="O37" s="447"/>
      <c r="P37" s="448">
        <v>1011.77</v>
      </c>
      <c r="Q37" s="436">
        <f t="shared" si="23"/>
        <v>72.440000000000055</v>
      </c>
      <c r="R37" s="438"/>
      <c r="S37" s="438"/>
      <c r="T37" s="438"/>
      <c r="U37" s="438"/>
      <c r="V37" s="438"/>
      <c r="W37" s="408"/>
      <c r="X37" s="409"/>
      <c r="Y37" s="422"/>
      <c r="Z37" s="410"/>
      <c r="AA37" s="409"/>
      <c r="AB37" s="409"/>
      <c r="AC37" s="413"/>
      <c r="AD37" s="419"/>
      <c r="AE37" s="413"/>
      <c r="AF37" s="413"/>
      <c r="AG37" s="413"/>
      <c r="AH37" s="408"/>
      <c r="AI37" s="408"/>
      <c r="AJ37" s="408"/>
      <c r="AL37" s="414"/>
      <c r="AN37" s="414"/>
      <c r="AP37" s="414"/>
    </row>
    <row r="38" spans="1:42" s="369" customFormat="1" ht="29.25" hidden="1" customHeight="1">
      <c r="A38" s="439">
        <f t="shared" si="26"/>
        <v>32</v>
      </c>
      <c r="B38" s="449" t="s">
        <v>916</v>
      </c>
      <c r="C38" s="432" t="s">
        <v>963</v>
      </c>
      <c r="D38" s="441" t="s">
        <v>983</v>
      </c>
      <c r="E38" s="441" t="s">
        <v>984</v>
      </c>
      <c r="F38" s="442">
        <v>1</v>
      </c>
      <c r="G38" s="443" t="s">
        <v>484</v>
      </c>
      <c r="H38" s="444">
        <v>28</v>
      </c>
      <c r="I38" s="445">
        <v>524</v>
      </c>
      <c r="J38" s="445">
        <v>0</v>
      </c>
      <c r="K38" s="445"/>
      <c r="L38" s="444">
        <f>IF(H38=0,0,(ROUNDUP((((IF((H38&lt;=5),(VLOOKUP(H38,conveyance!$C$8:$E$14,3)),(IF((H38&lt;=30),((H38-conveyance!$C$12)*conveyance!$E$13+conveyance!$E$12),(IF((H38&lt;=10000),(conveyance!$E$12+(conveyance!$C$13-conveyance!$C$12)*conveyance!$E$13+(H38-conveyance!$C$13)*conveyance!$E$14),"CHECK"))))))-conveyance!$E$8)/1.13615),2)))</f>
        <v>407.96</v>
      </c>
      <c r="M38" s="444"/>
      <c r="N38" s="444">
        <f t="shared" si="25"/>
        <v>931.96</v>
      </c>
      <c r="O38" s="434"/>
      <c r="P38" s="448">
        <v>823.52</v>
      </c>
      <c r="Q38" s="436">
        <f t="shared" si="23"/>
        <v>108.44000000000005</v>
      </c>
      <c r="R38" s="438"/>
      <c r="S38" s="438"/>
      <c r="T38" s="438"/>
      <c r="U38" s="438"/>
      <c r="V38" s="438"/>
      <c r="W38" s="408"/>
      <c r="X38" s="409"/>
      <c r="Y38" s="422"/>
      <c r="Z38" s="410"/>
      <c r="AA38" s="409"/>
      <c r="AB38" s="409"/>
      <c r="AC38" s="413"/>
      <c r="AD38" s="419"/>
      <c r="AE38" s="413"/>
      <c r="AF38" s="413"/>
      <c r="AG38" s="413"/>
      <c r="AH38" s="408"/>
      <c r="AI38" s="408"/>
      <c r="AJ38" s="408"/>
      <c r="AL38" s="414"/>
      <c r="AN38" s="414"/>
      <c r="AP38" s="414"/>
    </row>
    <row r="39" spans="1:42" s="369" customFormat="1" ht="29.25" hidden="1" customHeight="1">
      <c r="A39" s="439">
        <f t="shared" si="26"/>
        <v>33</v>
      </c>
      <c r="B39" s="440" t="s">
        <v>985</v>
      </c>
      <c r="C39" s="432" t="s">
        <v>963</v>
      </c>
      <c r="D39" s="441" t="s">
        <v>986</v>
      </c>
      <c r="E39" s="441" t="s">
        <v>987</v>
      </c>
      <c r="F39" s="442">
        <v>1</v>
      </c>
      <c r="G39" s="443" t="s">
        <v>484</v>
      </c>
      <c r="H39" s="444">
        <v>28</v>
      </c>
      <c r="I39" s="445">
        <v>400</v>
      </c>
      <c r="J39" s="445">
        <v>70</v>
      </c>
      <c r="K39" s="445">
        <f>I39*0.25</f>
        <v>100</v>
      </c>
      <c r="L39" s="444">
        <f>IF(H39=0,0,(ROUNDUP((((IF((H39&lt;=5),(VLOOKUP(H39,conveyance!$C$8:$E$14,3)),(IF((H39&lt;=30),((H39-conveyance!$C$12)*conveyance!$E$13+conveyance!$E$12),(IF((H39&lt;=10000),(conveyance!$E$12+(conveyance!$C$13-conveyance!$C$12)*conveyance!$E$13+(H39-conveyance!$C$13)*conveyance!$E$14),"CHECK"))))))-conveyance!$E$8)/1.13615),2)))</f>
        <v>407.96</v>
      </c>
      <c r="M39" s="444"/>
      <c r="N39" s="444">
        <f t="shared" si="25"/>
        <v>977.96</v>
      </c>
      <c r="O39" s="434"/>
      <c r="P39" s="448">
        <v>905.52</v>
      </c>
      <c r="Q39" s="436">
        <f t="shared" si="23"/>
        <v>72.440000000000055</v>
      </c>
      <c r="R39" s="438"/>
      <c r="S39" s="438"/>
      <c r="T39" s="438"/>
      <c r="U39" s="438"/>
      <c r="V39" s="438"/>
      <c r="W39" s="408"/>
      <c r="X39" s="409"/>
      <c r="Y39" s="422"/>
      <c r="Z39" s="410"/>
      <c r="AA39" s="409"/>
      <c r="AB39" s="409"/>
      <c r="AC39" s="413"/>
      <c r="AD39" s="419"/>
      <c r="AE39" s="413"/>
      <c r="AF39" s="413"/>
      <c r="AG39" s="413"/>
      <c r="AH39" s="408"/>
      <c r="AI39" s="408"/>
      <c r="AJ39" s="408"/>
      <c r="AL39" s="414"/>
      <c r="AN39" s="414"/>
      <c r="AP39" s="414"/>
    </row>
    <row r="40" spans="1:42" s="369" customFormat="1" ht="29.25" hidden="1" customHeight="1">
      <c r="A40" s="450">
        <f t="shared" si="26"/>
        <v>34</v>
      </c>
      <c r="B40" s="451" t="s">
        <v>988</v>
      </c>
      <c r="C40" s="452" t="s">
        <v>989</v>
      </c>
      <c r="D40" s="453" t="s">
        <v>990</v>
      </c>
      <c r="E40" s="454"/>
      <c r="F40" s="455">
        <v>1</v>
      </c>
      <c r="G40" s="456" t="s">
        <v>948</v>
      </c>
      <c r="H40" s="457">
        <v>630</v>
      </c>
      <c r="I40" s="457">
        <f>31450</f>
        <v>31450</v>
      </c>
      <c r="J40" s="457">
        <f t="shared" ref="J40:J43" si="28">H40*3</f>
        <v>1890</v>
      </c>
      <c r="K40" s="457"/>
      <c r="L40" s="457"/>
      <c r="M40" s="458"/>
      <c r="N40" s="457">
        <f t="shared" si="25"/>
        <v>33340</v>
      </c>
      <c r="O40" s="459"/>
      <c r="P40" s="460">
        <v>33340</v>
      </c>
      <c r="Q40" s="461">
        <f t="shared" si="23"/>
        <v>0</v>
      </c>
      <c r="R40" s="462"/>
      <c r="S40" s="462"/>
      <c r="T40" s="462"/>
      <c r="U40" s="462"/>
      <c r="V40" s="462"/>
      <c r="W40" s="408"/>
      <c r="X40" s="409"/>
      <c r="Y40" s="422"/>
      <c r="Z40" s="410"/>
      <c r="AA40" s="409"/>
      <c r="AB40" s="409"/>
      <c r="AC40" s="413"/>
      <c r="AD40" s="419"/>
      <c r="AE40" s="413"/>
      <c r="AF40" s="413"/>
      <c r="AG40" s="413"/>
      <c r="AH40" s="408"/>
      <c r="AI40" s="408"/>
      <c r="AJ40" s="408"/>
      <c r="AL40" s="414"/>
      <c r="AN40" s="414"/>
      <c r="AP40" s="414"/>
    </row>
    <row r="41" spans="1:42" s="369" customFormat="1" ht="29.25" hidden="1" customHeight="1">
      <c r="A41" s="450">
        <f t="shared" si="26"/>
        <v>35</v>
      </c>
      <c r="B41" s="451" t="s">
        <v>991</v>
      </c>
      <c r="C41" s="452" t="s">
        <v>989</v>
      </c>
      <c r="D41" s="453" t="s">
        <v>990</v>
      </c>
      <c r="E41" s="454"/>
      <c r="F41" s="455">
        <v>1</v>
      </c>
      <c r="G41" s="456" t="s">
        <v>948</v>
      </c>
      <c r="H41" s="457">
        <v>630</v>
      </c>
      <c r="I41" s="457">
        <f>30650</f>
        <v>30650</v>
      </c>
      <c r="J41" s="457">
        <f t="shared" si="28"/>
        <v>1890</v>
      </c>
      <c r="K41" s="457"/>
      <c r="L41" s="457"/>
      <c r="M41" s="458"/>
      <c r="N41" s="457">
        <f t="shared" si="25"/>
        <v>32540</v>
      </c>
      <c r="O41" s="459"/>
      <c r="P41" s="460">
        <v>32540</v>
      </c>
      <c r="Q41" s="461">
        <f t="shared" si="23"/>
        <v>0</v>
      </c>
      <c r="R41" s="462"/>
      <c r="S41" s="462"/>
      <c r="T41" s="462"/>
      <c r="U41" s="462"/>
      <c r="V41" s="462"/>
      <c r="W41" s="408"/>
      <c r="X41" s="409"/>
      <c r="Y41" s="422"/>
      <c r="Z41" s="410"/>
      <c r="AA41" s="409"/>
      <c r="AB41" s="409"/>
      <c r="AC41" s="413"/>
      <c r="AD41" s="419"/>
      <c r="AE41" s="413"/>
      <c r="AF41" s="413"/>
      <c r="AG41" s="413"/>
      <c r="AH41" s="408"/>
      <c r="AI41" s="408"/>
      <c r="AJ41" s="408"/>
      <c r="AL41" s="414"/>
      <c r="AN41" s="414"/>
      <c r="AP41" s="414"/>
    </row>
    <row r="42" spans="1:42" s="369" customFormat="1" ht="29.25" hidden="1" customHeight="1">
      <c r="A42" s="450">
        <f t="shared" si="26"/>
        <v>36</v>
      </c>
      <c r="B42" s="451" t="s">
        <v>992</v>
      </c>
      <c r="C42" s="452" t="s">
        <v>989</v>
      </c>
      <c r="D42" s="453" t="s">
        <v>990</v>
      </c>
      <c r="E42" s="454"/>
      <c r="F42" s="455">
        <v>1</v>
      </c>
      <c r="G42" s="456" t="s">
        <v>948</v>
      </c>
      <c r="H42" s="457">
        <v>630</v>
      </c>
      <c r="I42" s="457">
        <f>25080</f>
        <v>25080</v>
      </c>
      <c r="J42" s="457">
        <f t="shared" si="28"/>
        <v>1890</v>
      </c>
      <c r="K42" s="457"/>
      <c r="L42" s="457"/>
      <c r="M42" s="458"/>
      <c r="N42" s="457">
        <f t="shared" si="25"/>
        <v>26970</v>
      </c>
      <c r="O42" s="459"/>
      <c r="P42" s="460">
        <v>26970</v>
      </c>
      <c r="Q42" s="461">
        <f t="shared" si="23"/>
        <v>0</v>
      </c>
      <c r="R42" s="462"/>
      <c r="S42" s="462"/>
      <c r="T42" s="462"/>
      <c r="U42" s="462"/>
      <c r="V42" s="462"/>
      <c r="W42" s="408"/>
      <c r="X42" s="409"/>
      <c r="Y42" s="422"/>
      <c r="Z42" s="410"/>
      <c r="AA42" s="409"/>
      <c r="AB42" s="409"/>
      <c r="AC42" s="413"/>
      <c r="AD42" s="419"/>
      <c r="AE42" s="413"/>
      <c r="AF42" s="413"/>
      <c r="AG42" s="413"/>
      <c r="AH42" s="408"/>
      <c r="AI42" s="408"/>
      <c r="AJ42" s="408"/>
      <c r="AL42" s="414"/>
      <c r="AN42" s="414"/>
      <c r="AP42" s="414"/>
    </row>
    <row r="43" spans="1:42" s="369" customFormat="1" ht="29.25" hidden="1" customHeight="1">
      <c r="A43" s="450">
        <f t="shared" si="26"/>
        <v>37</v>
      </c>
      <c r="B43" s="451" t="s">
        <v>993</v>
      </c>
      <c r="C43" s="452" t="s">
        <v>989</v>
      </c>
      <c r="D43" s="453" t="s">
        <v>990</v>
      </c>
      <c r="E43" s="454"/>
      <c r="F43" s="455">
        <v>1</v>
      </c>
      <c r="G43" s="456" t="s">
        <v>948</v>
      </c>
      <c r="H43" s="457">
        <v>630</v>
      </c>
      <c r="I43" s="457">
        <f>43770</f>
        <v>43770</v>
      </c>
      <c r="J43" s="457">
        <f t="shared" si="28"/>
        <v>1890</v>
      </c>
      <c r="K43" s="457"/>
      <c r="L43" s="457"/>
      <c r="M43" s="458"/>
      <c r="N43" s="457">
        <f t="shared" si="25"/>
        <v>45660</v>
      </c>
      <c r="O43" s="459"/>
      <c r="P43" s="460">
        <v>45660</v>
      </c>
      <c r="Q43" s="461">
        <f t="shared" si="23"/>
        <v>0</v>
      </c>
      <c r="R43" s="462"/>
      <c r="S43" s="462"/>
      <c r="T43" s="462"/>
      <c r="U43" s="462"/>
      <c r="V43" s="462"/>
      <c r="W43" s="408"/>
      <c r="X43" s="409"/>
      <c r="Y43" s="422"/>
      <c r="Z43" s="410"/>
      <c r="AA43" s="409"/>
      <c r="AB43" s="409"/>
      <c r="AC43" s="413"/>
      <c r="AD43" s="419"/>
      <c r="AE43" s="413"/>
      <c r="AF43" s="413"/>
      <c r="AG43" s="413"/>
      <c r="AH43" s="408"/>
      <c r="AI43" s="408"/>
      <c r="AJ43" s="408"/>
      <c r="AL43" s="414"/>
      <c r="AN43" s="414"/>
      <c r="AP43" s="414"/>
    </row>
    <row r="44" spans="1:42" s="369" customFormat="1" ht="29.25" hidden="1" customHeight="1">
      <c r="A44" s="450">
        <f t="shared" si="26"/>
        <v>38</v>
      </c>
      <c r="B44" s="463" t="s">
        <v>994</v>
      </c>
      <c r="C44" s="464">
        <v>15</v>
      </c>
      <c r="D44" s="458" t="s">
        <v>995</v>
      </c>
      <c r="E44" s="452"/>
      <c r="F44" s="458"/>
      <c r="G44" s="465"/>
      <c r="H44" s="458"/>
      <c r="I44" s="458">
        <f>46.35+1.28*10</f>
        <v>59.150000000000006</v>
      </c>
      <c r="J44" s="458">
        <v>935</v>
      </c>
      <c r="K44" s="458"/>
      <c r="L44" s="458"/>
      <c r="M44" s="458"/>
      <c r="N44" s="457">
        <f t="shared" si="25"/>
        <v>994.15</v>
      </c>
      <c r="O44" s="466"/>
      <c r="P44" s="467">
        <v>994.15</v>
      </c>
      <c r="Q44" s="461">
        <f t="shared" si="23"/>
        <v>0</v>
      </c>
      <c r="R44" s="462"/>
      <c r="S44" s="462"/>
      <c r="T44" s="462"/>
      <c r="U44" s="462"/>
      <c r="V44" s="462"/>
      <c r="W44" s="408"/>
      <c r="X44" s="409"/>
      <c r="Y44" s="422"/>
      <c r="Z44" s="410"/>
      <c r="AA44" s="409"/>
      <c r="AB44" s="409"/>
      <c r="AC44" s="413"/>
      <c r="AD44" s="419"/>
      <c r="AE44" s="413"/>
      <c r="AF44" s="413"/>
      <c r="AG44" s="413"/>
      <c r="AH44" s="408"/>
      <c r="AI44" s="408"/>
      <c r="AJ44" s="408"/>
      <c r="AL44" s="414"/>
      <c r="AN44" s="414"/>
      <c r="AP44" s="414"/>
    </row>
    <row r="45" spans="1:42" s="469" customFormat="1" ht="18" customHeight="1">
      <c r="A45" s="468"/>
      <c r="B45" s="469" t="s">
        <v>996</v>
      </c>
      <c r="G45" s="468"/>
      <c r="N45" s="468"/>
    </row>
    <row r="46" spans="1:42" s="469" customFormat="1" ht="18" customHeight="1">
      <c r="A46" s="468"/>
      <c r="B46" s="469" t="s">
        <v>997</v>
      </c>
      <c r="G46" s="468"/>
      <c r="N46" s="468"/>
    </row>
    <row r="47" spans="1:42" s="469" customFormat="1" ht="18" customHeight="1">
      <c r="A47" s="468"/>
      <c r="B47" s="469" t="s">
        <v>998</v>
      </c>
      <c r="G47" s="468"/>
      <c r="N47" s="468"/>
    </row>
    <row r="48" spans="1:42" s="469" customFormat="1" ht="18" customHeight="1">
      <c r="B48" s="469" t="s">
        <v>999</v>
      </c>
      <c r="G48" s="468"/>
      <c r="N48" s="468"/>
    </row>
    <row r="49" spans="2:14" s="469" customFormat="1" ht="18" customHeight="1">
      <c r="B49" s="469" t="str">
        <f>"5) Certified that  "&amp;Input!D47*100&amp;"% extra on labour towards Municipal area allowance is allowed "</f>
        <v xml:space="preserve">5) Certified that  40% extra on labour towards Municipal area allowance is allowed </v>
      </c>
      <c r="N49" s="468"/>
    </row>
  </sheetData>
  <sheetProtection selectLockedCells="1" selectUnlockedCells="1"/>
  <mergeCells count="15">
    <mergeCell ref="F5:G5"/>
    <mergeCell ref="A1:N1"/>
    <mergeCell ref="A2:N2"/>
    <mergeCell ref="A3:A4"/>
    <mergeCell ref="B3:B4"/>
    <mergeCell ref="C3:C4"/>
    <mergeCell ref="D3:D4"/>
    <mergeCell ref="E3:E4"/>
    <mergeCell ref="F3:G4"/>
    <mergeCell ref="H3:H4"/>
    <mergeCell ref="I3:I4"/>
    <mergeCell ref="J3:J4"/>
    <mergeCell ref="K3:K4"/>
    <mergeCell ref="L3:L4"/>
    <mergeCell ref="N3:N4"/>
  </mergeCells>
  <printOptions horizontalCentered="1"/>
  <pageMargins left="0.6" right="0.6" top="0.6" bottom="0.6" header="0.51180555555555551" footer="0.51180555555555551"/>
  <pageSetup paperSize="9" scale="92" firstPageNumber="0" orientation="landscape" horizontalDpi="300" verticalDpi="300" r:id="rId1"/>
  <headerFooter alignWithMargins="0"/>
  <rowBreaks count="1" manualBreakCount="1">
    <brk id="655" max="16383" man="1"/>
  </rowBreaks>
</worksheet>
</file>

<file path=xl/worksheets/sheet6.xml><?xml version="1.0" encoding="utf-8"?>
<worksheet xmlns="http://schemas.openxmlformats.org/spreadsheetml/2006/main" xmlns:r="http://schemas.openxmlformats.org/officeDocument/2006/relationships">
  <sheetPr>
    <tabColor indexed="29"/>
  </sheetPr>
  <dimension ref="A1:BL5054"/>
  <sheetViews>
    <sheetView tabSelected="1" view="pageBreakPreview" zoomScaleSheetLayoutView="100" workbookViewId="0">
      <pane ySplit="1" topLeftCell="A3030" activePane="bottomLeft" state="frozen"/>
      <selection pane="bottomLeft" activeCell="C2992" sqref="C2992:H2992"/>
    </sheetView>
  </sheetViews>
  <sheetFormatPr defaultColWidth="8.5703125" defaultRowHeight="12.75"/>
  <cols>
    <col min="1" max="1" width="3.5703125" style="1037" customWidth="1"/>
    <col min="2" max="2" width="2.42578125" style="1544" customWidth="1"/>
    <col min="3" max="3" width="40.42578125" style="1315" customWidth="1"/>
    <col min="4" max="4" width="9.28515625" style="1126" customWidth="1"/>
    <col min="5" max="5" width="11.5703125" style="1844" customWidth="1"/>
    <col min="6" max="6" width="12.28515625" style="1545" customWidth="1"/>
    <col min="7" max="7" width="9.28515625" style="993" customWidth="1"/>
    <col min="8" max="8" width="11.42578125" style="1844" bestFit="1" customWidth="1"/>
    <col min="9" max="9" width="11.5703125" style="1545" bestFit="1" customWidth="1"/>
    <col min="10" max="11" width="9.85546875" style="1844" customWidth="1"/>
    <col min="12" max="12" width="10.85546875" style="1844" customWidth="1"/>
    <col min="13" max="13" width="35.7109375" style="1844" customWidth="1"/>
    <col min="14" max="18" width="13.28515625" style="1844" customWidth="1"/>
    <col min="19" max="64" width="8.42578125" style="1844" customWidth="1"/>
    <col min="65" max="16384" width="8.5703125" style="1844"/>
  </cols>
  <sheetData>
    <row r="1" spans="1:64" ht="25.5" customHeight="1">
      <c r="A1" s="2070" t="str">
        <f>+Input!C2</f>
        <v>Name of Work:  Creation of Infrastructure Facilities for skill Dvelopment lab at 6th Floor OPD Block-3 in Gandhi Hospital, Secunderabad (Balance Work)</v>
      </c>
      <c r="B1" s="2070"/>
      <c r="C1" s="2070"/>
      <c r="D1" s="2070"/>
      <c r="E1" s="2070"/>
      <c r="F1" s="2070"/>
      <c r="G1" s="2070"/>
      <c r="H1" s="2070"/>
      <c r="I1" s="2070"/>
      <c r="J1" s="1846"/>
      <c r="K1" s="1846">
        <v>246328279</v>
      </c>
      <c r="L1" s="1846" t="e">
        <f>+K1-#REF!</f>
        <v>#REF!</v>
      </c>
      <c r="M1" s="993" t="e">
        <f>#REF!</f>
        <v>#REF!</v>
      </c>
      <c r="N1" s="1844">
        <v>375000000</v>
      </c>
      <c r="O1" s="993" t="e">
        <f>+N1-M1</f>
        <v>#REF!</v>
      </c>
    </row>
    <row r="2" spans="1:64" ht="12.75" customHeight="1">
      <c r="A2" s="2071" t="s">
        <v>1000</v>
      </c>
      <c r="B2" s="2071"/>
      <c r="C2" s="2071"/>
      <c r="D2" s="2071"/>
      <c r="E2" s="2071"/>
      <c r="F2" s="2071"/>
      <c r="G2" s="2071"/>
      <c r="H2" s="2071"/>
      <c r="I2" s="2071"/>
      <c r="J2" s="1846"/>
      <c r="K2" s="1846"/>
      <c r="L2" s="1846"/>
    </row>
    <row r="3" spans="1:64" ht="12.75" customHeight="1">
      <c r="A3" s="2072"/>
      <c r="B3" s="2072"/>
      <c r="C3" s="2073" t="s">
        <v>1001</v>
      </c>
      <c r="D3" s="994" t="s">
        <v>1002</v>
      </c>
      <c r="E3" s="994" t="s">
        <v>1003</v>
      </c>
      <c r="F3" s="1829" t="s">
        <v>1004</v>
      </c>
      <c r="G3" s="1829" t="s">
        <v>1005</v>
      </c>
      <c r="H3" s="995" t="s">
        <v>1006</v>
      </c>
      <c r="I3" s="1829" t="s">
        <v>1007</v>
      </c>
      <c r="J3" s="996"/>
      <c r="K3" s="996"/>
      <c r="L3" s="996"/>
      <c r="M3" s="997"/>
      <c r="N3" s="997"/>
      <c r="O3" s="997"/>
      <c r="P3" s="997"/>
      <c r="Q3" s="997"/>
      <c r="R3" s="997"/>
      <c r="S3" s="997"/>
      <c r="T3" s="997"/>
      <c r="U3" s="997"/>
      <c r="V3" s="997"/>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997"/>
      <c r="AV3" s="997"/>
      <c r="AW3" s="997"/>
      <c r="AX3" s="997"/>
      <c r="AY3" s="997"/>
      <c r="AZ3" s="997"/>
      <c r="BA3" s="997"/>
      <c r="BB3" s="997"/>
      <c r="BC3" s="997"/>
      <c r="BD3" s="997"/>
      <c r="BE3" s="997"/>
      <c r="BF3" s="997"/>
      <c r="BG3" s="997"/>
      <c r="BH3" s="997"/>
      <c r="BI3" s="997"/>
      <c r="BJ3" s="997"/>
      <c r="BK3" s="997"/>
      <c r="BL3" s="997"/>
    </row>
    <row r="4" spans="1:64">
      <c r="A4" s="2072"/>
      <c r="B4" s="2072"/>
      <c r="C4" s="2073"/>
      <c r="D4" s="1826" t="s">
        <v>1008</v>
      </c>
      <c r="E4" s="998" t="s">
        <v>1009</v>
      </c>
      <c r="F4" s="1826" t="s">
        <v>1010</v>
      </c>
      <c r="G4" s="999" t="s">
        <v>1011</v>
      </c>
      <c r="H4" s="998" t="s">
        <v>1012</v>
      </c>
      <c r="I4" s="1826" t="s">
        <v>1013</v>
      </c>
      <c r="J4" s="996"/>
      <c r="K4" s="996"/>
      <c r="L4" s="996"/>
      <c r="M4" s="997"/>
      <c r="N4" s="997"/>
      <c r="O4" s="997"/>
      <c r="P4" s="997"/>
      <c r="Q4" s="997"/>
      <c r="R4" s="997"/>
      <c r="S4" s="997"/>
      <c r="T4" s="997"/>
      <c r="U4" s="997"/>
      <c r="V4" s="997"/>
      <c r="W4" s="997"/>
      <c r="X4" s="997"/>
      <c r="Y4" s="997"/>
      <c r="Z4" s="997"/>
      <c r="AA4" s="997"/>
      <c r="AB4" s="997"/>
      <c r="AC4" s="997"/>
      <c r="AD4" s="997"/>
      <c r="AE4" s="997"/>
      <c r="AF4" s="997"/>
      <c r="AG4" s="997"/>
      <c r="AH4" s="997"/>
      <c r="AI4" s="997"/>
      <c r="AJ4" s="997"/>
      <c r="AK4" s="997"/>
      <c r="AL4" s="997"/>
      <c r="AM4" s="997"/>
      <c r="AN4" s="997"/>
      <c r="AO4" s="997"/>
      <c r="AP4" s="997"/>
      <c r="AQ4" s="997"/>
      <c r="AR4" s="997"/>
      <c r="AS4" s="997"/>
      <c r="AT4" s="997"/>
      <c r="AU4" s="997"/>
      <c r="AV4" s="997"/>
      <c r="AW4" s="997"/>
      <c r="AX4" s="997"/>
      <c r="AY4" s="997"/>
      <c r="AZ4" s="997"/>
      <c r="BA4" s="997"/>
      <c r="BB4" s="997"/>
      <c r="BC4" s="997"/>
      <c r="BD4" s="997"/>
      <c r="BE4" s="997"/>
      <c r="BF4" s="997"/>
      <c r="BG4" s="997"/>
      <c r="BH4" s="997"/>
      <c r="BI4" s="997"/>
      <c r="BJ4" s="997"/>
      <c r="BK4" s="997"/>
      <c r="BL4" s="997"/>
    </row>
    <row r="5" spans="1:64" ht="25.5">
      <c r="A5" s="1847"/>
      <c r="B5" s="1847"/>
      <c r="C5" s="1817" t="s">
        <v>1014</v>
      </c>
      <c r="D5" s="1000">
        <f>ROUND((LEAD!$N$13*1.05),2)</f>
        <v>2576.61</v>
      </c>
      <c r="E5" s="1000">
        <f>$D$5</f>
        <v>2576.61</v>
      </c>
      <c r="F5" s="1001">
        <f>$D$5</f>
        <v>2576.61</v>
      </c>
      <c r="G5" s="1000">
        <f>$D$5</f>
        <v>2576.61</v>
      </c>
      <c r="H5" s="1000">
        <f>$D$5</f>
        <v>2576.61</v>
      </c>
      <c r="I5" s="1001">
        <f>$D$5</f>
        <v>2576.61</v>
      </c>
      <c r="J5" s="1002"/>
      <c r="K5" s="1002"/>
      <c r="L5" s="1002"/>
      <c r="M5" s="1003"/>
      <c r="N5" s="1003"/>
      <c r="O5" s="1003"/>
      <c r="P5" s="1003"/>
      <c r="Q5" s="1003"/>
      <c r="R5" s="1003"/>
      <c r="S5" s="1003"/>
      <c r="T5" s="1003"/>
      <c r="U5" s="1003"/>
      <c r="V5" s="1003"/>
      <c r="W5" s="1003"/>
      <c r="X5" s="1003"/>
      <c r="Y5" s="1003"/>
      <c r="Z5" s="1003"/>
      <c r="AA5" s="1003"/>
      <c r="AB5" s="1003"/>
      <c r="AC5" s="1003"/>
      <c r="AD5" s="1003"/>
      <c r="AE5" s="1003"/>
      <c r="AF5" s="1003"/>
      <c r="AG5" s="1003"/>
      <c r="AH5" s="1003"/>
      <c r="AI5" s="1003"/>
      <c r="AJ5" s="1003"/>
      <c r="AK5" s="1003"/>
      <c r="AL5" s="1003"/>
      <c r="AM5" s="1003"/>
      <c r="AN5" s="1003"/>
      <c r="AO5" s="1003"/>
      <c r="AP5" s="1003"/>
      <c r="AQ5" s="1003"/>
      <c r="AR5" s="1003"/>
      <c r="AS5" s="1003"/>
      <c r="AT5" s="1003"/>
      <c r="AU5" s="1003"/>
      <c r="AV5" s="1003"/>
      <c r="AW5" s="1003"/>
      <c r="AX5" s="1003"/>
      <c r="AY5" s="1003"/>
      <c r="AZ5" s="1003"/>
      <c r="BA5" s="1003"/>
      <c r="BB5" s="1003"/>
      <c r="BC5" s="1003"/>
      <c r="BD5" s="1003"/>
      <c r="BE5" s="1003"/>
      <c r="BF5" s="1003"/>
      <c r="BG5" s="1003"/>
      <c r="BH5" s="1003"/>
      <c r="BI5" s="1003"/>
      <c r="BJ5" s="1003"/>
      <c r="BK5" s="1003"/>
      <c r="BL5" s="1003"/>
    </row>
    <row r="6" spans="1:64">
      <c r="A6" s="1847"/>
      <c r="B6" s="1847"/>
      <c r="C6" s="1817" t="s">
        <v>1015</v>
      </c>
      <c r="D6" s="1000">
        <f>LEAD!$N$6*1440/2000</f>
        <v>3744</v>
      </c>
      <c r="E6" s="1000">
        <f>LEAD!$N$6*1440/3000</f>
        <v>2496</v>
      </c>
      <c r="F6" s="1001">
        <f>LEAD!$N$6*1440/4000</f>
        <v>1872</v>
      </c>
      <c r="G6" s="1000">
        <f>LEAD!$N$6*1440/5000</f>
        <v>1497.6</v>
      </c>
      <c r="H6" s="1000">
        <f>LEAD!$N$6*1440/6000</f>
        <v>1248</v>
      </c>
      <c r="I6" s="1001">
        <f>LEAD!$N$6*1440/8000</f>
        <v>936</v>
      </c>
      <c r="J6" s="1002"/>
      <c r="K6" s="1002"/>
      <c r="L6" s="1002"/>
      <c r="M6" s="1003"/>
      <c r="N6" s="1003"/>
      <c r="O6" s="1003"/>
      <c r="P6" s="1003"/>
      <c r="Q6" s="1003"/>
      <c r="R6" s="1003"/>
      <c r="S6" s="1003"/>
      <c r="T6" s="1003"/>
      <c r="U6" s="1003"/>
      <c r="V6" s="1003"/>
      <c r="W6" s="1003"/>
      <c r="X6" s="1003"/>
      <c r="Y6" s="1003"/>
      <c r="Z6" s="1003"/>
      <c r="AA6" s="1003"/>
      <c r="AB6" s="1003"/>
      <c r="AC6" s="1003"/>
      <c r="AD6" s="1003"/>
      <c r="AE6" s="1003"/>
      <c r="AF6" s="1003"/>
      <c r="AG6" s="1003"/>
      <c r="AH6" s="1003"/>
      <c r="AI6" s="1003"/>
      <c r="AJ6" s="1003"/>
      <c r="AK6" s="1003"/>
      <c r="AL6" s="1003"/>
      <c r="AM6" s="1003"/>
      <c r="AN6" s="1003"/>
      <c r="AO6" s="1003"/>
      <c r="AP6" s="1003"/>
      <c r="AQ6" s="1003"/>
      <c r="AR6" s="1003"/>
      <c r="AS6" s="1003"/>
      <c r="AT6" s="1003"/>
      <c r="AU6" s="1003"/>
      <c r="AV6" s="1003"/>
      <c r="AW6" s="1003"/>
      <c r="AX6" s="1003"/>
      <c r="AY6" s="1003"/>
      <c r="AZ6" s="1003"/>
      <c r="BA6" s="1003"/>
      <c r="BB6" s="1003"/>
      <c r="BC6" s="1003"/>
      <c r="BD6" s="1003"/>
      <c r="BE6" s="1003"/>
      <c r="BF6" s="1003"/>
      <c r="BG6" s="1003"/>
      <c r="BH6" s="1003"/>
      <c r="BI6" s="1003"/>
      <c r="BJ6" s="1003"/>
      <c r="BK6" s="1003"/>
      <c r="BL6" s="1003"/>
    </row>
    <row r="7" spans="1:64" ht="25.5">
      <c r="A7" s="1847"/>
      <c r="B7" s="1847"/>
      <c r="C7" s="1817" t="s">
        <v>1016</v>
      </c>
      <c r="D7" s="1000">
        <f>ROUND('Civil-SOR'!$G$307*0.2,2)</f>
        <v>104</v>
      </c>
      <c r="E7" s="1000">
        <f>ROUND('Civil-SOR'!$G$307*0.2,2)</f>
        <v>104</v>
      </c>
      <c r="F7" s="1001">
        <f>ROUND('Civil-SOR'!$G$307*0.2,2)</f>
        <v>104</v>
      </c>
      <c r="G7" s="1000">
        <f>ROUND('Civil-SOR'!$G$307*0.2,2)</f>
        <v>104</v>
      </c>
      <c r="H7" s="1000">
        <f>ROUND('Civil-SOR'!$G$307*0.2,2)</f>
        <v>104</v>
      </c>
      <c r="I7" s="1001">
        <f>ROUND('Civil-SOR'!$G$307*0.2,2)</f>
        <v>104</v>
      </c>
      <c r="J7" s="1002"/>
      <c r="K7" s="1002"/>
      <c r="L7" s="1002"/>
      <c r="M7" s="1003"/>
      <c r="N7" s="1003"/>
      <c r="O7" s="1003"/>
      <c r="P7" s="1003"/>
      <c r="Q7" s="1003"/>
      <c r="R7" s="1003"/>
      <c r="S7" s="1003"/>
      <c r="T7" s="1003"/>
      <c r="U7" s="1003"/>
      <c r="V7" s="1003"/>
      <c r="W7" s="1003"/>
      <c r="X7" s="1003"/>
      <c r="Y7" s="1003"/>
      <c r="Z7" s="1003"/>
      <c r="AA7" s="1003"/>
      <c r="AB7" s="1003"/>
      <c r="AC7" s="1003"/>
      <c r="AD7" s="1003"/>
      <c r="AE7" s="1003"/>
      <c r="AF7" s="1003"/>
      <c r="AG7" s="1003"/>
      <c r="AH7" s="1003"/>
      <c r="AI7" s="1003"/>
      <c r="AJ7" s="1003"/>
      <c r="AK7" s="1003"/>
      <c r="AL7" s="1003"/>
      <c r="AM7" s="1003"/>
      <c r="AN7" s="1003"/>
      <c r="AO7" s="1003"/>
      <c r="AP7" s="1003"/>
      <c r="AQ7" s="1003"/>
      <c r="AR7" s="1003"/>
      <c r="AS7" s="1003"/>
      <c r="AT7" s="1003"/>
      <c r="AU7" s="1003"/>
      <c r="AV7" s="1003"/>
      <c r="AW7" s="1003"/>
      <c r="AX7" s="1003"/>
      <c r="AY7" s="1003"/>
      <c r="AZ7" s="1003"/>
      <c r="BA7" s="1003"/>
      <c r="BB7" s="1003"/>
      <c r="BC7" s="1003"/>
      <c r="BD7" s="1003"/>
      <c r="BE7" s="1003"/>
      <c r="BF7" s="1003"/>
      <c r="BG7" s="1003"/>
      <c r="BH7" s="1003"/>
      <c r="BI7" s="1003"/>
      <c r="BJ7" s="1003"/>
      <c r="BK7" s="1003"/>
      <c r="BL7" s="1003"/>
    </row>
    <row r="8" spans="1:64">
      <c r="A8" s="1847"/>
      <c r="B8" s="1847"/>
      <c r="C8" s="1817" t="str">
        <f>Input!$C$47</f>
        <v>Add for MA @ 40%</v>
      </c>
      <c r="D8" s="1000">
        <f>$D$7*Input!$D$47</f>
        <v>41.6</v>
      </c>
      <c r="E8" s="1000">
        <f>$D$7*Input!$D$47</f>
        <v>41.6</v>
      </c>
      <c r="F8" s="1001">
        <f>$D$7*Input!$D$47</f>
        <v>41.6</v>
      </c>
      <c r="G8" s="1000">
        <f>$D$7*Input!$D$47</f>
        <v>41.6</v>
      </c>
      <c r="H8" s="1000">
        <f>$D$7*Input!$D$47</f>
        <v>41.6</v>
      </c>
      <c r="I8" s="1001">
        <f>$D$7*Input!$D$47</f>
        <v>41.6</v>
      </c>
      <c r="J8" s="1002"/>
      <c r="K8" s="1002"/>
      <c r="L8" s="1002"/>
      <c r="M8" s="1003"/>
      <c r="N8" s="1003"/>
      <c r="O8" s="1003"/>
      <c r="P8" s="1003"/>
      <c r="Q8" s="1003"/>
      <c r="R8" s="1003"/>
      <c r="S8" s="1003"/>
      <c r="T8" s="1003"/>
      <c r="U8" s="1003"/>
      <c r="V8" s="1003"/>
      <c r="W8" s="1003"/>
      <c r="X8" s="1003"/>
      <c r="Y8" s="1003"/>
      <c r="Z8" s="1003"/>
      <c r="AA8" s="1003"/>
      <c r="AB8" s="1003"/>
      <c r="AC8" s="1003"/>
      <c r="AD8" s="1003"/>
      <c r="AE8" s="1003"/>
      <c r="AF8" s="1003"/>
      <c r="AG8" s="1003"/>
      <c r="AH8" s="1003"/>
      <c r="AI8" s="1003"/>
      <c r="AJ8" s="1003"/>
      <c r="AK8" s="1003"/>
      <c r="AL8" s="1003"/>
      <c r="AM8" s="1003"/>
      <c r="AN8" s="1003"/>
      <c r="AO8" s="1003"/>
      <c r="AP8" s="1003"/>
      <c r="AQ8" s="1003"/>
      <c r="AR8" s="1003"/>
      <c r="AS8" s="1003"/>
      <c r="AT8" s="1003"/>
      <c r="AU8" s="1003"/>
      <c r="AV8" s="1003"/>
      <c r="AW8" s="1003"/>
      <c r="AX8" s="1003"/>
      <c r="AY8" s="1003"/>
      <c r="AZ8" s="1003"/>
      <c r="BA8" s="1003"/>
      <c r="BB8" s="1003"/>
      <c r="BC8" s="1003"/>
      <c r="BD8" s="1003"/>
      <c r="BE8" s="1003"/>
      <c r="BF8" s="1003"/>
      <c r="BG8" s="1003"/>
      <c r="BH8" s="1003"/>
      <c r="BI8" s="1003"/>
      <c r="BJ8" s="1003"/>
      <c r="BK8" s="1003"/>
      <c r="BL8" s="1003"/>
    </row>
    <row r="9" spans="1:64">
      <c r="A9" s="1840"/>
      <c r="B9" s="1840"/>
      <c r="C9" s="1842" t="s">
        <v>1017</v>
      </c>
      <c r="D9" s="1836">
        <f t="shared" ref="D9:I9" si="0">SUM(D5:D8)</f>
        <v>6466.2100000000009</v>
      </c>
      <c r="E9" s="1004">
        <f t="shared" si="0"/>
        <v>5218.2100000000009</v>
      </c>
      <c r="F9" s="1836">
        <f t="shared" si="0"/>
        <v>4594.2100000000009</v>
      </c>
      <c r="G9" s="1004">
        <f t="shared" si="0"/>
        <v>4219.8100000000004</v>
      </c>
      <c r="H9" s="1004">
        <f t="shared" si="0"/>
        <v>3970.21</v>
      </c>
      <c r="I9" s="1836">
        <f t="shared" si="0"/>
        <v>3658.21</v>
      </c>
      <c r="J9" s="1005"/>
      <c r="K9" s="1005"/>
      <c r="L9" s="1005"/>
      <c r="M9" s="1006"/>
      <c r="N9" s="1006"/>
      <c r="O9" s="1006"/>
      <c r="P9" s="1006"/>
      <c r="Q9" s="1006"/>
      <c r="R9" s="1006"/>
      <c r="S9" s="1006"/>
      <c r="T9" s="1006"/>
      <c r="U9" s="1006"/>
      <c r="V9" s="1006"/>
      <c r="W9" s="1006"/>
      <c r="X9" s="1006"/>
      <c r="Y9" s="1006"/>
      <c r="Z9" s="1006"/>
      <c r="AA9" s="1006"/>
      <c r="AB9" s="1006"/>
      <c r="AC9" s="1006"/>
      <c r="AD9" s="1006"/>
      <c r="AE9" s="1006"/>
      <c r="AF9" s="1006"/>
      <c r="AG9" s="1006"/>
      <c r="AH9" s="1006"/>
      <c r="AI9" s="1006"/>
      <c r="AJ9" s="1006"/>
      <c r="AK9" s="1006"/>
      <c r="AL9" s="1006"/>
      <c r="AM9" s="1006"/>
      <c r="AN9" s="1006"/>
      <c r="AO9" s="1006"/>
      <c r="AP9" s="1006"/>
      <c r="AQ9" s="1006"/>
      <c r="AR9" s="1006"/>
      <c r="AS9" s="1006"/>
      <c r="AT9" s="1006"/>
      <c r="AU9" s="1006"/>
      <c r="AV9" s="1006"/>
      <c r="AW9" s="1006"/>
      <c r="AX9" s="1006"/>
      <c r="AY9" s="1006"/>
      <c r="AZ9" s="1006"/>
      <c r="BA9" s="1006"/>
      <c r="BB9" s="1006"/>
      <c r="BC9" s="1006"/>
      <c r="BD9" s="1006"/>
      <c r="BE9" s="1006"/>
      <c r="BF9" s="1006"/>
      <c r="BG9" s="1006"/>
      <c r="BH9" s="1006"/>
      <c r="BI9" s="1006"/>
      <c r="BJ9" s="1006"/>
      <c r="BK9" s="1006"/>
      <c r="BL9" s="1006"/>
    </row>
    <row r="10" spans="1:64">
      <c r="A10" s="1823"/>
      <c r="B10" s="1007"/>
      <c r="C10" s="1816"/>
      <c r="D10" s="1008"/>
      <c r="E10" s="1008"/>
      <c r="F10" s="1009"/>
      <c r="G10" s="1010"/>
      <c r="H10" s="1008"/>
      <c r="I10" s="1011"/>
      <c r="J10" s="1846"/>
      <c r="K10" s="1846"/>
      <c r="L10" s="1846"/>
    </row>
    <row r="11" spans="1:64" ht="12.75" customHeight="1">
      <c r="A11" s="1840"/>
      <c r="B11" s="1012"/>
      <c r="C11" s="2074" t="s">
        <v>1018</v>
      </c>
      <c r="D11" s="2074"/>
      <c r="E11" s="2074"/>
      <c r="F11" s="2074"/>
      <c r="G11" s="1013"/>
      <c r="H11" s="1013"/>
      <c r="I11" s="1013"/>
      <c r="J11" s="1005"/>
      <c r="K11" s="1005"/>
      <c r="L11" s="1005"/>
      <c r="M11" s="1006"/>
      <c r="N11" s="1006"/>
      <c r="O11" s="1006"/>
      <c r="P11" s="1006"/>
      <c r="Q11" s="1006"/>
      <c r="R11" s="1006"/>
      <c r="S11" s="1006"/>
      <c r="T11" s="1006"/>
      <c r="U11" s="1006"/>
      <c r="V11" s="1006"/>
      <c r="W11" s="1006"/>
      <c r="X11" s="1006"/>
      <c r="Y11" s="1006"/>
      <c r="Z11" s="1006"/>
      <c r="AA11" s="1006"/>
      <c r="AB11" s="1006"/>
      <c r="AC11" s="1006"/>
      <c r="AD11" s="1006"/>
      <c r="AE11" s="1006"/>
      <c r="AF11" s="1006"/>
      <c r="AG11" s="1006"/>
      <c r="AH11" s="1006"/>
      <c r="AI11" s="1006"/>
      <c r="AJ11" s="1006"/>
      <c r="AK11" s="1006"/>
      <c r="AL11" s="1006"/>
      <c r="AM11" s="1006"/>
      <c r="AN11" s="1006"/>
      <c r="AO11" s="1006"/>
      <c r="AP11" s="1006"/>
      <c r="AQ11" s="1006"/>
      <c r="AR11" s="1006"/>
      <c r="AS11" s="1006"/>
      <c r="AT11" s="1006"/>
      <c r="AU11" s="1006"/>
      <c r="AV11" s="1006"/>
      <c r="AW11" s="1006"/>
      <c r="AX11" s="1006"/>
      <c r="AY11" s="1006"/>
      <c r="AZ11" s="1006"/>
      <c r="BA11" s="1006"/>
      <c r="BB11" s="1006"/>
      <c r="BC11" s="1006"/>
      <c r="BD11" s="1006"/>
      <c r="BE11" s="1006"/>
      <c r="BF11" s="1006"/>
      <c r="BG11" s="1006"/>
      <c r="BH11" s="1006"/>
      <c r="BI11" s="1006"/>
      <c r="BJ11" s="1006"/>
      <c r="BK11" s="1006"/>
      <c r="BL11" s="1006"/>
    </row>
    <row r="12" spans="1:64">
      <c r="A12" s="1823"/>
      <c r="B12" s="1007"/>
      <c r="C12" s="1014" t="s">
        <v>1019</v>
      </c>
      <c r="D12" s="994">
        <v>0.6</v>
      </c>
      <c r="E12" s="994">
        <f>LEAD!$N$19</f>
        <v>1507.96</v>
      </c>
      <c r="F12" s="994">
        <f t="shared" ref="F12:F15" si="1">ROUND(D12*E12,2)</f>
        <v>904.78</v>
      </c>
      <c r="G12" s="1015"/>
      <c r="H12" s="1000"/>
      <c r="I12" s="1001"/>
      <c r="J12" s="1002"/>
      <c r="K12" s="1002"/>
      <c r="L12" s="1002"/>
      <c r="M12" s="1003"/>
      <c r="N12" s="1003"/>
      <c r="O12" s="1003"/>
      <c r="P12" s="1003"/>
      <c r="Q12" s="1003"/>
      <c r="R12" s="1003"/>
      <c r="S12" s="1003"/>
      <c r="T12" s="1003"/>
      <c r="U12" s="1003"/>
      <c r="V12" s="1003"/>
      <c r="W12" s="1003"/>
      <c r="X12" s="1003"/>
      <c r="Y12" s="1003"/>
      <c r="Z12" s="1003"/>
      <c r="AA12" s="1003"/>
      <c r="AB12" s="1003"/>
      <c r="AC12" s="1003"/>
      <c r="AD12" s="1003"/>
      <c r="AE12" s="1003"/>
      <c r="AF12" s="1003"/>
      <c r="AG12" s="1003"/>
      <c r="AH12" s="1003"/>
      <c r="AI12" s="1003"/>
      <c r="AJ12" s="1003"/>
      <c r="AK12" s="1003"/>
      <c r="AL12" s="1003"/>
      <c r="AM12" s="1003"/>
      <c r="AN12" s="1003"/>
      <c r="AO12" s="1003"/>
      <c r="AP12" s="1003"/>
      <c r="AQ12" s="1003"/>
      <c r="AR12" s="1003"/>
      <c r="AS12" s="1003"/>
      <c r="AT12" s="1003"/>
      <c r="AU12" s="1003"/>
      <c r="AV12" s="1003"/>
      <c r="AW12" s="1003"/>
      <c r="AX12" s="1003"/>
      <c r="AY12" s="1003"/>
      <c r="AZ12" s="1003"/>
      <c r="BA12" s="1003"/>
      <c r="BB12" s="1003"/>
      <c r="BC12" s="1003"/>
      <c r="BD12" s="1003"/>
      <c r="BE12" s="1003"/>
      <c r="BF12" s="1003"/>
      <c r="BG12" s="1003"/>
      <c r="BH12" s="1003"/>
      <c r="BI12" s="1003"/>
      <c r="BJ12" s="1003"/>
      <c r="BK12" s="1003"/>
      <c r="BL12" s="1003"/>
    </row>
    <row r="13" spans="1:64">
      <c r="A13" s="1823"/>
      <c r="B13" s="1007"/>
      <c r="C13" s="1014" t="s">
        <v>1020</v>
      </c>
      <c r="D13" s="994">
        <v>0.15</v>
      </c>
      <c r="E13" s="994">
        <f>LEAD!$N$20</f>
        <v>1457.96</v>
      </c>
      <c r="F13" s="994">
        <f t="shared" si="1"/>
        <v>218.69</v>
      </c>
      <c r="G13" s="1015"/>
      <c r="H13" s="1000"/>
      <c r="I13" s="1001"/>
      <c r="J13" s="1002"/>
      <c r="K13" s="1002"/>
      <c r="L13" s="1002"/>
      <c r="M13" s="1003"/>
      <c r="N13" s="1003"/>
      <c r="O13" s="1003"/>
      <c r="P13" s="1003"/>
      <c r="Q13" s="1003"/>
      <c r="R13" s="1003"/>
      <c r="S13" s="1003"/>
      <c r="T13" s="1003"/>
      <c r="U13" s="1003"/>
      <c r="V13" s="1003"/>
      <c r="W13" s="1003"/>
      <c r="X13" s="1003"/>
      <c r="Y13" s="1003"/>
      <c r="Z13" s="1003"/>
      <c r="AA13" s="1003"/>
      <c r="AB13" s="1003"/>
      <c r="AC13" s="1003"/>
      <c r="AD13" s="1003"/>
      <c r="AE13" s="1003"/>
      <c r="AF13" s="1003"/>
      <c r="AG13" s="1003"/>
      <c r="AH13" s="1003"/>
      <c r="AI13" s="1003"/>
      <c r="AJ13" s="1003"/>
      <c r="AK13" s="1003"/>
      <c r="AL13" s="1003"/>
      <c r="AM13" s="1003"/>
      <c r="AN13" s="1003"/>
      <c r="AO13" s="1003"/>
      <c r="AP13" s="1003"/>
      <c r="AQ13" s="1003"/>
      <c r="AR13" s="1003"/>
      <c r="AS13" s="1003"/>
      <c r="AT13" s="1003"/>
      <c r="AU13" s="1003"/>
      <c r="AV13" s="1003"/>
      <c r="AW13" s="1003"/>
      <c r="AX13" s="1003"/>
      <c r="AY13" s="1003"/>
      <c r="AZ13" s="1003"/>
      <c r="BA13" s="1003"/>
      <c r="BB13" s="1003"/>
      <c r="BC13" s="1003"/>
      <c r="BD13" s="1003"/>
      <c r="BE13" s="1003"/>
      <c r="BF13" s="1003"/>
      <c r="BG13" s="1003"/>
      <c r="BH13" s="1003"/>
      <c r="BI13" s="1003"/>
      <c r="BJ13" s="1003"/>
      <c r="BK13" s="1003"/>
      <c r="BL13" s="1003"/>
    </row>
    <row r="14" spans="1:64">
      <c r="A14" s="1823"/>
      <c r="B14" s="1007"/>
      <c r="C14" s="1014" t="s">
        <v>1021</v>
      </c>
      <c r="D14" s="994">
        <v>0.15</v>
      </c>
      <c r="E14" s="994">
        <f>LEAD!$N$21</f>
        <v>1357.96</v>
      </c>
      <c r="F14" s="994">
        <f t="shared" si="1"/>
        <v>203.69</v>
      </c>
      <c r="G14" s="1015"/>
      <c r="H14" s="1000"/>
      <c r="I14" s="1001"/>
      <c r="J14" s="1002"/>
      <c r="K14" s="1002"/>
      <c r="L14" s="1002"/>
      <c r="M14" s="1003"/>
      <c r="N14" s="1003"/>
      <c r="O14" s="1003"/>
      <c r="P14" s="1003"/>
      <c r="Q14" s="1003"/>
      <c r="R14" s="1003"/>
      <c r="S14" s="1003"/>
      <c r="T14" s="1003"/>
      <c r="U14" s="1003"/>
      <c r="V14" s="1003"/>
      <c r="W14" s="1003"/>
      <c r="X14" s="1003"/>
      <c r="Y14" s="1003"/>
      <c r="Z14" s="1003"/>
      <c r="AA14" s="1003"/>
      <c r="AB14" s="1003"/>
      <c r="AC14" s="1003"/>
      <c r="AD14" s="1003"/>
      <c r="AE14" s="1003"/>
      <c r="AF14" s="1003"/>
      <c r="AG14" s="1003"/>
      <c r="AH14" s="1003"/>
      <c r="AI14" s="1003"/>
      <c r="AJ14" s="1003"/>
      <c r="AK14" s="1003"/>
      <c r="AL14" s="1003"/>
      <c r="AM14" s="1003"/>
      <c r="AN14" s="1003"/>
      <c r="AO14" s="1003"/>
      <c r="AP14" s="1003"/>
      <c r="AQ14" s="1003"/>
      <c r="AR14" s="1003"/>
      <c r="AS14" s="1003"/>
      <c r="AT14" s="1003"/>
      <c r="AU14" s="1003"/>
      <c r="AV14" s="1003"/>
      <c r="AW14" s="1003"/>
      <c r="AX14" s="1003"/>
      <c r="AY14" s="1003"/>
      <c r="AZ14" s="1003"/>
      <c r="BA14" s="1003"/>
      <c r="BB14" s="1003"/>
      <c r="BC14" s="1003"/>
      <c r="BD14" s="1003"/>
      <c r="BE14" s="1003"/>
      <c r="BF14" s="1003"/>
      <c r="BG14" s="1003"/>
      <c r="BH14" s="1003"/>
      <c r="BI14" s="1003"/>
      <c r="BJ14" s="1003"/>
      <c r="BK14" s="1003"/>
      <c r="BL14" s="1003"/>
    </row>
    <row r="15" spans="1:64">
      <c r="A15" s="1823"/>
      <c r="B15" s="1007"/>
      <c r="C15" s="1014" t="s">
        <v>1022</v>
      </c>
      <c r="D15" s="994">
        <v>0.1</v>
      </c>
      <c r="E15" s="994">
        <f>LEAD!$N$22</f>
        <v>1207.96</v>
      </c>
      <c r="F15" s="994">
        <f t="shared" si="1"/>
        <v>120.8</v>
      </c>
      <c r="G15" s="1015"/>
      <c r="H15" s="1000"/>
      <c r="I15" s="1001"/>
      <c r="J15" s="1002"/>
      <c r="K15" s="1002"/>
      <c r="L15" s="1002"/>
      <c r="M15" s="1003"/>
      <c r="N15" s="1003"/>
      <c r="O15" s="1003"/>
      <c r="P15" s="1003"/>
      <c r="Q15" s="1003"/>
      <c r="R15" s="1003"/>
      <c r="S15" s="1003"/>
      <c r="T15" s="1003"/>
      <c r="U15" s="1003"/>
      <c r="V15" s="1003"/>
      <c r="W15" s="1003"/>
      <c r="X15" s="1003"/>
      <c r="Y15" s="1003"/>
      <c r="Z15" s="1003"/>
      <c r="AA15" s="1003"/>
      <c r="AB15" s="1003"/>
      <c r="AC15" s="1003"/>
      <c r="AD15" s="1003"/>
      <c r="AE15" s="1003"/>
      <c r="AF15" s="1003"/>
      <c r="AG15" s="1003"/>
      <c r="AH15" s="1003"/>
      <c r="AI15" s="1003"/>
      <c r="AJ15" s="1003"/>
      <c r="AK15" s="1003"/>
      <c r="AL15" s="1003"/>
      <c r="AM15" s="1003"/>
      <c r="AN15" s="1003"/>
      <c r="AO15" s="1003"/>
      <c r="AP15" s="1003"/>
      <c r="AQ15" s="1003"/>
      <c r="AR15" s="1003"/>
      <c r="AS15" s="1003"/>
      <c r="AT15" s="1003"/>
      <c r="AU15" s="1003"/>
      <c r="AV15" s="1003"/>
      <c r="AW15" s="1003"/>
      <c r="AX15" s="1003"/>
      <c r="AY15" s="1003"/>
      <c r="AZ15" s="1003"/>
      <c r="BA15" s="1003"/>
      <c r="BB15" s="1003"/>
      <c r="BC15" s="1003"/>
      <c r="BD15" s="1003"/>
      <c r="BE15" s="1003"/>
      <c r="BF15" s="1003"/>
      <c r="BG15" s="1003"/>
      <c r="BH15" s="1003"/>
      <c r="BI15" s="1003"/>
      <c r="BJ15" s="1003"/>
      <c r="BK15" s="1003"/>
      <c r="BL15" s="1003"/>
    </row>
    <row r="16" spans="1:64" ht="12.75" customHeight="1">
      <c r="A16" s="1840"/>
      <c r="B16" s="1012"/>
      <c r="C16" s="2075" t="s">
        <v>1017</v>
      </c>
      <c r="D16" s="2075"/>
      <c r="E16" s="2075"/>
      <c r="F16" s="1836">
        <f>SUM(F12:F15)</f>
        <v>1447.96</v>
      </c>
      <c r="G16" s="1016"/>
      <c r="H16" s="1005"/>
      <c r="I16" s="1017"/>
      <c r="J16" s="1005"/>
      <c r="K16" s="1005"/>
      <c r="L16" s="1005"/>
      <c r="M16" s="1006"/>
      <c r="N16" s="1006"/>
      <c r="O16" s="1006"/>
      <c r="P16" s="1006"/>
      <c r="Q16" s="1006"/>
      <c r="R16" s="1006"/>
      <c r="S16" s="1006"/>
      <c r="T16" s="1006"/>
      <c r="U16" s="1006"/>
      <c r="V16" s="1006"/>
      <c r="W16" s="1006"/>
      <c r="X16" s="1006"/>
      <c r="Y16" s="1006"/>
      <c r="Z16" s="1006"/>
      <c r="AA16" s="1006"/>
      <c r="AB16" s="1006"/>
      <c r="AC16" s="1006"/>
      <c r="AD16" s="1006"/>
      <c r="AE16" s="1006"/>
      <c r="AF16" s="1006"/>
      <c r="AG16" s="1006"/>
      <c r="AH16" s="1006"/>
      <c r="AI16" s="1006"/>
      <c r="AJ16" s="1006"/>
      <c r="AK16" s="1006"/>
      <c r="AL16" s="1006"/>
      <c r="AM16" s="1006"/>
      <c r="AN16" s="1006"/>
      <c r="AO16" s="1006"/>
      <c r="AP16" s="1006"/>
      <c r="AQ16" s="1006"/>
      <c r="AR16" s="1006"/>
      <c r="AS16" s="1006"/>
      <c r="AT16" s="1006"/>
      <c r="AU16" s="1006"/>
      <c r="AV16" s="1006"/>
      <c r="AW16" s="1006"/>
      <c r="AX16" s="1006"/>
      <c r="AY16" s="1006"/>
      <c r="AZ16" s="1006"/>
      <c r="BA16" s="1006"/>
      <c r="BB16" s="1006"/>
      <c r="BC16" s="1006"/>
      <c r="BD16" s="1006"/>
      <c r="BE16" s="1006"/>
      <c r="BF16" s="1006"/>
      <c r="BG16" s="1006"/>
      <c r="BH16" s="1006"/>
      <c r="BI16" s="1006"/>
      <c r="BJ16" s="1006"/>
      <c r="BK16" s="1006"/>
      <c r="BL16" s="1006"/>
    </row>
    <row r="17" spans="1:64">
      <c r="A17" s="1823"/>
      <c r="B17" s="1007"/>
      <c r="C17" s="1825"/>
      <c r="D17" s="1018"/>
      <c r="E17" s="1002"/>
      <c r="F17" s="1019"/>
      <c r="G17" s="1020"/>
      <c r="H17" s="1002"/>
      <c r="I17" s="1021"/>
      <c r="J17" s="1846"/>
      <c r="K17" s="1846"/>
      <c r="L17" s="1846"/>
    </row>
    <row r="18" spans="1:64" ht="12.75" customHeight="1">
      <c r="A18" s="1840"/>
      <c r="B18" s="1012"/>
      <c r="C18" s="2074" t="s">
        <v>1023</v>
      </c>
      <c r="D18" s="2074"/>
      <c r="E18" s="2074"/>
      <c r="F18" s="2074"/>
      <c r="G18" s="1013"/>
      <c r="H18" s="1013"/>
      <c r="I18" s="1013"/>
      <c r="J18" s="1005"/>
      <c r="K18" s="1005"/>
      <c r="L18" s="1005"/>
      <c r="M18" s="1006"/>
      <c r="N18" s="1006"/>
      <c r="O18" s="1006"/>
      <c r="P18" s="1006"/>
      <c r="Q18" s="1006"/>
      <c r="R18" s="1006"/>
      <c r="S18" s="1006"/>
      <c r="T18" s="1006"/>
      <c r="U18" s="1006"/>
      <c r="V18" s="1006"/>
      <c r="W18" s="1006"/>
      <c r="X18" s="1006"/>
      <c r="Y18" s="1006"/>
      <c r="Z18" s="1006"/>
      <c r="AA18" s="1006"/>
      <c r="AB18" s="1006"/>
      <c r="AC18" s="1006"/>
      <c r="AD18" s="1006"/>
      <c r="AE18" s="1006"/>
      <c r="AF18" s="1006"/>
      <c r="AG18" s="1006"/>
      <c r="AH18" s="1006"/>
      <c r="AI18" s="1006"/>
      <c r="AJ18" s="1006"/>
      <c r="AK18" s="1006"/>
      <c r="AL18" s="1006"/>
      <c r="AM18" s="1006"/>
      <c r="AN18" s="1006"/>
      <c r="AO18" s="1006"/>
      <c r="AP18" s="1006"/>
      <c r="AQ18" s="1006"/>
      <c r="AR18" s="1006"/>
      <c r="AS18" s="1006"/>
      <c r="AT18" s="1006"/>
      <c r="AU18" s="1006"/>
      <c r="AV18" s="1006"/>
      <c r="AW18" s="1006"/>
      <c r="AX18" s="1006"/>
      <c r="AY18" s="1006"/>
      <c r="AZ18" s="1006"/>
      <c r="BA18" s="1006"/>
      <c r="BB18" s="1006"/>
      <c r="BC18" s="1006"/>
      <c r="BD18" s="1006"/>
      <c r="BE18" s="1006"/>
      <c r="BF18" s="1006"/>
      <c r="BG18" s="1006"/>
      <c r="BH18" s="1006"/>
      <c r="BI18" s="1006"/>
      <c r="BJ18" s="1006"/>
      <c r="BK18" s="1006"/>
      <c r="BL18" s="1006"/>
    </row>
    <row r="19" spans="1:64">
      <c r="A19" s="1823"/>
      <c r="B19" s="1007"/>
      <c r="C19" s="1022" t="s">
        <v>1020</v>
      </c>
      <c r="D19" s="1001">
        <v>0.6</v>
      </c>
      <c r="E19" s="1000">
        <f>LEAD!$N$20</f>
        <v>1457.96</v>
      </c>
      <c r="F19" s="1001">
        <f t="shared" ref="F19:F21" si="2">D19*E19</f>
        <v>874.77599999999995</v>
      </c>
      <c r="G19" s="1020"/>
      <c r="H19" s="1002"/>
      <c r="I19" s="1021"/>
      <c r="J19" s="1846"/>
      <c r="K19" s="1846"/>
      <c r="L19" s="1846"/>
    </row>
    <row r="20" spans="1:64">
      <c r="A20" s="1823"/>
      <c r="B20" s="1007"/>
      <c r="C20" s="1022" t="s">
        <v>1021</v>
      </c>
      <c r="D20" s="1001">
        <v>0.2</v>
      </c>
      <c r="E20" s="1000">
        <f>LEAD!$N$21</f>
        <v>1357.96</v>
      </c>
      <c r="F20" s="1001">
        <f t="shared" si="2"/>
        <v>271.59200000000004</v>
      </c>
      <c r="G20" s="1020"/>
      <c r="H20" s="1002"/>
      <c r="I20" s="1021"/>
      <c r="J20" s="1846"/>
      <c r="K20" s="1846"/>
      <c r="L20" s="1846"/>
    </row>
    <row r="21" spans="1:64">
      <c r="A21" s="1823"/>
      <c r="B21" s="1007"/>
      <c r="C21" s="1022" t="s">
        <v>1022</v>
      </c>
      <c r="D21" s="1001">
        <v>0.2</v>
      </c>
      <c r="E21" s="1000">
        <f>LEAD!$N$22</f>
        <v>1207.96</v>
      </c>
      <c r="F21" s="1001">
        <f t="shared" si="2"/>
        <v>241.59200000000001</v>
      </c>
      <c r="G21" s="1020"/>
      <c r="H21" s="1002"/>
      <c r="I21" s="1021"/>
      <c r="J21" s="1846"/>
      <c r="K21" s="1846"/>
      <c r="L21" s="1846"/>
    </row>
    <row r="22" spans="1:64" ht="12.75" customHeight="1">
      <c r="A22" s="1840"/>
      <c r="B22" s="1012"/>
      <c r="C22" s="2075" t="s">
        <v>1017</v>
      </c>
      <c r="D22" s="2075"/>
      <c r="E22" s="2075"/>
      <c r="F22" s="1836">
        <f>ROUND(SUM(F19:F21),2)</f>
        <v>1387.96</v>
      </c>
      <c r="G22" s="1016"/>
      <c r="H22" s="1005"/>
      <c r="I22" s="1017"/>
      <c r="J22" s="1005"/>
      <c r="K22" s="1005"/>
      <c r="L22" s="1005"/>
      <c r="M22" s="1006"/>
      <c r="N22" s="1006"/>
      <c r="O22" s="1006"/>
      <c r="P22" s="1006"/>
      <c r="Q22" s="1006"/>
      <c r="R22" s="1006"/>
      <c r="S22" s="1006"/>
      <c r="T22" s="1006"/>
      <c r="U22" s="1006"/>
      <c r="V22" s="1006"/>
      <c r="W22" s="1006"/>
      <c r="X22" s="1006"/>
      <c r="Y22" s="1006"/>
      <c r="Z22" s="1006"/>
      <c r="AA22" s="1006"/>
      <c r="AB22" s="1006"/>
      <c r="AC22" s="1006"/>
      <c r="AD22" s="1006"/>
      <c r="AE22" s="1006"/>
      <c r="AF22" s="1006"/>
      <c r="AG22" s="1006"/>
      <c r="AH22" s="1006"/>
      <c r="AI22" s="1006"/>
      <c r="AJ22" s="1006"/>
      <c r="AK22" s="1006"/>
      <c r="AL22" s="1006"/>
      <c r="AM22" s="1006"/>
      <c r="AN22" s="1006"/>
      <c r="AO22" s="1006"/>
      <c r="AP22" s="1006"/>
      <c r="AQ22" s="1006"/>
      <c r="AR22" s="1006"/>
      <c r="AS22" s="1006"/>
      <c r="AT22" s="1006"/>
      <c r="AU22" s="1006"/>
      <c r="AV22" s="1006"/>
      <c r="AW22" s="1006"/>
      <c r="AX22" s="1006"/>
      <c r="AY22" s="1006"/>
      <c r="AZ22" s="1006"/>
      <c r="BA22" s="1006"/>
      <c r="BB22" s="1006"/>
      <c r="BC22" s="1006"/>
      <c r="BD22" s="1006"/>
      <c r="BE22" s="1006"/>
      <c r="BF22" s="1006"/>
      <c r="BG22" s="1006"/>
      <c r="BH22" s="1006"/>
      <c r="BI22" s="1006"/>
      <c r="BJ22" s="1006"/>
      <c r="BK22" s="1006"/>
      <c r="BL22" s="1006"/>
    </row>
    <row r="23" spans="1:64" ht="12.75" customHeight="1">
      <c r="A23" s="2071" t="s">
        <v>1024</v>
      </c>
      <c r="B23" s="2071"/>
      <c r="C23" s="2071"/>
      <c r="D23" s="2071"/>
      <c r="E23" s="2071"/>
      <c r="F23" s="2071"/>
      <c r="G23" s="2071"/>
      <c r="H23" s="2071"/>
      <c r="I23" s="2071"/>
      <c r="J23" s="1846"/>
      <c r="K23" s="1846"/>
      <c r="L23" s="1846"/>
    </row>
    <row r="24" spans="1:64" ht="25.5" customHeight="1">
      <c r="A24" s="2061" t="s">
        <v>936</v>
      </c>
      <c r="B24" s="2061"/>
      <c r="C24" s="1841" t="s">
        <v>937</v>
      </c>
      <c r="D24" s="2061" t="s">
        <v>1025</v>
      </c>
      <c r="E24" s="2061"/>
      <c r="F24" s="1836" t="s">
        <v>1026</v>
      </c>
      <c r="G24" s="2062" t="s">
        <v>1027</v>
      </c>
      <c r="H24" s="2062"/>
      <c r="I24" s="1836" t="s">
        <v>1028</v>
      </c>
      <c r="J24" s="1023"/>
      <c r="K24" s="1023"/>
      <c r="L24" s="1023"/>
      <c r="M24" s="1024"/>
      <c r="N24" s="1024"/>
      <c r="O24" s="1024"/>
      <c r="P24" s="1024"/>
      <c r="Q24" s="1024"/>
      <c r="R24" s="1024"/>
      <c r="S24" s="1024"/>
      <c r="T24" s="1024"/>
      <c r="U24" s="1024"/>
      <c r="V24" s="1024"/>
      <c r="W24" s="1024"/>
      <c r="X24" s="1024"/>
      <c r="Y24" s="1024"/>
      <c r="Z24" s="1024"/>
      <c r="AA24" s="1024"/>
      <c r="AB24" s="1024"/>
      <c r="AC24" s="1024"/>
      <c r="AD24" s="1024"/>
      <c r="AE24" s="1024"/>
      <c r="AF24" s="1024"/>
      <c r="AG24" s="1024"/>
      <c r="AH24" s="1024"/>
      <c r="AI24" s="1024"/>
      <c r="AJ24" s="1024"/>
      <c r="AK24" s="1024"/>
      <c r="AL24" s="1024"/>
      <c r="AM24" s="1024"/>
      <c r="AN24" s="1024"/>
      <c r="AO24" s="1024"/>
      <c r="AP24" s="1024"/>
      <c r="AQ24" s="1024"/>
      <c r="AR24" s="1024"/>
      <c r="AS24" s="1024"/>
      <c r="AT24" s="1024"/>
      <c r="AU24" s="1024"/>
      <c r="AV24" s="1024"/>
      <c r="AW24" s="1024"/>
      <c r="AX24" s="1024"/>
      <c r="AY24" s="1024"/>
      <c r="AZ24" s="1024"/>
      <c r="BA24" s="1024"/>
      <c r="BB24" s="1024"/>
      <c r="BC24" s="1024"/>
      <c r="BD24" s="1024"/>
      <c r="BE24" s="1024"/>
      <c r="BF24" s="1024"/>
      <c r="BG24" s="1024"/>
      <c r="BH24" s="1024"/>
      <c r="BI24" s="1024"/>
      <c r="BJ24" s="1024"/>
      <c r="BK24" s="1024"/>
      <c r="BL24" s="1024"/>
    </row>
    <row r="25" spans="1:64">
      <c r="A25" s="1836"/>
      <c r="B25" s="1836"/>
      <c r="C25" s="1841"/>
      <c r="D25" s="1836"/>
      <c r="E25" s="1836"/>
      <c r="F25" s="1836"/>
      <c r="G25" s="1837"/>
      <c r="H25" s="1841"/>
      <c r="I25" s="1836"/>
      <c r="J25" s="1023"/>
      <c r="K25" s="1023"/>
      <c r="L25" s="1023"/>
      <c r="M25" s="1024"/>
      <c r="N25" s="1024"/>
      <c r="O25" s="1024"/>
      <c r="P25" s="1024"/>
      <c r="Q25" s="1024"/>
      <c r="R25" s="1024"/>
      <c r="S25" s="1024"/>
      <c r="T25" s="1024"/>
      <c r="U25" s="1024"/>
      <c r="V25" s="1024"/>
      <c r="W25" s="1024"/>
      <c r="X25" s="1024"/>
      <c r="Y25" s="1024"/>
      <c r="Z25" s="1024"/>
      <c r="AA25" s="1024"/>
      <c r="AB25" s="1024"/>
      <c r="AC25" s="1024"/>
      <c r="AD25" s="1024"/>
      <c r="AE25" s="1024"/>
      <c r="AF25" s="1024"/>
      <c r="AG25" s="1024"/>
      <c r="AH25" s="1024"/>
      <c r="AI25" s="1024"/>
      <c r="AJ25" s="1024"/>
      <c r="AK25" s="1024"/>
      <c r="AL25" s="1024"/>
      <c r="AM25" s="1024"/>
      <c r="AN25" s="1024"/>
      <c r="AO25" s="1024"/>
      <c r="AP25" s="1024"/>
      <c r="AQ25" s="1024"/>
      <c r="AR25" s="1024"/>
      <c r="AS25" s="1024"/>
      <c r="AT25" s="1024"/>
      <c r="AU25" s="1024"/>
      <c r="AV25" s="1024"/>
      <c r="AW25" s="1024"/>
      <c r="AX25" s="1024"/>
      <c r="AY25" s="1024"/>
      <c r="AZ25" s="1024"/>
      <c r="BA25" s="1024"/>
      <c r="BB25" s="1024"/>
      <c r="BC25" s="1024"/>
      <c r="BD25" s="1024"/>
      <c r="BE25" s="1024"/>
      <c r="BF25" s="1024"/>
      <c r="BG25" s="1024"/>
      <c r="BH25" s="1024"/>
      <c r="BI25" s="1024"/>
      <c r="BJ25" s="1024"/>
      <c r="BK25" s="1024"/>
      <c r="BL25" s="1024"/>
    </row>
    <row r="26" spans="1:64" ht="36.950000000000003" customHeight="1">
      <c r="A26" s="1025">
        <v>1</v>
      </c>
      <c r="B26" s="1836"/>
      <c r="C26" s="2063" t="s">
        <v>3629</v>
      </c>
      <c r="D26" s="2064"/>
      <c r="E26" s="2064"/>
      <c r="F26" s="2064"/>
      <c r="G26" s="2064"/>
      <c r="H26" s="2064"/>
      <c r="I26" s="2065"/>
      <c r="J26" s="1023"/>
      <c r="K26" s="1023"/>
      <c r="L26" s="1023"/>
      <c r="M26" s="1024"/>
      <c r="N26" s="1024"/>
      <c r="O26" s="1024"/>
      <c r="P26" s="1024"/>
      <c r="Q26" s="1024"/>
      <c r="R26" s="1024"/>
      <c r="S26" s="1024"/>
      <c r="T26" s="1024"/>
      <c r="U26" s="1024"/>
      <c r="V26" s="1024"/>
      <c r="W26" s="1024"/>
      <c r="X26" s="1024"/>
      <c r="Y26" s="1024"/>
      <c r="Z26" s="1024"/>
      <c r="AA26" s="1024"/>
      <c r="AB26" s="1024"/>
      <c r="AC26" s="1024"/>
      <c r="AD26" s="1024"/>
      <c r="AE26" s="1024"/>
      <c r="AF26" s="1024"/>
      <c r="AG26" s="1024"/>
      <c r="AH26" s="1024"/>
      <c r="AI26" s="1024"/>
      <c r="AJ26" s="1024"/>
      <c r="AK26" s="1024"/>
      <c r="AL26" s="1024"/>
      <c r="AM26" s="1024"/>
      <c r="AN26" s="1024"/>
      <c r="AO26" s="1024"/>
      <c r="AP26" s="1024"/>
      <c r="AQ26" s="1024"/>
      <c r="AR26" s="1024"/>
      <c r="AS26" s="1024"/>
      <c r="AT26" s="1024"/>
      <c r="AU26" s="1024"/>
      <c r="AV26" s="1024"/>
      <c r="AW26" s="1024"/>
      <c r="AX26" s="1024"/>
      <c r="AY26" s="1024"/>
      <c r="AZ26" s="1024"/>
      <c r="BA26" s="1024"/>
      <c r="BB26" s="1024"/>
      <c r="BC26" s="1024"/>
      <c r="BD26" s="1024"/>
      <c r="BE26" s="1024"/>
      <c r="BF26" s="1024"/>
      <c r="BG26" s="1024"/>
      <c r="BH26" s="1024"/>
      <c r="BI26" s="1024"/>
      <c r="BJ26" s="1024"/>
      <c r="BK26" s="1024"/>
      <c r="BL26" s="1024"/>
    </row>
    <row r="27" spans="1:64" ht="15.75" customHeight="1">
      <c r="A27" s="1836"/>
      <c r="B27" s="1836" t="s">
        <v>294</v>
      </c>
      <c r="C27" s="1838" t="s">
        <v>1029</v>
      </c>
      <c r="D27" s="1017"/>
      <c r="E27" s="1026"/>
      <c r="F27" s="1017"/>
      <c r="G27" s="1027"/>
      <c r="H27" s="1840"/>
      <c r="I27" s="1017"/>
      <c r="J27" s="1023"/>
      <c r="K27" s="1023"/>
      <c r="L27" s="1023"/>
      <c r="M27" s="1024"/>
      <c r="N27" s="1024"/>
      <c r="O27" s="1024"/>
      <c r="P27" s="1024"/>
      <c r="Q27" s="1024"/>
      <c r="R27" s="1024"/>
      <c r="S27" s="1024"/>
      <c r="T27" s="1024"/>
      <c r="U27" s="1024"/>
      <c r="V27" s="1024"/>
      <c r="W27" s="1024"/>
      <c r="X27" s="1024"/>
      <c r="Y27" s="1024"/>
      <c r="Z27" s="1024"/>
      <c r="AA27" s="1024"/>
      <c r="AB27" s="1024"/>
      <c r="AC27" s="1024"/>
      <c r="AD27" s="1024"/>
      <c r="AE27" s="1024"/>
      <c r="AF27" s="1024"/>
      <c r="AG27" s="1024"/>
      <c r="AH27" s="1024"/>
      <c r="AI27" s="1024"/>
      <c r="AJ27" s="1024"/>
      <c r="AK27" s="1024"/>
      <c r="AL27" s="1024"/>
      <c r="AM27" s="1024"/>
      <c r="AN27" s="1024"/>
      <c r="AO27" s="1024"/>
      <c r="AP27" s="1024"/>
      <c r="AQ27" s="1024"/>
      <c r="AR27" s="1024"/>
      <c r="AS27" s="1024"/>
      <c r="AT27" s="1024"/>
      <c r="AU27" s="1024"/>
      <c r="AV27" s="1024"/>
      <c r="AW27" s="1024"/>
      <c r="AX27" s="1024"/>
      <c r="AY27" s="1024"/>
      <c r="AZ27" s="1024"/>
      <c r="BA27" s="1024"/>
      <c r="BB27" s="1024"/>
      <c r="BC27" s="1024"/>
      <c r="BD27" s="1024"/>
      <c r="BE27" s="1024"/>
      <c r="BF27" s="1024"/>
      <c r="BG27" s="1024"/>
      <c r="BH27" s="1024"/>
      <c r="BI27" s="1024"/>
      <c r="BJ27" s="1024"/>
      <c r="BK27" s="1024"/>
      <c r="BL27" s="1024"/>
    </row>
    <row r="28" spans="1:64">
      <c r="A28" s="1836"/>
      <c r="B28" s="1836"/>
      <c r="C28" s="1838" t="s">
        <v>1030</v>
      </c>
      <c r="D28" s="1017"/>
      <c r="E28" s="1026"/>
      <c r="F28" s="1017"/>
      <c r="G28" s="1027"/>
      <c r="H28" s="1840"/>
      <c r="I28" s="1017"/>
      <c r="J28" s="1023"/>
      <c r="K28" s="1023"/>
      <c r="L28" s="1023"/>
      <c r="M28" s="1024"/>
      <c r="N28" s="1024"/>
      <c r="O28" s="1024"/>
      <c r="P28" s="1024"/>
      <c r="Q28" s="1024"/>
      <c r="R28" s="1024"/>
      <c r="S28" s="1024"/>
      <c r="T28" s="1024"/>
      <c r="U28" s="1024"/>
      <c r="V28" s="1024"/>
      <c r="W28" s="1024"/>
      <c r="X28" s="1024"/>
      <c r="Y28" s="1024"/>
      <c r="Z28" s="1024"/>
      <c r="AA28" s="1024"/>
      <c r="AB28" s="1024"/>
      <c r="AC28" s="1024"/>
      <c r="AD28" s="1024"/>
      <c r="AE28" s="1024"/>
      <c r="AF28" s="1024"/>
      <c r="AG28" s="1024"/>
      <c r="AH28" s="1024"/>
      <c r="AI28" s="1024"/>
      <c r="AJ28" s="1024"/>
      <c r="AK28" s="1024"/>
      <c r="AL28" s="1024"/>
      <c r="AM28" s="1024"/>
      <c r="AN28" s="1024"/>
      <c r="AO28" s="1024"/>
      <c r="AP28" s="1024"/>
      <c r="AQ28" s="1024"/>
      <c r="AR28" s="1024"/>
      <c r="AS28" s="1024"/>
      <c r="AT28" s="1024"/>
      <c r="AU28" s="1024"/>
      <c r="AV28" s="1024"/>
      <c r="AW28" s="1024"/>
      <c r="AX28" s="1024"/>
      <c r="AY28" s="1024"/>
      <c r="AZ28" s="1024"/>
      <c r="BA28" s="1024"/>
      <c r="BB28" s="1024"/>
      <c r="BC28" s="1024"/>
      <c r="BD28" s="1024"/>
      <c r="BE28" s="1024"/>
      <c r="BF28" s="1024"/>
      <c r="BG28" s="1024"/>
      <c r="BH28" s="1024"/>
      <c r="BI28" s="1024"/>
      <c r="BJ28" s="1024"/>
      <c r="BK28" s="1024"/>
      <c r="BL28" s="1024"/>
    </row>
    <row r="29" spans="1:64">
      <c r="A29" s="1836"/>
      <c r="B29" s="1836"/>
      <c r="C29" s="1014" t="s">
        <v>1031</v>
      </c>
      <c r="D29" s="1631">
        <v>0.40899999999999997</v>
      </c>
      <c r="E29" s="1028" t="s">
        <v>36</v>
      </c>
      <c r="F29" s="1017">
        <f>'Civil-SOR'!$G$307</f>
        <v>520</v>
      </c>
      <c r="G29" s="1029">
        <v>1</v>
      </c>
      <c r="H29" s="1014" t="s">
        <v>501</v>
      </c>
      <c r="I29" s="1030">
        <f t="shared" ref="I29:I30" si="3">IF(G29="",D29*F29,(D29*F29/G29))</f>
        <v>212.67999999999998</v>
      </c>
      <c r="J29" s="1023"/>
      <c r="K29" s="1023"/>
      <c r="L29" s="1023"/>
      <c r="M29" s="1024"/>
      <c r="N29" s="1024"/>
      <c r="O29" s="1024"/>
      <c r="P29" s="1024"/>
      <c r="Q29" s="1024"/>
      <c r="R29" s="1024"/>
      <c r="S29" s="1024"/>
      <c r="T29" s="1024"/>
      <c r="U29" s="1024"/>
      <c r="V29" s="1024"/>
      <c r="W29" s="1024"/>
      <c r="X29" s="1024"/>
      <c r="Y29" s="1024"/>
      <c r="Z29" s="1024"/>
      <c r="AA29" s="1024"/>
      <c r="AB29" s="1024"/>
      <c r="AC29" s="1024"/>
      <c r="AD29" s="1024"/>
      <c r="AE29" s="1024"/>
      <c r="AF29" s="1024"/>
      <c r="AG29" s="1024"/>
      <c r="AH29" s="1024"/>
      <c r="AI29" s="1024"/>
      <c r="AJ29" s="1024"/>
      <c r="AK29" s="1024"/>
      <c r="AL29" s="1024"/>
      <c r="AM29" s="1024"/>
      <c r="AN29" s="1024"/>
      <c r="AO29" s="1024"/>
      <c r="AP29" s="1024"/>
      <c r="AQ29" s="1024"/>
      <c r="AR29" s="1024"/>
      <c r="AS29" s="1024"/>
      <c r="AT29" s="1024"/>
      <c r="AU29" s="1024"/>
      <c r="AV29" s="1024"/>
      <c r="AW29" s="1024"/>
      <c r="AX29" s="1024"/>
      <c r="AY29" s="1024"/>
      <c r="AZ29" s="1024"/>
      <c r="BA29" s="1024"/>
      <c r="BB29" s="1024"/>
      <c r="BC29" s="1024"/>
      <c r="BD29" s="1024"/>
      <c r="BE29" s="1024"/>
      <c r="BF29" s="1024"/>
      <c r="BG29" s="1024"/>
      <c r="BH29" s="1024"/>
      <c r="BI29" s="1024"/>
      <c r="BJ29" s="1024"/>
      <c r="BK29" s="1024"/>
      <c r="BL29" s="1024"/>
    </row>
    <row r="30" spans="1:64">
      <c r="A30" s="1836"/>
      <c r="B30" s="1836"/>
      <c r="C30" s="1014" t="str">
        <f>Input!$C$47</f>
        <v>Add for MA @ 40%</v>
      </c>
      <c r="D30" s="1031">
        <f>Input!$D$47</f>
        <v>0.4</v>
      </c>
      <c r="E30" s="1032"/>
      <c r="F30" s="1017">
        <f>I29</f>
        <v>212.67999999999998</v>
      </c>
      <c r="G30" s="1837"/>
      <c r="H30" s="1841"/>
      <c r="I30" s="1030">
        <f t="shared" si="3"/>
        <v>85.072000000000003</v>
      </c>
      <c r="J30" s="1023"/>
      <c r="K30" s="1023"/>
      <c r="L30" s="1023"/>
      <c r="M30" s="1024"/>
      <c r="N30" s="1024"/>
      <c r="O30" s="1024"/>
      <c r="P30" s="1024"/>
      <c r="Q30" s="1024"/>
      <c r="R30" s="1024"/>
      <c r="S30" s="1024"/>
      <c r="T30" s="1024"/>
      <c r="U30" s="1024"/>
      <c r="V30" s="1024"/>
      <c r="W30" s="1024"/>
      <c r="X30" s="1024"/>
      <c r="Y30" s="1024"/>
      <c r="Z30" s="1024"/>
      <c r="AA30" s="1024"/>
      <c r="AB30" s="1024"/>
      <c r="AC30" s="1024"/>
      <c r="AD30" s="1024"/>
      <c r="AE30" s="1024"/>
      <c r="AF30" s="1024"/>
      <c r="AG30" s="1024"/>
      <c r="AH30" s="1024"/>
      <c r="AI30" s="1024"/>
      <c r="AJ30" s="1024"/>
      <c r="AK30" s="1024"/>
      <c r="AL30" s="1024"/>
      <c r="AM30" s="1024"/>
      <c r="AN30" s="1024"/>
      <c r="AO30" s="1024"/>
      <c r="AP30" s="1024"/>
      <c r="AQ30" s="1024"/>
      <c r="AR30" s="1024"/>
      <c r="AS30" s="1024"/>
      <c r="AT30" s="1024"/>
      <c r="AU30" s="1024"/>
      <c r="AV30" s="1024"/>
      <c r="AW30" s="1024"/>
      <c r="AX30" s="1024"/>
      <c r="AY30" s="1024"/>
      <c r="AZ30" s="1024"/>
      <c r="BA30" s="1024"/>
      <c r="BB30" s="1024"/>
      <c r="BC30" s="1024"/>
      <c r="BD30" s="1024"/>
      <c r="BE30" s="1024"/>
      <c r="BF30" s="1024"/>
      <c r="BG30" s="1024"/>
      <c r="BH30" s="1024"/>
      <c r="BI30" s="1024"/>
      <c r="BJ30" s="1024"/>
      <c r="BK30" s="1024"/>
      <c r="BL30" s="1024"/>
    </row>
    <row r="31" spans="1:64">
      <c r="A31" s="1836"/>
      <c r="B31" s="1836"/>
      <c r="C31" s="1838" t="s">
        <v>1032</v>
      </c>
      <c r="D31" s="1836"/>
      <c r="E31" s="1032"/>
      <c r="F31" s="1836"/>
      <c r="G31" s="1837"/>
      <c r="H31" s="1841"/>
      <c r="I31" s="1011">
        <f>SUM(I29:I30)</f>
        <v>297.75199999999995</v>
      </c>
      <c r="J31" s="1023"/>
      <c r="K31" s="1023"/>
      <c r="L31" s="1023"/>
      <c r="M31" s="1024"/>
      <c r="N31" s="1024"/>
      <c r="O31" s="1024"/>
      <c r="P31" s="1024"/>
      <c r="Q31" s="1024"/>
      <c r="R31" s="1024"/>
      <c r="S31" s="1024"/>
      <c r="T31" s="1024"/>
      <c r="U31" s="1024"/>
      <c r="V31" s="1024"/>
      <c r="W31" s="1024"/>
      <c r="X31" s="1024"/>
      <c r="Y31" s="1024"/>
      <c r="Z31" s="1024"/>
      <c r="AA31" s="1024"/>
      <c r="AB31" s="1024"/>
      <c r="AC31" s="1024"/>
      <c r="AD31" s="1024"/>
      <c r="AE31" s="1024"/>
      <c r="AF31" s="1024"/>
      <c r="AG31" s="1024"/>
      <c r="AH31" s="1024"/>
      <c r="AI31" s="1024"/>
      <c r="AJ31" s="1024"/>
      <c r="AK31" s="1024"/>
      <c r="AL31" s="1024"/>
      <c r="AM31" s="1024"/>
      <c r="AN31" s="1024"/>
      <c r="AO31" s="1024"/>
      <c r="AP31" s="1024"/>
      <c r="AQ31" s="1024"/>
      <c r="AR31" s="1024"/>
      <c r="AS31" s="1024"/>
      <c r="AT31" s="1024"/>
      <c r="AU31" s="1024"/>
      <c r="AV31" s="1024"/>
      <c r="AW31" s="1024"/>
      <c r="AX31" s="1024"/>
      <c r="AY31" s="1024"/>
      <c r="AZ31" s="1024"/>
      <c r="BA31" s="1024"/>
      <c r="BB31" s="1024"/>
      <c r="BC31" s="1024"/>
      <c r="BD31" s="1024"/>
      <c r="BE31" s="1024"/>
      <c r="BF31" s="1024"/>
      <c r="BG31" s="1024"/>
      <c r="BH31" s="1024"/>
      <c r="BI31" s="1024"/>
      <c r="BJ31" s="1024"/>
      <c r="BK31" s="1024"/>
      <c r="BL31" s="1024"/>
    </row>
    <row r="32" spans="1:64">
      <c r="A32" s="1836"/>
      <c r="B32" s="1836"/>
      <c r="C32" s="1632" t="str">
        <f>Input!$C$48</f>
        <v>Overheads &amp; Contractors Profit @ 13.615%</v>
      </c>
      <c r="D32" s="1033">
        <f>Input!$D$48</f>
        <v>0.13614999999999999</v>
      </c>
      <c r="E32" s="1633"/>
      <c r="F32" s="1634">
        <f>I31</f>
        <v>297.75199999999995</v>
      </c>
      <c r="G32" s="1635"/>
      <c r="H32" s="1636"/>
      <c r="I32" s="1030">
        <f>IF(G32="",D32*F32,(D32*F32/G32))</f>
        <v>40.538934799999993</v>
      </c>
      <c r="J32" s="1023"/>
      <c r="K32" s="1023"/>
      <c r="L32" s="1023"/>
      <c r="M32" s="1024"/>
      <c r="N32" s="1024"/>
      <c r="O32" s="1024"/>
      <c r="P32" s="1024"/>
      <c r="Q32" s="1024"/>
      <c r="R32" s="1024"/>
      <c r="S32" s="1024"/>
      <c r="T32" s="1024"/>
      <c r="U32" s="1024"/>
      <c r="V32" s="1024"/>
      <c r="W32" s="1024"/>
      <c r="X32" s="1024"/>
      <c r="Y32" s="1024"/>
      <c r="Z32" s="1024"/>
      <c r="AA32" s="1024"/>
      <c r="AB32" s="1024"/>
      <c r="AC32" s="1024"/>
      <c r="AD32" s="1024"/>
      <c r="AE32" s="1024"/>
      <c r="AF32" s="1024"/>
      <c r="AG32" s="1024"/>
      <c r="AH32" s="1024"/>
      <c r="AI32" s="1024"/>
      <c r="AJ32" s="1024"/>
      <c r="AK32" s="1024"/>
      <c r="AL32" s="1024"/>
      <c r="AM32" s="1024"/>
      <c r="AN32" s="1024"/>
      <c r="AO32" s="1024"/>
      <c r="AP32" s="1024"/>
      <c r="AQ32" s="1024"/>
      <c r="AR32" s="1024"/>
      <c r="AS32" s="1024"/>
      <c r="AT32" s="1024"/>
      <c r="AU32" s="1024"/>
      <c r="AV32" s="1024"/>
      <c r="AW32" s="1024"/>
      <c r="AX32" s="1024"/>
      <c r="AY32" s="1024"/>
      <c r="AZ32" s="1024"/>
      <c r="BA32" s="1024"/>
      <c r="BB32" s="1024"/>
      <c r="BC32" s="1024"/>
      <c r="BD32" s="1024"/>
      <c r="BE32" s="1024"/>
      <c r="BF32" s="1024"/>
      <c r="BG32" s="1024"/>
      <c r="BH32" s="1024"/>
      <c r="BI32" s="1024"/>
      <c r="BJ32" s="1024"/>
      <c r="BK32" s="1024"/>
      <c r="BL32" s="1024"/>
    </row>
    <row r="33" spans="1:64">
      <c r="A33" s="1836"/>
      <c r="B33" s="1836"/>
      <c r="C33" s="1838" t="s">
        <v>1032</v>
      </c>
      <c r="D33" s="1836"/>
      <c r="E33" s="1032"/>
      <c r="F33" s="1836"/>
      <c r="G33" s="1837"/>
      <c r="H33" s="1034" t="s">
        <v>1033</v>
      </c>
      <c r="I33" s="1011">
        <f>SUM(I31:I32)</f>
        <v>338.29093479999995</v>
      </c>
      <c r="J33" s="1023"/>
      <c r="K33" s="1023"/>
      <c r="L33" s="1023"/>
      <c r="M33" s="1024"/>
      <c r="N33" s="1024"/>
      <c r="O33" s="1024"/>
      <c r="P33" s="1024"/>
      <c r="Q33" s="1024"/>
      <c r="R33" s="1024"/>
      <c r="S33" s="1024"/>
      <c r="T33" s="1024"/>
      <c r="U33" s="1024"/>
      <c r="V33" s="1024"/>
      <c r="W33" s="1024"/>
      <c r="X33" s="1024"/>
      <c r="Y33" s="1024"/>
      <c r="Z33" s="1024"/>
      <c r="AA33" s="1024"/>
      <c r="AB33" s="1024"/>
      <c r="AC33" s="1024"/>
      <c r="AD33" s="1024"/>
      <c r="AE33" s="1024"/>
      <c r="AF33" s="1024"/>
      <c r="AG33" s="1024"/>
      <c r="AH33" s="1024"/>
      <c r="AI33" s="1024"/>
      <c r="AJ33" s="1024"/>
      <c r="AK33" s="1024"/>
      <c r="AL33" s="1024"/>
      <c r="AM33" s="1024"/>
      <c r="AN33" s="1024"/>
      <c r="AO33" s="1024"/>
      <c r="AP33" s="1024"/>
      <c r="AQ33" s="1024"/>
      <c r="AR33" s="1024"/>
      <c r="AS33" s="1024"/>
      <c r="AT33" s="1024"/>
      <c r="AU33" s="1024"/>
      <c r="AV33" s="1024"/>
      <c r="AW33" s="1024"/>
      <c r="AX33" s="1024"/>
      <c r="AY33" s="1024"/>
      <c r="AZ33" s="1024"/>
      <c r="BA33" s="1024"/>
      <c r="BB33" s="1024"/>
      <c r="BC33" s="1024"/>
      <c r="BD33" s="1024"/>
      <c r="BE33" s="1024"/>
      <c r="BF33" s="1024"/>
      <c r="BG33" s="1024"/>
      <c r="BH33" s="1024"/>
      <c r="BI33" s="1024"/>
      <c r="BJ33" s="1024"/>
      <c r="BK33" s="1024"/>
      <c r="BL33" s="1024"/>
    </row>
    <row r="34" spans="1:64" ht="12.75" customHeight="1">
      <c r="A34" s="1836"/>
      <c r="B34" s="1836"/>
      <c r="C34" s="2075" t="s">
        <v>1032</v>
      </c>
      <c r="D34" s="2075"/>
      <c r="E34" s="2075"/>
      <c r="F34" s="2075"/>
      <c r="G34" s="2075"/>
      <c r="H34" s="1842" t="s">
        <v>1034</v>
      </c>
      <c r="I34" s="1011">
        <f>ROUND(I33,0)</f>
        <v>338</v>
      </c>
      <c r="J34" s="1023"/>
      <c r="K34" s="1023"/>
      <c r="L34" s="1023"/>
      <c r="M34" s="1024"/>
      <c r="N34" s="1024"/>
      <c r="O34" s="1024"/>
      <c r="P34" s="1024"/>
      <c r="Q34" s="1024"/>
      <c r="R34" s="1024"/>
      <c r="S34" s="1024"/>
      <c r="T34" s="1024"/>
      <c r="U34" s="1024"/>
      <c r="V34" s="1024"/>
      <c r="W34" s="1024"/>
      <c r="X34" s="1024"/>
      <c r="Y34" s="1024"/>
      <c r="Z34" s="1024"/>
      <c r="AA34" s="1024"/>
      <c r="AB34" s="1024"/>
      <c r="AC34" s="1024"/>
      <c r="AD34" s="1024"/>
      <c r="AE34" s="1024"/>
      <c r="AF34" s="1024"/>
      <c r="AG34" s="1024"/>
      <c r="AH34" s="1024"/>
      <c r="AI34" s="1024"/>
      <c r="AJ34" s="1024"/>
      <c r="AK34" s="1024"/>
      <c r="AL34" s="1024"/>
      <c r="AM34" s="1024"/>
      <c r="AN34" s="1024"/>
      <c r="AO34" s="1024"/>
      <c r="AP34" s="1024"/>
      <c r="AQ34" s="1024"/>
      <c r="AR34" s="1024"/>
      <c r="AS34" s="1024"/>
      <c r="AT34" s="1024"/>
      <c r="AU34" s="1024"/>
      <c r="AV34" s="1024"/>
      <c r="AW34" s="1024"/>
      <c r="AX34" s="1024"/>
      <c r="AY34" s="1024"/>
      <c r="AZ34" s="1024"/>
      <c r="BA34" s="1024"/>
      <c r="BB34" s="1024"/>
      <c r="BC34" s="1024"/>
      <c r="BD34" s="1024"/>
      <c r="BE34" s="1024"/>
      <c r="BF34" s="1024"/>
      <c r="BG34" s="1024"/>
      <c r="BH34" s="1024"/>
      <c r="BI34" s="1024"/>
      <c r="BJ34" s="1024"/>
      <c r="BK34" s="1024"/>
      <c r="BL34" s="1024"/>
    </row>
    <row r="35" spans="1:64">
      <c r="A35" s="1836"/>
      <c r="B35" s="1836"/>
      <c r="C35" s="1023"/>
      <c r="D35" s="1023"/>
      <c r="E35" s="1023"/>
      <c r="F35" s="1023"/>
      <c r="G35" s="1023"/>
      <c r="H35" s="1023"/>
      <c r="I35" s="1829"/>
      <c r="J35" s="1023"/>
      <c r="K35" s="1023"/>
      <c r="L35" s="1023"/>
      <c r="M35" s="1024"/>
      <c r="N35" s="1024"/>
      <c r="O35" s="1024"/>
      <c r="P35" s="1024"/>
      <c r="Q35" s="1024"/>
      <c r="R35" s="1024"/>
      <c r="S35" s="1024"/>
      <c r="T35" s="1024"/>
      <c r="U35" s="1024"/>
      <c r="V35" s="1024"/>
      <c r="W35" s="1024"/>
      <c r="X35" s="1024"/>
      <c r="Y35" s="1024"/>
      <c r="Z35" s="1024"/>
      <c r="AA35" s="1024"/>
      <c r="AB35" s="1024"/>
      <c r="AC35" s="1024"/>
      <c r="AD35" s="1024"/>
      <c r="AE35" s="1024"/>
      <c r="AF35" s="1024"/>
      <c r="AG35" s="1024"/>
      <c r="AH35" s="1024"/>
      <c r="AI35" s="1024"/>
      <c r="AJ35" s="1024"/>
      <c r="AK35" s="1024"/>
      <c r="AL35" s="1024"/>
      <c r="AM35" s="1024"/>
      <c r="AN35" s="1024"/>
      <c r="AO35" s="1024"/>
      <c r="AP35" s="1024"/>
      <c r="AQ35" s="1024"/>
      <c r="AR35" s="1024"/>
      <c r="AS35" s="1024"/>
      <c r="AT35" s="1024"/>
      <c r="AU35" s="1024"/>
      <c r="AV35" s="1024"/>
      <c r="AW35" s="1024"/>
      <c r="AX35" s="1024"/>
      <c r="AY35" s="1024"/>
      <c r="AZ35" s="1024"/>
      <c r="BA35" s="1024"/>
      <c r="BB35" s="1024"/>
      <c r="BC35" s="1024"/>
      <c r="BD35" s="1024"/>
      <c r="BE35" s="1024"/>
      <c r="BF35" s="1024"/>
      <c r="BG35" s="1024"/>
      <c r="BH35" s="1024"/>
      <c r="BI35" s="1024"/>
      <c r="BJ35" s="1024"/>
      <c r="BK35" s="1024"/>
      <c r="BL35" s="1024"/>
    </row>
    <row r="36" spans="1:64" ht="25.5" customHeight="1">
      <c r="A36" s="1836"/>
      <c r="B36" s="1836" t="s">
        <v>297</v>
      </c>
      <c r="C36" s="2066" t="s">
        <v>1035</v>
      </c>
      <c r="D36" s="2066"/>
      <c r="E36" s="2066"/>
      <c r="F36" s="1841"/>
      <c r="G36" s="1838"/>
      <c r="H36" s="1840"/>
      <c r="I36" s="1017"/>
      <c r="J36" s="1023"/>
      <c r="K36" s="1023"/>
      <c r="L36" s="1023"/>
      <c r="M36" s="1024"/>
      <c r="N36" s="1024"/>
      <c r="O36" s="1024"/>
      <c r="P36" s="1024"/>
      <c r="Q36" s="1024"/>
      <c r="R36" s="1024"/>
      <c r="S36" s="1024"/>
      <c r="T36" s="1024"/>
      <c r="U36" s="1024"/>
      <c r="V36" s="1024"/>
      <c r="W36" s="1024"/>
      <c r="X36" s="1024"/>
      <c r="Y36" s="1024"/>
      <c r="Z36" s="1024"/>
      <c r="AA36" s="1024"/>
      <c r="AB36" s="1024"/>
      <c r="AC36" s="1024"/>
      <c r="AD36" s="1024"/>
      <c r="AE36" s="1024"/>
      <c r="AF36" s="1024"/>
      <c r="AG36" s="1024"/>
      <c r="AH36" s="1024"/>
      <c r="AI36" s="1024"/>
      <c r="AJ36" s="1024"/>
      <c r="AK36" s="1024"/>
      <c r="AL36" s="1024"/>
      <c r="AM36" s="1024"/>
      <c r="AN36" s="1024"/>
      <c r="AO36" s="1024"/>
      <c r="AP36" s="1024"/>
      <c r="AQ36" s="1024"/>
      <c r="AR36" s="1024"/>
      <c r="AS36" s="1024"/>
      <c r="AT36" s="1024"/>
      <c r="AU36" s="1024"/>
      <c r="AV36" s="1024"/>
      <c r="AW36" s="1024"/>
      <c r="AX36" s="1024"/>
      <c r="AY36" s="1024"/>
      <c r="AZ36" s="1024"/>
      <c r="BA36" s="1024"/>
      <c r="BB36" s="1024"/>
      <c r="BC36" s="1024"/>
      <c r="BD36" s="1024"/>
      <c r="BE36" s="1024"/>
      <c r="BF36" s="1024"/>
      <c r="BG36" s="1024"/>
      <c r="BH36" s="1024"/>
      <c r="BI36" s="1024"/>
      <c r="BJ36" s="1024"/>
      <c r="BK36" s="1024"/>
      <c r="BL36" s="1024"/>
    </row>
    <row r="37" spans="1:64">
      <c r="A37" s="1836"/>
      <c r="B37" s="1836"/>
      <c r="C37" s="1838" t="s">
        <v>1036</v>
      </c>
      <c r="D37" s="1838"/>
      <c r="E37" s="1838"/>
      <c r="F37" s="1841"/>
      <c r="G37" s="1838"/>
      <c r="H37" s="1840"/>
      <c r="I37" s="1017"/>
      <c r="J37" s="1023"/>
      <c r="K37" s="1023"/>
      <c r="L37" s="1023"/>
      <c r="M37" s="1024"/>
      <c r="N37" s="1024"/>
      <c r="O37" s="1024"/>
      <c r="P37" s="1024"/>
      <c r="Q37" s="1024"/>
      <c r="R37" s="1024"/>
      <c r="S37" s="1024"/>
      <c r="T37" s="1024"/>
      <c r="U37" s="1024"/>
      <c r="V37" s="1024"/>
      <c r="W37" s="1024"/>
      <c r="X37" s="1024"/>
      <c r="Y37" s="1024"/>
      <c r="Z37" s="1024"/>
      <c r="AA37" s="1024"/>
      <c r="AB37" s="1024"/>
      <c r="AC37" s="1024"/>
      <c r="AD37" s="1024"/>
      <c r="AE37" s="1024"/>
      <c r="AF37" s="1024"/>
      <c r="AG37" s="1024"/>
      <c r="AH37" s="1024"/>
      <c r="AI37" s="1024"/>
      <c r="AJ37" s="1024"/>
      <c r="AK37" s="1024"/>
      <c r="AL37" s="1024"/>
      <c r="AM37" s="1024"/>
      <c r="AN37" s="1024"/>
      <c r="AO37" s="1024"/>
      <c r="AP37" s="1024"/>
      <c r="AQ37" s="1024"/>
      <c r="AR37" s="1024"/>
      <c r="AS37" s="1024"/>
      <c r="AT37" s="1024"/>
      <c r="AU37" s="1024"/>
      <c r="AV37" s="1024"/>
      <c r="AW37" s="1024"/>
      <c r="AX37" s="1024"/>
      <c r="AY37" s="1024"/>
      <c r="AZ37" s="1024"/>
      <c r="BA37" s="1024"/>
      <c r="BB37" s="1024"/>
      <c r="BC37" s="1024"/>
      <c r="BD37" s="1024"/>
      <c r="BE37" s="1024"/>
      <c r="BF37" s="1024"/>
      <c r="BG37" s="1024"/>
      <c r="BH37" s="1024"/>
      <c r="BI37" s="1024"/>
      <c r="BJ37" s="1024"/>
      <c r="BK37" s="1024"/>
      <c r="BL37" s="1024"/>
    </row>
    <row r="38" spans="1:64">
      <c r="A38" s="1836"/>
      <c r="B38" s="1836"/>
      <c r="C38" s="1014" t="s">
        <v>1031</v>
      </c>
      <c r="D38" s="1031">
        <v>2.44</v>
      </c>
      <c r="E38" s="1028" t="s">
        <v>36</v>
      </c>
      <c r="F38" s="1017">
        <f>'Civil-SOR'!$G$307</f>
        <v>520</v>
      </c>
      <c r="G38" s="1029">
        <v>1</v>
      </c>
      <c r="H38" s="1014" t="s">
        <v>501</v>
      </c>
      <c r="I38" s="1030">
        <f t="shared" ref="I38:I39" si="4">IF(G38="",D38*F38,(D38*F38/G38))</f>
        <v>1268.8</v>
      </c>
      <c r="J38" s="1023"/>
      <c r="K38" s="1023"/>
      <c r="L38" s="1023"/>
      <c r="M38" s="1024"/>
      <c r="N38" s="1024"/>
      <c r="O38" s="1024"/>
      <c r="P38" s="1024"/>
      <c r="Q38" s="1024"/>
      <c r="R38" s="1024"/>
      <c r="S38" s="1024"/>
      <c r="T38" s="1024"/>
      <c r="U38" s="1024"/>
      <c r="V38" s="1024"/>
      <c r="W38" s="1024"/>
      <c r="X38" s="1024"/>
      <c r="Y38" s="1024"/>
      <c r="Z38" s="1024"/>
      <c r="AA38" s="1024"/>
      <c r="AB38" s="1024"/>
      <c r="AC38" s="1024"/>
      <c r="AD38" s="1024"/>
      <c r="AE38" s="1024"/>
      <c r="AF38" s="1024"/>
      <c r="AG38" s="1024"/>
      <c r="AH38" s="1024"/>
      <c r="AI38" s="1024"/>
      <c r="AJ38" s="1024"/>
      <c r="AK38" s="1024"/>
      <c r="AL38" s="1024"/>
      <c r="AM38" s="1024"/>
      <c r="AN38" s="1024"/>
      <c r="AO38" s="1024"/>
      <c r="AP38" s="1024"/>
      <c r="AQ38" s="1024"/>
      <c r="AR38" s="1024"/>
      <c r="AS38" s="1024"/>
      <c r="AT38" s="1024"/>
      <c r="AU38" s="1024"/>
      <c r="AV38" s="1024"/>
      <c r="AW38" s="1024"/>
      <c r="AX38" s="1024"/>
      <c r="AY38" s="1024"/>
      <c r="AZ38" s="1024"/>
      <c r="BA38" s="1024"/>
      <c r="BB38" s="1024"/>
      <c r="BC38" s="1024"/>
      <c r="BD38" s="1024"/>
      <c r="BE38" s="1024"/>
      <c r="BF38" s="1024"/>
      <c r="BG38" s="1024"/>
      <c r="BH38" s="1024"/>
      <c r="BI38" s="1024"/>
      <c r="BJ38" s="1024"/>
      <c r="BK38" s="1024"/>
      <c r="BL38" s="1024"/>
    </row>
    <row r="39" spans="1:64">
      <c r="A39" s="1836"/>
      <c r="B39" s="1836"/>
      <c r="C39" s="1014" t="str">
        <f>Input!$C$47</f>
        <v>Add for MA @ 40%</v>
      </c>
      <c r="D39" s="1031">
        <f>Input!$D$47</f>
        <v>0.4</v>
      </c>
      <c r="E39" s="1032"/>
      <c r="F39" s="1017">
        <f>I38</f>
        <v>1268.8</v>
      </c>
      <c r="G39" s="1837"/>
      <c r="H39" s="1841"/>
      <c r="I39" s="1030">
        <f t="shared" si="4"/>
        <v>507.52</v>
      </c>
      <c r="J39" s="1023"/>
      <c r="K39" s="1023"/>
      <c r="L39" s="1023"/>
      <c r="M39" s="1024"/>
      <c r="N39" s="1024"/>
      <c r="O39" s="1024"/>
      <c r="P39" s="1024"/>
      <c r="Q39" s="1024"/>
      <c r="R39" s="1024"/>
      <c r="S39" s="1024"/>
      <c r="T39" s="1024"/>
      <c r="U39" s="1024"/>
      <c r="V39" s="1024"/>
      <c r="W39" s="1024"/>
      <c r="X39" s="1024"/>
      <c r="Y39" s="1024"/>
      <c r="Z39" s="1024"/>
      <c r="AA39" s="1024"/>
      <c r="AB39" s="1024"/>
      <c r="AC39" s="1024"/>
      <c r="AD39" s="1024"/>
      <c r="AE39" s="1024"/>
      <c r="AF39" s="1024"/>
      <c r="AG39" s="1024"/>
      <c r="AH39" s="1024"/>
      <c r="AI39" s="1024"/>
      <c r="AJ39" s="1024"/>
      <c r="AK39" s="1024"/>
      <c r="AL39" s="1024"/>
      <c r="AM39" s="1024"/>
      <c r="AN39" s="1024"/>
      <c r="AO39" s="1024"/>
      <c r="AP39" s="1024"/>
      <c r="AQ39" s="1024"/>
      <c r="AR39" s="1024"/>
      <c r="AS39" s="1024"/>
      <c r="AT39" s="1024"/>
      <c r="AU39" s="1024"/>
      <c r="AV39" s="1024"/>
      <c r="AW39" s="1024"/>
      <c r="AX39" s="1024"/>
      <c r="AY39" s="1024"/>
      <c r="AZ39" s="1024"/>
      <c r="BA39" s="1024"/>
      <c r="BB39" s="1024"/>
      <c r="BC39" s="1024"/>
      <c r="BD39" s="1024"/>
      <c r="BE39" s="1024"/>
      <c r="BF39" s="1024"/>
      <c r="BG39" s="1024"/>
      <c r="BH39" s="1024"/>
      <c r="BI39" s="1024"/>
      <c r="BJ39" s="1024"/>
      <c r="BK39" s="1024"/>
      <c r="BL39" s="1024"/>
    </row>
    <row r="40" spans="1:64">
      <c r="A40" s="1836"/>
      <c r="B40" s="1836"/>
      <c r="C40" s="1838" t="s">
        <v>1032</v>
      </c>
      <c r="D40" s="1836"/>
      <c r="E40" s="1032"/>
      <c r="F40" s="1836"/>
      <c r="G40" s="1837"/>
      <c r="H40" s="1841"/>
      <c r="I40" s="1030">
        <f>SUM(I38:I39)</f>
        <v>1776.32</v>
      </c>
      <c r="J40" s="1023"/>
      <c r="K40" s="1023"/>
      <c r="L40" s="1023"/>
      <c r="M40" s="1024"/>
      <c r="N40" s="1024"/>
      <c r="O40" s="1024"/>
      <c r="P40" s="1024"/>
      <c r="Q40" s="1024"/>
      <c r="R40" s="1024"/>
      <c r="S40" s="1024"/>
      <c r="T40" s="1024"/>
      <c r="U40" s="1024"/>
      <c r="V40" s="1024"/>
      <c r="W40" s="1024"/>
      <c r="X40" s="1024"/>
      <c r="Y40" s="1024"/>
      <c r="Z40" s="1024"/>
      <c r="AA40" s="1024"/>
      <c r="AB40" s="1024"/>
      <c r="AC40" s="1024"/>
      <c r="AD40" s="1024"/>
      <c r="AE40" s="1024"/>
      <c r="AF40" s="1024"/>
      <c r="AG40" s="1024"/>
      <c r="AH40" s="1024"/>
      <c r="AI40" s="1024"/>
      <c r="AJ40" s="1024"/>
      <c r="AK40" s="1024"/>
      <c r="AL40" s="1024"/>
      <c r="AM40" s="1024"/>
      <c r="AN40" s="1024"/>
      <c r="AO40" s="1024"/>
      <c r="AP40" s="1024"/>
      <c r="AQ40" s="1024"/>
      <c r="AR40" s="1024"/>
      <c r="AS40" s="1024"/>
      <c r="AT40" s="1024"/>
      <c r="AU40" s="1024"/>
      <c r="AV40" s="1024"/>
      <c r="AW40" s="1024"/>
      <c r="AX40" s="1024"/>
      <c r="AY40" s="1024"/>
      <c r="AZ40" s="1024"/>
      <c r="BA40" s="1024"/>
      <c r="BB40" s="1024"/>
      <c r="BC40" s="1024"/>
      <c r="BD40" s="1024"/>
      <c r="BE40" s="1024"/>
      <c r="BF40" s="1024"/>
      <c r="BG40" s="1024"/>
      <c r="BH40" s="1024"/>
      <c r="BI40" s="1024"/>
      <c r="BJ40" s="1024"/>
      <c r="BK40" s="1024"/>
      <c r="BL40" s="1024"/>
    </row>
    <row r="41" spans="1:64">
      <c r="A41" s="1035"/>
      <c r="B41" s="1035"/>
      <c r="C41" s="1849" t="str">
        <f>Input!$C$48</f>
        <v>Overheads &amp; Contractors Profit @ 13.615%</v>
      </c>
      <c r="D41" s="1850">
        <f>Input!$D$48</f>
        <v>0.13614999999999999</v>
      </c>
      <c r="E41" s="1036"/>
      <c r="F41" s="1848">
        <f>I40</f>
        <v>1776.32</v>
      </c>
      <c r="G41" s="1025"/>
      <c r="H41" s="1847"/>
      <c r="I41" s="1001">
        <f>IF(G41="",D41*F41,(D41*F41/G41))</f>
        <v>241.84596799999997</v>
      </c>
      <c r="J41" s="1823"/>
      <c r="K41" s="1823"/>
      <c r="L41" s="1823"/>
      <c r="M41" s="1037"/>
      <c r="N41" s="1037"/>
      <c r="O41" s="1037"/>
      <c r="P41" s="1037"/>
      <c r="Q41" s="1037"/>
      <c r="R41" s="1037"/>
      <c r="S41" s="1037"/>
      <c r="T41" s="1037"/>
      <c r="U41" s="1037"/>
      <c r="V41" s="1037"/>
      <c r="W41" s="1037"/>
      <c r="X41" s="1037"/>
      <c r="Y41" s="1037"/>
      <c r="Z41" s="1037"/>
      <c r="AA41" s="1037"/>
      <c r="AB41" s="1037"/>
      <c r="AC41" s="1037"/>
      <c r="AD41" s="1037"/>
      <c r="AE41" s="1037"/>
      <c r="AF41" s="1037"/>
      <c r="AG41" s="1037"/>
      <c r="AH41" s="1037"/>
      <c r="AI41" s="1037"/>
      <c r="AJ41" s="1037"/>
      <c r="AK41" s="1037"/>
      <c r="AL41" s="1037"/>
      <c r="AM41" s="1037"/>
      <c r="AN41" s="1037"/>
      <c r="AO41" s="1037"/>
      <c r="AP41" s="1037"/>
      <c r="AQ41" s="1037"/>
      <c r="AR41" s="1037"/>
      <c r="AS41" s="1037"/>
      <c r="AT41" s="1037"/>
      <c r="AU41" s="1037"/>
      <c r="AV41" s="1037"/>
      <c r="AW41" s="1037"/>
      <c r="AX41" s="1037"/>
      <c r="AY41" s="1037"/>
      <c r="AZ41" s="1037"/>
      <c r="BA41" s="1037"/>
      <c r="BB41" s="1037"/>
      <c r="BC41" s="1037"/>
      <c r="BD41" s="1037"/>
      <c r="BE41" s="1037"/>
      <c r="BF41" s="1037"/>
      <c r="BG41" s="1037"/>
      <c r="BH41" s="1037"/>
      <c r="BI41" s="1037"/>
      <c r="BJ41" s="1037"/>
      <c r="BK41" s="1037"/>
      <c r="BL41" s="1037"/>
    </row>
    <row r="42" spans="1:64">
      <c r="A42" s="1836"/>
      <c r="B42" s="1836"/>
      <c r="C42" s="1838" t="s">
        <v>1032</v>
      </c>
      <c r="D42" s="1836"/>
      <c r="E42" s="1032"/>
      <c r="F42" s="1836"/>
      <c r="G42" s="1837"/>
      <c r="H42" s="1034" t="s">
        <v>1033</v>
      </c>
      <c r="I42" s="1030">
        <f>SUM(I40:I41)</f>
        <v>2018.1659679999998</v>
      </c>
      <c r="J42" s="1023"/>
      <c r="K42" s="1023"/>
      <c r="L42" s="1023"/>
      <c r="M42" s="1024"/>
      <c r="N42" s="1024"/>
      <c r="O42" s="1024"/>
      <c r="P42" s="1024"/>
      <c r="Q42" s="1024"/>
      <c r="R42" s="1024"/>
      <c r="S42" s="1024"/>
      <c r="T42" s="1024"/>
      <c r="U42" s="1024"/>
      <c r="V42" s="1024"/>
      <c r="W42" s="1024"/>
      <c r="X42" s="1024"/>
      <c r="Y42" s="1024"/>
      <c r="Z42" s="1024"/>
      <c r="AA42" s="1024"/>
      <c r="AB42" s="1024"/>
      <c r="AC42" s="1024"/>
      <c r="AD42" s="1024"/>
      <c r="AE42" s="1024"/>
      <c r="AF42" s="1024"/>
      <c r="AG42" s="1024"/>
      <c r="AH42" s="1024"/>
      <c r="AI42" s="1024"/>
      <c r="AJ42" s="1024"/>
      <c r="AK42" s="1024"/>
      <c r="AL42" s="1024"/>
      <c r="AM42" s="1024"/>
      <c r="AN42" s="1024"/>
      <c r="AO42" s="1024"/>
      <c r="AP42" s="1024"/>
      <c r="AQ42" s="1024"/>
      <c r="AR42" s="1024"/>
      <c r="AS42" s="1024"/>
      <c r="AT42" s="1024"/>
      <c r="AU42" s="1024"/>
      <c r="AV42" s="1024"/>
      <c r="AW42" s="1024"/>
      <c r="AX42" s="1024"/>
      <c r="AY42" s="1024"/>
      <c r="AZ42" s="1024"/>
      <c r="BA42" s="1024"/>
      <c r="BB42" s="1024"/>
      <c r="BC42" s="1024"/>
      <c r="BD42" s="1024"/>
      <c r="BE42" s="1024"/>
      <c r="BF42" s="1024"/>
      <c r="BG42" s="1024"/>
      <c r="BH42" s="1024"/>
      <c r="BI42" s="1024"/>
      <c r="BJ42" s="1024"/>
      <c r="BK42" s="1024"/>
      <c r="BL42" s="1024"/>
    </row>
    <row r="43" spans="1:64" ht="12.75" customHeight="1">
      <c r="A43" s="1836"/>
      <c r="B43" s="1836"/>
      <c r="C43" s="2075" t="s">
        <v>1032</v>
      </c>
      <c r="D43" s="2075"/>
      <c r="E43" s="2075"/>
      <c r="F43" s="2075"/>
      <c r="G43" s="2075"/>
      <c r="H43" s="1842" t="s">
        <v>1034</v>
      </c>
      <c r="I43" s="1011">
        <f>ROUND(I42,0)</f>
        <v>2018</v>
      </c>
      <c r="J43" s="1023"/>
      <c r="K43" s="1023"/>
      <c r="L43" s="1023"/>
      <c r="M43" s="1024"/>
      <c r="N43" s="1024"/>
      <c r="O43" s="1024"/>
      <c r="P43" s="1024"/>
      <c r="Q43" s="1024"/>
      <c r="R43" s="1024"/>
      <c r="S43" s="1024"/>
      <c r="T43" s="1024"/>
      <c r="U43" s="1024"/>
      <c r="V43" s="1024"/>
      <c r="W43" s="1024"/>
      <c r="X43" s="1024"/>
      <c r="Y43" s="1024"/>
      <c r="Z43" s="1024"/>
      <c r="AA43" s="1024"/>
      <c r="AB43" s="1024"/>
      <c r="AC43" s="1024"/>
      <c r="AD43" s="1024"/>
      <c r="AE43" s="1024"/>
      <c r="AF43" s="1024"/>
      <c r="AG43" s="1024"/>
      <c r="AH43" s="1024"/>
      <c r="AI43" s="1024"/>
      <c r="AJ43" s="1024"/>
      <c r="AK43" s="1024"/>
      <c r="AL43" s="1024"/>
      <c r="AM43" s="1024"/>
      <c r="AN43" s="1024"/>
      <c r="AO43" s="1024"/>
      <c r="AP43" s="1024"/>
      <c r="AQ43" s="1024"/>
      <c r="AR43" s="1024"/>
      <c r="AS43" s="1024"/>
      <c r="AT43" s="1024"/>
      <c r="AU43" s="1024"/>
      <c r="AV43" s="1024"/>
      <c r="AW43" s="1024"/>
      <c r="AX43" s="1024"/>
      <c r="AY43" s="1024"/>
      <c r="AZ43" s="1024"/>
      <c r="BA43" s="1024"/>
      <c r="BB43" s="1024"/>
      <c r="BC43" s="1024"/>
      <c r="BD43" s="1024"/>
      <c r="BE43" s="1024"/>
      <c r="BF43" s="1024"/>
      <c r="BG43" s="1024"/>
      <c r="BH43" s="1024"/>
      <c r="BI43" s="1024"/>
      <c r="BJ43" s="1024"/>
      <c r="BK43" s="1024"/>
      <c r="BL43" s="1024"/>
    </row>
    <row r="44" spans="1:64">
      <c r="A44" s="1836"/>
      <c r="B44" s="1836"/>
      <c r="C44" s="1841"/>
      <c r="D44" s="1836"/>
      <c r="E44" s="1032"/>
      <c r="F44" s="1836"/>
      <c r="G44" s="1837"/>
      <c r="H44" s="1840"/>
      <c r="I44" s="1836"/>
      <c r="J44" s="1023"/>
      <c r="K44" s="1023"/>
      <c r="L44" s="1023"/>
      <c r="M44" s="1024"/>
      <c r="N44" s="1024"/>
      <c r="O44" s="1024"/>
      <c r="P44" s="1024"/>
      <c r="Q44" s="1024"/>
      <c r="R44" s="1024"/>
      <c r="S44" s="1024"/>
      <c r="T44" s="1024"/>
      <c r="U44" s="1024"/>
      <c r="V44" s="1024"/>
      <c r="W44" s="1024"/>
      <c r="X44" s="1024"/>
      <c r="Y44" s="1024"/>
      <c r="Z44" s="1024"/>
      <c r="AA44" s="1024"/>
      <c r="AB44" s="1024"/>
      <c r="AC44" s="1024"/>
      <c r="AD44" s="1024"/>
      <c r="AE44" s="1024"/>
      <c r="AF44" s="1024"/>
      <c r="AG44" s="1024"/>
      <c r="AH44" s="1024"/>
      <c r="AI44" s="1024"/>
      <c r="AJ44" s="1024"/>
      <c r="AK44" s="1024"/>
      <c r="AL44" s="1024"/>
      <c r="AM44" s="1024"/>
      <c r="AN44" s="1024"/>
      <c r="AO44" s="1024"/>
      <c r="AP44" s="1024"/>
      <c r="AQ44" s="1024"/>
      <c r="AR44" s="1024"/>
      <c r="AS44" s="1024"/>
      <c r="AT44" s="1024"/>
      <c r="AU44" s="1024"/>
      <c r="AV44" s="1024"/>
      <c r="AW44" s="1024"/>
      <c r="AX44" s="1024"/>
      <c r="AY44" s="1024"/>
      <c r="AZ44" s="1024"/>
      <c r="BA44" s="1024"/>
      <c r="BB44" s="1024"/>
      <c r="BC44" s="1024"/>
      <c r="BD44" s="1024"/>
      <c r="BE44" s="1024"/>
      <c r="BF44" s="1024"/>
      <c r="BG44" s="1024"/>
      <c r="BH44" s="1024"/>
      <c r="BI44" s="1024"/>
      <c r="BJ44" s="1024"/>
      <c r="BK44" s="1024"/>
      <c r="BL44" s="1024"/>
    </row>
    <row r="45" spans="1:64" ht="12.75" customHeight="1">
      <c r="A45" s="1836"/>
      <c r="B45" s="1836" t="s">
        <v>430</v>
      </c>
      <c r="C45" s="2066" t="s">
        <v>1037</v>
      </c>
      <c r="D45" s="2066"/>
      <c r="E45" s="2066"/>
      <c r="F45" s="1841"/>
      <c r="G45" s="1838"/>
      <c r="H45" s="1840"/>
      <c r="I45" s="1017"/>
      <c r="J45" s="1023"/>
      <c r="K45" s="1023"/>
      <c r="L45" s="1023"/>
      <c r="M45" s="1024"/>
      <c r="N45" s="1024"/>
      <c r="O45" s="1024"/>
      <c r="P45" s="1024"/>
      <c r="Q45" s="1024"/>
      <c r="R45" s="1024"/>
      <c r="S45" s="1024"/>
      <c r="T45" s="1024"/>
      <c r="U45" s="1024"/>
      <c r="V45" s="1024"/>
      <c r="W45" s="1024"/>
      <c r="X45" s="1024"/>
      <c r="Y45" s="1024"/>
      <c r="Z45" s="1024"/>
      <c r="AA45" s="1024"/>
      <c r="AB45" s="1024"/>
      <c r="AC45" s="1024"/>
      <c r="AD45" s="1024"/>
      <c r="AE45" s="1024"/>
      <c r="AF45" s="1024"/>
      <c r="AG45" s="1024"/>
      <c r="AH45" s="1024"/>
      <c r="AI45" s="1024"/>
      <c r="AJ45" s="1024"/>
      <c r="AK45" s="1024"/>
      <c r="AL45" s="1024"/>
      <c r="AM45" s="1024"/>
      <c r="AN45" s="1024"/>
      <c r="AO45" s="1024"/>
      <c r="AP45" s="1024"/>
      <c r="AQ45" s="1024"/>
      <c r="AR45" s="1024"/>
      <c r="AS45" s="1024"/>
      <c r="AT45" s="1024"/>
      <c r="AU45" s="1024"/>
      <c r="AV45" s="1024"/>
      <c r="AW45" s="1024"/>
      <c r="AX45" s="1024"/>
      <c r="AY45" s="1024"/>
      <c r="AZ45" s="1024"/>
      <c r="BA45" s="1024"/>
      <c r="BB45" s="1024"/>
      <c r="BC45" s="1024"/>
      <c r="BD45" s="1024"/>
      <c r="BE45" s="1024"/>
      <c r="BF45" s="1024"/>
      <c r="BG45" s="1024"/>
      <c r="BH45" s="1024"/>
      <c r="BI45" s="1024"/>
      <c r="BJ45" s="1024"/>
      <c r="BK45" s="1024"/>
      <c r="BL45" s="1024"/>
    </row>
    <row r="46" spans="1:64">
      <c r="A46" s="1836"/>
      <c r="B46" s="1836"/>
      <c r="C46" s="1838" t="s">
        <v>1038</v>
      </c>
      <c r="D46" s="1838"/>
      <c r="E46" s="1838"/>
      <c r="F46" s="1841"/>
      <c r="G46" s="1838"/>
      <c r="H46" s="1840"/>
      <c r="I46" s="1017"/>
      <c r="J46" s="1023"/>
      <c r="K46" s="1023"/>
      <c r="L46" s="1023"/>
      <c r="M46" s="1024"/>
      <c r="N46" s="1024"/>
      <c r="O46" s="1024"/>
      <c r="P46" s="1024"/>
      <c r="Q46" s="1024"/>
      <c r="R46" s="1024"/>
      <c r="S46" s="1024"/>
      <c r="T46" s="1024"/>
      <c r="U46" s="1024"/>
      <c r="V46" s="1024"/>
      <c r="W46" s="1024"/>
      <c r="X46" s="1024"/>
      <c r="Y46" s="1024"/>
      <c r="Z46" s="1024"/>
      <c r="AA46" s="1024"/>
      <c r="AB46" s="1024"/>
      <c r="AC46" s="1024"/>
      <c r="AD46" s="1024"/>
      <c r="AE46" s="1024"/>
      <c r="AF46" s="1024"/>
      <c r="AG46" s="1024"/>
      <c r="AH46" s="1024"/>
      <c r="AI46" s="1024"/>
      <c r="AJ46" s="1024"/>
      <c r="AK46" s="1024"/>
      <c r="AL46" s="1024"/>
      <c r="AM46" s="1024"/>
      <c r="AN46" s="1024"/>
      <c r="AO46" s="1024"/>
      <c r="AP46" s="1024"/>
      <c r="AQ46" s="1024"/>
      <c r="AR46" s="1024"/>
      <c r="AS46" s="1024"/>
      <c r="AT46" s="1024"/>
      <c r="AU46" s="1024"/>
      <c r="AV46" s="1024"/>
      <c r="AW46" s="1024"/>
      <c r="AX46" s="1024"/>
      <c r="AY46" s="1024"/>
      <c r="AZ46" s="1024"/>
      <c r="BA46" s="1024"/>
      <c r="BB46" s="1024"/>
      <c r="BC46" s="1024"/>
      <c r="BD46" s="1024"/>
      <c r="BE46" s="1024"/>
      <c r="BF46" s="1024"/>
      <c r="BG46" s="1024"/>
      <c r="BH46" s="1024"/>
      <c r="BI46" s="1024"/>
      <c r="BJ46" s="1024"/>
      <c r="BK46" s="1024"/>
      <c r="BL46" s="1024"/>
    </row>
    <row r="47" spans="1:64">
      <c r="A47" s="1836"/>
      <c r="B47" s="1836"/>
      <c r="C47" s="1014" t="s">
        <v>1031</v>
      </c>
      <c r="D47" s="1031">
        <v>4.88</v>
      </c>
      <c r="E47" s="1028" t="s">
        <v>36</v>
      </c>
      <c r="F47" s="1017">
        <f>'Civil-SOR'!$G$307</f>
        <v>520</v>
      </c>
      <c r="G47" s="1029">
        <v>1</v>
      </c>
      <c r="H47" s="1014" t="s">
        <v>501</v>
      </c>
      <c r="I47" s="1030">
        <f t="shared" ref="I47:I48" si="5">IF(G47="",D47*F47,(D47*F47/G47))</f>
        <v>2537.6</v>
      </c>
      <c r="J47" s="1023"/>
      <c r="K47" s="1023"/>
      <c r="L47" s="1023"/>
      <c r="M47" s="1024"/>
      <c r="N47" s="1024"/>
      <c r="O47" s="1024"/>
      <c r="P47" s="1024"/>
      <c r="Q47" s="1024"/>
      <c r="R47" s="1024"/>
      <c r="S47" s="1024"/>
      <c r="T47" s="1024"/>
      <c r="U47" s="1024"/>
      <c r="V47" s="1024"/>
      <c r="W47" s="1024"/>
      <c r="X47" s="1024"/>
      <c r="Y47" s="1024"/>
      <c r="Z47" s="1024"/>
      <c r="AA47" s="1024"/>
      <c r="AB47" s="1024"/>
      <c r="AC47" s="1024"/>
      <c r="AD47" s="1024"/>
      <c r="AE47" s="1024"/>
      <c r="AF47" s="1024"/>
      <c r="AG47" s="1024"/>
      <c r="AH47" s="1024"/>
      <c r="AI47" s="1024"/>
      <c r="AJ47" s="1024"/>
      <c r="AK47" s="1024"/>
      <c r="AL47" s="1024"/>
      <c r="AM47" s="1024"/>
      <c r="AN47" s="1024"/>
      <c r="AO47" s="1024"/>
      <c r="AP47" s="1024"/>
      <c r="AQ47" s="1024"/>
      <c r="AR47" s="1024"/>
      <c r="AS47" s="1024"/>
      <c r="AT47" s="1024"/>
      <c r="AU47" s="1024"/>
      <c r="AV47" s="1024"/>
      <c r="AW47" s="1024"/>
      <c r="AX47" s="1024"/>
      <c r="AY47" s="1024"/>
      <c r="AZ47" s="1024"/>
      <c r="BA47" s="1024"/>
      <c r="BB47" s="1024"/>
      <c r="BC47" s="1024"/>
      <c r="BD47" s="1024"/>
      <c r="BE47" s="1024"/>
      <c r="BF47" s="1024"/>
      <c r="BG47" s="1024"/>
      <c r="BH47" s="1024"/>
      <c r="BI47" s="1024"/>
      <c r="BJ47" s="1024"/>
      <c r="BK47" s="1024"/>
      <c r="BL47" s="1024"/>
    </row>
    <row r="48" spans="1:64">
      <c r="A48" s="1836"/>
      <c r="B48" s="1836"/>
      <c r="C48" s="1014" t="str">
        <f>Input!$C$47</f>
        <v>Add for MA @ 40%</v>
      </c>
      <c r="D48" s="1031">
        <f>Input!$D$47</f>
        <v>0.4</v>
      </c>
      <c r="E48" s="1032"/>
      <c r="F48" s="1017">
        <f>I47</f>
        <v>2537.6</v>
      </c>
      <c r="G48" s="1837"/>
      <c r="H48" s="1841"/>
      <c r="I48" s="1030">
        <f t="shared" si="5"/>
        <v>1015.04</v>
      </c>
      <c r="J48" s="1023"/>
      <c r="K48" s="1023"/>
      <c r="L48" s="1023"/>
      <c r="M48" s="1024"/>
      <c r="N48" s="1024"/>
      <c r="O48" s="1024"/>
      <c r="P48" s="1024"/>
      <c r="Q48" s="1024"/>
      <c r="R48" s="1024"/>
      <c r="S48" s="1024"/>
      <c r="T48" s="1024"/>
      <c r="U48" s="1024"/>
      <c r="V48" s="1024"/>
      <c r="W48" s="1024"/>
      <c r="X48" s="1024"/>
      <c r="Y48" s="1024"/>
      <c r="Z48" s="1024"/>
      <c r="AA48" s="1024"/>
      <c r="AB48" s="1024"/>
      <c r="AC48" s="1024"/>
      <c r="AD48" s="1024"/>
      <c r="AE48" s="1024"/>
      <c r="AF48" s="1024"/>
      <c r="AG48" s="1024"/>
      <c r="AH48" s="1024"/>
      <c r="AI48" s="1024"/>
      <c r="AJ48" s="1024"/>
      <c r="AK48" s="1024"/>
      <c r="AL48" s="1024"/>
      <c r="AM48" s="1024"/>
      <c r="AN48" s="1024"/>
      <c r="AO48" s="1024"/>
      <c r="AP48" s="1024"/>
      <c r="AQ48" s="1024"/>
      <c r="AR48" s="1024"/>
      <c r="AS48" s="1024"/>
      <c r="AT48" s="1024"/>
      <c r="AU48" s="1024"/>
      <c r="AV48" s="1024"/>
      <c r="AW48" s="1024"/>
      <c r="AX48" s="1024"/>
      <c r="AY48" s="1024"/>
      <c r="AZ48" s="1024"/>
      <c r="BA48" s="1024"/>
      <c r="BB48" s="1024"/>
      <c r="BC48" s="1024"/>
      <c r="BD48" s="1024"/>
      <c r="BE48" s="1024"/>
      <c r="BF48" s="1024"/>
      <c r="BG48" s="1024"/>
      <c r="BH48" s="1024"/>
      <c r="BI48" s="1024"/>
      <c r="BJ48" s="1024"/>
      <c r="BK48" s="1024"/>
      <c r="BL48" s="1024"/>
    </row>
    <row r="49" spans="1:64">
      <c r="A49" s="1836"/>
      <c r="B49" s="1836"/>
      <c r="C49" s="1838" t="s">
        <v>1032</v>
      </c>
      <c r="D49" s="1836"/>
      <c r="E49" s="1032"/>
      <c r="F49" s="1836"/>
      <c r="G49" s="1837"/>
      <c r="H49" s="1841"/>
      <c r="I49" s="1030">
        <f>SUM(I47:I48)</f>
        <v>3552.64</v>
      </c>
      <c r="J49" s="1023"/>
      <c r="K49" s="1023"/>
      <c r="L49" s="1023"/>
      <c r="M49" s="1024"/>
      <c r="N49" s="1024"/>
      <c r="O49" s="1024"/>
      <c r="P49" s="1024"/>
      <c r="Q49" s="1024"/>
      <c r="R49" s="1024"/>
      <c r="S49" s="1024"/>
      <c r="T49" s="1024"/>
      <c r="U49" s="1024"/>
      <c r="V49" s="1024"/>
      <c r="W49" s="1024"/>
      <c r="X49" s="1024"/>
      <c r="Y49" s="1024"/>
      <c r="Z49" s="1024"/>
      <c r="AA49" s="1024"/>
      <c r="AB49" s="1024"/>
      <c r="AC49" s="1024"/>
      <c r="AD49" s="1024"/>
      <c r="AE49" s="1024"/>
      <c r="AF49" s="1024"/>
      <c r="AG49" s="1024"/>
      <c r="AH49" s="1024"/>
      <c r="AI49" s="1024"/>
      <c r="AJ49" s="1024"/>
      <c r="AK49" s="1024"/>
      <c r="AL49" s="1024"/>
      <c r="AM49" s="1024"/>
      <c r="AN49" s="1024"/>
      <c r="AO49" s="1024"/>
      <c r="AP49" s="1024"/>
      <c r="AQ49" s="1024"/>
      <c r="AR49" s="1024"/>
      <c r="AS49" s="1024"/>
      <c r="AT49" s="1024"/>
      <c r="AU49" s="1024"/>
      <c r="AV49" s="1024"/>
      <c r="AW49" s="1024"/>
      <c r="AX49" s="1024"/>
      <c r="AY49" s="1024"/>
      <c r="AZ49" s="1024"/>
      <c r="BA49" s="1024"/>
      <c r="BB49" s="1024"/>
      <c r="BC49" s="1024"/>
      <c r="BD49" s="1024"/>
      <c r="BE49" s="1024"/>
      <c r="BF49" s="1024"/>
      <c r="BG49" s="1024"/>
      <c r="BH49" s="1024"/>
      <c r="BI49" s="1024"/>
      <c r="BJ49" s="1024"/>
      <c r="BK49" s="1024"/>
      <c r="BL49" s="1024"/>
    </row>
    <row r="50" spans="1:64">
      <c r="A50" s="1035"/>
      <c r="B50" s="1035"/>
      <c r="C50" s="1849" t="str">
        <f>Input!$C$48</f>
        <v>Overheads &amp; Contractors Profit @ 13.615%</v>
      </c>
      <c r="D50" s="1850">
        <f>Input!$D$48</f>
        <v>0.13614999999999999</v>
      </c>
      <c r="E50" s="1036"/>
      <c r="F50" s="1848">
        <f>I49</f>
        <v>3552.64</v>
      </c>
      <c r="G50" s="1025"/>
      <c r="H50" s="1847"/>
      <c r="I50" s="1001">
        <f>IF(G50="",D50*F50,(D50*F50/G50))</f>
        <v>483.69193599999994</v>
      </c>
      <c r="J50" s="1823"/>
      <c r="K50" s="1823"/>
      <c r="L50" s="1823"/>
      <c r="M50" s="1037"/>
      <c r="N50" s="1037"/>
      <c r="O50" s="1037"/>
      <c r="P50" s="1037"/>
      <c r="Q50" s="1037"/>
      <c r="R50" s="1037"/>
      <c r="S50" s="1037"/>
      <c r="T50" s="1037"/>
      <c r="U50" s="1037"/>
      <c r="V50" s="1037"/>
      <c r="W50" s="1037"/>
      <c r="X50" s="1037"/>
      <c r="Y50" s="1037"/>
      <c r="Z50" s="1037"/>
      <c r="AA50" s="1037"/>
      <c r="AB50" s="1037"/>
      <c r="AC50" s="1037"/>
      <c r="AD50" s="1037"/>
      <c r="AE50" s="1037"/>
      <c r="AF50" s="1037"/>
      <c r="AG50" s="1037"/>
      <c r="AH50" s="1037"/>
      <c r="AI50" s="1037"/>
      <c r="AJ50" s="1037"/>
      <c r="AK50" s="1037"/>
      <c r="AL50" s="1037"/>
      <c r="AM50" s="1037"/>
      <c r="AN50" s="1037"/>
      <c r="AO50" s="1037"/>
      <c r="AP50" s="1037"/>
      <c r="AQ50" s="1037"/>
      <c r="AR50" s="1037"/>
      <c r="AS50" s="1037"/>
      <c r="AT50" s="1037"/>
      <c r="AU50" s="1037"/>
      <c r="AV50" s="1037"/>
      <c r="AW50" s="1037"/>
      <c r="AX50" s="1037"/>
      <c r="AY50" s="1037"/>
      <c r="AZ50" s="1037"/>
      <c r="BA50" s="1037"/>
      <c r="BB50" s="1037"/>
      <c r="BC50" s="1037"/>
      <c r="BD50" s="1037"/>
      <c r="BE50" s="1037"/>
      <c r="BF50" s="1037"/>
      <c r="BG50" s="1037"/>
      <c r="BH50" s="1037"/>
      <c r="BI50" s="1037"/>
      <c r="BJ50" s="1037"/>
      <c r="BK50" s="1037"/>
      <c r="BL50" s="1037"/>
    </row>
    <row r="51" spans="1:64">
      <c r="A51" s="1836"/>
      <c r="B51" s="1836"/>
      <c r="C51" s="1838" t="s">
        <v>1032</v>
      </c>
      <c r="D51" s="1836"/>
      <c r="E51" s="1032"/>
      <c r="F51" s="1836"/>
      <c r="G51" s="1837"/>
      <c r="H51" s="1034" t="s">
        <v>1033</v>
      </c>
      <c r="I51" s="1030">
        <f>SUM(I49:I50)</f>
        <v>4036.3319359999996</v>
      </c>
      <c r="J51" s="1023"/>
      <c r="K51" s="1023"/>
      <c r="L51" s="1023"/>
      <c r="M51" s="1024"/>
      <c r="N51" s="1024"/>
      <c r="O51" s="1024"/>
      <c r="P51" s="1024"/>
      <c r="Q51" s="1024"/>
      <c r="R51" s="1024"/>
      <c r="S51" s="1024"/>
      <c r="T51" s="1024"/>
      <c r="U51" s="1024"/>
      <c r="V51" s="1024"/>
      <c r="W51" s="1024"/>
      <c r="X51" s="1024"/>
      <c r="Y51" s="1024"/>
      <c r="Z51" s="1024"/>
      <c r="AA51" s="1024"/>
      <c r="AB51" s="1024"/>
      <c r="AC51" s="1024"/>
      <c r="AD51" s="1024"/>
      <c r="AE51" s="1024"/>
      <c r="AF51" s="1024"/>
      <c r="AG51" s="1024"/>
      <c r="AH51" s="1024"/>
      <c r="AI51" s="1024"/>
      <c r="AJ51" s="1024"/>
      <c r="AK51" s="1024"/>
      <c r="AL51" s="1024"/>
      <c r="AM51" s="1024"/>
      <c r="AN51" s="1024"/>
      <c r="AO51" s="1024"/>
      <c r="AP51" s="1024"/>
      <c r="AQ51" s="1024"/>
      <c r="AR51" s="1024"/>
      <c r="AS51" s="1024"/>
      <c r="AT51" s="1024"/>
      <c r="AU51" s="1024"/>
      <c r="AV51" s="1024"/>
      <c r="AW51" s="1024"/>
      <c r="AX51" s="1024"/>
      <c r="AY51" s="1024"/>
      <c r="AZ51" s="1024"/>
      <c r="BA51" s="1024"/>
      <c r="BB51" s="1024"/>
      <c r="BC51" s="1024"/>
      <c r="BD51" s="1024"/>
      <c r="BE51" s="1024"/>
      <c r="BF51" s="1024"/>
      <c r="BG51" s="1024"/>
      <c r="BH51" s="1024"/>
      <c r="BI51" s="1024"/>
      <c r="BJ51" s="1024"/>
      <c r="BK51" s="1024"/>
      <c r="BL51" s="1024"/>
    </row>
    <row r="52" spans="1:64">
      <c r="A52" s="1836"/>
      <c r="B52" s="1836"/>
      <c r="C52" s="1841"/>
      <c r="D52" s="1836"/>
      <c r="E52" s="1032"/>
      <c r="F52" s="1836"/>
      <c r="G52" s="1837"/>
      <c r="H52" s="1842" t="s">
        <v>1034</v>
      </c>
      <c r="I52" s="1011">
        <f>ROUND(I51,0)</f>
        <v>4036</v>
      </c>
      <c r="J52" s="1023"/>
      <c r="K52" s="1023"/>
      <c r="L52" s="1023"/>
      <c r="M52" s="1024"/>
      <c r="N52" s="1024"/>
      <c r="O52" s="1024"/>
      <c r="P52" s="1024"/>
      <c r="Q52" s="1024"/>
      <c r="R52" s="1024"/>
      <c r="S52" s="1024"/>
      <c r="T52" s="1024"/>
      <c r="U52" s="1024"/>
      <c r="V52" s="1024"/>
      <c r="W52" s="1024"/>
      <c r="X52" s="1024"/>
      <c r="Y52" s="1024"/>
      <c r="Z52" s="1024"/>
      <c r="AA52" s="1024"/>
      <c r="AB52" s="1024"/>
      <c r="AC52" s="1024"/>
      <c r="AD52" s="1024"/>
      <c r="AE52" s="1024"/>
      <c r="AF52" s="1024"/>
      <c r="AG52" s="1024"/>
      <c r="AH52" s="1024"/>
      <c r="AI52" s="1024"/>
      <c r="AJ52" s="1024"/>
      <c r="AK52" s="1024"/>
      <c r="AL52" s="1024"/>
      <c r="AM52" s="1024"/>
      <c r="AN52" s="1024"/>
      <c r="AO52" s="1024"/>
      <c r="AP52" s="1024"/>
      <c r="AQ52" s="1024"/>
      <c r="AR52" s="1024"/>
      <c r="AS52" s="1024"/>
      <c r="AT52" s="1024"/>
      <c r="AU52" s="1024"/>
      <c r="AV52" s="1024"/>
      <c r="AW52" s="1024"/>
      <c r="AX52" s="1024"/>
      <c r="AY52" s="1024"/>
      <c r="AZ52" s="1024"/>
      <c r="BA52" s="1024"/>
      <c r="BB52" s="1024"/>
      <c r="BC52" s="1024"/>
      <c r="BD52" s="1024"/>
      <c r="BE52" s="1024"/>
      <c r="BF52" s="1024"/>
      <c r="BG52" s="1024"/>
      <c r="BH52" s="1024"/>
      <c r="BI52" s="1024"/>
      <c r="BJ52" s="1024"/>
      <c r="BK52" s="1024"/>
      <c r="BL52" s="1024"/>
    </row>
    <row r="53" spans="1:64">
      <c r="A53" s="1836"/>
      <c r="B53" s="1836"/>
      <c r="C53" s="1841"/>
      <c r="D53" s="1836"/>
      <c r="E53" s="1032"/>
      <c r="F53" s="1836"/>
      <c r="G53" s="1837"/>
      <c r="H53" s="1840"/>
      <c r="I53" s="1836"/>
      <c r="J53" s="1023"/>
      <c r="K53" s="1023"/>
      <c r="L53" s="1023"/>
      <c r="M53" s="1024"/>
      <c r="N53" s="1024"/>
      <c r="O53" s="1024"/>
      <c r="P53" s="1024"/>
      <c r="Q53" s="1024"/>
      <c r="R53" s="1024"/>
      <c r="S53" s="1024"/>
      <c r="T53" s="1024"/>
      <c r="U53" s="1024"/>
      <c r="V53" s="1024"/>
      <c r="W53" s="1024"/>
      <c r="X53" s="1024"/>
      <c r="Y53" s="1024"/>
      <c r="Z53" s="1024"/>
      <c r="AA53" s="1024"/>
      <c r="AB53" s="1024"/>
      <c r="AC53" s="1024"/>
      <c r="AD53" s="1024"/>
      <c r="AE53" s="1024"/>
      <c r="AF53" s="1024"/>
      <c r="AG53" s="1024"/>
      <c r="AH53" s="1024"/>
      <c r="AI53" s="1024"/>
      <c r="AJ53" s="1024"/>
      <c r="AK53" s="1024"/>
      <c r="AL53" s="1024"/>
      <c r="AM53" s="1024"/>
      <c r="AN53" s="1024"/>
      <c r="AO53" s="1024"/>
      <c r="AP53" s="1024"/>
      <c r="AQ53" s="1024"/>
      <c r="AR53" s="1024"/>
      <c r="AS53" s="1024"/>
      <c r="AT53" s="1024"/>
      <c r="AU53" s="1024"/>
      <c r="AV53" s="1024"/>
      <c r="AW53" s="1024"/>
      <c r="AX53" s="1024"/>
      <c r="AY53" s="1024"/>
      <c r="AZ53" s="1024"/>
      <c r="BA53" s="1024"/>
      <c r="BB53" s="1024"/>
      <c r="BC53" s="1024"/>
      <c r="BD53" s="1024"/>
      <c r="BE53" s="1024"/>
      <c r="BF53" s="1024"/>
      <c r="BG53" s="1024"/>
      <c r="BH53" s="1024"/>
      <c r="BI53" s="1024"/>
      <c r="BJ53" s="1024"/>
      <c r="BK53" s="1024"/>
      <c r="BL53" s="1024"/>
    </row>
    <row r="54" spans="1:64" ht="25.5">
      <c r="A54" s="1836"/>
      <c r="B54" s="1836" t="s">
        <v>433</v>
      </c>
      <c r="C54" s="1838" t="s">
        <v>1039</v>
      </c>
      <c r="D54" s="1838"/>
      <c r="E54" s="1838"/>
      <c r="F54" s="1841"/>
      <c r="G54" s="1838"/>
      <c r="H54" s="1840"/>
      <c r="I54" s="1017"/>
      <c r="J54" s="1023"/>
      <c r="K54" s="1023"/>
      <c r="L54" s="1023"/>
      <c r="M54" s="1024"/>
      <c r="N54" s="1024"/>
      <c r="O54" s="1024"/>
      <c r="P54" s="1024"/>
      <c r="Q54" s="1024"/>
      <c r="R54" s="1024"/>
      <c r="S54" s="1024"/>
      <c r="T54" s="1024"/>
      <c r="U54" s="1024"/>
      <c r="V54" s="1024"/>
      <c r="W54" s="1024"/>
      <c r="X54" s="1024"/>
      <c r="Y54" s="1024"/>
      <c r="Z54" s="1024"/>
      <c r="AA54" s="1024"/>
      <c r="AB54" s="1024"/>
      <c r="AC54" s="1024"/>
      <c r="AD54" s="1024"/>
      <c r="AE54" s="1024"/>
      <c r="AF54" s="1024"/>
      <c r="AG54" s="1024"/>
      <c r="AH54" s="1024"/>
      <c r="AI54" s="1024"/>
      <c r="AJ54" s="1024"/>
      <c r="AK54" s="1024"/>
      <c r="AL54" s="1024"/>
      <c r="AM54" s="1024"/>
      <c r="AN54" s="1024"/>
      <c r="AO54" s="1024"/>
      <c r="AP54" s="1024"/>
      <c r="AQ54" s="1024"/>
      <c r="AR54" s="1024"/>
      <c r="AS54" s="1024"/>
      <c r="AT54" s="1024"/>
      <c r="AU54" s="1024"/>
      <c r="AV54" s="1024"/>
      <c r="AW54" s="1024"/>
      <c r="AX54" s="1024"/>
      <c r="AY54" s="1024"/>
      <c r="AZ54" s="1024"/>
      <c r="BA54" s="1024"/>
      <c r="BB54" s="1024"/>
      <c r="BC54" s="1024"/>
      <c r="BD54" s="1024"/>
      <c r="BE54" s="1024"/>
      <c r="BF54" s="1024"/>
      <c r="BG54" s="1024"/>
      <c r="BH54" s="1024"/>
      <c r="BI54" s="1024"/>
      <c r="BJ54" s="1024"/>
      <c r="BK54" s="1024"/>
      <c r="BL54" s="1024"/>
    </row>
    <row r="55" spans="1:64">
      <c r="A55" s="1836"/>
      <c r="B55" s="1836"/>
      <c r="C55" s="1838" t="s">
        <v>1040</v>
      </c>
      <c r="D55" s="1838"/>
      <c r="E55" s="1838"/>
      <c r="F55" s="1841"/>
      <c r="G55" s="1838"/>
      <c r="H55" s="1840"/>
      <c r="I55" s="1017"/>
      <c r="J55" s="1023"/>
      <c r="K55" s="1023"/>
      <c r="L55" s="1023"/>
      <c r="M55" s="1024"/>
      <c r="N55" s="1024"/>
      <c r="O55" s="1024"/>
      <c r="P55" s="1024"/>
      <c r="Q55" s="1024"/>
      <c r="R55" s="1024"/>
      <c r="S55" s="1024"/>
      <c r="T55" s="1024"/>
      <c r="U55" s="1024"/>
      <c r="V55" s="1024"/>
      <c r="W55" s="1024"/>
      <c r="X55" s="1024"/>
      <c r="Y55" s="1024"/>
      <c r="Z55" s="1024"/>
      <c r="AA55" s="1024"/>
      <c r="AB55" s="1024"/>
      <c r="AC55" s="1024"/>
      <c r="AD55" s="1024"/>
      <c r="AE55" s="1024"/>
      <c r="AF55" s="1024"/>
      <c r="AG55" s="1024"/>
      <c r="AH55" s="1024"/>
      <c r="AI55" s="1024"/>
      <c r="AJ55" s="1024"/>
      <c r="AK55" s="1024"/>
      <c r="AL55" s="1024"/>
      <c r="AM55" s="1024"/>
      <c r="AN55" s="1024"/>
      <c r="AO55" s="1024"/>
      <c r="AP55" s="1024"/>
      <c r="AQ55" s="1024"/>
      <c r="AR55" s="1024"/>
      <c r="AS55" s="1024"/>
      <c r="AT55" s="1024"/>
      <c r="AU55" s="1024"/>
      <c r="AV55" s="1024"/>
      <c r="AW55" s="1024"/>
      <c r="AX55" s="1024"/>
      <c r="AY55" s="1024"/>
      <c r="AZ55" s="1024"/>
      <c r="BA55" s="1024"/>
      <c r="BB55" s="1024"/>
      <c r="BC55" s="1024"/>
      <c r="BD55" s="1024"/>
      <c r="BE55" s="1024"/>
      <c r="BF55" s="1024"/>
      <c r="BG55" s="1024"/>
      <c r="BH55" s="1024"/>
      <c r="BI55" s="1024"/>
      <c r="BJ55" s="1024"/>
      <c r="BK55" s="1024"/>
      <c r="BL55" s="1024"/>
    </row>
    <row r="56" spans="1:64">
      <c r="A56" s="1836"/>
      <c r="B56" s="1836"/>
      <c r="C56" s="1014" t="s">
        <v>1031</v>
      </c>
      <c r="D56" s="1031">
        <v>4.32</v>
      </c>
      <c r="E56" s="1028" t="s">
        <v>36</v>
      </c>
      <c r="F56" s="1017">
        <f>'Civil-SOR'!$G$307</f>
        <v>520</v>
      </c>
      <c r="G56" s="1029">
        <v>1</v>
      </c>
      <c r="H56" s="1014" t="s">
        <v>501</v>
      </c>
      <c r="I56" s="1030">
        <f t="shared" ref="I56:I57" si="6">IF(G56="",D56*F56,(D56*F56/G56))</f>
        <v>2246.4</v>
      </c>
      <c r="J56" s="1023"/>
      <c r="K56" s="1023"/>
      <c r="L56" s="1023"/>
      <c r="M56" s="1024"/>
      <c r="N56" s="1024"/>
      <c r="O56" s="1024"/>
      <c r="P56" s="1024"/>
      <c r="Q56" s="1024"/>
      <c r="R56" s="1024"/>
      <c r="S56" s="1024"/>
      <c r="T56" s="1024"/>
      <c r="U56" s="1024"/>
      <c r="V56" s="1024"/>
      <c r="W56" s="1024"/>
      <c r="X56" s="1024"/>
      <c r="Y56" s="1024"/>
      <c r="Z56" s="1024"/>
      <c r="AA56" s="1024"/>
      <c r="AB56" s="1024"/>
      <c r="AC56" s="1024"/>
      <c r="AD56" s="1024"/>
      <c r="AE56" s="1024"/>
      <c r="AF56" s="1024"/>
      <c r="AG56" s="1024"/>
      <c r="AH56" s="1024"/>
      <c r="AI56" s="1024"/>
      <c r="AJ56" s="1024"/>
      <c r="AK56" s="1024"/>
      <c r="AL56" s="1024"/>
      <c r="AM56" s="1024"/>
      <c r="AN56" s="1024"/>
      <c r="AO56" s="1024"/>
      <c r="AP56" s="1024"/>
      <c r="AQ56" s="1024"/>
      <c r="AR56" s="1024"/>
      <c r="AS56" s="1024"/>
      <c r="AT56" s="1024"/>
      <c r="AU56" s="1024"/>
      <c r="AV56" s="1024"/>
      <c r="AW56" s="1024"/>
      <c r="AX56" s="1024"/>
      <c r="AY56" s="1024"/>
      <c r="AZ56" s="1024"/>
      <c r="BA56" s="1024"/>
      <c r="BB56" s="1024"/>
      <c r="BC56" s="1024"/>
      <c r="BD56" s="1024"/>
      <c r="BE56" s="1024"/>
      <c r="BF56" s="1024"/>
      <c r="BG56" s="1024"/>
      <c r="BH56" s="1024"/>
      <c r="BI56" s="1024"/>
      <c r="BJ56" s="1024"/>
      <c r="BK56" s="1024"/>
      <c r="BL56" s="1024"/>
    </row>
    <row r="57" spans="1:64">
      <c r="A57" s="1836"/>
      <c r="B57" s="1836"/>
      <c r="C57" s="1014" t="str">
        <f>Input!$C$47</f>
        <v>Add for MA @ 40%</v>
      </c>
      <c r="D57" s="1031">
        <f>Input!$D$47</f>
        <v>0.4</v>
      </c>
      <c r="E57" s="1032"/>
      <c r="F57" s="1017">
        <f>I56</f>
        <v>2246.4</v>
      </c>
      <c r="G57" s="1837"/>
      <c r="H57" s="1841"/>
      <c r="I57" s="1030">
        <f t="shared" si="6"/>
        <v>898.56000000000006</v>
      </c>
      <c r="J57" s="1023"/>
      <c r="K57" s="1023"/>
      <c r="L57" s="1023"/>
      <c r="M57" s="1024"/>
      <c r="N57" s="1024"/>
      <c r="O57" s="1024"/>
      <c r="P57" s="1024"/>
      <c r="Q57" s="1024"/>
      <c r="R57" s="1024"/>
      <c r="S57" s="1024"/>
      <c r="T57" s="1024"/>
      <c r="U57" s="1024"/>
      <c r="V57" s="1024"/>
      <c r="W57" s="1024"/>
      <c r="X57" s="1024"/>
      <c r="Y57" s="1024"/>
      <c r="Z57" s="1024"/>
      <c r="AA57" s="1024"/>
      <c r="AB57" s="1024"/>
      <c r="AC57" s="1024"/>
      <c r="AD57" s="1024"/>
      <c r="AE57" s="1024"/>
      <c r="AF57" s="1024"/>
      <c r="AG57" s="1024"/>
      <c r="AH57" s="1024"/>
      <c r="AI57" s="1024"/>
      <c r="AJ57" s="1024"/>
      <c r="AK57" s="1024"/>
      <c r="AL57" s="1024"/>
      <c r="AM57" s="1024"/>
      <c r="AN57" s="1024"/>
      <c r="AO57" s="1024"/>
      <c r="AP57" s="1024"/>
      <c r="AQ57" s="1024"/>
      <c r="AR57" s="1024"/>
      <c r="AS57" s="1024"/>
      <c r="AT57" s="1024"/>
      <c r="AU57" s="1024"/>
      <c r="AV57" s="1024"/>
      <c r="AW57" s="1024"/>
      <c r="AX57" s="1024"/>
      <c r="AY57" s="1024"/>
      <c r="AZ57" s="1024"/>
      <c r="BA57" s="1024"/>
      <c r="BB57" s="1024"/>
      <c r="BC57" s="1024"/>
      <c r="BD57" s="1024"/>
      <c r="BE57" s="1024"/>
      <c r="BF57" s="1024"/>
      <c r="BG57" s="1024"/>
      <c r="BH57" s="1024"/>
      <c r="BI57" s="1024"/>
      <c r="BJ57" s="1024"/>
      <c r="BK57" s="1024"/>
      <c r="BL57" s="1024"/>
    </row>
    <row r="58" spans="1:64" ht="12.75" customHeight="1">
      <c r="A58" s="1836"/>
      <c r="B58" s="1836"/>
      <c r="C58" s="2077" t="s">
        <v>3380</v>
      </c>
      <c r="D58" s="2077"/>
      <c r="E58" s="2077"/>
      <c r="F58" s="1017"/>
      <c r="G58" s="1837"/>
      <c r="H58" s="1841"/>
      <c r="I58" s="1030"/>
      <c r="J58" s="1023"/>
      <c r="K58" s="1023"/>
      <c r="L58" s="1023"/>
      <c r="M58" s="1024"/>
      <c r="N58" s="1024"/>
      <c r="O58" s="1024"/>
      <c r="P58" s="1024"/>
      <c r="Q58" s="1024"/>
      <c r="R58" s="1024"/>
      <c r="S58" s="1024"/>
      <c r="T58" s="1024"/>
      <c r="U58" s="1024"/>
      <c r="V58" s="1024"/>
      <c r="W58" s="1024"/>
      <c r="X58" s="1024"/>
      <c r="Y58" s="1024"/>
      <c r="Z58" s="1024"/>
      <c r="AA58" s="1024"/>
      <c r="AB58" s="1024"/>
      <c r="AC58" s="1024"/>
      <c r="AD58" s="1024"/>
      <c r="AE58" s="1024"/>
      <c r="AF58" s="1024"/>
      <c r="AG58" s="1024"/>
      <c r="AH58" s="1024"/>
      <c r="AI58" s="1024"/>
      <c r="AJ58" s="1024"/>
      <c r="AK58" s="1024"/>
      <c r="AL58" s="1024"/>
      <c r="AM58" s="1024"/>
      <c r="AN58" s="1024"/>
      <c r="AO58" s="1024"/>
      <c r="AP58" s="1024"/>
      <c r="AQ58" s="1024"/>
      <c r="AR58" s="1024"/>
      <c r="AS58" s="1024"/>
      <c r="AT58" s="1024"/>
      <c r="AU58" s="1024"/>
      <c r="AV58" s="1024"/>
      <c r="AW58" s="1024"/>
      <c r="AX58" s="1024"/>
      <c r="AY58" s="1024"/>
      <c r="AZ58" s="1024"/>
      <c r="BA58" s="1024"/>
      <c r="BB58" s="1024"/>
      <c r="BC58" s="1024"/>
      <c r="BD58" s="1024"/>
      <c r="BE58" s="1024"/>
      <c r="BF58" s="1024"/>
      <c r="BG58" s="1024"/>
      <c r="BH58" s="1024"/>
      <c r="BI58" s="1024"/>
      <c r="BJ58" s="1024"/>
      <c r="BK58" s="1024"/>
      <c r="BL58" s="1024"/>
    </row>
    <row r="59" spans="1:64">
      <c r="A59" s="1836"/>
      <c r="B59" s="1836"/>
      <c r="C59" s="1038" t="s">
        <v>1041</v>
      </c>
      <c r="D59" s="1031">
        <v>0.5</v>
      </c>
      <c r="E59" s="1028" t="s">
        <v>36</v>
      </c>
      <c r="F59" s="1017">
        <f>'Civil-SOR'!$G$299</f>
        <v>550</v>
      </c>
      <c r="G59" s="1029">
        <v>1</v>
      </c>
      <c r="H59" s="1014" t="s">
        <v>501</v>
      </c>
      <c r="I59" s="1030">
        <f t="shared" ref="I59:I61" si="7">IF(G59="",D59*F59,(D59*F59/G59))</f>
        <v>275</v>
      </c>
      <c r="J59" s="1023"/>
      <c r="K59" s="1023"/>
      <c r="L59" s="1023"/>
      <c r="M59" s="1024"/>
      <c r="N59" s="1024"/>
      <c r="O59" s="1024"/>
      <c r="P59" s="1024"/>
      <c r="Q59" s="1024"/>
      <c r="R59" s="1024"/>
      <c r="S59" s="1024"/>
      <c r="T59" s="1024"/>
      <c r="U59" s="1024"/>
      <c r="V59" s="1024"/>
      <c r="W59" s="1024"/>
      <c r="X59" s="1024"/>
      <c r="Y59" s="1024"/>
      <c r="Z59" s="1024"/>
      <c r="AA59" s="1024"/>
      <c r="AB59" s="1024"/>
      <c r="AC59" s="1024"/>
      <c r="AD59" s="1024"/>
      <c r="AE59" s="1024"/>
      <c r="AF59" s="1024"/>
      <c r="AG59" s="1024"/>
      <c r="AH59" s="1024"/>
      <c r="AI59" s="1024"/>
      <c r="AJ59" s="1024"/>
      <c r="AK59" s="1024"/>
      <c r="AL59" s="1024"/>
      <c r="AM59" s="1024"/>
      <c r="AN59" s="1024"/>
      <c r="AO59" s="1024"/>
      <c r="AP59" s="1024"/>
      <c r="AQ59" s="1024"/>
      <c r="AR59" s="1024"/>
      <c r="AS59" s="1024"/>
      <c r="AT59" s="1024"/>
      <c r="AU59" s="1024"/>
      <c r="AV59" s="1024"/>
      <c r="AW59" s="1024"/>
      <c r="AX59" s="1024"/>
      <c r="AY59" s="1024"/>
      <c r="AZ59" s="1024"/>
      <c r="BA59" s="1024"/>
      <c r="BB59" s="1024"/>
      <c r="BC59" s="1024"/>
      <c r="BD59" s="1024"/>
      <c r="BE59" s="1024"/>
      <c r="BF59" s="1024"/>
      <c r="BG59" s="1024"/>
      <c r="BH59" s="1024"/>
      <c r="BI59" s="1024"/>
      <c r="BJ59" s="1024"/>
      <c r="BK59" s="1024"/>
      <c r="BL59" s="1024"/>
    </row>
    <row r="60" spans="1:64">
      <c r="A60" s="1836"/>
      <c r="B60" s="1836"/>
      <c r="C60" s="1038" t="s">
        <v>1042</v>
      </c>
      <c r="D60" s="1031">
        <v>0.5</v>
      </c>
      <c r="E60" s="1028" t="s">
        <v>36</v>
      </c>
      <c r="F60" s="1017">
        <f>'Civil-SOR'!$G$307</f>
        <v>520</v>
      </c>
      <c r="G60" s="1029">
        <v>1</v>
      </c>
      <c r="H60" s="1014" t="s">
        <v>501</v>
      </c>
      <c r="I60" s="1030">
        <f t="shared" si="7"/>
        <v>260</v>
      </c>
      <c r="J60" s="1023"/>
      <c r="K60" s="1023"/>
      <c r="L60" s="1023"/>
      <c r="M60" s="1024"/>
      <c r="N60" s="1024"/>
      <c r="O60" s="1024"/>
      <c r="P60" s="1024"/>
      <c r="Q60" s="1024"/>
      <c r="R60" s="1024"/>
      <c r="S60" s="1024"/>
      <c r="T60" s="1024"/>
      <c r="U60" s="1024"/>
      <c r="V60" s="1024"/>
      <c r="W60" s="1024"/>
      <c r="X60" s="1024"/>
      <c r="Y60" s="1024"/>
      <c r="Z60" s="1024"/>
      <c r="AA60" s="1024"/>
      <c r="AB60" s="1024"/>
      <c r="AC60" s="1024"/>
      <c r="AD60" s="1024"/>
      <c r="AE60" s="1024"/>
      <c r="AF60" s="1024"/>
      <c r="AG60" s="1024"/>
      <c r="AH60" s="1024"/>
      <c r="AI60" s="1024"/>
      <c r="AJ60" s="1024"/>
      <c r="AK60" s="1024"/>
      <c r="AL60" s="1024"/>
      <c r="AM60" s="1024"/>
      <c r="AN60" s="1024"/>
      <c r="AO60" s="1024"/>
      <c r="AP60" s="1024"/>
      <c r="AQ60" s="1024"/>
      <c r="AR60" s="1024"/>
      <c r="AS60" s="1024"/>
      <c r="AT60" s="1024"/>
      <c r="AU60" s="1024"/>
      <c r="AV60" s="1024"/>
      <c r="AW60" s="1024"/>
      <c r="AX60" s="1024"/>
      <c r="AY60" s="1024"/>
      <c r="AZ60" s="1024"/>
      <c r="BA60" s="1024"/>
      <c r="BB60" s="1024"/>
      <c r="BC60" s="1024"/>
      <c r="BD60" s="1024"/>
      <c r="BE60" s="1024"/>
      <c r="BF60" s="1024"/>
      <c r="BG60" s="1024"/>
      <c r="BH60" s="1024"/>
      <c r="BI60" s="1024"/>
      <c r="BJ60" s="1024"/>
      <c r="BK60" s="1024"/>
      <c r="BL60" s="1024"/>
    </row>
    <row r="61" spans="1:64">
      <c r="A61" s="1836"/>
      <c r="B61" s="1836"/>
      <c r="C61" s="1014" t="str">
        <f>Input!$C$47</f>
        <v>Add for MA @ 40%</v>
      </c>
      <c r="D61" s="1031">
        <f>Input!$D$47</f>
        <v>0.4</v>
      </c>
      <c r="E61" s="1032"/>
      <c r="F61" s="1017">
        <f>I59+I60</f>
        <v>535</v>
      </c>
      <c r="G61" s="1837"/>
      <c r="H61" s="1841"/>
      <c r="I61" s="1030">
        <f t="shared" si="7"/>
        <v>214</v>
      </c>
      <c r="J61" s="1023"/>
      <c r="K61" s="1023"/>
      <c r="L61" s="1023"/>
      <c r="M61" s="1024"/>
      <c r="N61" s="1024"/>
      <c r="O61" s="1024"/>
      <c r="P61" s="1024"/>
      <c r="Q61" s="1024"/>
      <c r="R61" s="1024"/>
      <c r="S61" s="1024"/>
      <c r="T61" s="1024"/>
      <c r="U61" s="1024"/>
      <c r="V61" s="1024"/>
      <c r="W61" s="1024"/>
      <c r="X61" s="1024"/>
      <c r="Y61" s="1024"/>
      <c r="Z61" s="1024"/>
      <c r="AA61" s="1024"/>
      <c r="AB61" s="1024"/>
      <c r="AC61" s="1024"/>
      <c r="AD61" s="1024"/>
      <c r="AE61" s="1024"/>
      <c r="AF61" s="1024"/>
      <c r="AG61" s="1024"/>
      <c r="AH61" s="1024"/>
      <c r="AI61" s="1024"/>
      <c r="AJ61" s="1024"/>
      <c r="AK61" s="1024"/>
      <c r="AL61" s="1024"/>
      <c r="AM61" s="1024"/>
      <c r="AN61" s="1024"/>
      <c r="AO61" s="1024"/>
      <c r="AP61" s="1024"/>
      <c r="AQ61" s="1024"/>
      <c r="AR61" s="1024"/>
      <c r="AS61" s="1024"/>
      <c r="AT61" s="1024"/>
      <c r="AU61" s="1024"/>
      <c r="AV61" s="1024"/>
      <c r="AW61" s="1024"/>
      <c r="AX61" s="1024"/>
      <c r="AY61" s="1024"/>
      <c r="AZ61" s="1024"/>
      <c r="BA61" s="1024"/>
      <c r="BB61" s="1024"/>
      <c r="BC61" s="1024"/>
      <c r="BD61" s="1024"/>
      <c r="BE61" s="1024"/>
      <c r="BF61" s="1024"/>
      <c r="BG61" s="1024"/>
      <c r="BH61" s="1024"/>
      <c r="BI61" s="1024"/>
      <c r="BJ61" s="1024"/>
      <c r="BK61" s="1024"/>
      <c r="BL61" s="1024"/>
    </row>
    <row r="62" spans="1:64">
      <c r="A62" s="1836"/>
      <c r="B62" s="1836"/>
      <c r="C62" s="1838" t="s">
        <v>1032</v>
      </c>
      <c r="D62" s="1836"/>
      <c r="E62" s="1032"/>
      <c r="F62" s="1836"/>
      <c r="G62" s="1837"/>
      <c r="H62" s="1841"/>
      <c r="I62" s="1030">
        <f>SUM(I56:I61)</f>
        <v>3893.96</v>
      </c>
      <c r="J62" s="1023"/>
      <c r="K62" s="1023"/>
      <c r="L62" s="1023"/>
      <c r="M62" s="1024"/>
      <c r="N62" s="1024"/>
      <c r="O62" s="1024"/>
      <c r="P62" s="1024"/>
      <c r="Q62" s="1024"/>
      <c r="R62" s="1024"/>
      <c r="S62" s="1024"/>
      <c r="T62" s="1024"/>
      <c r="U62" s="1024"/>
      <c r="V62" s="1024"/>
      <c r="W62" s="1024"/>
      <c r="X62" s="1024"/>
      <c r="Y62" s="1024"/>
      <c r="Z62" s="1024"/>
      <c r="AA62" s="1024"/>
      <c r="AB62" s="1024"/>
      <c r="AC62" s="1024"/>
      <c r="AD62" s="1024"/>
      <c r="AE62" s="1024"/>
      <c r="AF62" s="1024"/>
      <c r="AG62" s="1024"/>
      <c r="AH62" s="1024"/>
      <c r="AI62" s="1024"/>
      <c r="AJ62" s="1024"/>
      <c r="AK62" s="1024"/>
      <c r="AL62" s="1024"/>
      <c r="AM62" s="1024"/>
      <c r="AN62" s="1024"/>
      <c r="AO62" s="1024"/>
      <c r="AP62" s="1024"/>
      <c r="AQ62" s="1024"/>
      <c r="AR62" s="1024"/>
      <c r="AS62" s="1024"/>
      <c r="AT62" s="1024"/>
      <c r="AU62" s="1024"/>
      <c r="AV62" s="1024"/>
      <c r="AW62" s="1024"/>
      <c r="AX62" s="1024"/>
      <c r="AY62" s="1024"/>
      <c r="AZ62" s="1024"/>
      <c r="BA62" s="1024"/>
      <c r="BB62" s="1024"/>
      <c r="BC62" s="1024"/>
      <c r="BD62" s="1024"/>
      <c r="BE62" s="1024"/>
      <c r="BF62" s="1024"/>
      <c r="BG62" s="1024"/>
      <c r="BH62" s="1024"/>
      <c r="BI62" s="1024"/>
      <c r="BJ62" s="1024"/>
      <c r="BK62" s="1024"/>
      <c r="BL62" s="1024"/>
    </row>
    <row r="63" spans="1:64">
      <c r="A63" s="1035"/>
      <c r="B63" s="1035"/>
      <c r="C63" s="1849" t="str">
        <f>Input!$C$48</f>
        <v>Overheads &amp; Contractors Profit @ 13.615%</v>
      </c>
      <c r="D63" s="1850">
        <f>Input!$D$48</f>
        <v>0.13614999999999999</v>
      </c>
      <c r="E63" s="1036"/>
      <c r="F63" s="1848">
        <f>I62</f>
        <v>3893.96</v>
      </c>
      <c r="G63" s="1025"/>
      <c r="H63" s="1847"/>
      <c r="I63" s="1001">
        <f>IF(G63="",D63*F63,(D63*F63/G63))</f>
        <v>530.16265399999997</v>
      </c>
      <c r="J63" s="1823"/>
      <c r="K63" s="1823"/>
      <c r="L63" s="1823"/>
      <c r="M63" s="1037"/>
      <c r="N63" s="1037"/>
      <c r="O63" s="1037"/>
      <c r="P63" s="1037"/>
      <c r="Q63" s="1037"/>
      <c r="R63" s="1037"/>
      <c r="S63" s="1037"/>
      <c r="T63" s="1037"/>
      <c r="U63" s="1037"/>
      <c r="V63" s="1037"/>
      <c r="W63" s="1037"/>
      <c r="X63" s="1037"/>
      <c r="Y63" s="1037"/>
      <c r="Z63" s="1037"/>
      <c r="AA63" s="1037"/>
      <c r="AB63" s="1037"/>
      <c r="AC63" s="1037"/>
      <c r="AD63" s="1037"/>
      <c r="AE63" s="1037"/>
      <c r="AF63" s="1037"/>
      <c r="AG63" s="1037"/>
      <c r="AH63" s="1037"/>
      <c r="AI63" s="1037"/>
      <c r="AJ63" s="1037"/>
      <c r="AK63" s="1037"/>
      <c r="AL63" s="1037"/>
      <c r="AM63" s="1037"/>
      <c r="AN63" s="1037"/>
      <c r="AO63" s="1037"/>
      <c r="AP63" s="1037"/>
      <c r="AQ63" s="1037"/>
      <c r="AR63" s="1037"/>
      <c r="AS63" s="1037"/>
      <c r="AT63" s="1037"/>
      <c r="AU63" s="1037"/>
      <c r="AV63" s="1037"/>
      <c r="AW63" s="1037"/>
      <c r="AX63" s="1037"/>
      <c r="AY63" s="1037"/>
      <c r="AZ63" s="1037"/>
      <c r="BA63" s="1037"/>
      <c r="BB63" s="1037"/>
      <c r="BC63" s="1037"/>
      <c r="BD63" s="1037"/>
      <c r="BE63" s="1037"/>
      <c r="BF63" s="1037"/>
      <c r="BG63" s="1037"/>
      <c r="BH63" s="1037"/>
      <c r="BI63" s="1037"/>
      <c r="BJ63" s="1037"/>
      <c r="BK63" s="1037"/>
      <c r="BL63" s="1037"/>
    </row>
    <row r="64" spans="1:64">
      <c r="A64" s="1836"/>
      <c r="B64" s="1836"/>
      <c r="C64" s="1838" t="s">
        <v>1032</v>
      </c>
      <c r="D64" s="1836"/>
      <c r="E64" s="1032"/>
      <c r="F64" s="1836"/>
      <c r="G64" s="1837"/>
      <c r="H64" s="1034" t="s">
        <v>1033</v>
      </c>
      <c r="I64" s="1011">
        <f>SUM(I62:I63)</f>
        <v>4424.1226539999998</v>
      </c>
      <c r="J64" s="1023"/>
      <c r="K64" s="1023"/>
      <c r="L64" s="1023"/>
      <c r="M64" s="1024"/>
      <c r="N64" s="1024"/>
      <c r="O64" s="1024"/>
      <c r="P64" s="1024"/>
      <c r="Q64" s="1024"/>
      <c r="R64" s="1024"/>
      <c r="S64" s="1024"/>
      <c r="T64" s="1024"/>
      <c r="U64" s="1024"/>
      <c r="V64" s="1024"/>
      <c r="W64" s="1024"/>
      <c r="X64" s="1024"/>
      <c r="Y64" s="1024"/>
      <c r="Z64" s="1024"/>
      <c r="AA64" s="1024"/>
      <c r="AB64" s="1024"/>
      <c r="AC64" s="1024"/>
      <c r="AD64" s="1024"/>
      <c r="AE64" s="1024"/>
      <c r="AF64" s="1024"/>
      <c r="AG64" s="1024"/>
      <c r="AH64" s="1024"/>
      <c r="AI64" s="1024"/>
      <c r="AJ64" s="1024"/>
      <c r="AK64" s="1024"/>
      <c r="AL64" s="1024"/>
      <c r="AM64" s="1024"/>
      <c r="AN64" s="1024"/>
      <c r="AO64" s="1024"/>
      <c r="AP64" s="1024"/>
      <c r="AQ64" s="1024"/>
      <c r="AR64" s="1024"/>
      <c r="AS64" s="1024"/>
      <c r="AT64" s="1024"/>
      <c r="AU64" s="1024"/>
      <c r="AV64" s="1024"/>
      <c r="AW64" s="1024"/>
      <c r="AX64" s="1024"/>
      <c r="AY64" s="1024"/>
      <c r="AZ64" s="1024"/>
      <c r="BA64" s="1024"/>
      <c r="BB64" s="1024"/>
      <c r="BC64" s="1024"/>
      <c r="BD64" s="1024"/>
      <c r="BE64" s="1024"/>
      <c r="BF64" s="1024"/>
      <c r="BG64" s="1024"/>
      <c r="BH64" s="1024"/>
      <c r="BI64" s="1024"/>
      <c r="BJ64" s="1024"/>
      <c r="BK64" s="1024"/>
      <c r="BL64" s="1024"/>
    </row>
    <row r="65" spans="1:64">
      <c r="A65" s="1836"/>
      <c r="B65" s="1836"/>
      <c r="C65" s="1841"/>
      <c r="D65" s="1836"/>
      <c r="E65" s="1032"/>
      <c r="F65" s="1836"/>
      <c r="G65" s="1837"/>
      <c r="H65" s="1842" t="s">
        <v>1034</v>
      </c>
      <c r="I65" s="1011">
        <f>ROUND(I64,0)</f>
        <v>4424</v>
      </c>
      <c r="J65" s="1023"/>
      <c r="K65" s="1023"/>
      <c r="L65" s="1023"/>
      <c r="M65" s="1024"/>
      <c r="N65" s="1024"/>
      <c r="O65" s="1024"/>
      <c r="P65" s="1024"/>
      <c r="Q65" s="1024"/>
      <c r="R65" s="1024"/>
      <c r="S65" s="1024"/>
      <c r="T65" s="1024"/>
      <c r="U65" s="1024"/>
      <c r="V65" s="1024"/>
      <c r="W65" s="1024"/>
      <c r="X65" s="1024"/>
      <c r="Y65" s="1024"/>
      <c r="Z65" s="1024"/>
      <c r="AA65" s="1024"/>
      <c r="AB65" s="1024"/>
      <c r="AC65" s="1024"/>
      <c r="AD65" s="1024"/>
      <c r="AE65" s="1024"/>
      <c r="AF65" s="1024"/>
      <c r="AG65" s="1024"/>
      <c r="AH65" s="1024"/>
      <c r="AI65" s="1024"/>
      <c r="AJ65" s="1024"/>
      <c r="AK65" s="1024"/>
      <c r="AL65" s="1024"/>
      <c r="AM65" s="1024"/>
      <c r="AN65" s="1024"/>
      <c r="AO65" s="1024"/>
      <c r="AP65" s="1024"/>
      <c r="AQ65" s="1024"/>
      <c r="AR65" s="1024"/>
      <c r="AS65" s="1024"/>
      <c r="AT65" s="1024"/>
      <c r="AU65" s="1024"/>
      <c r="AV65" s="1024"/>
      <c r="AW65" s="1024"/>
      <c r="AX65" s="1024"/>
      <c r="AY65" s="1024"/>
      <c r="AZ65" s="1024"/>
      <c r="BA65" s="1024"/>
      <c r="BB65" s="1024"/>
      <c r="BC65" s="1024"/>
      <c r="BD65" s="1024"/>
      <c r="BE65" s="1024"/>
      <c r="BF65" s="1024"/>
      <c r="BG65" s="1024"/>
      <c r="BH65" s="1024"/>
      <c r="BI65" s="1024"/>
      <c r="BJ65" s="1024"/>
      <c r="BK65" s="1024"/>
      <c r="BL65" s="1024"/>
    </row>
    <row r="66" spans="1:64">
      <c r="A66" s="1836"/>
      <c r="B66" s="1836"/>
      <c r="C66" s="1841"/>
      <c r="D66" s="1836"/>
      <c r="E66" s="1032"/>
      <c r="F66" s="1836"/>
      <c r="G66" s="1837"/>
      <c r="H66" s="1840"/>
      <c r="I66" s="1836"/>
      <c r="J66" s="1023"/>
      <c r="K66" s="1023"/>
      <c r="L66" s="1023"/>
      <c r="M66" s="1024"/>
      <c r="N66" s="1024"/>
      <c r="O66" s="1024"/>
      <c r="P66" s="1024"/>
      <c r="Q66" s="1024"/>
      <c r="R66" s="1024"/>
      <c r="S66" s="1024"/>
      <c r="T66" s="1024"/>
      <c r="U66" s="1024"/>
      <c r="V66" s="1024"/>
      <c r="W66" s="1024"/>
      <c r="X66" s="1024"/>
      <c r="Y66" s="1024"/>
      <c r="Z66" s="1024"/>
      <c r="AA66" s="1024"/>
      <c r="AB66" s="1024"/>
      <c r="AC66" s="1024"/>
      <c r="AD66" s="1024"/>
      <c r="AE66" s="1024"/>
      <c r="AF66" s="1024"/>
      <c r="AG66" s="1024"/>
      <c r="AH66" s="1024"/>
      <c r="AI66" s="1024"/>
      <c r="AJ66" s="1024"/>
      <c r="AK66" s="1024"/>
      <c r="AL66" s="1024"/>
      <c r="AM66" s="1024"/>
      <c r="AN66" s="1024"/>
      <c r="AO66" s="1024"/>
      <c r="AP66" s="1024"/>
      <c r="AQ66" s="1024"/>
      <c r="AR66" s="1024"/>
      <c r="AS66" s="1024"/>
      <c r="AT66" s="1024"/>
      <c r="AU66" s="1024"/>
      <c r="AV66" s="1024"/>
      <c r="AW66" s="1024"/>
      <c r="AX66" s="1024"/>
      <c r="AY66" s="1024"/>
      <c r="AZ66" s="1024"/>
      <c r="BA66" s="1024"/>
      <c r="BB66" s="1024"/>
      <c r="BC66" s="1024"/>
      <c r="BD66" s="1024"/>
      <c r="BE66" s="1024"/>
      <c r="BF66" s="1024"/>
      <c r="BG66" s="1024"/>
      <c r="BH66" s="1024"/>
      <c r="BI66" s="1024"/>
      <c r="BJ66" s="1024"/>
      <c r="BK66" s="1024"/>
      <c r="BL66" s="1024"/>
    </row>
    <row r="67" spans="1:64">
      <c r="A67" s="1836"/>
      <c r="B67" s="1836"/>
      <c r="C67" s="1841"/>
      <c r="D67" s="1836"/>
      <c r="E67" s="1032"/>
      <c r="F67" s="1836"/>
      <c r="G67" s="1837"/>
      <c r="H67" s="1840"/>
      <c r="I67" s="1836"/>
      <c r="J67" s="1023"/>
      <c r="K67" s="1023"/>
      <c r="L67" s="1023"/>
      <c r="M67" s="1024"/>
      <c r="N67" s="1024"/>
      <c r="O67" s="1024"/>
      <c r="P67" s="1024"/>
      <c r="Q67" s="1024"/>
      <c r="R67" s="1024"/>
      <c r="S67" s="1024"/>
      <c r="T67" s="1024"/>
      <c r="U67" s="1024"/>
      <c r="V67" s="1024"/>
      <c r="W67" s="1024"/>
      <c r="X67" s="1024"/>
      <c r="Y67" s="1024"/>
      <c r="Z67" s="1024"/>
      <c r="AA67" s="1024"/>
      <c r="AB67" s="1024"/>
      <c r="AC67" s="1024"/>
      <c r="AD67" s="1024"/>
      <c r="AE67" s="1024"/>
      <c r="AF67" s="1024"/>
      <c r="AG67" s="1024"/>
      <c r="AH67" s="1024"/>
      <c r="AI67" s="1024"/>
      <c r="AJ67" s="1024"/>
      <c r="AK67" s="1024"/>
      <c r="AL67" s="1024"/>
      <c r="AM67" s="1024"/>
      <c r="AN67" s="1024"/>
      <c r="AO67" s="1024"/>
      <c r="AP67" s="1024"/>
      <c r="AQ67" s="1024"/>
      <c r="AR67" s="1024"/>
      <c r="AS67" s="1024"/>
      <c r="AT67" s="1024"/>
      <c r="AU67" s="1024"/>
      <c r="AV67" s="1024"/>
      <c r="AW67" s="1024"/>
      <c r="AX67" s="1024"/>
      <c r="AY67" s="1024"/>
      <c r="AZ67" s="1024"/>
      <c r="BA67" s="1024"/>
      <c r="BB67" s="1024"/>
      <c r="BC67" s="1024"/>
      <c r="BD67" s="1024"/>
      <c r="BE67" s="1024"/>
      <c r="BF67" s="1024"/>
      <c r="BG67" s="1024"/>
      <c r="BH67" s="1024"/>
      <c r="BI67" s="1024"/>
      <c r="BJ67" s="1024"/>
      <c r="BK67" s="1024"/>
      <c r="BL67" s="1024"/>
    </row>
    <row r="68" spans="1:64" ht="25.5" customHeight="1">
      <c r="A68" s="1836"/>
      <c r="B68" s="1836" t="s">
        <v>436</v>
      </c>
      <c r="C68" s="2066" t="s">
        <v>443</v>
      </c>
      <c r="D68" s="2066"/>
      <c r="E68" s="2066"/>
      <c r="F68" s="1836"/>
      <c r="G68" s="1837"/>
      <c r="H68" s="1840"/>
      <c r="I68" s="1836"/>
      <c r="J68" s="1023"/>
      <c r="K68" s="1023"/>
      <c r="L68" s="1023"/>
      <c r="M68" s="1024"/>
      <c r="N68" s="1024"/>
      <c r="O68" s="1024"/>
      <c r="P68" s="1024"/>
      <c r="Q68" s="1024"/>
      <c r="R68" s="1024"/>
      <c r="S68" s="1024"/>
      <c r="T68" s="1024"/>
      <c r="U68" s="1024"/>
      <c r="V68" s="1024"/>
      <c r="W68" s="1024"/>
      <c r="X68" s="1024"/>
      <c r="Y68" s="1024"/>
      <c r="Z68" s="1024"/>
      <c r="AA68" s="1024"/>
      <c r="AB68" s="1024"/>
      <c r="AC68" s="1024"/>
      <c r="AD68" s="1024"/>
      <c r="AE68" s="1024"/>
      <c r="AF68" s="1024"/>
      <c r="AG68" s="1024"/>
      <c r="AH68" s="1024"/>
      <c r="AI68" s="1024"/>
      <c r="AJ68" s="1024"/>
      <c r="AK68" s="1024"/>
      <c r="AL68" s="1024"/>
      <c r="AM68" s="1024"/>
      <c r="AN68" s="1024"/>
      <c r="AO68" s="1024"/>
      <c r="AP68" s="1024"/>
      <c r="AQ68" s="1024"/>
      <c r="AR68" s="1024"/>
      <c r="AS68" s="1024"/>
      <c r="AT68" s="1024"/>
      <c r="AU68" s="1024"/>
      <c r="AV68" s="1024"/>
      <c r="AW68" s="1024"/>
      <c r="AX68" s="1024"/>
      <c r="AY68" s="1024"/>
      <c r="AZ68" s="1024"/>
      <c r="BA68" s="1024"/>
      <c r="BB68" s="1024"/>
      <c r="BC68" s="1024"/>
      <c r="BD68" s="1024"/>
      <c r="BE68" s="1024"/>
      <c r="BF68" s="1024"/>
      <c r="BG68" s="1024"/>
      <c r="BH68" s="1024"/>
      <c r="BI68" s="1024"/>
      <c r="BJ68" s="1024"/>
      <c r="BK68" s="1024"/>
      <c r="BL68" s="1024"/>
    </row>
    <row r="69" spans="1:64">
      <c r="A69" s="1836"/>
      <c r="B69" s="1836"/>
      <c r="C69" s="1014" t="s">
        <v>1043</v>
      </c>
      <c r="D69" s="1031">
        <v>10</v>
      </c>
      <c r="E69" s="1028" t="s">
        <v>94</v>
      </c>
      <c r="F69" s="1017">
        <f>'Civil-SOR'!$G$216</f>
        <v>11</v>
      </c>
      <c r="G69" s="1029">
        <v>1</v>
      </c>
      <c r="H69" s="1014" t="s">
        <v>94</v>
      </c>
      <c r="I69" s="1030">
        <f t="shared" ref="I69:I70" si="8">IF(G69="",D69*F69,(D69*F69/G69))</f>
        <v>110</v>
      </c>
      <c r="J69" s="1023"/>
      <c r="K69" s="1023"/>
      <c r="L69" s="1023"/>
      <c r="M69" s="1024"/>
      <c r="N69" s="1024"/>
      <c r="O69" s="1024"/>
      <c r="P69" s="1024"/>
      <c r="Q69" s="1024"/>
      <c r="R69" s="1024"/>
      <c r="S69" s="1024"/>
      <c r="T69" s="1024"/>
      <c r="U69" s="1024"/>
      <c r="V69" s="1024"/>
      <c r="W69" s="1024"/>
      <c r="X69" s="1024"/>
      <c r="Y69" s="1024"/>
      <c r="Z69" s="1024"/>
      <c r="AA69" s="1024"/>
      <c r="AB69" s="1024"/>
      <c r="AC69" s="1024"/>
      <c r="AD69" s="1024"/>
      <c r="AE69" s="1024"/>
      <c r="AF69" s="1024"/>
      <c r="AG69" s="1024"/>
      <c r="AH69" s="1024"/>
      <c r="AI69" s="1024"/>
      <c r="AJ69" s="1024"/>
      <c r="AK69" s="1024"/>
      <c r="AL69" s="1024"/>
      <c r="AM69" s="1024"/>
      <c r="AN69" s="1024"/>
      <c r="AO69" s="1024"/>
      <c r="AP69" s="1024"/>
      <c r="AQ69" s="1024"/>
      <c r="AR69" s="1024"/>
      <c r="AS69" s="1024"/>
      <c r="AT69" s="1024"/>
      <c r="AU69" s="1024"/>
      <c r="AV69" s="1024"/>
      <c r="AW69" s="1024"/>
      <c r="AX69" s="1024"/>
      <c r="AY69" s="1024"/>
      <c r="AZ69" s="1024"/>
      <c r="BA69" s="1024"/>
      <c r="BB69" s="1024"/>
      <c r="BC69" s="1024"/>
      <c r="BD69" s="1024"/>
      <c r="BE69" s="1024"/>
      <c r="BF69" s="1024"/>
      <c r="BG69" s="1024"/>
      <c r="BH69" s="1024"/>
      <c r="BI69" s="1024"/>
      <c r="BJ69" s="1024"/>
      <c r="BK69" s="1024"/>
      <c r="BL69" s="1024"/>
    </row>
    <row r="70" spans="1:64">
      <c r="A70" s="1836"/>
      <c r="B70" s="1836"/>
      <c r="C70" s="1014" t="str">
        <f>Input!$C$47</f>
        <v>Add for MA @ 40%</v>
      </c>
      <c r="D70" s="1031">
        <f>Input!$D$47</f>
        <v>0.4</v>
      </c>
      <c r="E70" s="1026"/>
      <c r="F70" s="1017">
        <f>I69</f>
        <v>110</v>
      </c>
      <c r="G70" s="1027"/>
      <c r="H70" s="1840"/>
      <c r="I70" s="1030">
        <f t="shared" si="8"/>
        <v>44</v>
      </c>
      <c r="J70" s="1023"/>
      <c r="K70" s="1023"/>
      <c r="L70" s="1023"/>
      <c r="M70" s="1024"/>
      <c r="N70" s="1024"/>
      <c r="O70" s="1024"/>
      <c r="P70" s="1024"/>
      <c r="Q70" s="1024"/>
      <c r="R70" s="1024"/>
      <c r="S70" s="1024"/>
      <c r="T70" s="1024"/>
      <c r="U70" s="1024"/>
      <c r="V70" s="1024"/>
      <c r="W70" s="1024"/>
      <c r="X70" s="1024"/>
      <c r="Y70" s="1024"/>
      <c r="Z70" s="1024"/>
      <c r="AA70" s="1024"/>
      <c r="AB70" s="1024"/>
      <c r="AC70" s="1024"/>
      <c r="AD70" s="1024"/>
      <c r="AE70" s="1024"/>
      <c r="AF70" s="1024"/>
      <c r="AG70" s="1024"/>
      <c r="AH70" s="1024"/>
      <c r="AI70" s="1024"/>
      <c r="AJ70" s="1024"/>
      <c r="AK70" s="1024"/>
      <c r="AL70" s="1024"/>
      <c r="AM70" s="1024"/>
      <c r="AN70" s="1024"/>
      <c r="AO70" s="1024"/>
      <c r="AP70" s="1024"/>
      <c r="AQ70" s="1024"/>
      <c r="AR70" s="1024"/>
      <c r="AS70" s="1024"/>
      <c r="AT70" s="1024"/>
      <c r="AU70" s="1024"/>
      <c r="AV70" s="1024"/>
      <c r="AW70" s="1024"/>
      <c r="AX70" s="1024"/>
      <c r="AY70" s="1024"/>
      <c r="AZ70" s="1024"/>
      <c r="BA70" s="1024"/>
      <c r="BB70" s="1024"/>
      <c r="BC70" s="1024"/>
      <c r="BD70" s="1024"/>
      <c r="BE70" s="1024"/>
      <c r="BF70" s="1024"/>
      <c r="BG70" s="1024"/>
      <c r="BH70" s="1024"/>
      <c r="BI70" s="1024"/>
      <c r="BJ70" s="1024"/>
      <c r="BK70" s="1024"/>
      <c r="BL70" s="1024"/>
    </row>
    <row r="71" spans="1:64">
      <c r="A71" s="1836"/>
      <c r="B71" s="1836"/>
      <c r="C71" s="1838" t="s">
        <v>1044</v>
      </c>
      <c r="D71" s="1017"/>
      <c r="E71" s="1026"/>
      <c r="F71" s="1017"/>
      <c r="G71" s="1027"/>
      <c r="H71" s="1840"/>
      <c r="I71" s="1017">
        <f>SUM(I69:I70)</f>
        <v>154</v>
      </c>
      <c r="J71" s="1023"/>
      <c r="K71" s="1023"/>
      <c r="L71" s="1023"/>
      <c r="M71" s="1024"/>
      <c r="N71" s="1024"/>
      <c r="O71" s="1024"/>
      <c r="P71" s="1024"/>
      <c r="Q71" s="1024"/>
      <c r="R71" s="1024"/>
      <c r="S71" s="1024"/>
      <c r="T71" s="1024"/>
      <c r="U71" s="1024"/>
      <c r="V71" s="1024"/>
      <c r="W71" s="1024"/>
      <c r="X71" s="1024"/>
      <c r="Y71" s="1024"/>
      <c r="Z71" s="1024"/>
      <c r="AA71" s="1024"/>
      <c r="AB71" s="1024"/>
      <c r="AC71" s="1024"/>
      <c r="AD71" s="1024"/>
      <c r="AE71" s="1024"/>
      <c r="AF71" s="1024"/>
      <c r="AG71" s="1024"/>
      <c r="AH71" s="1024"/>
      <c r="AI71" s="1024"/>
      <c r="AJ71" s="1024"/>
      <c r="AK71" s="1024"/>
      <c r="AL71" s="1024"/>
      <c r="AM71" s="1024"/>
      <c r="AN71" s="1024"/>
      <c r="AO71" s="1024"/>
      <c r="AP71" s="1024"/>
      <c r="AQ71" s="1024"/>
      <c r="AR71" s="1024"/>
      <c r="AS71" s="1024"/>
      <c r="AT71" s="1024"/>
      <c r="AU71" s="1024"/>
      <c r="AV71" s="1024"/>
      <c r="AW71" s="1024"/>
      <c r="AX71" s="1024"/>
      <c r="AY71" s="1024"/>
      <c r="AZ71" s="1024"/>
      <c r="BA71" s="1024"/>
      <c r="BB71" s="1024"/>
      <c r="BC71" s="1024"/>
      <c r="BD71" s="1024"/>
      <c r="BE71" s="1024"/>
      <c r="BF71" s="1024"/>
      <c r="BG71" s="1024"/>
      <c r="BH71" s="1024"/>
      <c r="BI71" s="1024"/>
      <c r="BJ71" s="1024"/>
      <c r="BK71" s="1024"/>
      <c r="BL71" s="1024"/>
    </row>
    <row r="72" spans="1:64">
      <c r="A72" s="1836"/>
      <c r="B72" s="1836"/>
      <c r="C72" s="1838" t="s">
        <v>1045</v>
      </c>
      <c r="D72" s="1017"/>
      <c r="E72" s="1026"/>
      <c r="F72" s="1017"/>
      <c r="G72" s="1027"/>
      <c r="H72" s="1840"/>
      <c r="I72" s="1017">
        <f>I71/10</f>
        <v>15.4</v>
      </c>
      <c r="J72" s="1023"/>
      <c r="K72" s="1023"/>
      <c r="L72" s="1023"/>
      <c r="M72" s="1024"/>
      <c r="N72" s="1024"/>
      <c r="O72" s="1024"/>
      <c r="P72" s="1024"/>
      <c r="Q72" s="1024"/>
      <c r="R72" s="1024"/>
      <c r="S72" s="1024"/>
      <c r="T72" s="1024"/>
      <c r="U72" s="1024"/>
      <c r="V72" s="1024"/>
      <c r="W72" s="1024"/>
      <c r="X72" s="1024"/>
      <c r="Y72" s="1024"/>
      <c r="Z72" s="1024"/>
      <c r="AA72" s="1024"/>
      <c r="AB72" s="1024"/>
      <c r="AC72" s="1024"/>
      <c r="AD72" s="1024"/>
      <c r="AE72" s="1024"/>
      <c r="AF72" s="1024"/>
      <c r="AG72" s="1024"/>
      <c r="AH72" s="1024"/>
      <c r="AI72" s="1024"/>
      <c r="AJ72" s="1024"/>
      <c r="AK72" s="1024"/>
      <c r="AL72" s="1024"/>
      <c r="AM72" s="1024"/>
      <c r="AN72" s="1024"/>
      <c r="AO72" s="1024"/>
      <c r="AP72" s="1024"/>
      <c r="AQ72" s="1024"/>
      <c r="AR72" s="1024"/>
      <c r="AS72" s="1024"/>
      <c r="AT72" s="1024"/>
      <c r="AU72" s="1024"/>
      <c r="AV72" s="1024"/>
      <c r="AW72" s="1024"/>
      <c r="AX72" s="1024"/>
      <c r="AY72" s="1024"/>
      <c r="AZ72" s="1024"/>
      <c r="BA72" s="1024"/>
      <c r="BB72" s="1024"/>
      <c r="BC72" s="1024"/>
      <c r="BD72" s="1024"/>
      <c r="BE72" s="1024"/>
      <c r="BF72" s="1024"/>
      <c r="BG72" s="1024"/>
      <c r="BH72" s="1024"/>
      <c r="BI72" s="1024"/>
      <c r="BJ72" s="1024"/>
      <c r="BK72" s="1024"/>
      <c r="BL72" s="1024"/>
    </row>
    <row r="73" spans="1:64">
      <c r="A73" s="1836"/>
      <c r="B73" s="1836"/>
      <c r="C73" s="1632" t="str">
        <f>Input!$C$48</f>
        <v>Overheads &amp; Contractors Profit @ 13.615%</v>
      </c>
      <c r="D73" s="1033">
        <f>Input!$D$48</f>
        <v>0.13614999999999999</v>
      </c>
      <c r="E73" s="1026"/>
      <c r="F73" s="1017">
        <f>I72</f>
        <v>15.4</v>
      </c>
      <c r="G73" s="1027"/>
      <c r="H73" s="1840"/>
      <c r="I73" s="1030">
        <f>IF(G73="",D73*F73,(D73*F73/G73))</f>
        <v>2.0967099999999999</v>
      </c>
      <c r="J73" s="1023"/>
      <c r="K73" s="1023"/>
      <c r="L73" s="1023"/>
      <c r="M73" s="1024"/>
      <c r="N73" s="1024"/>
      <c r="O73" s="1024"/>
      <c r="P73" s="1024"/>
      <c r="Q73" s="1024"/>
      <c r="R73" s="1024"/>
      <c r="S73" s="1024"/>
      <c r="T73" s="1024"/>
      <c r="U73" s="1024"/>
      <c r="V73" s="1024"/>
      <c r="W73" s="1024"/>
      <c r="X73" s="1024"/>
      <c r="Y73" s="1024"/>
      <c r="Z73" s="1024"/>
      <c r="AA73" s="1024"/>
      <c r="AB73" s="1024"/>
      <c r="AC73" s="1024"/>
      <c r="AD73" s="1024"/>
      <c r="AE73" s="1024"/>
      <c r="AF73" s="1024"/>
      <c r="AG73" s="1024"/>
      <c r="AH73" s="1024"/>
      <c r="AI73" s="1024"/>
      <c r="AJ73" s="1024"/>
      <c r="AK73" s="1024"/>
      <c r="AL73" s="1024"/>
      <c r="AM73" s="1024"/>
      <c r="AN73" s="1024"/>
      <c r="AO73" s="1024"/>
      <c r="AP73" s="1024"/>
      <c r="AQ73" s="1024"/>
      <c r="AR73" s="1024"/>
      <c r="AS73" s="1024"/>
      <c r="AT73" s="1024"/>
      <c r="AU73" s="1024"/>
      <c r="AV73" s="1024"/>
      <c r="AW73" s="1024"/>
      <c r="AX73" s="1024"/>
      <c r="AY73" s="1024"/>
      <c r="AZ73" s="1024"/>
      <c r="BA73" s="1024"/>
      <c r="BB73" s="1024"/>
      <c r="BC73" s="1024"/>
      <c r="BD73" s="1024"/>
      <c r="BE73" s="1024"/>
      <c r="BF73" s="1024"/>
      <c r="BG73" s="1024"/>
      <c r="BH73" s="1024"/>
      <c r="BI73" s="1024"/>
      <c r="BJ73" s="1024"/>
      <c r="BK73" s="1024"/>
      <c r="BL73" s="1024"/>
    </row>
    <row r="74" spans="1:64">
      <c r="A74" s="1836"/>
      <c r="B74" s="1836"/>
      <c r="C74" s="1838" t="s">
        <v>1045</v>
      </c>
      <c r="D74" s="1017"/>
      <c r="E74" s="1026"/>
      <c r="F74" s="1017"/>
      <c r="G74" s="1027"/>
      <c r="H74" s="1034" t="s">
        <v>1033</v>
      </c>
      <c r="I74" s="1030">
        <f>SUM(I72:I73)</f>
        <v>17.49671</v>
      </c>
      <c r="J74" s="1023"/>
      <c r="K74" s="1023"/>
      <c r="L74" s="1023"/>
      <c r="M74" s="1024"/>
      <c r="N74" s="1024"/>
      <c r="O74" s="1024"/>
      <c r="P74" s="1024"/>
      <c r="Q74" s="1024"/>
      <c r="R74" s="1024"/>
      <c r="S74" s="1024"/>
      <c r="T74" s="1024"/>
      <c r="U74" s="1024"/>
      <c r="V74" s="1024"/>
      <c r="W74" s="1024"/>
      <c r="X74" s="1024"/>
      <c r="Y74" s="1024"/>
      <c r="Z74" s="1024"/>
      <c r="AA74" s="1024"/>
      <c r="AB74" s="1024"/>
      <c r="AC74" s="1024"/>
      <c r="AD74" s="1024"/>
      <c r="AE74" s="1024"/>
      <c r="AF74" s="1024"/>
      <c r="AG74" s="1024"/>
      <c r="AH74" s="1024"/>
      <c r="AI74" s="1024"/>
      <c r="AJ74" s="1024"/>
      <c r="AK74" s="1024"/>
      <c r="AL74" s="1024"/>
      <c r="AM74" s="1024"/>
      <c r="AN74" s="1024"/>
      <c r="AO74" s="1024"/>
      <c r="AP74" s="1024"/>
      <c r="AQ74" s="1024"/>
      <c r="AR74" s="1024"/>
      <c r="AS74" s="1024"/>
      <c r="AT74" s="1024"/>
      <c r="AU74" s="1024"/>
      <c r="AV74" s="1024"/>
      <c r="AW74" s="1024"/>
      <c r="AX74" s="1024"/>
      <c r="AY74" s="1024"/>
      <c r="AZ74" s="1024"/>
      <c r="BA74" s="1024"/>
      <c r="BB74" s="1024"/>
      <c r="BC74" s="1024"/>
      <c r="BD74" s="1024"/>
      <c r="BE74" s="1024"/>
      <c r="BF74" s="1024"/>
      <c r="BG74" s="1024"/>
      <c r="BH74" s="1024"/>
      <c r="BI74" s="1024"/>
      <c r="BJ74" s="1024"/>
      <c r="BK74" s="1024"/>
      <c r="BL74" s="1024"/>
    </row>
    <row r="75" spans="1:64">
      <c r="A75" s="1836"/>
      <c r="B75" s="1836"/>
      <c r="C75" s="1840"/>
      <c r="D75" s="1017"/>
      <c r="E75" s="1026"/>
      <c r="F75" s="1017"/>
      <c r="G75" s="1027"/>
      <c r="H75" s="1842" t="s">
        <v>1034</v>
      </c>
      <c r="I75" s="1011">
        <f>ROUND(I74,0)</f>
        <v>17</v>
      </c>
      <c r="J75" s="1023"/>
      <c r="K75" s="1023"/>
      <c r="L75" s="1023"/>
      <c r="M75" s="1024"/>
      <c r="N75" s="1024"/>
      <c r="O75" s="1024"/>
      <c r="P75" s="1024"/>
      <c r="Q75" s="1024"/>
      <c r="R75" s="1024"/>
      <c r="S75" s="1024"/>
      <c r="T75" s="1024"/>
      <c r="U75" s="1024"/>
      <c r="V75" s="1024"/>
      <c r="W75" s="1024"/>
      <c r="X75" s="1024"/>
      <c r="Y75" s="1024"/>
      <c r="Z75" s="1024"/>
      <c r="AA75" s="1024"/>
      <c r="AB75" s="1024"/>
      <c r="AC75" s="1024"/>
      <c r="AD75" s="1024"/>
      <c r="AE75" s="1024"/>
      <c r="AF75" s="1024"/>
      <c r="AG75" s="1024"/>
      <c r="AH75" s="1024"/>
      <c r="AI75" s="1024"/>
      <c r="AJ75" s="1024"/>
      <c r="AK75" s="1024"/>
      <c r="AL75" s="1024"/>
      <c r="AM75" s="1024"/>
      <c r="AN75" s="1024"/>
      <c r="AO75" s="1024"/>
      <c r="AP75" s="1024"/>
      <c r="AQ75" s="1024"/>
      <c r="AR75" s="1024"/>
      <c r="AS75" s="1024"/>
      <c r="AT75" s="1024"/>
      <c r="AU75" s="1024"/>
      <c r="AV75" s="1024"/>
      <c r="AW75" s="1024"/>
      <c r="AX75" s="1024"/>
      <c r="AY75" s="1024"/>
      <c r="AZ75" s="1024"/>
      <c r="BA75" s="1024"/>
      <c r="BB75" s="1024"/>
      <c r="BC75" s="1024"/>
      <c r="BD75" s="1024"/>
      <c r="BE75" s="1024"/>
      <c r="BF75" s="1024"/>
      <c r="BG75" s="1024"/>
      <c r="BH75" s="1024"/>
      <c r="BI75" s="1024"/>
      <c r="BJ75" s="1024"/>
      <c r="BK75" s="1024"/>
      <c r="BL75" s="1024"/>
    </row>
    <row r="76" spans="1:64">
      <c r="A76" s="1836"/>
      <c r="B76" s="1836"/>
      <c r="C76" s="1841"/>
      <c r="D76" s="1836"/>
      <c r="E76" s="1032"/>
      <c r="F76" s="1836"/>
      <c r="G76" s="1837"/>
      <c r="H76" s="1840"/>
      <c r="I76" s="1836"/>
      <c r="J76" s="1023"/>
      <c r="K76" s="1023"/>
      <c r="L76" s="1023"/>
      <c r="M76" s="1024"/>
      <c r="N76" s="1024"/>
      <c r="O76" s="1024"/>
      <c r="P76" s="1024"/>
      <c r="Q76" s="1024"/>
      <c r="R76" s="1024"/>
      <c r="S76" s="1024"/>
      <c r="T76" s="1024"/>
      <c r="U76" s="1024"/>
      <c r="V76" s="1024"/>
      <c r="W76" s="1024"/>
      <c r="X76" s="1024"/>
      <c r="Y76" s="1024"/>
      <c r="Z76" s="1024"/>
      <c r="AA76" s="1024"/>
      <c r="AB76" s="1024"/>
      <c r="AC76" s="1024"/>
      <c r="AD76" s="1024"/>
      <c r="AE76" s="1024"/>
      <c r="AF76" s="1024"/>
      <c r="AG76" s="1024"/>
      <c r="AH76" s="1024"/>
      <c r="AI76" s="1024"/>
      <c r="AJ76" s="1024"/>
      <c r="AK76" s="1024"/>
      <c r="AL76" s="1024"/>
      <c r="AM76" s="1024"/>
      <c r="AN76" s="1024"/>
      <c r="AO76" s="1024"/>
      <c r="AP76" s="1024"/>
      <c r="AQ76" s="1024"/>
      <c r="AR76" s="1024"/>
      <c r="AS76" s="1024"/>
      <c r="AT76" s="1024"/>
      <c r="AU76" s="1024"/>
      <c r="AV76" s="1024"/>
      <c r="AW76" s="1024"/>
      <c r="AX76" s="1024"/>
      <c r="AY76" s="1024"/>
      <c r="AZ76" s="1024"/>
      <c r="BA76" s="1024"/>
      <c r="BB76" s="1024"/>
      <c r="BC76" s="1024"/>
      <c r="BD76" s="1024"/>
      <c r="BE76" s="1024"/>
      <c r="BF76" s="1024"/>
      <c r="BG76" s="1024"/>
      <c r="BH76" s="1024"/>
      <c r="BI76" s="1024"/>
      <c r="BJ76" s="1024"/>
      <c r="BK76" s="1024"/>
      <c r="BL76" s="1024"/>
    </row>
    <row r="77" spans="1:64">
      <c r="A77" s="1836"/>
      <c r="B77" s="1836" t="s">
        <v>439</v>
      </c>
      <c r="C77" s="1825" t="s">
        <v>426</v>
      </c>
      <c r="D77" s="1836"/>
      <c r="E77" s="1032"/>
      <c r="F77" s="1836"/>
      <c r="G77" s="1837"/>
      <c r="H77" s="1841"/>
      <c r="I77" s="1836"/>
      <c r="J77" s="1023"/>
      <c r="K77" s="1023"/>
      <c r="L77" s="1023"/>
      <c r="M77" s="1024"/>
      <c r="N77" s="1024"/>
      <c r="O77" s="1024"/>
      <c r="P77" s="1024"/>
      <c r="Q77" s="1024"/>
      <c r="R77" s="1024"/>
      <c r="S77" s="1024"/>
      <c r="T77" s="1024"/>
      <c r="U77" s="1024"/>
      <c r="V77" s="1024"/>
      <c r="W77" s="1024"/>
      <c r="X77" s="1024"/>
      <c r="Y77" s="1024"/>
      <c r="Z77" s="1024"/>
      <c r="AA77" s="1024"/>
      <c r="AB77" s="1024"/>
      <c r="AC77" s="1024"/>
      <c r="AD77" s="1024"/>
      <c r="AE77" s="1024"/>
      <c r="AF77" s="1024"/>
      <c r="AG77" s="1024"/>
      <c r="AH77" s="1024"/>
      <c r="AI77" s="1024"/>
      <c r="AJ77" s="1024"/>
      <c r="AK77" s="1024"/>
      <c r="AL77" s="1024"/>
      <c r="AM77" s="1024"/>
      <c r="AN77" s="1024"/>
      <c r="AO77" s="1024"/>
      <c r="AP77" s="1024"/>
      <c r="AQ77" s="1024"/>
      <c r="AR77" s="1024"/>
      <c r="AS77" s="1024"/>
      <c r="AT77" s="1024"/>
      <c r="AU77" s="1024"/>
      <c r="AV77" s="1024"/>
      <c r="AW77" s="1024"/>
      <c r="AX77" s="1024"/>
      <c r="AY77" s="1024"/>
      <c r="AZ77" s="1024"/>
      <c r="BA77" s="1024"/>
      <c r="BB77" s="1024"/>
      <c r="BC77" s="1024"/>
      <c r="BD77" s="1024"/>
      <c r="BE77" s="1024"/>
      <c r="BF77" s="1024"/>
      <c r="BG77" s="1024"/>
      <c r="BH77" s="1024"/>
      <c r="BI77" s="1024"/>
      <c r="BJ77" s="1024"/>
      <c r="BK77" s="1024"/>
      <c r="BL77" s="1024"/>
    </row>
    <row r="78" spans="1:64">
      <c r="A78" s="1836"/>
      <c r="B78" s="1836"/>
      <c r="C78" s="1014" t="s">
        <v>1046</v>
      </c>
      <c r="D78" s="1031">
        <v>1</v>
      </c>
      <c r="E78" s="1028" t="s">
        <v>75</v>
      </c>
      <c r="F78" s="1017">
        <f>'Civil-SOR'!$G$210</f>
        <v>571</v>
      </c>
      <c r="G78" s="1029">
        <v>1</v>
      </c>
      <c r="H78" s="1014" t="s">
        <v>484</v>
      </c>
      <c r="I78" s="1030">
        <f t="shared" ref="I78:I79" si="9">IF(G78="",D78*F78,(D78*F78/G78))</f>
        <v>571</v>
      </c>
      <c r="J78" s="1023"/>
      <c r="K78" s="1023"/>
      <c r="L78" s="1023"/>
      <c r="M78" s="1024"/>
      <c r="N78" s="1024"/>
      <c r="O78" s="1024"/>
      <c r="P78" s="1024"/>
      <c r="Q78" s="1024"/>
      <c r="R78" s="1024"/>
      <c r="S78" s="1024"/>
      <c r="T78" s="1024"/>
      <c r="U78" s="1024"/>
      <c r="V78" s="1024"/>
      <c r="W78" s="1024"/>
      <c r="X78" s="1024"/>
      <c r="Y78" s="1024"/>
      <c r="Z78" s="1024"/>
      <c r="AA78" s="1024"/>
      <c r="AB78" s="1024"/>
      <c r="AC78" s="1024"/>
      <c r="AD78" s="1024"/>
      <c r="AE78" s="1024"/>
      <c r="AF78" s="1024"/>
      <c r="AG78" s="1024"/>
      <c r="AH78" s="1024"/>
      <c r="AI78" s="1024"/>
      <c r="AJ78" s="1024"/>
      <c r="AK78" s="1024"/>
      <c r="AL78" s="1024"/>
      <c r="AM78" s="1024"/>
      <c r="AN78" s="1024"/>
      <c r="AO78" s="1024"/>
      <c r="AP78" s="1024"/>
      <c r="AQ78" s="1024"/>
      <c r="AR78" s="1024"/>
      <c r="AS78" s="1024"/>
      <c r="AT78" s="1024"/>
      <c r="AU78" s="1024"/>
      <c r="AV78" s="1024"/>
      <c r="AW78" s="1024"/>
      <c r="AX78" s="1024"/>
      <c r="AY78" s="1024"/>
      <c r="AZ78" s="1024"/>
      <c r="BA78" s="1024"/>
      <c r="BB78" s="1024"/>
      <c r="BC78" s="1024"/>
      <c r="BD78" s="1024"/>
      <c r="BE78" s="1024"/>
      <c r="BF78" s="1024"/>
      <c r="BG78" s="1024"/>
      <c r="BH78" s="1024"/>
      <c r="BI78" s="1024"/>
      <c r="BJ78" s="1024"/>
      <c r="BK78" s="1024"/>
      <c r="BL78" s="1024"/>
    </row>
    <row r="79" spans="1:64">
      <c r="A79" s="1836"/>
      <c r="B79" s="1836"/>
      <c r="C79" s="1014" t="str">
        <f>Input!$C$47</f>
        <v>Add for MA @ 40%</v>
      </c>
      <c r="D79" s="1031">
        <f>Input!$D$47</f>
        <v>0.4</v>
      </c>
      <c r="E79" s="1026"/>
      <c r="F79" s="1017">
        <f>I78</f>
        <v>571</v>
      </c>
      <c r="G79" s="1027"/>
      <c r="H79" s="1840"/>
      <c r="I79" s="1030">
        <f t="shared" si="9"/>
        <v>228.4</v>
      </c>
      <c r="J79" s="1023"/>
      <c r="K79" s="1023"/>
      <c r="L79" s="1023"/>
      <c r="M79" s="1024"/>
      <c r="N79" s="1024"/>
      <c r="O79" s="1024"/>
      <c r="P79" s="1024"/>
      <c r="Q79" s="1024"/>
      <c r="R79" s="1024"/>
      <c r="S79" s="1024"/>
      <c r="T79" s="1024"/>
      <c r="U79" s="1024"/>
      <c r="V79" s="1024"/>
      <c r="W79" s="1024"/>
      <c r="X79" s="1024"/>
      <c r="Y79" s="1024"/>
      <c r="Z79" s="1024"/>
      <c r="AA79" s="1024"/>
      <c r="AB79" s="1024"/>
      <c r="AC79" s="1024"/>
      <c r="AD79" s="1024"/>
      <c r="AE79" s="1024"/>
      <c r="AF79" s="1024"/>
      <c r="AG79" s="1024"/>
      <c r="AH79" s="1024"/>
      <c r="AI79" s="1024"/>
      <c r="AJ79" s="1024"/>
      <c r="AK79" s="1024"/>
      <c r="AL79" s="1024"/>
      <c r="AM79" s="1024"/>
      <c r="AN79" s="1024"/>
      <c r="AO79" s="1024"/>
      <c r="AP79" s="1024"/>
      <c r="AQ79" s="1024"/>
      <c r="AR79" s="1024"/>
      <c r="AS79" s="1024"/>
      <c r="AT79" s="1024"/>
      <c r="AU79" s="1024"/>
      <c r="AV79" s="1024"/>
      <c r="AW79" s="1024"/>
      <c r="AX79" s="1024"/>
      <c r="AY79" s="1024"/>
      <c r="AZ79" s="1024"/>
      <c r="BA79" s="1024"/>
      <c r="BB79" s="1024"/>
      <c r="BC79" s="1024"/>
      <c r="BD79" s="1024"/>
      <c r="BE79" s="1024"/>
      <c r="BF79" s="1024"/>
      <c r="BG79" s="1024"/>
      <c r="BH79" s="1024"/>
      <c r="BI79" s="1024"/>
      <c r="BJ79" s="1024"/>
      <c r="BK79" s="1024"/>
      <c r="BL79" s="1024"/>
    </row>
    <row r="80" spans="1:64">
      <c r="A80" s="1836"/>
      <c r="B80" s="1836"/>
      <c r="C80" s="1838" t="s">
        <v>1032</v>
      </c>
      <c r="D80" s="1017"/>
      <c r="E80" s="1026"/>
      <c r="F80" s="1017"/>
      <c r="G80" s="1027"/>
      <c r="H80" s="1840"/>
      <c r="I80" s="1017">
        <f>SUM(I78:I79)</f>
        <v>799.4</v>
      </c>
      <c r="J80" s="1023"/>
      <c r="K80" s="1023"/>
      <c r="L80" s="1023"/>
      <c r="M80" s="1024"/>
      <c r="N80" s="1024"/>
      <c r="O80" s="1024"/>
      <c r="P80" s="1024"/>
      <c r="Q80" s="1024"/>
      <c r="R80" s="1024"/>
      <c r="S80" s="1024"/>
      <c r="T80" s="1024"/>
      <c r="U80" s="1024"/>
      <c r="V80" s="1024"/>
      <c r="W80" s="1024"/>
      <c r="X80" s="1024"/>
      <c r="Y80" s="1024"/>
      <c r="Z80" s="1024"/>
      <c r="AA80" s="1024"/>
      <c r="AB80" s="1024"/>
      <c r="AC80" s="1024"/>
      <c r="AD80" s="1024"/>
      <c r="AE80" s="1024"/>
      <c r="AF80" s="1024"/>
      <c r="AG80" s="1024"/>
      <c r="AH80" s="1024"/>
      <c r="AI80" s="1024"/>
      <c r="AJ80" s="1024"/>
      <c r="AK80" s="1024"/>
      <c r="AL80" s="1024"/>
      <c r="AM80" s="1024"/>
      <c r="AN80" s="1024"/>
      <c r="AO80" s="1024"/>
      <c r="AP80" s="1024"/>
      <c r="AQ80" s="1024"/>
      <c r="AR80" s="1024"/>
      <c r="AS80" s="1024"/>
      <c r="AT80" s="1024"/>
      <c r="AU80" s="1024"/>
      <c r="AV80" s="1024"/>
      <c r="AW80" s="1024"/>
      <c r="AX80" s="1024"/>
      <c r="AY80" s="1024"/>
      <c r="AZ80" s="1024"/>
      <c r="BA80" s="1024"/>
      <c r="BB80" s="1024"/>
      <c r="BC80" s="1024"/>
      <c r="BD80" s="1024"/>
      <c r="BE80" s="1024"/>
      <c r="BF80" s="1024"/>
      <c r="BG80" s="1024"/>
      <c r="BH80" s="1024"/>
      <c r="BI80" s="1024"/>
      <c r="BJ80" s="1024"/>
      <c r="BK80" s="1024"/>
      <c r="BL80" s="1024"/>
    </row>
    <row r="81" spans="1:64">
      <c r="A81" s="1035"/>
      <c r="B81" s="1035"/>
      <c r="C81" s="1849" t="str">
        <f>Input!$C$48</f>
        <v>Overheads &amp; Contractors Profit @ 13.615%</v>
      </c>
      <c r="D81" s="1850">
        <f>Input!$D$48</f>
        <v>0.13614999999999999</v>
      </c>
      <c r="E81" s="1039"/>
      <c r="F81" s="1848">
        <f>I80</f>
        <v>799.4</v>
      </c>
      <c r="G81" s="1025"/>
      <c r="H81" s="1847"/>
      <c r="I81" s="1001">
        <f>IF(G81="",D81*F81,(D81*F81/G81))</f>
        <v>108.83830999999999</v>
      </c>
      <c r="J81" s="1823"/>
      <c r="K81" s="1823"/>
      <c r="L81" s="1823"/>
      <c r="M81" s="1037"/>
      <c r="N81" s="1037"/>
      <c r="O81" s="1037"/>
      <c r="P81" s="1037"/>
      <c r="Q81" s="1037"/>
      <c r="R81" s="1037"/>
      <c r="S81" s="1037"/>
      <c r="T81" s="1037"/>
      <c r="U81" s="1037"/>
      <c r="V81" s="1037"/>
      <c r="W81" s="1037"/>
      <c r="X81" s="1037"/>
      <c r="Y81" s="1037"/>
      <c r="Z81" s="1037"/>
      <c r="AA81" s="1037"/>
      <c r="AB81" s="1037"/>
      <c r="AC81" s="1037"/>
      <c r="AD81" s="1037"/>
      <c r="AE81" s="1037"/>
      <c r="AF81" s="1037"/>
      <c r="AG81" s="1037"/>
      <c r="AH81" s="1037"/>
      <c r="AI81" s="1037"/>
      <c r="AJ81" s="1037"/>
      <c r="AK81" s="1037"/>
      <c r="AL81" s="1037"/>
      <c r="AM81" s="1037"/>
      <c r="AN81" s="1037"/>
      <c r="AO81" s="1037"/>
      <c r="AP81" s="1037"/>
      <c r="AQ81" s="1037"/>
      <c r="AR81" s="1037"/>
      <c r="AS81" s="1037"/>
      <c r="AT81" s="1037"/>
      <c r="AU81" s="1037"/>
      <c r="AV81" s="1037"/>
      <c r="AW81" s="1037"/>
      <c r="AX81" s="1037"/>
      <c r="AY81" s="1037"/>
      <c r="AZ81" s="1037"/>
      <c r="BA81" s="1037"/>
      <c r="BB81" s="1037"/>
      <c r="BC81" s="1037"/>
      <c r="BD81" s="1037"/>
      <c r="BE81" s="1037"/>
      <c r="BF81" s="1037"/>
      <c r="BG81" s="1037"/>
      <c r="BH81" s="1037"/>
      <c r="BI81" s="1037"/>
      <c r="BJ81" s="1037"/>
      <c r="BK81" s="1037"/>
      <c r="BL81" s="1037"/>
    </row>
    <row r="82" spans="1:64">
      <c r="A82" s="1836"/>
      <c r="B82" s="1836"/>
      <c r="C82" s="1838" t="s">
        <v>1032</v>
      </c>
      <c r="D82" s="1017"/>
      <c r="E82" s="1026"/>
      <c r="F82" s="1017"/>
      <c r="G82" s="1027"/>
      <c r="H82" s="1034" t="s">
        <v>1033</v>
      </c>
      <c r="I82" s="1030">
        <f>SUM(I80:I81)</f>
        <v>908.23830999999996</v>
      </c>
      <c r="J82" s="1023"/>
      <c r="K82" s="1023"/>
      <c r="L82" s="1023"/>
      <c r="M82" s="1024"/>
      <c r="N82" s="1024"/>
      <c r="O82" s="1024"/>
      <c r="P82" s="1024"/>
      <c r="Q82" s="1024"/>
      <c r="R82" s="1024"/>
      <c r="S82" s="1024"/>
      <c r="T82" s="1024"/>
      <c r="U82" s="1024"/>
      <c r="V82" s="1024"/>
      <c r="W82" s="1024"/>
      <c r="X82" s="1024"/>
      <c r="Y82" s="1024"/>
      <c r="Z82" s="1024"/>
      <c r="AA82" s="1024"/>
      <c r="AB82" s="1024"/>
      <c r="AC82" s="1024"/>
      <c r="AD82" s="1024"/>
      <c r="AE82" s="1024"/>
      <c r="AF82" s="1024"/>
      <c r="AG82" s="1024"/>
      <c r="AH82" s="1024"/>
      <c r="AI82" s="1024"/>
      <c r="AJ82" s="1024"/>
      <c r="AK82" s="1024"/>
      <c r="AL82" s="1024"/>
      <c r="AM82" s="1024"/>
      <c r="AN82" s="1024"/>
      <c r="AO82" s="1024"/>
      <c r="AP82" s="1024"/>
      <c r="AQ82" s="1024"/>
      <c r="AR82" s="1024"/>
      <c r="AS82" s="1024"/>
      <c r="AT82" s="1024"/>
      <c r="AU82" s="1024"/>
      <c r="AV82" s="1024"/>
      <c r="AW82" s="1024"/>
      <c r="AX82" s="1024"/>
      <c r="AY82" s="1024"/>
      <c r="AZ82" s="1024"/>
      <c r="BA82" s="1024"/>
      <c r="BB82" s="1024"/>
      <c r="BC82" s="1024"/>
      <c r="BD82" s="1024"/>
      <c r="BE82" s="1024"/>
      <c r="BF82" s="1024"/>
      <c r="BG82" s="1024"/>
      <c r="BH82" s="1024"/>
      <c r="BI82" s="1024"/>
      <c r="BJ82" s="1024"/>
      <c r="BK82" s="1024"/>
      <c r="BL82" s="1024"/>
    </row>
    <row r="83" spans="1:64">
      <c r="A83" s="1836"/>
      <c r="B83" s="1836"/>
      <c r="C83" s="1840"/>
      <c r="D83" s="1017"/>
      <c r="E83" s="1026"/>
      <c r="F83" s="1017"/>
      <c r="G83" s="1027"/>
      <c r="H83" s="1842" t="s">
        <v>1034</v>
      </c>
      <c r="I83" s="1011">
        <f>ROUND(I82,0)</f>
        <v>908</v>
      </c>
      <c r="J83" s="1023"/>
      <c r="K83" s="1023"/>
      <c r="L83" s="1023"/>
      <c r="M83" s="1024"/>
      <c r="N83" s="1024"/>
      <c r="O83" s="1024"/>
      <c r="P83" s="1024"/>
      <c r="Q83" s="1024"/>
      <c r="R83" s="1024"/>
      <c r="S83" s="1024"/>
      <c r="T83" s="1024"/>
      <c r="U83" s="1024"/>
      <c r="V83" s="1024"/>
      <c r="W83" s="1024"/>
      <c r="X83" s="1024"/>
      <c r="Y83" s="1024"/>
      <c r="Z83" s="1024"/>
      <c r="AA83" s="1024"/>
      <c r="AB83" s="1024"/>
      <c r="AC83" s="1024"/>
      <c r="AD83" s="1024"/>
      <c r="AE83" s="1024"/>
      <c r="AF83" s="1024"/>
      <c r="AG83" s="1024"/>
      <c r="AH83" s="1024"/>
      <c r="AI83" s="1024"/>
      <c r="AJ83" s="1024"/>
      <c r="AK83" s="1024"/>
      <c r="AL83" s="1024"/>
      <c r="AM83" s="1024"/>
      <c r="AN83" s="1024"/>
      <c r="AO83" s="1024"/>
      <c r="AP83" s="1024"/>
      <c r="AQ83" s="1024"/>
      <c r="AR83" s="1024"/>
      <c r="AS83" s="1024"/>
      <c r="AT83" s="1024"/>
      <c r="AU83" s="1024"/>
      <c r="AV83" s="1024"/>
      <c r="AW83" s="1024"/>
      <c r="AX83" s="1024"/>
      <c r="AY83" s="1024"/>
      <c r="AZ83" s="1024"/>
      <c r="BA83" s="1024"/>
      <c r="BB83" s="1024"/>
      <c r="BC83" s="1024"/>
      <c r="BD83" s="1024"/>
      <c r="BE83" s="1024"/>
      <c r="BF83" s="1024"/>
      <c r="BG83" s="1024"/>
      <c r="BH83" s="1024"/>
      <c r="BI83" s="1024"/>
      <c r="BJ83" s="1024"/>
      <c r="BK83" s="1024"/>
      <c r="BL83" s="1024"/>
    </row>
    <row r="84" spans="1:64">
      <c r="A84" s="1836"/>
      <c r="B84" s="1836"/>
      <c r="C84" s="1840"/>
      <c r="D84" s="1017"/>
      <c r="E84" s="1026"/>
      <c r="F84" s="1017"/>
      <c r="G84" s="1027"/>
      <c r="H84" s="1840"/>
      <c r="I84" s="1836"/>
      <c r="J84" s="1023"/>
      <c r="K84" s="1023"/>
      <c r="L84" s="1023"/>
      <c r="M84" s="1024"/>
      <c r="N84" s="1024"/>
      <c r="O84" s="1024"/>
      <c r="P84" s="1024"/>
      <c r="Q84" s="1024"/>
      <c r="R84" s="1024"/>
      <c r="S84" s="1024"/>
      <c r="T84" s="1024"/>
      <c r="U84" s="1024"/>
      <c r="V84" s="1024"/>
      <c r="W84" s="1024"/>
      <c r="X84" s="1024"/>
      <c r="Y84" s="1024"/>
      <c r="Z84" s="1024"/>
      <c r="AA84" s="1024"/>
      <c r="AB84" s="1024"/>
      <c r="AC84" s="1024"/>
      <c r="AD84" s="1024"/>
      <c r="AE84" s="1024"/>
      <c r="AF84" s="1024"/>
      <c r="AG84" s="1024"/>
      <c r="AH84" s="1024"/>
      <c r="AI84" s="1024"/>
      <c r="AJ84" s="1024"/>
      <c r="AK84" s="1024"/>
      <c r="AL84" s="1024"/>
      <c r="AM84" s="1024"/>
      <c r="AN84" s="1024"/>
      <c r="AO84" s="1024"/>
      <c r="AP84" s="1024"/>
      <c r="AQ84" s="1024"/>
      <c r="AR84" s="1024"/>
      <c r="AS84" s="1024"/>
      <c r="AT84" s="1024"/>
      <c r="AU84" s="1024"/>
      <c r="AV84" s="1024"/>
      <c r="AW84" s="1024"/>
      <c r="AX84" s="1024"/>
      <c r="AY84" s="1024"/>
      <c r="AZ84" s="1024"/>
      <c r="BA84" s="1024"/>
      <c r="BB84" s="1024"/>
      <c r="BC84" s="1024"/>
      <c r="BD84" s="1024"/>
      <c r="BE84" s="1024"/>
      <c r="BF84" s="1024"/>
      <c r="BG84" s="1024"/>
      <c r="BH84" s="1024"/>
      <c r="BI84" s="1024"/>
      <c r="BJ84" s="1024"/>
      <c r="BK84" s="1024"/>
      <c r="BL84" s="1024"/>
    </row>
    <row r="85" spans="1:64" ht="25.5" customHeight="1">
      <c r="A85" s="1035"/>
      <c r="B85" s="1035" t="s">
        <v>442</v>
      </c>
      <c r="C85" s="2045" t="s">
        <v>431</v>
      </c>
      <c r="D85" s="2045"/>
      <c r="E85" s="2045"/>
      <c r="F85" s="1035"/>
      <c r="G85" s="1040"/>
      <c r="H85" s="1839"/>
      <c r="I85" s="1035"/>
      <c r="J85" s="1823"/>
      <c r="K85" s="1823"/>
      <c r="L85" s="1823"/>
      <c r="M85" s="1037"/>
      <c r="N85" s="1037"/>
      <c r="O85" s="1037"/>
      <c r="P85" s="1037"/>
      <c r="Q85" s="1037"/>
      <c r="R85" s="1037"/>
      <c r="S85" s="1037"/>
      <c r="T85" s="1037"/>
      <c r="U85" s="1037"/>
      <c r="V85" s="1037"/>
      <c r="W85" s="1037"/>
      <c r="X85" s="1037"/>
      <c r="Y85" s="1037"/>
      <c r="Z85" s="1037"/>
      <c r="AA85" s="1037"/>
      <c r="AB85" s="1037"/>
      <c r="AC85" s="1037"/>
      <c r="AD85" s="1037"/>
      <c r="AE85" s="1037"/>
      <c r="AF85" s="1037"/>
      <c r="AG85" s="1037"/>
      <c r="AH85" s="1037"/>
      <c r="AI85" s="1037"/>
      <c r="AJ85" s="1037"/>
      <c r="AK85" s="1037"/>
      <c r="AL85" s="1037"/>
      <c r="AM85" s="1037"/>
      <c r="AN85" s="1037"/>
      <c r="AO85" s="1037"/>
      <c r="AP85" s="1037"/>
      <c r="AQ85" s="1037"/>
      <c r="AR85" s="1037"/>
      <c r="AS85" s="1037"/>
      <c r="AT85" s="1037"/>
      <c r="AU85" s="1037"/>
      <c r="AV85" s="1037"/>
      <c r="AW85" s="1037"/>
      <c r="AX85" s="1037"/>
      <c r="AY85" s="1037"/>
      <c r="AZ85" s="1037"/>
      <c r="BA85" s="1037"/>
      <c r="BB85" s="1037"/>
      <c r="BC85" s="1037"/>
      <c r="BD85" s="1037"/>
      <c r="BE85" s="1037"/>
      <c r="BF85" s="1037"/>
      <c r="BG85" s="1037"/>
      <c r="BH85" s="1037"/>
      <c r="BI85" s="1037"/>
      <c r="BJ85" s="1037"/>
      <c r="BK85" s="1037"/>
      <c r="BL85" s="1037"/>
    </row>
    <row r="86" spans="1:64">
      <c r="A86" s="1836"/>
      <c r="B86" s="1836"/>
      <c r="C86" s="1014" t="s">
        <v>1047</v>
      </c>
      <c r="D86" s="1031">
        <v>10</v>
      </c>
      <c r="E86" s="1028" t="s">
        <v>94</v>
      </c>
      <c r="F86" s="1017">
        <f>'Civil-SOR'!$G$212</f>
        <v>20</v>
      </c>
      <c r="G86" s="1029">
        <v>1</v>
      </c>
      <c r="H86" s="1014" t="s">
        <v>46</v>
      </c>
      <c r="I86" s="1030">
        <f t="shared" ref="I86:I87" si="10">IF(G86="",D86*F86,(D86*F86/G86))</f>
        <v>200</v>
      </c>
      <c r="J86" s="1023"/>
      <c r="K86" s="1023"/>
      <c r="L86" s="1023"/>
      <c r="M86" s="1024"/>
      <c r="N86" s="1024"/>
      <c r="O86" s="1024"/>
      <c r="P86" s="1024"/>
      <c r="Q86" s="1024"/>
      <c r="R86" s="1024"/>
      <c r="S86" s="1024"/>
      <c r="T86" s="1024"/>
      <c r="U86" s="1024"/>
      <c r="V86" s="1024"/>
      <c r="W86" s="1024"/>
      <c r="X86" s="1024"/>
      <c r="Y86" s="1024"/>
      <c r="Z86" s="1024"/>
      <c r="AA86" s="1024"/>
      <c r="AB86" s="1024"/>
      <c r="AC86" s="1024"/>
      <c r="AD86" s="1024"/>
      <c r="AE86" s="1024"/>
      <c r="AF86" s="1024"/>
      <c r="AG86" s="1024"/>
      <c r="AH86" s="1024"/>
      <c r="AI86" s="1024"/>
      <c r="AJ86" s="1024"/>
      <c r="AK86" s="1024"/>
      <c r="AL86" s="1024"/>
      <c r="AM86" s="1024"/>
      <c r="AN86" s="1024"/>
      <c r="AO86" s="1024"/>
      <c r="AP86" s="1024"/>
      <c r="AQ86" s="1024"/>
      <c r="AR86" s="1024"/>
      <c r="AS86" s="1024"/>
      <c r="AT86" s="1024"/>
      <c r="AU86" s="1024"/>
      <c r="AV86" s="1024"/>
      <c r="AW86" s="1024"/>
      <c r="AX86" s="1024"/>
      <c r="AY86" s="1024"/>
      <c r="AZ86" s="1024"/>
      <c r="BA86" s="1024"/>
      <c r="BB86" s="1024"/>
      <c r="BC86" s="1024"/>
      <c r="BD86" s="1024"/>
      <c r="BE86" s="1024"/>
      <c r="BF86" s="1024"/>
      <c r="BG86" s="1024"/>
      <c r="BH86" s="1024"/>
      <c r="BI86" s="1024"/>
      <c r="BJ86" s="1024"/>
      <c r="BK86" s="1024"/>
      <c r="BL86" s="1024"/>
    </row>
    <row r="87" spans="1:64">
      <c r="A87" s="1836"/>
      <c r="B87" s="1836"/>
      <c r="C87" s="1014" t="str">
        <f>Input!$C$47</f>
        <v>Add for MA @ 40%</v>
      </c>
      <c r="D87" s="1031">
        <f>Input!$D$47</f>
        <v>0.4</v>
      </c>
      <c r="E87" s="1026"/>
      <c r="F87" s="1017">
        <f>I86</f>
        <v>200</v>
      </c>
      <c r="G87" s="1027"/>
      <c r="H87" s="1840"/>
      <c r="I87" s="1030">
        <f t="shared" si="10"/>
        <v>80</v>
      </c>
      <c r="J87" s="1023"/>
      <c r="K87" s="1023"/>
      <c r="L87" s="1023"/>
      <c r="M87" s="1024"/>
      <c r="N87" s="1024"/>
      <c r="O87" s="1024"/>
      <c r="P87" s="1024"/>
      <c r="Q87" s="1024"/>
      <c r="R87" s="1024"/>
      <c r="S87" s="1024"/>
      <c r="T87" s="1024"/>
      <c r="U87" s="1024"/>
      <c r="V87" s="1024"/>
      <c r="W87" s="1024"/>
      <c r="X87" s="1024"/>
      <c r="Y87" s="1024"/>
      <c r="Z87" s="1024"/>
      <c r="AA87" s="1024"/>
      <c r="AB87" s="1024"/>
      <c r="AC87" s="1024"/>
      <c r="AD87" s="1024"/>
      <c r="AE87" s="1024"/>
      <c r="AF87" s="1024"/>
      <c r="AG87" s="1024"/>
      <c r="AH87" s="1024"/>
      <c r="AI87" s="1024"/>
      <c r="AJ87" s="1024"/>
      <c r="AK87" s="1024"/>
      <c r="AL87" s="1024"/>
      <c r="AM87" s="1024"/>
      <c r="AN87" s="1024"/>
      <c r="AO87" s="1024"/>
      <c r="AP87" s="1024"/>
      <c r="AQ87" s="1024"/>
      <c r="AR87" s="1024"/>
      <c r="AS87" s="1024"/>
      <c r="AT87" s="1024"/>
      <c r="AU87" s="1024"/>
      <c r="AV87" s="1024"/>
      <c r="AW87" s="1024"/>
      <c r="AX87" s="1024"/>
      <c r="AY87" s="1024"/>
      <c r="AZ87" s="1024"/>
      <c r="BA87" s="1024"/>
      <c r="BB87" s="1024"/>
      <c r="BC87" s="1024"/>
      <c r="BD87" s="1024"/>
      <c r="BE87" s="1024"/>
      <c r="BF87" s="1024"/>
      <c r="BG87" s="1024"/>
      <c r="BH87" s="1024"/>
      <c r="BI87" s="1024"/>
      <c r="BJ87" s="1024"/>
      <c r="BK87" s="1024"/>
      <c r="BL87" s="1024"/>
    </row>
    <row r="88" spans="1:64">
      <c r="A88" s="1836"/>
      <c r="B88" s="1836"/>
      <c r="C88" s="1838" t="s">
        <v>1044</v>
      </c>
      <c r="D88" s="1017"/>
      <c r="E88" s="1026"/>
      <c r="F88" s="1017"/>
      <c r="G88" s="1027"/>
      <c r="H88" s="1840"/>
      <c r="I88" s="1017">
        <f>SUM(I86:I87)</f>
        <v>280</v>
      </c>
      <c r="J88" s="1023"/>
      <c r="K88" s="1023"/>
      <c r="L88" s="1023"/>
      <c r="M88" s="1024"/>
      <c r="N88" s="1024"/>
      <c r="O88" s="1024"/>
      <c r="P88" s="1024"/>
      <c r="Q88" s="1024"/>
      <c r="R88" s="1024"/>
      <c r="S88" s="1024"/>
      <c r="T88" s="1024"/>
      <c r="U88" s="1024"/>
      <c r="V88" s="1024"/>
      <c r="W88" s="1024"/>
      <c r="X88" s="1024"/>
      <c r="Y88" s="1024"/>
      <c r="Z88" s="1024"/>
      <c r="AA88" s="1024"/>
      <c r="AB88" s="1024"/>
      <c r="AC88" s="1024"/>
      <c r="AD88" s="1024"/>
      <c r="AE88" s="1024"/>
      <c r="AF88" s="1024"/>
      <c r="AG88" s="1024"/>
      <c r="AH88" s="1024"/>
      <c r="AI88" s="1024"/>
      <c r="AJ88" s="1024"/>
      <c r="AK88" s="1024"/>
      <c r="AL88" s="1024"/>
      <c r="AM88" s="1024"/>
      <c r="AN88" s="1024"/>
      <c r="AO88" s="1024"/>
      <c r="AP88" s="1024"/>
      <c r="AQ88" s="1024"/>
      <c r="AR88" s="1024"/>
      <c r="AS88" s="1024"/>
      <c r="AT88" s="1024"/>
      <c r="AU88" s="1024"/>
      <c r="AV88" s="1024"/>
      <c r="AW88" s="1024"/>
      <c r="AX88" s="1024"/>
      <c r="AY88" s="1024"/>
      <c r="AZ88" s="1024"/>
      <c r="BA88" s="1024"/>
      <c r="BB88" s="1024"/>
      <c r="BC88" s="1024"/>
      <c r="BD88" s="1024"/>
      <c r="BE88" s="1024"/>
      <c r="BF88" s="1024"/>
      <c r="BG88" s="1024"/>
      <c r="BH88" s="1024"/>
      <c r="BI88" s="1024"/>
      <c r="BJ88" s="1024"/>
      <c r="BK88" s="1024"/>
      <c r="BL88" s="1024"/>
    </row>
    <row r="89" spans="1:64">
      <c r="A89" s="1836"/>
      <c r="B89" s="1836"/>
      <c r="C89" s="1838" t="s">
        <v>1045</v>
      </c>
      <c r="D89" s="1017"/>
      <c r="E89" s="1026"/>
      <c r="F89" s="1017"/>
      <c r="G89" s="1027"/>
      <c r="H89" s="1840"/>
      <c r="I89" s="1017">
        <f>I88/10</f>
        <v>28</v>
      </c>
      <c r="J89" s="1023"/>
      <c r="K89" s="1023"/>
      <c r="L89" s="1023"/>
      <c r="M89" s="1024"/>
      <c r="N89" s="1024"/>
      <c r="O89" s="1024"/>
      <c r="P89" s="1024"/>
      <c r="Q89" s="1024"/>
      <c r="R89" s="1024"/>
      <c r="S89" s="1024"/>
      <c r="T89" s="1024"/>
      <c r="U89" s="1024"/>
      <c r="V89" s="1024"/>
      <c r="W89" s="1024"/>
      <c r="X89" s="1024"/>
      <c r="Y89" s="1024"/>
      <c r="Z89" s="1024"/>
      <c r="AA89" s="1024"/>
      <c r="AB89" s="1024"/>
      <c r="AC89" s="1024"/>
      <c r="AD89" s="1024"/>
      <c r="AE89" s="1024"/>
      <c r="AF89" s="1024"/>
      <c r="AG89" s="1024"/>
      <c r="AH89" s="1024"/>
      <c r="AI89" s="1024"/>
      <c r="AJ89" s="1024"/>
      <c r="AK89" s="1024"/>
      <c r="AL89" s="1024"/>
      <c r="AM89" s="1024"/>
      <c r="AN89" s="1024"/>
      <c r="AO89" s="1024"/>
      <c r="AP89" s="1024"/>
      <c r="AQ89" s="1024"/>
      <c r="AR89" s="1024"/>
      <c r="AS89" s="1024"/>
      <c r="AT89" s="1024"/>
      <c r="AU89" s="1024"/>
      <c r="AV89" s="1024"/>
      <c r="AW89" s="1024"/>
      <c r="AX89" s="1024"/>
      <c r="AY89" s="1024"/>
      <c r="AZ89" s="1024"/>
      <c r="BA89" s="1024"/>
      <c r="BB89" s="1024"/>
      <c r="BC89" s="1024"/>
      <c r="BD89" s="1024"/>
      <c r="BE89" s="1024"/>
      <c r="BF89" s="1024"/>
      <c r="BG89" s="1024"/>
      <c r="BH89" s="1024"/>
      <c r="BI89" s="1024"/>
      <c r="BJ89" s="1024"/>
      <c r="BK89" s="1024"/>
      <c r="BL89" s="1024"/>
    </row>
    <row r="90" spans="1:64">
      <c r="A90" s="1035"/>
      <c r="B90" s="1035"/>
      <c r="C90" s="1849" t="str">
        <f>Input!$C$48</f>
        <v>Overheads &amp; Contractors Profit @ 13.615%</v>
      </c>
      <c r="D90" s="1850">
        <f>Input!$D$48</f>
        <v>0.13614999999999999</v>
      </c>
      <c r="E90" s="1039"/>
      <c r="F90" s="1848">
        <f>I89</f>
        <v>28</v>
      </c>
      <c r="G90" s="1025"/>
      <c r="H90" s="1847"/>
      <c r="I90" s="1001">
        <f>IF(G90="",D90*F90,(D90*F90/G90))</f>
        <v>3.8121999999999998</v>
      </c>
      <c r="J90" s="1823"/>
      <c r="K90" s="1823"/>
      <c r="L90" s="1823"/>
      <c r="M90" s="1037"/>
      <c r="N90" s="1037"/>
      <c r="O90" s="1037"/>
      <c r="P90" s="1037"/>
      <c r="Q90" s="1037"/>
      <c r="R90" s="1037"/>
      <c r="S90" s="1037"/>
      <c r="T90" s="1037"/>
      <c r="U90" s="1037"/>
      <c r="V90" s="1037"/>
      <c r="W90" s="1037"/>
      <c r="X90" s="1037"/>
      <c r="Y90" s="1037"/>
      <c r="Z90" s="1037"/>
      <c r="AA90" s="1037"/>
      <c r="AB90" s="1037"/>
      <c r="AC90" s="1037"/>
      <c r="AD90" s="1037"/>
      <c r="AE90" s="1037"/>
      <c r="AF90" s="1037"/>
      <c r="AG90" s="1037"/>
      <c r="AH90" s="1037"/>
      <c r="AI90" s="1037"/>
      <c r="AJ90" s="1037"/>
      <c r="AK90" s="1037"/>
      <c r="AL90" s="1037"/>
      <c r="AM90" s="1037"/>
      <c r="AN90" s="1037"/>
      <c r="AO90" s="1037"/>
      <c r="AP90" s="1037"/>
      <c r="AQ90" s="1037"/>
      <c r="AR90" s="1037"/>
      <c r="AS90" s="1037"/>
      <c r="AT90" s="1037"/>
      <c r="AU90" s="1037"/>
      <c r="AV90" s="1037"/>
      <c r="AW90" s="1037"/>
      <c r="AX90" s="1037"/>
      <c r="AY90" s="1037"/>
      <c r="AZ90" s="1037"/>
      <c r="BA90" s="1037"/>
      <c r="BB90" s="1037"/>
      <c r="BC90" s="1037"/>
      <c r="BD90" s="1037"/>
      <c r="BE90" s="1037"/>
      <c r="BF90" s="1037"/>
      <c r="BG90" s="1037"/>
      <c r="BH90" s="1037"/>
      <c r="BI90" s="1037"/>
      <c r="BJ90" s="1037"/>
      <c r="BK90" s="1037"/>
      <c r="BL90" s="1037"/>
    </row>
    <row r="91" spans="1:64">
      <c r="A91" s="1836"/>
      <c r="B91" s="1836"/>
      <c r="C91" s="1838" t="s">
        <v>1045</v>
      </c>
      <c r="D91" s="1017"/>
      <c r="E91" s="1026"/>
      <c r="F91" s="1017"/>
      <c r="G91" s="1027"/>
      <c r="H91" s="1034" t="s">
        <v>1033</v>
      </c>
      <c r="I91" s="1030">
        <f>SUM(I89:I90)</f>
        <v>31.812200000000001</v>
      </c>
      <c r="J91" s="1023"/>
      <c r="K91" s="1023"/>
      <c r="L91" s="1023"/>
      <c r="M91" s="1024"/>
      <c r="N91" s="1024"/>
      <c r="O91" s="1024"/>
      <c r="P91" s="1024"/>
      <c r="Q91" s="1024"/>
      <c r="R91" s="1024"/>
      <c r="S91" s="1024"/>
      <c r="T91" s="1024"/>
      <c r="U91" s="1024"/>
      <c r="V91" s="1024"/>
      <c r="W91" s="1024"/>
      <c r="X91" s="1024"/>
      <c r="Y91" s="1024"/>
      <c r="Z91" s="1024"/>
      <c r="AA91" s="1024"/>
      <c r="AB91" s="1024"/>
      <c r="AC91" s="1024"/>
      <c r="AD91" s="1024"/>
      <c r="AE91" s="1024"/>
      <c r="AF91" s="1024"/>
      <c r="AG91" s="1024"/>
      <c r="AH91" s="1024"/>
      <c r="AI91" s="1024"/>
      <c r="AJ91" s="1024"/>
      <c r="AK91" s="1024"/>
      <c r="AL91" s="1024"/>
      <c r="AM91" s="1024"/>
      <c r="AN91" s="1024"/>
      <c r="AO91" s="1024"/>
      <c r="AP91" s="1024"/>
      <c r="AQ91" s="1024"/>
      <c r="AR91" s="1024"/>
      <c r="AS91" s="1024"/>
      <c r="AT91" s="1024"/>
      <c r="AU91" s="1024"/>
      <c r="AV91" s="1024"/>
      <c r="AW91" s="1024"/>
      <c r="AX91" s="1024"/>
      <c r="AY91" s="1024"/>
      <c r="AZ91" s="1024"/>
      <c r="BA91" s="1024"/>
      <c r="BB91" s="1024"/>
      <c r="BC91" s="1024"/>
      <c r="BD91" s="1024"/>
      <c r="BE91" s="1024"/>
      <c r="BF91" s="1024"/>
      <c r="BG91" s="1024"/>
      <c r="BH91" s="1024"/>
      <c r="BI91" s="1024"/>
      <c r="BJ91" s="1024"/>
      <c r="BK91" s="1024"/>
      <c r="BL91" s="1024"/>
    </row>
    <row r="92" spans="1:64">
      <c r="A92" s="1836"/>
      <c r="B92" s="1836"/>
      <c r="C92" s="1840"/>
      <c r="D92" s="1017"/>
      <c r="E92" s="1026"/>
      <c r="F92" s="1017"/>
      <c r="G92" s="1027"/>
      <c r="H92" s="1842" t="s">
        <v>1034</v>
      </c>
      <c r="I92" s="1011">
        <f>ROUND(I91,0)</f>
        <v>32</v>
      </c>
      <c r="J92" s="1023"/>
      <c r="K92" s="1023"/>
      <c r="L92" s="1023"/>
      <c r="M92" s="1024"/>
      <c r="N92" s="1024"/>
      <c r="O92" s="1024"/>
      <c r="P92" s="1024"/>
      <c r="Q92" s="1024"/>
      <c r="R92" s="1024"/>
      <c r="S92" s="1024"/>
      <c r="T92" s="1024"/>
      <c r="U92" s="1024"/>
      <c r="V92" s="1024"/>
      <c r="W92" s="1024"/>
      <c r="X92" s="1024"/>
      <c r="Y92" s="1024"/>
      <c r="Z92" s="1024"/>
      <c r="AA92" s="1024"/>
      <c r="AB92" s="1024"/>
      <c r="AC92" s="1024"/>
      <c r="AD92" s="1024"/>
      <c r="AE92" s="1024"/>
      <c r="AF92" s="1024"/>
      <c r="AG92" s="1024"/>
      <c r="AH92" s="1024"/>
      <c r="AI92" s="1024"/>
      <c r="AJ92" s="1024"/>
      <c r="AK92" s="1024"/>
      <c r="AL92" s="1024"/>
      <c r="AM92" s="1024"/>
      <c r="AN92" s="1024"/>
      <c r="AO92" s="1024"/>
      <c r="AP92" s="1024"/>
      <c r="AQ92" s="1024"/>
      <c r="AR92" s="1024"/>
      <c r="AS92" s="1024"/>
      <c r="AT92" s="1024"/>
      <c r="AU92" s="1024"/>
      <c r="AV92" s="1024"/>
      <c r="AW92" s="1024"/>
      <c r="AX92" s="1024"/>
      <c r="AY92" s="1024"/>
      <c r="AZ92" s="1024"/>
      <c r="BA92" s="1024"/>
      <c r="BB92" s="1024"/>
      <c r="BC92" s="1024"/>
      <c r="BD92" s="1024"/>
      <c r="BE92" s="1024"/>
      <c r="BF92" s="1024"/>
      <c r="BG92" s="1024"/>
      <c r="BH92" s="1024"/>
      <c r="BI92" s="1024"/>
      <c r="BJ92" s="1024"/>
      <c r="BK92" s="1024"/>
      <c r="BL92" s="1024"/>
    </row>
    <row r="93" spans="1:64">
      <c r="A93" s="1836"/>
      <c r="B93" s="1836"/>
      <c r="C93" s="1840"/>
      <c r="D93" s="1017"/>
      <c r="E93" s="1026"/>
      <c r="F93" s="1017"/>
      <c r="G93" s="1027"/>
      <c r="H93" s="1840"/>
      <c r="I93" s="1836"/>
      <c r="J93" s="1023"/>
      <c r="K93" s="1023"/>
      <c r="L93" s="1023"/>
      <c r="M93" s="1024"/>
      <c r="N93" s="1024"/>
      <c r="O93" s="1024"/>
      <c r="P93" s="1024"/>
      <c r="Q93" s="1024"/>
      <c r="R93" s="1024"/>
      <c r="S93" s="1024"/>
      <c r="T93" s="1024"/>
      <c r="U93" s="1024"/>
      <c r="V93" s="1024"/>
      <c r="W93" s="1024"/>
      <c r="X93" s="1024"/>
      <c r="Y93" s="1024"/>
      <c r="Z93" s="1024"/>
      <c r="AA93" s="1024"/>
      <c r="AB93" s="1024"/>
      <c r="AC93" s="1024"/>
      <c r="AD93" s="1024"/>
      <c r="AE93" s="1024"/>
      <c r="AF93" s="1024"/>
      <c r="AG93" s="1024"/>
      <c r="AH93" s="1024"/>
      <c r="AI93" s="1024"/>
      <c r="AJ93" s="1024"/>
      <c r="AK93" s="1024"/>
      <c r="AL93" s="1024"/>
      <c r="AM93" s="1024"/>
      <c r="AN93" s="1024"/>
      <c r="AO93" s="1024"/>
      <c r="AP93" s="1024"/>
      <c r="AQ93" s="1024"/>
      <c r="AR93" s="1024"/>
      <c r="AS93" s="1024"/>
      <c r="AT93" s="1024"/>
      <c r="AU93" s="1024"/>
      <c r="AV93" s="1024"/>
      <c r="AW93" s="1024"/>
      <c r="AX93" s="1024"/>
      <c r="AY93" s="1024"/>
      <c r="AZ93" s="1024"/>
      <c r="BA93" s="1024"/>
      <c r="BB93" s="1024"/>
      <c r="BC93" s="1024"/>
      <c r="BD93" s="1024"/>
      <c r="BE93" s="1024"/>
      <c r="BF93" s="1024"/>
      <c r="BG93" s="1024"/>
      <c r="BH93" s="1024"/>
      <c r="BI93" s="1024"/>
      <c r="BJ93" s="1024"/>
      <c r="BK93" s="1024"/>
      <c r="BL93" s="1024"/>
    </row>
    <row r="94" spans="1:64" ht="25.5" customHeight="1">
      <c r="A94" s="1035"/>
      <c r="B94" s="1035" t="s">
        <v>445</v>
      </c>
      <c r="C94" s="2045" t="s">
        <v>428</v>
      </c>
      <c r="D94" s="2045"/>
      <c r="E94" s="2045"/>
      <c r="F94" s="2045"/>
      <c r="G94" s="2045"/>
      <c r="H94" s="1839"/>
      <c r="I94" s="1035"/>
      <c r="J94" s="1823"/>
      <c r="K94" s="1823"/>
      <c r="L94" s="1823"/>
      <c r="M94" s="1037"/>
      <c r="N94" s="1037"/>
      <c r="O94" s="1037"/>
      <c r="P94" s="1037"/>
      <c r="Q94" s="1037"/>
      <c r="R94" s="1037"/>
      <c r="S94" s="1037"/>
      <c r="T94" s="1037"/>
      <c r="U94" s="1037"/>
      <c r="V94" s="1037"/>
      <c r="W94" s="1037"/>
      <c r="X94" s="1037"/>
      <c r="Y94" s="1037"/>
      <c r="Z94" s="1037"/>
      <c r="AA94" s="1037"/>
      <c r="AB94" s="1037"/>
      <c r="AC94" s="1037"/>
      <c r="AD94" s="1037"/>
      <c r="AE94" s="1037"/>
      <c r="AF94" s="1037"/>
      <c r="AG94" s="1037"/>
      <c r="AH94" s="1037"/>
      <c r="AI94" s="1037"/>
      <c r="AJ94" s="1037"/>
      <c r="AK94" s="1037"/>
      <c r="AL94" s="1037"/>
      <c r="AM94" s="1037"/>
      <c r="AN94" s="1037"/>
      <c r="AO94" s="1037"/>
      <c r="AP94" s="1037"/>
      <c r="AQ94" s="1037"/>
      <c r="AR94" s="1037"/>
      <c r="AS94" s="1037"/>
      <c r="AT94" s="1037"/>
      <c r="AU94" s="1037"/>
      <c r="AV94" s="1037"/>
      <c r="AW94" s="1037"/>
      <c r="AX94" s="1037"/>
      <c r="AY94" s="1037"/>
      <c r="AZ94" s="1037"/>
      <c r="BA94" s="1037"/>
      <c r="BB94" s="1037"/>
      <c r="BC94" s="1037"/>
      <c r="BD94" s="1037"/>
      <c r="BE94" s="1037"/>
      <c r="BF94" s="1037"/>
      <c r="BG94" s="1037"/>
      <c r="BH94" s="1037"/>
      <c r="BI94" s="1037"/>
      <c r="BJ94" s="1037"/>
      <c r="BK94" s="1037"/>
      <c r="BL94" s="1037"/>
    </row>
    <row r="95" spans="1:64">
      <c r="A95" s="1035"/>
      <c r="B95" s="1035"/>
      <c r="C95" s="1849" t="s">
        <v>1048</v>
      </c>
      <c r="D95" s="1041">
        <v>10</v>
      </c>
      <c r="E95" s="1853" t="s">
        <v>94</v>
      </c>
      <c r="F95" s="1848">
        <f>'Civil-SOR'!$G$211</f>
        <v>22</v>
      </c>
      <c r="G95" s="1042">
        <v>1</v>
      </c>
      <c r="H95" s="1849" t="s">
        <v>94</v>
      </c>
      <c r="I95" s="1001">
        <f t="shared" ref="I95:I96" si="11">IF(G95="",D95*F95,(D95*F95/G95))</f>
        <v>220</v>
      </c>
      <c r="J95" s="1823"/>
      <c r="K95" s="1823"/>
      <c r="L95" s="1823"/>
      <c r="M95" s="1037"/>
      <c r="N95" s="1037"/>
      <c r="O95" s="1037"/>
      <c r="P95" s="1037"/>
      <c r="Q95" s="1037"/>
      <c r="R95" s="1037"/>
      <c r="S95" s="1037"/>
      <c r="T95" s="1037"/>
      <c r="U95" s="1037"/>
      <c r="V95" s="1037"/>
      <c r="W95" s="1037"/>
      <c r="X95" s="1037"/>
      <c r="Y95" s="1037"/>
      <c r="Z95" s="1037"/>
      <c r="AA95" s="1037"/>
      <c r="AB95" s="1037"/>
      <c r="AC95" s="1037"/>
      <c r="AD95" s="1037"/>
      <c r="AE95" s="1037"/>
      <c r="AF95" s="1037"/>
      <c r="AG95" s="1037"/>
      <c r="AH95" s="1037"/>
      <c r="AI95" s="1037"/>
      <c r="AJ95" s="1037"/>
      <c r="AK95" s="1037"/>
      <c r="AL95" s="1037"/>
      <c r="AM95" s="1037"/>
      <c r="AN95" s="1037"/>
      <c r="AO95" s="1037"/>
      <c r="AP95" s="1037"/>
      <c r="AQ95" s="1037"/>
      <c r="AR95" s="1037"/>
      <c r="AS95" s="1037"/>
      <c r="AT95" s="1037"/>
      <c r="AU95" s="1037"/>
      <c r="AV95" s="1037"/>
      <c r="AW95" s="1037"/>
      <c r="AX95" s="1037"/>
      <c r="AY95" s="1037"/>
      <c r="AZ95" s="1037"/>
      <c r="BA95" s="1037"/>
      <c r="BB95" s="1037"/>
      <c r="BC95" s="1037"/>
      <c r="BD95" s="1037"/>
      <c r="BE95" s="1037"/>
      <c r="BF95" s="1037"/>
      <c r="BG95" s="1037"/>
      <c r="BH95" s="1037"/>
      <c r="BI95" s="1037"/>
      <c r="BJ95" s="1037"/>
      <c r="BK95" s="1037"/>
      <c r="BL95" s="1037"/>
    </row>
    <row r="96" spans="1:64">
      <c r="A96" s="1035"/>
      <c r="B96" s="1035"/>
      <c r="C96" s="1849" t="str">
        <f>Input!$C$47</f>
        <v>Add for MA @ 40%</v>
      </c>
      <c r="D96" s="1041">
        <f>Input!$D$47</f>
        <v>0.4</v>
      </c>
      <c r="E96" s="1039"/>
      <c r="F96" s="1848">
        <f>I95</f>
        <v>220</v>
      </c>
      <c r="G96" s="1025"/>
      <c r="H96" s="1847"/>
      <c r="I96" s="1001">
        <f t="shared" si="11"/>
        <v>88</v>
      </c>
      <c r="J96" s="1823"/>
      <c r="K96" s="1823"/>
      <c r="L96" s="1823"/>
      <c r="M96" s="1037"/>
      <c r="N96" s="1037"/>
      <c r="O96" s="1037"/>
      <c r="P96" s="1037"/>
      <c r="Q96" s="1037"/>
      <c r="R96" s="1037"/>
      <c r="S96" s="1037"/>
      <c r="T96" s="1037"/>
      <c r="U96" s="1037"/>
      <c r="V96" s="1037"/>
      <c r="W96" s="1037"/>
      <c r="X96" s="1037"/>
      <c r="Y96" s="1037"/>
      <c r="Z96" s="1037"/>
      <c r="AA96" s="1037"/>
      <c r="AB96" s="1037"/>
      <c r="AC96" s="1037"/>
      <c r="AD96" s="1037"/>
      <c r="AE96" s="1037"/>
      <c r="AF96" s="1037"/>
      <c r="AG96" s="1037"/>
      <c r="AH96" s="1037"/>
      <c r="AI96" s="1037"/>
      <c r="AJ96" s="1037"/>
      <c r="AK96" s="1037"/>
      <c r="AL96" s="1037"/>
      <c r="AM96" s="1037"/>
      <c r="AN96" s="1037"/>
      <c r="AO96" s="1037"/>
      <c r="AP96" s="1037"/>
      <c r="AQ96" s="1037"/>
      <c r="AR96" s="1037"/>
      <c r="AS96" s="1037"/>
      <c r="AT96" s="1037"/>
      <c r="AU96" s="1037"/>
      <c r="AV96" s="1037"/>
      <c r="AW96" s="1037"/>
      <c r="AX96" s="1037"/>
      <c r="AY96" s="1037"/>
      <c r="AZ96" s="1037"/>
      <c r="BA96" s="1037"/>
      <c r="BB96" s="1037"/>
      <c r="BC96" s="1037"/>
      <c r="BD96" s="1037"/>
      <c r="BE96" s="1037"/>
      <c r="BF96" s="1037"/>
      <c r="BG96" s="1037"/>
      <c r="BH96" s="1037"/>
      <c r="BI96" s="1037"/>
      <c r="BJ96" s="1037"/>
      <c r="BK96" s="1037"/>
      <c r="BL96" s="1037"/>
    </row>
    <row r="97" spans="1:64">
      <c r="A97" s="1035"/>
      <c r="B97" s="1035"/>
      <c r="C97" s="1821" t="s">
        <v>1044</v>
      </c>
      <c r="D97" s="1848"/>
      <c r="E97" s="1039"/>
      <c r="F97" s="1848"/>
      <c r="G97" s="1025"/>
      <c r="H97" s="1847"/>
      <c r="I97" s="1848">
        <f>SUM(I95:I96)</f>
        <v>308</v>
      </c>
      <c r="J97" s="1823"/>
      <c r="K97" s="1823"/>
      <c r="L97" s="1823"/>
      <c r="M97" s="1037"/>
      <c r="N97" s="1037"/>
      <c r="O97" s="1037"/>
      <c r="P97" s="1037"/>
      <c r="Q97" s="1037"/>
      <c r="R97" s="1037"/>
      <c r="S97" s="1037"/>
      <c r="T97" s="1037"/>
      <c r="U97" s="1037"/>
      <c r="V97" s="1037"/>
      <c r="W97" s="1037"/>
      <c r="X97" s="1037"/>
      <c r="Y97" s="1037"/>
      <c r="Z97" s="1037"/>
      <c r="AA97" s="1037"/>
      <c r="AB97" s="1037"/>
      <c r="AC97" s="1037"/>
      <c r="AD97" s="1037"/>
      <c r="AE97" s="1037"/>
      <c r="AF97" s="1037"/>
      <c r="AG97" s="1037"/>
      <c r="AH97" s="1037"/>
      <c r="AI97" s="1037"/>
      <c r="AJ97" s="1037"/>
      <c r="AK97" s="1037"/>
      <c r="AL97" s="1037"/>
      <c r="AM97" s="1037"/>
      <c r="AN97" s="1037"/>
      <c r="AO97" s="1037"/>
      <c r="AP97" s="1037"/>
      <c r="AQ97" s="1037"/>
      <c r="AR97" s="1037"/>
      <c r="AS97" s="1037"/>
      <c r="AT97" s="1037"/>
      <c r="AU97" s="1037"/>
      <c r="AV97" s="1037"/>
      <c r="AW97" s="1037"/>
      <c r="AX97" s="1037"/>
      <c r="AY97" s="1037"/>
      <c r="AZ97" s="1037"/>
      <c r="BA97" s="1037"/>
      <c r="BB97" s="1037"/>
      <c r="BC97" s="1037"/>
      <c r="BD97" s="1037"/>
      <c r="BE97" s="1037"/>
      <c r="BF97" s="1037"/>
      <c r="BG97" s="1037"/>
      <c r="BH97" s="1037"/>
      <c r="BI97" s="1037"/>
      <c r="BJ97" s="1037"/>
      <c r="BK97" s="1037"/>
      <c r="BL97" s="1037"/>
    </row>
    <row r="98" spans="1:64">
      <c r="A98" s="1035"/>
      <c r="B98" s="1035"/>
      <c r="C98" s="1821" t="s">
        <v>1045</v>
      </c>
      <c r="D98" s="1848"/>
      <c r="E98" s="1039"/>
      <c r="F98" s="1848"/>
      <c r="G98" s="1025"/>
      <c r="H98" s="1847"/>
      <c r="I98" s="1848">
        <f>I97/10</f>
        <v>30.8</v>
      </c>
      <c r="J98" s="1823"/>
      <c r="K98" s="1823"/>
      <c r="L98" s="1823"/>
      <c r="M98" s="1037"/>
      <c r="N98" s="1037"/>
      <c r="O98" s="1037"/>
      <c r="P98" s="1037"/>
      <c r="Q98" s="1037"/>
      <c r="R98" s="1037"/>
      <c r="S98" s="1037"/>
      <c r="T98" s="1037"/>
      <c r="U98" s="1037"/>
      <c r="V98" s="1037"/>
      <c r="W98" s="1037"/>
      <c r="X98" s="1037"/>
      <c r="Y98" s="1037"/>
      <c r="Z98" s="1037"/>
      <c r="AA98" s="1037"/>
      <c r="AB98" s="1037"/>
      <c r="AC98" s="1037"/>
      <c r="AD98" s="1037"/>
      <c r="AE98" s="1037"/>
      <c r="AF98" s="1037"/>
      <c r="AG98" s="1037"/>
      <c r="AH98" s="1037"/>
      <c r="AI98" s="1037"/>
      <c r="AJ98" s="1037"/>
      <c r="AK98" s="1037"/>
      <c r="AL98" s="1037"/>
      <c r="AM98" s="1037"/>
      <c r="AN98" s="1037"/>
      <c r="AO98" s="1037"/>
      <c r="AP98" s="1037"/>
      <c r="AQ98" s="1037"/>
      <c r="AR98" s="1037"/>
      <c r="AS98" s="1037"/>
      <c r="AT98" s="1037"/>
      <c r="AU98" s="1037"/>
      <c r="AV98" s="1037"/>
      <c r="AW98" s="1037"/>
      <c r="AX98" s="1037"/>
      <c r="AY98" s="1037"/>
      <c r="AZ98" s="1037"/>
      <c r="BA98" s="1037"/>
      <c r="BB98" s="1037"/>
      <c r="BC98" s="1037"/>
      <c r="BD98" s="1037"/>
      <c r="BE98" s="1037"/>
      <c r="BF98" s="1037"/>
      <c r="BG98" s="1037"/>
      <c r="BH98" s="1037"/>
      <c r="BI98" s="1037"/>
      <c r="BJ98" s="1037"/>
      <c r="BK98" s="1037"/>
      <c r="BL98" s="1037"/>
    </row>
    <row r="99" spans="1:64">
      <c r="A99" s="1035"/>
      <c r="B99" s="1035"/>
      <c r="C99" s="1849" t="str">
        <f>Input!$C$48</f>
        <v>Overheads &amp; Contractors Profit @ 13.615%</v>
      </c>
      <c r="D99" s="1850">
        <f>Input!$D$48</f>
        <v>0.13614999999999999</v>
      </c>
      <c r="E99" s="1039"/>
      <c r="F99" s="1848">
        <f>I98</f>
        <v>30.8</v>
      </c>
      <c r="G99" s="1025"/>
      <c r="H99" s="1847"/>
      <c r="I99" s="1001">
        <f>IF(G99="",D99*F99,(D99*F99/G99))</f>
        <v>4.1934199999999997</v>
      </c>
      <c r="J99" s="1823"/>
      <c r="K99" s="1823"/>
      <c r="L99" s="1823"/>
      <c r="M99" s="1037"/>
      <c r="N99" s="1037"/>
      <c r="O99" s="1037"/>
      <c r="P99" s="1037"/>
      <c r="Q99" s="1037"/>
      <c r="R99" s="1037"/>
      <c r="S99" s="1037"/>
      <c r="T99" s="1037"/>
      <c r="U99" s="1037"/>
      <c r="V99" s="1037"/>
      <c r="W99" s="1037"/>
      <c r="X99" s="1037"/>
      <c r="Y99" s="1037"/>
      <c r="Z99" s="1037"/>
      <c r="AA99" s="1037"/>
      <c r="AB99" s="1037"/>
      <c r="AC99" s="1037"/>
      <c r="AD99" s="1037"/>
      <c r="AE99" s="1037"/>
      <c r="AF99" s="1037"/>
      <c r="AG99" s="1037"/>
      <c r="AH99" s="1037"/>
      <c r="AI99" s="1037"/>
      <c r="AJ99" s="1037"/>
      <c r="AK99" s="1037"/>
      <c r="AL99" s="1037"/>
      <c r="AM99" s="1037"/>
      <c r="AN99" s="1037"/>
      <c r="AO99" s="1037"/>
      <c r="AP99" s="1037"/>
      <c r="AQ99" s="1037"/>
      <c r="AR99" s="1037"/>
      <c r="AS99" s="1037"/>
      <c r="AT99" s="1037"/>
      <c r="AU99" s="1037"/>
      <c r="AV99" s="1037"/>
      <c r="AW99" s="1037"/>
      <c r="AX99" s="1037"/>
      <c r="AY99" s="1037"/>
      <c r="AZ99" s="1037"/>
      <c r="BA99" s="1037"/>
      <c r="BB99" s="1037"/>
      <c r="BC99" s="1037"/>
      <c r="BD99" s="1037"/>
      <c r="BE99" s="1037"/>
      <c r="BF99" s="1037"/>
      <c r="BG99" s="1037"/>
      <c r="BH99" s="1037"/>
      <c r="BI99" s="1037"/>
      <c r="BJ99" s="1037"/>
      <c r="BK99" s="1037"/>
      <c r="BL99" s="1037"/>
    </row>
    <row r="100" spans="1:64">
      <c r="A100" s="1035"/>
      <c r="B100" s="1035"/>
      <c r="C100" s="1821" t="s">
        <v>1045</v>
      </c>
      <c r="D100" s="1848"/>
      <c r="E100" s="1039"/>
      <c r="F100" s="1848"/>
      <c r="G100" s="1025"/>
      <c r="H100" s="1034" t="s">
        <v>1033</v>
      </c>
      <c r="I100" s="1001">
        <f>SUM(I98:I99)</f>
        <v>34.99342</v>
      </c>
      <c r="J100" s="1823"/>
      <c r="K100" s="1823"/>
      <c r="L100" s="1823"/>
      <c r="M100" s="1037"/>
      <c r="N100" s="1037"/>
      <c r="O100" s="1037"/>
      <c r="P100" s="1037"/>
      <c r="Q100" s="1037"/>
      <c r="R100" s="1037"/>
      <c r="S100" s="1037"/>
      <c r="T100" s="1037"/>
      <c r="U100" s="1037"/>
      <c r="V100" s="1037"/>
      <c r="W100" s="1037"/>
      <c r="X100" s="1037"/>
      <c r="Y100" s="1037"/>
      <c r="Z100" s="1037"/>
      <c r="AA100" s="1037"/>
      <c r="AB100" s="1037"/>
      <c r="AC100" s="1037"/>
      <c r="AD100" s="1037"/>
      <c r="AE100" s="1037"/>
      <c r="AF100" s="1037"/>
      <c r="AG100" s="1037"/>
      <c r="AH100" s="1037"/>
      <c r="AI100" s="1037"/>
      <c r="AJ100" s="1037"/>
      <c r="AK100" s="1037"/>
      <c r="AL100" s="1037"/>
      <c r="AM100" s="1037"/>
      <c r="AN100" s="1037"/>
      <c r="AO100" s="1037"/>
      <c r="AP100" s="1037"/>
      <c r="AQ100" s="1037"/>
      <c r="AR100" s="1037"/>
      <c r="AS100" s="1037"/>
      <c r="AT100" s="1037"/>
      <c r="AU100" s="1037"/>
      <c r="AV100" s="1037"/>
      <c r="AW100" s="1037"/>
      <c r="AX100" s="1037"/>
      <c r="AY100" s="1037"/>
      <c r="AZ100" s="1037"/>
      <c r="BA100" s="1037"/>
      <c r="BB100" s="1037"/>
      <c r="BC100" s="1037"/>
      <c r="BD100" s="1037"/>
      <c r="BE100" s="1037"/>
      <c r="BF100" s="1037"/>
      <c r="BG100" s="1037"/>
      <c r="BH100" s="1037"/>
      <c r="BI100" s="1037"/>
      <c r="BJ100" s="1037"/>
      <c r="BK100" s="1037"/>
      <c r="BL100" s="1037"/>
    </row>
    <row r="101" spans="1:64">
      <c r="A101" s="1836"/>
      <c r="B101" s="1836"/>
      <c r="C101" s="1840"/>
      <c r="D101" s="1017"/>
      <c r="E101" s="1026"/>
      <c r="F101" s="1017"/>
      <c r="G101" s="1027"/>
      <c r="H101" s="1842" t="s">
        <v>1034</v>
      </c>
      <c r="I101" s="1011">
        <f>ROUND(I100,0)</f>
        <v>35</v>
      </c>
      <c r="J101" s="1023"/>
      <c r="K101" s="1023"/>
      <c r="L101" s="1023"/>
      <c r="M101" s="1024"/>
      <c r="N101" s="1024"/>
      <c r="O101" s="1024"/>
      <c r="P101" s="1024"/>
      <c r="Q101" s="1024"/>
      <c r="R101" s="1024"/>
      <c r="S101" s="1024"/>
      <c r="T101" s="1024"/>
      <c r="U101" s="1024"/>
      <c r="V101" s="1024"/>
      <c r="W101" s="1024"/>
      <c r="X101" s="1024"/>
      <c r="Y101" s="1024"/>
      <c r="Z101" s="1024"/>
      <c r="AA101" s="1024"/>
      <c r="AB101" s="1024"/>
      <c r="AC101" s="1024"/>
      <c r="AD101" s="1024"/>
      <c r="AE101" s="1024"/>
      <c r="AF101" s="1024"/>
      <c r="AG101" s="1024"/>
      <c r="AH101" s="1024"/>
      <c r="AI101" s="1024"/>
      <c r="AJ101" s="1024"/>
      <c r="AK101" s="1024"/>
      <c r="AL101" s="1024"/>
      <c r="AM101" s="1024"/>
      <c r="AN101" s="1024"/>
      <c r="AO101" s="1024"/>
      <c r="AP101" s="1024"/>
      <c r="AQ101" s="1024"/>
      <c r="AR101" s="1024"/>
      <c r="AS101" s="1024"/>
      <c r="AT101" s="1024"/>
      <c r="AU101" s="1024"/>
      <c r="AV101" s="1024"/>
      <c r="AW101" s="1024"/>
      <c r="AX101" s="1024"/>
      <c r="AY101" s="1024"/>
      <c r="AZ101" s="1024"/>
      <c r="BA101" s="1024"/>
      <c r="BB101" s="1024"/>
      <c r="BC101" s="1024"/>
      <c r="BD101" s="1024"/>
      <c r="BE101" s="1024"/>
      <c r="BF101" s="1024"/>
      <c r="BG101" s="1024"/>
      <c r="BH101" s="1024"/>
      <c r="BI101" s="1024"/>
      <c r="BJ101" s="1024"/>
      <c r="BK101" s="1024"/>
      <c r="BL101" s="1024"/>
    </row>
    <row r="102" spans="1:64">
      <c r="A102" s="1836"/>
      <c r="B102" s="1836"/>
      <c r="C102" s="1840"/>
      <c r="D102" s="1017"/>
      <c r="E102" s="1026"/>
      <c r="F102" s="1017"/>
      <c r="G102" s="1027"/>
      <c r="H102" s="1840"/>
      <c r="I102" s="1836"/>
      <c r="J102" s="1023"/>
      <c r="K102" s="1023"/>
      <c r="L102" s="1023"/>
      <c r="M102" s="1024"/>
      <c r="N102" s="1024"/>
      <c r="O102" s="1024"/>
      <c r="P102" s="1024"/>
      <c r="Q102" s="1024"/>
      <c r="R102" s="1024"/>
      <c r="S102" s="1024"/>
      <c r="T102" s="1024"/>
      <c r="U102" s="1024"/>
      <c r="V102" s="1024"/>
      <c r="W102" s="1024"/>
      <c r="X102" s="1024"/>
      <c r="Y102" s="1024"/>
      <c r="Z102" s="1024"/>
      <c r="AA102" s="1024"/>
      <c r="AB102" s="1024"/>
      <c r="AC102" s="1024"/>
      <c r="AD102" s="1024"/>
      <c r="AE102" s="1024"/>
      <c r="AF102" s="1024"/>
      <c r="AG102" s="1024"/>
      <c r="AH102" s="1024"/>
      <c r="AI102" s="1024"/>
      <c r="AJ102" s="1024"/>
      <c r="AK102" s="1024"/>
      <c r="AL102" s="1024"/>
      <c r="AM102" s="1024"/>
      <c r="AN102" s="1024"/>
      <c r="AO102" s="1024"/>
      <c r="AP102" s="1024"/>
      <c r="AQ102" s="1024"/>
      <c r="AR102" s="1024"/>
      <c r="AS102" s="1024"/>
      <c r="AT102" s="1024"/>
      <c r="AU102" s="1024"/>
      <c r="AV102" s="1024"/>
      <c r="AW102" s="1024"/>
      <c r="AX102" s="1024"/>
      <c r="AY102" s="1024"/>
      <c r="AZ102" s="1024"/>
      <c r="BA102" s="1024"/>
      <c r="BB102" s="1024"/>
      <c r="BC102" s="1024"/>
      <c r="BD102" s="1024"/>
      <c r="BE102" s="1024"/>
      <c r="BF102" s="1024"/>
      <c r="BG102" s="1024"/>
      <c r="BH102" s="1024"/>
      <c r="BI102" s="1024"/>
      <c r="BJ102" s="1024"/>
      <c r="BK102" s="1024"/>
      <c r="BL102" s="1024"/>
    </row>
    <row r="103" spans="1:64" ht="12.75" customHeight="1">
      <c r="A103" s="1035"/>
      <c r="B103" s="1035" t="s">
        <v>261</v>
      </c>
      <c r="C103" s="2045" t="s">
        <v>1049</v>
      </c>
      <c r="D103" s="2045"/>
      <c r="E103" s="2045"/>
      <c r="F103" s="1035"/>
      <c r="G103" s="1040"/>
      <c r="H103" s="1839"/>
      <c r="I103" s="1035"/>
      <c r="J103" s="1823"/>
      <c r="K103" s="1823"/>
      <c r="L103" s="1823"/>
      <c r="M103" s="1037"/>
      <c r="N103" s="1037"/>
      <c r="O103" s="1037"/>
      <c r="P103" s="1037"/>
      <c r="Q103" s="1037"/>
      <c r="R103" s="1037"/>
      <c r="S103" s="1037"/>
      <c r="T103" s="1037"/>
      <c r="U103" s="1037"/>
      <c r="V103" s="1037"/>
      <c r="W103" s="1037"/>
      <c r="X103" s="1037"/>
      <c r="Y103" s="1037"/>
      <c r="Z103" s="1037"/>
      <c r="AA103" s="1037"/>
      <c r="AB103" s="1037"/>
      <c r="AC103" s="1037"/>
      <c r="AD103" s="1037"/>
      <c r="AE103" s="1037"/>
      <c r="AF103" s="1037"/>
      <c r="AG103" s="1037"/>
      <c r="AH103" s="1037"/>
      <c r="AI103" s="1037"/>
      <c r="AJ103" s="1037"/>
      <c r="AK103" s="1037"/>
      <c r="AL103" s="1037"/>
      <c r="AM103" s="1037"/>
      <c r="AN103" s="1037"/>
      <c r="AO103" s="1037"/>
      <c r="AP103" s="1037"/>
      <c r="AQ103" s="1037"/>
      <c r="AR103" s="1037"/>
      <c r="AS103" s="1037"/>
      <c r="AT103" s="1037"/>
      <c r="AU103" s="1037"/>
      <c r="AV103" s="1037"/>
      <c r="AW103" s="1037"/>
      <c r="AX103" s="1037"/>
      <c r="AY103" s="1037"/>
      <c r="AZ103" s="1037"/>
      <c r="BA103" s="1037"/>
      <c r="BB103" s="1037"/>
      <c r="BC103" s="1037"/>
      <c r="BD103" s="1037"/>
      <c r="BE103" s="1037"/>
      <c r="BF103" s="1037"/>
      <c r="BG103" s="1037"/>
      <c r="BH103" s="1037"/>
      <c r="BI103" s="1037"/>
      <c r="BJ103" s="1037"/>
      <c r="BK103" s="1037"/>
      <c r="BL103" s="1037"/>
    </row>
    <row r="104" spans="1:64">
      <c r="A104" s="1035"/>
      <c r="B104" s="1035"/>
      <c r="C104" s="1849" t="s">
        <v>1050</v>
      </c>
      <c r="D104" s="1041">
        <v>1</v>
      </c>
      <c r="E104" s="1853" t="s">
        <v>75</v>
      </c>
      <c r="F104" s="1848">
        <f>'Civil-SOR'!$G$213</f>
        <v>297</v>
      </c>
      <c r="G104" s="1042">
        <v>1</v>
      </c>
      <c r="H104" s="1849" t="s">
        <v>75</v>
      </c>
      <c r="I104" s="1001">
        <f t="shared" ref="I104:I105" si="12">IF(G104="",D104*F104,(D104*F104/G104))</f>
        <v>297</v>
      </c>
      <c r="J104" s="1823"/>
      <c r="K104" s="1823"/>
      <c r="L104" s="1823"/>
      <c r="M104" s="1037"/>
      <c r="N104" s="1037"/>
      <c r="O104" s="1037"/>
      <c r="P104" s="1037"/>
      <c r="Q104" s="1037"/>
      <c r="R104" s="1037"/>
      <c r="S104" s="1037"/>
      <c r="T104" s="1037"/>
      <c r="U104" s="1037"/>
      <c r="V104" s="1037"/>
      <c r="W104" s="1037"/>
      <c r="X104" s="1037"/>
      <c r="Y104" s="1037"/>
      <c r="Z104" s="1037"/>
      <c r="AA104" s="1037"/>
      <c r="AB104" s="1037"/>
      <c r="AC104" s="1037"/>
      <c r="AD104" s="1037"/>
      <c r="AE104" s="1037"/>
      <c r="AF104" s="1037"/>
      <c r="AG104" s="1037"/>
      <c r="AH104" s="1037"/>
      <c r="AI104" s="1037"/>
      <c r="AJ104" s="1037"/>
      <c r="AK104" s="1037"/>
      <c r="AL104" s="1037"/>
      <c r="AM104" s="1037"/>
      <c r="AN104" s="1037"/>
      <c r="AO104" s="1037"/>
      <c r="AP104" s="1037"/>
      <c r="AQ104" s="1037"/>
      <c r="AR104" s="1037"/>
      <c r="AS104" s="1037"/>
      <c r="AT104" s="1037"/>
      <c r="AU104" s="1037"/>
      <c r="AV104" s="1037"/>
      <c r="AW104" s="1037"/>
      <c r="AX104" s="1037"/>
      <c r="AY104" s="1037"/>
      <c r="AZ104" s="1037"/>
      <c r="BA104" s="1037"/>
      <c r="BB104" s="1037"/>
      <c r="BC104" s="1037"/>
      <c r="BD104" s="1037"/>
      <c r="BE104" s="1037"/>
      <c r="BF104" s="1037"/>
      <c r="BG104" s="1037"/>
      <c r="BH104" s="1037"/>
      <c r="BI104" s="1037"/>
      <c r="BJ104" s="1037"/>
      <c r="BK104" s="1037"/>
      <c r="BL104" s="1037"/>
    </row>
    <row r="105" spans="1:64">
      <c r="A105" s="1035"/>
      <c r="B105" s="1035"/>
      <c r="C105" s="1849" t="str">
        <f>Input!$C$47</f>
        <v>Add for MA @ 40%</v>
      </c>
      <c r="D105" s="1041">
        <f>Input!$D$47</f>
        <v>0.4</v>
      </c>
      <c r="E105" s="1039"/>
      <c r="F105" s="1848">
        <f>I104</f>
        <v>297</v>
      </c>
      <c r="G105" s="1025"/>
      <c r="H105" s="1847"/>
      <c r="I105" s="1001">
        <f t="shared" si="12"/>
        <v>118.80000000000001</v>
      </c>
      <c r="J105" s="1823"/>
      <c r="K105" s="1823"/>
      <c r="L105" s="1823"/>
      <c r="M105" s="1037"/>
      <c r="N105" s="1037"/>
      <c r="O105" s="1037"/>
      <c r="P105" s="1037"/>
      <c r="Q105" s="1037"/>
      <c r="R105" s="1037"/>
      <c r="S105" s="1037"/>
      <c r="T105" s="1037"/>
      <c r="U105" s="1037"/>
      <c r="V105" s="1037"/>
      <c r="W105" s="1037"/>
      <c r="X105" s="1037"/>
      <c r="Y105" s="1037"/>
      <c r="Z105" s="1037"/>
      <c r="AA105" s="1037"/>
      <c r="AB105" s="1037"/>
      <c r="AC105" s="1037"/>
      <c r="AD105" s="1037"/>
      <c r="AE105" s="1037"/>
      <c r="AF105" s="1037"/>
      <c r="AG105" s="1037"/>
      <c r="AH105" s="1037"/>
      <c r="AI105" s="1037"/>
      <c r="AJ105" s="1037"/>
      <c r="AK105" s="1037"/>
      <c r="AL105" s="1037"/>
      <c r="AM105" s="1037"/>
      <c r="AN105" s="1037"/>
      <c r="AO105" s="1037"/>
      <c r="AP105" s="1037"/>
      <c r="AQ105" s="1037"/>
      <c r="AR105" s="1037"/>
      <c r="AS105" s="1037"/>
      <c r="AT105" s="1037"/>
      <c r="AU105" s="1037"/>
      <c r="AV105" s="1037"/>
      <c r="AW105" s="1037"/>
      <c r="AX105" s="1037"/>
      <c r="AY105" s="1037"/>
      <c r="AZ105" s="1037"/>
      <c r="BA105" s="1037"/>
      <c r="BB105" s="1037"/>
      <c r="BC105" s="1037"/>
      <c r="BD105" s="1037"/>
      <c r="BE105" s="1037"/>
      <c r="BF105" s="1037"/>
      <c r="BG105" s="1037"/>
      <c r="BH105" s="1037"/>
      <c r="BI105" s="1037"/>
      <c r="BJ105" s="1037"/>
      <c r="BK105" s="1037"/>
      <c r="BL105" s="1037"/>
    </row>
    <row r="106" spans="1:64">
      <c r="A106" s="1035"/>
      <c r="B106" s="1035"/>
      <c r="C106" s="1821" t="s">
        <v>1032</v>
      </c>
      <c r="D106" s="1848"/>
      <c r="E106" s="1039"/>
      <c r="F106" s="1848"/>
      <c r="G106" s="1025"/>
      <c r="H106" s="1847"/>
      <c r="I106" s="1848">
        <f>SUM(I104:I105)</f>
        <v>415.8</v>
      </c>
      <c r="J106" s="1823"/>
      <c r="K106" s="1823"/>
      <c r="L106" s="1823"/>
      <c r="M106" s="1037"/>
      <c r="N106" s="1037"/>
      <c r="O106" s="1037"/>
      <c r="P106" s="1037"/>
      <c r="Q106" s="1037"/>
      <c r="R106" s="1037"/>
      <c r="S106" s="1037"/>
      <c r="T106" s="1037"/>
      <c r="U106" s="1037"/>
      <c r="V106" s="1037"/>
      <c r="W106" s="1037"/>
      <c r="X106" s="1037"/>
      <c r="Y106" s="1037"/>
      <c r="Z106" s="1037"/>
      <c r="AA106" s="1037"/>
      <c r="AB106" s="1037"/>
      <c r="AC106" s="1037"/>
      <c r="AD106" s="1037"/>
      <c r="AE106" s="1037"/>
      <c r="AF106" s="1037"/>
      <c r="AG106" s="1037"/>
      <c r="AH106" s="1037"/>
      <c r="AI106" s="1037"/>
      <c r="AJ106" s="1037"/>
      <c r="AK106" s="1037"/>
      <c r="AL106" s="1037"/>
      <c r="AM106" s="1037"/>
      <c r="AN106" s="1037"/>
      <c r="AO106" s="1037"/>
      <c r="AP106" s="1037"/>
      <c r="AQ106" s="1037"/>
      <c r="AR106" s="1037"/>
      <c r="AS106" s="1037"/>
      <c r="AT106" s="1037"/>
      <c r="AU106" s="1037"/>
      <c r="AV106" s="1037"/>
      <c r="AW106" s="1037"/>
      <c r="AX106" s="1037"/>
      <c r="AY106" s="1037"/>
      <c r="AZ106" s="1037"/>
      <c r="BA106" s="1037"/>
      <c r="BB106" s="1037"/>
      <c r="BC106" s="1037"/>
      <c r="BD106" s="1037"/>
      <c r="BE106" s="1037"/>
      <c r="BF106" s="1037"/>
      <c r="BG106" s="1037"/>
      <c r="BH106" s="1037"/>
      <c r="BI106" s="1037"/>
      <c r="BJ106" s="1037"/>
      <c r="BK106" s="1037"/>
      <c r="BL106" s="1037"/>
    </row>
    <row r="107" spans="1:64">
      <c r="A107" s="1035"/>
      <c r="B107" s="1035"/>
      <c r="C107" s="1849" t="str">
        <f>Input!$C$48</f>
        <v>Overheads &amp; Contractors Profit @ 13.615%</v>
      </c>
      <c r="D107" s="1850">
        <f>Input!$D$48</f>
        <v>0.13614999999999999</v>
      </c>
      <c r="E107" s="1039"/>
      <c r="F107" s="1848">
        <f>I106</f>
        <v>415.8</v>
      </c>
      <c r="G107" s="1025"/>
      <c r="H107" s="1847"/>
      <c r="I107" s="1001">
        <f>IF(G107="",D107*F107,(D107*F107/G107))</f>
        <v>56.611170000000001</v>
      </c>
      <c r="J107" s="1823"/>
      <c r="K107" s="1823"/>
      <c r="L107" s="1823"/>
      <c r="M107" s="1037"/>
      <c r="N107" s="1037"/>
      <c r="O107" s="1037"/>
      <c r="P107" s="1037"/>
      <c r="Q107" s="1037"/>
      <c r="R107" s="1037"/>
      <c r="S107" s="1037"/>
      <c r="T107" s="1037"/>
      <c r="U107" s="1037"/>
      <c r="V107" s="1037"/>
      <c r="W107" s="1037"/>
      <c r="X107" s="1037"/>
      <c r="Y107" s="1037"/>
      <c r="Z107" s="1037"/>
      <c r="AA107" s="1037"/>
      <c r="AB107" s="1037"/>
      <c r="AC107" s="1037"/>
      <c r="AD107" s="1037"/>
      <c r="AE107" s="1037"/>
      <c r="AF107" s="1037"/>
      <c r="AG107" s="1037"/>
      <c r="AH107" s="1037"/>
      <c r="AI107" s="1037"/>
      <c r="AJ107" s="1037"/>
      <c r="AK107" s="1037"/>
      <c r="AL107" s="1037"/>
      <c r="AM107" s="1037"/>
      <c r="AN107" s="1037"/>
      <c r="AO107" s="1037"/>
      <c r="AP107" s="1037"/>
      <c r="AQ107" s="1037"/>
      <c r="AR107" s="1037"/>
      <c r="AS107" s="1037"/>
      <c r="AT107" s="1037"/>
      <c r="AU107" s="1037"/>
      <c r="AV107" s="1037"/>
      <c r="AW107" s="1037"/>
      <c r="AX107" s="1037"/>
      <c r="AY107" s="1037"/>
      <c r="AZ107" s="1037"/>
      <c r="BA107" s="1037"/>
      <c r="BB107" s="1037"/>
      <c r="BC107" s="1037"/>
      <c r="BD107" s="1037"/>
      <c r="BE107" s="1037"/>
      <c r="BF107" s="1037"/>
      <c r="BG107" s="1037"/>
      <c r="BH107" s="1037"/>
      <c r="BI107" s="1037"/>
      <c r="BJ107" s="1037"/>
      <c r="BK107" s="1037"/>
      <c r="BL107" s="1037"/>
    </row>
    <row r="108" spans="1:64">
      <c r="A108" s="1035"/>
      <c r="B108" s="1035"/>
      <c r="C108" s="1821" t="s">
        <v>1032</v>
      </c>
      <c r="D108" s="1848"/>
      <c r="E108" s="1039"/>
      <c r="F108" s="1848"/>
      <c r="G108" s="1025"/>
      <c r="H108" s="1034" t="s">
        <v>1033</v>
      </c>
      <c r="I108" s="1001">
        <f>SUM(I106:I107)</f>
        <v>472.41117000000003</v>
      </c>
      <c r="J108" s="1823"/>
      <c r="K108" s="1823"/>
      <c r="L108" s="1823"/>
      <c r="M108" s="1037"/>
      <c r="N108" s="1037"/>
      <c r="O108" s="1037"/>
      <c r="P108" s="1037"/>
      <c r="Q108" s="1037"/>
      <c r="R108" s="1037"/>
      <c r="S108" s="1037"/>
      <c r="T108" s="1037"/>
      <c r="U108" s="1037"/>
      <c r="V108" s="1037"/>
      <c r="W108" s="1037"/>
      <c r="X108" s="1037"/>
      <c r="Y108" s="1037"/>
      <c r="Z108" s="1037"/>
      <c r="AA108" s="1037"/>
      <c r="AB108" s="1037"/>
      <c r="AC108" s="1037"/>
      <c r="AD108" s="1037"/>
      <c r="AE108" s="1037"/>
      <c r="AF108" s="1037"/>
      <c r="AG108" s="1037"/>
      <c r="AH108" s="1037"/>
      <c r="AI108" s="1037"/>
      <c r="AJ108" s="1037"/>
      <c r="AK108" s="1037"/>
      <c r="AL108" s="1037"/>
      <c r="AM108" s="1037"/>
      <c r="AN108" s="1037"/>
      <c r="AO108" s="1037"/>
      <c r="AP108" s="1037"/>
      <c r="AQ108" s="1037"/>
      <c r="AR108" s="1037"/>
      <c r="AS108" s="1037"/>
      <c r="AT108" s="1037"/>
      <c r="AU108" s="1037"/>
      <c r="AV108" s="1037"/>
      <c r="AW108" s="1037"/>
      <c r="AX108" s="1037"/>
      <c r="AY108" s="1037"/>
      <c r="AZ108" s="1037"/>
      <c r="BA108" s="1037"/>
      <c r="BB108" s="1037"/>
      <c r="BC108" s="1037"/>
      <c r="BD108" s="1037"/>
      <c r="BE108" s="1037"/>
      <c r="BF108" s="1037"/>
      <c r="BG108" s="1037"/>
      <c r="BH108" s="1037"/>
      <c r="BI108" s="1037"/>
      <c r="BJ108" s="1037"/>
      <c r="BK108" s="1037"/>
      <c r="BL108" s="1037"/>
    </row>
    <row r="109" spans="1:64">
      <c r="A109" s="1836"/>
      <c r="B109" s="1836"/>
      <c r="C109" s="1840"/>
      <c r="D109" s="1017"/>
      <c r="E109" s="1026"/>
      <c r="F109" s="1017"/>
      <c r="G109" s="1027"/>
      <c r="H109" s="1842" t="s">
        <v>1034</v>
      </c>
      <c r="I109" s="1011">
        <f>ROUND(I108,0)</f>
        <v>472</v>
      </c>
      <c r="J109" s="1023"/>
      <c r="K109" s="1023"/>
      <c r="L109" s="1023"/>
      <c r="M109" s="1024"/>
      <c r="N109" s="1024"/>
      <c r="O109" s="1024"/>
      <c r="P109" s="1024"/>
      <c r="Q109" s="1024"/>
      <c r="R109" s="1024"/>
      <c r="S109" s="1024"/>
      <c r="T109" s="1024"/>
      <c r="U109" s="1024"/>
      <c r="V109" s="1024"/>
      <c r="W109" s="1024"/>
      <c r="X109" s="1024"/>
      <c r="Y109" s="1024"/>
      <c r="Z109" s="1024"/>
      <c r="AA109" s="1024"/>
      <c r="AB109" s="1024"/>
      <c r="AC109" s="1024"/>
      <c r="AD109" s="1024"/>
      <c r="AE109" s="1024"/>
      <c r="AF109" s="1024"/>
      <c r="AG109" s="1024"/>
      <c r="AH109" s="1024"/>
      <c r="AI109" s="1024"/>
      <c r="AJ109" s="1024"/>
      <c r="AK109" s="1024"/>
      <c r="AL109" s="1024"/>
      <c r="AM109" s="1024"/>
      <c r="AN109" s="1024"/>
      <c r="AO109" s="1024"/>
      <c r="AP109" s="1024"/>
      <c r="AQ109" s="1024"/>
      <c r="AR109" s="1024"/>
      <c r="AS109" s="1024"/>
      <c r="AT109" s="1024"/>
      <c r="AU109" s="1024"/>
      <c r="AV109" s="1024"/>
      <c r="AW109" s="1024"/>
      <c r="AX109" s="1024"/>
      <c r="AY109" s="1024"/>
      <c r="AZ109" s="1024"/>
      <c r="BA109" s="1024"/>
      <c r="BB109" s="1024"/>
      <c r="BC109" s="1024"/>
      <c r="BD109" s="1024"/>
      <c r="BE109" s="1024"/>
      <c r="BF109" s="1024"/>
      <c r="BG109" s="1024"/>
      <c r="BH109" s="1024"/>
      <c r="BI109" s="1024"/>
      <c r="BJ109" s="1024"/>
      <c r="BK109" s="1024"/>
      <c r="BL109" s="1024"/>
    </row>
    <row r="110" spans="1:64">
      <c r="A110" s="1836"/>
      <c r="B110" s="1836"/>
      <c r="C110" s="1840"/>
      <c r="D110" s="1017"/>
      <c r="E110" s="1026"/>
      <c r="F110" s="1017"/>
      <c r="G110" s="1027"/>
      <c r="H110" s="1840"/>
      <c r="I110" s="1836"/>
      <c r="J110" s="1023"/>
      <c r="K110" s="1023"/>
      <c r="L110" s="1023"/>
      <c r="M110" s="1024"/>
      <c r="N110" s="1024"/>
      <c r="O110" s="1024"/>
      <c r="P110" s="1024"/>
      <c r="Q110" s="1024"/>
      <c r="R110" s="1024"/>
      <c r="S110" s="1024"/>
      <c r="T110" s="1024"/>
      <c r="U110" s="1024"/>
      <c r="V110" s="1024"/>
      <c r="W110" s="1024"/>
      <c r="X110" s="1024"/>
      <c r="Y110" s="1024"/>
      <c r="Z110" s="1024"/>
      <c r="AA110" s="1024"/>
      <c r="AB110" s="1024"/>
      <c r="AC110" s="1024"/>
      <c r="AD110" s="1024"/>
      <c r="AE110" s="1024"/>
      <c r="AF110" s="1024"/>
      <c r="AG110" s="1024"/>
      <c r="AH110" s="1024"/>
      <c r="AI110" s="1024"/>
      <c r="AJ110" s="1024"/>
      <c r="AK110" s="1024"/>
      <c r="AL110" s="1024"/>
      <c r="AM110" s="1024"/>
      <c r="AN110" s="1024"/>
      <c r="AO110" s="1024"/>
      <c r="AP110" s="1024"/>
      <c r="AQ110" s="1024"/>
      <c r="AR110" s="1024"/>
      <c r="AS110" s="1024"/>
      <c r="AT110" s="1024"/>
      <c r="AU110" s="1024"/>
      <c r="AV110" s="1024"/>
      <c r="AW110" s="1024"/>
      <c r="AX110" s="1024"/>
      <c r="AY110" s="1024"/>
      <c r="AZ110" s="1024"/>
      <c r="BA110" s="1024"/>
      <c r="BB110" s="1024"/>
      <c r="BC110" s="1024"/>
      <c r="BD110" s="1024"/>
      <c r="BE110" s="1024"/>
      <c r="BF110" s="1024"/>
      <c r="BG110" s="1024"/>
      <c r="BH110" s="1024"/>
      <c r="BI110" s="1024"/>
      <c r="BJ110" s="1024"/>
      <c r="BK110" s="1024"/>
      <c r="BL110" s="1024"/>
    </row>
    <row r="111" spans="1:64">
      <c r="A111" s="1836"/>
      <c r="B111" s="1836"/>
      <c r="C111" s="1840"/>
      <c r="D111" s="1017"/>
      <c r="E111" s="1026"/>
      <c r="F111" s="1017"/>
      <c r="G111" s="1027"/>
      <c r="H111" s="1840"/>
      <c r="I111" s="1836"/>
      <c r="J111" s="1023"/>
      <c r="K111" s="1023"/>
      <c r="L111" s="1023"/>
      <c r="M111" s="1024"/>
      <c r="N111" s="1024"/>
      <c r="O111" s="1024"/>
      <c r="P111" s="1024"/>
      <c r="Q111" s="1024"/>
      <c r="R111" s="1024"/>
      <c r="S111" s="1024"/>
      <c r="T111" s="1024"/>
      <c r="U111" s="1024"/>
      <c r="V111" s="1024"/>
      <c r="W111" s="1024"/>
      <c r="X111" s="1024"/>
      <c r="Y111" s="1024"/>
      <c r="Z111" s="1024"/>
      <c r="AA111" s="1024"/>
      <c r="AB111" s="1024"/>
      <c r="AC111" s="1024"/>
      <c r="AD111" s="1024"/>
      <c r="AE111" s="1024"/>
      <c r="AF111" s="1024"/>
      <c r="AG111" s="1024"/>
      <c r="AH111" s="1024"/>
      <c r="AI111" s="1024"/>
      <c r="AJ111" s="1024"/>
      <c r="AK111" s="1024"/>
      <c r="AL111" s="1024"/>
      <c r="AM111" s="1024"/>
      <c r="AN111" s="1024"/>
      <c r="AO111" s="1024"/>
      <c r="AP111" s="1024"/>
      <c r="AQ111" s="1024"/>
      <c r="AR111" s="1024"/>
      <c r="AS111" s="1024"/>
      <c r="AT111" s="1024"/>
      <c r="AU111" s="1024"/>
      <c r="AV111" s="1024"/>
      <c r="AW111" s="1024"/>
      <c r="AX111" s="1024"/>
      <c r="AY111" s="1024"/>
      <c r="AZ111" s="1024"/>
      <c r="BA111" s="1024"/>
      <c r="BB111" s="1024"/>
      <c r="BC111" s="1024"/>
      <c r="BD111" s="1024"/>
      <c r="BE111" s="1024"/>
      <c r="BF111" s="1024"/>
      <c r="BG111" s="1024"/>
      <c r="BH111" s="1024"/>
      <c r="BI111" s="1024"/>
      <c r="BJ111" s="1024"/>
      <c r="BK111" s="1024"/>
      <c r="BL111" s="1024"/>
    </row>
    <row r="112" spans="1:64">
      <c r="A112" s="1836"/>
      <c r="B112" s="1836" t="s">
        <v>466</v>
      </c>
      <c r="C112" s="1825" t="s">
        <v>437</v>
      </c>
      <c r="D112" s="1836"/>
      <c r="E112" s="1032"/>
      <c r="F112" s="1836"/>
      <c r="G112" s="1837"/>
      <c r="H112" s="1841"/>
      <c r="I112" s="1836"/>
      <c r="J112" s="1023"/>
      <c r="K112" s="1023"/>
      <c r="L112" s="1023"/>
      <c r="M112" s="1024"/>
      <c r="N112" s="1024"/>
      <c r="O112" s="1024"/>
      <c r="P112" s="1024"/>
      <c r="Q112" s="1024"/>
      <c r="R112" s="1024"/>
      <c r="S112" s="1024"/>
      <c r="T112" s="1024"/>
      <c r="U112" s="1024"/>
      <c r="V112" s="1024"/>
      <c r="W112" s="1024"/>
      <c r="X112" s="1024"/>
      <c r="Y112" s="1024"/>
      <c r="Z112" s="1024"/>
      <c r="AA112" s="1024"/>
      <c r="AB112" s="1024"/>
      <c r="AC112" s="1024"/>
      <c r="AD112" s="1024"/>
      <c r="AE112" s="1024"/>
      <c r="AF112" s="1024"/>
      <c r="AG112" s="1024"/>
      <c r="AH112" s="1024"/>
      <c r="AI112" s="1024"/>
      <c r="AJ112" s="1024"/>
      <c r="AK112" s="1024"/>
      <c r="AL112" s="1024"/>
      <c r="AM112" s="1024"/>
      <c r="AN112" s="1024"/>
      <c r="AO112" s="1024"/>
      <c r="AP112" s="1024"/>
      <c r="AQ112" s="1024"/>
      <c r="AR112" s="1024"/>
      <c r="AS112" s="1024"/>
      <c r="AT112" s="1024"/>
      <c r="AU112" s="1024"/>
      <c r="AV112" s="1024"/>
      <c r="AW112" s="1024"/>
      <c r="AX112" s="1024"/>
      <c r="AY112" s="1024"/>
      <c r="AZ112" s="1024"/>
      <c r="BA112" s="1024"/>
      <c r="BB112" s="1024"/>
      <c r="BC112" s="1024"/>
      <c r="BD112" s="1024"/>
      <c r="BE112" s="1024"/>
      <c r="BF112" s="1024"/>
      <c r="BG112" s="1024"/>
      <c r="BH112" s="1024"/>
      <c r="BI112" s="1024"/>
      <c r="BJ112" s="1024"/>
      <c r="BK112" s="1024"/>
      <c r="BL112" s="1024"/>
    </row>
    <row r="113" spans="1:64">
      <c r="A113" s="1836"/>
      <c r="B113" s="1836"/>
      <c r="C113" s="1014" t="s">
        <v>1051</v>
      </c>
      <c r="D113" s="1031">
        <v>10</v>
      </c>
      <c r="E113" s="1028" t="s">
        <v>94</v>
      </c>
      <c r="F113" s="1017">
        <f>'Civil-SOR'!$G$214</f>
        <v>7</v>
      </c>
      <c r="G113" s="1029">
        <v>1</v>
      </c>
      <c r="H113" s="1014" t="s">
        <v>94</v>
      </c>
      <c r="I113" s="1030">
        <f t="shared" ref="I113:I114" si="13">IF(G113="",D113*F113,(D113*F113/G113))</f>
        <v>70</v>
      </c>
      <c r="J113" s="1023"/>
      <c r="K113" s="1023"/>
      <c r="L113" s="1023"/>
      <c r="M113" s="1024"/>
      <c r="N113" s="1024"/>
      <c r="O113" s="1024"/>
      <c r="P113" s="1024"/>
      <c r="Q113" s="1024"/>
      <c r="R113" s="1024"/>
      <c r="S113" s="1024"/>
      <c r="T113" s="1024"/>
      <c r="U113" s="1024"/>
      <c r="V113" s="1024"/>
      <c r="W113" s="1024"/>
      <c r="X113" s="1024"/>
      <c r="Y113" s="1024"/>
      <c r="Z113" s="1024"/>
      <c r="AA113" s="1024"/>
      <c r="AB113" s="1024"/>
      <c r="AC113" s="1024"/>
      <c r="AD113" s="1024"/>
      <c r="AE113" s="1024"/>
      <c r="AF113" s="1024"/>
      <c r="AG113" s="1024"/>
      <c r="AH113" s="1024"/>
      <c r="AI113" s="1024"/>
      <c r="AJ113" s="1024"/>
      <c r="AK113" s="1024"/>
      <c r="AL113" s="1024"/>
      <c r="AM113" s="1024"/>
      <c r="AN113" s="1024"/>
      <c r="AO113" s="1024"/>
      <c r="AP113" s="1024"/>
      <c r="AQ113" s="1024"/>
      <c r="AR113" s="1024"/>
      <c r="AS113" s="1024"/>
      <c r="AT113" s="1024"/>
      <c r="AU113" s="1024"/>
      <c r="AV113" s="1024"/>
      <c r="AW113" s="1024"/>
      <c r="AX113" s="1024"/>
      <c r="AY113" s="1024"/>
      <c r="AZ113" s="1024"/>
      <c r="BA113" s="1024"/>
      <c r="BB113" s="1024"/>
      <c r="BC113" s="1024"/>
      <c r="BD113" s="1024"/>
      <c r="BE113" s="1024"/>
      <c r="BF113" s="1024"/>
      <c r="BG113" s="1024"/>
      <c r="BH113" s="1024"/>
      <c r="BI113" s="1024"/>
      <c r="BJ113" s="1024"/>
      <c r="BK113" s="1024"/>
      <c r="BL113" s="1024"/>
    </row>
    <row r="114" spans="1:64">
      <c r="A114" s="1836"/>
      <c r="B114" s="1836"/>
      <c r="C114" s="1014" t="str">
        <f>Input!$C$47</f>
        <v>Add for MA @ 40%</v>
      </c>
      <c r="D114" s="1031">
        <f>Input!$D$47</f>
        <v>0.4</v>
      </c>
      <c r="E114" s="1026"/>
      <c r="F114" s="1017">
        <f>I113</f>
        <v>70</v>
      </c>
      <c r="G114" s="1027"/>
      <c r="H114" s="1840"/>
      <c r="I114" s="1030">
        <f t="shared" si="13"/>
        <v>28</v>
      </c>
      <c r="J114" s="1023"/>
      <c r="K114" s="1023"/>
      <c r="L114" s="1023"/>
      <c r="M114" s="1024"/>
      <c r="N114" s="1024"/>
      <c r="O114" s="1024"/>
      <c r="P114" s="1024"/>
      <c r="Q114" s="1024"/>
      <c r="R114" s="1024"/>
      <c r="S114" s="1024"/>
      <c r="T114" s="1024"/>
      <c r="U114" s="1024"/>
      <c r="V114" s="1024"/>
      <c r="W114" s="1024"/>
      <c r="X114" s="1024"/>
      <c r="Y114" s="1024"/>
      <c r="Z114" s="1024"/>
      <c r="AA114" s="1024"/>
      <c r="AB114" s="1024"/>
      <c r="AC114" s="1024"/>
      <c r="AD114" s="1024"/>
      <c r="AE114" s="1024"/>
      <c r="AF114" s="1024"/>
      <c r="AG114" s="1024"/>
      <c r="AH114" s="1024"/>
      <c r="AI114" s="1024"/>
      <c r="AJ114" s="1024"/>
      <c r="AK114" s="1024"/>
      <c r="AL114" s="1024"/>
      <c r="AM114" s="1024"/>
      <c r="AN114" s="1024"/>
      <c r="AO114" s="1024"/>
      <c r="AP114" s="1024"/>
      <c r="AQ114" s="1024"/>
      <c r="AR114" s="1024"/>
      <c r="AS114" s="1024"/>
      <c r="AT114" s="1024"/>
      <c r="AU114" s="1024"/>
      <c r="AV114" s="1024"/>
      <c r="AW114" s="1024"/>
      <c r="AX114" s="1024"/>
      <c r="AY114" s="1024"/>
      <c r="AZ114" s="1024"/>
      <c r="BA114" s="1024"/>
      <c r="BB114" s="1024"/>
      <c r="BC114" s="1024"/>
      <c r="BD114" s="1024"/>
      <c r="BE114" s="1024"/>
      <c r="BF114" s="1024"/>
      <c r="BG114" s="1024"/>
      <c r="BH114" s="1024"/>
      <c r="BI114" s="1024"/>
      <c r="BJ114" s="1024"/>
      <c r="BK114" s="1024"/>
      <c r="BL114" s="1024"/>
    </row>
    <row r="115" spans="1:64">
      <c r="A115" s="1836"/>
      <c r="B115" s="1836"/>
      <c r="C115" s="1838" t="s">
        <v>1044</v>
      </c>
      <c r="D115" s="1017"/>
      <c r="E115" s="1026"/>
      <c r="F115" s="1017"/>
      <c r="G115" s="1027"/>
      <c r="H115" s="1840"/>
      <c r="I115" s="1017">
        <f>SUM(I113:I114)</f>
        <v>98</v>
      </c>
      <c r="J115" s="1023"/>
      <c r="K115" s="1023"/>
      <c r="L115" s="1023"/>
      <c r="M115" s="1024"/>
      <c r="N115" s="1024"/>
      <c r="O115" s="1024"/>
      <c r="P115" s="1024"/>
      <c r="Q115" s="1024"/>
      <c r="R115" s="1024"/>
      <c r="S115" s="1024"/>
      <c r="T115" s="1024"/>
      <c r="U115" s="1024"/>
      <c r="V115" s="1024"/>
      <c r="W115" s="1024"/>
      <c r="X115" s="1024"/>
      <c r="Y115" s="1024"/>
      <c r="Z115" s="1024"/>
      <c r="AA115" s="1024"/>
      <c r="AB115" s="1024"/>
      <c r="AC115" s="1024"/>
      <c r="AD115" s="1024"/>
      <c r="AE115" s="1024"/>
      <c r="AF115" s="1024"/>
      <c r="AG115" s="1024"/>
      <c r="AH115" s="1024"/>
      <c r="AI115" s="1024"/>
      <c r="AJ115" s="1024"/>
      <c r="AK115" s="1024"/>
      <c r="AL115" s="1024"/>
      <c r="AM115" s="1024"/>
      <c r="AN115" s="1024"/>
      <c r="AO115" s="1024"/>
      <c r="AP115" s="1024"/>
      <c r="AQ115" s="1024"/>
      <c r="AR115" s="1024"/>
      <c r="AS115" s="1024"/>
      <c r="AT115" s="1024"/>
      <c r="AU115" s="1024"/>
      <c r="AV115" s="1024"/>
      <c r="AW115" s="1024"/>
      <c r="AX115" s="1024"/>
      <c r="AY115" s="1024"/>
      <c r="AZ115" s="1024"/>
      <c r="BA115" s="1024"/>
      <c r="BB115" s="1024"/>
      <c r="BC115" s="1024"/>
      <c r="BD115" s="1024"/>
      <c r="BE115" s="1024"/>
      <c r="BF115" s="1024"/>
      <c r="BG115" s="1024"/>
      <c r="BH115" s="1024"/>
      <c r="BI115" s="1024"/>
      <c r="BJ115" s="1024"/>
      <c r="BK115" s="1024"/>
      <c r="BL115" s="1024"/>
    </row>
    <row r="116" spans="1:64">
      <c r="A116" s="1836"/>
      <c r="B116" s="1836"/>
      <c r="C116" s="1838" t="s">
        <v>1045</v>
      </c>
      <c r="D116" s="1017"/>
      <c r="E116" s="1026"/>
      <c r="F116" s="1017"/>
      <c r="G116" s="1027"/>
      <c r="H116" s="1840"/>
      <c r="I116" s="1017">
        <f>I115/10</f>
        <v>9.8000000000000007</v>
      </c>
      <c r="J116" s="1023"/>
      <c r="K116" s="1023"/>
      <c r="L116" s="1023"/>
      <c r="M116" s="1024"/>
      <c r="N116" s="1024"/>
      <c r="O116" s="1024"/>
      <c r="P116" s="1024"/>
      <c r="Q116" s="1024"/>
      <c r="R116" s="1024"/>
      <c r="S116" s="1024"/>
      <c r="T116" s="1024"/>
      <c r="U116" s="1024"/>
      <c r="V116" s="1024"/>
      <c r="W116" s="1024"/>
      <c r="X116" s="1024"/>
      <c r="Y116" s="1024"/>
      <c r="Z116" s="1024"/>
      <c r="AA116" s="1024"/>
      <c r="AB116" s="1024"/>
      <c r="AC116" s="1024"/>
      <c r="AD116" s="1024"/>
      <c r="AE116" s="1024"/>
      <c r="AF116" s="1024"/>
      <c r="AG116" s="1024"/>
      <c r="AH116" s="1024"/>
      <c r="AI116" s="1024"/>
      <c r="AJ116" s="1024"/>
      <c r="AK116" s="1024"/>
      <c r="AL116" s="1024"/>
      <c r="AM116" s="1024"/>
      <c r="AN116" s="1024"/>
      <c r="AO116" s="1024"/>
      <c r="AP116" s="1024"/>
      <c r="AQ116" s="1024"/>
      <c r="AR116" s="1024"/>
      <c r="AS116" s="1024"/>
      <c r="AT116" s="1024"/>
      <c r="AU116" s="1024"/>
      <c r="AV116" s="1024"/>
      <c r="AW116" s="1024"/>
      <c r="AX116" s="1024"/>
      <c r="AY116" s="1024"/>
      <c r="AZ116" s="1024"/>
      <c r="BA116" s="1024"/>
      <c r="BB116" s="1024"/>
      <c r="BC116" s="1024"/>
      <c r="BD116" s="1024"/>
      <c r="BE116" s="1024"/>
      <c r="BF116" s="1024"/>
      <c r="BG116" s="1024"/>
      <c r="BH116" s="1024"/>
      <c r="BI116" s="1024"/>
      <c r="BJ116" s="1024"/>
      <c r="BK116" s="1024"/>
      <c r="BL116" s="1024"/>
    </row>
    <row r="117" spans="1:64">
      <c r="A117" s="1836"/>
      <c r="B117" s="1836"/>
      <c r="C117" s="1849" t="str">
        <f>Input!$C$48</f>
        <v>Overheads &amp; Contractors Profit @ 13.615%</v>
      </c>
      <c r="D117" s="1033">
        <f>Input!$D$48</f>
        <v>0.13614999999999999</v>
      </c>
      <c r="E117" s="1026"/>
      <c r="F117" s="1017">
        <f>I116</f>
        <v>9.8000000000000007</v>
      </c>
      <c r="G117" s="1027"/>
      <c r="H117" s="1840"/>
      <c r="I117" s="1030">
        <f>IF(G117="",D117*F117,(D117*F117/G117))</f>
        <v>1.3342700000000001</v>
      </c>
      <c r="J117" s="1023"/>
      <c r="K117" s="1023"/>
      <c r="L117" s="1023"/>
      <c r="M117" s="1024"/>
      <c r="N117" s="1024"/>
      <c r="O117" s="1024"/>
      <c r="P117" s="1024"/>
      <c r="Q117" s="1024"/>
      <c r="R117" s="1024"/>
      <c r="S117" s="1024"/>
      <c r="T117" s="1024"/>
      <c r="U117" s="1024"/>
      <c r="V117" s="1024"/>
      <c r="W117" s="1024"/>
      <c r="X117" s="1024"/>
      <c r="Y117" s="1024"/>
      <c r="Z117" s="1024"/>
      <c r="AA117" s="1024"/>
      <c r="AB117" s="1024"/>
      <c r="AC117" s="1024"/>
      <c r="AD117" s="1024"/>
      <c r="AE117" s="1024"/>
      <c r="AF117" s="1024"/>
      <c r="AG117" s="1024"/>
      <c r="AH117" s="1024"/>
      <c r="AI117" s="1024"/>
      <c r="AJ117" s="1024"/>
      <c r="AK117" s="1024"/>
      <c r="AL117" s="1024"/>
      <c r="AM117" s="1024"/>
      <c r="AN117" s="1024"/>
      <c r="AO117" s="1024"/>
      <c r="AP117" s="1024"/>
      <c r="AQ117" s="1024"/>
      <c r="AR117" s="1024"/>
      <c r="AS117" s="1024"/>
      <c r="AT117" s="1024"/>
      <c r="AU117" s="1024"/>
      <c r="AV117" s="1024"/>
      <c r="AW117" s="1024"/>
      <c r="AX117" s="1024"/>
      <c r="AY117" s="1024"/>
      <c r="AZ117" s="1024"/>
      <c r="BA117" s="1024"/>
      <c r="BB117" s="1024"/>
      <c r="BC117" s="1024"/>
      <c r="BD117" s="1024"/>
      <c r="BE117" s="1024"/>
      <c r="BF117" s="1024"/>
      <c r="BG117" s="1024"/>
      <c r="BH117" s="1024"/>
      <c r="BI117" s="1024"/>
      <c r="BJ117" s="1024"/>
      <c r="BK117" s="1024"/>
      <c r="BL117" s="1024"/>
    </row>
    <row r="118" spans="1:64">
      <c r="A118" s="1836"/>
      <c r="B118" s="1836"/>
      <c r="C118" s="1838" t="s">
        <v>1045</v>
      </c>
      <c r="D118" s="1017"/>
      <c r="E118" s="1026"/>
      <c r="F118" s="1017"/>
      <c r="G118" s="1027"/>
      <c r="H118" s="1034" t="s">
        <v>1033</v>
      </c>
      <c r="I118" s="1011">
        <f>SUM(I116:I117)</f>
        <v>11.134270000000001</v>
      </c>
      <c r="J118" s="1023"/>
      <c r="K118" s="1023"/>
      <c r="L118" s="1023"/>
      <c r="M118" s="1024"/>
      <c r="N118" s="1024"/>
      <c r="O118" s="1024"/>
      <c r="P118" s="1024"/>
      <c r="Q118" s="1024"/>
      <c r="R118" s="1024"/>
      <c r="S118" s="1024"/>
      <c r="T118" s="1024"/>
      <c r="U118" s="1024"/>
      <c r="V118" s="1024"/>
      <c r="W118" s="1024"/>
      <c r="X118" s="1024"/>
      <c r="Y118" s="1024"/>
      <c r="Z118" s="1024"/>
      <c r="AA118" s="1024"/>
      <c r="AB118" s="1024"/>
      <c r="AC118" s="1024"/>
      <c r="AD118" s="1024"/>
      <c r="AE118" s="1024"/>
      <c r="AF118" s="1024"/>
      <c r="AG118" s="1024"/>
      <c r="AH118" s="1024"/>
      <c r="AI118" s="1024"/>
      <c r="AJ118" s="1024"/>
      <c r="AK118" s="1024"/>
      <c r="AL118" s="1024"/>
      <c r="AM118" s="1024"/>
      <c r="AN118" s="1024"/>
      <c r="AO118" s="1024"/>
      <c r="AP118" s="1024"/>
      <c r="AQ118" s="1024"/>
      <c r="AR118" s="1024"/>
      <c r="AS118" s="1024"/>
      <c r="AT118" s="1024"/>
      <c r="AU118" s="1024"/>
      <c r="AV118" s="1024"/>
      <c r="AW118" s="1024"/>
      <c r="AX118" s="1024"/>
      <c r="AY118" s="1024"/>
      <c r="AZ118" s="1024"/>
      <c r="BA118" s="1024"/>
      <c r="BB118" s="1024"/>
      <c r="BC118" s="1024"/>
      <c r="BD118" s="1024"/>
      <c r="BE118" s="1024"/>
      <c r="BF118" s="1024"/>
      <c r="BG118" s="1024"/>
      <c r="BH118" s="1024"/>
      <c r="BI118" s="1024"/>
      <c r="BJ118" s="1024"/>
      <c r="BK118" s="1024"/>
      <c r="BL118" s="1024"/>
    </row>
    <row r="119" spans="1:64">
      <c r="A119" s="1836"/>
      <c r="B119" s="1836"/>
      <c r="C119" s="1840"/>
      <c r="D119" s="1017"/>
      <c r="E119" s="1026"/>
      <c r="F119" s="1017"/>
      <c r="G119" s="1027"/>
      <c r="H119" s="1842" t="s">
        <v>1034</v>
      </c>
      <c r="I119" s="1011">
        <f>ROUND(I118,0)</f>
        <v>11</v>
      </c>
      <c r="J119" s="1023"/>
      <c r="K119" s="1023"/>
      <c r="L119" s="1023"/>
      <c r="M119" s="1024"/>
      <c r="N119" s="1024"/>
      <c r="O119" s="1024"/>
      <c r="P119" s="1024"/>
      <c r="Q119" s="1024"/>
      <c r="R119" s="1024"/>
      <c r="S119" s="1024"/>
      <c r="T119" s="1024"/>
      <c r="U119" s="1024"/>
      <c r="V119" s="1024"/>
      <c r="W119" s="1024"/>
      <c r="X119" s="1024"/>
      <c r="Y119" s="1024"/>
      <c r="Z119" s="1024"/>
      <c r="AA119" s="1024"/>
      <c r="AB119" s="1024"/>
      <c r="AC119" s="1024"/>
      <c r="AD119" s="1024"/>
      <c r="AE119" s="1024"/>
      <c r="AF119" s="1024"/>
      <c r="AG119" s="1024"/>
      <c r="AH119" s="1024"/>
      <c r="AI119" s="1024"/>
      <c r="AJ119" s="1024"/>
      <c r="AK119" s="1024"/>
      <c r="AL119" s="1024"/>
      <c r="AM119" s="1024"/>
      <c r="AN119" s="1024"/>
      <c r="AO119" s="1024"/>
      <c r="AP119" s="1024"/>
      <c r="AQ119" s="1024"/>
      <c r="AR119" s="1024"/>
      <c r="AS119" s="1024"/>
      <c r="AT119" s="1024"/>
      <c r="AU119" s="1024"/>
      <c r="AV119" s="1024"/>
      <c r="AW119" s="1024"/>
      <c r="AX119" s="1024"/>
      <c r="AY119" s="1024"/>
      <c r="AZ119" s="1024"/>
      <c r="BA119" s="1024"/>
      <c r="BB119" s="1024"/>
      <c r="BC119" s="1024"/>
      <c r="BD119" s="1024"/>
      <c r="BE119" s="1024"/>
      <c r="BF119" s="1024"/>
      <c r="BG119" s="1024"/>
      <c r="BH119" s="1024"/>
      <c r="BI119" s="1024"/>
      <c r="BJ119" s="1024"/>
      <c r="BK119" s="1024"/>
      <c r="BL119" s="1024"/>
    </row>
    <row r="120" spans="1:64">
      <c r="A120" s="1836"/>
      <c r="B120" s="1836"/>
      <c r="C120" s="1840"/>
      <c r="D120" s="1017"/>
      <c r="E120" s="1026"/>
      <c r="F120" s="1017"/>
      <c r="G120" s="1027"/>
      <c r="H120" s="1840"/>
      <c r="I120" s="1011"/>
      <c r="J120" s="1023"/>
      <c r="K120" s="1023"/>
      <c r="L120" s="1023"/>
      <c r="M120" s="1024"/>
      <c r="N120" s="1024"/>
      <c r="O120" s="1024"/>
      <c r="P120" s="1024"/>
      <c r="Q120" s="1024"/>
      <c r="R120" s="1024"/>
      <c r="S120" s="1024"/>
      <c r="T120" s="1024"/>
      <c r="U120" s="1024"/>
      <c r="V120" s="1024"/>
      <c r="W120" s="1024"/>
      <c r="X120" s="1024"/>
      <c r="Y120" s="1024"/>
      <c r="Z120" s="1024"/>
      <c r="AA120" s="1024"/>
      <c r="AB120" s="1024"/>
      <c r="AC120" s="1024"/>
      <c r="AD120" s="1024"/>
      <c r="AE120" s="1024"/>
      <c r="AF120" s="1024"/>
      <c r="AG120" s="1024"/>
      <c r="AH120" s="1024"/>
      <c r="AI120" s="1024"/>
      <c r="AJ120" s="1024"/>
      <c r="AK120" s="1024"/>
      <c r="AL120" s="1024"/>
      <c r="AM120" s="1024"/>
      <c r="AN120" s="1024"/>
      <c r="AO120" s="1024"/>
      <c r="AP120" s="1024"/>
      <c r="AQ120" s="1024"/>
      <c r="AR120" s="1024"/>
      <c r="AS120" s="1024"/>
      <c r="AT120" s="1024"/>
      <c r="AU120" s="1024"/>
      <c r="AV120" s="1024"/>
      <c r="AW120" s="1024"/>
      <c r="AX120" s="1024"/>
      <c r="AY120" s="1024"/>
      <c r="AZ120" s="1024"/>
      <c r="BA120" s="1024"/>
      <c r="BB120" s="1024"/>
      <c r="BC120" s="1024"/>
      <c r="BD120" s="1024"/>
      <c r="BE120" s="1024"/>
      <c r="BF120" s="1024"/>
      <c r="BG120" s="1024"/>
      <c r="BH120" s="1024"/>
      <c r="BI120" s="1024"/>
      <c r="BJ120" s="1024"/>
      <c r="BK120" s="1024"/>
      <c r="BL120" s="1024"/>
    </row>
    <row r="121" spans="1:64" ht="25.5">
      <c r="A121" s="1035"/>
      <c r="B121" s="1035" t="s">
        <v>1052</v>
      </c>
      <c r="C121" s="1816" t="s">
        <v>440</v>
      </c>
      <c r="D121" s="1035"/>
      <c r="E121" s="1043"/>
      <c r="F121" s="1035"/>
      <c r="G121" s="1040"/>
      <c r="H121" s="1839"/>
      <c r="I121" s="1035"/>
      <c r="J121" s="1823"/>
      <c r="K121" s="1823"/>
      <c r="L121" s="1823"/>
      <c r="M121" s="1037"/>
      <c r="N121" s="1037"/>
      <c r="O121" s="1037"/>
      <c r="P121" s="1037"/>
      <c r="Q121" s="1037"/>
      <c r="R121" s="1037"/>
      <c r="S121" s="1037"/>
      <c r="T121" s="1037"/>
      <c r="U121" s="1037"/>
      <c r="V121" s="1037"/>
      <c r="W121" s="1037"/>
      <c r="X121" s="1037"/>
      <c r="Y121" s="1037"/>
      <c r="Z121" s="1037"/>
      <c r="AA121" s="1037"/>
      <c r="AB121" s="1037"/>
      <c r="AC121" s="1037"/>
      <c r="AD121" s="1037"/>
      <c r="AE121" s="1037"/>
      <c r="AF121" s="1037"/>
      <c r="AG121" s="1037"/>
      <c r="AH121" s="1037"/>
      <c r="AI121" s="1037"/>
      <c r="AJ121" s="1037"/>
      <c r="AK121" s="1037"/>
      <c r="AL121" s="1037"/>
      <c r="AM121" s="1037"/>
      <c r="AN121" s="1037"/>
      <c r="AO121" s="1037"/>
      <c r="AP121" s="1037"/>
      <c r="AQ121" s="1037"/>
      <c r="AR121" s="1037"/>
      <c r="AS121" s="1037"/>
      <c r="AT121" s="1037"/>
      <c r="AU121" s="1037"/>
      <c r="AV121" s="1037"/>
      <c r="AW121" s="1037"/>
      <c r="AX121" s="1037"/>
      <c r="AY121" s="1037"/>
      <c r="AZ121" s="1037"/>
      <c r="BA121" s="1037"/>
      <c r="BB121" s="1037"/>
      <c r="BC121" s="1037"/>
      <c r="BD121" s="1037"/>
      <c r="BE121" s="1037"/>
      <c r="BF121" s="1037"/>
      <c r="BG121" s="1037"/>
      <c r="BH121" s="1037"/>
      <c r="BI121" s="1037"/>
      <c r="BJ121" s="1037"/>
      <c r="BK121" s="1037"/>
      <c r="BL121" s="1037"/>
    </row>
    <row r="122" spans="1:64">
      <c r="A122" s="1035"/>
      <c r="B122" s="1035"/>
      <c r="C122" s="1849" t="s">
        <v>1053</v>
      </c>
      <c r="D122" s="1041">
        <v>10</v>
      </c>
      <c r="E122" s="1853" t="s">
        <v>94</v>
      </c>
      <c r="F122" s="1848">
        <f>'Civil-SOR'!$G$215</f>
        <v>7</v>
      </c>
      <c r="G122" s="1042">
        <v>1</v>
      </c>
      <c r="H122" s="1849" t="s">
        <v>94</v>
      </c>
      <c r="I122" s="1001">
        <f t="shared" ref="I122:I123" si="14">IF(G122="",D122*F122,(D122*F122/G122))</f>
        <v>70</v>
      </c>
      <c r="J122" s="1823"/>
      <c r="K122" s="1823"/>
      <c r="L122" s="1823"/>
      <c r="M122" s="1037"/>
      <c r="N122" s="1037"/>
      <c r="O122" s="1037"/>
      <c r="P122" s="1037"/>
      <c r="Q122" s="1037"/>
      <c r="R122" s="1037"/>
      <c r="S122" s="1037"/>
      <c r="T122" s="1037"/>
      <c r="U122" s="1037"/>
      <c r="V122" s="1037"/>
      <c r="W122" s="1037"/>
      <c r="X122" s="1037"/>
      <c r="Y122" s="1037"/>
      <c r="Z122" s="1037"/>
      <c r="AA122" s="1037"/>
      <c r="AB122" s="1037"/>
      <c r="AC122" s="1037"/>
      <c r="AD122" s="1037"/>
      <c r="AE122" s="1037"/>
      <c r="AF122" s="1037"/>
      <c r="AG122" s="1037"/>
      <c r="AH122" s="1037"/>
      <c r="AI122" s="1037"/>
      <c r="AJ122" s="1037"/>
      <c r="AK122" s="1037"/>
      <c r="AL122" s="1037"/>
      <c r="AM122" s="1037"/>
      <c r="AN122" s="1037"/>
      <c r="AO122" s="1037"/>
      <c r="AP122" s="1037"/>
      <c r="AQ122" s="1037"/>
      <c r="AR122" s="1037"/>
      <c r="AS122" s="1037"/>
      <c r="AT122" s="1037"/>
      <c r="AU122" s="1037"/>
      <c r="AV122" s="1037"/>
      <c r="AW122" s="1037"/>
      <c r="AX122" s="1037"/>
      <c r="AY122" s="1037"/>
      <c r="AZ122" s="1037"/>
      <c r="BA122" s="1037"/>
      <c r="BB122" s="1037"/>
      <c r="BC122" s="1037"/>
      <c r="BD122" s="1037"/>
      <c r="BE122" s="1037"/>
      <c r="BF122" s="1037"/>
      <c r="BG122" s="1037"/>
      <c r="BH122" s="1037"/>
      <c r="BI122" s="1037"/>
      <c r="BJ122" s="1037"/>
      <c r="BK122" s="1037"/>
      <c r="BL122" s="1037"/>
    </row>
    <row r="123" spans="1:64">
      <c r="A123" s="1035"/>
      <c r="B123" s="1035"/>
      <c r="C123" s="1849" t="str">
        <f>Input!$C$47</f>
        <v>Add for MA @ 40%</v>
      </c>
      <c r="D123" s="1041">
        <f>Input!$D$47</f>
        <v>0.4</v>
      </c>
      <c r="E123" s="1039"/>
      <c r="F123" s="1848">
        <f>I122</f>
        <v>70</v>
      </c>
      <c r="G123" s="1025"/>
      <c r="H123" s="1847"/>
      <c r="I123" s="1001">
        <f t="shared" si="14"/>
        <v>28</v>
      </c>
      <c r="J123" s="1823"/>
      <c r="K123" s="1823"/>
      <c r="L123" s="1823"/>
      <c r="M123" s="1037"/>
      <c r="N123" s="1037"/>
      <c r="O123" s="1037"/>
      <c r="P123" s="1037"/>
      <c r="Q123" s="1037"/>
      <c r="R123" s="1037"/>
      <c r="S123" s="1037"/>
      <c r="T123" s="1037"/>
      <c r="U123" s="1037"/>
      <c r="V123" s="1037"/>
      <c r="W123" s="1037"/>
      <c r="X123" s="1037"/>
      <c r="Y123" s="1037"/>
      <c r="Z123" s="1037"/>
      <c r="AA123" s="1037"/>
      <c r="AB123" s="1037"/>
      <c r="AC123" s="1037"/>
      <c r="AD123" s="1037"/>
      <c r="AE123" s="1037"/>
      <c r="AF123" s="1037"/>
      <c r="AG123" s="1037"/>
      <c r="AH123" s="1037"/>
      <c r="AI123" s="1037"/>
      <c r="AJ123" s="1037"/>
      <c r="AK123" s="1037"/>
      <c r="AL123" s="1037"/>
      <c r="AM123" s="1037"/>
      <c r="AN123" s="1037"/>
      <c r="AO123" s="1037"/>
      <c r="AP123" s="1037"/>
      <c r="AQ123" s="1037"/>
      <c r="AR123" s="1037"/>
      <c r="AS123" s="1037"/>
      <c r="AT123" s="1037"/>
      <c r="AU123" s="1037"/>
      <c r="AV123" s="1037"/>
      <c r="AW123" s="1037"/>
      <c r="AX123" s="1037"/>
      <c r="AY123" s="1037"/>
      <c r="AZ123" s="1037"/>
      <c r="BA123" s="1037"/>
      <c r="BB123" s="1037"/>
      <c r="BC123" s="1037"/>
      <c r="BD123" s="1037"/>
      <c r="BE123" s="1037"/>
      <c r="BF123" s="1037"/>
      <c r="BG123" s="1037"/>
      <c r="BH123" s="1037"/>
      <c r="BI123" s="1037"/>
      <c r="BJ123" s="1037"/>
      <c r="BK123" s="1037"/>
      <c r="BL123" s="1037"/>
    </row>
    <row r="124" spans="1:64">
      <c r="A124" s="1035"/>
      <c r="B124" s="1035"/>
      <c r="C124" s="1821" t="s">
        <v>1044</v>
      </c>
      <c r="D124" s="1848"/>
      <c r="E124" s="1039"/>
      <c r="F124" s="1848"/>
      <c r="G124" s="1025"/>
      <c r="H124" s="1847"/>
      <c r="I124" s="1848">
        <f>SUM(I122:I123)</f>
        <v>98</v>
      </c>
      <c r="J124" s="1823"/>
      <c r="K124" s="1823"/>
      <c r="L124" s="1823"/>
      <c r="M124" s="1037"/>
      <c r="N124" s="1037"/>
      <c r="O124" s="1037"/>
      <c r="P124" s="1037"/>
      <c r="Q124" s="1037"/>
      <c r="R124" s="1037"/>
      <c r="S124" s="1037"/>
      <c r="T124" s="1037"/>
      <c r="U124" s="1037"/>
      <c r="V124" s="1037"/>
      <c r="W124" s="1037"/>
      <c r="X124" s="1037"/>
      <c r="Y124" s="1037"/>
      <c r="Z124" s="1037"/>
      <c r="AA124" s="1037"/>
      <c r="AB124" s="1037"/>
      <c r="AC124" s="1037"/>
      <c r="AD124" s="1037"/>
      <c r="AE124" s="1037"/>
      <c r="AF124" s="1037"/>
      <c r="AG124" s="1037"/>
      <c r="AH124" s="1037"/>
      <c r="AI124" s="1037"/>
      <c r="AJ124" s="1037"/>
      <c r="AK124" s="1037"/>
      <c r="AL124" s="1037"/>
      <c r="AM124" s="1037"/>
      <c r="AN124" s="1037"/>
      <c r="AO124" s="1037"/>
      <c r="AP124" s="1037"/>
      <c r="AQ124" s="1037"/>
      <c r="AR124" s="1037"/>
      <c r="AS124" s="1037"/>
      <c r="AT124" s="1037"/>
      <c r="AU124" s="1037"/>
      <c r="AV124" s="1037"/>
      <c r="AW124" s="1037"/>
      <c r="AX124" s="1037"/>
      <c r="AY124" s="1037"/>
      <c r="AZ124" s="1037"/>
      <c r="BA124" s="1037"/>
      <c r="BB124" s="1037"/>
      <c r="BC124" s="1037"/>
      <c r="BD124" s="1037"/>
      <c r="BE124" s="1037"/>
      <c r="BF124" s="1037"/>
      <c r="BG124" s="1037"/>
      <c r="BH124" s="1037"/>
      <c r="BI124" s="1037"/>
      <c r="BJ124" s="1037"/>
      <c r="BK124" s="1037"/>
      <c r="BL124" s="1037"/>
    </row>
    <row r="125" spans="1:64">
      <c r="A125" s="1035"/>
      <c r="B125" s="1035"/>
      <c r="C125" s="1821" t="s">
        <v>1045</v>
      </c>
      <c r="D125" s="1848"/>
      <c r="E125" s="1039"/>
      <c r="F125" s="1848"/>
      <c r="G125" s="1025"/>
      <c r="H125" s="1847"/>
      <c r="I125" s="1848">
        <f>I124/10</f>
        <v>9.8000000000000007</v>
      </c>
      <c r="J125" s="1823"/>
      <c r="K125" s="1823"/>
      <c r="L125" s="1823"/>
      <c r="M125" s="1037"/>
      <c r="N125" s="1037"/>
      <c r="O125" s="1037"/>
      <c r="P125" s="1037"/>
      <c r="Q125" s="1037"/>
      <c r="R125" s="1037"/>
      <c r="S125" s="1037"/>
      <c r="T125" s="1037"/>
      <c r="U125" s="1037"/>
      <c r="V125" s="1037"/>
      <c r="W125" s="1037"/>
      <c r="X125" s="1037"/>
      <c r="Y125" s="1037"/>
      <c r="Z125" s="1037"/>
      <c r="AA125" s="1037"/>
      <c r="AB125" s="1037"/>
      <c r="AC125" s="1037"/>
      <c r="AD125" s="1037"/>
      <c r="AE125" s="1037"/>
      <c r="AF125" s="1037"/>
      <c r="AG125" s="1037"/>
      <c r="AH125" s="1037"/>
      <c r="AI125" s="1037"/>
      <c r="AJ125" s="1037"/>
      <c r="AK125" s="1037"/>
      <c r="AL125" s="1037"/>
      <c r="AM125" s="1037"/>
      <c r="AN125" s="1037"/>
      <c r="AO125" s="1037"/>
      <c r="AP125" s="1037"/>
      <c r="AQ125" s="1037"/>
      <c r="AR125" s="1037"/>
      <c r="AS125" s="1037"/>
      <c r="AT125" s="1037"/>
      <c r="AU125" s="1037"/>
      <c r="AV125" s="1037"/>
      <c r="AW125" s="1037"/>
      <c r="AX125" s="1037"/>
      <c r="AY125" s="1037"/>
      <c r="AZ125" s="1037"/>
      <c r="BA125" s="1037"/>
      <c r="BB125" s="1037"/>
      <c r="BC125" s="1037"/>
      <c r="BD125" s="1037"/>
      <c r="BE125" s="1037"/>
      <c r="BF125" s="1037"/>
      <c r="BG125" s="1037"/>
      <c r="BH125" s="1037"/>
      <c r="BI125" s="1037"/>
      <c r="BJ125" s="1037"/>
      <c r="BK125" s="1037"/>
      <c r="BL125" s="1037"/>
    </row>
    <row r="126" spans="1:64">
      <c r="A126" s="1035"/>
      <c r="B126" s="1035"/>
      <c r="C126" s="1849" t="str">
        <f>Input!$C$48</f>
        <v>Overheads &amp; Contractors Profit @ 13.615%</v>
      </c>
      <c r="D126" s="1850">
        <f>Input!$D$48</f>
        <v>0.13614999999999999</v>
      </c>
      <c r="E126" s="1039"/>
      <c r="F126" s="1848">
        <f>I125</f>
        <v>9.8000000000000007</v>
      </c>
      <c r="G126" s="1025"/>
      <c r="H126" s="1847"/>
      <c r="I126" s="1001">
        <f>IF(G126="",D126*F126,(D126*F126/G126))</f>
        <v>1.3342700000000001</v>
      </c>
      <c r="J126" s="1823"/>
      <c r="K126" s="1823"/>
      <c r="L126" s="1823"/>
      <c r="M126" s="1037"/>
      <c r="N126" s="1037"/>
      <c r="O126" s="1037"/>
      <c r="P126" s="1037"/>
      <c r="Q126" s="1037"/>
      <c r="R126" s="1037"/>
      <c r="S126" s="1037"/>
      <c r="T126" s="1037"/>
      <c r="U126" s="1037"/>
      <c r="V126" s="1037"/>
      <c r="W126" s="1037"/>
      <c r="X126" s="1037"/>
      <c r="Y126" s="1037"/>
      <c r="Z126" s="1037"/>
      <c r="AA126" s="1037"/>
      <c r="AB126" s="1037"/>
      <c r="AC126" s="1037"/>
      <c r="AD126" s="1037"/>
      <c r="AE126" s="1037"/>
      <c r="AF126" s="1037"/>
      <c r="AG126" s="1037"/>
      <c r="AH126" s="1037"/>
      <c r="AI126" s="1037"/>
      <c r="AJ126" s="1037"/>
      <c r="AK126" s="1037"/>
      <c r="AL126" s="1037"/>
      <c r="AM126" s="1037"/>
      <c r="AN126" s="1037"/>
      <c r="AO126" s="1037"/>
      <c r="AP126" s="1037"/>
      <c r="AQ126" s="1037"/>
      <c r="AR126" s="1037"/>
      <c r="AS126" s="1037"/>
      <c r="AT126" s="1037"/>
      <c r="AU126" s="1037"/>
      <c r="AV126" s="1037"/>
      <c r="AW126" s="1037"/>
      <c r="AX126" s="1037"/>
      <c r="AY126" s="1037"/>
      <c r="AZ126" s="1037"/>
      <c r="BA126" s="1037"/>
      <c r="BB126" s="1037"/>
      <c r="BC126" s="1037"/>
      <c r="BD126" s="1037"/>
      <c r="BE126" s="1037"/>
      <c r="BF126" s="1037"/>
      <c r="BG126" s="1037"/>
      <c r="BH126" s="1037"/>
      <c r="BI126" s="1037"/>
      <c r="BJ126" s="1037"/>
      <c r="BK126" s="1037"/>
      <c r="BL126" s="1037"/>
    </row>
    <row r="127" spans="1:64">
      <c r="A127" s="1035"/>
      <c r="B127" s="1035"/>
      <c r="C127" s="1821" t="s">
        <v>1045</v>
      </c>
      <c r="D127" s="1848"/>
      <c r="E127" s="1039"/>
      <c r="F127" s="1848"/>
      <c r="G127" s="1025"/>
      <c r="H127" s="1034" t="s">
        <v>1033</v>
      </c>
      <c r="I127" s="1001">
        <f>SUM(I125:I126)</f>
        <v>11.134270000000001</v>
      </c>
      <c r="J127" s="1823"/>
      <c r="K127" s="1823"/>
      <c r="L127" s="1823"/>
      <c r="M127" s="1037"/>
      <c r="N127" s="1037"/>
      <c r="O127" s="1037"/>
      <c r="P127" s="1037"/>
      <c r="Q127" s="1037"/>
      <c r="R127" s="1037"/>
      <c r="S127" s="1037"/>
      <c r="T127" s="1037"/>
      <c r="U127" s="1037"/>
      <c r="V127" s="1037"/>
      <c r="W127" s="1037"/>
      <c r="X127" s="1037"/>
      <c r="Y127" s="1037"/>
      <c r="Z127" s="1037"/>
      <c r="AA127" s="1037"/>
      <c r="AB127" s="1037"/>
      <c r="AC127" s="1037"/>
      <c r="AD127" s="1037"/>
      <c r="AE127" s="1037"/>
      <c r="AF127" s="1037"/>
      <c r="AG127" s="1037"/>
      <c r="AH127" s="1037"/>
      <c r="AI127" s="1037"/>
      <c r="AJ127" s="1037"/>
      <c r="AK127" s="1037"/>
      <c r="AL127" s="1037"/>
      <c r="AM127" s="1037"/>
      <c r="AN127" s="1037"/>
      <c r="AO127" s="1037"/>
      <c r="AP127" s="1037"/>
      <c r="AQ127" s="1037"/>
      <c r="AR127" s="1037"/>
      <c r="AS127" s="1037"/>
      <c r="AT127" s="1037"/>
      <c r="AU127" s="1037"/>
      <c r="AV127" s="1037"/>
      <c r="AW127" s="1037"/>
      <c r="AX127" s="1037"/>
      <c r="AY127" s="1037"/>
      <c r="AZ127" s="1037"/>
      <c r="BA127" s="1037"/>
      <c r="BB127" s="1037"/>
      <c r="BC127" s="1037"/>
      <c r="BD127" s="1037"/>
      <c r="BE127" s="1037"/>
      <c r="BF127" s="1037"/>
      <c r="BG127" s="1037"/>
      <c r="BH127" s="1037"/>
      <c r="BI127" s="1037"/>
      <c r="BJ127" s="1037"/>
      <c r="BK127" s="1037"/>
      <c r="BL127" s="1037"/>
    </row>
    <row r="128" spans="1:64">
      <c r="A128" s="1836"/>
      <c r="B128" s="1836"/>
      <c r="C128" s="1840"/>
      <c r="D128" s="1017"/>
      <c r="E128" s="1026"/>
      <c r="F128" s="1017"/>
      <c r="G128" s="1027"/>
      <c r="H128" s="1842" t="s">
        <v>1034</v>
      </c>
      <c r="I128" s="1011">
        <f>ROUND(I127,0)</f>
        <v>11</v>
      </c>
      <c r="J128" s="1023"/>
      <c r="K128" s="1023"/>
      <c r="L128" s="1023"/>
      <c r="M128" s="1024"/>
      <c r="N128" s="1024"/>
      <c r="O128" s="1024"/>
      <c r="P128" s="1024"/>
      <c r="Q128" s="1024"/>
      <c r="R128" s="1024"/>
      <c r="S128" s="1024"/>
      <c r="T128" s="1024"/>
      <c r="U128" s="1024"/>
      <c r="V128" s="1024"/>
      <c r="W128" s="1024"/>
      <c r="X128" s="1024"/>
      <c r="Y128" s="1024"/>
      <c r="Z128" s="1024"/>
      <c r="AA128" s="1024"/>
      <c r="AB128" s="1024"/>
      <c r="AC128" s="1024"/>
      <c r="AD128" s="1024"/>
      <c r="AE128" s="1024"/>
      <c r="AF128" s="1024"/>
      <c r="AG128" s="1024"/>
      <c r="AH128" s="1024"/>
      <c r="AI128" s="1024"/>
      <c r="AJ128" s="1024"/>
      <c r="AK128" s="1024"/>
      <c r="AL128" s="1024"/>
      <c r="AM128" s="1024"/>
      <c r="AN128" s="1024"/>
      <c r="AO128" s="1024"/>
      <c r="AP128" s="1024"/>
      <c r="AQ128" s="1024"/>
      <c r="AR128" s="1024"/>
      <c r="AS128" s="1024"/>
      <c r="AT128" s="1024"/>
      <c r="AU128" s="1024"/>
      <c r="AV128" s="1024"/>
      <c r="AW128" s="1024"/>
      <c r="AX128" s="1024"/>
      <c r="AY128" s="1024"/>
      <c r="AZ128" s="1024"/>
      <c r="BA128" s="1024"/>
      <c r="BB128" s="1024"/>
      <c r="BC128" s="1024"/>
      <c r="BD128" s="1024"/>
      <c r="BE128" s="1024"/>
      <c r="BF128" s="1024"/>
      <c r="BG128" s="1024"/>
      <c r="BH128" s="1024"/>
      <c r="BI128" s="1024"/>
      <c r="BJ128" s="1024"/>
      <c r="BK128" s="1024"/>
      <c r="BL128" s="1024"/>
    </row>
    <row r="129" spans="1:64">
      <c r="A129" s="1836"/>
      <c r="B129" s="1836"/>
      <c r="C129" s="1840"/>
      <c r="D129" s="1017"/>
      <c r="E129" s="1026"/>
      <c r="F129" s="1017"/>
      <c r="G129" s="1027"/>
      <c r="H129" s="1840"/>
      <c r="I129" s="1836"/>
      <c r="J129" s="1023"/>
      <c r="K129" s="1023"/>
      <c r="L129" s="1023"/>
      <c r="M129" s="1024"/>
      <c r="N129" s="1024"/>
      <c r="O129" s="1024"/>
      <c r="P129" s="1024"/>
      <c r="Q129" s="1024"/>
      <c r="R129" s="1024"/>
      <c r="S129" s="1024"/>
      <c r="T129" s="1024"/>
      <c r="U129" s="1024"/>
      <c r="V129" s="1024"/>
      <c r="W129" s="1024"/>
      <c r="X129" s="1024"/>
      <c r="Y129" s="1024"/>
      <c r="Z129" s="1024"/>
      <c r="AA129" s="1024"/>
      <c r="AB129" s="1024"/>
      <c r="AC129" s="1024"/>
      <c r="AD129" s="1024"/>
      <c r="AE129" s="1024"/>
      <c r="AF129" s="1024"/>
      <c r="AG129" s="1024"/>
      <c r="AH129" s="1024"/>
      <c r="AI129" s="1024"/>
      <c r="AJ129" s="1024"/>
      <c r="AK129" s="1024"/>
      <c r="AL129" s="1024"/>
      <c r="AM129" s="1024"/>
      <c r="AN129" s="1024"/>
      <c r="AO129" s="1024"/>
      <c r="AP129" s="1024"/>
      <c r="AQ129" s="1024"/>
      <c r="AR129" s="1024"/>
      <c r="AS129" s="1024"/>
      <c r="AT129" s="1024"/>
      <c r="AU129" s="1024"/>
      <c r="AV129" s="1024"/>
      <c r="AW129" s="1024"/>
      <c r="AX129" s="1024"/>
      <c r="AY129" s="1024"/>
      <c r="AZ129" s="1024"/>
      <c r="BA129" s="1024"/>
      <c r="BB129" s="1024"/>
      <c r="BC129" s="1024"/>
      <c r="BD129" s="1024"/>
      <c r="BE129" s="1024"/>
      <c r="BF129" s="1024"/>
      <c r="BG129" s="1024"/>
      <c r="BH129" s="1024"/>
      <c r="BI129" s="1024"/>
      <c r="BJ129" s="1024"/>
      <c r="BK129" s="1024"/>
      <c r="BL129" s="1024"/>
    </row>
    <row r="130" spans="1:64" ht="12.75" customHeight="1">
      <c r="A130" s="1836"/>
      <c r="B130" s="1035" t="s">
        <v>1054</v>
      </c>
      <c r="C130" s="2045" t="s">
        <v>446</v>
      </c>
      <c r="D130" s="2045"/>
      <c r="E130" s="2045"/>
      <c r="F130" s="2045"/>
      <c r="G130" s="2045"/>
      <c r="H130" s="1840"/>
      <c r="I130" s="1836"/>
      <c r="J130" s="1023"/>
      <c r="K130" s="1023"/>
      <c r="L130" s="1023"/>
      <c r="M130" s="1024"/>
      <c r="N130" s="1024"/>
      <c r="O130" s="1024"/>
      <c r="P130" s="1024"/>
      <c r="Q130" s="1024"/>
      <c r="R130" s="1024"/>
      <c r="S130" s="1024"/>
      <c r="T130" s="1024"/>
      <c r="U130" s="1024"/>
      <c r="V130" s="1024"/>
      <c r="W130" s="1024"/>
      <c r="X130" s="1024"/>
      <c r="Y130" s="1024"/>
      <c r="Z130" s="1024"/>
      <c r="AA130" s="1024"/>
      <c r="AB130" s="1024"/>
      <c r="AC130" s="1024"/>
      <c r="AD130" s="1024"/>
      <c r="AE130" s="1024"/>
      <c r="AF130" s="1024"/>
      <c r="AG130" s="1024"/>
      <c r="AH130" s="1024"/>
      <c r="AI130" s="1024"/>
      <c r="AJ130" s="1024"/>
      <c r="AK130" s="1024"/>
      <c r="AL130" s="1024"/>
      <c r="AM130" s="1024"/>
      <c r="AN130" s="1024"/>
      <c r="AO130" s="1024"/>
      <c r="AP130" s="1024"/>
      <c r="AQ130" s="1024"/>
      <c r="AR130" s="1024"/>
      <c r="AS130" s="1024"/>
      <c r="AT130" s="1024"/>
      <c r="AU130" s="1024"/>
      <c r="AV130" s="1024"/>
      <c r="AW130" s="1024"/>
      <c r="AX130" s="1024"/>
      <c r="AY130" s="1024"/>
      <c r="AZ130" s="1024"/>
      <c r="BA130" s="1024"/>
      <c r="BB130" s="1024"/>
      <c r="BC130" s="1024"/>
      <c r="BD130" s="1024"/>
      <c r="BE130" s="1024"/>
      <c r="BF130" s="1024"/>
      <c r="BG130" s="1024"/>
      <c r="BH130" s="1024"/>
      <c r="BI130" s="1024"/>
      <c r="BJ130" s="1024"/>
      <c r="BK130" s="1024"/>
      <c r="BL130" s="1024"/>
    </row>
    <row r="131" spans="1:64">
      <c r="A131" s="1035"/>
      <c r="B131" s="1035"/>
      <c r="C131" s="1849" t="s">
        <v>1055</v>
      </c>
      <c r="D131" s="1041">
        <v>10</v>
      </c>
      <c r="E131" s="1853" t="s">
        <v>94</v>
      </c>
      <c r="F131" s="1848">
        <f>'Civil-SOR'!$G$217</f>
        <v>7</v>
      </c>
      <c r="G131" s="1042">
        <v>1</v>
      </c>
      <c r="H131" s="1849" t="s">
        <v>94</v>
      </c>
      <c r="I131" s="1001">
        <f t="shared" ref="I131:I132" si="15">IF(G131="",D131*F131,(D131*F131/G131))</f>
        <v>70</v>
      </c>
      <c r="J131" s="1823"/>
      <c r="K131" s="1823"/>
      <c r="L131" s="1823"/>
      <c r="M131" s="1037"/>
      <c r="N131" s="1037"/>
      <c r="O131" s="1037"/>
      <c r="P131" s="1037"/>
      <c r="Q131" s="1037"/>
      <c r="R131" s="1037"/>
      <c r="S131" s="1037"/>
      <c r="T131" s="1037"/>
      <c r="U131" s="1037"/>
      <c r="V131" s="1037"/>
      <c r="W131" s="1037"/>
      <c r="X131" s="1037"/>
      <c r="Y131" s="1037"/>
      <c r="Z131" s="1037"/>
      <c r="AA131" s="1037"/>
      <c r="AB131" s="1037"/>
      <c r="AC131" s="1037"/>
      <c r="AD131" s="1037"/>
      <c r="AE131" s="1037"/>
      <c r="AF131" s="1037"/>
      <c r="AG131" s="1037"/>
      <c r="AH131" s="1037"/>
      <c r="AI131" s="1037"/>
      <c r="AJ131" s="1037"/>
      <c r="AK131" s="1037"/>
      <c r="AL131" s="1037"/>
      <c r="AM131" s="1037"/>
      <c r="AN131" s="1037"/>
      <c r="AO131" s="1037"/>
      <c r="AP131" s="1037"/>
      <c r="AQ131" s="1037"/>
      <c r="AR131" s="1037"/>
      <c r="AS131" s="1037"/>
      <c r="AT131" s="1037"/>
      <c r="AU131" s="1037"/>
      <c r="AV131" s="1037"/>
      <c r="AW131" s="1037"/>
      <c r="AX131" s="1037"/>
      <c r="AY131" s="1037"/>
      <c r="AZ131" s="1037"/>
      <c r="BA131" s="1037"/>
      <c r="BB131" s="1037"/>
      <c r="BC131" s="1037"/>
      <c r="BD131" s="1037"/>
      <c r="BE131" s="1037"/>
      <c r="BF131" s="1037"/>
      <c r="BG131" s="1037"/>
      <c r="BH131" s="1037"/>
      <c r="BI131" s="1037"/>
      <c r="BJ131" s="1037"/>
      <c r="BK131" s="1037"/>
      <c r="BL131" s="1037"/>
    </row>
    <row r="132" spans="1:64">
      <c r="A132" s="1035"/>
      <c r="B132" s="1035"/>
      <c r="C132" s="1849" t="str">
        <f>Input!$C$47</f>
        <v>Add for MA @ 40%</v>
      </c>
      <c r="D132" s="1041">
        <f>Input!$D$47</f>
        <v>0.4</v>
      </c>
      <c r="E132" s="1039"/>
      <c r="F132" s="1848">
        <f>I131</f>
        <v>70</v>
      </c>
      <c r="G132" s="1025"/>
      <c r="H132" s="1847"/>
      <c r="I132" s="1001">
        <f t="shared" si="15"/>
        <v>28</v>
      </c>
      <c r="J132" s="1823"/>
      <c r="K132" s="1823"/>
      <c r="L132" s="1823"/>
      <c r="M132" s="1037"/>
      <c r="N132" s="1037"/>
      <c r="O132" s="1037"/>
      <c r="P132" s="1037"/>
      <c r="Q132" s="1037"/>
      <c r="R132" s="1037"/>
      <c r="S132" s="1037"/>
      <c r="T132" s="1037"/>
      <c r="U132" s="1037"/>
      <c r="V132" s="1037"/>
      <c r="W132" s="1037"/>
      <c r="X132" s="1037"/>
      <c r="Y132" s="1037"/>
      <c r="Z132" s="1037"/>
      <c r="AA132" s="1037"/>
      <c r="AB132" s="1037"/>
      <c r="AC132" s="1037"/>
      <c r="AD132" s="1037"/>
      <c r="AE132" s="1037"/>
      <c r="AF132" s="1037"/>
      <c r="AG132" s="1037"/>
      <c r="AH132" s="1037"/>
      <c r="AI132" s="1037"/>
      <c r="AJ132" s="1037"/>
      <c r="AK132" s="1037"/>
      <c r="AL132" s="1037"/>
      <c r="AM132" s="1037"/>
      <c r="AN132" s="1037"/>
      <c r="AO132" s="1037"/>
      <c r="AP132" s="1037"/>
      <c r="AQ132" s="1037"/>
      <c r="AR132" s="1037"/>
      <c r="AS132" s="1037"/>
      <c r="AT132" s="1037"/>
      <c r="AU132" s="1037"/>
      <c r="AV132" s="1037"/>
      <c r="AW132" s="1037"/>
      <c r="AX132" s="1037"/>
      <c r="AY132" s="1037"/>
      <c r="AZ132" s="1037"/>
      <c r="BA132" s="1037"/>
      <c r="BB132" s="1037"/>
      <c r="BC132" s="1037"/>
      <c r="BD132" s="1037"/>
      <c r="BE132" s="1037"/>
      <c r="BF132" s="1037"/>
      <c r="BG132" s="1037"/>
      <c r="BH132" s="1037"/>
      <c r="BI132" s="1037"/>
      <c r="BJ132" s="1037"/>
      <c r="BK132" s="1037"/>
      <c r="BL132" s="1037"/>
    </row>
    <row r="133" spans="1:64">
      <c r="A133" s="1035"/>
      <c r="B133" s="1035"/>
      <c r="C133" s="1821" t="s">
        <v>1044</v>
      </c>
      <c r="D133" s="1848"/>
      <c r="E133" s="1039"/>
      <c r="F133" s="1848"/>
      <c r="G133" s="1025"/>
      <c r="H133" s="1847"/>
      <c r="I133" s="1848">
        <f>SUM(I131:I132)</f>
        <v>98</v>
      </c>
      <c r="J133" s="1823"/>
      <c r="K133" s="1823"/>
      <c r="L133" s="1823"/>
      <c r="M133" s="1037"/>
      <c r="N133" s="1037"/>
      <c r="O133" s="1037"/>
      <c r="P133" s="1037"/>
      <c r="Q133" s="1037"/>
      <c r="R133" s="1037"/>
      <c r="S133" s="1037"/>
      <c r="T133" s="1037"/>
      <c r="U133" s="1037"/>
      <c r="V133" s="1037"/>
      <c r="W133" s="1037"/>
      <c r="X133" s="1037"/>
      <c r="Y133" s="1037"/>
      <c r="Z133" s="1037"/>
      <c r="AA133" s="1037"/>
      <c r="AB133" s="1037"/>
      <c r="AC133" s="1037"/>
      <c r="AD133" s="1037"/>
      <c r="AE133" s="1037"/>
      <c r="AF133" s="1037"/>
      <c r="AG133" s="1037"/>
      <c r="AH133" s="1037"/>
      <c r="AI133" s="1037"/>
      <c r="AJ133" s="1037"/>
      <c r="AK133" s="1037"/>
      <c r="AL133" s="1037"/>
      <c r="AM133" s="1037"/>
      <c r="AN133" s="1037"/>
      <c r="AO133" s="1037"/>
      <c r="AP133" s="1037"/>
      <c r="AQ133" s="1037"/>
      <c r="AR133" s="1037"/>
      <c r="AS133" s="1037"/>
      <c r="AT133" s="1037"/>
      <c r="AU133" s="1037"/>
      <c r="AV133" s="1037"/>
      <c r="AW133" s="1037"/>
      <c r="AX133" s="1037"/>
      <c r="AY133" s="1037"/>
      <c r="AZ133" s="1037"/>
      <c r="BA133" s="1037"/>
      <c r="BB133" s="1037"/>
      <c r="BC133" s="1037"/>
      <c r="BD133" s="1037"/>
      <c r="BE133" s="1037"/>
      <c r="BF133" s="1037"/>
      <c r="BG133" s="1037"/>
      <c r="BH133" s="1037"/>
      <c r="BI133" s="1037"/>
      <c r="BJ133" s="1037"/>
      <c r="BK133" s="1037"/>
      <c r="BL133" s="1037"/>
    </row>
    <row r="134" spans="1:64">
      <c r="A134" s="1035"/>
      <c r="B134" s="1035"/>
      <c r="C134" s="1821" t="s">
        <v>1045</v>
      </c>
      <c r="D134" s="1848"/>
      <c r="E134" s="1039"/>
      <c r="F134" s="1848"/>
      <c r="G134" s="1025"/>
      <c r="H134" s="1847"/>
      <c r="I134" s="1848">
        <f>I133/10</f>
        <v>9.8000000000000007</v>
      </c>
      <c r="J134" s="1823"/>
      <c r="K134" s="1823"/>
      <c r="L134" s="1823"/>
      <c r="M134" s="1037"/>
      <c r="N134" s="1037"/>
      <c r="O134" s="1037"/>
      <c r="P134" s="1037"/>
      <c r="Q134" s="1037"/>
      <c r="R134" s="1037"/>
      <c r="S134" s="1037"/>
      <c r="T134" s="1037"/>
      <c r="U134" s="1037"/>
      <c r="V134" s="1037"/>
      <c r="W134" s="1037"/>
      <c r="X134" s="1037"/>
      <c r="Y134" s="1037"/>
      <c r="Z134" s="1037"/>
      <c r="AA134" s="1037"/>
      <c r="AB134" s="1037"/>
      <c r="AC134" s="1037"/>
      <c r="AD134" s="1037"/>
      <c r="AE134" s="1037"/>
      <c r="AF134" s="1037"/>
      <c r="AG134" s="1037"/>
      <c r="AH134" s="1037"/>
      <c r="AI134" s="1037"/>
      <c r="AJ134" s="1037"/>
      <c r="AK134" s="1037"/>
      <c r="AL134" s="1037"/>
      <c r="AM134" s="1037"/>
      <c r="AN134" s="1037"/>
      <c r="AO134" s="1037"/>
      <c r="AP134" s="1037"/>
      <c r="AQ134" s="1037"/>
      <c r="AR134" s="1037"/>
      <c r="AS134" s="1037"/>
      <c r="AT134" s="1037"/>
      <c r="AU134" s="1037"/>
      <c r="AV134" s="1037"/>
      <c r="AW134" s="1037"/>
      <c r="AX134" s="1037"/>
      <c r="AY134" s="1037"/>
      <c r="AZ134" s="1037"/>
      <c r="BA134" s="1037"/>
      <c r="BB134" s="1037"/>
      <c r="BC134" s="1037"/>
      <c r="BD134" s="1037"/>
      <c r="BE134" s="1037"/>
      <c r="BF134" s="1037"/>
      <c r="BG134" s="1037"/>
      <c r="BH134" s="1037"/>
      <c r="BI134" s="1037"/>
      <c r="BJ134" s="1037"/>
      <c r="BK134" s="1037"/>
      <c r="BL134" s="1037"/>
    </row>
    <row r="135" spans="1:64">
      <c r="A135" s="1035"/>
      <c r="B135" s="1035"/>
      <c r="C135" s="1849" t="str">
        <f>Input!$C$48</f>
        <v>Overheads &amp; Contractors Profit @ 13.615%</v>
      </c>
      <c r="D135" s="1850">
        <f>Input!$D$48</f>
        <v>0.13614999999999999</v>
      </c>
      <c r="E135" s="1039"/>
      <c r="F135" s="1848">
        <f>I134</f>
        <v>9.8000000000000007</v>
      </c>
      <c r="G135" s="1025"/>
      <c r="H135" s="1847"/>
      <c r="I135" s="1001">
        <f>IF(G135="",D135*F135,(D135*F135/G135))</f>
        <v>1.3342700000000001</v>
      </c>
      <c r="J135" s="1823"/>
      <c r="K135" s="1823"/>
      <c r="L135" s="1823"/>
      <c r="M135" s="1037"/>
      <c r="N135" s="1037"/>
      <c r="O135" s="1037"/>
      <c r="P135" s="1037"/>
      <c r="Q135" s="1037"/>
      <c r="R135" s="1037"/>
      <c r="S135" s="1037"/>
      <c r="T135" s="1037"/>
      <c r="U135" s="1037"/>
      <c r="V135" s="1037"/>
      <c r="W135" s="1037"/>
      <c r="X135" s="1037"/>
      <c r="Y135" s="1037"/>
      <c r="Z135" s="1037"/>
      <c r="AA135" s="1037"/>
      <c r="AB135" s="1037"/>
      <c r="AC135" s="1037"/>
      <c r="AD135" s="1037"/>
      <c r="AE135" s="1037"/>
      <c r="AF135" s="1037"/>
      <c r="AG135" s="1037"/>
      <c r="AH135" s="1037"/>
      <c r="AI135" s="1037"/>
      <c r="AJ135" s="1037"/>
      <c r="AK135" s="1037"/>
      <c r="AL135" s="1037"/>
      <c r="AM135" s="1037"/>
      <c r="AN135" s="1037"/>
      <c r="AO135" s="1037"/>
      <c r="AP135" s="1037"/>
      <c r="AQ135" s="1037"/>
      <c r="AR135" s="1037"/>
      <c r="AS135" s="1037"/>
      <c r="AT135" s="1037"/>
      <c r="AU135" s="1037"/>
      <c r="AV135" s="1037"/>
      <c r="AW135" s="1037"/>
      <c r="AX135" s="1037"/>
      <c r="AY135" s="1037"/>
      <c r="AZ135" s="1037"/>
      <c r="BA135" s="1037"/>
      <c r="BB135" s="1037"/>
      <c r="BC135" s="1037"/>
      <c r="BD135" s="1037"/>
      <c r="BE135" s="1037"/>
      <c r="BF135" s="1037"/>
      <c r="BG135" s="1037"/>
      <c r="BH135" s="1037"/>
      <c r="BI135" s="1037"/>
      <c r="BJ135" s="1037"/>
      <c r="BK135" s="1037"/>
      <c r="BL135" s="1037"/>
    </row>
    <row r="136" spans="1:64">
      <c r="A136" s="1836"/>
      <c r="B136" s="1836"/>
      <c r="C136" s="1838" t="s">
        <v>1045</v>
      </c>
      <c r="D136" s="1017"/>
      <c r="E136" s="1026"/>
      <c r="F136" s="1017"/>
      <c r="G136" s="1027"/>
      <c r="H136" s="1034" t="s">
        <v>1033</v>
      </c>
      <c r="I136" s="1030">
        <f>SUM(I134:I135)</f>
        <v>11.134270000000001</v>
      </c>
      <c r="J136" s="1023"/>
      <c r="K136" s="1023"/>
      <c r="L136" s="1023"/>
      <c r="M136" s="1024"/>
      <c r="N136" s="1024"/>
      <c r="O136" s="1024"/>
      <c r="P136" s="1024"/>
      <c r="Q136" s="1024"/>
      <c r="R136" s="1024"/>
      <c r="S136" s="1024"/>
      <c r="T136" s="1024"/>
      <c r="U136" s="1024"/>
      <c r="V136" s="1024"/>
      <c r="W136" s="1024"/>
      <c r="X136" s="1024"/>
      <c r="Y136" s="1024"/>
      <c r="Z136" s="1024"/>
      <c r="AA136" s="1024"/>
      <c r="AB136" s="1024"/>
      <c r="AC136" s="1024"/>
      <c r="AD136" s="1024"/>
      <c r="AE136" s="1024"/>
      <c r="AF136" s="1024"/>
      <c r="AG136" s="1024"/>
      <c r="AH136" s="1024"/>
      <c r="AI136" s="1024"/>
      <c r="AJ136" s="1024"/>
      <c r="AK136" s="1024"/>
      <c r="AL136" s="1024"/>
      <c r="AM136" s="1024"/>
      <c r="AN136" s="1024"/>
      <c r="AO136" s="1024"/>
      <c r="AP136" s="1024"/>
      <c r="AQ136" s="1024"/>
      <c r="AR136" s="1024"/>
      <c r="AS136" s="1024"/>
      <c r="AT136" s="1024"/>
      <c r="AU136" s="1024"/>
      <c r="AV136" s="1024"/>
      <c r="AW136" s="1024"/>
      <c r="AX136" s="1024"/>
      <c r="AY136" s="1024"/>
      <c r="AZ136" s="1024"/>
      <c r="BA136" s="1024"/>
      <c r="BB136" s="1024"/>
      <c r="BC136" s="1024"/>
      <c r="BD136" s="1024"/>
      <c r="BE136" s="1024"/>
      <c r="BF136" s="1024"/>
      <c r="BG136" s="1024"/>
      <c r="BH136" s="1024"/>
      <c r="BI136" s="1024"/>
      <c r="BJ136" s="1024"/>
      <c r="BK136" s="1024"/>
      <c r="BL136" s="1024"/>
    </row>
    <row r="137" spans="1:64">
      <c r="A137" s="1836"/>
      <c r="B137" s="1836"/>
      <c r="C137" s="1840"/>
      <c r="D137" s="1017"/>
      <c r="E137" s="1026"/>
      <c r="F137" s="1017"/>
      <c r="G137" s="1027"/>
      <c r="H137" s="1842" t="s">
        <v>1034</v>
      </c>
      <c r="I137" s="1011">
        <f>ROUND(I136,0)</f>
        <v>11</v>
      </c>
      <c r="J137" s="1023"/>
      <c r="K137" s="1023"/>
      <c r="L137" s="1023"/>
      <c r="M137" s="1024"/>
      <c r="N137" s="1024"/>
      <c r="O137" s="1024"/>
      <c r="P137" s="1024"/>
      <c r="Q137" s="1024"/>
      <c r="R137" s="1024"/>
      <c r="S137" s="1024"/>
      <c r="T137" s="1024"/>
      <c r="U137" s="1024"/>
      <c r="V137" s="1024"/>
      <c r="W137" s="1024"/>
      <c r="X137" s="1024"/>
      <c r="Y137" s="1024"/>
      <c r="Z137" s="1024"/>
      <c r="AA137" s="1024"/>
      <c r="AB137" s="1024"/>
      <c r="AC137" s="1024"/>
      <c r="AD137" s="1024"/>
      <c r="AE137" s="1024"/>
      <c r="AF137" s="1024"/>
      <c r="AG137" s="1024"/>
      <c r="AH137" s="1024"/>
      <c r="AI137" s="1024"/>
      <c r="AJ137" s="1024"/>
      <c r="AK137" s="1024"/>
      <c r="AL137" s="1024"/>
      <c r="AM137" s="1024"/>
      <c r="AN137" s="1024"/>
      <c r="AO137" s="1024"/>
      <c r="AP137" s="1024"/>
      <c r="AQ137" s="1024"/>
      <c r="AR137" s="1024"/>
      <c r="AS137" s="1024"/>
      <c r="AT137" s="1024"/>
      <c r="AU137" s="1024"/>
      <c r="AV137" s="1024"/>
      <c r="AW137" s="1024"/>
      <c r="AX137" s="1024"/>
      <c r="AY137" s="1024"/>
      <c r="AZ137" s="1024"/>
      <c r="BA137" s="1024"/>
      <c r="BB137" s="1024"/>
      <c r="BC137" s="1024"/>
      <c r="BD137" s="1024"/>
      <c r="BE137" s="1024"/>
      <c r="BF137" s="1024"/>
      <c r="BG137" s="1024"/>
      <c r="BH137" s="1024"/>
      <c r="BI137" s="1024"/>
      <c r="BJ137" s="1024"/>
      <c r="BK137" s="1024"/>
      <c r="BL137" s="1024"/>
    </row>
    <row r="138" spans="1:64">
      <c r="A138" s="1836"/>
      <c r="B138" s="1836"/>
      <c r="C138" s="1840"/>
      <c r="D138" s="1017"/>
      <c r="E138" s="1026"/>
      <c r="F138" s="1017"/>
      <c r="G138" s="1027"/>
      <c r="H138" s="1840"/>
      <c r="I138" s="1836"/>
      <c r="J138" s="1023"/>
      <c r="K138" s="1023"/>
      <c r="L138" s="1023"/>
      <c r="M138" s="1024"/>
      <c r="N138" s="1024"/>
      <c r="O138" s="1024"/>
      <c r="P138" s="1024"/>
      <c r="Q138" s="1024"/>
      <c r="R138" s="1024"/>
      <c r="S138" s="1024"/>
      <c r="T138" s="1024"/>
      <c r="U138" s="1024"/>
      <c r="V138" s="1024"/>
      <c r="W138" s="1024"/>
      <c r="X138" s="1024"/>
      <c r="Y138" s="1024"/>
      <c r="Z138" s="1024"/>
      <c r="AA138" s="1024"/>
      <c r="AB138" s="1024"/>
      <c r="AC138" s="1024"/>
      <c r="AD138" s="1024"/>
      <c r="AE138" s="1024"/>
      <c r="AF138" s="1024"/>
      <c r="AG138" s="1024"/>
      <c r="AH138" s="1024"/>
      <c r="AI138" s="1024"/>
      <c r="AJ138" s="1024"/>
      <c r="AK138" s="1024"/>
      <c r="AL138" s="1024"/>
      <c r="AM138" s="1024"/>
      <c r="AN138" s="1024"/>
      <c r="AO138" s="1024"/>
      <c r="AP138" s="1024"/>
      <c r="AQ138" s="1024"/>
      <c r="AR138" s="1024"/>
      <c r="AS138" s="1024"/>
      <c r="AT138" s="1024"/>
      <c r="AU138" s="1024"/>
      <c r="AV138" s="1024"/>
      <c r="AW138" s="1024"/>
      <c r="AX138" s="1024"/>
      <c r="AY138" s="1024"/>
      <c r="AZ138" s="1024"/>
      <c r="BA138" s="1024"/>
      <c r="BB138" s="1024"/>
      <c r="BC138" s="1024"/>
      <c r="BD138" s="1024"/>
      <c r="BE138" s="1024"/>
      <c r="BF138" s="1024"/>
      <c r="BG138" s="1024"/>
      <c r="BH138" s="1024"/>
      <c r="BI138" s="1024"/>
      <c r="BJ138" s="1024"/>
      <c r="BK138" s="1024"/>
      <c r="BL138" s="1024"/>
    </row>
    <row r="139" spans="1:64" ht="12.75" customHeight="1">
      <c r="A139" s="2076" t="s">
        <v>1056</v>
      </c>
      <c r="B139" s="2076"/>
      <c r="C139" s="2045" t="s">
        <v>1057</v>
      </c>
      <c r="D139" s="2045"/>
      <c r="E139" s="2045"/>
      <c r="F139" s="2045"/>
      <c r="G139" s="2045"/>
      <c r="H139" s="1847"/>
      <c r="I139" s="1035"/>
      <c r="J139" s="1823"/>
      <c r="K139" s="1823"/>
      <c r="L139" s="1823"/>
      <c r="M139" s="1037"/>
      <c r="N139" s="1037"/>
      <c r="O139" s="1037"/>
      <c r="P139" s="1037"/>
      <c r="Q139" s="1037"/>
      <c r="R139" s="1037"/>
      <c r="S139" s="1037"/>
      <c r="T139" s="1037"/>
      <c r="U139" s="1037"/>
      <c r="V139" s="1037"/>
      <c r="W139" s="1037"/>
      <c r="X139" s="1037"/>
      <c r="Y139" s="1037"/>
      <c r="Z139" s="1037"/>
      <c r="AA139" s="1037"/>
      <c r="AB139" s="1037"/>
      <c r="AC139" s="1037"/>
      <c r="AD139" s="1037"/>
      <c r="AE139" s="1037"/>
      <c r="AF139" s="1037"/>
      <c r="AG139" s="1037"/>
      <c r="AH139" s="1037"/>
      <c r="AI139" s="1037"/>
      <c r="AJ139" s="1037"/>
      <c r="AK139" s="1037"/>
      <c r="AL139" s="1037"/>
      <c r="AM139" s="1037"/>
      <c r="AN139" s="1037"/>
      <c r="AO139" s="1037"/>
      <c r="AP139" s="1037"/>
      <c r="AQ139" s="1037"/>
      <c r="AR139" s="1037"/>
      <c r="AS139" s="1037"/>
      <c r="AT139" s="1037"/>
      <c r="AU139" s="1037"/>
      <c r="AV139" s="1037"/>
      <c r="AW139" s="1037"/>
      <c r="AX139" s="1037"/>
      <c r="AY139" s="1037"/>
      <c r="AZ139" s="1037"/>
      <c r="BA139" s="1037"/>
      <c r="BB139" s="1037"/>
      <c r="BC139" s="1037"/>
      <c r="BD139" s="1037"/>
      <c r="BE139" s="1037"/>
      <c r="BF139" s="1037"/>
      <c r="BG139" s="1037"/>
      <c r="BH139" s="1037"/>
      <c r="BI139" s="1037"/>
      <c r="BJ139" s="1037"/>
      <c r="BK139" s="1037"/>
      <c r="BL139" s="1037"/>
    </row>
    <row r="140" spans="1:64">
      <c r="A140" s="1836"/>
      <c r="B140" s="1836"/>
      <c r="C140" s="1014" t="s">
        <v>1058</v>
      </c>
      <c r="D140" s="1031">
        <v>10</v>
      </c>
      <c r="E140" s="1028" t="s">
        <v>94</v>
      </c>
      <c r="F140" s="1017">
        <f>'Civil-SOR'!$G$218</f>
        <v>8</v>
      </c>
      <c r="G140" s="1029">
        <v>1</v>
      </c>
      <c r="H140" s="1014" t="s">
        <v>94</v>
      </c>
      <c r="I140" s="1030">
        <f t="shared" ref="I140:I141" si="16">IF(G140="",D140*F140,(D140*F140/G140))</f>
        <v>80</v>
      </c>
      <c r="J140" s="1023"/>
      <c r="K140" s="1023"/>
      <c r="L140" s="1023"/>
      <c r="M140" s="1024"/>
      <c r="N140" s="1024"/>
      <c r="O140" s="1024"/>
      <c r="P140" s="1024"/>
      <c r="Q140" s="1024"/>
      <c r="R140" s="1024"/>
      <c r="S140" s="1024"/>
      <c r="T140" s="1024"/>
      <c r="U140" s="1024"/>
      <c r="V140" s="1024"/>
      <c r="W140" s="1024"/>
      <c r="X140" s="1024"/>
      <c r="Y140" s="1024"/>
      <c r="Z140" s="1024"/>
      <c r="AA140" s="1024"/>
      <c r="AB140" s="1024"/>
      <c r="AC140" s="1024"/>
      <c r="AD140" s="1024"/>
      <c r="AE140" s="1024"/>
      <c r="AF140" s="1024"/>
      <c r="AG140" s="1024"/>
      <c r="AH140" s="1024"/>
      <c r="AI140" s="1024"/>
      <c r="AJ140" s="1024"/>
      <c r="AK140" s="1024"/>
      <c r="AL140" s="1024"/>
      <c r="AM140" s="1024"/>
      <c r="AN140" s="1024"/>
      <c r="AO140" s="1024"/>
      <c r="AP140" s="1024"/>
      <c r="AQ140" s="1024"/>
      <c r="AR140" s="1024"/>
      <c r="AS140" s="1024"/>
      <c r="AT140" s="1024"/>
      <c r="AU140" s="1024"/>
      <c r="AV140" s="1024"/>
      <c r="AW140" s="1024"/>
      <c r="AX140" s="1024"/>
      <c r="AY140" s="1024"/>
      <c r="AZ140" s="1024"/>
      <c r="BA140" s="1024"/>
      <c r="BB140" s="1024"/>
      <c r="BC140" s="1024"/>
      <c r="BD140" s="1024"/>
      <c r="BE140" s="1024"/>
      <c r="BF140" s="1024"/>
      <c r="BG140" s="1024"/>
      <c r="BH140" s="1024"/>
      <c r="BI140" s="1024"/>
      <c r="BJ140" s="1024"/>
      <c r="BK140" s="1024"/>
      <c r="BL140" s="1024"/>
    </row>
    <row r="141" spans="1:64">
      <c r="A141" s="1836"/>
      <c r="B141" s="1836"/>
      <c r="C141" s="1014" t="str">
        <f>Input!$C$47</f>
        <v>Add for MA @ 40%</v>
      </c>
      <c r="D141" s="1031">
        <f>Input!$D$47</f>
        <v>0.4</v>
      </c>
      <c r="E141" s="1026"/>
      <c r="F141" s="1017">
        <f>I140</f>
        <v>80</v>
      </c>
      <c r="G141" s="1027"/>
      <c r="H141" s="1840"/>
      <c r="I141" s="1030">
        <f t="shared" si="16"/>
        <v>32</v>
      </c>
      <c r="J141" s="1023"/>
      <c r="K141" s="1023"/>
      <c r="L141" s="1023"/>
      <c r="M141" s="1024"/>
      <c r="N141" s="1024"/>
      <c r="O141" s="1024"/>
      <c r="P141" s="1024"/>
      <c r="Q141" s="1024"/>
      <c r="R141" s="1024"/>
      <c r="S141" s="1024"/>
      <c r="T141" s="1024"/>
      <c r="U141" s="1024"/>
      <c r="V141" s="1024"/>
      <c r="W141" s="1024"/>
      <c r="X141" s="1024"/>
      <c r="Y141" s="1024"/>
      <c r="Z141" s="1024"/>
      <c r="AA141" s="1024"/>
      <c r="AB141" s="1024"/>
      <c r="AC141" s="1024"/>
      <c r="AD141" s="1024"/>
      <c r="AE141" s="1024"/>
      <c r="AF141" s="1024"/>
      <c r="AG141" s="1024"/>
      <c r="AH141" s="1024"/>
      <c r="AI141" s="1024"/>
      <c r="AJ141" s="1024"/>
      <c r="AK141" s="1024"/>
      <c r="AL141" s="1024"/>
      <c r="AM141" s="1024"/>
      <c r="AN141" s="1024"/>
      <c r="AO141" s="1024"/>
      <c r="AP141" s="1024"/>
      <c r="AQ141" s="1024"/>
      <c r="AR141" s="1024"/>
      <c r="AS141" s="1024"/>
      <c r="AT141" s="1024"/>
      <c r="AU141" s="1024"/>
      <c r="AV141" s="1024"/>
      <c r="AW141" s="1024"/>
      <c r="AX141" s="1024"/>
      <c r="AY141" s="1024"/>
      <c r="AZ141" s="1024"/>
      <c r="BA141" s="1024"/>
      <c r="BB141" s="1024"/>
      <c r="BC141" s="1024"/>
      <c r="BD141" s="1024"/>
      <c r="BE141" s="1024"/>
      <c r="BF141" s="1024"/>
      <c r="BG141" s="1024"/>
      <c r="BH141" s="1024"/>
      <c r="BI141" s="1024"/>
      <c r="BJ141" s="1024"/>
      <c r="BK141" s="1024"/>
      <c r="BL141" s="1024"/>
    </row>
    <row r="142" spans="1:64">
      <c r="A142" s="1836"/>
      <c r="B142" s="1836"/>
      <c r="C142" s="1838" t="s">
        <v>1044</v>
      </c>
      <c r="D142" s="1017"/>
      <c r="E142" s="1026"/>
      <c r="F142" s="1017"/>
      <c r="G142" s="1027"/>
      <c r="H142" s="1840"/>
      <c r="I142" s="1017">
        <f>SUM(I140:I141)</f>
        <v>112</v>
      </c>
      <c r="J142" s="1023"/>
      <c r="K142" s="1023"/>
      <c r="L142" s="1023"/>
      <c r="M142" s="1024"/>
      <c r="N142" s="1024"/>
      <c r="O142" s="1024"/>
      <c r="P142" s="1024"/>
      <c r="Q142" s="1024"/>
      <c r="R142" s="1024"/>
      <c r="S142" s="1024"/>
      <c r="T142" s="1024"/>
      <c r="U142" s="1024"/>
      <c r="V142" s="1024"/>
      <c r="W142" s="1024"/>
      <c r="X142" s="1024"/>
      <c r="Y142" s="1024"/>
      <c r="Z142" s="1024"/>
      <c r="AA142" s="1024"/>
      <c r="AB142" s="1024"/>
      <c r="AC142" s="1024"/>
      <c r="AD142" s="1024"/>
      <c r="AE142" s="1024"/>
      <c r="AF142" s="1024"/>
      <c r="AG142" s="1024"/>
      <c r="AH142" s="1024"/>
      <c r="AI142" s="1024"/>
      <c r="AJ142" s="1024"/>
      <c r="AK142" s="1024"/>
      <c r="AL142" s="1024"/>
      <c r="AM142" s="1024"/>
      <c r="AN142" s="1024"/>
      <c r="AO142" s="1024"/>
      <c r="AP142" s="1024"/>
      <c r="AQ142" s="1024"/>
      <c r="AR142" s="1024"/>
      <c r="AS142" s="1024"/>
      <c r="AT142" s="1024"/>
      <c r="AU142" s="1024"/>
      <c r="AV142" s="1024"/>
      <c r="AW142" s="1024"/>
      <c r="AX142" s="1024"/>
      <c r="AY142" s="1024"/>
      <c r="AZ142" s="1024"/>
      <c r="BA142" s="1024"/>
      <c r="BB142" s="1024"/>
      <c r="BC142" s="1024"/>
      <c r="BD142" s="1024"/>
      <c r="BE142" s="1024"/>
      <c r="BF142" s="1024"/>
      <c r="BG142" s="1024"/>
      <c r="BH142" s="1024"/>
      <c r="BI142" s="1024"/>
      <c r="BJ142" s="1024"/>
      <c r="BK142" s="1024"/>
      <c r="BL142" s="1024"/>
    </row>
    <row r="143" spans="1:64">
      <c r="A143" s="1836"/>
      <c r="B143" s="1836"/>
      <c r="C143" s="1838" t="s">
        <v>1045</v>
      </c>
      <c r="D143" s="1017"/>
      <c r="E143" s="1026"/>
      <c r="F143" s="1017"/>
      <c r="G143" s="1027"/>
      <c r="H143" s="1840"/>
      <c r="I143" s="1017">
        <f>I142/10</f>
        <v>11.2</v>
      </c>
      <c r="J143" s="1023"/>
      <c r="K143" s="1023"/>
      <c r="L143" s="1023"/>
      <c r="M143" s="1024"/>
      <c r="N143" s="1024"/>
      <c r="O143" s="1024"/>
      <c r="P143" s="1024"/>
      <c r="Q143" s="1024"/>
      <c r="R143" s="1024"/>
      <c r="S143" s="1024"/>
      <c r="T143" s="1024"/>
      <c r="U143" s="1024"/>
      <c r="V143" s="1024"/>
      <c r="W143" s="1024"/>
      <c r="X143" s="1024"/>
      <c r="Y143" s="1024"/>
      <c r="Z143" s="1024"/>
      <c r="AA143" s="1024"/>
      <c r="AB143" s="1024"/>
      <c r="AC143" s="1024"/>
      <c r="AD143" s="1024"/>
      <c r="AE143" s="1024"/>
      <c r="AF143" s="1024"/>
      <c r="AG143" s="1024"/>
      <c r="AH143" s="1024"/>
      <c r="AI143" s="1024"/>
      <c r="AJ143" s="1024"/>
      <c r="AK143" s="1024"/>
      <c r="AL143" s="1024"/>
      <c r="AM143" s="1024"/>
      <c r="AN143" s="1024"/>
      <c r="AO143" s="1024"/>
      <c r="AP143" s="1024"/>
      <c r="AQ143" s="1024"/>
      <c r="AR143" s="1024"/>
      <c r="AS143" s="1024"/>
      <c r="AT143" s="1024"/>
      <c r="AU143" s="1024"/>
      <c r="AV143" s="1024"/>
      <c r="AW143" s="1024"/>
      <c r="AX143" s="1024"/>
      <c r="AY143" s="1024"/>
      <c r="AZ143" s="1024"/>
      <c r="BA143" s="1024"/>
      <c r="BB143" s="1024"/>
      <c r="BC143" s="1024"/>
      <c r="BD143" s="1024"/>
      <c r="BE143" s="1024"/>
      <c r="BF143" s="1024"/>
      <c r="BG143" s="1024"/>
      <c r="BH143" s="1024"/>
      <c r="BI143" s="1024"/>
      <c r="BJ143" s="1024"/>
      <c r="BK143" s="1024"/>
      <c r="BL143" s="1024"/>
    </row>
    <row r="144" spans="1:64">
      <c r="A144" s="1035"/>
      <c r="B144" s="1035"/>
      <c r="C144" s="1849" t="str">
        <f>Input!$C$48</f>
        <v>Overheads &amp; Contractors Profit @ 13.615%</v>
      </c>
      <c r="D144" s="1850">
        <f>Input!$D$48</f>
        <v>0.13614999999999999</v>
      </c>
      <c r="E144" s="1039"/>
      <c r="F144" s="1848">
        <f>I143</f>
        <v>11.2</v>
      </c>
      <c r="G144" s="1025"/>
      <c r="H144" s="1847"/>
      <c r="I144" s="1001">
        <f>IF(G144="",D144*F144,(D144*F144/G144))</f>
        <v>1.5248799999999998</v>
      </c>
      <c r="J144" s="1823"/>
      <c r="K144" s="1823"/>
      <c r="L144" s="1823"/>
      <c r="M144" s="1037"/>
      <c r="N144" s="1037"/>
      <c r="O144" s="1037"/>
      <c r="P144" s="1037"/>
      <c r="Q144" s="1037"/>
      <c r="R144" s="1037"/>
      <c r="S144" s="1037"/>
      <c r="T144" s="1037"/>
      <c r="U144" s="1037"/>
      <c r="V144" s="1037"/>
      <c r="W144" s="1037"/>
      <c r="X144" s="1037"/>
      <c r="Y144" s="1037"/>
      <c r="Z144" s="1037"/>
      <c r="AA144" s="1037"/>
      <c r="AB144" s="1037"/>
      <c r="AC144" s="1037"/>
      <c r="AD144" s="1037"/>
      <c r="AE144" s="1037"/>
      <c r="AF144" s="1037"/>
      <c r="AG144" s="1037"/>
      <c r="AH144" s="1037"/>
      <c r="AI144" s="1037"/>
      <c r="AJ144" s="1037"/>
      <c r="AK144" s="1037"/>
      <c r="AL144" s="1037"/>
      <c r="AM144" s="1037"/>
      <c r="AN144" s="1037"/>
      <c r="AO144" s="1037"/>
      <c r="AP144" s="1037"/>
      <c r="AQ144" s="1037"/>
      <c r="AR144" s="1037"/>
      <c r="AS144" s="1037"/>
      <c r="AT144" s="1037"/>
      <c r="AU144" s="1037"/>
      <c r="AV144" s="1037"/>
      <c r="AW144" s="1037"/>
      <c r="AX144" s="1037"/>
      <c r="AY144" s="1037"/>
      <c r="AZ144" s="1037"/>
      <c r="BA144" s="1037"/>
      <c r="BB144" s="1037"/>
      <c r="BC144" s="1037"/>
      <c r="BD144" s="1037"/>
      <c r="BE144" s="1037"/>
      <c r="BF144" s="1037"/>
      <c r="BG144" s="1037"/>
      <c r="BH144" s="1037"/>
      <c r="BI144" s="1037"/>
      <c r="BJ144" s="1037"/>
      <c r="BK144" s="1037"/>
      <c r="BL144" s="1037"/>
    </row>
    <row r="145" spans="1:64">
      <c r="A145" s="1836"/>
      <c r="B145" s="1836"/>
      <c r="C145" s="1838" t="s">
        <v>1045</v>
      </c>
      <c r="D145" s="1017"/>
      <c r="E145" s="1026"/>
      <c r="F145" s="1017"/>
      <c r="G145" s="1027"/>
      <c r="H145" s="1034" t="s">
        <v>1033</v>
      </c>
      <c r="I145" s="1030">
        <f>SUM(I143:I144)</f>
        <v>12.724879999999999</v>
      </c>
      <c r="J145" s="1023"/>
      <c r="K145" s="1023"/>
      <c r="L145" s="1023"/>
      <c r="M145" s="1024"/>
      <c r="N145" s="1024"/>
      <c r="O145" s="1024"/>
      <c r="P145" s="1024"/>
      <c r="Q145" s="1024"/>
      <c r="R145" s="1024"/>
      <c r="S145" s="1024"/>
      <c r="T145" s="1024"/>
      <c r="U145" s="1024"/>
      <c r="V145" s="1024"/>
      <c r="W145" s="1024"/>
      <c r="X145" s="1024"/>
      <c r="Y145" s="1024"/>
      <c r="Z145" s="1024"/>
      <c r="AA145" s="1024"/>
      <c r="AB145" s="1024"/>
      <c r="AC145" s="1024"/>
      <c r="AD145" s="1024"/>
      <c r="AE145" s="1024"/>
      <c r="AF145" s="1024"/>
      <c r="AG145" s="1024"/>
      <c r="AH145" s="1024"/>
      <c r="AI145" s="1024"/>
      <c r="AJ145" s="1024"/>
      <c r="AK145" s="1024"/>
      <c r="AL145" s="1024"/>
      <c r="AM145" s="1024"/>
      <c r="AN145" s="1024"/>
      <c r="AO145" s="1024"/>
      <c r="AP145" s="1024"/>
      <c r="AQ145" s="1024"/>
      <c r="AR145" s="1024"/>
      <c r="AS145" s="1024"/>
      <c r="AT145" s="1024"/>
      <c r="AU145" s="1024"/>
      <c r="AV145" s="1024"/>
      <c r="AW145" s="1024"/>
      <c r="AX145" s="1024"/>
      <c r="AY145" s="1024"/>
      <c r="AZ145" s="1024"/>
      <c r="BA145" s="1024"/>
      <c r="BB145" s="1024"/>
      <c r="BC145" s="1024"/>
      <c r="BD145" s="1024"/>
      <c r="BE145" s="1024"/>
      <c r="BF145" s="1024"/>
      <c r="BG145" s="1024"/>
      <c r="BH145" s="1024"/>
      <c r="BI145" s="1024"/>
      <c r="BJ145" s="1024"/>
      <c r="BK145" s="1024"/>
      <c r="BL145" s="1024"/>
    </row>
    <row r="146" spans="1:64">
      <c r="A146" s="1836"/>
      <c r="B146" s="1836"/>
      <c r="C146" s="1840"/>
      <c r="D146" s="1017"/>
      <c r="E146" s="1026"/>
      <c r="F146" s="1017"/>
      <c r="G146" s="1027"/>
      <c r="H146" s="1842" t="s">
        <v>1034</v>
      </c>
      <c r="I146" s="1011">
        <f>ROUND(I145,0)</f>
        <v>13</v>
      </c>
      <c r="J146" s="1023"/>
      <c r="K146" s="1023"/>
      <c r="L146" s="1023"/>
      <c r="M146" s="1024"/>
      <c r="N146" s="1024"/>
      <c r="O146" s="1024"/>
      <c r="P146" s="1024"/>
      <c r="Q146" s="1024"/>
      <c r="R146" s="1024"/>
      <c r="S146" s="1024"/>
      <c r="T146" s="1024"/>
      <c r="U146" s="1024"/>
      <c r="V146" s="1024"/>
      <c r="W146" s="1024"/>
      <c r="X146" s="1024"/>
      <c r="Y146" s="1024"/>
      <c r="Z146" s="1024"/>
      <c r="AA146" s="1024"/>
      <c r="AB146" s="1024"/>
      <c r="AC146" s="1024"/>
      <c r="AD146" s="1024"/>
      <c r="AE146" s="1024"/>
      <c r="AF146" s="1024"/>
      <c r="AG146" s="1024"/>
      <c r="AH146" s="1024"/>
      <c r="AI146" s="1024"/>
      <c r="AJ146" s="1024"/>
      <c r="AK146" s="1024"/>
      <c r="AL146" s="1024"/>
      <c r="AM146" s="1024"/>
      <c r="AN146" s="1024"/>
      <c r="AO146" s="1024"/>
      <c r="AP146" s="1024"/>
      <c r="AQ146" s="1024"/>
      <c r="AR146" s="1024"/>
      <c r="AS146" s="1024"/>
      <c r="AT146" s="1024"/>
      <c r="AU146" s="1024"/>
      <c r="AV146" s="1024"/>
      <c r="AW146" s="1024"/>
      <c r="AX146" s="1024"/>
      <c r="AY146" s="1024"/>
      <c r="AZ146" s="1024"/>
      <c r="BA146" s="1024"/>
      <c r="BB146" s="1024"/>
      <c r="BC146" s="1024"/>
      <c r="BD146" s="1024"/>
      <c r="BE146" s="1024"/>
      <c r="BF146" s="1024"/>
      <c r="BG146" s="1024"/>
      <c r="BH146" s="1024"/>
      <c r="BI146" s="1024"/>
      <c r="BJ146" s="1024"/>
      <c r="BK146" s="1024"/>
      <c r="BL146" s="1024"/>
    </row>
    <row r="147" spans="1:64">
      <c r="A147" s="1836"/>
      <c r="B147" s="1836"/>
      <c r="C147" s="1840"/>
      <c r="D147" s="1017"/>
      <c r="E147" s="1026"/>
      <c r="F147" s="1017"/>
      <c r="G147" s="1027"/>
      <c r="H147" s="1840"/>
      <c r="I147" s="1836"/>
      <c r="J147" s="1023"/>
      <c r="K147" s="1023"/>
      <c r="L147" s="1023"/>
      <c r="M147" s="1024"/>
      <c r="N147" s="1024"/>
      <c r="O147" s="1024"/>
      <c r="P147" s="1024"/>
      <c r="Q147" s="1024"/>
      <c r="R147" s="1024"/>
      <c r="S147" s="1024"/>
      <c r="T147" s="1024"/>
      <c r="U147" s="1024"/>
      <c r="V147" s="1024"/>
      <c r="W147" s="1024"/>
      <c r="X147" s="1024"/>
      <c r="Y147" s="1024"/>
      <c r="Z147" s="1024"/>
      <c r="AA147" s="1024"/>
      <c r="AB147" s="1024"/>
      <c r="AC147" s="1024"/>
      <c r="AD147" s="1024"/>
      <c r="AE147" s="1024"/>
      <c r="AF147" s="1024"/>
      <c r="AG147" s="1024"/>
      <c r="AH147" s="1024"/>
      <c r="AI147" s="1024"/>
      <c r="AJ147" s="1024"/>
      <c r="AK147" s="1024"/>
      <c r="AL147" s="1024"/>
      <c r="AM147" s="1024"/>
      <c r="AN147" s="1024"/>
      <c r="AO147" s="1024"/>
      <c r="AP147" s="1024"/>
      <c r="AQ147" s="1024"/>
      <c r="AR147" s="1024"/>
      <c r="AS147" s="1024"/>
      <c r="AT147" s="1024"/>
      <c r="AU147" s="1024"/>
      <c r="AV147" s="1024"/>
      <c r="AW147" s="1024"/>
      <c r="AX147" s="1024"/>
      <c r="AY147" s="1024"/>
      <c r="AZ147" s="1024"/>
      <c r="BA147" s="1024"/>
      <c r="BB147" s="1024"/>
      <c r="BC147" s="1024"/>
      <c r="BD147" s="1024"/>
      <c r="BE147" s="1024"/>
      <c r="BF147" s="1024"/>
      <c r="BG147" s="1024"/>
      <c r="BH147" s="1024"/>
      <c r="BI147" s="1024"/>
      <c r="BJ147" s="1024"/>
      <c r="BK147" s="1024"/>
      <c r="BL147" s="1024"/>
    </row>
    <row r="148" spans="1:64" ht="37.35" customHeight="1">
      <c r="A148" s="1025">
        <f>A26+1</f>
        <v>2</v>
      </c>
      <c r="B148" s="1035"/>
      <c r="C148" s="2036" t="s">
        <v>3381</v>
      </c>
      <c r="D148" s="2036"/>
      <c r="E148" s="2036"/>
      <c r="F148" s="2036"/>
      <c r="G148" s="2036"/>
      <c r="H148" s="2036"/>
      <c r="I148" s="1825"/>
      <c r="J148" s="1023"/>
      <c r="K148" s="1023"/>
      <c r="L148" s="1023"/>
      <c r="M148" s="1024"/>
      <c r="N148" s="1024"/>
      <c r="O148" s="1024"/>
      <c r="P148" s="1024"/>
      <c r="Q148" s="1024"/>
      <c r="R148" s="1024"/>
      <c r="S148" s="1024"/>
      <c r="T148" s="1024"/>
      <c r="U148" s="1024"/>
      <c r="V148" s="1024"/>
      <c r="W148" s="1024"/>
      <c r="X148" s="1024"/>
      <c r="Y148" s="1024"/>
      <c r="Z148" s="1024"/>
      <c r="AA148" s="1024"/>
      <c r="AB148" s="1024"/>
      <c r="AC148" s="1024"/>
      <c r="AD148" s="1024"/>
      <c r="AE148" s="1024"/>
      <c r="AF148" s="1024"/>
      <c r="AG148" s="1024"/>
      <c r="AH148" s="1024"/>
      <c r="AI148" s="1024"/>
      <c r="AJ148" s="1024"/>
      <c r="AK148" s="1024"/>
      <c r="AL148" s="1024"/>
      <c r="AM148" s="1024"/>
      <c r="AN148" s="1024"/>
      <c r="AO148" s="1024"/>
      <c r="AP148" s="1024"/>
      <c r="AQ148" s="1024"/>
      <c r="AR148" s="1024"/>
      <c r="AS148" s="1024"/>
      <c r="AT148" s="1024"/>
      <c r="AU148" s="1024"/>
      <c r="AV148" s="1024"/>
      <c r="AW148" s="1024"/>
      <c r="AX148" s="1024"/>
      <c r="AY148" s="1024"/>
      <c r="AZ148" s="1024"/>
      <c r="BA148" s="1024"/>
      <c r="BB148" s="1024"/>
      <c r="BC148" s="1024"/>
      <c r="BD148" s="1024"/>
      <c r="BE148" s="1024"/>
      <c r="BF148" s="1024"/>
      <c r="BG148" s="1024"/>
      <c r="BH148" s="1024"/>
      <c r="BI148" s="1024"/>
      <c r="BJ148" s="1024"/>
      <c r="BK148" s="1024"/>
      <c r="BL148" s="1024"/>
    </row>
    <row r="149" spans="1:64">
      <c r="A149" s="1836"/>
      <c r="B149" s="1035"/>
      <c r="C149" s="1821" t="s">
        <v>1059</v>
      </c>
      <c r="D149" s="1849"/>
      <c r="E149" s="1849"/>
      <c r="F149" s="1847"/>
      <c r="G149" s="1849"/>
      <c r="H149" s="1840"/>
      <c r="I149" s="1836"/>
      <c r="J149" s="1023"/>
      <c r="K149" s="1023"/>
      <c r="L149" s="1023"/>
      <c r="M149" s="1024"/>
      <c r="N149" s="1024"/>
      <c r="O149" s="1024"/>
      <c r="P149" s="1024"/>
      <c r="Q149" s="1024"/>
      <c r="R149" s="1024"/>
      <c r="S149" s="1024"/>
      <c r="T149" s="1024"/>
      <c r="U149" s="1024"/>
      <c r="V149" s="1024"/>
      <c r="W149" s="1024"/>
      <c r="X149" s="1024"/>
      <c r="Y149" s="1024"/>
      <c r="Z149" s="1024"/>
      <c r="AA149" s="1024"/>
      <c r="AB149" s="1024"/>
      <c r="AC149" s="1024"/>
      <c r="AD149" s="1024"/>
      <c r="AE149" s="1024"/>
      <c r="AF149" s="1024"/>
      <c r="AG149" s="1024"/>
      <c r="AH149" s="1024"/>
      <c r="AI149" s="1024"/>
      <c r="AJ149" s="1024"/>
      <c r="AK149" s="1024"/>
      <c r="AL149" s="1024"/>
      <c r="AM149" s="1024"/>
      <c r="AN149" s="1024"/>
      <c r="AO149" s="1024"/>
      <c r="AP149" s="1024"/>
      <c r="AQ149" s="1024"/>
      <c r="AR149" s="1024"/>
      <c r="AS149" s="1024"/>
      <c r="AT149" s="1024"/>
      <c r="AU149" s="1024"/>
      <c r="AV149" s="1024"/>
      <c r="AW149" s="1024"/>
      <c r="AX149" s="1024"/>
      <c r="AY149" s="1024"/>
      <c r="AZ149" s="1024"/>
      <c r="BA149" s="1024"/>
      <c r="BB149" s="1024"/>
      <c r="BC149" s="1024"/>
      <c r="BD149" s="1024"/>
      <c r="BE149" s="1024"/>
      <c r="BF149" s="1024"/>
      <c r="BG149" s="1024"/>
      <c r="BH149" s="1024"/>
      <c r="BI149" s="1024"/>
      <c r="BJ149" s="1024"/>
      <c r="BK149" s="1024"/>
      <c r="BL149" s="1024"/>
    </row>
    <row r="150" spans="1:64" ht="25.5">
      <c r="A150" s="1836"/>
      <c r="B150" s="1017" t="s">
        <v>294</v>
      </c>
      <c r="C150" s="1838" t="s">
        <v>1060</v>
      </c>
      <c r="D150" s="1031"/>
      <c r="E150" s="1028"/>
      <c r="F150" s="1017"/>
      <c r="G150" s="1029"/>
      <c r="H150" s="1014"/>
      <c r="I150" s="1030"/>
      <c r="J150" s="1023"/>
      <c r="K150" s="1023"/>
      <c r="L150" s="1023"/>
      <c r="M150" s="1024"/>
      <c r="N150" s="1024"/>
      <c r="O150" s="1024"/>
      <c r="P150" s="1024"/>
      <c r="Q150" s="1024"/>
      <c r="R150" s="1024"/>
      <c r="S150" s="1024"/>
      <c r="T150" s="1024"/>
      <c r="U150" s="1024"/>
      <c r="V150" s="1024"/>
      <c r="W150" s="1024"/>
      <c r="X150" s="1024"/>
      <c r="Y150" s="1024"/>
      <c r="Z150" s="1024"/>
      <c r="AA150" s="1024"/>
      <c r="AB150" s="1024"/>
      <c r="AC150" s="1024"/>
      <c r="AD150" s="1024"/>
      <c r="AE150" s="1024"/>
      <c r="AF150" s="1024"/>
      <c r="AG150" s="1024"/>
      <c r="AH150" s="1024"/>
      <c r="AI150" s="1024"/>
      <c r="AJ150" s="1024"/>
      <c r="AK150" s="1024"/>
      <c r="AL150" s="1024"/>
      <c r="AM150" s="1024"/>
      <c r="AN150" s="1024"/>
      <c r="AO150" s="1024"/>
      <c r="AP150" s="1024"/>
      <c r="AQ150" s="1024"/>
      <c r="AR150" s="1024"/>
      <c r="AS150" s="1024"/>
      <c r="AT150" s="1024"/>
      <c r="AU150" s="1024"/>
      <c r="AV150" s="1024"/>
      <c r="AW150" s="1024"/>
      <c r="AX150" s="1024"/>
      <c r="AY150" s="1024"/>
      <c r="AZ150" s="1024"/>
      <c r="BA150" s="1024"/>
      <c r="BB150" s="1024"/>
      <c r="BC150" s="1024"/>
      <c r="BD150" s="1024"/>
      <c r="BE150" s="1024"/>
      <c r="BF150" s="1024"/>
      <c r="BG150" s="1024"/>
      <c r="BH150" s="1024"/>
      <c r="BI150" s="1024"/>
      <c r="BJ150" s="1024"/>
      <c r="BK150" s="1024"/>
      <c r="BL150" s="1024"/>
    </row>
    <row r="151" spans="1:64">
      <c r="A151" s="1836"/>
      <c r="B151" s="1836"/>
      <c r="C151" s="1838" t="s">
        <v>1061</v>
      </c>
      <c r="D151" s="1031"/>
      <c r="E151" s="1026"/>
      <c r="F151" s="1017"/>
      <c r="G151" s="1027"/>
      <c r="H151" s="1840"/>
      <c r="I151" s="1030"/>
      <c r="J151" s="1023"/>
      <c r="K151" s="1023"/>
      <c r="L151" s="1023"/>
      <c r="M151" s="1024"/>
      <c r="N151" s="1024"/>
      <c r="O151" s="1024"/>
      <c r="P151" s="1024"/>
      <c r="Q151" s="1024"/>
      <c r="R151" s="1024"/>
      <c r="S151" s="1024"/>
      <c r="T151" s="1024"/>
      <c r="U151" s="1024"/>
      <c r="V151" s="1024"/>
      <c r="W151" s="1024"/>
      <c r="X151" s="1024"/>
      <c r="Y151" s="1024"/>
      <c r="Z151" s="1024"/>
      <c r="AA151" s="1024"/>
      <c r="AB151" s="1024"/>
      <c r="AC151" s="1024"/>
      <c r="AD151" s="1024"/>
      <c r="AE151" s="1024"/>
      <c r="AF151" s="1024"/>
      <c r="AG151" s="1024"/>
      <c r="AH151" s="1024"/>
      <c r="AI151" s="1024"/>
      <c r="AJ151" s="1024"/>
      <c r="AK151" s="1024"/>
      <c r="AL151" s="1024"/>
      <c r="AM151" s="1024"/>
      <c r="AN151" s="1024"/>
      <c r="AO151" s="1024"/>
      <c r="AP151" s="1024"/>
      <c r="AQ151" s="1024"/>
      <c r="AR151" s="1024"/>
      <c r="AS151" s="1024"/>
      <c r="AT151" s="1024"/>
      <c r="AU151" s="1024"/>
      <c r="AV151" s="1024"/>
      <c r="AW151" s="1024"/>
      <c r="AX151" s="1024"/>
      <c r="AY151" s="1024"/>
      <c r="AZ151" s="1024"/>
      <c r="BA151" s="1024"/>
      <c r="BB151" s="1024"/>
      <c r="BC151" s="1024"/>
      <c r="BD151" s="1024"/>
      <c r="BE151" s="1024"/>
      <c r="BF151" s="1024"/>
      <c r="BG151" s="1024"/>
      <c r="BH151" s="1024"/>
      <c r="BI151" s="1024"/>
      <c r="BJ151" s="1024"/>
      <c r="BK151" s="1024"/>
      <c r="BL151" s="1024"/>
    </row>
    <row r="152" spans="1:64">
      <c r="A152" s="1836"/>
      <c r="B152" s="1836"/>
      <c r="C152" s="1014" t="s">
        <v>1062</v>
      </c>
      <c r="D152" s="1034">
        <v>0.1</v>
      </c>
      <c r="E152" s="1044" t="s">
        <v>36</v>
      </c>
      <c r="F152" s="1001">
        <f>'Civil-SOR'!$G$302</f>
        <v>550</v>
      </c>
      <c r="G152" s="1045">
        <v>1</v>
      </c>
      <c r="H152" s="1044" t="s">
        <v>39</v>
      </c>
      <c r="I152" s="1030">
        <f t="shared" ref="I152:I155" si="17">IF(G152="",D152*F152,(D152*F152/G152))</f>
        <v>55</v>
      </c>
      <c r="J152" s="1023"/>
      <c r="K152" s="1023"/>
      <c r="L152" s="1023"/>
      <c r="M152" s="1024"/>
      <c r="N152" s="1024"/>
      <c r="O152" s="1024"/>
      <c r="P152" s="1024"/>
      <c r="Q152" s="1024"/>
      <c r="R152" s="1024"/>
      <c r="S152" s="1024"/>
      <c r="T152" s="1024"/>
      <c r="U152" s="1024"/>
      <c r="V152" s="1024"/>
      <c r="W152" s="1024"/>
      <c r="X152" s="1024"/>
      <c r="Y152" s="1024"/>
      <c r="Z152" s="1024"/>
      <c r="AA152" s="1024"/>
      <c r="AB152" s="1024"/>
      <c r="AC152" s="1024"/>
      <c r="AD152" s="1024"/>
      <c r="AE152" s="1024"/>
      <c r="AF152" s="1024"/>
      <c r="AG152" s="1024"/>
      <c r="AH152" s="1024"/>
      <c r="AI152" s="1024"/>
      <c r="AJ152" s="1024"/>
      <c r="AK152" s="1024"/>
      <c r="AL152" s="1024"/>
      <c r="AM152" s="1024"/>
      <c r="AN152" s="1024"/>
      <c r="AO152" s="1024"/>
      <c r="AP152" s="1024"/>
      <c r="AQ152" s="1024"/>
      <c r="AR152" s="1024"/>
      <c r="AS152" s="1024"/>
      <c r="AT152" s="1024"/>
      <c r="AU152" s="1024"/>
      <c r="AV152" s="1024"/>
      <c r="AW152" s="1024"/>
      <c r="AX152" s="1024"/>
      <c r="AY152" s="1024"/>
      <c r="AZ152" s="1024"/>
      <c r="BA152" s="1024"/>
      <c r="BB152" s="1024"/>
      <c r="BC152" s="1024"/>
      <c r="BD152" s="1024"/>
      <c r="BE152" s="1024"/>
      <c r="BF152" s="1024"/>
      <c r="BG152" s="1024"/>
      <c r="BH152" s="1024"/>
      <c r="BI152" s="1024"/>
      <c r="BJ152" s="1024"/>
      <c r="BK152" s="1024"/>
      <c r="BL152" s="1024"/>
    </row>
    <row r="153" spans="1:64">
      <c r="A153" s="1836"/>
      <c r="B153" s="1836"/>
      <c r="C153" s="1014" t="s">
        <v>1042</v>
      </c>
      <c r="D153" s="1034">
        <v>0.2</v>
      </c>
      <c r="E153" s="1044" t="s">
        <v>36</v>
      </c>
      <c r="F153" s="1001">
        <f>'Civil-SOR'!$G$307</f>
        <v>520</v>
      </c>
      <c r="G153" s="1045">
        <v>1</v>
      </c>
      <c r="H153" s="1044" t="s">
        <v>39</v>
      </c>
      <c r="I153" s="1030">
        <f t="shared" si="17"/>
        <v>104</v>
      </c>
      <c r="J153" s="1023"/>
      <c r="K153" s="1023"/>
      <c r="L153" s="1023"/>
      <c r="M153" s="1024"/>
      <c r="N153" s="1024"/>
      <c r="O153" s="1024"/>
      <c r="P153" s="1024"/>
      <c r="Q153" s="1024"/>
      <c r="R153" s="1024"/>
      <c r="S153" s="1024"/>
      <c r="T153" s="1024"/>
      <c r="U153" s="1024"/>
      <c r="V153" s="1024"/>
      <c r="W153" s="1024"/>
      <c r="X153" s="1024"/>
      <c r="Y153" s="1024"/>
      <c r="Z153" s="1024"/>
      <c r="AA153" s="1024"/>
      <c r="AB153" s="1024"/>
      <c r="AC153" s="1024"/>
      <c r="AD153" s="1024"/>
      <c r="AE153" s="1024"/>
      <c r="AF153" s="1024"/>
      <c r="AG153" s="1024"/>
      <c r="AH153" s="1024"/>
      <c r="AI153" s="1024"/>
      <c r="AJ153" s="1024"/>
      <c r="AK153" s="1024"/>
      <c r="AL153" s="1024"/>
      <c r="AM153" s="1024"/>
      <c r="AN153" s="1024"/>
      <c r="AO153" s="1024"/>
      <c r="AP153" s="1024"/>
      <c r="AQ153" s="1024"/>
      <c r="AR153" s="1024"/>
      <c r="AS153" s="1024"/>
      <c r="AT153" s="1024"/>
      <c r="AU153" s="1024"/>
      <c r="AV153" s="1024"/>
      <c r="AW153" s="1024"/>
      <c r="AX153" s="1024"/>
      <c r="AY153" s="1024"/>
      <c r="AZ153" s="1024"/>
      <c r="BA153" s="1024"/>
      <c r="BB153" s="1024"/>
      <c r="BC153" s="1024"/>
      <c r="BD153" s="1024"/>
      <c r="BE153" s="1024"/>
      <c r="BF153" s="1024"/>
      <c r="BG153" s="1024"/>
      <c r="BH153" s="1024"/>
      <c r="BI153" s="1024"/>
      <c r="BJ153" s="1024"/>
      <c r="BK153" s="1024"/>
      <c r="BL153" s="1024"/>
    </row>
    <row r="154" spans="1:64">
      <c r="A154" s="1836"/>
      <c r="B154" s="1836"/>
      <c r="C154" s="1014" t="s">
        <v>1063</v>
      </c>
      <c r="D154" s="1034">
        <v>0.05</v>
      </c>
      <c r="E154" s="1044" t="s">
        <v>36</v>
      </c>
      <c r="F154" s="1001">
        <f>'Civil-SOR'!$G$302</f>
        <v>550</v>
      </c>
      <c r="G154" s="1045">
        <v>1</v>
      </c>
      <c r="H154" s="1044" t="s">
        <v>39</v>
      </c>
      <c r="I154" s="1030">
        <f t="shared" si="17"/>
        <v>27.5</v>
      </c>
      <c r="J154" s="1023"/>
      <c r="K154" s="1023"/>
      <c r="L154" s="1023"/>
      <c r="M154" s="1024"/>
      <c r="N154" s="1024"/>
      <c r="O154" s="1024"/>
      <c r="P154" s="1024"/>
      <c r="Q154" s="1024"/>
      <c r="R154" s="1024"/>
      <c r="S154" s="1024"/>
      <c r="T154" s="1024"/>
      <c r="U154" s="1024"/>
      <c r="V154" s="1024"/>
      <c r="W154" s="1024"/>
      <c r="X154" s="1024"/>
      <c r="Y154" s="1024"/>
      <c r="Z154" s="1024"/>
      <c r="AA154" s="1024"/>
      <c r="AB154" s="1024"/>
      <c r="AC154" s="1024"/>
      <c r="AD154" s="1024"/>
      <c r="AE154" s="1024"/>
      <c r="AF154" s="1024"/>
      <c r="AG154" s="1024"/>
      <c r="AH154" s="1024"/>
      <c r="AI154" s="1024"/>
      <c r="AJ154" s="1024"/>
      <c r="AK154" s="1024"/>
      <c r="AL154" s="1024"/>
      <c r="AM154" s="1024"/>
      <c r="AN154" s="1024"/>
      <c r="AO154" s="1024"/>
      <c r="AP154" s="1024"/>
      <c r="AQ154" s="1024"/>
      <c r="AR154" s="1024"/>
      <c r="AS154" s="1024"/>
      <c r="AT154" s="1024"/>
      <c r="AU154" s="1024"/>
      <c r="AV154" s="1024"/>
      <c r="AW154" s="1024"/>
      <c r="AX154" s="1024"/>
      <c r="AY154" s="1024"/>
      <c r="AZ154" s="1024"/>
      <c r="BA154" s="1024"/>
      <c r="BB154" s="1024"/>
      <c r="BC154" s="1024"/>
      <c r="BD154" s="1024"/>
      <c r="BE154" s="1024"/>
      <c r="BF154" s="1024"/>
      <c r="BG154" s="1024"/>
      <c r="BH154" s="1024"/>
      <c r="BI154" s="1024"/>
      <c r="BJ154" s="1024"/>
      <c r="BK154" s="1024"/>
      <c r="BL154" s="1024"/>
    </row>
    <row r="155" spans="1:64">
      <c r="A155" s="1836"/>
      <c r="B155" s="1836"/>
      <c r="C155" s="1014" t="str">
        <f>Input!$C$47</f>
        <v>Add for MA @ 40%</v>
      </c>
      <c r="D155" s="1031">
        <f>Input!$D$47</f>
        <v>0.4</v>
      </c>
      <c r="E155" s="1026"/>
      <c r="F155" s="1017">
        <f>SUM(I152:I154)</f>
        <v>186.5</v>
      </c>
      <c r="G155" s="1027"/>
      <c r="H155" s="1840"/>
      <c r="I155" s="1030">
        <f t="shared" si="17"/>
        <v>74.600000000000009</v>
      </c>
      <c r="J155" s="1023"/>
      <c r="K155" s="1023"/>
      <c r="L155" s="1023"/>
      <c r="M155" s="1024"/>
      <c r="N155" s="1024"/>
      <c r="O155" s="1024"/>
      <c r="P155" s="1024"/>
      <c r="Q155" s="1024"/>
      <c r="R155" s="1024"/>
      <c r="S155" s="1024"/>
      <c r="T155" s="1024"/>
      <c r="U155" s="1024"/>
      <c r="V155" s="1024"/>
      <c r="W155" s="1024"/>
      <c r="X155" s="1024"/>
      <c r="Y155" s="1024"/>
      <c r="Z155" s="1024"/>
      <c r="AA155" s="1024"/>
      <c r="AB155" s="1024"/>
      <c r="AC155" s="1024"/>
      <c r="AD155" s="1024"/>
      <c r="AE155" s="1024"/>
      <c r="AF155" s="1024"/>
      <c r="AG155" s="1024"/>
      <c r="AH155" s="1024"/>
      <c r="AI155" s="1024"/>
      <c r="AJ155" s="1024"/>
      <c r="AK155" s="1024"/>
      <c r="AL155" s="1024"/>
      <c r="AM155" s="1024"/>
      <c r="AN155" s="1024"/>
      <c r="AO155" s="1024"/>
      <c r="AP155" s="1024"/>
      <c r="AQ155" s="1024"/>
      <c r="AR155" s="1024"/>
      <c r="AS155" s="1024"/>
      <c r="AT155" s="1024"/>
      <c r="AU155" s="1024"/>
      <c r="AV155" s="1024"/>
      <c r="AW155" s="1024"/>
      <c r="AX155" s="1024"/>
      <c r="AY155" s="1024"/>
      <c r="AZ155" s="1024"/>
      <c r="BA155" s="1024"/>
      <c r="BB155" s="1024"/>
      <c r="BC155" s="1024"/>
      <c r="BD155" s="1024"/>
      <c r="BE155" s="1024"/>
      <c r="BF155" s="1024"/>
      <c r="BG155" s="1024"/>
      <c r="BH155" s="1024"/>
      <c r="BI155" s="1024"/>
      <c r="BJ155" s="1024"/>
      <c r="BK155" s="1024"/>
      <c r="BL155" s="1024"/>
    </row>
    <row r="156" spans="1:64">
      <c r="A156" s="1836"/>
      <c r="B156" s="1836"/>
      <c r="C156" s="1840"/>
      <c r="D156" s="1017"/>
      <c r="E156" s="1026"/>
      <c r="F156" s="1017"/>
      <c r="G156" s="1027"/>
      <c r="H156" s="1840"/>
      <c r="I156" s="1017">
        <f>SUM(I152:I155)</f>
        <v>261.10000000000002</v>
      </c>
      <c r="J156" s="1023"/>
      <c r="K156" s="1023"/>
      <c r="L156" s="1023"/>
      <c r="M156" s="1024"/>
      <c r="N156" s="1024"/>
      <c r="O156" s="1024"/>
      <c r="P156" s="1024"/>
      <c r="Q156" s="1024"/>
      <c r="R156" s="1024"/>
      <c r="S156" s="1024"/>
      <c r="T156" s="1024"/>
      <c r="U156" s="1024"/>
      <c r="V156" s="1024"/>
      <c r="W156" s="1024"/>
      <c r="X156" s="1024"/>
      <c r="Y156" s="1024"/>
      <c r="Z156" s="1024"/>
      <c r="AA156" s="1024"/>
      <c r="AB156" s="1024"/>
      <c r="AC156" s="1024"/>
      <c r="AD156" s="1024"/>
      <c r="AE156" s="1024"/>
      <c r="AF156" s="1024"/>
      <c r="AG156" s="1024"/>
      <c r="AH156" s="1024"/>
      <c r="AI156" s="1024"/>
      <c r="AJ156" s="1024"/>
      <c r="AK156" s="1024"/>
      <c r="AL156" s="1024"/>
      <c r="AM156" s="1024"/>
      <c r="AN156" s="1024"/>
      <c r="AO156" s="1024"/>
      <c r="AP156" s="1024"/>
      <c r="AQ156" s="1024"/>
      <c r="AR156" s="1024"/>
      <c r="AS156" s="1024"/>
      <c r="AT156" s="1024"/>
      <c r="AU156" s="1024"/>
      <c r="AV156" s="1024"/>
      <c r="AW156" s="1024"/>
      <c r="AX156" s="1024"/>
      <c r="AY156" s="1024"/>
      <c r="AZ156" s="1024"/>
      <c r="BA156" s="1024"/>
      <c r="BB156" s="1024"/>
      <c r="BC156" s="1024"/>
      <c r="BD156" s="1024"/>
      <c r="BE156" s="1024"/>
      <c r="BF156" s="1024"/>
      <c r="BG156" s="1024"/>
      <c r="BH156" s="1024"/>
      <c r="BI156" s="1024"/>
      <c r="BJ156" s="1024"/>
      <c r="BK156" s="1024"/>
      <c r="BL156" s="1024"/>
    </row>
    <row r="157" spans="1:64">
      <c r="A157" s="1035"/>
      <c r="B157" s="1035"/>
      <c r="C157" s="1849" t="str">
        <f>Input!$C$48</f>
        <v>Overheads &amp; Contractors Profit @ 13.615%</v>
      </c>
      <c r="D157" s="1850">
        <f>Input!$D$48</f>
        <v>0.13614999999999999</v>
      </c>
      <c r="E157" s="1039"/>
      <c r="F157" s="1848">
        <f>I156</f>
        <v>261.10000000000002</v>
      </c>
      <c r="G157" s="1025"/>
      <c r="H157" s="1847"/>
      <c r="I157" s="1001">
        <f>IF(G157="",D157*F157,(D157*F157/G157))</f>
        <v>35.548765000000003</v>
      </c>
      <c r="J157" s="1823"/>
      <c r="K157" s="1823"/>
      <c r="L157" s="1823"/>
      <c r="M157" s="1037"/>
      <c r="N157" s="1037"/>
      <c r="O157" s="1037"/>
      <c r="P157" s="1037"/>
      <c r="Q157" s="1037"/>
      <c r="R157" s="1037"/>
      <c r="S157" s="1037"/>
      <c r="T157" s="1037"/>
      <c r="U157" s="1037"/>
      <c r="V157" s="1037"/>
      <c r="W157" s="1037"/>
      <c r="X157" s="1037"/>
      <c r="Y157" s="1037"/>
      <c r="Z157" s="1037"/>
      <c r="AA157" s="1037"/>
      <c r="AB157" s="1037"/>
      <c r="AC157" s="1037"/>
      <c r="AD157" s="1037"/>
      <c r="AE157" s="1037"/>
      <c r="AF157" s="1037"/>
      <c r="AG157" s="1037"/>
      <c r="AH157" s="1037"/>
      <c r="AI157" s="1037"/>
      <c r="AJ157" s="1037"/>
      <c r="AK157" s="1037"/>
      <c r="AL157" s="1037"/>
      <c r="AM157" s="1037"/>
      <c r="AN157" s="1037"/>
      <c r="AO157" s="1037"/>
      <c r="AP157" s="1037"/>
      <c r="AQ157" s="1037"/>
      <c r="AR157" s="1037"/>
      <c r="AS157" s="1037"/>
      <c r="AT157" s="1037"/>
      <c r="AU157" s="1037"/>
      <c r="AV157" s="1037"/>
      <c r="AW157" s="1037"/>
      <c r="AX157" s="1037"/>
      <c r="AY157" s="1037"/>
      <c r="AZ157" s="1037"/>
      <c r="BA157" s="1037"/>
      <c r="BB157" s="1037"/>
      <c r="BC157" s="1037"/>
      <c r="BD157" s="1037"/>
      <c r="BE157" s="1037"/>
      <c r="BF157" s="1037"/>
      <c r="BG157" s="1037"/>
      <c r="BH157" s="1037"/>
      <c r="BI157" s="1037"/>
      <c r="BJ157" s="1037"/>
      <c r="BK157" s="1037"/>
      <c r="BL157" s="1037"/>
    </row>
    <row r="158" spans="1:64">
      <c r="A158" s="1836"/>
      <c r="B158" s="1836"/>
      <c r="C158" s="1838" t="s">
        <v>1064</v>
      </c>
      <c r="D158" s="1017"/>
      <c r="E158" s="1026"/>
      <c r="F158" s="1017"/>
      <c r="G158" s="1027"/>
      <c r="H158" s="1034" t="s">
        <v>1033</v>
      </c>
      <c r="I158" s="1017">
        <f>SUM(I156:I157)</f>
        <v>296.64876500000003</v>
      </c>
      <c r="J158" s="1023"/>
      <c r="K158" s="1023"/>
      <c r="L158" s="1023"/>
      <c r="M158" s="1024"/>
      <c r="N158" s="1024"/>
      <c r="O158" s="1024"/>
      <c r="P158" s="1024"/>
      <c r="Q158" s="1024"/>
      <c r="R158" s="1024"/>
      <c r="S158" s="1024"/>
      <c r="T158" s="1024"/>
      <c r="U158" s="1024"/>
      <c r="V158" s="1024"/>
      <c r="W158" s="1024"/>
      <c r="X158" s="1024"/>
      <c r="Y158" s="1024"/>
      <c r="Z158" s="1024"/>
      <c r="AA158" s="1024"/>
      <c r="AB158" s="1024"/>
      <c r="AC158" s="1024"/>
      <c r="AD158" s="1024"/>
      <c r="AE158" s="1024"/>
      <c r="AF158" s="1024"/>
      <c r="AG158" s="1024"/>
      <c r="AH158" s="1024"/>
      <c r="AI158" s="1024"/>
      <c r="AJ158" s="1024"/>
      <c r="AK158" s="1024"/>
      <c r="AL158" s="1024"/>
      <c r="AM158" s="1024"/>
      <c r="AN158" s="1024"/>
      <c r="AO158" s="1024"/>
      <c r="AP158" s="1024"/>
      <c r="AQ158" s="1024"/>
      <c r="AR158" s="1024"/>
      <c r="AS158" s="1024"/>
      <c r="AT158" s="1024"/>
      <c r="AU158" s="1024"/>
      <c r="AV158" s="1024"/>
      <c r="AW158" s="1024"/>
      <c r="AX158" s="1024"/>
      <c r="AY158" s="1024"/>
      <c r="AZ158" s="1024"/>
      <c r="BA158" s="1024"/>
      <c r="BB158" s="1024"/>
      <c r="BC158" s="1024"/>
      <c r="BD158" s="1024"/>
      <c r="BE158" s="1024"/>
      <c r="BF158" s="1024"/>
      <c r="BG158" s="1024"/>
      <c r="BH158" s="1024"/>
      <c r="BI158" s="1024"/>
      <c r="BJ158" s="1024"/>
      <c r="BK158" s="1024"/>
      <c r="BL158" s="1024"/>
    </row>
    <row r="159" spans="1:64">
      <c r="A159" s="1836"/>
      <c r="B159" s="1836"/>
      <c r="C159" s="1840"/>
      <c r="D159" s="1017"/>
      <c r="E159" s="1026"/>
      <c r="F159" s="1017"/>
      <c r="G159" s="1027"/>
      <c r="H159" s="1046" t="s">
        <v>1065</v>
      </c>
      <c r="I159" s="1011">
        <f>ROUND(I158,0)</f>
        <v>297</v>
      </c>
      <c r="J159" s="1023"/>
      <c r="K159" s="1023"/>
      <c r="L159" s="1023"/>
      <c r="M159" s="1024"/>
      <c r="N159" s="1024"/>
      <c r="O159" s="1024"/>
      <c r="P159" s="1024"/>
      <c r="Q159" s="1024"/>
      <c r="R159" s="1024"/>
      <c r="S159" s="1024"/>
      <c r="T159" s="1024"/>
      <c r="U159" s="1024"/>
      <c r="V159" s="1024"/>
      <c r="W159" s="1024"/>
      <c r="X159" s="1024"/>
      <c r="Y159" s="1024"/>
      <c r="Z159" s="1024"/>
      <c r="AA159" s="1024"/>
      <c r="AB159" s="1024"/>
      <c r="AC159" s="1024"/>
      <c r="AD159" s="1024"/>
      <c r="AE159" s="1024"/>
      <c r="AF159" s="1024"/>
      <c r="AG159" s="1024"/>
      <c r="AH159" s="1024"/>
      <c r="AI159" s="1024"/>
      <c r="AJ159" s="1024"/>
      <c r="AK159" s="1024"/>
      <c r="AL159" s="1024"/>
      <c r="AM159" s="1024"/>
      <c r="AN159" s="1024"/>
      <c r="AO159" s="1024"/>
      <c r="AP159" s="1024"/>
      <c r="AQ159" s="1024"/>
      <c r="AR159" s="1024"/>
      <c r="AS159" s="1024"/>
      <c r="AT159" s="1024"/>
      <c r="AU159" s="1024"/>
      <c r="AV159" s="1024"/>
      <c r="AW159" s="1024"/>
      <c r="AX159" s="1024"/>
      <c r="AY159" s="1024"/>
      <c r="AZ159" s="1024"/>
      <c r="BA159" s="1024"/>
      <c r="BB159" s="1024"/>
      <c r="BC159" s="1024"/>
      <c r="BD159" s="1024"/>
      <c r="BE159" s="1024"/>
      <c r="BF159" s="1024"/>
      <c r="BG159" s="1024"/>
      <c r="BH159" s="1024"/>
      <c r="BI159" s="1024"/>
      <c r="BJ159" s="1024"/>
      <c r="BK159" s="1024"/>
      <c r="BL159" s="1024"/>
    </row>
    <row r="160" spans="1:64">
      <c r="A160" s="1836"/>
      <c r="B160" s="1836"/>
      <c r="C160" s="1840"/>
      <c r="D160" s="1017"/>
      <c r="E160" s="1026"/>
      <c r="F160" s="1017"/>
      <c r="G160" s="1027"/>
      <c r="H160" s="1047"/>
      <c r="I160" s="1011"/>
      <c r="J160" s="1023"/>
      <c r="K160" s="1023"/>
      <c r="L160" s="1023"/>
      <c r="M160" s="1024"/>
      <c r="N160" s="1024"/>
      <c r="O160" s="1024"/>
      <c r="P160" s="1024"/>
      <c r="Q160" s="1024"/>
      <c r="R160" s="1024"/>
      <c r="S160" s="1024"/>
      <c r="T160" s="1024"/>
      <c r="U160" s="1024"/>
      <c r="V160" s="1024"/>
      <c r="W160" s="1024"/>
      <c r="X160" s="1024"/>
      <c r="Y160" s="1024"/>
      <c r="Z160" s="1024"/>
      <c r="AA160" s="1024"/>
      <c r="AB160" s="1024"/>
      <c r="AC160" s="1024"/>
      <c r="AD160" s="1024"/>
      <c r="AE160" s="1024"/>
      <c r="AF160" s="1024"/>
      <c r="AG160" s="1024"/>
      <c r="AH160" s="1024"/>
      <c r="AI160" s="1024"/>
      <c r="AJ160" s="1024"/>
      <c r="AK160" s="1024"/>
      <c r="AL160" s="1024"/>
      <c r="AM160" s="1024"/>
      <c r="AN160" s="1024"/>
      <c r="AO160" s="1024"/>
      <c r="AP160" s="1024"/>
      <c r="AQ160" s="1024"/>
      <c r="AR160" s="1024"/>
      <c r="AS160" s="1024"/>
      <c r="AT160" s="1024"/>
      <c r="AU160" s="1024"/>
      <c r="AV160" s="1024"/>
      <c r="AW160" s="1024"/>
      <c r="AX160" s="1024"/>
      <c r="AY160" s="1024"/>
      <c r="AZ160" s="1024"/>
      <c r="BA160" s="1024"/>
      <c r="BB160" s="1024"/>
      <c r="BC160" s="1024"/>
      <c r="BD160" s="1024"/>
      <c r="BE160" s="1024"/>
      <c r="BF160" s="1024"/>
      <c r="BG160" s="1024"/>
      <c r="BH160" s="1024"/>
      <c r="BI160" s="1024"/>
      <c r="BJ160" s="1024"/>
      <c r="BK160" s="1024"/>
      <c r="BL160" s="1024"/>
    </row>
    <row r="161" spans="1:64" ht="12.75" customHeight="1">
      <c r="A161" s="1017"/>
      <c r="B161" s="1017" t="s">
        <v>297</v>
      </c>
      <c r="C161" s="1838" t="s">
        <v>1066</v>
      </c>
      <c r="D161" s="1031"/>
      <c r="E161" s="1028"/>
      <c r="F161" s="1017"/>
      <c r="G161" s="1029"/>
      <c r="H161" s="1014"/>
      <c r="I161" s="1030"/>
      <c r="J161" s="1023"/>
      <c r="K161" s="1023"/>
      <c r="L161" s="1023"/>
      <c r="M161" s="1024"/>
      <c r="N161" s="1024"/>
      <c r="O161" s="1024"/>
      <c r="P161" s="1024"/>
      <c r="Q161" s="1024"/>
      <c r="R161" s="1024"/>
      <c r="S161" s="1024"/>
      <c r="T161" s="1024"/>
      <c r="U161" s="1024"/>
      <c r="V161" s="1024"/>
      <c r="W161" s="1024"/>
      <c r="X161" s="1024"/>
      <c r="Y161" s="1024"/>
      <c r="Z161" s="1024"/>
      <c r="AA161" s="1024"/>
      <c r="AB161" s="1024"/>
      <c r="AC161" s="1024"/>
      <c r="AD161" s="1024"/>
      <c r="AE161" s="1024"/>
      <c r="AF161" s="1024"/>
      <c r="AG161" s="1024"/>
      <c r="AH161" s="1024"/>
      <c r="AI161" s="1024"/>
      <c r="AJ161" s="1024"/>
      <c r="AK161" s="1024"/>
      <c r="AL161" s="1024"/>
      <c r="AM161" s="1024"/>
      <c r="AN161" s="1024"/>
      <c r="AO161" s="1024"/>
      <c r="AP161" s="1024"/>
      <c r="AQ161" s="1024"/>
      <c r="AR161" s="1024"/>
      <c r="AS161" s="1024"/>
      <c r="AT161" s="1024"/>
      <c r="AU161" s="1024"/>
      <c r="AV161" s="1024"/>
      <c r="AW161" s="1024"/>
      <c r="AX161" s="1024"/>
      <c r="AY161" s="1024"/>
      <c r="AZ161" s="1024"/>
      <c r="BA161" s="1024"/>
      <c r="BB161" s="1024"/>
      <c r="BC161" s="1024"/>
      <c r="BD161" s="1024"/>
      <c r="BE161" s="1024"/>
      <c r="BF161" s="1024"/>
      <c r="BG161" s="1024"/>
      <c r="BH161" s="1024"/>
      <c r="BI161" s="1024"/>
      <c r="BJ161" s="1024"/>
      <c r="BK161" s="1024"/>
      <c r="BL161" s="1024"/>
    </row>
    <row r="162" spans="1:64">
      <c r="A162" s="1836"/>
      <c r="B162" s="1836"/>
      <c r="C162" s="1838" t="s">
        <v>1061</v>
      </c>
      <c r="D162" s="1031"/>
      <c r="E162" s="1026"/>
      <c r="F162" s="1017"/>
      <c r="G162" s="1027"/>
      <c r="H162" s="1840"/>
      <c r="I162" s="1030"/>
      <c r="J162" s="1023"/>
      <c r="K162" s="1023"/>
      <c r="L162" s="1023"/>
      <c r="M162" s="1024"/>
      <c r="N162" s="1024"/>
      <c r="O162" s="1024"/>
      <c r="P162" s="1024"/>
      <c r="Q162" s="1024"/>
      <c r="R162" s="1024"/>
      <c r="S162" s="1024"/>
      <c r="T162" s="1024"/>
      <c r="U162" s="1024"/>
      <c r="V162" s="1024"/>
      <c r="W162" s="1024"/>
      <c r="X162" s="1024"/>
      <c r="Y162" s="1024"/>
      <c r="Z162" s="1024"/>
      <c r="AA162" s="1024"/>
      <c r="AB162" s="1024"/>
      <c r="AC162" s="1024"/>
      <c r="AD162" s="1024"/>
      <c r="AE162" s="1024"/>
      <c r="AF162" s="1024"/>
      <c r="AG162" s="1024"/>
      <c r="AH162" s="1024"/>
      <c r="AI162" s="1024"/>
      <c r="AJ162" s="1024"/>
      <c r="AK162" s="1024"/>
      <c r="AL162" s="1024"/>
      <c r="AM162" s="1024"/>
      <c r="AN162" s="1024"/>
      <c r="AO162" s="1024"/>
      <c r="AP162" s="1024"/>
      <c r="AQ162" s="1024"/>
      <c r="AR162" s="1024"/>
      <c r="AS162" s="1024"/>
      <c r="AT162" s="1024"/>
      <c r="AU162" s="1024"/>
      <c r="AV162" s="1024"/>
      <c r="AW162" s="1024"/>
      <c r="AX162" s="1024"/>
      <c r="AY162" s="1024"/>
      <c r="AZ162" s="1024"/>
      <c r="BA162" s="1024"/>
      <c r="BB162" s="1024"/>
      <c r="BC162" s="1024"/>
      <c r="BD162" s="1024"/>
      <c r="BE162" s="1024"/>
      <c r="BF162" s="1024"/>
      <c r="BG162" s="1024"/>
      <c r="BH162" s="1024"/>
      <c r="BI162" s="1024"/>
      <c r="BJ162" s="1024"/>
      <c r="BK162" s="1024"/>
      <c r="BL162" s="1024"/>
    </row>
    <row r="163" spans="1:64">
      <c r="A163" s="1836"/>
      <c r="B163" s="1836"/>
      <c r="C163" s="1014" t="s">
        <v>1062</v>
      </c>
      <c r="D163" s="1034">
        <v>0.13</v>
      </c>
      <c r="E163" s="1044" t="s">
        <v>36</v>
      </c>
      <c r="F163" s="1001">
        <f>'Civil-SOR'!$G$302</f>
        <v>550</v>
      </c>
      <c r="G163" s="1045">
        <v>1</v>
      </c>
      <c r="H163" s="1044" t="s">
        <v>39</v>
      </c>
      <c r="I163" s="1030">
        <f t="shared" ref="I163:I166" si="18">IF(G163="",D163*F163,(D163*F163/G163))</f>
        <v>71.5</v>
      </c>
      <c r="J163" s="1023"/>
      <c r="K163" s="1023"/>
      <c r="L163" s="1023"/>
      <c r="M163" s="1024"/>
      <c r="N163" s="1024"/>
      <c r="O163" s="1024"/>
      <c r="P163" s="1024"/>
      <c r="Q163" s="1024"/>
      <c r="R163" s="1024"/>
      <c r="S163" s="1024"/>
      <c r="T163" s="1024"/>
      <c r="U163" s="1024"/>
      <c r="V163" s="1024"/>
      <c r="W163" s="1024"/>
      <c r="X163" s="1024"/>
      <c r="Y163" s="1024"/>
      <c r="Z163" s="1024"/>
      <c r="AA163" s="1024"/>
      <c r="AB163" s="1024"/>
      <c r="AC163" s="1024"/>
      <c r="AD163" s="1024"/>
      <c r="AE163" s="1024"/>
      <c r="AF163" s="1024"/>
      <c r="AG163" s="1024"/>
      <c r="AH163" s="1024"/>
      <c r="AI163" s="1024"/>
      <c r="AJ163" s="1024"/>
      <c r="AK163" s="1024"/>
      <c r="AL163" s="1024"/>
      <c r="AM163" s="1024"/>
      <c r="AN163" s="1024"/>
      <c r="AO163" s="1024"/>
      <c r="AP163" s="1024"/>
      <c r="AQ163" s="1024"/>
      <c r="AR163" s="1024"/>
      <c r="AS163" s="1024"/>
      <c r="AT163" s="1024"/>
      <c r="AU163" s="1024"/>
      <c r="AV163" s="1024"/>
      <c r="AW163" s="1024"/>
      <c r="AX163" s="1024"/>
      <c r="AY163" s="1024"/>
      <c r="AZ163" s="1024"/>
      <c r="BA163" s="1024"/>
      <c r="BB163" s="1024"/>
      <c r="BC163" s="1024"/>
      <c r="BD163" s="1024"/>
      <c r="BE163" s="1024"/>
      <c r="BF163" s="1024"/>
      <c r="BG163" s="1024"/>
      <c r="BH163" s="1024"/>
      <c r="BI163" s="1024"/>
      <c r="BJ163" s="1024"/>
      <c r="BK163" s="1024"/>
      <c r="BL163" s="1024"/>
    </row>
    <row r="164" spans="1:64">
      <c r="A164" s="1836"/>
      <c r="B164" s="1836"/>
      <c r="C164" s="1014" t="s">
        <v>1042</v>
      </c>
      <c r="D164" s="1034">
        <v>0.27</v>
      </c>
      <c r="E164" s="1044" t="s">
        <v>36</v>
      </c>
      <c r="F164" s="1001">
        <f>'Civil-SOR'!$G$307</f>
        <v>520</v>
      </c>
      <c r="G164" s="1045">
        <v>1</v>
      </c>
      <c r="H164" s="1044" t="s">
        <v>39</v>
      </c>
      <c r="I164" s="1030">
        <f t="shared" si="18"/>
        <v>140.4</v>
      </c>
      <c r="J164" s="1023"/>
      <c r="K164" s="1023"/>
      <c r="L164" s="1023"/>
      <c r="M164" s="1024"/>
      <c r="N164" s="1024"/>
      <c r="O164" s="1024"/>
      <c r="P164" s="1024"/>
      <c r="Q164" s="1024"/>
      <c r="R164" s="1024"/>
      <c r="S164" s="1024"/>
      <c r="T164" s="1024"/>
      <c r="U164" s="1024"/>
      <c r="V164" s="1024"/>
      <c r="W164" s="1024"/>
      <c r="X164" s="1024"/>
      <c r="Y164" s="1024"/>
      <c r="Z164" s="1024"/>
      <c r="AA164" s="1024"/>
      <c r="AB164" s="1024"/>
      <c r="AC164" s="1024"/>
      <c r="AD164" s="1024"/>
      <c r="AE164" s="1024"/>
      <c r="AF164" s="1024"/>
      <c r="AG164" s="1024"/>
      <c r="AH164" s="1024"/>
      <c r="AI164" s="1024"/>
      <c r="AJ164" s="1024"/>
      <c r="AK164" s="1024"/>
      <c r="AL164" s="1024"/>
      <c r="AM164" s="1024"/>
      <c r="AN164" s="1024"/>
      <c r="AO164" s="1024"/>
      <c r="AP164" s="1024"/>
      <c r="AQ164" s="1024"/>
      <c r="AR164" s="1024"/>
      <c r="AS164" s="1024"/>
      <c r="AT164" s="1024"/>
      <c r="AU164" s="1024"/>
      <c r="AV164" s="1024"/>
      <c r="AW164" s="1024"/>
      <c r="AX164" s="1024"/>
      <c r="AY164" s="1024"/>
      <c r="AZ164" s="1024"/>
      <c r="BA164" s="1024"/>
      <c r="BB164" s="1024"/>
      <c r="BC164" s="1024"/>
      <c r="BD164" s="1024"/>
      <c r="BE164" s="1024"/>
      <c r="BF164" s="1024"/>
      <c r="BG164" s="1024"/>
      <c r="BH164" s="1024"/>
      <c r="BI164" s="1024"/>
      <c r="BJ164" s="1024"/>
      <c r="BK164" s="1024"/>
      <c r="BL164" s="1024"/>
    </row>
    <row r="165" spans="1:64">
      <c r="A165" s="1836"/>
      <c r="B165" s="1836"/>
      <c r="C165" s="1014" t="s">
        <v>1063</v>
      </c>
      <c r="D165" s="1034">
        <v>7.0000000000000007E-2</v>
      </c>
      <c r="E165" s="1044" t="s">
        <v>36</v>
      </c>
      <c r="F165" s="1001">
        <f>'Civil-SOR'!$G$302</f>
        <v>550</v>
      </c>
      <c r="G165" s="1045">
        <v>1</v>
      </c>
      <c r="H165" s="1044" t="s">
        <v>39</v>
      </c>
      <c r="I165" s="1030">
        <f t="shared" si="18"/>
        <v>38.500000000000007</v>
      </c>
      <c r="J165" s="1023"/>
      <c r="K165" s="1023"/>
      <c r="L165" s="1023"/>
      <c r="M165" s="1024"/>
      <c r="N165" s="1024"/>
      <c r="O165" s="1024"/>
      <c r="P165" s="1024"/>
      <c r="Q165" s="1024"/>
      <c r="R165" s="1024"/>
      <c r="S165" s="1024"/>
      <c r="T165" s="1024"/>
      <c r="U165" s="1024"/>
      <c r="V165" s="1024"/>
      <c r="W165" s="1024"/>
      <c r="X165" s="1024"/>
      <c r="Y165" s="1024"/>
      <c r="Z165" s="1024"/>
      <c r="AA165" s="1024"/>
      <c r="AB165" s="1024"/>
      <c r="AC165" s="1024"/>
      <c r="AD165" s="1024"/>
      <c r="AE165" s="1024"/>
      <c r="AF165" s="1024"/>
      <c r="AG165" s="1024"/>
      <c r="AH165" s="1024"/>
      <c r="AI165" s="1024"/>
      <c r="AJ165" s="1024"/>
      <c r="AK165" s="1024"/>
      <c r="AL165" s="1024"/>
      <c r="AM165" s="1024"/>
      <c r="AN165" s="1024"/>
      <c r="AO165" s="1024"/>
      <c r="AP165" s="1024"/>
      <c r="AQ165" s="1024"/>
      <c r="AR165" s="1024"/>
      <c r="AS165" s="1024"/>
      <c r="AT165" s="1024"/>
      <c r="AU165" s="1024"/>
      <c r="AV165" s="1024"/>
      <c r="AW165" s="1024"/>
      <c r="AX165" s="1024"/>
      <c r="AY165" s="1024"/>
      <c r="AZ165" s="1024"/>
      <c r="BA165" s="1024"/>
      <c r="BB165" s="1024"/>
      <c r="BC165" s="1024"/>
      <c r="BD165" s="1024"/>
      <c r="BE165" s="1024"/>
      <c r="BF165" s="1024"/>
      <c r="BG165" s="1024"/>
      <c r="BH165" s="1024"/>
      <c r="BI165" s="1024"/>
      <c r="BJ165" s="1024"/>
      <c r="BK165" s="1024"/>
      <c r="BL165" s="1024"/>
    </row>
    <row r="166" spans="1:64">
      <c r="A166" s="1836"/>
      <c r="B166" s="1836"/>
      <c r="C166" s="1014" t="str">
        <f>Input!$C$47</f>
        <v>Add for MA @ 40%</v>
      </c>
      <c r="D166" s="1031">
        <f>Input!$D$47</f>
        <v>0.4</v>
      </c>
      <c r="E166" s="1026"/>
      <c r="F166" s="1017">
        <f>SUM(I163:I165)</f>
        <v>250.4</v>
      </c>
      <c r="G166" s="1027"/>
      <c r="H166" s="1840"/>
      <c r="I166" s="1030">
        <f t="shared" si="18"/>
        <v>100.16000000000001</v>
      </c>
      <c r="J166" s="1023"/>
      <c r="K166" s="1023"/>
      <c r="L166" s="1023"/>
      <c r="M166" s="1024"/>
      <c r="N166" s="1024"/>
      <c r="O166" s="1024"/>
      <c r="P166" s="1024"/>
      <c r="Q166" s="1024"/>
      <c r="R166" s="1024"/>
      <c r="S166" s="1024"/>
      <c r="T166" s="1024"/>
      <c r="U166" s="1024"/>
      <c r="V166" s="1024"/>
      <c r="W166" s="1024"/>
      <c r="X166" s="1024"/>
      <c r="Y166" s="1024"/>
      <c r="Z166" s="1024"/>
      <c r="AA166" s="1024"/>
      <c r="AB166" s="1024"/>
      <c r="AC166" s="1024"/>
      <c r="AD166" s="1024"/>
      <c r="AE166" s="1024"/>
      <c r="AF166" s="1024"/>
      <c r="AG166" s="1024"/>
      <c r="AH166" s="1024"/>
      <c r="AI166" s="1024"/>
      <c r="AJ166" s="1024"/>
      <c r="AK166" s="1024"/>
      <c r="AL166" s="1024"/>
      <c r="AM166" s="1024"/>
      <c r="AN166" s="1024"/>
      <c r="AO166" s="1024"/>
      <c r="AP166" s="1024"/>
      <c r="AQ166" s="1024"/>
      <c r="AR166" s="1024"/>
      <c r="AS166" s="1024"/>
      <c r="AT166" s="1024"/>
      <c r="AU166" s="1024"/>
      <c r="AV166" s="1024"/>
      <c r="AW166" s="1024"/>
      <c r="AX166" s="1024"/>
      <c r="AY166" s="1024"/>
      <c r="AZ166" s="1024"/>
      <c r="BA166" s="1024"/>
      <c r="BB166" s="1024"/>
      <c r="BC166" s="1024"/>
      <c r="BD166" s="1024"/>
      <c r="BE166" s="1024"/>
      <c r="BF166" s="1024"/>
      <c r="BG166" s="1024"/>
      <c r="BH166" s="1024"/>
      <c r="BI166" s="1024"/>
      <c r="BJ166" s="1024"/>
      <c r="BK166" s="1024"/>
      <c r="BL166" s="1024"/>
    </row>
    <row r="167" spans="1:64">
      <c r="A167" s="1836"/>
      <c r="B167" s="1836"/>
      <c r="C167" s="1840"/>
      <c r="D167" s="1017"/>
      <c r="E167" s="1026"/>
      <c r="F167" s="1017"/>
      <c r="G167" s="1027"/>
      <c r="H167" s="1840"/>
      <c r="I167" s="1017">
        <f>SUM(I163:I166)</f>
        <v>350.56</v>
      </c>
      <c r="J167" s="1023"/>
      <c r="K167" s="1023"/>
      <c r="L167" s="1023"/>
      <c r="M167" s="1024"/>
      <c r="N167" s="1024"/>
      <c r="O167" s="1024"/>
      <c r="P167" s="1024"/>
      <c r="Q167" s="1024"/>
      <c r="R167" s="1024"/>
      <c r="S167" s="1024"/>
      <c r="T167" s="1024"/>
      <c r="U167" s="1024"/>
      <c r="V167" s="1024"/>
      <c r="W167" s="1024"/>
      <c r="X167" s="1024"/>
      <c r="Y167" s="1024"/>
      <c r="Z167" s="1024"/>
      <c r="AA167" s="1024"/>
      <c r="AB167" s="1024"/>
      <c r="AC167" s="1024"/>
      <c r="AD167" s="1024"/>
      <c r="AE167" s="1024"/>
      <c r="AF167" s="1024"/>
      <c r="AG167" s="1024"/>
      <c r="AH167" s="1024"/>
      <c r="AI167" s="1024"/>
      <c r="AJ167" s="1024"/>
      <c r="AK167" s="1024"/>
      <c r="AL167" s="1024"/>
      <c r="AM167" s="1024"/>
      <c r="AN167" s="1024"/>
      <c r="AO167" s="1024"/>
      <c r="AP167" s="1024"/>
      <c r="AQ167" s="1024"/>
      <c r="AR167" s="1024"/>
      <c r="AS167" s="1024"/>
      <c r="AT167" s="1024"/>
      <c r="AU167" s="1024"/>
      <c r="AV167" s="1024"/>
      <c r="AW167" s="1024"/>
      <c r="AX167" s="1024"/>
      <c r="AY167" s="1024"/>
      <c r="AZ167" s="1024"/>
      <c r="BA167" s="1024"/>
      <c r="BB167" s="1024"/>
      <c r="BC167" s="1024"/>
      <c r="BD167" s="1024"/>
      <c r="BE167" s="1024"/>
      <c r="BF167" s="1024"/>
      <c r="BG167" s="1024"/>
      <c r="BH167" s="1024"/>
      <c r="BI167" s="1024"/>
      <c r="BJ167" s="1024"/>
      <c r="BK167" s="1024"/>
      <c r="BL167" s="1024"/>
    </row>
    <row r="168" spans="1:64">
      <c r="A168" s="1035"/>
      <c r="B168" s="1035"/>
      <c r="C168" s="1849" t="str">
        <f>Input!$C$48</f>
        <v>Overheads &amp; Contractors Profit @ 13.615%</v>
      </c>
      <c r="D168" s="1850">
        <f>Input!$D$48</f>
        <v>0.13614999999999999</v>
      </c>
      <c r="E168" s="1039"/>
      <c r="F168" s="1848">
        <f>I167</f>
        <v>350.56</v>
      </c>
      <c r="G168" s="1025"/>
      <c r="H168" s="1847"/>
      <c r="I168" s="1001">
        <f>IF(G168="",D168*F168,(D168*F168/G168))</f>
        <v>47.728743999999999</v>
      </c>
      <c r="J168" s="1823"/>
      <c r="K168" s="1823"/>
      <c r="L168" s="1823"/>
      <c r="M168" s="1037"/>
      <c r="N168" s="1037"/>
      <c r="O168" s="1037"/>
      <c r="P168" s="1037"/>
      <c r="Q168" s="1037"/>
      <c r="R168" s="1037"/>
      <c r="S168" s="1037"/>
      <c r="T168" s="1037"/>
      <c r="U168" s="1037"/>
      <c r="V168" s="1037"/>
      <c r="W168" s="1037"/>
      <c r="X168" s="1037"/>
      <c r="Y168" s="1037"/>
      <c r="Z168" s="1037"/>
      <c r="AA168" s="1037"/>
      <c r="AB168" s="1037"/>
      <c r="AC168" s="1037"/>
      <c r="AD168" s="1037"/>
      <c r="AE168" s="1037"/>
      <c r="AF168" s="1037"/>
      <c r="AG168" s="1037"/>
      <c r="AH168" s="1037"/>
      <c r="AI168" s="1037"/>
      <c r="AJ168" s="1037"/>
      <c r="AK168" s="1037"/>
      <c r="AL168" s="1037"/>
      <c r="AM168" s="1037"/>
      <c r="AN168" s="1037"/>
      <c r="AO168" s="1037"/>
      <c r="AP168" s="1037"/>
      <c r="AQ168" s="1037"/>
      <c r="AR168" s="1037"/>
      <c r="AS168" s="1037"/>
      <c r="AT168" s="1037"/>
      <c r="AU168" s="1037"/>
      <c r="AV168" s="1037"/>
      <c r="AW168" s="1037"/>
      <c r="AX168" s="1037"/>
      <c r="AY168" s="1037"/>
      <c r="AZ168" s="1037"/>
      <c r="BA168" s="1037"/>
      <c r="BB168" s="1037"/>
      <c r="BC168" s="1037"/>
      <c r="BD168" s="1037"/>
      <c r="BE168" s="1037"/>
      <c r="BF168" s="1037"/>
      <c r="BG168" s="1037"/>
      <c r="BH168" s="1037"/>
      <c r="BI168" s="1037"/>
      <c r="BJ168" s="1037"/>
      <c r="BK168" s="1037"/>
      <c r="BL168" s="1037"/>
    </row>
    <row r="169" spans="1:64">
      <c r="A169" s="1836"/>
      <c r="B169" s="1836"/>
      <c r="C169" s="1838" t="s">
        <v>1064</v>
      </c>
      <c r="D169" s="1017"/>
      <c r="E169" s="1026"/>
      <c r="F169" s="1017"/>
      <c r="G169" s="1027"/>
      <c r="H169" s="1034" t="s">
        <v>1033</v>
      </c>
      <c r="I169" s="1017">
        <f>SUM(I167:I168)</f>
        <v>398.28874400000001</v>
      </c>
      <c r="J169" s="1023"/>
      <c r="K169" s="1023"/>
      <c r="L169" s="1023"/>
      <c r="M169" s="1024"/>
      <c r="N169" s="1024"/>
      <c r="O169" s="1024"/>
      <c r="P169" s="1024"/>
      <c r="Q169" s="1024"/>
      <c r="R169" s="1024"/>
      <c r="S169" s="1024"/>
      <c r="T169" s="1024"/>
      <c r="U169" s="1024"/>
      <c r="V169" s="1024"/>
      <c r="W169" s="1024"/>
      <c r="X169" s="1024"/>
      <c r="Y169" s="1024"/>
      <c r="Z169" s="1024"/>
      <c r="AA169" s="1024"/>
      <c r="AB169" s="1024"/>
      <c r="AC169" s="1024"/>
      <c r="AD169" s="1024"/>
      <c r="AE169" s="1024"/>
      <c r="AF169" s="1024"/>
      <c r="AG169" s="1024"/>
      <c r="AH169" s="1024"/>
      <c r="AI169" s="1024"/>
      <c r="AJ169" s="1024"/>
      <c r="AK169" s="1024"/>
      <c r="AL169" s="1024"/>
      <c r="AM169" s="1024"/>
      <c r="AN169" s="1024"/>
      <c r="AO169" s="1024"/>
      <c r="AP169" s="1024"/>
      <c r="AQ169" s="1024"/>
      <c r="AR169" s="1024"/>
      <c r="AS169" s="1024"/>
      <c r="AT169" s="1024"/>
      <c r="AU169" s="1024"/>
      <c r="AV169" s="1024"/>
      <c r="AW169" s="1024"/>
      <c r="AX169" s="1024"/>
      <c r="AY169" s="1024"/>
      <c r="AZ169" s="1024"/>
      <c r="BA169" s="1024"/>
      <c r="BB169" s="1024"/>
      <c r="BC169" s="1024"/>
      <c r="BD169" s="1024"/>
      <c r="BE169" s="1024"/>
      <c r="BF169" s="1024"/>
      <c r="BG169" s="1024"/>
      <c r="BH169" s="1024"/>
      <c r="BI169" s="1024"/>
      <c r="BJ169" s="1024"/>
      <c r="BK169" s="1024"/>
      <c r="BL169" s="1024"/>
    </row>
    <row r="170" spans="1:64">
      <c r="A170" s="1836"/>
      <c r="B170" s="1836"/>
      <c r="C170" s="1840"/>
      <c r="D170" s="1017"/>
      <c r="E170" s="1026"/>
      <c r="F170" s="1017"/>
      <c r="G170" s="1027"/>
      <c r="H170" s="1842" t="s">
        <v>1034</v>
      </c>
      <c r="I170" s="1011">
        <f>ROUND(I169,0)</f>
        <v>398</v>
      </c>
      <c r="J170" s="1023"/>
      <c r="K170" s="1023"/>
      <c r="L170" s="1023"/>
      <c r="M170" s="1024"/>
      <c r="N170" s="1024"/>
      <c r="O170" s="1024"/>
      <c r="P170" s="1024"/>
      <c r="Q170" s="1024"/>
      <c r="R170" s="1024"/>
      <c r="S170" s="1024"/>
      <c r="T170" s="1024"/>
      <c r="U170" s="1024"/>
      <c r="V170" s="1024"/>
      <c r="W170" s="1024"/>
      <c r="X170" s="1024"/>
      <c r="Y170" s="1024"/>
      <c r="Z170" s="1024"/>
      <c r="AA170" s="1024"/>
      <c r="AB170" s="1024"/>
      <c r="AC170" s="1024"/>
      <c r="AD170" s="1024"/>
      <c r="AE170" s="1024"/>
      <c r="AF170" s="1024"/>
      <c r="AG170" s="1024"/>
      <c r="AH170" s="1024"/>
      <c r="AI170" s="1024"/>
      <c r="AJ170" s="1024"/>
      <c r="AK170" s="1024"/>
      <c r="AL170" s="1024"/>
      <c r="AM170" s="1024"/>
      <c r="AN170" s="1024"/>
      <c r="AO170" s="1024"/>
      <c r="AP170" s="1024"/>
      <c r="AQ170" s="1024"/>
      <c r="AR170" s="1024"/>
      <c r="AS170" s="1024"/>
      <c r="AT170" s="1024"/>
      <c r="AU170" s="1024"/>
      <c r="AV170" s="1024"/>
      <c r="AW170" s="1024"/>
      <c r="AX170" s="1024"/>
      <c r="AY170" s="1024"/>
      <c r="AZ170" s="1024"/>
      <c r="BA170" s="1024"/>
      <c r="BB170" s="1024"/>
      <c r="BC170" s="1024"/>
      <c r="BD170" s="1024"/>
      <c r="BE170" s="1024"/>
      <c r="BF170" s="1024"/>
      <c r="BG170" s="1024"/>
      <c r="BH170" s="1024"/>
      <c r="BI170" s="1024"/>
      <c r="BJ170" s="1024"/>
      <c r="BK170" s="1024"/>
      <c r="BL170" s="1024"/>
    </row>
    <row r="171" spans="1:64">
      <c r="A171" s="1836"/>
      <c r="B171" s="1836"/>
      <c r="C171" s="1840"/>
      <c r="D171" s="1017"/>
      <c r="E171" s="1026"/>
      <c r="F171" s="1017"/>
      <c r="G171" s="1027"/>
      <c r="H171" s="1840"/>
      <c r="I171" s="1836"/>
      <c r="J171" s="1023"/>
      <c r="K171" s="1023"/>
      <c r="L171" s="1023"/>
      <c r="M171" s="1024"/>
      <c r="N171" s="1024"/>
      <c r="O171" s="1024"/>
      <c r="P171" s="1024"/>
      <c r="Q171" s="1024"/>
      <c r="R171" s="1024"/>
      <c r="S171" s="1024"/>
      <c r="T171" s="1024"/>
      <c r="U171" s="1024"/>
      <c r="V171" s="1024"/>
      <c r="W171" s="1024"/>
      <c r="X171" s="1024"/>
      <c r="Y171" s="1024"/>
      <c r="Z171" s="1024"/>
      <c r="AA171" s="1024"/>
      <c r="AB171" s="1024"/>
      <c r="AC171" s="1024"/>
      <c r="AD171" s="1024"/>
      <c r="AE171" s="1024"/>
      <c r="AF171" s="1024"/>
      <c r="AG171" s="1024"/>
      <c r="AH171" s="1024"/>
      <c r="AI171" s="1024"/>
      <c r="AJ171" s="1024"/>
      <c r="AK171" s="1024"/>
      <c r="AL171" s="1024"/>
      <c r="AM171" s="1024"/>
      <c r="AN171" s="1024"/>
      <c r="AO171" s="1024"/>
      <c r="AP171" s="1024"/>
      <c r="AQ171" s="1024"/>
      <c r="AR171" s="1024"/>
      <c r="AS171" s="1024"/>
      <c r="AT171" s="1024"/>
      <c r="AU171" s="1024"/>
      <c r="AV171" s="1024"/>
      <c r="AW171" s="1024"/>
      <c r="AX171" s="1024"/>
      <c r="AY171" s="1024"/>
      <c r="AZ171" s="1024"/>
      <c r="BA171" s="1024"/>
      <c r="BB171" s="1024"/>
      <c r="BC171" s="1024"/>
      <c r="BD171" s="1024"/>
      <c r="BE171" s="1024"/>
      <c r="BF171" s="1024"/>
      <c r="BG171" s="1024"/>
      <c r="BH171" s="1024"/>
      <c r="BI171" s="1024"/>
      <c r="BJ171" s="1024"/>
      <c r="BK171" s="1024"/>
      <c r="BL171" s="1024"/>
    </row>
    <row r="172" spans="1:64" ht="60.4" customHeight="1">
      <c r="A172" s="1824">
        <f>1+A148</f>
        <v>3</v>
      </c>
      <c r="B172" s="1048"/>
      <c r="C172" s="2049" t="s">
        <v>3630</v>
      </c>
      <c r="D172" s="2049"/>
      <c r="E172" s="2049"/>
      <c r="F172" s="2049"/>
      <c r="G172" s="2049"/>
      <c r="H172" s="2049"/>
      <c r="I172" s="1825"/>
      <c r="J172" s="1846"/>
      <c r="K172" s="1846"/>
      <c r="L172" s="1846"/>
    </row>
    <row r="173" spans="1:64">
      <c r="A173" s="1818"/>
      <c r="B173" s="1048"/>
      <c r="C173" s="1049" t="s">
        <v>1067</v>
      </c>
      <c r="D173" s="1846"/>
      <c r="E173" s="1846"/>
      <c r="F173" s="1001"/>
      <c r="G173" s="1015"/>
      <c r="H173" s="1050"/>
      <c r="I173" s="1030"/>
      <c r="J173" s="1846"/>
      <c r="K173" s="1846"/>
      <c r="L173" s="1846"/>
    </row>
    <row r="174" spans="1:64" ht="12.75" customHeight="1">
      <c r="A174" s="1818"/>
      <c r="B174" s="1048"/>
      <c r="C174" s="2045" t="s">
        <v>1068</v>
      </c>
      <c r="D174" s="2045"/>
      <c r="E174" s="2045"/>
      <c r="F174" s="1001"/>
      <c r="G174" s="1015"/>
      <c r="H174" s="1050"/>
      <c r="I174" s="1030"/>
      <c r="J174" s="1846"/>
      <c r="K174" s="1846"/>
      <c r="L174" s="1846"/>
    </row>
    <row r="175" spans="1:64">
      <c r="A175" s="1818"/>
      <c r="B175" s="1048"/>
      <c r="C175" s="1816" t="s">
        <v>1069</v>
      </c>
      <c r="D175" s="1051"/>
      <c r="E175" s="1052"/>
      <c r="F175" s="1030"/>
      <c r="G175" s="1053"/>
      <c r="H175" s="1054" t="str">
        <f>IF(E175="","",IF(E175="No.","Each",IF(E175="Nos.","Each",E175)))</f>
        <v/>
      </c>
      <c r="I175" s="1030"/>
      <c r="J175" s="1846"/>
      <c r="K175" s="1846"/>
      <c r="L175" s="1846"/>
    </row>
    <row r="176" spans="1:64">
      <c r="A176" s="1818"/>
      <c r="B176" s="1048"/>
      <c r="C176" s="1816" t="s">
        <v>1070</v>
      </c>
      <c r="D176" s="1055"/>
      <c r="E176" s="1056"/>
      <c r="F176" s="1001"/>
      <c r="G176" s="1020"/>
      <c r="H176" s="1057"/>
      <c r="I176" s="1030"/>
      <c r="J176" s="1846"/>
      <c r="K176" s="1846"/>
      <c r="L176" s="1846"/>
    </row>
    <row r="177" spans="1:64">
      <c r="A177" s="1058"/>
      <c r="B177" s="1059"/>
      <c r="C177" s="1816" t="s">
        <v>1071</v>
      </c>
      <c r="D177" s="1060"/>
      <c r="E177" s="1061"/>
      <c r="F177" s="1062"/>
      <c r="G177" s="1063"/>
      <c r="H177" s="1064"/>
      <c r="I177" s="1065"/>
      <c r="J177" s="1022"/>
      <c r="K177" s="1022"/>
      <c r="L177" s="1022"/>
      <c r="M177" s="1066"/>
      <c r="N177" s="1066"/>
      <c r="O177" s="1066"/>
      <c r="P177" s="1066"/>
      <c r="Q177" s="1066"/>
      <c r="R177" s="1066"/>
      <c r="S177" s="1066"/>
      <c r="T177" s="1066"/>
      <c r="U177" s="1066"/>
      <c r="V177" s="1066"/>
      <c r="W177" s="1066"/>
      <c r="X177" s="1066"/>
      <c r="Y177" s="1066"/>
      <c r="Z177" s="1066"/>
      <c r="AA177" s="1066"/>
      <c r="AB177" s="1066"/>
      <c r="AC177" s="1066"/>
      <c r="AD177" s="1066"/>
      <c r="AE177" s="1066"/>
      <c r="AF177" s="1066"/>
      <c r="AG177" s="1066"/>
      <c r="AH177" s="1066"/>
      <c r="AI177" s="1066"/>
      <c r="AJ177" s="1066"/>
      <c r="AK177" s="1066"/>
      <c r="AL177" s="1066"/>
      <c r="AM177" s="1066"/>
      <c r="AN177" s="1066"/>
      <c r="AO177" s="1066"/>
      <c r="AP177" s="1066"/>
      <c r="AQ177" s="1066"/>
      <c r="AR177" s="1066"/>
      <c r="AS177" s="1066"/>
      <c r="AT177" s="1066"/>
      <c r="AU177" s="1066"/>
      <c r="AV177" s="1066"/>
      <c r="AW177" s="1066"/>
      <c r="AX177" s="1066"/>
      <c r="AY177" s="1066"/>
      <c r="AZ177" s="1066"/>
      <c r="BA177" s="1066"/>
      <c r="BB177" s="1066"/>
      <c r="BC177" s="1066"/>
      <c r="BD177" s="1066"/>
      <c r="BE177" s="1066"/>
      <c r="BF177" s="1066"/>
      <c r="BG177" s="1066"/>
      <c r="BH177" s="1066"/>
      <c r="BI177" s="1066"/>
      <c r="BJ177" s="1066"/>
      <c r="BK177" s="1066"/>
      <c r="BL177" s="1066"/>
    </row>
    <row r="178" spans="1:64">
      <c r="A178" s="1058"/>
      <c r="B178" s="1059"/>
      <c r="C178" s="1817" t="s">
        <v>1072</v>
      </c>
      <c r="D178" s="1060">
        <v>3.64</v>
      </c>
      <c r="E178" s="1061" t="s">
        <v>36</v>
      </c>
      <c r="F178" s="1062">
        <f>'Civil-SOR'!$G$307</f>
        <v>520</v>
      </c>
      <c r="G178" s="1063">
        <v>1</v>
      </c>
      <c r="H178" s="1061" t="s">
        <v>39</v>
      </c>
      <c r="I178" s="1062">
        <f t="shared" ref="I178:I179" si="19">IF(G178="",D178*F178,(D178*F178/G178))</f>
        <v>1892.8</v>
      </c>
      <c r="J178" s="1022"/>
      <c r="K178" s="1022"/>
      <c r="L178" s="1022"/>
      <c r="M178" s="1066"/>
      <c r="N178" s="1066"/>
      <c r="O178" s="1066"/>
      <c r="P178" s="1066"/>
      <c r="Q178" s="1066"/>
      <c r="R178" s="1066"/>
      <c r="S178" s="1066"/>
      <c r="T178" s="1066"/>
      <c r="U178" s="1066"/>
      <c r="V178" s="1066"/>
      <c r="W178" s="1066"/>
      <c r="X178" s="1066"/>
      <c r="Y178" s="1066"/>
      <c r="Z178" s="1066"/>
      <c r="AA178" s="1066"/>
      <c r="AB178" s="1066"/>
      <c r="AC178" s="1066"/>
      <c r="AD178" s="1066"/>
      <c r="AE178" s="1066"/>
      <c r="AF178" s="1066"/>
      <c r="AG178" s="1066"/>
      <c r="AH178" s="1066"/>
      <c r="AI178" s="1066"/>
      <c r="AJ178" s="1066"/>
      <c r="AK178" s="1066"/>
      <c r="AL178" s="1066"/>
      <c r="AM178" s="1066"/>
      <c r="AN178" s="1066"/>
      <c r="AO178" s="1066"/>
      <c r="AP178" s="1066"/>
      <c r="AQ178" s="1066"/>
      <c r="AR178" s="1066"/>
      <c r="AS178" s="1066"/>
      <c r="AT178" s="1066"/>
      <c r="AU178" s="1066"/>
      <c r="AV178" s="1066"/>
      <c r="AW178" s="1066"/>
      <c r="AX178" s="1066"/>
      <c r="AY178" s="1066"/>
      <c r="AZ178" s="1066"/>
      <c r="BA178" s="1066"/>
      <c r="BB178" s="1066"/>
      <c r="BC178" s="1066"/>
      <c r="BD178" s="1066"/>
      <c r="BE178" s="1066"/>
      <c r="BF178" s="1066"/>
      <c r="BG178" s="1066"/>
      <c r="BH178" s="1066"/>
      <c r="BI178" s="1066"/>
      <c r="BJ178" s="1066"/>
      <c r="BK178" s="1066"/>
      <c r="BL178" s="1066"/>
    </row>
    <row r="179" spans="1:64">
      <c r="A179" s="1058"/>
      <c r="B179" s="1059"/>
      <c r="C179" s="1817" t="str">
        <f>Input!$C$47</f>
        <v>Add for MA @ 40%</v>
      </c>
      <c r="D179" s="1060">
        <f>Input!$D$47</f>
        <v>0.4</v>
      </c>
      <c r="E179" s="1061"/>
      <c r="F179" s="1062">
        <f>I178</f>
        <v>1892.8</v>
      </c>
      <c r="G179" s="1063"/>
      <c r="H179" s="1061"/>
      <c r="I179" s="1062">
        <f t="shared" si="19"/>
        <v>757.12</v>
      </c>
      <c r="J179" s="1022"/>
      <c r="K179" s="1022"/>
      <c r="L179" s="1022"/>
      <c r="M179" s="1066"/>
      <c r="N179" s="1066"/>
      <c r="O179" s="1066"/>
      <c r="P179" s="1066"/>
      <c r="Q179" s="1066"/>
      <c r="R179" s="1066"/>
      <c r="S179" s="1066"/>
      <c r="T179" s="1066"/>
      <c r="U179" s="1066"/>
      <c r="V179" s="1066"/>
      <c r="W179" s="1066"/>
      <c r="X179" s="1066"/>
      <c r="Y179" s="1066"/>
      <c r="Z179" s="1066"/>
      <c r="AA179" s="1066"/>
      <c r="AB179" s="1066"/>
      <c r="AC179" s="1066"/>
      <c r="AD179" s="1066"/>
      <c r="AE179" s="1066"/>
      <c r="AF179" s="1066"/>
      <c r="AG179" s="1066"/>
      <c r="AH179" s="1066"/>
      <c r="AI179" s="1066"/>
      <c r="AJ179" s="1066"/>
      <c r="AK179" s="1066"/>
      <c r="AL179" s="1066"/>
      <c r="AM179" s="1066"/>
      <c r="AN179" s="1066"/>
      <c r="AO179" s="1066"/>
      <c r="AP179" s="1066"/>
      <c r="AQ179" s="1066"/>
      <c r="AR179" s="1066"/>
      <c r="AS179" s="1066"/>
      <c r="AT179" s="1066"/>
      <c r="AU179" s="1066"/>
      <c r="AV179" s="1066"/>
      <c r="AW179" s="1066"/>
      <c r="AX179" s="1066"/>
      <c r="AY179" s="1066"/>
      <c r="AZ179" s="1066"/>
      <c r="BA179" s="1066"/>
      <c r="BB179" s="1066"/>
      <c r="BC179" s="1066"/>
      <c r="BD179" s="1066"/>
      <c r="BE179" s="1066"/>
      <c r="BF179" s="1066"/>
      <c r="BG179" s="1066"/>
      <c r="BH179" s="1066"/>
      <c r="BI179" s="1066"/>
      <c r="BJ179" s="1066"/>
      <c r="BK179" s="1066"/>
      <c r="BL179" s="1066"/>
    </row>
    <row r="180" spans="1:64">
      <c r="A180" s="1058"/>
      <c r="B180" s="1059"/>
      <c r="C180" s="1817" t="s">
        <v>1073</v>
      </c>
      <c r="D180" s="1060"/>
      <c r="E180" s="1061"/>
      <c r="F180" s="1062"/>
      <c r="G180" s="1063"/>
      <c r="H180" s="1061"/>
      <c r="I180" s="1062">
        <f>SUM(I178:I179)</f>
        <v>2649.92</v>
      </c>
      <c r="J180" s="1022"/>
      <c r="K180" s="1022"/>
      <c r="L180" s="1022"/>
      <c r="M180" s="1066"/>
      <c r="N180" s="1066"/>
      <c r="O180" s="1066"/>
      <c r="P180" s="1066"/>
      <c r="Q180" s="1066"/>
      <c r="R180" s="1066"/>
      <c r="S180" s="1066"/>
      <c r="T180" s="1066"/>
      <c r="U180" s="1066"/>
      <c r="V180" s="1066"/>
      <c r="W180" s="1066"/>
      <c r="X180" s="1066"/>
      <c r="Y180" s="1066"/>
      <c r="Z180" s="1066"/>
      <c r="AA180" s="1066"/>
      <c r="AB180" s="1066"/>
      <c r="AC180" s="1066"/>
      <c r="AD180" s="1066"/>
      <c r="AE180" s="1066"/>
      <c r="AF180" s="1066"/>
      <c r="AG180" s="1066"/>
      <c r="AH180" s="1066"/>
      <c r="AI180" s="1066"/>
      <c r="AJ180" s="1066"/>
      <c r="AK180" s="1066"/>
      <c r="AL180" s="1066"/>
      <c r="AM180" s="1066"/>
      <c r="AN180" s="1066"/>
      <c r="AO180" s="1066"/>
      <c r="AP180" s="1066"/>
      <c r="AQ180" s="1066"/>
      <c r="AR180" s="1066"/>
      <c r="AS180" s="1066"/>
      <c r="AT180" s="1066"/>
      <c r="AU180" s="1066"/>
      <c r="AV180" s="1066"/>
      <c r="AW180" s="1066"/>
      <c r="AX180" s="1066"/>
      <c r="AY180" s="1066"/>
      <c r="AZ180" s="1066"/>
      <c r="BA180" s="1066"/>
      <c r="BB180" s="1066"/>
      <c r="BC180" s="1066"/>
      <c r="BD180" s="1066"/>
      <c r="BE180" s="1066"/>
      <c r="BF180" s="1066"/>
      <c r="BG180" s="1066"/>
      <c r="BH180" s="1066"/>
      <c r="BI180" s="1066"/>
      <c r="BJ180" s="1066"/>
      <c r="BK180" s="1066"/>
      <c r="BL180" s="1066"/>
    </row>
    <row r="181" spans="1:64">
      <c r="A181" s="1058"/>
      <c r="B181" s="1059"/>
      <c r="C181" s="1022" t="str">
        <f>Input!$C$48</f>
        <v>Overheads &amp; Contractors Profit @ 13.615%</v>
      </c>
      <c r="D181" s="1067">
        <f>Input!$D$48</f>
        <v>0.13614999999999999</v>
      </c>
      <c r="E181" s="1061"/>
      <c r="F181" s="1062">
        <f>I180</f>
        <v>2649.92</v>
      </c>
      <c r="G181" s="1063"/>
      <c r="H181" s="1064"/>
      <c r="I181" s="1062">
        <f>IF(G181="",D181*F181,(D181*F181/G181))</f>
        <v>360.786608</v>
      </c>
      <c r="J181" s="1022"/>
      <c r="K181" s="1022"/>
      <c r="L181" s="1022"/>
      <c r="M181" s="1066"/>
      <c r="N181" s="1066"/>
      <c r="O181" s="1066"/>
      <c r="P181" s="1066"/>
      <c r="Q181" s="1066"/>
      <c r="R181" s="1066"/>
      <c r="S181" s="1066"/>
      <c r="T181" s="1066"/>
      <c r="U181" s="1066"/>
      <c r="V181" s="1066"/>
      <c r="W181" s="1066"/>
      <c r="X181" s="1066"/>
      <c r="Y181" s="1066"/>
      <c r="Z181" s="1066"/>
      <c r="AA181" s="1066"/>
      <c r="AB181" s="1066"/>
      <c r="AC181" s="1066"/>
      <c r="AD181" s="1066"/>
      <c r="AE181" s="1066"/>
      <c r="AF181" s="1066"/>
      <c r="AG181" s="1066"/>
      <c r="AH181" s="1066"/>
      <c r="AI181" s="1066"/>
      <c r="AJ181" s="1066"/>
      <c r="AK181" s="1066"/>
      <c r="AL181" s="1066"/>
      <c r="AM181" s="1066"/>
      <c r="AN181" s="1066"/>
      <c r="AO181" s="1066"/>
      <c r="AP181" s="1066"/>
      <c r="AQ181" s="1066"/>
      <c r="AR181" s="1066"/>
      <c r="AS181" s="1066"/>
      <c r="AT181" s="1066"/>
      <c r="AU181" s="1066"/>
      <c r="AV181" s="1066"/>
      <c r="AW181" s="1066"/>
      <c r="AX181" s="1066"/>
      <c r="AY181" s="1066"/>
      <c r="AZ181" s="1066"/>
      <c r="BA181" s="1066"/>
      <c r="BB181" s="1066"/>
      <c r="BC181" s="1066"/>
      <c r="BD181" s="1066"/>
      <c r="BE181" s="1066"/>
      <c r="BF181" s="1066"/>
      <c r="BG181" s="1066"/>
      <c r="BH181" s="1066"/>
      <c r="BI181" s="1066"/>
      <c r="BJ181" s="1066"/>
      <c r="BK181" s="1066"/>
      <c r="BL181" s="1066"/>
    </row>
    <row r="182" spans="1:64">
      <c r="A182" s="1058"/>
      <c r="B182" s="1059"/>
      <c r="C182" s="1817" t="s">
        <v>1074</v>
      </c>
      <c r="D182" s="1060"/>
      <c r="E182" s="1061"/>
      <c r="F182" s="1062"/>
      <c r="G182" s="1063"/>
      <c r="H182" s="1064"/>
      <c r="I182" s="1062">
        <f>SUM(I180:I181)</f>
        <v>3010.706608</v>
      </c>
      <c r="J182" s="1022"/>
      <c r="K182" s="1022"/>
      <c r="L182" s="1022"/>
      <c r="M182" s="1066"/>
      <c r="N182" s="1066"/>
      <c r="O182" s="1066"/>
      <c r="P182" s="1066"/>
      <c r="Q182" s="1066"/>
      <c r="R182" s="1066"/>
      <c r="S182" s="1066"/>
      <c r="T182" s="1066"/>
      <c r="U182" s="1066"/>
      <c r="V182" s="1066"/>
      <c r="W182" s="1066"/>
      <c r="X182" s="1066"/>
      <c r="Y182" s="1066"/>
      <c r="Z182" s="1066"/>
      <c r="AA182" s="1066"/>
      <c r="AB182" s="1066"/>
      <c r="AC182" s="1066"/>
      <c r="AD182" s="1066"/>
      <c r="AE182" s="1066"/>
      <c r="AF182" s="1066"/>
      <c r="AG182" s="1066"/>
      <c r="AH182" s="1066"/>
      <c r="AI182" s="1066"/>
      <c r="AJ182" s="1066"/>
      <c r="AK182" s="1066"/>
      <c r="AL182" s="1066"/>
      <c r="AM182" s="1066"/>
      <c r="AN182" s="1066"/>
      <c r="AO182" s="1066"/>
      <c r="AP182" s="1066"/>
      <c r="AQ182" s="1066"/>
      <c r="AR182" s="1066"/>
      <c r="AS182" s="1066"/>
      <c r="AT182" s="1066"/>
      <c r="AU182" s="1066"/>
      <c r="AV182" s="1066"/>
      <c r="AW182" s="1066"/>
      <c r="AX182" s="1066"/>
      <c r="AY182" s="1066"/>
      <c r="AZ182" s="1066"/>
      <c r="BA182" s="1066"/>
      <c r="BB182" s="1066"/>
      <c r="BC182" s="1066"/>
      <c r="BD182" s="1066"/>
      <c r="BE182" s="1066"/>
      <c r="BF182" s="1066"/>
      <c r="BG182" s="1066"/>
      <c r="BH182" s="1066"/>
      <c r="BI182" s="1066"/>
      <c r="BJ182" s="1066"/>
      <c r="BK182" s="1066"/>
      <c r="BL182" s="1066"/>
    </row>
    <row r="183" spans="1:64">
      <c r="A183" s="1058"/>
      <c r="B183" s="1059"/>
      <c r="C183" s="1816" t="s">
        <v>3631</v>
      </c>
      <c r="D183" s="1060"/>
      <c r="E183" s="1061"/>
      <c r="F183" s="1062"/>
      <c r="G183" s="1063"/>
      <c r="H183" s="1060" t="s">
        <v>1033</v>
      </c>
      <c r="I183" s="1062">
        <f>I182/10</f>
        <v>301.07066079999998</v>
      </c>
      <c r="J183" s="1022"/>
      <c r="K183" s="1022"/>
      <c r="L183" s="1022"/>
      <c r="M183" s="1066"/>
      <c r="N183" s="1066"/>
      <c r="O183" s="1066"/>
      <c r="P183" s="1066"/>
      <c r="Q183" s="1066"/>
      <c r="R183" s="1066"/>
      <c r="S183" s="1066"/>
      <c r="T183" s="1066"/>
      <c r="U183" s="1066"/>
      <c r="V183" s="1066"/>
      <c r="W183" s="1066"/>
      <c r="X183" s="1066"/>
      <c r="Y183" s="1066"/>
      <c r="Z183" s="1066"/>
      <c r="AA183" s="1066"/>
      <c r="AB183" s="1066"/>
      <c r="AC183" s="1066"/>
      <c r="AD183" s="1066"/>
      <c r="AE183" s="1066"/>
      <c r="AF183" s="1066"/>
      <c r="AG183" s="1066"/>
      <c r="AH183" s="1066"/>
      <c r="AI183" s="1066"/>
      <c r="AJ183" s="1066"/>
      <c r="AK183" s="1066"/>
      <c r="AL183" s="1066"/>
      <c r="AM183" s="1066"/>
      <c r="AN183" s="1066"/>
      <c r="AO183" s="1066"/>
      <c r="AP183" s="1066"/>
      <c r="AQ183" s="1066"/>
      <c r="AR183" s="1066"/>
      <c r="AS183" s="1066"/>
      <c r="AT183" s="1066"/>
      <c r="AU183" s="1066"/>
      <c r="AV183" s="1066"/>
      <c r="AW183" s="1066"/>
      <c r="AX183" s="1066"/>
      <c r="AY183" s="1066"/>
      <c r="AZ183" s="1066"/>
      <c r="BA183" s="1066"/>
      <c r="BB183" s="1066"/>
      <c r="BC183" s="1066"/>
      <c r="BD183" s="1066"/>
      <c r="BE183" s="1066"/>
      <c r="BF183" s="1066"/>
      <c r="BG183" s="1066"/>
      <c r="BH183" s="1066"/>
      <c r="BI183" s="1066"/>
      <c r="BJ183" s="1066"/>
      <c r="BK183" s="1066"/>
      <c r="BL183" s="1066"/>
    </row>
    <row r="184" spans="1:64">
      <c r="A184" s="1818"/>
      <c r="B184" s="1048"/>
      <c r="C184" s="1816" t="s">
        <v>1032</v>
      </c>
      <c r="D184" s="1034"/>
      <c r="E184" s="1044"/>
      <c r="F184" s="1001"/>
      <c r="G184" s="1045"/>
      <c r="H184" s="1842" t="s">
        <v>1034</v>
      </c>
      <c r="I184" s="1011">
        <f>ROUND(I183,0)</f>
        <v>301</v>
      </c>
      <c r="J184" s="1846"/>
      <c r="K184" s="1846"/>
      <c r="L184" s="1846"/>
    </row>
    <row r="185" spans="1:64">
      <c r="A185" s="1818"/>
      <c r="B185" s="1048"/>
      <c r="C185" s="1816"/>
      <c r="D185" s="1034"/>
      <c r="E185" s="1044"/>
      <c r="F185" s="1001"/>
      <c r="G185" s="1045"/>
      <c r="H185" s="1046"/>
      <c r="I185" s="1011"/>
      <c r="J185" s="1846"/>
      <c r="K185" s="1846"/>
      <c r="L185" s="1846"/>
    </row>
    <row r="186" spans="1:64" ht="72.599999999999994" customHeight="1">
      <c r="A186" s="1824">
        <f>A172+1</f>
        <v>4</v>
      </c>
      <c r="B186" s="1048"/>
      <c r="C186" s="2036" t="s">
        <v>3382</v>
      </c>
      <c r="D186" s="2036"/>
      <c r="E186" s="2036"/>
      <c r="F186" s="2036"/>
      <c r="G186" s="2036"/>
      <c r="H186" s="2036"/>
      <c r="I186" s="1825"/>
      <c r="J186" s="1846"/>
      <c r="K186" s="1846"/>
      <c r="L186" s="1846"/>
    </row>
    <row r="187" spans="1:64">
      <c r="A187" s="1818"/>
      <c r="B187" s="1048"/>
      <c r="C187" s="1049" t="s">
        <v>1075</v>
      </c>
      <c r="D187" s="1846"/>
      <c r="E187" s="1846"/>
      <c r="F187" s="1068"/>
      <c r="G187" s="1846"/>
      <c r="H187" s="1846"/>
      <c r="I187" s="1021"/>
      <c r="J187" s="1846"/>
      <c r="K187" s="1846"/>
      <c r="L187" s="1846"/>
    </row>
    <row r="188" spans="1:64">
      <c r="A188" s="1818"/>
      <c r="B188" s="1048"/>
      <c r="C188" s="1817" t="s">
        <v>1076</v>
      </c>
      <c r="D188" s="1034">
        <v>1</v>
      </c>
      <c r="E188" s="1044" t="s">
        <v>75</v>
      </c>
      <c r="F188" s="1001">
        <f>$I$183</f>
        <v>301.07066079999998</v>
      </c>
      <c r="G188" s="1045">
        <v>1</v>
      </c>
      <c r="H188" s="1069" t="s">
        <v>75</v>
      </c>
      <c r="I188" s="1030">
        <f t="shared" ref="I188:I191" si="20">IF(G188="",D188*F188,(D188*F188/G188))</f>
        <v>301.07066079999998</v>
      </c>
      <c r="J188" s="1846"/>
      <c r="K188" s="1846"/>
      <c r="L188" s="1846"/>
    </row>
    <row r="189" spans="1:64">
      <c r="A189" s="1818"/>
      <c r="B189" s="1048"/>
      <c r="C189" s="1817" t="s">
        <v>1077</v>
      </c>
      <c r="D189" s="1034">
        <f>ROUND(1/60,2)</f>
        <v>0.02</v>
      </c>
      <c r="E189" s="1044" t="s">
        <v>36</v>
      </c>
      <c r="F189" s="1001">
        <f>'Civil-SOR'!$G$307</f>
        <v>520</v>
      </c>
      <c r="G189" s="1045">
        <v>1</v>
      </c>
      <c r="H189" s="1069" t="s">
        <v>501</v>
      </c>
      <c r="I189" s="1030">
        <f t="shared" si="20"/>
        <v>10.4</v>
      </c>
      <c r="J189" s="1846"/>
      <c r="K189" s="1846"/>
      <c r="L189" s="1846"/>
    </row>
    <row r="190" spans="1:64">
      <c r="A190" s="1818"/>
      <c r="B190" s="1048"/>
      <c r="C190" s="1817" t="str">
        <f>Input!$C$47</f>
        <v>Add for MA @ 40%</v>
      </c>
      <c r="D190" s="1034">
        <f>Input!$D$47</f>
        <v>0.4</v>
      </c>
      <c r="E190" s="1044"/>
      <c r="F190" s="1001">
        <f>I189</f>
        <v>10.4</v>
      </c>
      <c r="G190" s="1045"/>
      <c r="H190" s="1047"/>
      <c r="I190" s="1030">
        <f t="shared" si="20"/>
        <v>4.16</v>
      </c>
      <c r="J190" s="1846"/>
      <c r="K190" s="1846"/>
      <c r="L190" s="1846"/>
    </row>
    <row r="191" spans="1:64">
      <c r="A191" s="1818"/>
      <c r="B191" s="1048"/>
      <c r="C191" s="1002" t="str">
        <f>Input!$C$48</f>
        <v>Overheads &amp; Contractors Profit @ 13.615%</v>
      </c>
      <c r="D191" s="1070">
        <f>Input!$D$48</f>
        <v>0.13614999999999999</v>
      </c>
      <c r="E191" s="1044"/>
      <c r="F191" s="1001">
        <f>SUM(I189:I190)</f>
        <v>14.56</v>
      </c>
      <c r="G191" s="1045"/>
      <c r="H191" s="1047"/>
      <c r="I191" s="1001">
        <f t="shared" si="20"/>
        <v>1.9823439999999999</v>
      </c>
      <c r="J191" s="1002"/>
      <c r="K191" s="1002"/>
      <c r="L191" s="1002"/>
      <c r="M191" s="1003"/>
      <c r="N191" s="1003"/>
      <c r="O191" s="1003"/>
      <c r="P191" s="1003"/>
      <c r="Q191" s="1003"/>
      <c r="R191" s="1003"/>
      <c r="S191" s="1003"/>
      <c r="T191" s="1003"/>
      <c r="U191" s="1003"/>
      <c r="V191" s="1003"/>
      <c r="W191" s="1003"/>
      <c r="X191" s="1003"/>
      <c r="Y191" s="1003"/>
      <c r="Z191" s="1003"/>
      <c r="AA191" s="1003"/>
      <c r="AB191" s="1003"/>
      <c r="AC191" s="1003"/>
      <c r="AD191" s="1003"/>
      <c r="AE191" s="1003"/>
      <c r="AF191" s="1003"/>
      <c r="AG191" s="1003"/>
      <c r="AH191" s="1003"/>
      <c r="AI191" s="1003"/>
      <c r="AJ191" s="1003"/>
      <c r="AK191" s="1003"/>
      <c r="AL191" s="1003"/>
      <c r="AM191" s="1003"/>
      <c r="AN191" s="1003"/>
      <c r="AO191" s="1003"/>
      <c r="AP191" s="1003"/>
      <c r="AQ191" s="1003"/>
      <c r="AR191" s="1003"/>
      <c r="AS191" s="1003"/>
      <c r="AT191" s="1003"/>
      <c r="AU191" s="1003"/>
      <c r="AV191" s="1003"/>
      <c r="AW191" s="1003"/>
      <c r="AX191" s="1003"/>
      <c r="AY191" s="1003"/>
      <c r="AZ191" s="1003"/>
      <c r="BA191" s="1003"/>
      <c r="BB191" s="1003"/>
      <c r="BC191" s="1003"/>
      <c r="BD191" s="1003"/>
      <c r="BE191" s="1003"/>
      <c r="BF191" s="1003"/>
      <c r="BG191" s="1003"/>
      <c r="BH191" s="1003"/>
      <c r="BI191" s="1003"/>
      <c r="BJ191" s="1003"/>
      <c r="BK191" s="1003"/>
      <c r="BL191" s="1003"/>
    </row>
    <row r="192" spans="1:64">
      <c r="A192" s="1818"/>
      <c r="B192" s="1048"/>
      <c r="C192" s="1816" t="s">
        <v>1032</v>
      </c>
      <c r="D192" s="1034"/>
      <c r="E192" s="1044"/>
      <c r="F192" s="1001"/>
      <c r="G192" s="1045"/>
      <c r="H192" s="1034" t="s">
        <v>1033</v>
      </c>
      <c r="I192" s="1030">
        <f>SUM(I188:I191)</f>
        <v>317.6130048</v>
      </c>
      <c r="J192" s="1846"/>
      <c r="K192" s="1846"/>
      <c r="L192" s="1846"/>
    </row>
    <row r="193" spans="1:12">
      <c r="A193" s="1818"/>
      <c r="B193" s="1048"/>
      <c r="C193" s="1816"/>
      <c r="D193" s="1034"/>
      <c r="E193" s="1044"/>
      <c r="F193" s="1001"/>
      <c r="G193" s="1045"/>
      <c r="H193" s="1842" t="s">
        <v>1034</v>
      </c>
      <c r="I193" s="1011">
        <f>ROUND(I192,0)</f>
        <v>318</v>
      </c>
      <c r="J193" s="1846"/>
      <c r="K193" s="1846"/>
      <c r="L193" s="1846"/>
    </row>
    <row r="194" spans="1:12">
      <c r="A194" s="1818"/>
      <c r="B194" s="1048"/>
      <c r="C194" s="1816"/>
      <c r="D194" s="1034"/>
      <c r="E194" s="1044"/>
      <c r="F194" s="1001"/>
      <c r="G194" s="1045"/>
      <c r="H194" s="1047"/>
      <c r="I194" s="1011"/>
      <c r="J194" s="1846"/>
      <c r="K194" s="1846"/>
      <c r="L194" s="1846"/>
    </row>
    <row r="195" spans="1:12" ht="63" customHeight="1">
      <c r="A195" s="1824">
        <f>1+A186</f>
        <v>5</v>
      </c>
      <c r="B195" s="1048"/>
      <c r="C195" s="2036" t="s">
        <v>3684</v>
      </c>
      <c r="D195" s="2036"/>
      <c r="E195" s="2036"/>
      <c r="F195" s="2036"/>
      <c r="G195" s="2036"/>
      <c r="H195" s="2036"/>
      <c r="I195" s="1825"/>
      <c r="J195" s="1846"/>
      <c r="K195" s="1846"/>
      <c r="L195" s="1846"/>
    </row>
    <row r="196" spans="1:12">
      <c r="A196" s="1818"/>
      <c r="B196" s="1048"/>
      <c r="C196" s="1049" t="s">
        <v>1078</v>
      </c>
      <c r="D196" s="1846"/>
      <c r="E196" s="1846"/>
      <c r="F196" s="1001"/>
      <c r="G196" s="1015"/>
      <c r="H196" s="1050"/>
      <c r="I196" s="1030"/>
      <c r="J196" s="1846"/>
      <c r="K196" s="1846"/>
      <c r="L196" s="1846"/>
    </row>
    <row r="197" spans="1:12" ht="12.75" customHeight="1">
      <c r="A197" s="1818"/>
      <c r="B197" s="1048"/>
      <c r="C197" s="2045" t="s">
        <v>1079</v>
      </c>
      <c r="D197" s="2045"/>
      <c r="E197" s="2045"/>
      <c r="F197" s="1001"/>
      <c r="G197" s="1015"/>
      <c r="H197" s="1050"/>
      <c r="I197" s="1030"/>
      <c r="J197" s="1846"/>
      <c r="K197" s="1846"/>
      <c r="L197" s="1846"/>
    </row>
    <row r="198" spans="1:12">
      <c r="A198" s="1818"/>
      <c r="B198" s="1048"/>
      <c r="C198" s="1816" t="s">
        <v>1069</v>
      </c>
      <c r="D198" s="1051"/>
      <c r="E198" s="1052"/>
      <c r="F198" s="1030"/>
      <c r="G198" s="1053"/>
      <c r="H198" s="1054" t="str">
        <f>IF(E198="","",IF(E198="No.","Each",IF(E198="Nos.","Each",E198)))</f>
        <v/>
      </c>
      <c r="I198" s="1030"/>
      <c r="J198" s="1846"/>
      <c r="K198" s="1846"/>
      <c r="L198" s="1846"/>
    </row>
    <row r="199" spans="1:12">
      <c r="A199" s="1818"/>
      <c r="B199" s="1048"/>
      <c r="C199" s="1816" t="s">
        <v>1080</v>
      </c>
      <c r="D199" s="1055">
        <v>240</v>
      </c>
      <c r="E199" s="1056" t="s">
        <v>75</v>
      </c>
      <c r="F199" s="1001"/>
      <c r="G199" s="1020"/>
      <c r="H199" s="1057"/>
      <c r="I199" s="1030"/>
      <c r="J199" s="1846"/>
      <c r="K199" s="1846"/>
      <c r="L199" s="1846"/>
    </row>
    <row r="200" spans="1:12">
      <c r="A200" s="1818"/>
      <c r="B200" s="1048"/>
      <c r="C200" s="1816" t="s">
        <v>1071</v>
      </c>
      <c r="D200" s="1034"/>
      <c r="E200" s="1044"/>
      <c r="F200" s="1001"/>
      <c r="G200" s="1045"/>
      <c r="H200" s="1071"/>
      <c r="I200" s="1011"/>
      <c r="J200" s="1846"/>
      <c r="K200" s="1846"/>
      <c r="L200" s="1846"/>
    </row>
    <row r="201" spans="1:12">
      <c r="A201" s="1818"/>
      <c r="B201" s="1048"/>
      <c r="C201" s="1817" t="s">
        <v>1072</v>
      </c>
      <c r="D201" s="1034">
        <v>8.32</v>
      </c>
      <c r="E201" s="1044" t="s">
        <v>36</v>
      </c>
      <c r="F201" s="1001">
        <f>'Civil-SOR'!$G$307</f>
        <v>520</v>
      </c>
      <c r="G201" s="1045">
        <v>1</v>
      </c>
      <c r="H201" s="1044" t="s">
        <v>39</v>
      </c>
      <c r="I201" s="1030">
        <f t="shared" ref="I201:I202" si="21">IF(G201="",D201*F201,(D201*F201/G201))</f>
        <v>4326.4000000000005</v>
      </c>
      <c r="J201" s="1846"/>
      <c r="K201" s="1846"/>
      <c r="L201" s="1846"/>
    </row>
    <row r="202" spans="1:12">
      <c r="A202" s="1818"/>
      <c r="B202" s="1048"/>
      <c r="C202" s="1817" t="str">
        <f>Input!$C$47</f>
        <v>Add for MA @ 40%</v>
      </c>
      <c r="D202" s="1034">
        <f>Input!$D$47</f>
        <v>0.4</v>
      </c>
      <c r="E202" s="1044"/>
      <c r="F202" s="1001">
        <f>I201</f>
        <v>4326.4000000000005</v>
      </c>
      <c r="G202" s="1045"/>
      <c r="H202" s="1044"/>
      <c r="I202" s="1030">
        <f t="shared" si="21"/>
        <v>1730.5600000000004</v>
      </c>
      <c r="J202" s="1846"/>
      <c r="K202" s="1846"/>
      <c r="L202" s="1846"/>
    </row>
    <row r="203" spans="1:12">
      <c r="A203" s="1818"/>
      <c r="B203" s="1048"/>
      <c r="C203" s="1816" t="s">
        <v>1081</v>
      </c>
      <c r="D203" s="1034"/>
      <c r="E203" s="1044"/>
      <c r="F203" s="1001"/>
      <c r="G203" s="1045"/>
      <c r="H203" s="1044"/>
      <c r="I203" s="1030"/>
      <c r="J203" s="1846"/>
      <c r="K203" s="1846">
        <f>2917*12</f>
        <v>35004</v>
      </c>
      <c r="L203" s="1846"/>
    </row>
    <row r="204" spans="1:12" ht="25.5">
      <c r="A204" s="1818"/>
      <c r="B204" s="1048"/>
      <c r="C204" s="1072" t="s">
        <v>1082</v>
      </c>
      <c r="D204" s="1051">
        <v>6</v>
      </c>
      <c r="E204" s="1052" t="s">
        <v>1083</v>
      </c>
      <c r="F204" s="1030">
        <f>'Civil-SOR'!$G$333</f>
        <v>3185.7</v>
      </c>
      <c r="G204" s="1053">
        <v>1</v>
      </c>
      <c r="H204" s="1052" t="s">
        <v>616</v>
      </c>
      <c r="I204" s="1030">
        <f t="shared" ref="I204:I206" si="22">IF(G204="",D204*F204,(D204*F204/G204))</f>
        <v>19114.199999999997</v>
      </c>
      <c r="J204" s="1846"/>
      <c r="K204" s="1846"/>
      <c r="L204" s="1846"/>
    </row>
    <row r="205" spans="1:12">
      <c r="A205" s="1818"/>
      <c r="B205" s="1048"/>
      <c r="C205" s="1817" t="s">
        <v>1084</v>
      </c>
      <c r="D205" s="1051">
        <v>6</v>
      </c>
      <c r="E205" s="1052" t="s">
        <v>1083</v>
      </c>
      <c r="F205" s="1030">
        <f>'Civil-SOR'!$J$333</f>
        <v>317.2</v>
      </c>
      <c r="G205" s="1053">
        <v>1</v>
      </c>
      <c r="H205" s="1052" t="s">
        <v>616</v>
      </c>
      <c r="I205" s="1030">
        <f t="shared" si="22"/>
        <v>1903.1999999999998</v>
      </c>
      <c r="J205" s="1846"/>
      <c r="K205" s="1846"/>
      <c r="L205" s="1846"/>
    </row>
    <row r="206" spans="1:12">
      <c r="A206" s="1818"/>
      <c r="B206" s="1048"/>
      <c r="C206" s="1817" t="s">
        <v>1085</v>
      </c>
      <c r="D206" s="1034">
        <f>Input!$D$47</f>
        <v>0.4</v>
      </c>
      <c r="E206" s="1044"/>
      <c r="F206" s="1001">
        <f>$I$205</f>
        <v>1903.1999999999998</v>
      </c>
      <c r="G206" s="1045"/>
      <c r="H206" s="1044"/>
      <c r="I206" s="1030">
        <f t="shared" si="22"/>
        <v>761.28</v>
      </c>
      <c r="J206" s="1846"/>
      <c r="K206" s="1846"/>
      <c r="L206" s="1846"/>
    </row>
    <row r="207" spans="1:12">
      <c r="A207" s="1818"/>
      <c r="B207" s="1048"/>
      <c r="C207" s="1817" t="s">
        <v>1086</v>
      </c>
      <c r="D207" s="1034"/>
      <c r="E207" s="1044"/>
      <c r="F207" s="1001"/>
      <c r="G207" s="1034"/>
      <c r="H207" s="1044"/>
      <c r="I207" s="1030">
        <f>SUM(I201:I206)</f>
        <v>27835.639999999996</v>
      </c>
      <c r="J207" s="1846"/>
      <c r="K207" s="1846"/>
      <c r="L207" s="1846"/>
    </row>
    <row r="208" spans="1:12">
      <c r="A208" s="1818"/>
      <c r="B208" s="1048"/>
      <c r="C208" s="1846" t="str">
        <f>Input!$C$48</f>
        <v>Overheads &amp; Contractors Profit @ 13.615%</v>
      </c>
      <c r="D208" s="1073">
        <f>Input!$D$48</f>
        <v>0.13614999999999999</v>
      </c>
      <c r="E208" s="1052"/>
      <c r="F208" s="1030">
        <f>I207</f>
        <v>27835.639999999996</v>
      </c>
      <c r="G208" s="1045"/>
      <c r="H208" s="1071"/>
      <c r="I208" s="1030">
        <f>IF(G208="",D208*F208,(D208*F208/G208))</f>
        <v>3789.8223859999994</v>
      </c>
      <c r="J208" s="1846"/>
      <c r="K208" s="1846"/>
      <c r="L208" s="1846"/>
    </row>
    <row r="209" spans="1:64">
      <c r="A209" s="1818"/>
      <c r="B209" s="1048"/>
      <c r="C209" s="1817" t="s">
        <v>1087</v>
      </c>
      <c r="D209" s="1034"/>
      <c r="E209" s="1044"/>
      <c r="F209" s="1001"/>
      <c r="G209" s="1045"/>
      <c r="H209" s="1071"/>
      <c r="I209" s="1030">
        <f>SUM(I207:I208)</f>
        <v>31625.462385999996</v>
      </c>
      <c r="J209" s="1846"/>
      <c r="K209" s="1846"/>
      <c r="L209" s="1846"/>
    </row>
    <row r="210" spans="1:64">
      <c r="A210" s="1818"/>
      <c r="B210" s="1048"/>
      <c r="C210" s="1816" t="s">
        <v>3685</v>
      </c>
      <c r="D210" s="1034"/>
      <c r="E210" s="1044"/>
      <c r="F210" s="1001"/>
      <c r="G210" s="1045"/>
      <c r="H210" s="1034" t="s">
        <v>1033</v>
      </c>
      <c r="I210" s="1030">
        <f>I209/D199</f>
        <v>131.77275994166664</v>
      </c>
      <c r="J210" s="1846"/>
      <c r="K210" s="1846"/>
      <c r="L210" s="1846"/>
    </row>
    <row r="211" spans="1:64">
      <c r="A211" s="1818"/>
      <c r="B211" s="1048"/>
      <c r="C211" s="1816"/>
      <c r="D211" s="1034"/>
      <c r="E211" s="1044"/>
      <c r="F211" s="1001"/>
      <c r="G211" s="1045"/>
      <c r="H211" s="1842" t="s">
        <v>1034</v>
      </c>
      <c r="I211" s="1011">
        <f>ROUND(I210,0)</f>
        <v>132</v>
      </c>
      <c r="J211" s="1846"/>
      <c r="K211" s="1846"/>
      <c r="L211" s="1846"/>
    </row>
    <row r="212" spans="1:64">
      <c r="A212" s="1818"/>
      <c r="B212" s="1048"/>
      <c r="C212" s="1816"/>
      <c r="D212" s="1034"/>
      <c r="E212" s="1044"/>
      <c r="F212" s="1001"/>
      <c r="G212" s="1045"/>
      <c r="H212" s="1047"/>
      <c r="I212" s="1011"/>
      <c r="J212" s="1846"/>
      <c r="K212" s="1846"/>
      <c r="L212" s="1846"/>
    </row>
    <row r="213" spans="1:64" ht="60.4" customHeight="1">
      <c r="A213" s="1824">
        <f>A195+1</f>
        <v>6</v>
      </c>
      <c r="B213" s="1048"/>
      <c r="C213" s="2036" t="s">
        <v>3383</v>
      </c>
      <c r="D213" s="2036"/>
      <c r="E213" s="2036"/>
      <c r="F213" s="2036"/>
      <c r="G213" s="2036"/>
      <c r="H213" s="2036"/>
      <c r="I213" s="1825"/>
      <c r="J213" s="1846"/>
      <c r="K213" s="1846"/>
      <c r="L213" s="1846"/>
    </row>
    <row r="214" spans="1:64">
      <c r="A214" s="1818"/>
      <c r="B214" s="1048"/>
      <c r="C214" s="1049" t="s">
        <v>1088</v>
      </c>
      <c r="D214" s="1846"/>
      <c r="E214" s="1846"/>
      <c r="F214" s="1001"/>
      <c r="G214" s="1015"/>
      <c r="H214" s="1050"/>
      <c r="I214" s="1030"/>
      <c r="J214" s="1846"/>
      <c r="K214" s="1846"/>
      <c r="L214" s="1846"/>
    </row>
    <row r="215" spans="1:64" ht="12.75" customHeight="1">
      <c r="A215" s="1818"/>
      <c r="B215" s="1048"/>
      <c r="C215" s="2045" t="s">
        <v>1089</v>
      </c>
      <c r="D215" s="2045"/>
      <c r="E215" s="2045"/>
      <c r="F215" s="1001"/>
      <c r="G215" s="1015"/>
      <c r="H215" s="1050"/>
      <c r="I215" s="1030"/>
      <c r="J215" s="1846"/>
      <c r="K215" s="1846"/>
      <c r="L215" s="1846"/>
    </row>
    <row r="216" spans="1:64">
      <c r="A216" s="1818"/>
      <c r="B216" s="1048"/>
      <c r="C216" s="1816" t="s">
        <v>1069</v>
      </c>
      <c r="D216" s="1051"/>
      <c r="E216" s="1052"/>
      <c r="F216" s="1030"/>
      <c r="G216" s="1053"/>
      <c r="H216" s="1054" t="str">
        <f>IF(E216="","",IF(E216="No.","Each",IF(E216="Nos.","Each",E216)))</f>
        <v/>
      </c>
      <c r="I216" s="1030"/>
      <c r="J216" s="1846"/>
      <c r="K216" s="1846"/>
      <c r="L216" s="1846"/>
    </row>
    <row r="217" spans="1:64">
      <c r="A217" s="1058"/>
      <c r="B217" s="1059"/>
      <c r="C217" s="1816" t="s">
        <v>1090</v>
      </c>
      <c r="D217" s="1074"/>
      <c r="E217" s="1075"/>
      <c r="F217" s="1062"/>
      <c r="G217" s="1076"/>
      <c r="H217" s="1849"/>
      <c r="I217" s="1062"/>
      <c r="J217" s="1022"/>
      <c r="K217" s="1022"/>
      <c r="L217" s="1022"/>
      <c r="M217" s="1066"/>
      <c r="N217" s="1066"/>
      <c r="O217" s="1066"/>
      <c r="P217" s="1066"/>
      <c r="Q217" s="1066"/>
      <c r="R217" s="1066"/>
      <c r="S217" s="1066"/>
      <c r="T217" s="1066"/>
      <c r="U217" s="1066"/>
      <c r="V217" s="1066"/>
      <c r="W217" s="1066"/>
      <c r="X217" s="1066"/>
      <c r="Y217" s="1066"/>
      <c r="Z217" s="1066"/>
      <c r="AA217" s="1066"/>
      <c r="AB217" s="1066"/>
      <c r="AC217" s="1066"/>
      <c r="AD217" s="1066"/>
      <c r="AE217" s="1066"/>
      <c r="AF217" s="1066"/>
      <c r="AG217" s="1066"/>
      <c r="AH217" s="1066"/>
      <c r="AI217" s="1066"/>
      <c r="AJ217" s="1066"/>
      <c r="AK217" s="1066"/>
      <c r="AL217" s="1066"/>
      <c r="AM217" s="1066"/>
      <c r="AN217" s="1066"/>
      <c r="AO217" s="1066"/>
      <c r="AP217" s="1066"/>
      <c r="AQ217" s="1066"/>
      <c r="AR217" s="1066"/>
      <c r="AS217" s="1066"/>
      <c r="AT217" s="1066"/>
      <c r="AU217" s="1066"/>
      <c r="AV217" s="1066"/>
      <c r="AW217" s="1066"/>
      <c r="AX217" s="1066"/>
      <c r="AY217" s="1066"/>
      <c r="AZ217" s="1066"/>
      <c r="BA217" s="1066"/>
      <c r="BB217" s="1066"/>
      <c r="BC217" s="1066"/>
      <c r="BD217" s="1066"/>
      <c r="BE217" s="1066"/>
      <c r="BF217" s="1066"/>
      <c r="BG217" s="1066"/>
      <c r="BH217" s="1066"/>
      <c r="BI217" s="1066"/>
      <c r="BJ217" s="1066"/>
      <c r="BK217" s="1066"/>
      <c r="BL217" s="1066"/>
    </row>
    <row r="218" spans="1:64">
      <c r="A218" s="1058"/>
      <c r="B218" s="1059"/>
      <c r="C218" s="1816" t="s">
        <v>1071</v>
      </c>
      <c r="D218" s="1060"/>
      <c r="E218" s="1061"/>
      <c r="F218" s="1062"/>
      <c r="G218" s="1063"/>
      <c r="H218" s="1064"/>
      <c r="I218" s="1065"/>
      <c r="J218" s="1022"/>
      <c r="K218" s="1022"/>
      <c r="L218" s="1022"/>
      <c r="M218" s="1066"/>
      <c r="N218" s="1066"/>
      <c r="O218" s="1066"/>
      <c r="P218" s="1066"/>
      <c r="Q218" s="1066"/>
      <c r="R218" s="1066"/>
      <c r="S218" s="1066"/>
      <c r="T218" s="1066"/>
      <c r="U218" s="1066"/>
      <c r="V218" s="1066"/>
      <c r="W218" s="1066"/>
      <c r="X218" s="1066"/>
      <c r="Y218" s="1066"/>
      <c r="Z218" s="1066"/>
      <c r="AA218" s="1066"/>
      <c r="AB218" s="1066"/>
      <c r="AC218" s="1066"/>
      <c r="AD218" s="1066"/>
      <c r="AE218" s="1066"/>
      <c r="AF218" s="1066"/>
      <c r="AG218" s="1066"/>
      <c r="AH218" s="1066"/>
      <c r="AI218" s="1066"/>
      <c r="AJ218" s="1066"/>
      <c r="AK218" s="1066"/>
      <c r="AL218" s="1066"/>
      <c r="AM218" s="1066"/>
      <c r="AN218" s="1066"/>
      <c r="AO218" s="1066"/>
      <c r="AP218" s="1066"/>
      <c r="AQ218" s="1066"/>
      <c r="AR218" s="1066"/>
      <c r="AS218" s="1066"/>
      <c r="AT218" s="1066"/>
      <c r="AU218" s="1066"/>
      <c r="AV218" s="1066"/>
      <c r="AW218" s="1066"/>
      <c r="AX218" s="1066"/>
      <c r="AY218" s="1066"/>
      <c r="AZ218" s="1066"/>
      <c r="BA218" s="1066"/>
      <c r="BB218" s="1066"/>
      <c r="BC218" s="1066"/>
      <c r="BD218" s="1066"/>
      <c r="BE218" s="1066"/>
      <c r="BF218" s="1066"/>
      <c r="BG218" s="1066"/>
      <c r="BH218" s="1066"/>
      <c r="BI218" s="1066"/>
      <c r="BJ218" s="1066"/>
      <c r="BK218" s="1066"/>
      <c r="BL218" s="1066"/>
    </row>
    <row r="219" spans="1:64">
      <c r="A219" s="1058"/>
      <c r="B219" s="1059"/>
      <c r="C219" s="1817" t="s">
        <v>1072</v>
      </c>
      <c r="D219" s="1060">
        <v>8.32</v>
      </c>
      <c r="E219" s="1061" t="s">
        <v>36</v>
      </c>
      <c r="F219" s="1062">
        <f>'Civil-SOR'!$G$307</f>
        <v>520</v>
      </c>
      <c r="G219" s="1063">
        <v>1</v>
      </c>
      <c r="H219" s="1061" t="s">
        <v>39</v>
      </c>
      <c r="I219" s="1062">
        <f t="shared" ref="I219:I220" si="23">IF(G219="",D219*F219,(D219*F219/G219))</f>
        <v>4326.4000000000005</v>
      </c>
      <c r="J219" s="1022"/>
      <c r="K219" s="1022"/>
      <c r="L219" s="1022"/>
      <c r="M219" s="1066"/>
      <c r="N219" s="1066"/>
      <c r="O219" s="1066"/>
      <c r="P219" s="1066"/>
      <c r="Q219" s="1066"/>
      <c r="R219" s="1066"/>
      <c r="S219" s="1066"/>
      <c r="T219" s="1066"/>
      <c r="U219" s="1066"/>
      <c r="V219" s="1066"/>
      <c r="W219" s="1066"/>
      <c r="X219" s="1066"/>
      <c r="Y219" s="1066"/>
      <c r="Z219" s="1066"/>
      <c r="AA219" s="1066"/>
      <c r="AB219" s="1066"/>
      <c r="AC219" s="1066"/>
      <c r="AD219" s="1066"/>
      <c r="AE219" s="1066"/>
      <c r="AF219" s="1066"/>
      <c r="AG219" s="1066"/>
      <c r="AH219" s="1066"/>
      <c r="AI219" s="1066"/>
      <c r="AJ219" s="1066"/>
      <c r="AK219" s="1066"/>
      <c r="AL219" s="1066"/>
      <c r="AM219" s="1066"/>
      <c r="AN219" s="1066"/>
      <c r="AO219" s="1066"/>
      <c r="AP219" s="1066"/>
      <c r="AQ219" s="1066"/>
      <c r="AR219" s="1066"/>
      <c r="AS219" s="1066"/>
      <c r="AT219" s="1066"/>
      <c r="AU219" s="1066"/>
      <c r="AV219" s="1066"/>
      <c r="AW219" s="1066"/>
      <c r="AX219" s="1066"/>
      <c r="AY219" s="1066"/>
      <c r="AZ219" s="1066"/>
      <c r="BA219" s="1066"/>
      <c r="BB219" s="1066"/>
      <c r="BC219" s="1066"/>
      <c r="BD219" s="1066"/>
      <c r="BE219" s="1066"/>
      <c r="BF219" s="1066"/>
      <c r="BG219" s="1066"/>
      <c r="BH219" s="1066"/>
      <c r="BI219" s="1066"/>
      <c r="BJ219" s="1066"/>
      <c r="BK219" s="1066"/>
      <c r="BL219" s="1066"/>
    </row>
    <row r="220" spans="1:64">
      <c r="A220" s="1058"/>
      <c r="B220" s="1059"/>
      <c r="C220" s="1817" t="str">
        <f>Input!$C$47</f>
        <v>Add for MA @ 40%</v>
      </c>
      <c r="D220" s="1060">
        <f>Input!$D$47</f>
        <v>0.4</v>
      </c>
      <c r="E220" s="1061"/>
      <c r="F220" s="1062">
        <f>I219</f>
        <v>4326.4000000000005</v>
      </c>
      <c r="G220" s="1063"/>
      <c r="H220" s="1061"/>
      <c r="I220" s="1062">
        <f t="shared" si="23"/>
        <v>1730.5600000000004</v>
      </c>
      <c r="J220" s="1022"/>
      <c r="K220" s="1022"/>
      <c r="L220" s="1022"/>
      <c r="M220" s="1066"/>
      <c r="N220" s="1066"/>
      <c r="O220" s="1066"/>
      <c r="P220" s="1066"/>
      <c r="Q220" s="1066"/>
      <c r="R220" s="1066"/>
      <c r="S220" s="1066"/>
      <c r="T220" s="1066"/>
      <c r="U220" s="1066"/>
      <c r="V220" s="1066"/>
      <c r="W220" s="1066"/>
      <c r="X220" s="1066"/>
      <c r="Y220" s="1066"/>
      <c r="Z220" s="1066"/>
      <c r="AA220" s="1066"/>
      <c r="AB220" s="1066"/>
      <c r="AC220" s="1066"/>
      <c r="AD220" s="1066"/>
      <c r="AE220" s="1066"/>
      <c r="AF220" s="1066"/>
      <c r="AG220" s="1066"/>
      <c r="AH220" s="1066"/>
      <c r="AI220" s="1066"/>
      <c r="AJ220" s="1066"/>
      <c r="AK220" s="1066"/>
      <c r="AL220" s="1066"/>
      <c r="AM220" s="1066"/>
      <c r="AN220" s="1066"/>
      <c r="AO220" s="1066"/>
      <c r="AP220" s="1066"/>
      <c r="AQ220" s="1066"/>
      <c r="AR220" s="1066"/>
      <c r="AS220" s="1066"/>
      <c r="AT220" s="1066"/>
      <c r="AU220" s="1066"/>
      <c r="AV220" s="1066"/>
      <c r="AW220" s="1066"/>
      <c r="AX220" s="1066"/>
      <c r="AY220" s="1066"/>
      <c r="AZ220" s="1066"/>
      <c r="BA220" s="1066"/>
      <c r="BB220" s="1066"/>
      <c r="BC220" s="1066"/>
      <c r="BD220" s="1066"/>
      <c r="BE220" s="1066"/>
      <c r="BF220" s="1066"/>
      <c r="BG220" s="1066"/>
      <c r="BH220" s="1066"/>
      <c r="BI220" s="1066"/>
      <c r="BJ220" s="1066"/>
      <c r="BK220" s="1066"/>
      <c r="BL220" s="1066"/>
    </row>
    <row r="221" spans="1:64">
      <c r="A221" s="1058"/>
      <c r="B221" s="1059"/>
      <c r="C221" s="1816" t="s">
        <v>1081</v>
      </c>
      <c r="D221" s="1060"/>
      <c r="E221" s="1061"/>
      <c r="F221" s="1062"/>
      <c r="G221" s="1063"/>
      <c r="H221" s="1061"/>
      <c r="I221" s="1062"/>
      <c r="J221" s="1022"/>
      <c r="K221" s="1022"/>
      <c r="L221" s="1022"/>
      <c r="M221" s="1066"/>
      <c r="N221" s="1066"/>
      <c r="O221" s="1066"/>
      <c r="P221" s="1066"/>
      <c r="Q221" s="1066"/>
      <c r="R221" s="1066"/>
      <c r="S221" s="1066"/>
      <c r="T221" s="1066"/>
      <c r="U221" s="1066"/>
      <c r="V221" s="1066"/>
      <c r="W221" s="1066"/>
      <c r="X221" s="1066"/>
      <c r="Y221" s="1066"/>
      <c r="Z221" s="1066"/>
      <c r="AA221" s="1066"/>
      <c r="AB221" s="1066"/>
      <c r="AC221" s="1066"/>
      <c r="AD221" s="1066"/>
      <c r="AE221" s="1066"/>
      <c r="AF221" s="1066"/>
      <c r="AG221" s="1066"/>
      <c r="AH221" s="1066"/>
      <c r="AI221" s="1066"/>
      <c r="AJ221" s="1066"/>
      <c r="AK221" s="1066"/>
      <c r="AL221" s="1066"/>
      <c r="AM221" s="1066"/>
      <c r="AN221" s="1066"/>
      <c r="AO221" s="1066"/>
      <c r="AP221" s="1066"/>
      <c r="AQ221" s="1066"/>
      <c r="AR221" s="1066"/>
      <c r="AS221" s="1066"/>
      <c r="AT221" s="1066"/>
      <c r="AU221" s="1066"/>
      <c r="AV221" s="1066"/>
      <c r="AW221" s="1066"/>
      <c r="AX221" s="1066"/>
      <c r="AY221" s="1066"/>
      <c r="AZ221" s="1066"/>
      <c r="BA221" s="1066"/>
      <c r="BB221" s="1066"/>
      <c r="BC221" s="1066"/>
      <c r="BD221" s="1066"/>
      <c r="BE221" s="1066"/>
      <c r="BF221" s="1066"/>
      <c r="BG221" s="1066"/>
      <c r="BH221" s="1066"/>
      <c r="BI221" s="1066"/>
      <c r="BJ221" s="1066"/>
      <c r="BK221" s="1066"/>
      <c r="BL221" s="1066"/>
    </row>
    <row r="222" spans="1:64" ht="25.5">
      <c r="A222" s="1058"/>
      <c r="B222" s="1059"/>
      <c r="C222" s="1022" t="s">
        <v>1082</v>
      </c>
      <c r="D222" s="1060">
        <v>6</v>
      </c>
      <c r="E222" s="1061" t="s">
        <v>1083</v>
      </c>
      <c r="F222" s="1062">
        <f>'Civil-SOR'!$G$333</f>
        <v>3185.7</v>
      </c>
      <c r="G222" s="1063">
        <v>1</v>
      </c>
      <c r="H222" s="1061" t="s">
        <v>616</v>
      </c>
      <c r="I222" s="1062">
        <f t="shared" ref="I222:I224" si="24">IF(G222="",D222*F222,(D222*F222/G222))</f>
        <v>19114.199999999997</v>
      </c>
      <c r="J222" s="1022"/>
      <c r="K222" s="1022"/>
      <c r="L222" s="1022"/>
      <c r="M222" s="1066"/>
      <c r="N222" s="1066"/>
      <c r="O222" s="1066"/>
      <c r="P222" s="1066"/>
      <c r="Q222" s="1066"/>
      <c r="R222" s="1066"/>
      <c r="S222" s="1066"/>
      <c r="T222" s="1066"/>
      <c r="U222" s="1066"/>
      <c r="V222" s="1066"/>
      <c r="W222" s="1066"/>
      <c r="X222" s="1066"/>
      <c r="Y222" s="1066"/>
      <c r="Z222" s="1066"/>
      <c r="AA222" s="1066"/>
      <c r="AB222" s="1066"/>
      <c r="AC222" s="1066"/>
      <c r="AD222" s="1066"/>
      <c r="AE222" s="1066"/>
      <c r="AF222" s="1066"/>
      <c r="AG222" s="1066"/>
      <c r="AH222" s="1066"/>
      <c r="AI222" s="1066"/>
      <c r="AJ222" s="1066"/>
      <c r="AK222" s="1066"/>
      <c r="AL222" s="1066"/>
      <c r="AM222" s="1066"/>
      <c r="AN222" s="1066"/>
      <c r="AO222" s="1066"/>
      <c r="AP222" s="1066"/>
      <c r="AQ222" s="1066"/>
      <c r="AR222" s="1066"/>
      <c r="AS222" s="1066"/>
      <c r="AT222" s="1066"/>
      <c r="AU222" s="1066"/>
      <c r="AV222" s="1066"/>
      <c r="AW222" s="1066"/>
      <c r="AX222" s="1066"/>
      <c r="AY222" s="1066"/>
      <c r="AZ222" s="1066"/>
      <c r="BA222" s="1066"/>
      <c r="BB222" s="1066"/>
      <c r="BC222" s="1066"/>
      <c r="BD222" s="1066"/>
      <c r="BE222" s="1066"/>
      <c r="BF222" s="1066"/>
      <c r="BG222" s="1066"/>
      <c r="BH222" s="1066"/>
      <c r="BI222" s="1066"/>
      <c r="BJ222" s="1066"/>
      <c r="BK222" s="1066"/>
      <c r="BL222" s="1066"/>
    </row>
    <row r="223" spans="1:64">
      <c r="A223" s="1058"/>
      <c r="B223" s="1059"/>
      <c r="C223" s="1817" t="s">
        <v>1084</v>
      </c>
      <c r="D223" s="1060">
        <v>6</v>
      </c>
      <c r="E223" s="1061" t="s">
        <v>1083</v>
      </c>
      <c r="F223" s="1062">
        <f>'Civil-SOR'!$J$333</f>
        <v>317.2</v>
      </c>
      <c r="G223" s="1063">
        <v>1</v>
      </c>
      <c r="H223" s="1061" t="s">
        <v>616</v>
      </c>
      <c r="I223" s="1062">
        <f t="shared" si="24"/>
        <v>1903.1999999999998</v>
      </c>
      <c r="J223" s="1022"/>
      <c r="K223" s="1022"/>
      <c r="L223" s="1022"/>
      <c r="M223" s="1066"/>
      <c r="N223" s="1066"/>
      <c r="O223" s="1066"/>
      <c r="P223" s="1066"/>
      <c r="Q223" s="1066"/>
      <c r="R223" s="1066"/>
      <c r="S223" s="1066"/>
      <c r="T223" s="1066"/>
      <c r="U223" s="1066"/>
      <c r="V223" s="1066"/>
      <c r="W223" s="1066"/>
      <c r="X223" s="1066"/>
      <c r="Y223" s="1066"/>
      <c r="Z223" s="1066"/>
      <c r="AA223" s="1066"/>
      <c r="AB223" s="1066"/>
      <c r="AC223" s="1066"/>
      <c r="AD223" s="1066"/>
      <c r="AE223" s="1066"/>
      <c r="AF223" s="1066"/>
      <c r="AG223" s="1066"/>
      <c r="AH223" s="1066"/>
      <c r="AI223" s="1066"/>
      <c r="AJ223" s="1066"/>
      <c r="AK223" s="1066"/>
      <c r="AL223" s="1066"/>
      <c r="AM223" s="1066"/>
      <c r="AN223" s="1066"/>
      <c r="AO223" s="1066"/>
      <c r="AP223" s="1066"/>
      <c r="AQ223" s="1066"/>
      <c r="AR223" s="1066"/>
      <c r="AS223" s="1066"/>
      <c r="AT223" s="1066"/>
      <c r="AU223" s="1066"/>
      <c r="AV223" s="1066"/>
      <c r="AW223" s="1066"/>
      <c r="AX223" s="1066"/>
      <c r="AY223" s="1066"/>
      <c r="AZ223" s="1066"/>
      <c r="BA223" s="1066"/>
      <c r="BB223" s="1066"/>
      <c r="BC223" s="1066"/>
      <c r="BD223" s="1066"/>
      <c r="BE223" s="1066"/>
      <c r="BF223" s="1066"/>
      <c r="BG223" s="1066"/>
      <c r="BH223" s="1066"/>
      <c r="BI223" s="1066"/>
      <c r="BJ223" s="1066"/>
      <c r="BK223" s="1066"/>
      <c r="BL223" s="1066"/>
    </row>
    <row r="224" spans="1:64">
      <c r="A224" s="1058"/>
      <c r="B224" s="1059"/>
      <c r="C224" s="1817" t="s">
        <v>1085</v>
      </c>
      <c r="D224" s="1060">
        <f>Input!$D$47</f>
        <v>0.4</v>
      </c>
      <c r="E224" s="1061"/>
      <c r="F224" s="1062">
        <f>$I$223</f>
        <v>1903.1999999999998</v>
      </c>
      <c r="G224" s="1063"/>
      <c r="H224" s="1061"/>
      <c r="I224" s="1062">
        <f t="shared" si="24"/>
        <v>761.28</v>
      </c>
      <c r="J224" s="1022"/>
      <c r="K224" s="1022"/>
      <c r="L224" s="1022"/>
      <c r="M224" s="1066"/>
      <c r="N224" s="1066"/>
      <c r="O224" s="1066"/>
      <c r="P224" s="1066"/>
      <c r="Q224" s="1066"/>
      <c r="R224" s="1066"/>
      <c r="S224" s="1066"/>
      <c r="T224" s="1066"/>
      <c r="U224" s="1066"/>
      <c r="V224" s="1066"/>
      <c r="W224" s="1066"/>
      <c r="X224" s="1066"/>
      <c r="Y224" s="1066"/>
      <c r="Z224" s="1066"/>
      <c r="AA224" s="1066"/>
      <c r="AB224" s="1066"/>
      <c r="AC224" s="1066"/>
      <c r="AD224" s="1066"/>
      <c r="AE224" s="1066"/>
      <c r="AF224" s="1066"/>
      <c r="AG224" s="1066"/>
      <c r="AH224" s="1066"/>
      <c r="AI224" s="1066"/>
      <c r="AJ224" s="1066"/>
      <c r="AK224" s="1066"/>
      <c r="AL224" s="1066"/>
      <c r="AM224" s="1066"/>
      <c r="AN224" s="1066"/>
      <c r="AO224" s="1066"/>
      <c r="AP224" s="1066"/>
      <c r="AQ224" s="1066"/>
      <c r="AR224" s="1066"/>
      <c r="AS224" s="1066"/>
      <c r="AT224" s="1066"/>
      <c r="AU224" s="1066"/>
      <c r="AV224" s="1066"/>
      <c r="AW224" s="1066"/>
      <c r="AX224" s="1066"/>
      <c r="AY224" s="1066"/>
      <c r="AZ224" s="1066"/>
      <c r="BA224" s="1066"/>
      <c r="BB224" s="1066"/>
      <c r="BC224" s="1066"/>
      <c r="BD224" s="1066"/>
      <c r="BE224" s="1066"/>
      <c r="BF224" s="1066"/>
      <c r="BG224" s="1066"/>
      <c r="BH224" s="1066"/>
      <c r="BI224" s="1066"/>
      <c r="BJ224" s="1066"/>
      <c r="BK224" s="1066"/>
      <c r="BL224" s="1066"/>
    </row>
    <row r="225" spans="1:64">
      <c r="A225" s="1058"/>
      <c r="B225" s="1059"/>
      <c r="C225" s="1816" t="s">
        <v>1086</v>
      </c>
      <c r="D225" s="1060"/>
      <c r="E225" s="1061"/>
      <c r="F225" s="1062"/>
      <c r="G225" s="1060"/>
      <c r="H225" s="1061"/>
      <c r="I225" s="1062">
        <f>SUM(I219:I224)</f>
        <v>27835.639999999996</v>
      </c>
      <c r="J225" s="1022"/>
      <c r="K225" s="1022"/>
      <c r="L225" s="1022"/>
      <c r="M225" s="1066"/>
      <c r="N225" s="1066"/>
      <c r="O225" s="1066"/>
      <c r="P225" s="1066"/>
      <c r="Q225" s="1066"/>
      <c r="R225" s="1066"/>
      <c r="S225" s="1066"/>
      <c r="T225" s="1066"/>
      <c r="U225" s="1066"/>
      <c r="V225" s="1066"/>
      <c r="W225" s="1066"/>
      <c r="X225" s="1066"/>
      <c r="Y225" s="1066"/>
      <c r="Z225" s="1066"/>
      <c r="AA225" s="1066"/>
      <c r="AB225" s="1066"/>
      <c r="AC225" s="1066"/>
      <c r="AD225" s="1066"/>
      <c r="AE225" s="1066"/>
      <c r="AF225" s="1066"/>
      <c r="AG225" s="1066"/>
      <c r="AH225" s="1066"/>
      <c r="AI225" s="1066"/>
      <c r="AJ225" s="1066"/>
      <c r="AK225" s="1066"/>
      <c r="AL225" s="1066"/>
      <c r="AM225" s="1066"/>
      <c r="AN225" s="1066"/>
      <c r="AO225" s="1066"/>
      <c r="AP225" s="1066"/>
      <c r="AQ225" s="1066"/>
      <c r="AR225" s="1066"/>
      <c r="AS225" s="1066"/>
      <c r="AT225" s="1066"/>
      <c r="AU225" s="1066"/>
      <c r="AV225" s="1066"/>
      <c r="AW225" s="1066"/>
      <c r="AX225" s="1066"/>
      <c r="AY225" s="1066"/>
      <c r="AZ225" s="1066"/>
      <c r="BA225" s="1066"/>
      <c r="BB225" s="1066"/>
      <c r="BC225" s="1066"/>
      <c r="BD225" s="1066"/>
      <c r="BE225" s="1066"/>
      <c r="BF225" s="1066"/>
      <c r="BG225" s="1066"/>
      <c r="BH225" s="1066"/>
      <c r="BI225" s="1066"/>
      <c r="BJ225" s="1066"/>
      <c r="BK225" s="1066"/>
      <c r="BL225" s="1066"/>
    </row>
    <row r="226" spans="1:64">
      <c r="A226" s="1058"/>
      <c r="B226" s="1059"/>
      <c r="C226" s="1022" t="str">
        <f>Input!$C$48</f>
        <v>Overheads &amp; Contractors Profit @ 13.615%</v>
      </c>
      <c r="D226" s="1067">
        <f>Input!$D$48</f>
        <v>0.13614999999999999</v>
      </c>
      <c r="E226" s="1061"/>
      <c r="F226" s="1062">
        <f>I225</f>
        <v>27835.639999999996</v>
      </c>
      <c r="G226" s="1063"/>
      <c r="H226" s="1064"/>
      <c r="I226" s="1062">
        <f>IF(G226="",D226*F226,(D226*F226/G226))</f>
        <v>3789.8223859999994</v>
      </c>
      <c r="J226" s="1022"/>
      <c r="K226" s="1022"/>
      <c r="L226" s="1022"/>
      <c r="M226" s="1066"/>
      <c r="N226" s="1066"/>
      <c r="O226" s="1066"/>
      <c r="P226" s="1066"/>
      <c r="Q226" s="1066"/>
      <c r="R226" s="1066"/>
      <c r="S226" s="1066"/>
      <c r="T226" s="1066"/>
      <c r="U226" s="1066"/>
      <c r="V226" s="1066"/>
      <c r="W226" s="1066"/>
      <c r="X226" s="1066"/>
      <c r="Y226" s="1066"/>
      <c r="Z226" s="1066"/>
      <c r="AA226" s="1066"/>
      <c r="AB226" s="1066"/>
      <c r="AC226" s="1066"/>
      <c r="AD226" s="1066"/>
      <c r="AE226" s="1066"/>
      <c r="AF226" s="1066"/>
      <c r="AG226" s="1066"/>
      <c r="AH226" s="1066"/>
      <c r="AI226" s="1066"/>
      <c r="AJ226" s="1066"/>
      <c r="AK226" s="1066"/>
      <c r="AL226" s="1066"/>
      <c r="AM226" s="1066"/>
      <c r="AN226" s="1066"/>
      <c r="AO226" s="1066"/>
      <c r="AP226" s="1066"/>
      <c r="AQ226" s="1066"/>
      <c r="AR226" s="1066"/>
      <c r="AS226" s="1066"/>
      <c r="AT226" s="1066"/>
      <c r="AU226" s="1066"/>
      <c r="AV226" s="1066"/>
      <c r="AW226" s="1066"/>
      <c r="AX226" s="1066"/>
      <c r="AY226" s="1066"/>
      <c r="AZ226" s="1066"/>
      <c r="BA226" s="1066"/>
      <c r="BB226" s="1066"/>
      <c r="BC226" s="1066"/>
      <c r="BD226" s="1066"/>
      <c r="BE226" s="1066"/>
      <c r="BF226" s="1066"/>
      <c r="BG226" s="1066"/>
      <c r="BH226" s="1066"/>
      <c r="BI226" s="1066"/>
      <c r="BJ226" s="1066"/>
      <c r="BK226" s="1066"/>
      <c r="BL226" s="1066"/>
    </row>
    <row r="227" spans="1:64">
      <c r="A227" s="1058"/>
      <c r="B227" s="1059"/>
      <c r="C227" s="1817" t="s">
        <v>1091</v>
      </c>
      <c r="D227" s="1060"/>
      <c r="E227" s="1061"/>
      <c r="F227" s="1062"/>
      <c r="G227" s="1063"/>
      <c r="H227" s="1064"/>
      <c r="I227" s="1062">
        <f>SUM(I225:I226)</f>
        <v>31625.462385999996</v>
      </c>
      <c r="J227" s="1022"/>
      <c r="K227" s="1022"/>
      <c r="L227" s="1022"/>
      <c r="M227" s="1066"/>
      <c r="N227" s="1066"/>
      <c r="O227" s="1066"/>
      <c r="P227" s="1066"/>
      <c r="Q227" s="1066"/>
      <c r="R227" s="1066"/>
      <c r="S227" s="1066"/>
      <c r="T227" s="1066"/>
      <c r="U227" s="1066"/>
      <c r="V227" s="1066"/>
      <c r="W227" s="1066"/>
      <c r="X227" s="1066"/>
      <c r="Y227" s="1066"/>
      <c r="Z227" s="1066"/>
      <c r="AA227" s="1066"/>
      <c r="AB227" s="1066"/>
      <c r="AC227" s="1066"/>
      <c r="AD227" s="1066"/>
      <c r="AE227" s="1066"/>
      <c r="AF227" s="1066"/>
      <c r="AG227" s="1066"/>
      <c r="AH227" s="1066"/>
      <c r="AI227" s="1066"/>
      <c r="AJ227" s="1066"/>
      <c r="AK227" s="1066"/>
      <c r="AL227" s="1066"/>
      <c r="AM227" s="1066"/>
      <c r="AN227" s="1066"/>
      <c r="AO227" s="1066"/>
      <c r="AP227" s="1066"/>
      <c r="AQ227" s="1066"/>
      <c r="AR227" s="1066"/>
      <c r="AS227" s="1066"/>
      <c r="AT227" s="1066"/>
      <c r="AU227" s="1066"/>
      <c r="AV227" s="1066"/>
      <c r="AW227" s="1066"/>
      <c r="AX227" s="1066"/>
      <c r="AY227" s="1066"/>
      <c r="AZ227" s="1066"/>
      <c r="BA227" s="1066"/>
      <c r="BB227" s="1066"/>
      <c r="BC227" s="1066"/>
      <c r="BD227" s="1066"/>
      <c r="BE227" s="1066"/>
      <c r="BF227" s="1066"/>
      <c r="BG227" s="1066"/>
      <c r="BH227" s="1066"/>
      <c r="BI227" s="1066"/>
      <c r="BJ227" s="1066"/>
      <c r="BK227" s="1066"/>
      <c r="BL227" s="1066"/>
    </row>
    <row r="228" spans="1:64">
      <c r="A228" s="1818"/>
      <c r="B228" s="1048"/>
      <c r="C228" s="1816" t="s">
        <v>3384</v>
      </c>
      <c r="D228" s="1034"/>
      <c r="E228" s="1044"/>
      <c r="F228" s="1001"/>
      <c r="G228" s="1045"/>
      <c r="H228" s="1034" t="s">
        <v>1033</v>
      </c>
      <c r="I228" s="1030">
        <f>I227/210</f>
        <v>150.59743993333331</v>
      </c>
      <c r="J228" s="1846"/>
      <c r="K228" s="1846"/>
      <c r="L228" s="1846"/>
    </row>
    <row r="229" spans="1:64">
      <c r="A229" s="1818"/>
      <c r="B229" s="1048"/>
      <c r="C229" s="1816" t="s">
        <v>1032</v>
      </c>
      <c r="D229" s="1034"/>
      <c r="E229" s="1044"/>
      <c r="F229" s="1001"/>
      <c r="G229" s="1045"/>
      <c r="H229" s="1842" t="s">
        <v>1034</v>
      </c>
      <c r="I229" s="1011">
        <f>ROUND(I228,0)</f>
        <v>151</v>
      </c>
      <c r="J229" s="1846"/>
      <c r="K229" s="1846"/>
      <c r="L229" s="1846"/>
    </row>
    <row r="230" spans="1:64">
      <c r="A230" s="1818"/>
      <c r="B230" s="1048"/>
      <c r="C230" s="1816"/>
      <c r="D230" s="1034"/>
      <c r="E230" s="1044"/>
      <c r="F230" s="1001"/>
      <c r="G230" s="1045"/>
      <c r="H230" s="1047"/>
      <c r="I230" s="1011"/>
      <c r="J230" s="1846"/>
      <c r="K230" s="1846"/>
      <c r="L230" s="1846"/>
    </row>
    <row r="231" spans="1:64" ht="60.4" customHeight="1">
      <c r="A231" s="1824">
        <f>A213+1</f>
        <v>7</v>
      </c>
      <c r="B231" s="1048"/>
      <c r="C231" s="2036" t="s">
        <v>3385</v>
      </c>
      <c r="D231" s="2036"/>
      <c r="E231" s="2036"/>
      <c r="F231" s="2036"/>
      <c r="G231" s="2036"/>
      <c r="H231" s="2036"/>
      <c r="I231" s="1825"/>
      <c r="J231" s="1846"/>
      <c r="K231" s="1846"/>
      <c r="L231" s="1846"/>
    </row>
    <row r="232" spans="1:64">
      <c r="A232" s="1818"/>
      <c r="B232" s="1048"/>
      <c r="C232" s="1049" t="s">
        <v>1092</v>
      </c>
      <c r="D232" s="1846"/>
      <c r="E232" s="1846"/>
      <c r="F232" s="1068"/>
      <c r="G232" s="1015"/>
      <c r="H232" s="1050"/>
      <c r="I232" s="1030"/>
      <c r="J232" s="1846"/>
      <c r="K232" s="1846"/>
      <c r="L232" s="1846"/>
    </row>
    <row r="233" spans="1:64" ht="12.75" customHeight="1">
      <c r="A233" s="1818"/>
      <c r="B233" s="1048"/>
      <c r="C233" s="2045" t="s">
        <v>1093</v>
      </c>
      <c r="D233" s="2045"/>
      <c r="E233" s="2045"/>
      <c r="F233" s="2045"/>
      <c r="G233" s="1015"/>
      <c r="H233" s="1050"/>
      <c r="I233" s="1030"/>
      <c r="J233" s="1846"/>
      <c r="K233" s="1846"/>
      <c r="L233" s="1846"/>
    </row>
    <row r="234" spans="1:64">
      <c r="A234" s="1818"/>
      <c r="B234" s="1048"/>
      <c r="C234" s="1816" t="s">
        <v>1069</v>
      </c>
      <c r="D234" s="1051"/>
      <c r="E234" s="1052"/>
      <c r="F234" s="1030"/>
      <c r="G234" s="1053"/>
      <c r="H234" s="1054" t="str">
        <f>IF(E234="","",IF(E234="No.","Each",IF(E234="Nos.","Each",E234)))</f>
        <v/>
      </c>
      <c r="I234" s="1030"/>
      <c r="J234" s="1846"/>
      <c r="K234" s="1846"/>
      <c r="L234" s="1846"/>
    </row>
    <row r="235" spans="1:64">
      <c r="A235" s="1818"/>
      <c r="B235" s="1048"/>
      <c r="C235" s="1816" t="s">
        <v>1080</v>
      </c>
      <c r="D235" s="1055">
        <v>10</v>
      </c>
      <c r="E235" s="1056" t="s">
        <v>1094</v>
      </c>
      <c r="F235" s="1001"/>
      <c r="G235" s="1020"/>
      <c r="H235" s="1057"/>
      <c r="I235" s="1030"/>
      <c r="J235" s="1846"/>
      <c r="K235" s="1846"/>
      <c r="L235" s="1846"/>
    </row>
    <row r="236" spans="1:64">
      <c r="A236" s="1818"/>
      <c r="B236" s="1048"/>
      <c r="C236" s="1816" t="s">
        <v>1071</v>
      </c>
      <c r="D236" s="1034"/>
      <c r="E236" s="1044"/>
      <c r="F236" s="1001"/>
      <c r="G236" s="1045"/>
      <c r="H236" s="1071"/>
      <c r="I236" s="1011"/>
      <c r="J236" s="1846"/>
      <c r="K236" s="1846"/>
      <c r="L236" s="1846"/>
    </row>
    <row r="237" spans="1:64">
      <c r="A237" s="1818"/>
      <c r="B237" s="1048"/>
      <c r="C237" s="1817" t="s">
        <v>1072</v>
      </c>
      <c r="D237" s="1034">
        <v>5.2</v>
      </c>
      <c r="E237" s="1044" t="s">
        <v>36</v>
      </c>
      <c r="F237" s="1001">
        <f>'Civil-SOR'!$G$307</f>
        <v>520</v>
      </c>
      <c r="G237" s="1045">
        <v>1</v>
      </c>
      <c r="H237" s="1044" t="s">
        <v>39</v>
      </c>
      <c r="I237" s="1030">
        <f t="shared" ref="I237:I238" si="25">IF(G237="",D237*F237,(D237*F237/G237))</f>
        <v>2704</v>
      </c>
      <c r="J237" s="1846"/>
      <c r="K237" s="1846"/>
      <c r="L237" s="1846"/>
    </row>
    <row r="238" spans="1:64">
      <c r="A238" s="1818"/>
      <c r="B238" s="1048"/>
      <c r="C238" s="1817" t="str">
        <f>Input!$C$47</f>
        <v>Add for MA @ 40%</v>
      </c>
      <c r="D238" s="1034">
        <f>Input!$D$47</f>
        <v>0.4</v>
      </c>
      <c r="E238" s="1044"/>
      <c r="F238" s="1001">
        <f>I237</f>
        <v>2704</v>
      </c>
      <c r="G238" s="1045"/>
      <c r="H238" s="1044"/>
      <c r="I238" s="1030">
        <f t="shared" si="25"/>
        <v>1081.6000000000001</v>
      </c>
      <c r="J238" s="1846"/>
      <c r="K238" s="1846"/>
      <c r="L238" s="1846"/>
    </row>
    <row r="239" spans="1:64">
      <c r="A239" s="1818"/>
      <c r="B239" s="1048"/>
      <c r="C239" s="1817" t="s">
        <v>1095</v>
      </c>
      <c r="D239" s="1034"/>
      <c r="E239" s="1044"/>
      <c r="F239" s="1001"/>
      <c r="G239" s="1045"/>
      <c r="H239" s="1044"/>
      <c r="I239" s="1030">
        <f>SUM(I237:I238)</f>
        <v>3785.6000000000004</v>
      </c>
      <c r="J239" s="1846"/>
      <c r="K239" s="1846"/>
      <c r="L239" s="1846"/>
    </row>
    <row r="240" spans="1:64">
      <c r="A240" s="1818"/>
      <c r="B240" s="1048"/>
      <c r="C240" s="1022" t="str">
        <f>Input!$C$48</f>
        <v>Overheads &amp; Contractors Profit @ 13.615%</v>
      </c>
      <c r="D240" s="1070">
        <f>Input!$D$48</f>
        <v>0.13614999999999999</v>
      </c>
      <c r="E240" s="1044"/>
      <c r="F240" s="1001">
        <f>I239</f>
        <v>3785.6000000000004</v>
      </c>
      <c r="G240" s="1045"/>
      <c r="H240" s="1071"/>
      <c r="I240" s="1001">
        <f>IF(G240="",D240*F240,(D240*F240/G240))</f>
        <v>515.40944000000002</v>
      </c>
      <c r="J240" s="1002"/>
      <c r="K240" s="1002"/>
      <c r="L240" s="1002"/>
      <c r="M240" s="1003"/>
      <c r="N240" s="1003"/>
      <c r="O240" s="1003"/>
      <c r="P240" s="1003"/>
      <c r="Q240" s="1003"/>
      <c r="R240" s="1003"/>
      <c r="S240" s="1003"/>
      <c r="T240" s="1003"/>
      <c r="U240" s="1003"/>
      <c r="V240" s="1003"/>
      <c r="W240" s="1003"/>
      <c r="X240" s="1003"/>
      <c r="Y240" s="1003"/>
      <c r="Z240" s="1003"/>
      <c r="AA240" s="1003"/>
      <c r="AB240" s="1003"/>
      <c r="AC240" s="1003"/>
      <c r="AD240" s="1003"/>
      <c r="AE240" s="1003"/>
      <c r="AF240" s="1003"/>
      <c r="AG240" s="1003"/>
      <c r="AH240" s="1003"/>
      <c r="AI240" s="1003"/>
      <c r="AJ240" s="1003"/>
      <c r="AK240" s="1003"/>
      <c r="AL240" s="1003"/>
      <c r="AM240" s="1003"/>
      <c r="AN240" s="1003"/>
      <c r="AO240" s="1003"/>
      <c r="AP240" s="1003"/>
      <c r="AQ240" s="1003"/>
      <c r="AR240" s="1003"/>
      <c r="AS240" s="1003"/>
      <c r="AT240" s="1003"/>
      <c r="AU240" s="1003"/>
      <c r="AV240" s="1003"/>
      <c r="AW240" s="1003"/>
      <c r="AX240" s="1003"/>
      <c r="AY240" s="1003"/>
      <c r="AZ240" s="1003"/>
      <c r="BA240" s="1003"/>
      <c r="BB240" s="1003"/>
      <c r="BC240" s="1003"/>
      <c r="BD240" s="1003"/>
      <c r="BE240" s="1003"/>
      <c r="BF240" s="1003"/>
      <c r="BG240" s="1003"/>
      <c r="BH240" s="1003"/>
      <c r="BI240" s="1003"/>
      <c r="BJ240" s="1003"/>
      <c r="BK240" s="1003"/>
      <c r="BL240" s="1003"/>
    </row>
    <row r="241" spans="1:12">
      <c r="A241" s="1818"/>
      <c r="B241" s="1048"/>
      <c r="C241" s="1817" t="s">
        <v>1074</v>
      </c>
      <c r="D241" s="1034"/>
      <c r="E241" s="1044"/>
      <c r="F241" s="1001"/>
      <c r="G241" s="1045"/>
      <c r="H241" s="1071"/>
      <c r="I241" s="1030">
        <f>SUM(I239:I240)</f>
        <v>4301.0094400000007</v>
      </c>
      <c r="J241" s="1846"/>
      <c r="K241" s="1846"/>
      <c r="L241" s="1846"/>
    </row>
    <row r="242" spans="1:12">
      <c r="A242" s="1818"/>
      <c r="B242" s="1048"/>
      <c r="C242" s="1816" t="s">
        <v>3386</v>
      </c>
      <c r="D242" s="1034"/>
      <c r="E242" s="1044"/>
      <c r="F242" s="1001"/>
      <c r="G242" s="1045"/>
      <c r="H242" s="1034" t="s">
        <v>1033</v>
      </c>
      <c r="I242" s="1030">
        <f>I241/D235</f>
        <v>430.10094400000008</v>
      </c>
      <c r="J242" s="1846"/>
      <c r="K242" s="1846"/>
      <c r="L242" s="1846"/>
    </row>
    <row r="243" spans="1:12">
      <c r="A243" s="1818"/>
      <c r="B243" s="1048"/>
      <c r="C243" s="1816" t="s">
        <v>1032</v>
      </c>
      <c r="D243" s="1034"/>
      <c r="E243" s="1044"/>
      <c r="F243" s="1001"/>
      <c r="G243" s="1045"/>
      <c r="H243" s="1046" t="s">
        <v>1096</v>
      </c>
      <c r="I243" s="1011">
        <f>ROUND(I242,0)</f>
        <v>430</v>
      </c>
      <c r="J243" s="1846"/>
      <c r="K243" s="1846"/>
      <c r="L243" s="1846"/>
    </row>
    <row r="244" spans="1:12">
      <c r="A244" s="1818"/>
      <c r="B244" s="1048"/>
      <c r="C244" s="1816"/>
      <c r="D244" s="1034"/>
      <c r="E244" s="1044"/>
      <c r="F244" s="1001"/>
      <c r="G244" s="1045"/>
      <c r="H244" s="1047"/>
      <c r="I244" s="1011"/>
      <c r="J244" s="1846"/>
      <c r="K244" s="1846"/>
      <c r="L244" s="1846"/>
    </row>
    <row r="245" spans="1:12" ht="60.4" customHeight="1">
      <c r="A245" s="1824">
        <f>1+A195</f>
        <v>6</v>
      </c>
      <c r="B245" s="1048"/>
      <c r="C245" s="2036" t="s">
        <v>3387</v>
      </c>
      <c r="D245" s="2036"/>
      <c r="E245" s="2036"/>
      <c r="F245" s="2036"/>
      <c r="G245" s="2036"/>
      <c r="H245" s="2036"/>
      <c r="I245" s="1825"/>
      <c r="J245" s="1846"/>
      <c r="K245" s="1846"/>
      <c r="L245" s="1846"/>
    </row>
    <row r="246" spans="1:12">
      <c r="A246" s="1818"/>
      <c r="B246" s="1048"/>
      <c r="C246" s="1049" t="s">
        <v>1097</v>
      </c>
      <c r="D246" s="1846"/>
      <c r="E246" s="1846"/>
      <c r="F246" s="1068"/>
      <c r="G246" s="1846"/>
      <c r="H246" s="1050"/>
      <c r="I246" s="1030"/>
      <c r="J246" s="1846"/>
      <c r="K246" s="1846"/>
      <c r="L246" s="1846"/>
    </row>
    <row r="247" spans="1:12" ht="12.75" customHeight="1">
      <c r="A247" s="1818"/>
      <c r="B247" s="1048"/>
      <c r="C247" s="2045" t="s">
        <v>1098</v>
      </c>
      <c r="D247" s="2045"/>
      <c r="E247" s="2045"/>
      <c r="F247" s="2045"/>
      <c r="G247" s="2045"/>
      <c r="H247" s="1050"/>
      <c r="I247" s="1030"/>
      <c r="J247" s="1846"/>
      <c r="K247" s="1846"/>
      <c r="L247" s="1846"/>
    </row>
    <row r="248" spans="1:12">
      <c r="A248" s="1818"/>
      <c r="B248" s="1048"/>
      <c r="C248" s="1816" t="s">
        <v>1069</v>
      </c>
      <c r="D248" s="1051"/>
      <c r="E248" s="1052"/>
      <c r="F248" s="1030"/>
      <c r="G248" s="1053"/>
      <c r="H248" s="1054" t="str">
        <f>IF(E248="","",IF(E248="No.","Each",IF(E248="Nos.","Each",E248)))</f>
        <v/>
      </c>
      <c r="I248" s="1030"/>
      <c r="J248" s="1846"/>
      <c r="K248" s="1846"/>
      <c r="L248" s="1846"/>
    </row>
    <row r="249" spans="1:12">
      <c r="A249" s="1818"/>
      <c r="B249" s="1048"/>
      <c r="C249" s="1816" t="s">
        <v>1099</v>
      </c>
      <c r="D249" s="1055"/>
      <c r="E249" s="1056"/>
      <c r="F249" s="1001"/>
      <c r="G249" s="1020"/>
      <c r="H249" s="1057"/>
      <c r="I249" s="1030"/>
      <c r="J249" s="1846"/>
      <c r="K249" s="1846"/>
      <c r="L249" s="1846"/>
    </row>
    <row r="250" spans="1:12">
      <c r="A250" s="1818"/>
      <c r="B250" s="1048"/>
      <c r="C250" s="1816" t="s">
        <v>1071</v>
      </c>
      <c r="D250" s="1034"/>
      <c r="E250" s="1044"/>
      <c r="F250" s="1001"/>
      <c r="G250" s="1045"/>
      <c r="H250" s="1071"/>
      <c r="I250" s="1011"/>
      <c r="J250" s="1846"/>
      <c r="K250" s="1846"/>
      <c r="L250" s="1846"/>
    </row>
    <row r="251" spans="1:12">
      <c r="A251" s="1818"/>
      <c r="B251" s="1048"/>
      <c r="C251" s="1817" t="s">
        <v>1072</v>
      </c>
      <c r="D251" s="1034">
        <v>6.24</v>
      </c>
      <c r="E251" s="1044" t="s">
        <v>36</v>
      </c>
      <c r="F251" s="1001">
        <f>'Civil-SOR'!$G$307</f>
        <v>520</v>
      </c>
      <c r="G251" s="1045">
        <v>1</v>
      </c>
      <c r="H251" s="1044" t="s">
        <v>39</v>
      </c>
      <c r="I251" s="1030">
        <f t="shared" ref="I251:I252" si="26">IF(G251="",D251*F251,(D251*F251/G251))</f>
        <v>3244.8</v>
      </c>
      <c r="J251" s="1846"/>
      <c r="K251" s="1846"/>
      <c r="L251" s="1846"/>
    </row>
    <row r="252" spans="1:12">
      <c r="A252" s="1818"/>
      <c r="B252" s="1048"/>
      <c r="C252" s="1817" t="str">
        <f>Input!$C$47</f>
        <v>Add for MA @ 40%</v>
      </c>
      <c r="D252" s="1034">
        <f>Input!$D$47</f>
        <v>0.4</v>
      </c>
      <c r="E252" s="1044"/>
      <c r="F252" s="1001">
        <f>I251</f>
        <v>3244.8</v>
      </c>
      <c r="G252" s="1045"/>
      <c r="H252" s="1044"/>
      <c r="I252" s="1030">
        <f t="shared" si="26"/>
        <v>1297.92</v>
      </c>
      <c r="J252" s="1846"/>
      <c r="K252" s="1846"/>
      <c r="L252" s="1846"/>
    </row>
    <row r="253" spans="1:12">
      <c r="A253" s="1818"/>
      <c r="B253" s="1048"/>
      <c r="C253" s="1816" t="s">
        <v>1081</v>
      </c>
      <c r="D253" s="1034"/>
      <c r="E253" s="1044"/>
      <c r="F253" s="1001"/>
      <c r="G253" s="1045"/>
      <c r="H253" s="1044"/>
      <c r="I253" s="1030"/>
      <c r="J253" s="1846"/>
      <c r="K253" s="1846"/>
      <c r="L253" s="1846"/>
    </row>
    <row r="254" spans="1:12" ht="25.5">
      <c r="A254" s="1818"/>
      <c r="B254" s="1048"/>
      <c r="C254" s="1072" t="s">
        <v>1082</v>
      </c>
      <c r="D254" s="1051">
        <v>6</v>
      </c>
      <c r="E254" s="1052" t="s">
        <v>1083</v>
      </c>
      <c r="F254" s="1030">
        <f>'Civil-SOR'!$G$333</f>
        <v>3185.7</v>
      </c>
      <c r="G254" s="1053">
        <v>1</v>
      </c>
      <c r="H254" s="1052" t="s">
        <v>616</v>
      </c>
      <c r="I254" s="1030">
        <f t="shared" ref="I254:I256" si="27">IF(G254="",D254*F254,(D254*F254/G254))</f>
        <v>19114.199999999997</v>
      </c>
      <c r="J254" s="1846"/>
      <c r="K254" s="1846"/>
      <c r="L254" s="1846"/>
    </row>
    <row r="255" spans="1:12">
      <c r="A255" s="1818"/>
      <c r="B255" s="1048"/>
      <c r="C255" s="1817" t="s">
        <v>1084</v>
      </c>
      <c r="D255" s="1051">
        <v>6</v>
      </c>
      <c r="E255" s="1052" t="s">
        <v>1083</v>
      </c>
      <c r="F255" s="1030">
        <f>'Civil-SOR'!$J$333</f>
        <v>317.2</v>
      </c>
      <c r="G255" s="1053">
        <v>1</v>
      </c>
      <c r="H255" s="1052" t="s">
        <v>616</v>
      </c>
      <c r="I255" s="1030">
        <f t="shared" si="27"/>
        <v>1903.1999999999998</v>
      </c>
      <c r="J255" s="1846"/>
      <c r="K255" s="1846"/>
      <c r="L255" s="1846"/>
    </row>
    <row r="256" spans="1:12">
      <c r="A256" s="1818"/>
      <c r="B256" s="1048"/>
      <c r="C256" s="1817" t="s">
        <v>1085</v>
      </c>
      <c r="D256" s="1034">
        <f>Input!$D$47</f>
        <v>0.4</v>
      </c>
      <c r="E256" s="1044"/>
      <c r="F256" s="1001">
        <f>$I$255</f>
        <v>1903.1999999999998</v>
      </c>
      <c r="G256" s="1045"/>
      <c r="H256" s="1044"/>
      <c r="I256" s="1030">
        <f t="shared" si="27"/>
        <v>761.28</v>
      </c>
      <c r="J256" s="1846"/>
      <c r="K256" s="1846"/>
      <c r="L256" s="1846"/>
    </row>
    <row r="257" spans="1:64">
      <c r="A257" s="1818"/>
      <c r="B257" s="1048"/>
      <c r="C257" s="1817" t="s">
        <v>1086</v>
      </c>
      <c r="D257" s="1034"/>
      <c r="E257" s="1044"/>
      <c r="F257" s="1001"/>
      <c r="G257" s="1034"/>
      <c r="H257" s="1044"/>
      <c r="I257" s="1030">
        <f>SUM(I251:I256)</f>
        <v>26321.399999999998</v>
      </c>
      <c r="J257" s="1846"/>
      <c r="K257" s="1846"/>
      <c r="L257" s="1846"/>
    </row>
    <row r="258" spans="1:64">
      <c r="A258" s="1818"/>
      <c r="B258" s="1048"/>
      <c r="C258" s="1072" t="str">
        <f>Input!$C$48</f>
        <v>Overheads &amp; Contractors Profit @ 13.615%</v>
      </c>
      <c r="D258" s="1073">
        <f>Input!$D$48</f>
        <v>0.13614999999999999</v>
      </c>
      <c r="E258" s="1052"/>
      <c r="F258" s="1030">
        <f>I257</f>
        <v>26321.399999999998</v>
      </c>
      <c r="G258" s="1045"/>
      <c r="H258" s="1071"/>
      <c r="I258" s="1030">
        <f>IF(G258="",D258*F258,(D258*F258/G258))</f>
        <v>3583.6586099999995</v>
      </c>
      <c r="J258" s="1846"/>
      <c r="K258" s="1846"/>
      <c r="L258" s="1846"/>
    </row>
    <row r="259" spans="1:64">
      <c r="A259" s="1818"/>
      <c r="B259" s="1048"/>
      <c r="C259" s="1817" t="s">
        <v>1100</v>
      </c>
      <c r="D259" s="1034"/>
      <c r="E259" s="1044"/>
      <c r="F259" s="1001"/>
      <c r="G259" s="1045"/>
      <c r="H259" s="1071"/>
      <c r="I259" s="1030">
        <f>SUM(I257:I258)</f>
        <v>29905.058609999996</v>
      </c>
      <c r="J259" s="1846"/>
      <c r="K259" s="1846"/>
      <c r="L259" s="1846"/>
    </row>
    <row r="260" spans="1:64">
      <c r="A260" s="1818"/>
      <c r="B260" s="1048"/>
      <c r="C260" s="1816" t="s">
        <v>3388</v>
      </c>
      <c r="D260" s="1034"/>
      <c r="E260" s="1044"/>
      <c r="F260" s="1001"/>
      <c r="G260" s="1045"/>
      <c r="H260" s="1034" t="s">
        <v>1033</v>
      </c>
      <c r="I260" s="1030">
        <f>I259/180</f>
        <v>166.13921449999998</v>
      </c>
      <c r="J260" s="1846"/>
      <c r="K260" s="1846"/>
      <c r="L260" s="1846"/>
    </row>
    <row r="261" spans="1:64">
      <c r="A261" s="1818"/>
      <c r="B261" s="1048"/>
      <c r="C261" s="1816" t="s">
        <v>1032</v>
      </c>
      <c r="D261" s="1034"/>
      <c r="E261" s="1044"/>
      <c r="F261" s="1001"/>
      <c r="G261" s="1045"/>
      <c r="H261" s="1046" t="s">
        <v>1096</v>
      </c>
      <c r="I261" s="1011">
        <f>ROUND(I260,0)</f>
        <v>166</v>
      </c>
      <c r="J261" s="1846"/>
      <c r="K261" s="1846"/>
      <c r="L261" s="1846"/>
    </row>
    <row r="262" spans="1:64">
      <c r="A262" s="1818"/>
      <c r="B262" s="1048"/>
      <c r="C262" s="1816"/>
      <c r="D262" s="1034"/>
      <c r="E262" s="1044"/>
      <c r="F262" s="1001"/>
      <c r="G262" s="1045"/>
      <c r="H262" s="1047"/>
      <c r="I262" s="1011"/>
      <c r="J262" s="1846"/>
      <c r="K262" s="1846"/>
      <c r="L262" s="1846"/>
    </row>
    <row r="263" spans="1:64" ht="47.85" customHeight="1">
      <c r="A263" s="2048">
        <f>A245+1</f>
        <v>7</v>
      </c>
      <c r="B263" s="2048"/>
      <c r="C263" s="2036" t="s">
        <v>3389</v>
      </c>
      <c r="D263" s="2036"/>
      <c r="E263" s="2036"/>
      <c r="F263" s="2036"/>
      <c r="G263" s="2036"/>
      <c r="H263" s="2036"/>
      <c r="I263" s="1825"/>
      <c r="J263" s="1846"/>
      <c r="K263" s="1846"/>
      <c r="L263" s="1846"/>
    </row>
    <row r="264" spans="1:64" ht="12.75" customHeight="1">
      <c r="A264" s="1818"/>
      <c r="B264" s="1048"/>
      <c r="C264" s="2045" t="s">
        <v>1101</v>
      </c>
      <c r="D264" s="2045"/>
      <c r="E264" s="2045"/>
      <c r="F264" s="2045"/>
      <c r="G264" s="2045"/>
      <c r="H264" s="1050"/>
      <c r="I264" s="1030"/>
      <c r="J264" s="1846"/>
      <c r="K264" s="1846"/>
      <c r="L264" s="1846"/>
    </row>
    <row r="265" spans="1:64">
      <c r="A265" s="1818"/>
      <c r="B265" s="1048"/>
      <c r="C265" s="1816" t="s">
        <v>1069</v>
      </c>
      <c r="D265" s="1051"/>
      <c r="E265" s="1052"/>
      <c r="F265" s="1030"/>
      <c r="G265" s="1053"/>
      <c r="H265" s="1054" t="str">
        <f>IF(E265="","",IF(E265="No.","Each",IF(E265="Nos.","Each",E265)))</f>
        <v/>
      </c>
      <c r="I265" s="1030"/>
      <c r="J265" s="1846"/>
      <c r="K265" s="1846"/>
      <c r="L265" s="1846"/>
    </row>
    <row r="266" spans="1:64">
      <c r="A266" s="1818"/>
      <c r="B266" s="1048"/>
      <c r="C266" s="1816" t="s">
        <v>1070</v>
      </c>
      <c r="D266" s="1055"/>
      <c r="E266" s="1056"/>
      <c r="F266" s="1001"/>
      <c r="G266" s="1020"/>
      <c r="H266" s="1057"/>
      <c r="I266" s="1030"/>
      <c r="J266" s="1846"/>
      <c r="K266" s="1846"/>
      <c r="L266" s="1846"/>
    </row>
    <row r="267" spans="1:64">
      <c r="A267" s="1818"/>
      <c r="B267" s="1048"/>
      <c r="C267" s="1816" t="s">
        <v>1071</v>
      </c>
      <c r="D267" s="1034"/>
      <c r="E267" s="1044"/>
      <c r="F267" s="1001"/>
      <c r="G267" s="1045"/>
      <c r="H267" s="1071"/>
      <c r="I267" s="1011"/>
      <c r="J267" s="1846"/>
      <c r="K267" s="1846"/>
      <c r="L267" s="1846"/>
    </row>
    <row r="268" spans="1:64">
      <c r="A268" s="1818"/>
      <c r="B268" s="1048"/>
      <c r="C268" s="1849" t="s">
        <v>1102</v>
      </c>
      <c r="D268" s="1034">
        <v>0.5</v>
      </c>
      <c r="E268" s="1044" t="s">
        <v>36</v>
      </c>
      <c r="F268" s="1001">
        <f>'Civil-SOR'!$G$295</f>
        <v>605</v>
      </c>
      <c r="G268" s="1045">
        <v>1</v>
      </c>
      <c r="H268" s="1044" t="s">
        <v>39</v>
      </c>
      <c r="I268" s="1001">
        <f t="shared" ref="I268:I271" si="28">IF(G268="",D268*F268,(D268*F268/G268))</f>
        <v>302.5</v>
      </c>
      <c r="J268" s="1002"/>
      <c r="K268" s="1002"/>
      <c r="L268" s="1002"/>
      <c r="M268" s="1003"/>
      <c r="N268" s="1003"/>
      <c r="O268" s="1003"/>
      <c r="P268" s="1003"/>
      <c r="Q268" s="1003"/>
      <c r="R268" s="1003"/>
      <c r="S268" s="1003"/>
      <c r="T268" s="1003"/>
      <c r="U268" s="1003"/>
      <c r="V268" s="1003"/>
      <c r="W268" s="1003"/>
      <c r="X268" s="1003"/>
      <c r="Y268" s="1003"/>
      <c r="Z268" s="1003"/>
      <c r="AA268" s="1003"/>
      <c r="AB268" s="1003"/>
      <c r="AC268" s="1003"/>
      <c r="AD268" s="1003"/>
      <c r="AE268" s="1003"/>
      <c r="AF268" s="1003"/>
      <c r="AG268" s="1003"/>
      <c r="AH268" s="1003"/>
      <c r="AI268" s="1003"/>
      <c r="AJ268" s="1003"/>
      <c r="AK268" s="1003"/>
      <c r="AL268" s="1003"/>
      <c r="AM268" s="1003"/>
      <c r="AN268" s="1003"/>
      <c r="AO268" s="1003"/>
      <c r="AP268" s="1003"/>
      <c r="AQ268" s="1003"/>
      <c r="AR268" s="1003"/>
      <c r="AS268" s="1003"/>
      <c r="AT268" s="1003"/>
      <c r="AU268" s="1003"/>
      <c r="AV268" s="1003"/>
      <c r="AW268" s="1003"/>
      <c r="AX268" s="1003"/>
      <c r="AY268" s="1003"/>
      <c r="AZ268" s="1003"/>
      <c r="BA268" s="1003"/>
      <c r="BB268" s="1003"/>
      <c r="BC268" s="1003"/>
      <c r="BD268" s="1003"/>
      <c r="BE268" s="1003"/>
      <c r="BF268" s="1003"/>
      <c r="BG268" s="1003"/>
      <c r="BH268" s="1003"/>
      <c r="BI268" s="1003"/>
      <c r="BJ268" s="1003"/>
      <c r="BK268" s="1003"/>
      <c r="BL268" s="1003"/>
    </row>
    <row r="269" spans="1:64" ht="25.5">
      <c r="A269" s="1818"/>
      <c r="B269" s="1048"/>
      <c r="C269" s="1849" t="s">
        <v>1103</v>
      </c>
      <c r="D269" s="1034">
        <v>0.25</v>
      </c>
      <c r="E269" s="1044" t="s">
        <v>36</v>
      </c>
      <c r="F269" s="1001">
        <f>'Civil-SOR'!$G$290</f>
        <v>685</v>
      </c>
      <c r="G269" s="1045">
        <v>1</v>
      </c>
      <c r="H269" s="1044" t="s">
        <v>39</v>
      </c>
      <c r="I269" s="1001">
        <f t="shared" si="28"/>
        <v>171.25</v>
      </c>
      <c r="J269" s="1002"/>
      <c r="K269" s="1002"/>
      <c r="L269" s="1002"/>
      <c r="M269" s="1003"/>
      <c r="N269" s="1003"/>
      <c r="O269" s="1003"/>
      <c r="P269" s="1003"/>
      <c r="Q269" s="1003"/>
      <c r="R269" s="1003"/>
      <c r="S269" s="1003"/>
      <c r="T269" s="1003"/>
      <c r="U269" s="1003"/>
      <c r="V269" s="1003"/>
      <c r="W269" s="1003"/>
      <c r="X269" s="1003"/>
      <c r="Y269" s="1003"/>
      <c r="Z269" s="1003"/>
      <c r="AA269" s="1003"/>
      <c r="AB269" s="1003"/>
      <c r="AC269" s="1003"/>
      <c r="AD269" s="1003"/>
      <c r="AE269" s="1003"/>
      <c r="AF269" s="1003"/>
      <c r="AG269" s="1003"/>
      <c r="AH269" s="1003"/>
      <c r="AI269" s="1003"/>
      <c r="AJ269" s="1003"/>
      <c r="AK269" s="1003"/>
      <c r="AL269" s="1003"/>
      <c r="AM269" s="1003"/>
      <c r="AN269" s="1003"/>
      <c r="AO269" s="1003"/>
      <c r="AP269" s="1003"/>
      <c r="AQ269" s="1003"/>
      <c r="AR269" s="1003"/>
      <c r="AS269" s="1003"/>
      <c r="AT269" s="1003"/>
      <c r="AU269" s="1003"/>
      <c r="AV269" s="1003"/>
      <c r="AW269" s="1003"/>
      <c r="AX269" s="1003"/>
      <c r="AY269" s="1003"/>
      <c r="AZ269" s="1003"/>
      <c r="BA269" s="1003"/>
      <c r="BB269" s="1003"/>
      <c r="BC269" s="1003"/>
      <c r="BD269" s="1003"/>
      <c r="BE269" s="1003"/>
      <c r="BF269" s="1003"/>
      <c r="BG269" s="1003"/>
      <c r="BH269" s="1003"/>
      <c r="BI269" s="1003"/>
      <c r="BJ269" s="1003"/>
      <c r="BK269" s="1003"/>
      <c r="BL269" s="1003"/>
    </row>
    <row r="270" spans="1:64">
      <c r="A270" s="1818"/>
      <c r="B270" s="1048"/>
      <c r="C270" s="1817" t="s">
        <v>1072</v>
      </c>
      <c r="D270" s="1034">
        <v>8.35</v>
      </c>
      <c r="E270" s="1044" t="s">
        <v>36</v>
      </c>
      <c r="F270" s="1001">
        <f>'Civil-SOR'!$G$307</f>
        <v>520</v>
      </c>
      <c r="G270" s="1045">
        <v>1</v>
      </c>
      <c r="H270" s="1044" t="s">
        <v>39</v>
      </c>
      <c r="I270" s="1001">
        <f t="shared" si="28"/>
        <v>4342</v>
      </c>
      <c r="J270" s="1002"/>
      <c r="K270" s="1002"/>
      <c r="L270" s="1002"/>
      <c r="M270" s="1003"/>
      <c r="N270" s="1003"/>
      <c r="O270" s="1003"/>
      <c r="P270" s="1003"/>
      <c r="Q270" s="1003"/>
      <c r="R270" s="1003"/>
      <c r="S270" s="1003"/>
      <c r="T270" s="1003"/>
      <c r="U270" s="1003"/>
      <c r="V270" s="1003"/>
      <c r="W270" s="1003"/>
      <c r="X270" s="1003"/>
      <c r="Y270" s="1003"/>
      <c r="Z270" s="1003"/>
      <c r="AA270" s="1003"/>
      <c r="AB270" s="1003"/>
      <c r="AC270" s="1003"/>
      <c r="AD270" s="1003"/>
      <c r="AE270" s="1003"/>
      <c r="AF270" s="1003"/>
      <c r="AG270" s="1003"/>
      <c r="AH270" s="1003"/>
      <c r="AI270" s="1003"/>
      <c r="AJ270" s="1003"/>
      <c r="AK270" s="1003"/>
      <c r="AL270" s="1003"/>
      <c r="AM270" s="1003"/>
      <c r="AN270" s="1003"/>
      <c r="AO270" s="1003"/>
      <c r="AP270" s="1003"/>
      <c r="AQ270" s="1003"/>
      <c r="AR270" s="1003"/>
      <c r="AS270" s="1003"/>
      <c r="AT270" s="1003"/>
      <c r="AU270" s="1003"/>
      <c r="AV270" s="1003"/>
      <c r="AW270" s="1003"/>
      <c r="AX270" s="1003"/>
      <c r="AY270" s="1003"/>
      <c r="AZ270" s="1003"/>
      <c r="BA270" s="1003"/>
      <c r="BB270" s="1003"/>
      <c r="BC270" s="1003"/>
      <c r="BD270" s="1003"/>
      <c r="BE270" s="1003"/>
      <c r="BF270" s="1003"/>
      <c r="BG270" s="1003"/>
      <c r="BH270" s="1003"/>
      <c r="BI270" s="1003"/>
      <c r="BJ270" s="1003"/>
      <c r="BK270" s="1003"/>
      <c r="BL270" s="1003"/>
    </row>
    <row r="271" spans="1:64">
      <c r="A271" s="1818"/>
      <c r="B271" s="1048"/>
      <c r="C271" s="1817" t="str">
        <f>Input!$C$47</f>
        <v>Add for MA @ 40%</v>
      </c>
      <c r="D271" s="1034">
        <f>Input!$D$47</f>
        <v>0.4</v>
      </c>
      <c r="E271" s="1044"/>
      <c r="F271" s="1001">
        <f>SUM(I268:I270)</f>
        <v>4815.75</v>
      </c>
      <c r="G271" s="1045"/>
      <c r="H271" s="1044"/>
      <c r="I271" s="1001">
        <f t="shared" si="28"/>
        <v>1926.3000000000002</v>
      </c>
      <c r="J271" s="1002"/>
      <c r="K271" s="1002"/>
      <c r="L271" s="1002"/>
      <c r="M271" s="1003"/>
      <c r="N271" s="1003"/>
      <c r="O271" s="1003"/>
      <c r="P271" s="1003"/>
      <c r="Q271" s="1003"/>
      <c r="R271" s="1003"/>
      <c r="S271" s="1003"/>
      <c r="T271" s="1003"/>
      <c r="U271" s="1003"/>
      <c r="V271" s="1003"/>
      <c r="W271" s="1003"/>
      <c r="X271" s="1003"/>
      <c r="Y271" s="1003"/>
      <c r="Z271" s="1003"/>
      <c r="AA271" s="1003"/>
      <c r="AB271" s="1003"/>
      <c r="AC271" s="1003"/>
      <c r="AD271" s="1003"/>
      <c r="AE271" s="1003"/>
      <c r="AF271" s="1003"/>
      <c r="AG271" s="1003"/>
      <c r="AH271" s="1003"/>
      <c r="AI271" s="1003"/>
      <c r="AJ271" s="1003"/>
      <c r="AK271" s="1003"/>
      <c r="AL271" s="1003"/>
      <c r="AM271" s="1003"/>
      <c r="AN271" s="1003"/>
      <c r="AO271" s="1003"/>
      <c r="AP271" s="1003"/>
      <c r="AQ271" s="1003"/>
      <c r="AR271" s="1003"/>
      <c r="AS271" s="1003"/>
      <c r="AT271" s="1003"/>
      <c r="AU271" s="1003"/>
      <c r="AV271" s="1003"/>
      <c r="AW271" s="1003"/>
      <c r="AX271" s="1003"/>
      <c r="AY271" s="1003"/>
      <c r="AZ271" s="1003"/>
      <c r="BA271" s="1003"/>
      <c r="BB271" s="1003"/>
      <c r="BC271" s="1003"/>
      <c r="BD271" s="1003"/>
      <c r="BE271" s="1003"/>
      <c r="BF271" s="1003"/>
      <c r="BG271" s="1003"/>
      <c r="BH271" s="1003"/>
      <c r="BI271" s="1003"/>
      <c r="BJ271" s="1003"/>
      <c r="BK271" s="1003"/>
      <c r="BL271" s="1003"/>
    </row>
    <row r="272" spans="1:64">
      <c r="A272" s="1818"/>
      <c r="B272" s="1048"/>
      <c r="C272" s="1816" t="s">
        <v>1081</v>
      </c>
      <c r="D272" s="1034"/>
      <c r="E272" s="1044"/>
      <c r="F272" s="1001"/>
      <c r="G272" s="1045"/>
      <c r="H272" s="1044"/>
      <c r="I272" s="1001"/>
      <c r="J272" s="1002"/>
      <c r="K272" s="1002"/>
      <c r="L272" s="1002"/>
      <c r="M272" s="1003"/>
      <c r="N272" s="1003"/>
      <c r="O272" s="1003"/>
      <c r="P272" s="1003"/>
      <c r="Q272" s="1003"/>
      <c r="R272" s="1003"/>
      <c r="S272" s="1003"/>
      <c r="T272" s="1003"/>
      <c r="U272" s="1003"/>
      <c r="V272" s="1003"/>
      <c r="W272" s="1003"/>
      <c r="X272" s="1003"/>
      <c r="Y272" s="1003"/>
      <c r="Z272" s="1003"/>
      <c r="AA272" s="1003"/>
      <c r="AB272" s="1003"/>
      <c r="AC272" s="1003"/>
      <c r="AD272" s="1003"/>
      <c r="AE272" s="1003"/>
      <c r="AF272" s="1003"/>
      <c r="AG272" s="1003"/>
      <c r="AH272" s="1003"/>
      <c r="AI272" s="1003"/>
      <c r="AJ272" s="1003"/>
      <c r="AK272" s="1003"/>
      <c r="AL272" s="1003"/>
      <c r="AM272" s="1003"/>
      <c r="AN272" s="1003"/>
      <c r="AO272" s="1003"/>
      <c r="AP272" s="1003"/>
      <c r="AQ272" s="1003"/>
      <c r="AR272" s="1003"/>
      <c r="AS272" s="1003"/>
      <c r="AT272" s="1003"/>
      <c r="AU272" s="1003"/>
      <c r="AV272" s="1003"/>
      <c r="AW272" s="1003"/>
      <c r="AX272" s="1003"/>
      <c r="AY272" s="1003"/>
      <c r="AZ272" s="1003"/>
      <c r="BA272" s="1003"/>
      <c r="BB272" s="1003"/>
      <c r="BC272" s="1003"/>
      <c r="BD272" s="1003"/>
      <c r="BE272" s="1003"/>
      <c r="BF272" s="1003"/>
      <c r="BG272" s="1003"/>
      <c r="BH272" s="1003"/>
      <c r="BI272" s="1003"/>
      <c r="BJ272" s="1003"/>
      <c r="BK272" s="1003"/>
      <c r="BL272" s="1003"/>
    </row>
    <row r="273" spans="1:64">
      <c r="A273" s="1818"/>
      <c r="B273" s="1048"/>
      <c r="C273" s="1817" t="s">
        <v>1104</v>
      </c>
      <c r="D273" s="1034">
        <v>1</v>
      </c>
      <c r="E273" s="1044" t="s">
        <v>400</v>
      </c>
      <c r="F273" s="1001">
        <f>'Civil-SOR'!$G$328</f>
        <v>1458</v>
      </c>
      <c r="G273" s="1045">
        <v>1</v>
      </c>
      <c r="H273" s="1044" t="s">
        <v>616</v>
      </c>
      <c r="I273" s="1001">
        <f t="shared" ref="I273:I274" si="29">IF(G273="",D273*F273,(D273*F273/G273))</f>
        <v>1458</v>
      </c>
      <c r="J273" s="1002"/>
      <c r="K273" s="1002"/>
      <c r="L273" s="1002"/>
      <c r="M273" s="1003"/>
      <c r="N273" s="1003"/>
      <c r="O273" s="1003"/>
      <c r="P273" s="1003"/>
      <c r="Q273" s="1003"/>
      <c r="R273" s="1003"/>
      <c r="S273" s="1003"/>
      <c r="T273" s="1003"/>
      <c r="U273" s="1003"/>
      <c r="V273" s="1003"/>
      <c r="W273" s="1003"/>
      <c r="X273" s="1003"/>
      <c r="Y273" s="1003"/>
      <c r="Z273" s="1003"/>
      <c r="AA273" s="1003"/>
      <c r="AB273" s="1003"/>
      <c r="AC273" s="1003"/>
      <c r="AD273" s="1003"/>
      <c r="AE273" s="1003"/>
      <c r="AF273" s="1003"/>
      <c r="AG273" s="1003"/>
      <c r="AH273" s="1003"/>
      <c r="AI273" s="1003"/>
      <c r="AJ273" s="1003"/>
      <c r="AK273" s="1003"/>
      <c r="AL273" s="1003"/>
      <c r="AM273" s="1003"/>
      <c r="AN273" s="1003"/>
      <c r="AO273" s="1003"/>
      <c r="AP273" s="1003"/>
      <c r="AQ273" s="1003"/>
      <c r="AR273" s="1003"/>
      <c r="AS273" s="1003"/>
      <c r="AT273" s="1003"/>
      <c r="AU273" s="1003"/>
      <c r="AV273" s="1003"/>
      <c r="AW273" s="1003"/>
      <c r="AX273" s="1003"/>
      <c r="AY273" s="1003"/>
      <c r="AZ273" s="1003"/>
      <c r="BA273" s="1003"/>
      <c r="BB273" s="1003"/>
      <c r="BC273" s="1003"/>
      <c r="BD273" s="1003"/>
      <c r="BE273" s="1003"/>
      <c r="BF273" s="1003"/>
      <c r="BG273" s="1003"/>
      <c r="BH273" s="1003"/>
      <c r="BI273" s="1003"/>
      <c r="BJ273" s="1003"/>
      <c r="BK273" s="1003"/>
      <c r="BL273" s="1003"/>
    </row>
    <row r="274" spans="1:64">
      <c r="A274" s="1818"/>
      <c r="B274" s="1048"/>
      <c r="C274" s="1817" t="s">
        <v>1105</v>
      </c>
      <c r="D274" s="1034">
        <v>2</v>
      </c>
      <c r="E274" s="1044" t="s">
        <v>1083</v>
      </c>
      <c r="F274" s="1001">
        <f>'Civil-SOR'!$G$331</f>
        <v>21.4</v>
      </c>
      <c r="G274" s="1045">
        <v>1</v>
      </c>
      <c r="H274" s="1044" t="s">
        <v>616</v>
      </c>
      <c r="I274" s="1001">
        <f t="shared" si="29"/>
        <v>42.8</v>
      </c>
      <c r="J274" s="1002"/>
      <c r="K274" s="1002"/>
      <c r="L274" s="1002"/>
      <c r="M274" s="1003"/>
      <c r="N274" s="1003"/>
      <c r="O274" s="1003"/>
      <c r="P274" s="1003"/>
      <c r="Q274" s="1003"/>
      <c r="R274" s="1003"/>
      <c r="S274" s="1003"/>
      <c r="T274" s="1003"/>
      <c r="U274" s="1003"/>
      <c r="V274" s="1003"/>
      <c r="W274" s="1003"/>
      <c r="X274" s="1003"/>
      <c r="Y274" s="1003"/>
      <c r="Z274" s="1003"/>
      <c r="AA274" s="1003"/>
      <c r="AB274" s="1003"/>
      <c r="AC274" s="1003"/>
      <c r="AD274" s="1003"/>
      <c r="AE274" s="1003"/>
      <c r="AF274" s="1003"/>
      <c r="AG274" s="1003"/>
      <c r="AH274" s="1003"/>
      <c r="AI274" s="1003"/>
      <c r="AJ274" s="1003"/>
      <c r="AK274" s="1003"/>
      <c r="AL274" s="1003"/>
      <c r="AM274" s="1003"/>
      <c r="AN274" s="1003"/>
      <c r="AO274" s="1003"/>
      <c r="AP274" s="1003"/>
      <c r="AQ274" s="1003"/>
      <c r="AR274" s="1003"/>
      <c r="AS274" s="1003"/>
      <c r="AT274" s="1003"/>
      <c r="AU274" s="1003"/>
      <c r="AV274" s="1003"/>
      <c r="AW274" s="1003"/>
      <c r="AX274" s="1003"/>
      <c r="AY274" s="1003"/>
      <c r="AZ274" s="1003"/>
      <c r="BA274" s="1003"/>
      <c r="BB274" s="1003"/>
      <c r="BC274" s="1003"/>
      <c r="BD274" s="1003"/>
      <c r="BE274" s="1003"/>
      <c r="BF274" s="1003"/>
      <c r="BG274" s="1003"/>
      <c r="BH274" s="1003"/>
      <c r="BI274" s="1003"/>
      <c r="BJ274" s="1003"/>
      <c r="BK274" s="1003"/>
      <c r="BL274" s="1003"/>
    </row>
    <row r="275" spans="1:64">
      <c r="A275" s="1818"/>
      <c r="B275" s="1048"/>
      <c r="C275" s="1816" t="s">
        <v>579</v>
      </c>
      <c r="D275" s="1034"/>
      <c r="E275" s="1044"/>
      <c r="F275" s="1001"/>
      <c r="G275" s="1045"/>
      <c r="H275" s="1044"/>
      <c r="I275" s="1001"/>
      <c r="J275" s="1002"/>
      <c r="K275" s="1002"/>
      <c r="L275" s="1002"/>
      <c r="M275" s="1003"/>
      <c r="N275" s="1003"/>
      <c r="O275" s="1003"/>
      <c r="P275" s="1003"/>
      <c r="Q275" s="1003"/>
      <c r="R275" s="1003"/>
      <c r="S275" s="1003"/>
      <c r="T275" s="1003"/>
      <c r="U275" s="1003"/>
      <c r="V275" s="1003"/>
      <c r="W275" s="1003"/>
      <c r="X275" s="1003"/>
      <c r="Y275" s="1003"/>
      <c r="Z275" s="1003"/>
      <c r="AA275" s="1003"/>
      <c r="AB275" s="1003"/>
      <c r="AC275" s="1003"/>
      <c r="AD275" s="1003"/>
      <c r="AE275" s="1003"/>
      <c r="AF275" s="1003"/>
      <c r="AG275" s="1003"/>
      <c r="AH275" s="1003"/>
      <c r="AI275" s="1003"/>
      <c r="AJ275" s="1003"/>
      <c r="AK275" s="1003"/>
      <c r="AL275" s="1003"/>
      <c r="AM275" s="1003"/>
      <c r="AN275" s="1003"/>
      <c r="AO275" s="1003"/>
      <c r="AP275" s="1003"/>
      <c r="AQ275" s="1003"/>
      <c r="AR275" s="1003"/>
      <c r="AS275" s="1003"/>
      <c r="AT275" s="1003"/>
      <c r="AU275" s="1003"/>
      <c r="AV275" s="1003"/>
      <c r="AW275" s="1003"/>
      <c r="AX275" s="1003"/>
      <c r="AY275" s="1003"/>
      <c r="AZ275" s="1003"/>
      <c r="BA275" s="1003"/>
      <c r="BB275" s="1003"/>
      <c r="BC275" s="1003"/>
      <c r="BD275" s="1003"/>
      <c r="BE275" s="1003"/>
      <c r="BF275" s="1003"/>
      <c r="BG275" s="1003"/>
      <c r="BH275" s="1003"/>
      <c r="BI275" s="1003"/>
      <c r="BJ275" s="1003"/>
      <c r="BK275" s="1003"/>
      <c r="BL275" s="1003"/>
    </row>
    <row r="276" spans="1:64">
      <c r="A276" s="1818"/>
      <c r="B276" s="1048"/>
      <c r="C276" s="1817" t="s">
        <v>1106</v>
      </c>
      <c r="D276" s="1034">
        <v>1</v>
      </c>
      <c r="E276" s="1044" t="s">
        <v>1107</v>
      </c>
      <c r="F276" s="1001">
        <f>'Civil-SOR'!$J$328</f>
        <v>288.3</v>
      </c>
      <c r="G276" s="1045">
        <v>1</v>
      </c>
      <c r="H276" s="1044" t="s">
        <v>616</v>
      </c>
      <c r="I276" s="1001">
        <f t="shared" ref="I276:I278" si="30">IF(G276="",D276*F276,(D276*F276/G276))</f>
        <v>288.3</v>
      </c>
      <c r="J276" s="1002"/>
      <c r="K276" s="1002"/>
      <c r="L276" s="1002"/>
      <c r="M276" s="1003"/>
      <c r="N276" s="1003"/>
      <c r="O276" s="1003"/>
      <c r="P276" s="1003"/>
      <c r="Q276" s="1003"/>
      <c r="R276" s="1003"/>
      <c r="S276" s="1003"/>
      <c r="T276" s="1003"/>
      <c r="U276" s="1003"/>
      <c r="V276" s="1003"/>
      <c r="W276" s="1003"/>
      <c r="X276" s="1003"/>
      <c r="Y276" s="1003"/>
      <c r="Z276" s="1003"/>
      <c r="AA276" s="1003"/>
      <c r="AB276" s="1003"/>
      <c r="AC276" s="1003"/>
      <c r="AD276" s="1003"/>
      <c r="AE276" s="1003"/>
      <c r="AF276" s="1003"/>
      <c r="AG276" s="1003"/>
      <c r="AH276" s="1003"/>
      <c r="AI276" s="1003"/>
      <c r="AJ276" s="1003"/>
      <c r="AK276" s="1003"/>
      <c r="AL276" s="1003"/>
      <c r="AM276" s="1003"/>
      <c r="AN276" s="1003"/>
      <c r="AO276" s="1003"/>
      <c r="AP276" s="1003"/>
      <c r="AQ276" s="1003"/>
      <c r="AR276" s="1003"/>
      <c r="AS276" s="1003"/>
      <c r="AT276" s="1003"/>
      <c r="AU276" s="1003"/>
      <c r="AV276" s="1003"/>
      <c r="AW276" s="1003"/>
      <c r="AX276" s="1003"/>
      <c r="AY276" s="1003"/>
      <c r="AZ276" s="1003"/>
      <c r="BA276" s="1003"/>
      <c r="BB276" s="1003"/>
      <c r="BC276" s="1003"/>
      <c r="BD276" s="1003"/>
      <c r="BE276" s="1003"/>
      <c r="BF276" s="1003"/>
      <c r="BG276" s="1003"/>
      <c r="BH276" s="1003"/>
      <c r="BI276" s="1003"/>
      <c r="BJ276" s="1003"/>
      <c r="BK276" s="1003"/>
      <c r="BL276" s="1003"/>
    </row>
    <row r="277" spans="1:64">
      <c r="A277" s="1818"/>
      <c r="B277" s="1048"/>
      <c r="C277" s="1817" t="s">
        <v>1105</v>
      </c>
      <c r="D277" s="1034">
        <v>2</v>
      </c>
      <c r="E277" s="1044" t="s">
        <v>1107</v>
      </c>
      <c r="F277" s="1001">
        <f>'Civil-SOR'!$J$331</f>
        <v>450.5</v>
      </c>
      <c r="G277" s="1045">
        <v>1</v>
      </c>
      <c r="H277" s="1044" t="s">
        <v>616</v>
      </c>
      <c r="I277" s="1001">
        <f t="shared" si="30"/>
        <v>901</v>
      </c>
      <c r="J277" s="1002"/>
      <c r="K277" s="1002"/>
      <c r="L277" s="1002"/>
      <c r="M277" s="1003"/>
      <c r="N277" s="1003"/>
      <c r="O277" s="1003"/>
      <c r="P277" s="1003"/>
      <c r="Q277" s="1003"/>
      <c r="R277" s="1003"/>
      <c r="S277" s="1003"/>
      <c r="T277" s="1003"/>
      <c r="U277" s="1003"/>
      <c r="V277" s="1003"/>
      <c r="W277" s="1003"/>
      <c r="X277" s="1003"/>
      <c r="Y277" s="1003"/>
      <c r="Z277" s="1003"/>
      <c r="AA277" s="1003"/>
      <c r="AB277" s="1003"/>
      <c r="AC277" s="1003"/>
      <c r="AD277" s="1003"/>
      <c r="AE277" s="1003"/>
      <c r="AF277" s="1003"/>
      <c r="AG277" s="1003"/>
      <c r="AH277" s="1003"/>
      <c r="AI277" s="1003"/>
      <c r="AJ277" s="1003"/>
      <c r="AK277" s="1003"/>
      <c r="AL277" s="1003"/>
      <c r="AM277" s="1003"/>
      <c r="AN277" s="1003"/>
      <c r="AO277" s="1003"/>
      <c r="AP277" s="1003"/>
      <c r="AQ277" s="1003"/>
      <c r="AR277" s="1003"/>
      <c r="AS277" s="1003"/>
      <c r="AT277" s="1003"/>
      <c r="AU277" s="1003"/>
      <c r="AV277" s="1003"/>
      <c r="AW277" s="1003"/>
      <c r="AX277" s="1003"/>
      <c r="AY277" s="1003"/>
      <c r="AZ277" s="1003"/>
      <c r="BA277" s="1003"/>
      <c r="BB277" s="1003"/>
      <c r="BC277" s="1003"/>
      <c r="BD277" s="1003"/>
      <c r="BE277" s="1003"/>
      <c r="BF277" s="1003"/>
      <c r="BG277" s="1003"/>
      <c r="BH277" s="1003"/>
      <c r="BI277" s="1003"/>
      <c r="BJ277" s="1003"/>
      <c r="BK277" s="1003"/>
      <c r="BL277" s="1003"/>
    </row>
    <row r="278" spans="1:64">
      <c r="A278" s="1818"/>
      <c r="B278" s="1048"/>
      <c r="C278" s="1817" t="s">
        <v>1085</v>
      </c>
      <c r="D278" s="1034">
        <f>Input!$D$47</f>
        <v>0.4</v>
      </c>
      <c r="E278" s="1044"/>
      <c r="F278" s="1001">
        <f>SUM(I276:I277)</f>
        <v>1189.3</v>
      </c>
      <c r="G278" s="1045"/>
      <c r="H278" s="1044"/>
      <c r="I278" s="1001">
        <f t="shared" si="30"/>
        <v>475.72</v>
      </c>
      <c r="J278" s="1002"/>
      <c r="K278" s="1002"/>
      <c r="L278" s="1002"/>
      <c r="M278" s="1003"/>
      <c r="N278" s="1003"/>
      <c r="O278" s="1003"/>
      <c r="P278" s="1003"/>
      <c r="Q278" s="1003"/>
      <c r="R278" s="1003"/>
      <c r="S278" s="1003"/>
      <c r="T278" s="1003"/>
      <c r="U278" s="1003"/>
      <c r="V278" s="1003"/>
      <c r="W278" s="1003"/>
      <c r="X278" s="1003"/>
      <c r="Y278" s="1003"/>
      <c r="Z278" s="1003"/>
      <c r="AA278" s="1003"/>
      <c r="AB278" s="1003"/>
      <c r="AC278" s="1003"/>
      <c r="AD278" s="1003"/>
      <c r="AE278" s="1003"/>
      <c r="AF278" s="1003"/>
      <c r="AG278" s="1003"/>
      <c r="AH278" s="1003"/>
      <c r="AI278" s="1003"/>
      <c r="AJ278" s="1003"/>
      <c r="AK278" s="1003"/>
      <c r="AL278" s="1003"/>
      <c r="AM278" s="1003"/>
      <c r="AN278" s="1003"/>
      <c r="AO278" s="1003"/>
      <c r="AP278" s="1003"/>
      <c r="AQ278" s="1003"/>
      <c r="AR278" s="1003"/>
      <c r="AS278" s="1003"/>
      <c r="AT278" s="1003"/>
      <c r="AU278" s="1003"/>
      <c r="AV278" s="1003"/>
      <c r="AW278" s="1003"/>
      <c r="AX278" s="1003"/>
      <c r="AY278" s="1003"/>
      <c r="AZ278" s="1003"/>
      <c r="BA278" s="1003"/>
      <c r="BB278" s="1003"/>
      <c r="BC278" s="1003"/>
      <c r="BD278" s="1003"/>
      <c r="BE278" s="1003"/>
      <c r="BF278" s="1003"/>
      <c r="BG278" s="1003"/>
      <c r="BH278" s="1003"/>
      <c r="BI278" s="1003"/>
      <c r="BJ278" s="1003"/>
      <c r="BK278" s="1003"/>
      <c r="BL278" s="1003"/>
    </row>
    <row r="279" spans="1:64">
      <c r="A279" s="1818"/>
      <c r="B279" s="1048"/>
      <c r="C279" s="1816" t="s">
        <v>1108</v>
      </c>
      <c r="D279" s="1034"/>
      <c r="E279" s="1044"/>
      <c r="F279" s="1001"/>
      <c r="G279" s="1045"/>
      <c r="H279" s="1044"/>
      <c r="I279" s="1001"/>
      <c r="J279" s="1002"/>
      <c r="K279" s="1002"/>
      <c r="L279" s="1002"/>
      <c r="M279" s="1003"/>
      <c r="N279" s="1003"/>
      <c r="O279" s="1003"/>
      <c r="P279" s="1003"/>
      <c r="Q279" s="1003"/>
      <c r="R279" s="1003"/>
      <c r="S279" s="1003"/>
      <c r="T279" s="1003"/>
      <c r="U279" s="1003"/>
      <c r="V279" s="1003"/>
      <c r="W279" s="1003"/>
      <c r="X279" s="1003"/>
      <c r="Y279" s="1003"/>
      <c r="Z279" s="1003"/>
      <c r="AA279" s="1003"/>
      <c r="AB279" s="1003"/>
      <c r="AC279" s="1003"/>
      <c r="AD279" s="1003"/>
      <c r="AE279" s="1003"/>
      <c r="AF279" s="1003"/>
      <c r="AG279" s="1003"/>
      <c r="AH279" s="1003"/>
      <c r="AI279" s="1003"/>
      <c r="AJ279" s="1003"/>
      <c r="AK279" s="1003"/>
      <c r="AL279" s="1003"/>
      <c r="AM279" s="1003"/>
      <c r="AN279" s="1003"/>
      <c r="AO279" s="1003"/>
      <c r="AP279" s="1003"/>
      <c r="AQ279" s="1003"/>
      <c r="AR279" s="1003"/>
      <c r="AS279" s="1003"/>
      <c r="AT279" s="1003"/>
      <c r="AU279" s="1003"/>
      <c r="AV279" s="1003"/>
      <c r="AW279" s="1003"/>
      <c r="AX279" s="1003"/>
      <c r="AY279" s="1003"/>
      <c r="AZ279" s="1003"/>
      <c r="BA279" s="1003"/>
      <c r="BB279" s="1003"/>
      <c r="BC279" s="1003"/>
      <c r="BD279" s="1003"/>
      <c r="BE279" s="1003"/>
      <c r="BF279" s="1003"/>
      <c r="BG279" s="1003"/>
      <c r="BH279" s="1003"/>
      <c r="BI279" s="1003"/>
      <c r="BJ279" s="1003"/>
      <c r="BK279" s="1003"/>
      <c r="BL279" s="1003"/>
    </row>
    <row r="280" spans="1:64">
      <c r="A280" s="1818"/>
      <c r="B280" s="1048"/>
      <c r="C280" s="1817" t="s">
        <v>1109</v>
      </c>
      <c r="D280" s="1034">
        <v>3.5</v>
      </c>
      <c r="E280" s="1044" t="s">
        <v>1110</v>
      </c>
      <c r="F280" s="1001">
        <f>'Civil-SOR'!$G$321</f>
        <v>73</v>
      </c>
      <c r="G280" s="1045">
        <v>1</v>
      </c>
      <c r="H280" s="1044" t="s">
        <v>97</v>
      </c>
      <c r="I280" s="1001">
        <f t="shared" ref="I280:I281" si="31">IF(G280="",D280*F280,(D280*F280/G280))</f>
        <v>255.5</v>
      </c>
      <c r="J280" s="1002"/>
      <c r="K280" s="1002"/>
      <c r="L280" s="1002"/>
      <c r="M280" s="1003"/>
      <c r="N280" s="1003"/>
      <c r="O280" s="1003"/>
      <c r="P280" s="1003"/>
      <c r="Q280" s="1003"/>
      <c r="R280" s="1003"/>
      <c r="S280" s="1003"/>
      <c r="T280" s="1003"/>
      <c r="U280" s="1003"/>
      <c r="V280" s="1003"/>
      <c r="W280" s="1003"/>
      <c r="X280" s="1003"/>
      <c r="Y280" s="1003"/>
      <c r="Z280" s="1003"/>
      <c r="AA280" s="1003"/>
      <c r="AB280" s="1003"/>
      <c r="AC280" s="1003"/>
      <c r="AD280" s="1003"/>
      <c r="AE280" s="1003"/>
      <c r="AF280" s="1003"/>
      <c r="AG280" s="1003"/>
      <c r="AH280" s="1003"/>
      <c r="AI280" s="1003"/>
      <c r="AJ280" s="1003"/>
      <c r="AK280" s="1003"/>
      <c r="AL280" s="1003"/>
      <c r="AM280" s="1003"/>
      <c r="AN280" s="1003"/>
      <c r="AO280" s="1003"/>
      <c r="AP280" s="1003"/>
      <c r="AQ280" s="1003"/>
      <c r="AR280" s="1003"/>
      <c r="AS280" s="1003"/>
      <c r="AT280" s="1003"/>
      <c r="AU280" s="1003"/>
      <c r="AV280" s="1003"/>
      <c r="AW280" s="1003"/>
      <c r="AX280" s="1003"/>
      <c r="AY280" s="1003"/>
      <c r="AZ280" s="1003"/>
      <c r="BA280" s="1003"/>
      <c r="BB280" s="1003"/>
      <c r="BC280" s="1003"/>
      <c r="BD280" s="1003"/>
      <c r="BE280" s="1003"/>
      <c r="BF280" s="1003"/>
      <c r="BG280" s="1003"/>
      <c r="BH280" s="1003"/>
      <c r="BI280" s="1003"/>
      <c r="BJ280" s="1003"/>
      <c r="BK280" s="1003"/>
      <c r="BL280" s="1003"/>
    </row>
    <row r="281" spans="1:64">
      <c r="A281" s="1818"/>
      <c r="B281" s="1048"/>
      <c r="C281" s="1817" t="s">
        <v>546</v>
      </c>
      <c r="D281" s="1045">
        <v>14</v>
      </c>
      <c r="E281" s="1044" t="s">
        <v>36</v>
      </c>
      <c r="F281" s="1001">
        <f>'Civil-SOR'!$G$310</f>
        <v>12</v>
      </c>
      <c r="G281" s="1045">
        <v>1</v>
      </c>
      <c r="H281" s="1044" t="s">
        <v>39</v>
      </c>
      <c r="I281" s="1001">
        <f t="shared" si="31"/>
        <v>168</v>
      </c>
      <c r="J281" s="1002"/>
      <c r="K281" s="1002"/>
      <c r="L281" s="1002"/>
      <c r="M281" s="1003"/>
      <c r="N281" s="1003"/>
      <c r="O281" s="1003"/>
      <c r="P281" s="1003"/>
      <c r="Q281" s="1003"/>
      <c r="R281" s="1003"/>
      <c r="S281" s="1003"/>
      <c r="T281" s="1003"/>
      <c r="U281" s="1003"/>
      <c r="V281" s="1003"/>
      <c r="W281" s="1003"/>
      <c r="X281" s="1003"/>
      <c r="Y281" s="1003"/>
      <c r="Z281" s="1003"/>
      <c r="AA281" s="1003"/>
      <c r="AB281" s="1003"/>
      <c r="AC281" s="1003"/>
      <c r="AD281" s="1003"/>
      <c r="AE281" s="1003"/>
      <c r="AF281" s="1003"/>
      <c r="AG281" s="1003"/>
      <c r="AH281" s="1003"/>
      <c r="AI281" s="1003"/>
      <c r="AJ281" s="1003"/>
      <c r="AK281" s="1003"/>
      <c r="AL281" s="1003"/>
      <c r="AM281" s="1003"/>
      <c r="AN281" s="1003"/>
      <c r="AO281" s="1003"/>
      <c r="AP281" s="1003"/>
      <c r="AQ281" s="1003"/>
      <c r="AR281" s="1003"/>
      <c r="AS281" s="1003"/>
      <c r="AT281" s="1003"/>
      <c r="AU281" s="1003"/>
      <c r="AV281" s="1003"/>
      <c r="AW281" s="1003"/>
      <c r="AX281" s="1003"/>
      <c r="AY281" s="1003"/>
      <c r="AZ281" s="1003"/>
      <c r="BA281" s="1003"/>
      <c r="BB281" s="1003"/>
      <c r="BC281" s="1003"/>
      <c r="BD281" s="1003"/>
      <c r="BE281" s="1003"/>
      <c r="BF281" s="1003"/>
      <c r="BG281" s="1003"/>
      <c r="BH281" s="1003"/>
      <c r="BI281" s="1003"/>
      <c r="BJ281" s="1003"/>
      <c r="BK281" s="1003"/>
      <c r="BL281" s="1003"/>
    </row>
    <row r="282" spans="1:64">
      <c r="A282" s="1818"/>
      <c r="B282" s="1048"/>
      <c r="C282" s="1817" t="s">
        <v>1086</v>
      </c>
      <c r="D282" s="1034"/>
      <c r="E282" s="1044"/>
      <c r="F282" s="1001"/>
      <c r="G282" s="1034"/>
      <c r="H282" s="1044"/>
      <c r="I282" s="1001">
        <f>SUM(I268:I281)</f>
        <v>10331.369999999997</v>
      </c>
      <c r="J282" s="1002"/>
      <c r="K282" s="1002"/>
      <c r="L282" s="1002"/>
      <c r="M282" s="1003"/>
      <c r="N282" s="1003"/>
      <c r="O282" s="1003"/>
      <c r="P282" s="1003"/>
      <c r="Q282" s="1003"/>
      <c r="R282" s="1003"/>
      <c r="S282" s="1003"/>
      <c r="T282" s="1003"/>
      <c r="U282" s="1003"/>
      <c r="V282" s="1003"/>
      <c r="W282" s="1003"/>
      <c r="X282" s="1003"/>
      <c r="Y282" s="1003"/>
      <c r="Z282" s="1003"/>
      <c r="AA282" s="1003"/>
      <c r="AB282" s="1003"/>
      <c r="AC282" s="1003"/>
      <c r="AD282" s="1003"/>
      <c r="AE282" s="1003"/>
      <c r="AF282" s="1003"/>
      <c r="AG282" s="1003"/>
      <c r="AH282" s="1003"/>
      <c r="AI282" s="1003"/>
      <c r="AJ282" s="1003"/>
      <c r="AK282" s="1003"/>
      <c r="AL282" s="1003"/>
      <c r="AM282" s="1003"/>
      <c r="AN282" s="1003"/>
      <c r="AO282" s="1003"/>
      <c r="AP282" s="1003"/>
      <c r="AQ282" s="1003"/>
      <c r="AR282" s="1003"/>
      <c r="AS282" s="1003"/>
      <c r="AT282" s="1003"/>
      <c r="AU282" s="1003"/>
      <c r="AV282" s="1003"/>
      <c r="AW282" s="1003"/>
      <c r="AX282" s="1003"/>
      <c r="AY282" s="1003"/>
      <c r="AZ282" s="1003"/>
      <c r="BA282" s="1003"/>
      <c r="BB282" s="1003"/>
      <c r="BC282" s="1003"/>
      <c r="BD282" s="1003"/>
      <c r="BE282" s="1003"/>
      <c r="BF282" s="1003"/>
      <c r="BG282" s="1003"/>
      <c r="BH282" s="1003"/>
      <c r="BI282" s="1003"/>
      <c r="BJ282" s="1003"/>
      <c r="BK282" s="1003"/>
      <c r="BL282" s="1003"/>
    </row>
    <row r="283" spans="1:64">
      <c r="A283" s="1818"/>
      <c r="B283" s="1048"/>
      <c r="C283" s="1002" t="str">
        <f>Input!$C$48</f>
        <v>Overheads &amp; Contractors Profit @ 13.615%</v>
      </c>
      <c r="D283" s="1070">
        <f>Input!$D$48</f>
        <v>0.13614999999999999</v>
      </c>
      <c r="E283" s="1044"/>
      <c r="F283" s="1001">
        <f>I282</f>
        <v>10331.369999999997</v>
      </c>
      <c r="G283" s="1045"/>
      <c r="H283" s="1071"/>
      <c r="I283" s="1001">
        <f>IF(G283="",D283*F283,(D283*F283/G283))</f>
        <v>1406.6160254999995</v>
      </c>
      <c r="J283" s="1002"/>
      <c r="K283" s="1002"/>
      <c r="L283" s="1002"/>
      <c r="M283" s="1003"/>
      <c r="N283" s="1003"/>
      <c r="O283" s="1003"/>
      <c r="P283" s="1003"/>
      <c r="Q283" s="1003"/>
      <c r="R283" s="1003"/>
      <c r="S283" s="1003"/>
      <c r="T283" s="1003"/>
      <c r="U283" s="1003"/>
      <c r="V283" s="1003"/>
      <c r="W283" s="1003"/>
      <c r="X283" s="1003"/>
      <c r="Y283" s="1003"/>
      <c r="Z283" s="1003"/>
      <c r="AA283" s="1003"/>
      <c r="AB283" s="1003"/>
      <c r="AC283" s="1003"/>
      <c r="AD283" s="1003"/>
      <c r="AE283" s="1003"/>
      <c r="AF283" s="1003"/>
      <c r="AG283" s="1003"/>
      <c r="AH283" s="1003"/>
      <c r="AI283" s="1003"/>
      <c r="AJ283" s="1003"/>
      <c r="AK283" s="1003"/>
      <c r="AL283" s="1003"/>
      <c r="AM283" s="1003"/>
      <c r="AN283" s="1003"/>
      <c r="AO283" s="1003"/>
      <c r="AP283" s="1003"/>
      <c r="AQ283" s="1003"/>
      <c r="AR283" s="1003"/>
      <c r="AS283" s="1003"/>
      <c r="AT283" s="1003"/>
      <c r="AU283" s="1003"/>
      <c r="AV283" s="1003"/>
      <c r="AW283" s="1003"/>
      <c r="AX283" s="1003"/>
      <c r="AY283" s="1003"/>
      <c r="AZ283" s="1003"/>
      <c r="BA283" s="1003"/>
      <c r="BB283" s="1003"/>
      <c r="BC283" s="1003"/>
      <c r="BD283" s="1003"/>
      <c r="BE283" s="1003"/>
      <c r="BF283" s="1003"/>
      <c r="BG283" s="1003"/>
      <c r="BH283" s="1003"/>
      <c r="BI283" s="1003"/>
      <c r="BJ283" s="1003"/>
      <c r="BK283" s="1003"/>
      <c r="BL283" s="1003"/>
    </row>
    <row r="284" spans="1:64">
      <c r="A284" s="1818"/>
      <c r="B284" s="1048"/>
      <c r="C284" s="1817" t="s">
        <v>1111</v>
      </c>
      <c r="D284" s="1034"/>
      <c r="E284" s="1044"/>
      <c r="F284" s="1001"/>
      <c r="G284" s="1045"/>
      <c r="H284" s="1071"/>
      <c r="I284" s="1001">
        <f>SUM(I282:I283)</f>
        <v>11737.986025499997</v>
      </c>
      <c r="J284" s="1002"/>
      <c r="K284" s="1002"/>
      <c r="L284" s="1002"/>
      <c r="M284" s="1003"/>
      <c r="N284" s="1003"/>
      <c r="O284" s="1003"/>
      <c r="P284" s="1003"/>
      <c r="Q284" s="1003"/>
      <c r="R284" s="1003"/>
      <c r="S284" s="1003"/>
      <c r="T284" s="1003"/>
      <c r="U284" s="1003"/>
      <c r="V284" s="1003"/>
      <c r="W284" s="1003"/>
      <c r="X284" s="1003"/>
      <c r="Y284" s="1003"/>
      <c r="Z284" s="1003"/>
      <c r="AA284" s="1003"/>
      <c r="AB284" s="1003"/>
      <c r="AC284" s="1003"/>
      <c r="AD284" s="1003"/>
      <c r="AE284" s="1003"/>
      <c r="AF284" s="1003"/>
      <c r="AG284" s="1003"/>
      <c r="AH284" s="1003"/>
      <c r="AI284" s="1003"/>
      <c r="AJ284" s="1003"/>
      <c r="AK284" s="1003"/>
      <c r="AL284" s="1003"/>
      <c r="AM284" s="1003"/>
      <c r="AN284" s="1003"/>
      <c r="AO284" s="1003"/>
      <c r="AP284" s="1003"/>
      <c r="AQ284" s="1003"/>
      <c r="AR284" s="1003"/>
      <c r="AS284" s="1003"/>
      <c r="AT284" s="1003"/>
      <c r="AU284" s="1003"/>
      <c r="AV284" s="1003"/>
      <c r="AW284" s="1003"/>
      <c r="AX284" s="1003"/>
      <c r="AY284" s="1003"/>
      <c r="AZ284" s="1003"/>
      <c r="BA284" s="1003"/>
      <c r="BB284" s="1003"/>
      <c r="BC284" s="1003"/>
      <c r="BD284" s="1003"/>
      <c r="BE284" s="1003"/>
      <c r="BF284" s="1003"/>
      <c r="BG284" s="1003"/>
      <c r="BH284" s="1003"/>
      <c r="BI284" s="1003"/>
      <c r="BJ284" s="1003"/>
      <c r="BK284" s="1003"/>
      <c r="BL284" s="1003"/>
    </row>
    <row r="285" spans="1:64">
      <c r="A285" s="1818"/>
      <c r="B285" s="1048"/>
      <c r="C285" s="1816" t="s">
        <v>3390</v>
      </c>
      <c r="D285" s="1034"/>
      <c r="E285" s="1044"/>
      <c r="F285" s="1001"/>
      <c r="G285" s="1045"/>
      <c r="H285" s="1034" t="s">
        <v>1033</v>
      </c>
      <c r="I285" s="1001">
        <f>I284/10</f>
        <v>1173.7986025499997</v>
      </c>
      <c r="J285" s="1002"/>
      <c r="K285" s="1002"/>
      <c r="L285" s="1002"/>
      <c r="M285" s="1003"/>
      <c r="N285" s="1003"/>
      <c r="O285" s="1003"/>
      <c r="P285" s="1003"/>
      <c r="Q285" s="1003"/>
      <c r="R285" s="1003"/>
      <c r="S285" s="1003"/>
      <c r="T285" s="1003"/>
      <c r="U285" s="1003"/>
      <c r="V285" s="1003"/>
      <c r="W285" s="1003"/>
      <c r="X285" s="1003"/>
      <c r="Y285" s="1003"/>
      <c r="Z285" s="1003"/>
      <c r="AA285" s="1003"/>
      <c r="AB285" s="1003"/>
      <c r="AC285" s="1003"/>
      <c r="AD285" s="1003"/>
      <c r="AE285" s="1003"/>
      <c r="AF285" s="1003"/>
      <c r="AG285" s="1003"/>
      <c r="AH285" s="1003"/>
      <c r="AI285" s="1003"/>
      <c r="AJ285" s="1003"/>
      <c r="AK285" s="1003"/>
      <c r="AL285" s="1003"/>
      <c r="AM285" s="1003"/>
      <c r="AN285" s="1003"/>
      <c r="AO285" s="1003"/>
      <c r="AP285" s="1003"/>
      <c r="AQ285" s="1003"/>
      <c r="AR285" s="1003"/>
      <c r="AS285" s="1003"/>
      <c r="AT285" s="1003"/>
      <c r="AU285" s="1003"/>
      <c r="AV285" s="1003"/>
      <c r="AW285" s="1003"/>
      <c r="AX285" s="1003"/>
      <c r="AY285" s="1003"/>
      <c r="AZ285" s="1003"/>
      <c r="BA285" s="1003"/>
      <c r="BB285" s="1003"/>
      <c r="BC285" s="1003"/>
      <c r="BD285" s="1003"/>
      <c r="BE285" s="1003"/>
      <c r="BF285" s="1003"/>
      <c r="BG285" s="1003"/>
      <c r="BH285" s="1003"/>
      <c r="BI285" s="1003"/>
      <c r="BJ285" s="1003"/>
      <c r="BK285" s="1003"/>
      <c r="BL285" s="1003"/>
    </row>
    <row r="286" spans="1:64">
      <c r="A286" s="1818"/>
      <c r="B286" s="1048"/>
      <c r="C286" s="1816" t="s">
        <v>1032</v>
      </c>
      <c r="D286" s="1034"/>
      <c r="E286" s="1044"/>
      <c r="F286" s="1001"/>
      <c r="G286" s="1045"/>
      <c r="H286" s="1046" t="s">
        <v>1096</v>
      </c>
      <c r="I286" s="1011">
        <f>ROUND(I285,0)</f>
        <v>1174</v>
      </c>
      <c r="J286" s="1846"/>
      <c r="K286" s="1846"/>
      <c r="L286" s="1846"/>
    </row>
    <row r="287" spans="1:64">
      <c r="A287" s="1818"/>
      <c r="B287" s="1048"/>
      <c r="C287" s="1816"/>
      <c r="D287" s="1034"/>
      <c r="E287" s="1044"/>
      <c r="F287" s="1001"/>
      <c r="G287" s="1045"/>
      <c r="H287" s="1047"/>
      <c r="I287" s="1011"/>
      <c r="J287" s="1846"/>
      <c r="K287" s="1846"/>
      <c r="L287" s="1846"/>
    </row>
    <row r="288" spans="1:64" ht="48.75" customHeight="1">
      <c r="A288" s="2048">
        <f>A263+1</f>
        <v>8</v>
      </c>
      <c r="B288" s="2048"/>
      <c r="C288" s="2036" t="s">
        <v>3391</v>
      </c>
      <c r="D288" s="2036"/>
      <c r="E288" s="2036"/>
      <c r="F288" s="2036"/>
      <c r="G288" s="2036"/>
      <c r="H288" s="2036"/>
      <c r="I288" s="1825"/>
      <c r="J288" s="1846"/>
      <c r="K288" s="1846"/>
      <c r="L288" s="1846"/>
    </row>
    <row r="289" spans="1:12" ht="12.75" customHeight="1">
      <c r="A289" s="1818"/>
      <c r="B289" s="1048"/>
      <c r="C289" s="2045" t="s">
        <v>1112</v>
      </c>
      <c r="D289" s="2045"/>
      <c r="E289" s="2045"/>
      <c r="F289" s="2045"/>
      <c r="G289" s="2045"/>
      <c r="H289" s="1050"/>
      <c r="I289" s="1030"/>
      <c r="J289" s="1846"/>
      <c r="K289" s="1846"/>
      <c r="L289" s="1846"/>
    </row>
    <row r="290" spans="1:12">
      <c r="A290" s="1818"/>
      <c r="B290" s="1048"/>
      <c r="C290" s="1816" t="s">
        <v>1069</v>
      </c>
      <c r="D290" s="1051"/>
      <c r="E290" s="1052"/>
      <c r="F290" s="1030"/>
      <c r="G290" s="1053"/>
      <c r="H290" s="1054" t="str">
        <f>IF(E290="","",IF(E290="No.","Each",IF(E290="Nos.","Each",E290)))</f>
        <v/>
      </c>
      <c r="I290" s="1030"/>
      <c r="J290" s="1846"/>
      <c r="K290" s="1846"/>
      <c r="L290" s="1846"/>
    </row>
    <row r="291" spans="1:12">
      <c r="A291" s="1818"/>
      <c r="B291" s="1048"/>
      <c r="C291" s="1816" t="s">
        <v>1080</v>
      </c>
      <c r="D291" s="1055">
        <v>10</v>
      </c>
      <c r="E291" s="1056" t="s">
        <v>1113</v>
      </c>
      <c r="F291" s="1001"/>
      <c r="G291" s="1020"/>
      <c r="H291" s="1057"/>
      <c r="I291" s="1030"/>
      <c r="J291" s="1846"/>
      <c r="K291" s="1846"/>
      <c r="L291" s="1846"/>
    </row>
    <row r="292" spans="1:12">
      <c r="A292" s="1818"/>
      <c r="B292" s="1048"/>
      <c r="C292" s="1817" t="s">
        <v>1071</v>
      </c>
      <c r="D292" s="1034"/>
      <c r="E292" s="1044"/>
      <c r="F292" s="1001"/>
      <c r="G292" s="1045"/>
      <c r="H292" s="1071"/>
      <c r="I292" s="1011"/>
      <c r="J292" s="1846"/>
      <c r="K292" s="1846"/>
      <c r="L292" s="1846"/>
    </row>
    <row r="293" spans="1:12">
      <c r="A293" s="1818"/>
      <c r="B293" s="1048"/>
      <c r="C293" s="1817" t="s">
        <v>1072</v>
      </c>
      <c r="D293" s="1034">
        <v>5.2</v>
      </c>
      <c r="E293" s="1044" t="s">
        <v>36</v>
      </c>
      <c r="F293" s="1001">
        <f>'Civil-SOR'!$G$307</f>
        <v>520</v>
      </c>
      <c r="G293" s="1045">
        <v>1</v>
      </c>
      <c r="H293" s="1044" t="s">
        <v>39</v>
      </c>
      <c r="I293" s="1030">
        <f t="shared" ref="I293:I294" si="32">IF(G293="",D293*F293,(D293*F293/G293))</f>
        <v>2704</v>
      </c>
      <c r="J293" s="1846"/>
      <c r="K293" s="1846"/>
      <c r="L293" s="1846"/>
    </row>
    <row r="294" spans="1:12">
      <c r="A294" s="1818"/>
      <c r="B294" s="1048"/>
      <c r="C294" s="1817" t="str">
        <f>Input!$C$47</f>
        <v>Add for MA @ 40%</v>
      </c>
      <c r="D294" s="1034">
        <f>Input!$D$47</f>
        <v>0.4</v>
      </c>
      <c r="E294" s="1044"/>
      <c r="F294" s="1001">
        <f>I293</f>
        <v>2704</v>
      </c>
      <c r="G294" s="1045"/>
      <c r="H294" s="1044"/>
      <c r="I294" s="1030">
        <f t="shared" si="32"/>
        <v>1081.6000000000001</v>
      </c>
      <c r="J294" s="1846"/>
      <c r="K294" s="1846"/>
      <c r="L294" s="1846"/>
    </row>
    <row r="295" spans="1:12">
      <c r="A295" s="1818"/>
      <c r="B295" s="1048"/>
      <c r="C295" s="1816" t="s">
        <v>1081</v>
      </c>
      <c r="D295" s="1034"/>
      <c r="E295" s="1044"/>
      <c r="F295" s="1001"/>
      <c r="G295" s="1045"/>
      <c r="H295" s="1044"/>
      <c r="I295" s="1030"/>
      <c r="J295" s="1846"/>
      <c r="K295" s="1846"/>
      <c r="L295" s="1846"/>
    </row>
    <row r="296" spans="1:12">
      <c r="A296" s="1818"/>
      <c r="B296" s="1048"/>
      <c r="C296" s="1817" t="s">
        <v>1114</v>
      </c>
      <c r="D296" s="1051">
        <v>6</v>
      </c>
      <c r="E296" s="1052" t="s">
        <v>1107</v>
      </c>
      <c r="F296" s="1030">
        <f>'Civil-SOR'!$G$328</f>
        <v>1458</v>
      </c>
      <c r="G296" s="1053">
        <v>1</v>
      </c>
      <c r="H296" s="1052" t="s">
        <v>616</v>
      </c>
      <c r="I296" s="1030">
        <f t="shared" ref="I296:I297" si="33">IF(G296="",D296*F296,(D296*F296/G296))</f>
        <v>8748</v>
      </c>
      <c r="J296" s="1846"/>
      <c r="K296" s="1846"/>
      <c r="L296" s="1846"/>
    </row>
    <row r="297" spans="1:12">
      <c r="A297" s="1818"/>
      <c r="B297" s="1048"/>
      <c r="C297" s="1817" t="s">
        <v>1105</v>
      </c>
      <c r="D297" s="1051">
        <v>12</v>
      </c>
      <c r="E297" s="1052" t="s">
        <v>1107</v>
      </c>
      <c r="F297" s="1030">
        <f>'Civil-SOR'!$G$331</f>
        <v>21.4</v>
      </c>
      <c r="G297" s="1053">
        <v>1</v>
      </c>
      <c r="H297" s="1052" t="s">
        <v>616</v>
      </c>
      <c r="I297" s="1030">
        <f t="shared" si="33"/>
        <v>256.79999999999995</v>
      </c>
      <c r="J297" s="1846"/>
      <c r="K297" s="1846"/>
      <c r="L297" s="1846"/>
    </row>
    <row r="298" spans="1:12">
      <c r="A298" s="1818"/>
      <c r="B298" s="1048"/>
      <c r="C298" s="1816" t="s">
        <v>579</v>
      </c>
      <c r="D298" s="1051"/>
      <c r="E298" s="1052"/>
      <c r="F298" s="1030"/>
      <c r="G298" s="1053"/>
      <c r="H298" s="1052"/>
      <c r="I298" s="1030"/>
      <c r="J298" s="1846"/>
      <c r="K298" s="1846"/>
      <c r="L298" s="1846"/>
    </row>
    <row r="299" spans="1:12">
      <c r="A299" s="1818"/>
      <c r="B299" s="1048"/>
      <c r="C299" s="1817" t="s">
        <v>1114</v>
      </c>
      <c r="D299" s="1051">
        <v>6</v>
      </c>
      <c r="E299" s="1052" t="s">
        <v>1107</v>
      </c>
      <c r="F299" s="1030">
        <f>'Civil-SOR'!$J$328</f>
        <v>288.3</v>
      </c>
      <c r="G299" s="1053">
        <v>1</v>
      </c>
      <c r="H299" s="1052" t="s">
        <v>616</v>
      </c>
      <c r="I299" s="1030">
        <f t="shared" ref="I299:I301" si="34">IF(G299="",D299*F299,(D299*F299/G299))</f>
        <v>1729.8000000000002</v>
      </c>
      <c r="J299" s="1846"/>
      <c r="K299" s="1846"/>
      <c r="L299" s="1846"/>
    </row>
    <row r="300" spans="1:12">
      <c r="A300" s="1818"/>
      <c r="B300" s="1048"/>
      <c r="C300" s="1817" t="s">
        <v>1105</v>
      </c>
      <c r="D300" s="1051">
        <v>12</v>
      </c>
      <c r="E300" s="1052" t="s">
        <v>1107</v>
      </c>
      <c r="F300" s="1030">
        <f>'Civil-SOR'!$J$331</f>
        <v>450.5</v>
      </c>
      <c r="G300" s="1053">
        <v>1</v>
      </c>
      <c r="H300" s="1052" t="s">
        <v>616</v>
      </c>
      <c r="I300" s="1030">
        <f t="shared" si="34"/>
        <v>5406</v>
      </c>
      <c r="J300" s="1846"/>
      <c r="K300" s="1846"/>
      <c r="L300" s="1846"/>
    </row>
    <row r="301" spans="1:12">
      <c r="A301" s="1818"/>
      <c r="B301" s="1048"/>
      <c r="C301" s="1817" t="s">
        <v>1085</v>
      </c>
      <c r="D301" s="1034">
        <f>Input!$D$47</f>
        <v>0.4</v>
      </c>
      <c r="E301" s="1044"/>
      <c r="F301" s="1001">
        <f>SUM(I299:I300)</f>
        <v>7135.8</v>
      </c>
      <c r="G301" s="1045"/>
      <c r="H301" s="1044"/>
      <c r="I301" s="1030">
        <f t="shared" si="34"/>
        <v>2854.32</v>
      </c>
      <c r="J301" s="1846"/>
      <c r="K301" s="1846"/>
      <c r="L301" s="1846"/>
    </row>
    <row r="302" spans="1:12">
      <c r="A302" s="1818"/>
      <c r="B302" s="1048"/>
      <c r="C302" s="1817" t="s">
        <v>1086</v>
      </c>
      <c r="D302" s="1034"/>
      <c r="E302" s="1044"/>
      <c r="F302" s="1001"/>
      <c r="G302" s="1034"/>
      <c r="H302" s="1044"/>
      <c r="I302" s="1030">
        <f>SUM(I293:I301)</f>
        <v>22780.52</v>
      </c>
      <c r="J302" s="1846"/>
      <c r="K302" s="1846"/>
      <c r="L302" s="1846"/>
    </row>
    <row r="303" spans="1:12">
      <c r="A303" s="1818"/>
      <c r="B303" s="1048"/>
      <c r="C303" s="1072" t="str">
        <f>Input!$C$48</f>
        <v>Overheads &amp; Contractors Profit @ 13.615%</v>
      </c>
      <c r="D303" s="1073">
        <f>Input!$D$48</f>
        <v>0.13614999999999999</v>
      </c>
      <c r="E303" s="1052"/>
      <c r="F303" s="1030">
        <f>I302</f>
        <v>22780.52</v>
      </c>
      <c r="G303" s="1045"/>
      <c r="H303" s="1071"/>
      <c r="I303" s="1030">
        <f>IF(G303="",D303*F303,(D303*F303/G303))</f>
        <v>3101.567798</v>
      </c>
      <c r="J303" s="1846"/>
      <c r="K303" s="1846"/>
      <c r="L303" s="1846"/>
    </row>
    <row r="304" spans="1:12">
      <c r="A304" s="1818"/>
      <c r="B304" s="1048"/>
      <c r="C304" s="1817" t="s">
        <v>1111</v>
      </c>
      <c r="D304" s="1034"/>
      <c r="E304" s="1044"/>
      <c r="F304" s="1001"/>
      <c r="G304" s="1045"/>
      <c r="H304" s="1071"/>
      <c r="I304" s="1030">
        <f>SUM(I302:I303)</f>
        <v>25882.087798</v>
      </c>
      <c r="J304" s="1846"/>
      <c r="K304" s="1846"/>
      <c r="L304" s="1846"/>
    </row>
    <row r="305" spans="1:12">
      <c r="A305" s="1818"/>
      <c r="B305" s="1048"/>
      <c r="C305" s="1816" t="s">
        <v>3390</v>
      </c>
      <c r="D305" s="1034"/>
      <c r="E305" s="1044"/>
      <c r="F305" s="1001"/>
      <c r="G305" s="1045"/>
      <c r="H305" s="1034" t="s">
        <v>1033</v>
      </c>
      <c r="I305" s="1030">
        <f>I304/D291</f>
        <v>2588.2087798000002</v>
      </c>
      <c r="J305" s="1846"/>
      <c r="K305" s="1846"/>
      <c r="L305" s="1846"/>
    </row>
    <row r="306" spans="1:12">
      <c r="A306" s="1818"/>
      <c r="B306" s="1048"/>
      <c r="C306" s="1816" t="s">
        <v>1032</v>
      </c>
      <c r="D306" s="1034"/>
      <c r="E306" s="1044"/>
      <c r="F306" s="1001"/>
      <c r="G306" s="1045"/>
      <c r="H306" s="1046" t="s">
        <v>1096</v>
      </c>
      <c r="I306" s="1011">
        <f>ROUND(I305,0)</f>
        <v>2588</v>
      </c>
      <c r="J306" s="1846"/>
      <c r="K306" s="1846"/>
      <c r="L306" s="1846"/>
    </row>
    <row r="307" spans="1:12">
      <c r="A307" s="1818"/>
      <c r="B307" s="1048"/>
      <c r="C307" s="1816"/>
      <c r="D307" s="1034"/>
      <c r="E307" s="1044"/>
      <c r="F307" s="1001"/>
      <c r="G307" s="1045"/>
      <c r="H307" s="1047"/>
      <c r="I307" s="1011"/>
      <c r="J307" s="1846"/>
      <c r="K307" s="1846"/>
      <c r="L307" s="1846"/>
    </row>
    <row r="308" spans="1:12" ht="25.7" customHeight="1">
      <c r="A308" s="2048">
        <f>+A288+1</f>
        <v>9</v>
      </c>
      <c r="B308" s="2048"/>
      <c r="C308" s="2049" t="s">
        <v>3392</v>
      </c>
      <c r="D308" s="2049"/>
      <c r="E308" s="2049"/>
      <c r="F308" s="2049"/>
      <c r="G308" s="2049"/>
      <c r="H308" s="2049"/>
      <c r="I308" s="1825"/>
      <c r="J308" s="1846"/>
      <c r="K308" s="1846"/>
      <c r="L308" s="1846"/>
    </row>
    <row r="309" spans="1:12">
      <c r="A309" s="1818"/>
      <c r="B309" s="1048"/>
      <c r="C309" s="1817" t="s">
        <v>1115</v>
      </c>
      <c r="D309" s="1851">
        <v>1</v>
      </c>
      <c r="E309" s="1817" t="s">
        <v>75</v>
      </c>
      <c r="F309" s="1848">
        <f>conveyance!D12</f>
        <v>113.6</v>
      </c>
      <c r="G309" s="1851">
        <v>1</v>
      </c>
      <c r="H309" s="1817" t="s">
        <v>75</v>
      </c>
      <c r="I309" s="1848">
        <f>IF(G309="",D309*F309,(D309*F309/G309))</f>
        <v>113.6</v>
      </c>
      <c r="J309" s="1846"/>
      <c r="K309" s="1846"/>
      <c r="L309" s="1846"/>
    </row>
    <row r="310" spans="1:12">
      <c r="A310" s="1818"/>
      <c r="B310" s="1048"/>
      <c r="C310" s="1846"/>
      <c r="D310" s="1073"/>
      <c r="E310" s="1817"/>
      <c r="F310" s="1848"/>
      <c r="G310" s="1851"/>
      <c r="H310" s="1077" t="s">
        <v>1033</v>
      </c>
      <c r="I310" s="1030">
        <f>I309/1.13615</f>
        <v>99.986797517933368</v>
      </c>
      <c r="J310" s="1846"/>
      <c r="K310" s="1846"/>
      <c r="L310" s="1846"/>
    </row>
    <row r="311" spans="1:12">
      <c r="A311" s="1818"/>
      <c r="B311" s="1048"/>
      <c r="C311" s="1816" t="s">
        <v>1032</v>
      </c>
      <c r="D311" s="1817"/>
      <c r="E311" s="1817"/>
      <c r="F311" s="1847"/>
      <c r="G311" s="1851"/>
      <c r="H311" s="1046" t="s">
        <v>1096</v>
      </c>
      <c r="I311" s="1011">
        <f>ROUND(I310,0)</f>
        <v>100</v>
      </c>
      <c r="J311" s="1846"/>
      <c r="K311" s="1846"/>
      <c r="L311" s="1846"/>
    </row>
    <row r="312" spans="1:12">
      <c r="A312" s="1818"/>
      <c r="B312" s="1048"/>
      <c r="C312" s="1816"/>
      <c r="D312" s="1034"/>
      <c r="E312" s="1044"/>
      <c r="F312" s="1001"/>
      <c r="G312" s="1045"/>
      <c r="H312" s="1047"/>
      <c r="I312" s="1011"/>
      <c r="J312" s="1846"/>
      <c r="K312" s="1846"/>
      <c r="L312" s="1846"/>
    </row>
    <row r="313" spans="1:12" ht="25.7" customHeight="1">
      <c r="A313" s="2048">
        <f>+A293+1</f>
        <v>1</v>
      </c>
      <c r="B313" s="2048"/>
      <c r="C313" s="2049" t="s">
        <v>3625</v>
      </c>
      <c r="D313" s="2049"/>
      <c r="E313" s="2049"/>
      <c r="F313" s="2049"/>
      <c r="G313" s="2049"/>
      <c r="H313" s="2049"/>
      <c r="I313" s="1825"/>
      <c r="J313" s="1846"/>
      <c r="K313" s="1846"/>
      <c r="L313" s="1846"/>
    </row>
    <row r="314" spans="1:12">
      <c r="A314" s="1818"/>
      <c r="B314" s="1048"/>
      <c r="C314" s="1817" t="s">
        <v>1115</v>
      </c>
      <c r="D314" s="1851">
        <v>1</v>
      </c>
      <c r="E314" s="1817" t="s">
        <v>75</v>
      </c>
      <c r="F314" s="1848">
        <f>conveyance!D12</f>
        <v>113.6</v>
      </c>
      <c r="G314" s="1851">
        <v>1</v>
      </c>
      <c r="H314" s="1817" t="s">
        <v>75</v>
      </c>
      <c r="I314" s="1848">
        <f>IF(G314="",D314*F314,(D314*F314/G314))</f>
        <v>113.6</v>
      </c>
      <c r="J314" s="1846"/>
      <c r="K314" s="1846"/>
      <c r="L314" s="1846"/>
    </row>
    <row r="315" spans="1:12">
      <c r="A315" s="1644"/>
      <c r="B315" s="1646"/>
      <c r="C315" s="1647"/>
      <c r="D315" s="1851">
        <v>16</v>
      </c>
      <c r="E315" s="1817" t="s">
        <v>75</v>
      </c>
      <c r="F315" s="1848">
        <f>conveyance!D13</f>
        <v>17</v>
      </c>
      <c r="G315" s="1851">
        <v>1</v>
      </c>
      <c r="H315" s="1817" t="s">
        <v>75</v>
      </c>
      <c r="I315" s="1848">
        <f>IF(G315="",D315*F315,(D315*F315/G315))</f>
        <v>272</v>
      </c>
      <c r="J315" s="1645"/>
      <c r="K315" s="1645"/>
      <c r="L315" s="1645"/>
    </row>
    <row r="316" spans="1:12">
      <c r="A316" s="1818"/>
      <c r="B316" s="1048"/>
      <c r="C316" s="1846"/>
      <c r="D316" s="1073"/>
      <c r="E316" s="1817"/>
      <c r="F316" s="1848"/>
      <c r="G316" s="1851"/>
      <c r="H316" s="1077" t="s">
        <v>1033</v>
      </c>
      <c r="I316" s="1030">
        <f>SUM(I314:I315)</f>
        <v>385.6</v>
      </c>
      <c r="J316" s="1846"/>
      <c r="K316" s="1846"/>
      <c r="L316" s="1846"/>
    </row>
    <row r="317" spans="1:12">
      <c r="A317" s="1644"/>
      <c r="B317" s="1646"/>
      <c r="C317" s="1645" t="s">
        <v>3624</v>
      </c>
      <c r="D317" s="1650"/>
      <c r="E317" s="1647"/>
      <c r="F317" s="1649"/>
      <c r="G317" s="1648"/>
      <c r="H317" s="1651"/>
      <c r="I317" s="1652">
        <f>I316/1.13615</f>
        <v>339.39180565946401</v>
      </c>
      <c r="J317" s="1645"/>
      <c r="K317" s="1645"/>
      <c r="L317" s="1645"/>
    </row>
    <row r="318" spans="1:12">
      <c r="A318" s="1818"/>
      <c r="B318" s="1048"/>
      <c r="C318" s="1816" t="s">
        <v>1032</v>
      </c>
      <c r="D318" s="1817"/>
      <c r="E318" s="1817"/>
      <c r="F318" s="1847"/>
      <c r="G318" s="1851"/>
      <c r="H318" s="1046" t="s">
        <v>1096</v>
      </c>
      <c r="I318" s="1011">
        <f>ROUND(I317,0)</f>
        <v>339</v>
      </c>
      <c r="J318" s="1846"/>
      <c r="K318" s="1846"/>
      <c r="L318" s="1846"/>
    </row>
    <row r="319" spans="1:12" ht="129.6" customHeight="1">
      <c r="A319" s="2046">
        <f>A308+1</f>
        <v>10</v>
      </c>
      <c r="B319" s="2046"/>
      <c r="C319" s="2036" t="s">
        <v>3393</v>
      </c>
      <c r="D319" s="2036"/>
      <c r="E319" s="2036"/>
      <c r="F319" s="2036"/>
      <c r="G319" s="2036"/>
      <c r="H319" s="2036"/>
      <c r="I319" s="2036"/>
      <c r="J319" s="1846"/>
      <c r="K319" s="1846"/>
      <c r="L319" s="1846"/>
    </row>
    <row r="320" spans="1:12">
      <c r="A320" s="1823"/>
      <c r="B320" s="1068"/>
      <c r="C320" s="1022" t="s">
        <v>1116</v>
      </c>
      <c r="D320" s="1846">
        <v>1</v>
      </c>
      <c r="E320" s="1846" t="s">
        <v>39</v>
      </c>
      <c r="F320" s="1021">
        <f>'Civil-SOR'!$G$182</f>
        <v>139</v>
      </c>
      <c r="G320" s="1029">
        <v>1</v>
      </c>
      <c r="H320" s="1014" t="s">
        <v>94</v>
      </c>
      <c r="I320" s="1021">
        <f>F320*D320</f>
        <v>139</v>
      </c>
      <c r="J320" s="1846"/>
      <c r="K320" s="1846"/>
      <c r="L320" s="1846"/>
    </row>
    <row r="321" spans="1:64">
      <c r="A321" s="1823"/>
      <c r="B321" s="1068"/>
      <c r="C321" s="1078" t="s">
        <v>1117</v>
      </c>
      <c r="D321" s="1846"/>
      <c r="E321" s="1846"/>
      <c r="F321" s="1068"/>
      <c r="G321" s="1846"/>
      <c r="H321" s="1079"/>
      <c r="I321" s="1080">
        <f>SUM(I320:I320)</f>
        <v>139</v>
      </c>
      <c r="J321" s="1846"/>
      <c r="K321" s="1846"/>
      <c r="L321" s="1846"/>
    </row>
    <row r="322" spans="1:64">
      <c r="A322" s="1847"/>
      <c r="B322" s="1847"/>
      <c r="C322" s="1072" t="str">
        <f>Input!$C$48</f>
        <v>Overheads &amp; Contractors Profit @ 13.615%</v>
      </c>
      <c r="D322" s="1073">
        <f>Input!$D$48</f>
        <v>0.13614999999999999</v>
      </c>
      <c r="E322" s="1061"/>
      <c r="F322" s="1062">
        <f>I321</f>
        <v>139</v>
      </c>
      <c r="G322" s="1081"/>
      <c r="H322" s="1022"/>
      <c r="I322" s="1062">
        <f>IF(G322="",D322*F322,(D322*F322/G322))</f>
        <v>18.924849999999999</v>
      </c>
      <c r="J322" s="1846"/>
      <c r="K322" s="1846"/>
      <c r="L322" s="1846"/>
    </row>
    <row r="323" spans="1:64">
      <c r="A323" s="1823"/>
      <c r="B323" s="1068"/>
      <c r="C323" s="1817"/>
      <c r="D323" s="1000"/>
      <c r="E323" s="1044"/>
      <c r="F323" s="1001"/>
      <c r="G323" s="1015"/>
      <c r="H323" s="1082"/>
      <c r="I323" s="1011">
        <f>SUM(I321:I322)</f>
        <v>157.92484999999999</v>
      </c>
      <c r="J323" s="1002"/>
      <c r="K323" s="1002"/>
      <c r="L323" s="1002"/>
      <c r="M323" s="1003"/>
      <c r="N323" s="1003"/>
      <c r="O323" s="1003"/>
      <c r="P323" s="1003"/>
      <c r="Q323" s="1003"/>
      <c r="R323" s="1003"/>
      <c r="S323" s="1003"/>
      <c r="T323" s="1003"/>
      <c r="U323" s="1003"/>
      <c r="V323" s="1003"/>
      <c r="W323" s="1003"/>
      <c r="X323" s="1003"/>
      <c r="Y323" s="1003"/>
      <c r="Z323" s="1003"/>
      <c r="AA323" s="1003"/>
      <c r="AB323" s="1003"/>
      <c r="AC323" s="1003"/>
      <c r="AD323" s="1003"/>
      <c r="AE323" s="1003"/>
      <c r="AF323" s="1003"/>
      <c r="AG323" s="1003"/>
      <c r="AH323" s="1003"/>
      <c r="AI323" s="1003"/>
      <c r="AJ323" s="1003"/>
      <c r="AK323" s="1003"/>
      <c r="AL323" s="1003"/>
      <c r="AM323" s="1003"/>
      <c r="AN323" s="1003"/>
      <c r="AO323" s="1003"/>
      <c r="AP323" s="1003"/>
      <c r="AQ323" s="1003"/>
      <c r="AR323" s="1003"/>
      <c r="AS323" s="1003"/>
      <c r="AT323" s="1003"/>
      <c r="AU323" s="1003"/>
      <c r="AV323" s="1003"/>
      <c r="AW323" s="1003"/>
      <c r="AX323" s="1003"/>
      <c r="AY323" s="1003"/>
      <c r="AZ323" s="1003"/>
      <c r="BA323" s="1003"/>
      <c r="BB323" s="1003"/>
      <c r="BC323" s="1003"/>
      <c r="BD323" s="1003"/>
      <c r="BE323" s="1003"/>
      <c r="BF323" s="1003"/>
      <c r="BG323" s="1003"/>
      <c r="BH323" s="1003"/>
      <c r="BI323" s="1003"/>
      <c r="BJ323" s="1003"/>
      <c r="BK323" s="1003"/>
      <c r="BL323" s="1003"/>
    </row>
    <row r="324" spans="1:64">
      <c r="A324" s="1823"/>
      <c r="B324" s="1068"/>
      <c r="C324" s="1817"/>
      <c r="D324" s="1000"/>
      <c r="E324" s="1044"/>
      <c r="F324" s="1001"/>
      <c r="G324" s="1015"/>
      <c r="H324" s="1082" t="s">
        <v>1065</v>
      </c>
      <c r="I324" s="1011">
        <f>ROUND(I323,0)</f>
        <v>158</v>
      </c>
      <c r="J324" s="1974" t="s">
        <v>3901</v>
      </c>
      <c r="K324" s="1846"/>
      <c r="L324" s="1846"/>
    </row>
    <row r="325" spans="1:64">
      <c r="A325" s="1818"/>
      <c r="B325" s="1048"/>
      <c r="C325" s="1816"/>
      <c r="D325" s="1034"/>
      <c r="E325" s="1044"/>
      <c r="F325" s="1001"/>
      <c r="G325" s="1045"/>
      <c r="H325" s="1047"/>
      <c r="I325" s="1011"/>
      <c r="J325" s="1846"/>
      <c r="K325" s="1846"/>
      <c r="L325" s="1846"/>
    </row>
    <row r="326" spans="1:64" ht="48.75" customHeight="1">
      <c r="A326" s="2048">
        <f>A319+1</f>
        <v>11</v>
      </c>
      <c r="B326" s="2048"/>
      <c r="C326" s="2036" t="s">
        <v>3394</v>
      </c>
      <c r="D326" s="2036"/>
      <c r="E326" s="2036"/>
      <c r="F326" s="2036"/>
      <c r="G326" s="2036"/>
      <c r="H326" s="2036"/>
      <c r="I326" s="1825"/>
      <c r="J326" s="1846"/>
      <c r="K326" s="1846"/>
      <c r="L326" s="1846"/>
    </row>
    <row r="327" spans="1:64">
      <c r="A327" s="1818"/>
      <c r="B327" s="1048"/>
      <c r="C327" s="1083" t="s">
        <v>1118</v>
      </c>
      <c r="D327" s="1034"/>
      <c r="E327" s="1044"/>
      <c r="F327" s="1001"/>
      <c r="G327" s="1045"/>
      <c r="H327" s="1071"/>
      <c r="I327" s="1009"/>
      <c r="J327" s="1002"/>
      <c r="K327" s="1002"/>
      <c r="L327" s="1002"/>
      <c r="M327" s="1003"/>
      <c r="N327" s="1003"/>
      <c r="O327" s="1003"/>
      <c r="P327" s="1003"/>
      <c r="Q327" s="1003"/>
      <c r="R327" s="1003"/>
      <c r="S327" s="1003"/>
      <c r="T327" s="1003"/>
      <c r="U327" s="1003"/>
      <c r="V327" s="1003"/>
      <c r="W327" s="1003"/>
      <c r="X327" s="1003"/>
      <c r="Y327" s="1003"/>
      <c r="Z327" s="1003"/>
      <c r="AA327" s="1003"/>
      <c r="AB327" s="1003"/>
      <c r="AC327" s="1003"/>
      <c r="AD327" s="1003"/>
      <c r="AE327" s="1003"/>
      <c r="AF327" s="1003"/>
      <c r="AG327" s="1003"/>
      <c r="AH327" s="1003"/>
      <c r="AI327" s="1003"/>
      <c r="AJ327" s="1003"/>
      <c r="AK327" s="1003"/>
      <c r="AL327" s="1003"/>
      <c r="AM327" s="1003"/>
      <c r="AN327" s="1003"/>
      <c r="AO327" s="1003"/>
      <c r="AP327" s="1003"/>
      <c r="AQ327" s="1003"/>
      <c r="AR327" s="1003"/>
      <c r="AS327" s="1003"/>
      <c r="AT327" s="1003"/>
      <c r="AU327" s="1003"/>
      <c r="AV327" s="1003"/>
      <c r="AW327" s="1003"/>
      <c r="AX327" s="1003"/>
      <c r="AY327" s="1003"/>
      <c r="AZ327" s="1003"/>
      <c r="BA327" s="1003"/>
      <c r="BB327" s="1003"/>
      <c r="BC327" s="1003"/>
      <c r="BD327" s="1003"/>
      <c r="BE327" s="1003"/>
      <c r="BF327" s="1003"/>
      <c r="BG327" s="1003"/>
      <c r="BH327" s="1003"/>
      <c r="BI327" s="1003"/>
      <c r="BJ327" s="1003"/>
      <c r="BK327" s="1003"/>
      <c r="BL327" s="1003"/>
    </row>
    <row r="328" spans="1:64">
      <c r="A328" s="1818"/>
      <c r="B328" s="1048"/>
      <c r="C328" s="1816" t="s">
        <v>1119</v>
      </c>
      <c r="D328" s="1034"/>
      <c r="E328" s="1044"/>
      <c r="F328" s="1001"/>
      <c r="G328" s="1045"/>
      <c r="H328" s="1071"/>
      <c r="I328" s="1009"/>
      <c r="J328" s="1002"/>
      <c r="K328" s="1002"/>
      <c r="L328" s="1002"/>
      <c r="M328" s="1003"/>
      <c r="N328" s="1003"/>
      <c r="O328" s="1003"/>
      <c r="P328" s="1003"/>
      <c r="Q328" s="1003"/>
      <c r="R328" s="1003"/>
      <c r="S328" s="1003"/>
      <c r="T328" s="1003"/>
      <c r="U328" s="1003"/>
      <c r="V328" s="1003"/>
      <c r="W328" s="1003"/>
      <c r="X328" s="1003"/>
      <c r="Y328" s="1003"/>
      <c r="Z328" s="1003"/>
      <c r="AA328" s="1003"/>
      <c r="AB328" s="1003"/>
      <c r="AC328" s="1003"/>
      <c r="AD328" s="1003"/>
      <c r="AE328" s="1003"/>
      <c r="AF328" s="1003"/>
      <c r="AG328" s="1003"/>
      <c r="AH328" s="1003"/>
      <c r="AI328" s="1003"/>
      <c r="AJ328" s="1003"/>
      <c r="AK328" s="1003"/>
      <c r="AL328" s="1003"/>
      <c r="AM328" s="1003"/>
      <c r="AN328" s="1003"/>
      <c r="AO328" s="1003"/>
      <c r="AP328" s="1003"/>
      <c r="AQ328" s="1003"/>
      <c r="AR328" s="1003"/>
      <c r="AS328" s="1003"/>
      <c r="AT328" s="1003"/>
      <c r="AU328" s="1003"/>
      <c r="AV328" s="1003"/>
      <c r="AW328" s="1003"/>
      <c r="AX328" s="1003"/>
      <c r="AY328" s="1003"/>
      <c r="AZ328" s="1003"/>
      <c r="BA328" s="1003"/>
      <c r="BB328" s="1003"/>
      <c r="BC328" s="1003"/>
      <c r="BD328" s="1003"/>
      <c r="BE328" s="1003"/>
      <c r="BF328" s="1003"/>
      <c r="BG328" s="1003"/>
      <c r="BH328" s="1003"/>
      <c r="BI328" s="1003"/>
      <c r="BJ328" s="1003"/>
      <c r="BK328" s="1003"/>
      <c r="BL328" s="1003"/>
    </row>
    <row r="329" spans="1:64">
      <c r="A329" s="1818"/>
      <c r="B329" s="1048"/>
      <c r="C329" s="1816" t="s">
        <v>1071</v>
      </c>
      <c r="D329" s="1034"/>
      <c r="E329" s="1044"/>
      <c r="F329" s="1001"/>
      <c r="G329" s="1045"/>
      <c r="H329" s="1071"/>
      <c r="I329" s="1009"/>
      <c r="J329" s="1002"/>
      <c r="K329" s="1002"/>
      <c r="L329" s="1002"/>
      <c r="M329" s="1003"/>
      <c r="N329" s="1003"/>
      <c r="O329" s="1003"/>
      <c r="P329" s="1003"/>
      <c r="Q329" s="1003"/>
      <c r="R329" s="1003"/>
      <c r="S329" s="1003"/>
      <c r="T329" s="1003"/>
      <c r="U329" s="1003"/>
      <c r="V329" s="1003"/>
      <c r="W329" s="1003"/>
      <c r="X329" s="1003"/>
      <c r="Y329" s="1003"/>
      <c r="Z329" s="1003"/>
      <c r="AA329" s="1003"/>
      <c r="AB329" s="1003"/>
      <c r="AC329" s="1003"/>
      <c r="AD329" s="1003"/>
      <c r="AE329" s="1003"/>
      <c r="AF329" s="1003"/>
      <c r="AG329" s="1003"/>
      <c r="AH329" s="1003"/>
      <c r="AI329" s="1003"/>
      <c r="AJ329" s="1003"/>
      <c r="AK329" s="1003"/>
      <c r="AL329" s="1003"/>
      <c r="AM329" s="1003"/>
      <c r="AN329" s="1003"/>
      <c r="AO329" s="1003"/>
      <c r="AP329" s="1003"/>
      <c r="AQ329" s="1003"/>
      <c r="AR329" s="1003"/>
      <c r="AS329" s="1003"/>
      <c r="AT329" s="1003"/>
      <c r="AU329" s="1003"/>
      <c r="AV329" s="1003"/>
      <c r="AW329" s="1003"/>
      <c r="AX329" s="1003"/>
      <c r="AY329" s="1003"/>
      <c r="AZ329" s="1003"/>
      <c r="BA329" s="1003"/>
      <c r="BB329" s="1003"/>
      <c r="BC329" s="1003"/>
      <c r="BD329" s="1003"/>
      <c r="BE329" s="1003"/>
      <c r="BF329" s="1003"/>
      <c r="BG329" s="1003"/>
      <c r="BH329" s="1003"/>
      <c r="BI329" s="1003"/>
      <c r="BJ329" s="1003"/>
      <c r="BK329" s="1003"/>
      <c r="BL329" s="1003"/>
    </row>
    <row r="330" spans="1:64">
      <c r="A330" s="1818"/>
      <c r="B330" s="1048"/>
      <c r="C330" s="1817" t="s">
        <v>1120</v>
      </c>
      <c r="D330" s="1034">
        <v>0.31</v>
      </c>
      <c r="E330" s="1044" t="s">
        <v>36</v>
      </c>
      <c r="F330" s="1001">
        <f>'Civil-SOR'!$G$307</f>
        <v>520</v>
      </c>
      <c r="G330" s="1045">
        <v>1</v>
      </c>
      <c r="H330" s="1044" t="s">
        <v>39</v>
      </c>
      <c r="I330" s="1001">
        <f t="shared" ref="I330:I331" si="35">IF(G330="",D330*F330,(D330*F330/G330))</f>
        <v>161.19999999999999</v>
      </c>
      <c r="J330" s="1002"/>
      <c r="K330" s="1002"/>
      <c r="L330" s="1002"/>
      <c r="M330" s="1003"/>
      <c r="N330" s="1003"/>
      <c r="O330" s="1003"/>
      <c r="P330" s="1003"/>
      <c r="Q330" s="1003"/>
      <c r="R330" s="1003"/>
      <c r="S330" s="1003"/>
      <c r="T330" s="1003"/>
      <c r="U330" s="1003"/>
      <c r="V330" s="1003"/>
      <c r="W330" s="1003"/>
      <c r="X330" s="1003"/>
      <c r="Y330" s="1003"/>
      <c r="Z330" s="1003"/>
      <c r="AA330" s="1003"/>
      <c r="AB330" s="1003"/>
      <c r="AC330" s="1003"/>
      <c r="AD330" s="1003"/>
      <c r="AE330" s="1003"/>
      <c r="AF330" s="1003"/>
      <c r="AG330" s="1003"/>
      <c r="AH330" s="1003"/>
      <c r="AI330" s="1003"/>
      <c r="AJ330" s="1003"/>
      <c r="AK330" s="1003"/>
      <c r="AL330" s="1003"/>
      <c r="AM330" s="1003"/>
      <c r="AN330" s="1003"/>
      <c r="AO330" s="1003"/>
      <c r="AP330" s="1003"/>
      <c r="AQ330" s="1003"/>
      <c r="AR330" s="1003"/>
      <c r="AS330" s="1003"/>
      <c r="AT330" s="1003"/>
      <c r="AU330" s="1003"/>
      <c r="AV330" s="1003"/>
      <c r="AW330" s="1003"/>
      <c r="AX330" s="1003"/>
      <c r="AY330" s="1003"/>
      <c r="AZ330" s="1003"/>
      <c r="BA330" s="1003"/>
      <c r="BB330" s="1003"/>
      <c r="BC330" s="1003"/>
      <c r="BD330" s="1003"/>
      <c r="BE330" s="1003"/>
      <c r="BF330" s="1003"/>
      <c r="BG330" s="1003"/>
      <c r="BH330" s="1003"/>
      <c r="BI330" s="1003"/>
      <c r="BJ330" s="1003"/>
      <c r="BK330" s="1003"/>
      <c r="BL330" s="1003"/>
    </row>
    <row r="331" spans="1:64">
      <c r="A331" s="1818"/>
      <c r="B331" s="1048"/>
      <c r="C331" s="1817" t="str">
        <f>Input!$C$47</f>
        <v>Add for MA @ 40%</v>
      </c>
      <c r="D331" s="1034">
        <f>Input!$D$47</f>
        <v>0.4</v>
      </c>
      <c r="E331" s="1044"/>
      <c r="F331" s="1001">
        <f>I330</f>
        <v>161.19999999999999</v>
      </c>
      <c r="G331" s="1045"/>
      <c r="H331" s="1044"/>
      <c r="I331" s="1001">
        <f t="shared" si="35"/>
        <v>64.48</v>
      </c>
      <c r="J331" s="1002"/>
      <c r="K331" s="1002"/>
      <c r="L331" s="1002"/>
      <c r="M331" s="1003"/>
      <c r="N331" s="1003"/>
      <c r="O331" s="1003"/>
      <c r="P331" s="1003"/>
      <c r="Q331" s="1003"/>
      <c r="R331" s="1003"/>
      <c r="S331" s="1003"/>
      <c r="T331" s="1003"/>
      <c r="U331" s="1003"/>
      <c r="V331" s="1003"/>
      <c r="W331" s="1003"/>
      <c r="X331" s="1003"/>
      <c r="Y331" s="1003"/>
      <c r="Z331" s="1003"/>
      <c r="AA331" s="1003"/>
      <c r="AB331" s="1003"/>
      <c r="AC331" s="1003"/>
      <c r="AD331" s="1003"/>
      <c r="AE331" s="1003"/>
      <c r="AF331" s="1003"/>
      <c r="AG331" s="1003"/>
      <c r="AH331" s="1003"/>
      <c r="AI331" s="1003"/>
      <c r="AJ331" s="1003"/>
      <c r="AK331" s="1003"/>
      <c r="AL331" s="1003"/>
      <c r="AM331" s="1003"/>
      <c r="AN331" s="1003"/>
      <c r="AO331" s="1003"/>
      <c r="AP331" s="1003"/>
      <c r="AQ331" s="1003"/>
      <c r="AR331" s="1003"/>
      <c r="AS331" s="1003"/>
      <c r="AT331" s="1003"/>
      <c r="AU331" s="1003"/>
      <c r="AV331" s="1003"/>
      <c r="AW331" s="1003"/>
      <c r="AX331" s="1003"/>
      <c r="AY331" s="1003"/>
      <c r="AZ331" s="1003"/>
      <c r="BA331" s="1003"/>
      <c r="BB331" s="1003"/>
      <c r="BC331" s="1003"/>
      <c r="BD331" s="1003"/>
      <c r="BE331" s="1003"/>
      <c r="BF331" s="1003"/>
      <c r="BG331" s="1003"/>
      <c r="BH331" s="1003"/>
      <c r="BI331" s="1003"/>
      <c r="BJ331" s="1003"/>
      <c r="BK331" s="1003"/>
      <c r="BL331" s="1003"/>
    </row>
    <row r="332" spans="1:64">
      <c r="A332" s="1818"/>
      <c r="B332" s="1048"/>
      <c r="C332" s="1816" t="s">
        <v>1121</v>
      </c>
      <c r="D332" s="1034"/>
      <c r="E332" s="1044"/>
      <c r="F332" s="1001"/>
      <c r="G332" s="1045"/>
      <c r="H332" s="1071"/>
      <c r="I332" s="1009"/>
      <c r="J332" s="1002"/>
      <c r="K332" s="1002"/>
      <c r="L332" s="1002"/>
      <c r="M332" s="1003"/>
      <c r="N332" s="1003"/>
      <c r="O332" s="1003"/>
      <c r="P332" s="1003"/>
      <c r="Q332" s="1003"/>
      <c r="R332" s="1003"/>
      <c r="S332" s="1003"/>
      <c r="T332" s="1003"/>
      <c r="U332" s="1003"/>
      <c r="V332" s="1003"/>
      <c r="W332" s="1003"/>
      <c r="X332" s="1003"/>
      <c r="Y332" s="1003"/>
      <c r="Z332" s="1003"/>
      <c r="AA332" s="1003"/>
      <c r="AB332" s="1003"/>
      <c r="AC332" s="1003"/>
      <c r="AD332" s="1003"/>
      <c r="AE332" s="1003"/>
      <c r="AF332" s="1003"/>
      <c r="AG332" s="1003"/>
      <c r="AH332" s="1003"/>
      <c r="AI332" s="1003"/>
      <c r="AJ332" s="1003"/>
      <c r="AK332" s="1003"/>
      <c r="AL332" s="1003"/>
      <c r="AM332" s="1003"/>
      <c r="AN332" s="1003"/>
      <c r="AO332" s="1003"/>
      <c r="AP332" s="1003"/>
      <c r="AQ332" s="1003"/>
      <c r="AR332" s="1003"/>
      <c r="AS332" s="1003"/>
      <c r="AT332" s="1003"/>
      <c r="AU332" s="1003"/>
      <c r="AV332" s="1003"/>
      <c r="AW332" s="1003"/>
      <c r="AX332" s="1003"/>
      <c r="AY332" s="1003"/>
      <c r="AZ332" s="1003"/>
      <c r="BA332" s="1003"/>
      <c r="BB332" s="1003"/>
      <c r="BC332" s="1003"/>
      <c r="BD332" s="1003"/>
      <c r="BE332" s="1003"/>
      <c r="BF332" s="1003"/>
      <c r="BG332" s="1003"/>
      <c r="BH332" s="1003"/>
      <c r="BI332" s="1003"/>
      <c r="BJ332" s="1003"/>
      <c r="BK332" s="1003"/>
      <c r="BL332" s="1003"/>
    </row>
    <row r="333" spans="1:64">
      <c r="A333" s="1818"/>
      <c r="B333" s="1048"/>
      <c r="C333" s="1817" t="s">
        <v>1122</v>
      </c>
      <c r="D333" s="1034">
        <v>6</v>
      </c>
      <c r="E333" s="1044" t="s">
        <v>75</v>
      </c>
      <c r="F333" s="1001">
        <f>LEAD!$N$14</f>
        <v>916.94</v>
      </c>
      <c r="G333" s="1045">
        <v>1</v>
      </c>
      <c r="H333" s="1044" t="s">
        <v>75</v>
      </c>
      <c r="I333" s="1001">
        <f t="shared" ref="I333:I334" si="36">IF(G333="",D333*F333,(D333*F333/G333))</f>
        <v>5501.64</v>
      </c>
      <c r="J333" s="1002"/>
      <c r="K333" s="1002"/>
      <c r="L333" s="1002"/>
      <c r="M333" s="1003"/>
      <c r="N333" s="1003"/>
      <c r="O333" s="1003"/>
      <c r="P333" s="1003"/>
      <c r="Q333" s="1003"/>
      <c r="R333" s="1003"/>
      <c r="S333" s="1003"/>
      <c r="T333" s="1003"/>
      <c r="U333" s="1003"/>
      <c r="V333" s="1003"/>
      <c r="W333" s="1003"/>
      <c r="X333" s="1003"/>
      <c r="Y333" s="1003"/>
      <c r="Z333" s="1003"/>
      <c r="AA333" s="1003"/>
      <c r="AB333" s="1003"/>
      <c r="AC333" s="1003"/>
      <c r="AD333" s="1003"/>
      <c r="AE333" s="1003"/>
      <c r="AF333" s="1003"/>
      <c r="AG333" s="1003"/>
      <c r="AH333" s="1003"/>
      <c r="AI333" s="1003"/>
      <c r="AJ333" s="1003"/>
      <c r="AK333" s="1003"/>
      <c r="AL333" s="1003"/>
      <c r="AM333" s="1003"/>
      <c r="AN333" s="1003"/>
      <c r="AO333" s="1003"/>
      <c r="AP333" s="1003"/>
      <c r="AQ333" s="1003"/>
      <c r="AR333" s="1003"/>
      <c r="AS333" s="1003"/>
      <c r="AT333" s="1003"/>
      <c r="AU333" s="1003"/>
      <c r="AV333" s="1003"/>
      <c r="AW333" s="1003"/>
      <c r="AX333" s="1003"/>
      <c r="AY333" s="1003"/>
      <c r="AZ333" s="1003"/>
      <c r="BA333" s="1003"/>
      <c r="BB333" s="1003"/>
      <c r="BC333" s="1003"/>
      <c r="BD333" s="1003"/>
      <c r="BE333" s="1003"/>
      <c r="BF333" s="1003"/>
      <c r="BG333" s="1003"/>
      <c r="BH333" s="1003"/>
      <c r="BI333" s="1003"/>
      <c r="BJ333" s="1003"/>
      <c r="BK333" s="1003"/>
      <c r="BL333" s="1003"/>
    </row>
    <row r="334" spans="1:64">
      <c r="A334" s="1818"/>
      <c r="B334" s="1048"/>
      <c r="C334" s="1817" t="s">
        <v>1123</v>
      </c>
      <c r="D334" s="1034">
        <v>0.72</v>
      </c>
      <c r="E334" s="1044" t="s">
        <v>1124</v>
      </c>
      <c r="F334" s="1001">
        <f>Input!$D$53</f>
        <v>108</v>
      </c>
      <c r="G334" s="1045">
        <v>1</v>
      </c>
      <c r="H334" s="1044" t="str">
        <f>E334</f>
        <v>Kl</v>
      </c>
      <c r="I334" s="1001">
        <f t="shared" si="36"/>
        <v>77.759999999999991</v>
      </c>
      <c r="J334" s="1002"/>
      <c r="K334" s="1002"/>
      <c r="L334" s="1002"/>
      <c r="M334" s="1003"/>
      <c r="N334" s="1003"/>
      <c r="O334" s="1003"/>
      <c r="P334" s="1003"/>
      <c r="Q334" s="1003"/>
      <c r="R334" s="1003"/>
      <c r="S334" s="1003"/>
      <c r="T334" s="1003"/>
      <c r="U334" s="1003"/>
      <c r="V334" s="1003"/>
      <c r="W334" s="1003"/>
      <c r="X334" s="1003"/>
      <c r="Y334" s="1003"/>
      <c r="Z334" s="1003"/>
      <c r="AA334" s="1003"/>
      <c r="AB334" s="1003"/>
      <c r="AC334" s="1003"/>
      <c r="AD334" s="1003"/>
      <c r="AE334" s="1003"/>
      <c r="AF334" s="1003"/>
      <c r="AG334" s="1003"/>
      <c r="AH334" s="1003"/>
      <c r="AI334" s="1003"/>
      <c r="AJ334" s="1003"/>
      <c r="AK334" s="1003"/>
      <c r="AL334" s="1003"/>
      <c r="AM334" s="1003"/>
      <c r="AN334" s="1003"/>
      <c r="AO334" s="1003"/>
      <c r="AP334" s="1003"/>
      <c r="AQ334" s="1003"/>
      <c r="AR334" s="1003"/>
      <c r="AS334" s="1003"/>
      <c r="AT334" s="1003"/>
      <c r="AU334" s="1003"/>
      <c r="AV334" s="1003"/>
      <c r="AW334" s="1003"/>
      <c r="AX334" s="1003"/>
      <c r="AY334" s="1003"/>
      <c r="AZ334" s="1003"/>
      <c r="BA334" s="1003"/>
      <c r="BB334" s="1003"/>
      <c r="BC334" s="1003"/>
      <c r="BD334" s="1003"/>
      <c r="BE334" s="1003"/>
      <c r="BF334" s="1003"/>
      <c r="BG334" s="1003"/>
      <c r="BH334" s="1003"/>
      <c r="BI334" s="1003"/>
      <c r="BJ334" s="1003"/>
      <c r="BK334" s="1003"/>
      <c r="BL334" s="1003"/>
    </row>
    <row r="335" spans="1:64">
      <c r="A335" s="1818"/>
      <c r="B335" s="1048"/>
      <c r="C335" s="1817"/>
      <c r="D335" s="1034"/>
      <c r="E335" s="1044"/>
      <c r="F335" s="1001"/>
      <c r="G335" s="1045"/>
      <c r="H335" s="1044"/>
      <c r="I335" s="1001">
        <f>SUM(I330:I334)</f>
        <v>5805.0800000000008</v>
      </c>
      <c r="J335" s="1002"/>
      <c r="K335" s="1002"/>
      <c r="L335" s="1002"/>
      <c r="M335" s="1003"/>
      <c r="N335" s="1003"/>
      <c r="O335" s="1003"/>
      <c r="P335" s="1003"/>
      <c r="Q335" s="1003"/>
      <c r="R335" s="1003"/>
      <c r="S335" s="1003"/>
      <c r="T335" s="1003"/>
      <c r="U335" s="1003"/>
      <c r="V335" s="1003"/>
      <c r="W335" s="1003"/>
      <c r="X335" s="1003"/>
      <c r="Y335" s="1003"/>
      <c r="Z335" s="1003"/>
      <c r="AA335" s="1003"/>
      <c r="AB335" s="1003"/>
      <c r="AC335" s="1003"/>
      <c r="AD335" s="1003"/>
      <c r="AE335" s="1003"/>
      <c r="AF335" s="1003"/>
      <c r="AG335" s="1003"/>
      <c r="AH335" s="1003"/>
      <c r="AI335" s="1003"/>
      <c r="AJ335" s="1003"/>
      <c r="AK335" s="1003"/>
      <c r="AL335" s="1003"/>
      <c r="AM335" s="1003"/>
      <c r="AN335" s="1003"/>
      <c r="AO335" s="1003"/>
      <c r="AP335" s="1003"/>
      <c r="AQ335" s="1003"/>
      <c r="AR335" s="1003"/>
      <c r="AS335" s="1003"/>
      <c r="AT335" s="1003"/>
      <c r="AU335" s="1003"/>
      <c r="AV335" s="1003"/>
      <c r="AW335" s="1003"/>
      <c r="AX335" s="1003"/>
      <c r="AY335" s="1003"/>
      <c r="AZ335" s="1003"/>
      <c r="BA335" s="1003"/>
      <c r="BB335" s="1003"/>
      <c r="BC335" s="1003"/>
      <c r="BD335" s="1003"/>
      <c r="BE335" s="1003"/>
      <c r="BF335" s="1003"/>
      <c r="BG335" s="1003"/>
      <c r="BH335" s="1003"/>
      <c r="BI335" s="1003"/>
      <c r="BJ335" s="1003"/>
      <c r="BK335" s="1003"/>
      <c r="BL335" s="1003"/>
    </row>
    <row r="336" spans="1:64">
      <c r="A336" s="1818"/>
      <c r="B336" s="1048"/>
      <c r="C336" s="1817" t="str">
        <f>Input!$C$48</f>
        <v>Overheads &amp; Contractors Profit @ 13.615%</v>
      </c>
      <c r="D336" s="1850">
        <f>Input!$D$48</f>
        <v>0.13614999999999999</v>
      </c>
      <c r="E336" s="1044"/>
      <c r="F336" s="1001">
        <f>I335</f>
        <v>5805.0800000000008</v>
      </c>
      <c r="G336" s="1045"/>
      <c r="H336" s="1071"/>
      <c r="I336" s="1001">
        <f>IF(G336="",D336*F336,(D336*F336/G336))</f>
        <v>790.36164200000007</v>
      </c>
      <c r="J336" s="1002"/>
      <c r="K336" s="1002"/>
      <c r="L336" s="1002"/>
      <c r="M336" s="1003"/>
      <c r="N336" s="1003"/>
      <c r="O336" s="1003"/>
      <c r="P336" s="1003"/>
      <c r="Q336" s="1003"/>
      <c r="R336" s="1003"/>
      <c r="S336" s="1003"/>
      <c r="T336" s="1003"/>
      <c r="U336" s="1003"/>
      <c r="V336" s="1003"/>
      <c r="W336" s="1003"/>
      <c r="X336" s="1003"/>
      <c r="Y336" s="1003"/>
      <c r="Z336" s="1003"/>
      <c r="AA336" s="1003"/>
      <c r="AB336" s="1003"/>
      <c r="AC336" s="1003"/>
      <c r="AD336" s="1003"/>
      <c r="AE336" s="1003"/>
      <c r="AF336" s="1003"/>
      <c r="AG336" s="1003"/>
      <c r="AH336" s="1003"/>
      <c r="AI336" s="1003"/>
      <c r="AJ336" s="1003"/>
      <c r="AK336" s="1003"/>
      <c r="AL336" s="1003"/>
      <c r="AM336" s="1003"/>
      <c r="AN336" s="1003"/>
      <c r="AO336" s="1003"/>
      <c r="AP336" s="1003"/>
      <c r="AQ336" s="1003"/>
      <c r="AR336" s="1003"/>
      <c r="AS336" s="1003"/>
      <c r="AT336" s="1003"/>
      <c r="AU336" s="1003"/>
      <c r="AV336" s="1003"/>
      <c r="AW336" s="1003"/>
      <c r="AX336" s="1003"/>
      <c r="AY336" s="1003"/>
      <c r="AZ336" s="1003"/>
      <c r="BA336" s="1003"/>
      <c r="BB336" s="1003"/>
      <c r="BC336" s="1003"/>
      <c r="BD336" s="1003"/>
      <c r="BE336" s="1003"/>
      <c r="BF336" s="1003"/>
      <c r="BG336" s="1003"/>
      <c r="BH336" s="1003"/>
      <c r="BI336" s="1003"/>
      <c r="BJ336" s="1003"/>
      <c r="BK336" s="1003"/>
      <c r="BL336" s="1003"/>
    </row>
    <row r="337" spans="1:64">
      <c r="A337" s="1818"/>
      <c r="B337" s="1048"/>
      <c r="C337" s="1816" t="s">
        <v>1125</v>
      </c>
      <c r="D337" s="1034"/>
      <c r="E337" s="1044"/>
      <c r="F337" s="1001"/>
      <c r="G337" s="1045"/>
      <c r="H337" s="1034" t="s">
        <v>1033</v>
      </c>
      <c r="I337" s="1001">
        <f>SUM(I335:I336)</f>
        <v>6595.4416420000007</v>
      </c>
      <c r="J337" s="1002"/>
      <c r="K337" s="1002"/>
      <c r="L337" s="1002"/>
      <c r="M337" s="1003"/>
      <c r="N337" s="1003"/>
      <c r="O337" s="1003"/>
      <c r="P337" s="1003"/>
      <c r="Q337" s="1003"/>
      <c r="R337" s="1003"/>
      <c r="S337" s="1003"/>
      <c r="T337" s="1003"/>
      <c r="U337" s="1003"/>
      <c r="V337" s="1003"/>
      <c r="W337" s="1003"/>
      <c r="X337" s="1003"/>
      <c r="Y337" s="1003"/>
      <c r="Z337" s="1003"/>
      <c r="AA337" s="1003"/>
      <c r="AB337" s="1003"/>
      <c r="AC337" s="1003"/>
      <c r="AD337" s="1003"/>
      <c r="AE337" s="1003"/>
      <c r="AF337" s="1003"/>
      <c r="AG337" s="1003"/>
      <c r="AH337" s="1003"/>
      <c r="AI337" s="1003"/>
      <c r="AJ337" s="1003"/>
      <c r="AK337" s="1003"/>
      <c r="AL337" s="1003"/>
      <c r="AM337" s="1003"/>
      <c r="AN337" s="1003"/>
      <c r="AO337" s="1003"/>
      <c r="AP337" s="1003"/>
      <c r="AQ337" s="1003"/>
      <c r="AR337" s="1003"/>
      <c r="AS337" s="1003"/>
      <c r="AT337" s="1003"/>
      <c r="AU337" s="1003"/>
      <c r="AV337" s="1003"/>
      <c r="AW337" s="1003"/>
      <c r="AX337" s="1003"/>
      <c r="AY337" s="1003"/>
      <c r="AZ337" s="1003"/>
      <c r="BA337" s="1003"/>
      <c r="BB337" s="1003"/>
      <c r="BC337" s="1003"/>
      <c r="BD337" s="1003"/>
      <c r="BE337" s="1003"/>
      <c r="BF337" s="1003"/>
      <c r="BG337" s="1003"/>
      <c r="BH337" s="1003"/>
      <c r="BI337" s="1003"/>
      <c r="BJ337" s="1003"/>
      <c r="BK337" s="1003"/>
      <c r="BL337" s="1003"/>
    </row>
    <row r="338" spans="1:64">
      <c r="A338" s="1818"/>
      <c r="B338" s="1048"/>
      <c r="C338" s="1816" t="s">
        <v>1032</v>
      </c>
      <c r="D338" s="1034"/>
      <c r="E338" s="1044"/>
      <c r="F338" s="1001"/>
      <c r="G338" s="1045"/>
      <c r="H338" s="1046" t="s">
        <v>1096</v>
      </c>
      <c r="I338" s="1009">
        <f>ROUND(I337/6,0)</f>
        <v>1099</v>
      </c>
      <c r="J338" s="1002"/>
      <c r="K338" s="1002"/>
      <c r="L338" s="1002"/>
      <c r="M338" s="1003"/>
      <c r="N338" s="1003"/>
      <c r="O338" s="1003"/>
      <c r="P338" s="1003"/>
      <c r="Q338" s="1003"/>
      <c r="R338" s="1003"/>
      <c r="S338" s="1003"/>
      <c r="T338" s="1003"/>
      <c r="U338" s="1003"/>
      <c r="V338" s="1003"/>
      <c r="W338" s="1003"/>
      <c r="X338" s="1003"/>
      <c r="Y338" s="1003"/>
      <c r="Z338" s="1003"/>
      <c r="AA338" s="1003"/>
      <c r="AB338" s="1003"/>
      <c r="AC338" s="1003"/>
      <c r="AD338" s="1003"/>
      <c r="AE338" s="1003"/>
      <c r="AF338" s="1003"/>
      <c r="AG338" s="1003"/>
      <c r="AH338" s="1003"/>
      <c r="AI338" s="1003"/>
      <c r="AJ338" s="1003"/>
      <c r="AK338" s="1003"/>
      <c r="AL338" s="1003"/>
      <c r="AM338" s="1003"/>
      <c r="AN338" s="1003"/>
      <c r="AO338" s="1003"/>
      <c r="AP338" s="1003"/>
      <c r="AQ338" s="1003"/>
      <c r="AR338" s="1003"/>
      <c r="AS338" s="1003"/>
      <c r="AT338" s="1003"/>
      <c r="AU338" s="1003"/>
      <c r="AV338" s="1003"/>
      <c r="AW338" s="1003"/>
      <c r="AX338" s="1003"/>
      <c r="AY338" s="1003"/>
      <c r="AZ338" s="1003"/>
      <c r="BA338" s="1003"/>
      <c r="BB338" s="1003"/>
      <c r="BC338" s="1003"/>
      <c r="BD338" s="1003"/>
      <c r="BE338" s="1003"/>
      <c r="BF338" s="1003"/>
      <c r="BG338" s="1003"/>
      <c r="BH338" s="1003"/>
      <c r="BI338" s="1003"/>
      <c r="BJ338" s="1003"/>
      <c r="BK338" s="1003"/>
      <c r="BL338" s="1003"/>
    </row>
    <row r="339" spans="1:64">
      <c r="A339" s="1818"/>
      <c r="B339" s="1048"/>
      <c r="C339" s="1816"/>
      <c r="D339" s="1034"/>
      <c r="E339" s="1044"/>
      <c r="F339" s="1001"/>
      <c r="G339" s="1045"/>
      <c r="H339" s="1047"/>
      <c r="I339" s="1009"/>
      <c r="J339" s="1002"/>
      <c r="K339" s="1002"/>
      <c r="L339" s="1002"/>
      <c r="M339" s="1003"/>
      <c r="N339" s="1003"/>
      <c r="O339" s="1003"/>
      <c r="P339" s="1003"/>
      <c r="Q339" s="1003"/>
      <c r="R339" s="1003"/>
      <c r="S339" s="1003"/>
      <c r="T339" s="1003"/>
      <c r="U339" s="1003"/>
      <c r="V339" s="1003"/>
      <c r="W339" s="1003"/>
      <c r="X339" s="1003"/>
      <c r="Y339" s="1003"/>
      <c r="Z339" s="1003"/>
      <c r="AA339" s="1003"/>
      <c r="AB339" s="1003"/>
      <c r="AC339" s="1003"/>
      <c r="AD339" s="1003"/>
      <c r="AE339" s="1003"/>
      <c r="AF339" s="1003"/>
      <c r="AG339" s="1003"/>
      <c r="AH339" s="1003"/>
      <c r="AI339" s="1003"/>
      <c r="AJ339" s="1003"/>
      <c r="AK339" s="1003"/>
      <c r="AL339" s="1003"/>
      <c r="AM339" s="1003"/>
      <c r="AN339" s="1003"/>
      <c r="AO339" s="1003"/>
      <c r="AP339" s="1003"/>
      <c r="AQ339" s="1003"/>
      <c r="AR339" s="1003"/>
      <c r="AS339" s="1003"/>
      <c r="AT339" s="1003"/>
      <c r="AU339" s="1003"/>
      <c r="AV339" s="1003"/>
      <c r="AW339" s="1003"/>
      <c r="AX339" s="1003"/>
      <c r="AY339" s="1003"/>
      <c r="AZ339" s="1003"/>
      <c r="BA339" s="1003"/>
      <c r="BB339" s="1003"/>
      <c r="BC339" s="1003"/>
      <c r="BD339" s="1003"/>
      <c r="BE339" s="1003"/>
      <c r="BF339" s="1003"/>
      <c r="BG339" s="1003"/>
      <c r="BH339" s="1003"/>
      <c r="BI339" s="1003"/>
      <c r="BJ339" s="1003"/>
      <c r="BK339" s="1003"/>
      <c r="BL339" s="1003"/>
    </row>
    <row r="340" spans="1:64" ht="68.25" customHeight="1">
      <c r="A340" s="2048">
        <f>1+A245</f>
        <v>7</v>
      </c>
      <c r="B340" s="2048"/>
      <c r="C340" s="2060" t="s">
        <v>3395</v>
      </c>
      <c r="D340" s="2060"/>
      <c r="E340" s="2060"/>
      <c r="F340" s="2060"/>
      <c r="G340" s="2060"/>
      <c r="H340" s="2060"/>
      <c r="I340" s="1816"/>
      <c r="J340" s="1083"/>
      <c r="K340" s="1083"/>
      <c r="L340" s="1083"/>
      <c r="M340" s="1084"/>
      <c r="N340" s="1084"/>
      <c r="O340" s="1084"/>
      <c r="P340" s="1084"/>
      <c r="Q340" s="1084"/>
      <c r="R340" s="1084"/>
      <c r="S340" s="1003"/>
      <c r="T340" s="1003"/>
      <c r="U340" s="1003"/>
      <c r="V340" s="1003"/>
      <c r="W340" s="1003"/>
      <c r="X340" s="1003"/>
      <c r="Y340" s="1003"/>
      <c r="Z340" s="1003"/>
      <c r="AA340" s="1003"/>
      <c r="AB340" s="1003"/>
      <c r="AC340" s="1003"/>
      <c r="AD340" s="1003"/>
      <c r="AE340" s="1003"/>
      <c r="AF340" s="1003"/>
      <c r="AG340" s="1003"/>
      <c r="AH340" s="1003"/>
      <c r="AI340" s="1003"/>
      <c r="AJ340" s="1003"/>
      <c r="AK340" s="1003"/>
      <c r="AL340" s="1003"/>
      <c r="AM340" s="1003"/>
      <c r="AN340" s="1003"/>
      <c r="AO340" s="1003"/>
      <c r="AP340" s="1003"/>
      <c r="AQ340" s="1003"/>
      <c r="AR340" s="1003"/>
      <c r="AS340" s="1003"/>
      <c r="AT340" s="1003"/>
      <c r="AU340" s="1003"/>
      <c r="AV340" s="1003"/>
      <c r="AW340" s="1003"/>
      <c r="AX340" s="1003"/>
      <c r="AY340" s="1003"/>
      <c r="AZ340" s="1003"/>
      <c r="BA340" s="1003"/>
      <c r="BB340" s="1003"/>
      <c r="BC340" s="1003"/>
      <c r="BD340" s="1003"/>
      <c r="BE340" s="1003"/>
      <c r="BF340" s="1003"/>
      <c r="BG340" s="1003"/>
      <c r="BH340" s="1003"/>
      <c r="BI340" s="1003"/>
      <c r="BJ340" s="1003"/>
      <c r="BK340" s="1003"/>
      <c r="BL340" s="1003"/>
    </row>
    <row r="341" spans="1:64" ht="25.5">
      <c r="A341" s="1818"/>
      <c r="B341" s="1048"/>
      <c r="C341" s="1078" t="s">
        <v>2648</v>
      </c>
      <c r="D341" s="1034"/>
      <c r="E341" s="1044"/>
      <c r="F341" s="1001"/>
      <c r="G341" s="1045"/>
      <c r="H341" s="1071"/>
      <c r="I341" s="1009"/>
      <c r="J341" s="1002"/>
      <c r="K341" s="1002"/>
      <c r="L341" s="1002"/>
      <c r="M341" s="1003"/>
      <c r="N341" s="1003"/>
      <c r="O341" s="1003"/>
      <c r="P341" s="1003"/>
      <c r="Q341" s="1003"/>
      <c r="R341" s="1003"/>
      <c r="S341" s="1003"/>
      <c r="T341" s="1003"/>
      <c r="U341" s="1003"/>
      <c r="V341" s="1003"/>
      <c r="W341" s="1003"/>
      <c r="X341" s="1003"/>
      <c r="Y341" s="1003"/>
      <c r="Z341" s="1003"/>
      <c r="AA341" s="1003"/>
      <c r="AB341" s="1003"/>
      <c r="AC341" s="1003"/>
      <c r="AD341" s="1003"/>
      <c r="AE341" s="1003"/>
      <c r="AF341" s="1003"/>
      <c r="AG341" s="1003"/>
      <c r="AH341" s="1003"/>
      <c r="AI341" s="1003"/>
      <c r="AJ341" s="1003"/>
      <c r="AK341" s="1003"/>
      <c r="AL341" s="1003"/>
      <c r="AM341" s="1003"/>
      <c r="AN341" s="1003"/>
      <c r="AO341" s="1003"/>
      <c r="AP341" s="1003"/>
      <c r="AQ341" s="1003"/>
      <c r="AR341" s="1003"/>
      <c r="AS341" s="1003"/>
      <c r="AT341" s="1003"/>
      <c r="AU341" s="1003"/>
      <c r="AV341" s="1003"/>
      <c r="AW341" s="1003"/>
      <c r="AX341" s="1003"/>
      <c r="AY341" s="1003"/>
      <c r="AZ341" s="1003"/>
      <c r="BA341" s="1003"/>
      <c r="BB341" s="1003"/>
      <c r="BC341" s="1003"/>
      <c r="BD341" s="1003"/>
      <c r="BE341" s="1003"/>
      <c r="BF341" s="1003"/>
      <c r="BG341" s="1003"/>
      <c r="BH341" s="1003"/>
      <c r="BI341" s="1003"/>
      <c r="BJ341" s="1003"/>
      <c r="BK341" s="1003"/>
      <c r="BL341" s="1003"/>
    </row>
    <row r="342" spans="1:64">
      <c r="A342" s="1818"/>
      <c r="B342" s="1048"/>
      <c r="C342" s="1816" t="s">
        <v>1069</v>
      </c>
      <c r="D342" s="1034"/>
      <c r="E342" s="1044"/>
      <c r="F342" s="1001"/>
      <c r="G342" s="1045"/>
      <c r="H342" s="1071"/>
      <c r="I342" s="1009"/>
      <c r="J342" s="1002"/>
      <c r="K342" s="1002"/>
      <c r="L342" s="1002"/>
      <c r="M342" s="1003"/>
      <c r="N342" s="1003"/>
      <c r="O342" s="1003"/>
      <c r="P342" s="1003"/>
      <c r="Q342" s="1003"/>
      <c r="R342" s="1003"/>
      <c r="S342" s="1003"/>
      <c r="T342" s="1003"/>
      <c r="U342" s="1003"/>
      <c r="V342" s="1003"/>
      <c r="W342" s="1003"/>
      <c r="X342" s="1003"/>
      <c r="Y342" s="1003"/>
      <c r="Z342" s="1003"/>
      <c r="AA342" s="1003"/>
      <c r="AB342" s="1003"/>
      <c r="AC342" s="1003"/>
      <c r="AD342" s="1003"/>
      <c r="AE342" s="1003"/>
      <c r="AF342" s="1003"/>
      <c r="AG342" s="1003"/>
      <c r="AH342" s="1003"/>
      <c r="AI342" s="1003"/>
      <c r="AJ342" s="1003"/>
      <c r="AK342" s="1003"/>
      <c r="AL342" s="1003"/>
      <c r="AM342" s="1003"/>
      <c r="AN342" s="1003"/>
      <c r="AO342" s="1003"/>
      <c r="AP342" s="1003"/>
      <c r="AQ342" s="1003"/>
      <c r="AR342" s="1003"/>
      <c r="AS342" s="1003"/>
      <c r="AT342" s="1003"/>
      <c r="AU342" s="1003"/>
      <c r="AV342" s="1003"/>
      <c r="AW342" s="1003"/>
      <c r="AX342" s="1003"/>
      <c r="AY342" s="1003"/>
      <c r="AZ342" s="1003"/>
      <c r="BA342" s="1003"/>
      <c r="BB342" s="1003"/>
      <c r="BC342" s="1003"/>
      <c r="BD342" s="1003"/>
      <c r="BE342" s="1003"/>
      <c r="BF342" s="1003"/>
      <c r="BG342" s="1003"/>
      <c r="BH342" s="1003"/>
      <c r="BI342" s="1003"/>
      <c r="BJ342" s="1003"/>
      <c r="BK342" s="1003"/>
      <c r="BL342" s="1003"/>
    </row>
    <row r="343" spans="1:64" ht="25.5">
      <c r="A343" s="1818"/>
      <c r="B343" s="1048"/>
      <c r="C343" s="1078" t="s">
        <v>1126</v>
      </c>
      <c r="D343" s="1034"/>
      <c r="E343" s="1044"/>
      <c r="F343" s="1001"/>
      <c r="G343" s="1045"/>
      <c r="H343" s="1071"/>
      <c r="I343" s="1009"/>
      <c r="J343" s="1002"/>
      <c r="K343" s="1002"/>
      <c r="L343" s="1002"/>
      <c r="M343" s="1003"/>
      <c r="N343" s="1003"/>
      <c r="O343" s="1003"/>
      <c r="P343" s="1003"/>
      <c r="Q343" s="1003"/>
      <c r="R343" s="1003"/>
      <c r="S343" s="1003"/>
      <c r="T343" s="1003"/>
      <c r="U343" s="1003"/>
      <c r="V343" s="1003"/>
      <c r="W343" s="1003"/>
      <c r="X343" s="1003"/>
      <c r="Y343" s="1003"/>
      <c r="Z343" s="1003"/>
      <c r="AA343" s="1003"/>
      <c r="AB343" s="1003"/>
      <c r="AC343" s="1003"/>
      <c r="AD343" s="1003"/>
      <c r="AE343" s="1003"/>
      <c r="AF343" s="1003"/>
      <c r="AG343" s="1003"/>
      <c r="AH343" s="1003"/>
      <c r="AI343" s="1003"/>
      <c r="AJ343" s="1003"/>
      <c r="AK343" s="1003"/>
      <c r="AL343" s="1003"/>
      <c r="AM343" s="1003"/>
      <c r="AN343" s="1003"/>
      <c r="AO343" s="1003"/>
      <c r="AP343" s="1003"/>
      <c r="AQ343" s="1003"/>
      <c r="AR343" s="1003"/>
      <c r="AS343" s="1003"/>
      <c r="AT343" s="1003"/>
      <c r="AU343" s="1003"/>
      <c r="AV343" s="1003"/>
      <c r="AW343" s="1003"/>
      <c r="AX343" s="1003"/>
      <c r="AY343" s="1003"/>
      <c r="AZ343" s="1003"/>
      <c r="BA343" s="1003"/>
      <c r="BB343" s="1003"/>
      <c r="BC343" s="1003"/>
      <c r="BD343" s="1003"/>
      <c r="BE343" s="1003"/>
      <c r="BF343" s="1003"/>
      <c r="BG343" s="1003"/>
      <c r="BH343" s="1003"/>
      <c r="BI343" s="1003"/>
      <c r="BJ343" s="1003"/>
      <c r="BK343" s="1003"/>
      <c r="BL343" s="1003"/>
    </row>
    <row r="344" spans="1:64">
      <c r="A344" s="1818"/>
      <c r="B344" s="1048"/>
      <c r="C344" s="1816" t="s">
        <v>1127</v>
      </c>
      <c r="D344" s="1034"/>
      <c r="E344" s="1044"/>
      <c r="F344" s="1001"/>
      <c r="G344" s="1045"/>
      <c r="H344" s="1071"/>
      <c r="I344" s="1009"/>
      <c r="J344" s="1002"/>
      <c r="K344" s="1002"/>
      <c r="L344" s="1002"/>
      <c r="M344" s="1003"/>
      <c r="N344" s="1003"/>
      <c r="O344" s="1003"/>
      <c r="P344" s="1003"/>
      <c r="Q344" s="1003"/>
      <c r="R344" s="1003"/>
      <c r="S344" s="1003"/>
      <c r="T344" s="1003"/>
      <c r="U344" s="1003"/>
      <c r="V344" s="1003"/>
      <c r="W344" s="1003"/>
      <c r="X344" s="1003"/>
      <c r="Y344" s="1003"/>
      <c r="Z344" s="1003"/>
      <c r="AA344" s="1003"/>
      <c r="AB344" s="1003"/>
      <c r="AC344" s="1003"/>
      <c r="AD344" s="1003"/>
      <c r="AE344" s="1003"/>
      <c r="AF344" s="1003"/>
      <c r="AG344" s="1003"/>
      <c r="AH344" s="1003"/>
      <c r="AI344" s="1003"/>
      <c r="AJ344" s="1003"/>
      <c r="AK344" s="1003"/>
      <c r="AL344" s="1003"/>
      <c r="AM344" s="1003"/>
      <c r="AN344" s="1003"/>
      <c r="AO344" s="1003"/>
      <c r="AP344" s="1003"/>
      <c r="AQ344" s="1003"/>
      <c r="AR344" s="1003"/>
      <c r="AS344" s="1003"/>
      <c r="AT344" s="1003"/>
      <c r="AU344" s="1003"/>
      <c r="AV344" s="1003"/>
      <c r="AW344" s="1003"/>
      <c r="AX344" s="1003"/>
      <c r="AY344" s="1003"/>
      <c r="AZ344" s="1003"/>
      <c r="BA344" s="1003"/>
      <c r="BB344" s="1003"/>
      <c r="BC344" s="1003"/>
      <c r="BD344" s="1003"/>
      <c r="BE344" s="1003"/>
      <c r="BF344" s="1003"/>
      <c r="BG344" s="1003"/>
      <c r="BH344" s="1003"/>
      <c r="BI344" s="1003"/>
      <c r="BJ344" s="1003"/>
      <c r="BK344" s="1003"/>
      <c r="BL344" s="1003"/>
    </row>
    <row r="345" spans="1:64">
      <c r="A345" s="1818"/>
      <c r="B345" s="1048"/>
      <c r="C345" s="1816" t="s">
        <v>1128</v>
      </c>
      <c r="D345" s="1034"/>
      <c r="E345" s="1044"/>
      <c r="F345" s="1001"/>
      <c r="G345" s="1045"/>
      <c r="H345" s="1071"/>
      <c r="I345" s="1009"/>
      <c r="J345" s="1002"/>
      <c r="K345" s="1002"/>
      <c r="L345" s="1002"/>
      <c r="M345" s="1003"/>
      <c r="N345" s="1003"/>
      <c r="O345" s="1003"/>
      <c r="P345" s="1003"/>
      <c r="Q345" s="1003"/>
      <c r="R345" s="1003"/>
      <c r="S345" s="1003"/>
      <c r="T345" s="1003"/>
      <c r="U345" s="1003"/>
      <c r="V345" s="1003"/>
      <c r="W345" s="1003"/>
      <c r="X345" s="1003"/>
      <c r="Y345" s="1003"/>
      <c r="Z345" s="1003"/>
      <c r="AA345" s="1003"/>
      <c r="AB345" s="1003"/>
      <c r="AC345" s="1003"/>
      <c r="AD345" s="1003"/>
      <c r="AE345" s="1003"/>
      <c r="AF345" s="1003"/>
      <c r="AG345" s="1003"/>
      <c r="AH345" s="1003"/>
      <c r="AI345" s="1003"/>
      <c r="AJ345" s="1003"/>
      <c r="AK345" s="1003"/>
      <c r="AL345" s="1003"/>
      <c r="AM345" s="1003"/>
      <c r="AN345" s="1003"/>
      <c r="AO345" s="1003"/>
      <c r="AP345" s="1003"/>
      <c r="AQ345" s="1003"/>
      <c r="AR345" s="1003"/>
      <c r="AS345" s="1003"/>
      <c r="AT345" s="1003"/>
      <c r="AU345" s="1003"/>
      <c r="AV345" s="1003"/>
      <c r="AW345" s="1003"/>
      <c r="AX345" s="1003"/>
      <c r="AY345" s="1003"/>
      <c r="AZ345" s="1003"/>
      <c r="BA345" s="1003"/>
      <c r="BB345" s="1003"/>
      <c r="BC345" s="1003"/>
      <c r="BD345" s="1003"/>
      <c r="BE345" s="1003"/>
      <c r="BF345" s="1003"/>
      <c r="BG345" s="1003"/>
      <c r="BH345" s="1003"/>
      <c r="BI345" s="1003"/>
      <c r="BJ345" s="1003"/>
      <c r="BK345" s="1003"/>
      <c r="BL345" s="1003"/>
    </row>
    <row r="346" spans="1:64">
      <c r="A346" s="1818"/>
      <c r="B346" s="1048"/>
      <c r="C346" s="1817" t="s">
        <v>1129</v>
      </c>
      <c r="D346" s="1034">
        <v>10</v>
      </c>
      <c r="E346" s="1044" t="s">
        <v>75</v>
      </c>
      <c r="F346" s="1001">
        <f>LEAD!$N$25</f>
        <v>215.39</v>
      </c>
      <c r="G346" s="1045">
        <v>1</v>
      </c>
      <c r="H346" s="1044" t="s">
        <v>75</v>
      </c>
      <c r="I346" s="1001">
        <f>IF(G346="",D346*F346,(D346*F346/G346))</f>
        <v>2153.8999999999996</v>
      </c>
      <c r="J346" s="1002"/>
      <c r="K346" s="1002"/>
      <c r="L346" s="1002"/>
      <c r="M346" s="1003"/>
      <c r="N346" s="1003"/>
      <c r="O346" s="1003"/>
      <c r="P346" s="1003"/>
      <c r="Q346" s="1003"/>
      <c r="R346" s="1003"/>
      <c r="S346" s="1003"/>
      <c r="T346" s="1003"/>
      <c r="U346" s="1003"/>
      <c r="V346" s="1003"/>
      <c r="W346" s="1003"/>
      <c r="X346" s="1003"/>
      <c r="Y346" s="1003"/>
      <c r="Z346" s="1003"/>
      <c r="AA346" s="1003"/>
      <c r="AB346" s="1003"/>
      <c r="AC346" s="1003"/>
      <c r="AD346" s="1003"/>
      <c r="AE346" s="1003"/>
      <c r="AF346" s="1003"/>
      <c r="AG346" s="1003"/>
      <c r="AH346" s="1003"/>
      <c r="AI346" s="1003"/>
      <c r="AJ346" s="1003"/>
      <c r="AK346" s="1003"/>
      <c r="AL346" s="1003"/>
      <c r="AM346" s="1003"/>
      <c r="AN346" s="1003"/>
      <c r="AO346" s="1003"/>
      <c r="AP346" s="1003"/>
      <c r="AQ346" s="1003"/>
      <c r="AR346" s="1003"/>
      <c r="AS346" s="1003"/>
      <c r="AT346" s="1003"/>
      <c r="AU346" s="1003"/>
      <c r="AV346" s="1003"/>
      <c r="AW346" s="1003"/>
      <c r="AX346" s="1003"/>
      <c r="AY346" s="1003"/>
      <c r="AZ346" s="1003"/>
      <c r="BA346" s="1003"/>
      <c r="BB346" s="1003"/>
      <c r="BC346" s="1003"/>
      <c r="BD346" s="1003"/>
      <c r="BE346" s="1003"/>
      <c r="BF346" s="1003"/>
      <c r="BG346" s="1003"/>
      <c r="BH346" s="1003"/>
      <c r="BI346" s="1003"/>
      <c r="BJ346" s="1003"/>
      <c r="BK346" s="1003"/>
      <c r="BL346" s="1003"/>
    </row>
    <row r="347" spans="1:64">
      <c r="A347" s="1818"/>
      <c r="B347" s="1048"/>
      <c r="C347" s="1817"/>
      <c r="D347" s="1034"/>
      <c r="E347" s="1044"/>
      <c r="F347" s="1001"/>
      <c r="G347" s="1045"/>
      <c r="H347" s="1044"/>
      <c r="I347" s="1001"/>
      <c r="J347" s="1002"/>
      <c r="K347" s="1002"/>
      <c r="L347" s="1002"/>
      <c r="M347" s="1003"/>
      <c r="N347" s="1003"/>
      <c r="O347" s="1003"/>
      <c r="P347" s="1003"/>
      <c r="Q347" s="1003"/>
      <c r="R347" s="1003"/>
      <c r="S347" s="1003"/>
      <c r="T347" s="1003"/>
      <c r="U347" s="1003"/>
      <c r="V347" s="1003"/>
      <c r="W347" s="1003"/>
      <c r="X347" s="1003"/>
      <c r="Y347" s="1003"/>
      <c r="Z347" s="1003"/>
      <c r="AA347" s="1003"/>
      <c r="AB347" s="1003"/>
      <c r="AC347" s="1003"/>
      <c r="AD347" s="1003"/>
      <c r="AE347" s="1003"/>
      <c r="AF347" s="1003"/>
      <c r="AG347" s="1003"/>
      <c r="AH347" s="1003"/>
      <c r="AI347" s="1003"/>
      <c r="AJ347" s="1003"/>
      <c r="AK347" s="1003"/>
      <c r="AL347" s="1003"/>
      <c r="AM347" s="1003"/>
      <c r="AN347" s="1003"/>
      <c r="AO347" s="1003"/>
      <c r="AP347" s="1003"/>
      <c r="AQ347" s="1003"/>
      <c r="AR347" s="1003"/>
      <c r="AS347" s="1003"/>
      <c r="AT347" s="1003"/>
      <c r="AU347" s="1003"/>
      <c r="AV347" s="1003"/>
      <c r="AW347" s="1003"/>
      <c r="AX347" s="1003"/>
      <c r="AY347" s="1003"/>
      <c r="AZ347" s="1003"/>
      <c r="BA347" s="1003"/>
      <c r="BB347" s="1003"/>
      <c r="BC347" s="1003"/>
      <c r="BD347" s="1003"/>
      <c r="BE347" s="1003"/>
      <c r="BF347" s="1003"/>
      <c r="BG347" s="1003"/>
      <c r="BH347" s="1003"/>
      <c r="BI347" s="1003"/>
      <c r="BJ347" s="1003"/>
      <c r="BK347" s="1003"/>
      <c r="BL347" s="1003"/>
    </row>
    <row r="348" spans="1:64">
      <c r="A348" s="1818"/>
      <c r="B348" s="1048"/>
      <c r="C348" s="1816" t="s">
        <v>1071</v>
      </c>
      <c r="D348" s="1034"/>
      <c r="E348" s="1044"/>
      <c r="F348" s="1001"/>
      <c r="G348" s="1045"/>
      <c r="H348" s="1071"/>
      <c r="I348" s="1009"/>
      <c r="J348" s="1002"/>
      <c r="K348" s="1002"/>
      <c r="L348" s="1002"/>
      <c r="M348" s="1003"/>
      <c r="N348" s="1003"/>
      <c r="O348" s="1003"/>
      <c r="P348" s="1003"/>
      <c r="Q348" s="1003"/>
      <c r="R348" s="1003"/>
      <c r="S348" s="1003"/>
      <c r="T348" s="1003"/>
      <c r="U348" s="1003"/>
      <c r="V348" s="1003"/>
      <c r="W348" s="1003"/>
      <c r="X348" s="1003"/>
      <c r="Y348" s="1003"/>
      <c r="Z348" s="1003"/>
      <c r="AA348" s="1003"/>
      <c r="AB348" s="1003"/>
      <c r="AC348" s="1003"/>
      <c r="AD348" s="1003"/>
      <c r="AE348" s="1003"/>
      <c r="AF348" s="1003"/>
      <c r="AG348" s="1003"/>
      <c r="AH348" s="1003"/>
      <c r="AI348" s="1003"/>
      <c r="AJ348" s="1003"/>
      <c r="AK348" s="1003"/>
      <c r="AL348" s="1003"/>
      <c r="AM348" s="1003"/>
      <c r="AN348" s="1003"/>
      <c r="AO348" s="1003"/>
      <c r="AP348" s="1003"/>
      <c r="AQ348" s="1003"/>
      <c r="AR348" s="1003"/>
      <c r="AS348" s="1003"/>
      <c r="AT348" s="1003"/>
      <c r="AU348" s="1003"/>
      <c r="AV348" s="1003"/>
      <c r="AW348" s="1003"/>
      <c r="AX348" s="1003"/>
      <c r="AY348" s="1003"/>
      <c r="AZ348" s="1003"/>
      <c r="BA348" s="1003"/>
      <c r="BB348" s="1003"/>
      <c r="BC348" s="1003"/>
      <c r="BD348" s="1003"/>
      <c r="BE348" s="1003"/>
      <c r="BF348" s="1003"/>
      <c r="BG348" s="1003"/>
      <c r="BH348" s="1003"/>
      <c r="BI348" s="1003"/>
      <c r="BJ348" s="1003"/>
      <c r="BK348" s="1003"/>
      <c r="BL348" s="1003"/>
    </row>
    <row r="349" spans="1:64">
      <c r="A349" s="1818"/>
      <c r="B349" s="1048"/>
      <c r="C349" s="1817" t="s">
        <v>1130</v>
      </c>
      <c r="D349" s="1034">
        <v>0.2</v>
      </c>
      <c r="E349" s="1044" t="s">
        <v>36</v>
      </c>
      <c r="F349" s="1001">
        <f>'Civil-SOR'!$G$304</f>
        <v>550</v>
      </c>
      <c r="G349" s="1045">
        <v>1</v>
      </c>
      <c r="H349" s="1044" t="s">
        <v>39</v>
      </c>
      <c r="I349" s="1001">
        <f t="shared" ref="I349:I353" si="37">IF(G349="",D349*F349,(D349*F349/G349))</f>
        <v>110</v>
      </c>
      <c r="J349" s="1002"/>
      <c r="K349" s="1002"/>
      <c r="L349" s="1002"/>
      <c r="M349" s="1003"/>
      <c r="N349" s="1003"/>
      <c r="O349" s="1003"/>
      <c r="P349" s="1003"/>
      <c r="Q349" s="1003"/>
      <c r="R349" s="1003"/>
      <c r="S349" s="1003"/>
      <c r="T349" s="1003"/>
      <c r="U349" s="1003"/>
      <c r="V349" s="1003"/>
      <c r="W349" s="1003"/>
      <c r="X349" s="1003"/>
      <c r="Y349" s="1003"/>
      <c r="Z349" s="1003"/>
      <c r="AA349" s="1003"/>
      <c r="AB349" s="1003"/>
      <c r="AC349" s="1003"/>
      <c r="AD349" s="1003"/>
      <c r="AE349" s="1003"/>
      <c r="AF349" s="1003"/>
      <c r="AG349" s="1003"/>
      <c r="AH349" s="1003"/>
      <c r="AI349" s="1003"/>
      <c r="AJ349" s="1003"/>
      <c r="AK349" s="1003"/>
      <c r="AL349" s="1003"/>
      <c r="AM349" s="1003"/>
      <c r="AN349" s="1003"/>
      <c r="AO349" s="1003"/>
      <c r="AP349" s="1003"/>
      <c r="AQ349" s="1003"/>
      <c r="AR349" s="1003"/>
      <c r="AS349" s="1003"/>
      <c r="AT349" s="1003"/>
      <c r="AU349" s="1003"/>
      <c r="AV349" s="1003"/>
      <c r="AW349" s="1003"/>
      <c r="AX349" s="1003"/>
      <c r="AY349" s="1003"/>
      <c r="AZ349" s="1003"/>
      <c r="BA349" s="1003"/>
      <c r="BB349" s="1003"/>
      <c r="BC349" s="1003"/>
      <c r="BD349" s="1003"/>
      <c r="BE349" s="1003"/>
      <c r="BF349" s="1003"/>
      <c r="BG349" s="1003"/>
      <c r="BH349" s="1003"/>
      <c r="BI349" s="1003"/>
      <c r="BJ349" s="1003"/>
      <c r="BK349" s="1003"/>
      <c r="BL349" s="1003"/>
    </row>
    <row r="350" spans="1:64">
      <c r="A350" s="1818"/>
      <c r="B350" s="1048"/>
      <c r="C350" s="1817" t="s">
        <v>1120</v>
      </c>
      <c r="D350" s="1034">
        <v>2.5</v>
      </c>
      <c r="E350" s="1044" t="s">
        <v>36</v>
      </c>
      <c r="F350" s="1001">
        <f>'Civil-SOR'!$G$307</f>
        <v>520</v>
      </c>
      <c r="G350" s="1045">
        <v>1</v>
      </c>
      <c r="H350" s="1044" t="s">
        <v>39</v>
      </c>
      <c r="I350" s="1001">
        <f t="shared" si="37"/>
        <v>1300</v>
      </c>
      <c r="J350" s="1002"/>
      <c r="K350" s="1002"/>
      <c r="L350" s="1002"/>
      <c r="M350" s="1003"/>
      <c r="N350" s="1003"/>
      <c r="O350" s="1003"/>
      <c r="P350" s="1003"/>
      <c r="Q350" s="1003"/>
      <c r="R350" s="1003"/>
      <c r="S350" s="1003"/>
      <c r="T350" s="1003"/>
      <c r="U350" s="1003"/>
      <c r="V350" s="1003"/>
      <c r="W350" s="1003"/>
      <c r="X350" s="1003"/>
      <c r="Y350" s="1003"/>
      <c r="Z350" s="1003"/>
      <c r="AA350" s="1003"/>
      <c r="AB350" s="1003"/>
      <c r="AC350" s="1003"/>
      <c r="AD350" s="1003"/>
      <c r="AE350" s="1003"/>
      <c r="AF350" s="1003"/>
      <c r="AG350" s="1003"/>
      <c r="AH350" s="1003"/>
      <c r="AI350" s="1003"/>
      <c r="AJ350" s="1003"/>
      <c r="AK350" s="1003"/>
      <c r="AL350" s="1003"/>
      <c r="AM350" s="1003"/>
      <c r="AN350" s="1003"/>
      <c r="AO350" s="1003"/>
      <c r="AP350" s="1003"/>
      <c r="AQ350" s="1003"/>
      <c r="AR350" s="1003"/>
      <c r="AS350" s="1003"/>
      <c r="AT350" s="1003"/>
      <c r="AU350" s="1003"/>
      <c r="AV350" s="1003"/>
      <c r="AW350" s="1003"/>
      <c r="AX350" s="1003"/>
      <c r="AY350" s="1003"/>
      <c r="AZ350" s="1003"/>
      <c r="BA350" s="1003"/>
      <c r="BB350" s="1003"/>
      <c r="BC350" s="1003"/>
      <c r="BD350" s="1003"/>
      <c r="BE350" s="1003"/>
      <c r="BF350" s="1003"/>
      <c r="BG350" s="1003"/>
      <c r="BH350" s="1003"/>
      <c r="BI350" s="1003"/>
      <c r="BJ350" s="1003"/>
      <c r="BK350" s="1003"/>
      <c r="BL350" s="1003"/>
    </row>
    <row r="351" spans="1:64">
      <c r="A351" s="1818"/>
      <c r="B351" s="1048"/>
      <c r="C351" s="1817" t="s">
        <v>539</v>
      </c>
      <c r="D351" s="1034">
        <v>0.2</v>
      </c>
      <c r="E351" s="1044" t="s">
        <v>36</v>
      </c>
      <c r="F351" s="1001">
        <f>'Civil-SOR'!$G$305</f>
        <v>550</v>
      </c>
      <c r="G351" s="1045">
        <v>1</v>
      </c>
      <c r="H351" s="1044" t="s">
        <v>39</v>
      </c>
      <c r="I351" s="1001">
        <f t="shared" si="37"/>
        <v>110</v>
      </c>
      <c r="J351" s="1002"/>
      <c r="K351" s="1002"/>
      <c r="L351" s="1002"/>
      <c r="M351" s="1003"/>
      <c r="N351" s="1003"/>
      <c r="O351" s="1003"/>
      <c r="P351" s="1003"/>
      <c r="Q351" s="1003"/>
      <c r="R351" s="1003"/>
      <c r="S351" s="1003"/>
      <c r="T351" s="1003"/>
      <c r="U351" s="1003"/>
      <c r="V351" s="1003"/>
      <c r="W351" s="1003"/>
      <c r="X351" s="1003"/>
      <c r="Y351" s="1003"/>
      <c r="Z351" s="1003"/>
      <c r="AA351" s="1003"/>
      <c r="AB351" s="1003"/>
      <c r="AC351" s="1003"/>
      <c r="AD351" s="1003"/>
      <c r="AE351" s="1003"/>
      <c r="AF351" s="1003"/>
      <c r="AG351" s="1003"/>
      <c r="AH351" s="1003"/>
      <c r="AI351" s="1003"/>
      <c r="AJ351" s="1003"/>
      <c r="AK351" s="1003"/>
      <c r="AL351" s="1003"/>
      <c r="AM351" s="1003"/>
      <c r="AN351" s="1003"/>
      <c r="AO351" s="1003"/>
      <c r="AP351" s="1003"/>
      <c r="AQ351" s="1003"/>
      <c r="AR351" s="1003"/>
      <c r="AS351" s="1003"/>
      <c r="AT351" s="1003"/>
      <c r="AU351" s="1003"/>
      <c r="AV351" s="1003"/>
      <c r="AW351" s="1003"/>
      <c r="AX351" s="1003"/>
      <c r="AY351" s="1003"/>
      <c r="AZ351" s="1003"/>
      <c r="BA351" s="1003"/>
      <c r="BB351" s="1003"/>
      <c r="BC351" s="1003"/>
      <c r="BD351" s="1003"/>
      <c r="BE351" s="1003"/>
      <c r="BF351" s="1003"/>
      <c r="BG351" s="1003"/>
      <c r="BH351" s="1003"/>
      <c r="BI351" s="1003"/>
      <c r="BJ351" s="1003"/>
      <c r="BK351" s="1003"/>
      <c r="BL351" s="1003"/>
    </row>
    <row r="352" spans="1:64">
      <c r="A352" s="1818"/>
      <c r="B352" s="1048"/>
      <c r="C352" s="1817" t="str">
        <f>Input!$C$47</f>
        <v>Add for MA @ 40%</v>
      </c>
      <c r="D352" s="1034">
        <f>Input!$D$47</f>
        <v>0.4</v>
      </c>
      <c r="E352" s="1044"/>
      <c r="F352" s="1001">
        <f>SUM(I349:I351)</f>
        <v>1520</v>
      </c>
      <c r="G352" s="1045"/>
      <c r="H352" s="1044"/>
      <c r="I352" s="1001">
        <f t="shared" si="37"/>
        <v>608</v>
      </c>
      <c r="J352" s="1002"/>
      <c r="K352" s="1002"/>
      <c r="L352" s="1002"/>
      <c r="M352" s="1003"/>
      <c r="N352" s="1003"/>
      <c r="O352" s="1003"/>
      <c r="P352" s="1003"/>
      <c r="Q352" s="1003"/>
      <c r="R352" s="1003"/>
      <c r="S352" s="1003"/>
      <c r="T352" s="1003"/>
      <c r="U352" s="1003"/>
      <c r="V352" s="1003"/>
      <c r="W352" s="1003"/>
      <c r="X352" s="1003"/>
      <c r="Y352" s="1003"/>
      <c r="Z352" s="1003"/>
      <c r="AA352" s="1003"/>
      <c r="AB352" s="1003"/>
      <c r="AC352" s="1003"/>
      <c r="AD352" s="1003"/>
      <c r="AE352" s="1003"/>
      <c r="AF352" s="1003"/>
      <c r="AG352" s="1003"/>
      <c r="AH352" s="1003"/>
      <c r="AI352" s="1003"/>
      <c r="AJ352" s="1003"/>
      <c r="AK352" s="1003"/>
      <c r="AL352" s="1003"/>
      <c r="AM352" s="1003"/>
      <c r="AN352" s="1003"/>
      <c r="AO352" s="1003"/>
      <c r="AP352" s="1003"/>
      <c r="AQ352" s="1003"/>
      <c r="AR352" s="1003"/>
      <c r="AS352" s="1003"/>
      <c r="AT352" s="1003"/>
      <c r="AU352" s="1003"/>
      <c r="AV352" s="1003"/>
      <c r="AW352" s="1003"/>
      <c r="AX352" s="1003"/>
      <c r="AY352" s="1003"/>
      <c r="AZ352" s="1003"/>
      <c r="BA352" s="1003"/>
      <c r="BB352" s="1003"/>
      <c r="BC352" s="1003"/>
      <c r="BD352" s="1003"/>
      <c r="BE352" s="1003"/>
      <c r="BF352" s="1003"/>
      <c r="BG352" s="1003"/>
      <c r="BH352" s="1003"/>
      <c r="BI352" s="1003"/>
      <c r="BJ352" s="1003"/>
      <c r="BK352" s="1003"/>
      <c r="BL352" s="1003"/>
    </row>
    <row r="353" spans="1:64">
      <c r="A353" s="1818"/>
      <c r="B353" s="1048"/>
      <c r="C353" s="1817" t="s">
        <v>1131</v>
      </c>
      <c r="D353" s="1034">
        <f>1/100</f>
        <v>0.01</v>
      </c>
      <c r="E353" s="1044"/>
      <c r="F353" s="1001">
        <f>SUM(I346:I352)</f>
        <v>4281.8999999999996</v>
      </c>
      <c r="G353" s="1045"/>
      <c r="H353" s="1044"/>
      <c r="I353" s="1001">
        <f t="shared" si="37"/>
        <v>42.818999999999996</v>
      </c>
      <c r="J353" s="1002"/>
      <c r="K353" s="1002"/>
      <c r="L353" s="1002"/>
      <c r="M353" s="1003"/>
      <c r="N353" s="1003"/>
      <c r="O353" s="1003"/>
      <c r="P353" s="1003"/>
      <c r="Q353" s="1003"/>
      <c r="R353" s="1003"/>
      <c r="S353" s="1003"/>
      <c r="T353" s="1003"/>
      <c r="U353" s="1003"/>
      <c r="V353" s="1003"/>
      <c r="W353" s="1003"/>
      <c r="X353" s="1003"/>
      <c r="Y353" s="1003"/>
      <c r="Z353" s="1003"/>
      <c r="AA353" s="1003"/>
      <c r="AB353" s="1003"/>
      <c r="AC353" s="1003"/>
      <c r="AD353" s="1003"/>
      <c r="AE353" s="1003"/>
      <c r="AF353" s="1003"/>
      <c r="AG353" s="1003"/>
      <c r="AH353" s="1003"/>
      <c r="AI353" s="1003"/>
      <c r="AJ353" s="1003"/>
      <c r="AK353" s="1003"/>
      <c r="AL353" s="1003"/>
      <c r="AM353" s="1003"/>
      <c r="AN353" s="1003"/>
      <c r="AO353" s="1003"/>
      <c r="AP353" s="1003"/>
      <c r="AQ353" s="1003"/>
      <c r="AR353" s="1003"/>
      <c r="AS353" s="1003"/>
      <c r="AT353" s="1003"/>
      <c r="AU353" s="1003"/>
      <c r="AV353" s="1003"/>
      <c r="AW353" s="1003"/>
      <c r="AX353" s="1003"/>
      <c r="AY353" s="1003"/>
      <c r="AZ353" s="1003"/>
      <c r="BA353" s="1003"/>
      <c r="BB353" s="1003"/>
      <c r="BC353" s="1003"/>
      <c r="BD353" s="1003"/>
      <c r="BE353" s="1003"/>
      <c r="BF353" s="1003"/>
      <c r="BG353" s="1003"/>
      <c r="BH353" s="1003"/>
      <c r="BI353" s="1003"/>
      <c r="BJ353" s="1003"/>
      <c r="BK353" s="1003"/>
      <c r="BL353" s="1003"/>
    </row>
    <row r="354" spans="1:64">
      <c r="A354" s="1818"/>
      <c r="B354" s="1048"/>
      <c r="C354" s="1816" t="s">
        <v>1132</v>
      </c>
      <c r="D354" s="1034"/>
      <c r="E354" s="1044"/>
      <c r="F354" s="1001"/>
      <c r="G354" s="1045"/>
      <c r="H354" s="1044"/>
      <c r="I354" s="1009">
        <f>SUM(I346:I353)</f>
        <v>4324.7190000000001</v>
      </c>
      <c r="J354" s="1002"/>
      <c r="K354" s="1002"/>
      <c r="L354" s="1002"/>
      <c r="M354" s="1003"/>
      <c r="N354" s="1003"/>
      <c r="O354" s="1003"/>
      <c r="P354" s="1003"/>
      <c r="Q354" s="1003"/>
      <c r="R354" s="1003"/>
      <c r="S354" s="1003"/>
      <c r="T354" s="1003"/>
      <c r="U354" s="1003"/>
      <c r="V354" s="1003"/>
      <c r="W354" s="1003"/>
      <c r="X354" s="1003"/>
      <c r="Y354" s="1003"/>
      <c r="Z354" s="1003"/>
      <c r="AA354" s="1003"/>
      <c r="AB354" s="1003"/>
      <c r="AC354" s="1003"/>
      <c r="AD354" s="1003"/>
      <c r="AE354" s="1003"/>
      <c r="AF354" s="1003"/>
      <c r="AG354" s="1003"/>
      <c r="AH354" s="1003"/>
      <c r="AI354" s="1003"/>
      <c r="AJ354" s="1003"/>
      <c r="AK354" s="1003"/>
      <c r="AL354" s="1003"/>
      <c r="AM354" s="1003"/>
      <c r="AN354" s="1003"/>
      <c r="AO354" s="1003"/>
      <c r="AP354" s="1003"/>
      <c r="AQ354" s="1003"/>
      <c r="AR354" s="1003"/>
      <c r="AS354" s="1003"/>
      <c r="AT354" s="1003"/>
      <c r="AU354" s="1003"/>
      <c r="AV354" s="1003"/>
      <c r="AW354" s="1003"/>
      <c r="AX354" s="1003"/>
      <c r="AY354" s="1003"/>
      <c r="AZ354" s="1003"/>
      <c r="BA354" s="1003"/>
      <c r="BB354" s="1003"/>
      <c r="BC354" s="1003"/>
      <c r="BD354" s="1003"/>
      <c r="BE354" s="1003"/>
      <c r="BF354" s="1003"/>
      <c r="BG354" s="1003"/>
      <c r="BH354" s="1003"/>
      <c r="BI354" s="1003"/>
      <c r="BJ354" s="1003"/>
      <c r="BK354" s="1003"/>
      <c r="BL354" s="1003"/>
    </row>
    <row r="355" spans="1:64">
      <c r="A355" s="1818"/>
      <c r="B355" s="1048"/>
      <c r="C355" s="1817" t="str">
        <f>Input!$C$48</f>
        <v>Overheads &amp; Contractors Profit @ 13.615%</v>
      </c>
      <c r="D355" s="1850">
        <f>Input!$D$48</f>
        <v>0.13614999999999999</v>
      </c>
      <c r="E355" s="1044"/>
      <c r="F355" s="1001">
        <f>I354</f>
        <v>4324.7190000000001</v>
      </c>
      <c r="G355" s="1045"/>
      <c r="H355" s="1071"/>
      <c r="I355" s="1001">
        <f>IF(G355="",D355*F355,(D355*F355/G355))</f>
        <v>588.81049184999995</v>
      </c>
      <c r="J355" s="1002"/>
      <c r="K355" s="1002"/>
      <c r="L355" s="1002"/>
      <c r="M355" s="1003"/>
      <c r="N355" s="1003"/>
      <c r="O355" s="1003"/>
      <c r="P355" s="1003"/>
      <c r="Q355" s="1003"/>
      <c r="R355" s="1003"/>
      <c r="S355" s="1003"/>
      <c r="T355" s="1003"/>
      <c r="U355" s="1003"/>
      <c r="V355" s="1003"/>
      <c r="W355" s="1003"/>
      <c r="X355" s="1003"/>
      <c r="Y355" s="1003"/>
      <c r="Z355" s="1003"/>
      <c r="AA355" s="1003"/>
      <c r="AB355" s="1003"/>
      <c r="AC355" s="1003"/>
      <c r="AD355" s="1003"/>
      <c r="AE355" s="1003"/>
      <c r="AF355" s="1003"/>
      <c r="AG355" s="1003"/>
      <c r="AH355" s="1003"/>
      <c r="AI355" s="1003"/>
      <c r="AJ355" s="1003"/>
      <c r="AK355" s="1003"/>
      <c r="AL355" s="1003"/>
      <c r="AM355" s="1003"/>
      <c r="AN355" s="1003"/>
      <c r="AO355" s="1003"/>
      <c r="AP355" s="1003"/>
      <c r="AQ355" s="1003"/>
      <c r="AR355" s="1003"/>
      <c r="AS355" s="1003"/>
      <c r="AT355" s="1003"/>
      <c r="AU355" s="1003"/>
      <c r="AV355" s="1003"/>
      <c r="AW355" s="1003"/>
      <c r="AX355" s="1003"/>
      <c r="AY355" s="1003"/>
      <c r="AZ355" s="1003"/>
      <c r="BA355" s="1003"/>
      <c r="BB355" s="1003"/>
      <c r="BC355" s="1003"/>
      <c r="BD355" s="1003"/>
      <c r="BE355" s="1003"/>
      <c r="BF355" s="1003"/>
      <c r="BG355" s="1003"/>
      <c r="BH355" s="1003"/>
      <c r="BI355" s="1003"/>
      <c r="BJ355" s="1003"/>
      <c r="BK355" s="1003"/>
      <c r="BL355" s="1003"/>
    </row>
    <row r="356" spans="1:64">
      <c r="A356" s="1818"/>
      <c r="B356" s="1048"/>
      <c r="C356" s="1816" t="s">
        <v>1133</v>
      </c>
      <c r="D356" s="1850"/>
      <c r="E356" s="1044"/>
      <c r="F356" s="1001"/>
      <c r="G356" s="1045"/>
      <c r="H356" s="1071"/>
      <c r="I356" s="1001">
        <f>SUM(I354:I355)</f>
        <v>4913.5294918500003</v>
      </c>
      <c r="J356" s="1002"/>
      <c r="K356" s="1002"/>
      <c r="L356" s="1002"/>
      <c r="M356" s="1003"/>
      <c r="N356" s="1003"/>
      <c r="O356" s="1003"/>
      <c r="P356" s="1003"/>
      <c r="Q356" s="1003"/>
      <c r="R356" s="1003"/>
      <c r="S356" s="1003"/>
      <c r="T356" s="1003"/>
      <c r="U356" s="1003"/>
      <c r="V356" s="1003"/>
      <c r="W356" s="1003"/>
      <c r="X356" s="1003"/>
      <c r="Y356" s="1003"/>
      <c r="Z356" s="1003"/>
      <c r="AA356" s="1003"/>
      <c r="AB356" s="1003"/>
      <c r="AC356" s="1003"/>
      <c r="AD356" s="1003"/>
      <c r="AE356" s="1003"/>
      <c r="AF356" s="1003"/>
      <c r="AG356" s="1003"/>
      <c r="AH356" s="1003"/>
      <c r="AI356" s="1003"/>
      <c r="AJ356" s="1003"/>
      <c r="AK356" s="1003"/>
      <c r="AL356" s="1003"/>
      <c r="AM356" s="1003"/>
      <c r="AN356" s="1003"/>
      <c r="AO356" s="1003"/>
      <c r="AP356" s="1003"/>
      <c r="AQ356" s="1003"/>
      <c r="AR356" s="1003"/>
      <c r="AS356" s="1003"/>
      <c r="AT356" s="1003"/>
      <c r="AU356" s="1003"/>
      <c r="AV356" s="1003"/>
      <c r="AW356" s="1003"/>
      <c r="AX356" s="1003"/>
      <c r="AY356" s="1003"/>
      <c r="AZ356" s="1003"/>
      <c r="BA356" s="1003"/>
      <c r="BB356" s="1003"/>
      <c r="BC356" s="1003"/>
      <c r="BD356" s="1003"/>
      <c r="BE356" s="1003"/>
      <c r="BF356" s="1003"/>
      <c r="BG356" s="1003"/>
      <c r="BH356" s="1003"/>
      <c r="BI356" s="1003"/>
      <c r="BJ356" s="1003"/>
      <c r="BK356" s="1003"/>
      <c r="BL356" s="1003"/>
    </row>
    <row r="357" spans="1:64">
      <c r="A357" s="1818"/>
      <c r="B357" s="1048"/>
      <c r="C357" s="1816" t="s">
        <v>1032</v>
      </c>
      <c r="D357" s="1034"/>
      <c r="E357" s="1044"/>
      <c r="F357" s="1001"/>
      <c r="G357" s="1045"/>
      <c r="H357" s="1034" t="s">
        <v>1033</v>
      </c>
      <c r="I357" s="1001">
        <f>I356/10</f>
        <v>491.35294918500006</v>
      </c>
      <c r="J357" s="1002"/>
      <c r="K357" s="1002"/>
      <c r="L357" s="1002"/>
      <c r="M357" s="1003"/>
      <c r="N357" s="1003"/>
      <c r="O357" s="1003"/>
      <c r="P357" s="1003"/>
      <c r="Q357" s="1003"/>
      <c r="R357" s="1003"/>
      <c r="S357" s="1003"/>
      <c r="T357" s="1003"/>
      <c r="U357" s="1003"/>
      <c r="V357" s="1003"/>
      <c r="W357" s="1003"/>
      <c r="X357" s="1003"/>
      <c r="Y357" s="1003"/>
      <c r="Z357" s="1003"/>
      <c r="AA357" s="1003"/>
      <c r="AB357" s="1003"/>
      <c r="AC357" s="1003"/>
      <c r="AD357" s="1003"/>
      <c r="AE357" s="1003"/>
      <c r="AF357" s="1003"/>
      <c r="AG357" s="1003"/>
      <c r="AH357" s="1003"/>
      <c r="AI357" s="1003"/>
      <c r="AJ357" s="1003"/>
      <c r="AK357" s="1003"/>
      <c r="AL357" s="1003"/>
      <c r="AM357" s="1003"/>
      <c r="AN357" s="1003"/>
      <c r="AO357" s="1003"/>
      <c r="AP357" s="1003"/>
      <c r="AQ357" s="1003"/>
      <c r="AR357" s="1003"/>
      <c r="AS357" s="1003"/>
      <c r="AT357" s="1003"/>
      <c r="AU357" s="1003"/>
      <c r="AV357" s="1003"/>
      <c r="AW357" s="1003"/>
      <c r="AX357" s="1003"/>
      <c r="AY357" s="1003"/>
      <c r="AZ357" s="1003"/>
      <c r="BA357" s="1003"/>
      <c r="BB357" s="1003"/>
      <c r="BC357" s="1003"/>
      <c r="BD357" s="1003"/>
      <c r="BE357" s="1003"/>
      <c r="BF357" s="1003"/>
      <c r="BG357" s="1003"/>
      <c r="BH357" s="1003"/>
      <c r="BI357" s="1003"/>
      <c r="BJ357" s="1003"/>
      <c r="BK357" s="1003"/>
      <c r="BL357" s="1003"/>
    </row>
    <row r="358" spans="1:64">
      <c r="A358" s="1818"/>
      <c r="B358" s="1048"/>
      <c r="C358" s="1816"/>
      <c r="D358" s="1034"/>
      <c r="E358" s="1044"/>
      <c r="F358" s="1001"/>
      <c r="G358" s="1045"/>
      <c r="H358" s="1046" t="s">
        <v>1096</v>
      </c>
      <c r="I358" s="1009">
        <f>ROUND(I357,0)</f>
        <v>491</v>
      </c>
      <c r="J358" s="1002"/>
      <c r="K358" s="1002"/>
      <c r="L358" s="1002"/>
      <c r="M358" s="1003"/>
      <c r="N358" s="1003"/>
      <c r="O358" s="1003"/>
      <c r="P358" s="1003"/>
      <c r="Q358" s="1003"/>
      <c r="R358" s="1003"/>
      <c r="S358" s="1003"/>
      <c r="T358" s="1003"/>
      <c r="U358" s="1003"/>
      <c r="V358" s="1003"/>
      <c r="W358" s="1003"/>
      <c r="X358" s="1003"/>
      <c r="Y358" s="1003"/>
      <c r="Z358" s="1003"/>
      <c r="AA358" s="1003"/>
      <c r="AB358" s="1003"/>
      <c r="AC358" s="1003"/>
      <c r="AD358" s="1003"/>
      <c r="AE358" s="1003"/>
      <c r="AF358" s="1003"/>
      <c r="AG358" s="1003"/>
      <c r="AH358" s="1003"/>
      <c r="AI358" s="1003"/>
      <c r="AJ358" s="1003"/>
      <c r="AK358" s="1003"/>
      <c r="AL358" s="1003"/>
      <c r="AM358" s="1003"/>
      <c r="AN358" s="1003"/>
      <c r="AO358" s="1003"/>
      <c r="AP358" s="1003"/>
      <c r="AQ358" s="1003"/>
      <c r="AR358" s="1003"/>
      <c r="AS358" s="1003"/>
      <c r="AT358" s="1003"/>
      <c r="AU358" s="1003"/>
      <c r="AV358" s="1003"/>
      <c r="AW358" s="1003"/>
      <c r="AX358" s="1003"/>
      <c r="AY358" s="1003"/>
      <c r="AZ358" s="1003"/>
      <c r="BA358" s="1003"/>
      <c r="BB358" s="1003"/>
      <c r="BC358" s="1003"/>
      <c r="BD358" s="1003"/>
      <c r="BE358" s="1003"/>
      <c r="BF358" s="1003"/>
      <c r="BG358" s="1003"/>
      <c r="BH358" s="1003"/>
      <c r="BI358" s="1003"/>
      <c r="BJ358" s="1003"/>
      <c r="BK358" s="1003"/>
      <c r="BL358" s="1003"/>
    </row>
    <row r="359" spans="1:64">
      <c r="A359" s="1818"/>
      <c r="B359" s="1048"/>
      <c r="C359" s="1816"/>
      <c r="D359" s="1034"/>
      <c r="E359" s="1044"/>
      <c r="F359" s="1001"/>
      <c r="G359" s="1045"/>
      <c r="H359" s="1047"/>
      <c r="I359" s="1009"/>
      <c r="J359" s="1002"/>
      <c r="K359" s="1002"/>
      <c r="L359" s="1002"/>
      <c r="M359" s="1003"/>
      <c r="N359" s="1003"/>
      <c r="O359" s="1003"/>
      <c r="P359" s="1003"/>
      <c r="Q359" s="1003"/>
      <c r="R359" s="1003"/>
      <c r="S359" s="1003"/>
      <c r="T359" s="1003"/>
      <c r="U359" s="1003"/>
      <c r="V359" s="1003"/>
      <c r="W359" s="1003"/>
      <c r="X359" s="1003"/>
      <c r="Y359" s="1003"/>
      <c r="Z359" s="1003"/>
      <c r="AA359" s="1003"/>
      <c r="AB359" s="1003"/>
      <c r="AC359" s="1003"/>
      <c r="AD359" s="1003"/>
      <c r="AE359" s="1003"/>
      <c r="AF359" s="1003"/>
      <c r="AG359" s="1003"/>
      <c r="AH359" s="1003"/>
      <c r="AI359" s="1003"/>
      <c r="AJ359" s="1003"/>
      <c r="AK359" s="1003"/>
      <c r="AL359" s="1003"/>
      <c r="AM359" s="1003"/>
      <c r="AN359" s="1003"/>
      <c r="AO359" s="1003"/>
      <c r="AP359" s="1003"/>
      <c r="AQ359" s="1003"/>
      <c r="AR359" s="1003"/>
      <c r="AS359" s="1003"/>
      <c r="AT359" s="1003"/>
      <c r="AU359" s="1003"/>
      <c r="AV359" s="1003"/>
      <c r="AW359" s="1003"/>
      <c r="AX359" s="1003"/>
      <c r="AY359" s="1003"/>
      <c r="AZ359" s="1003"/>
      <c r="BA359" s="1003"/>
      <c r="BB359" s="1003"/>
      <c r="BC359" s="1003"/>
      <c r="BD359" s="1003"/>
      <c r="BE359" s="1003"/>
      <c r="BF359" s="1003"/>
      <c r="BG359" s="1003"/>
      <c r="BH359" s="1003"/>
      <c r="BI359" s="1003"/>
      <c r="BJ359" s="1003"/>
      <c r="BK359" s="1003"/>
      <c r="BL359" s="1003"/>
    </row>
    <row r="360" spans="1:64" ht="60.4" customHeight="1">
      <c r="A360" s="2048">
        <f>A340+1</f>
        <v>8</v>
      </c>
      <c r="B360" s="2048"/>
      <c r="C360" s="2036" t="s">
        <v>3396</v>
      </c>
      <c r="D360" s="2036"/>
      <c r="E360" s="2036"/>
      <c r="F360" s="2036"/>
      <c r="G360" s="2036"/>
      <c r="H360" s="2036"/>
      <c r="I360" s="1847"/>
      <c r="J360" s="1002"/>
      <c r="K360" s="1002"/>
      <c r="L360" s="1002"/>
      <c r="M360" s="1003"/>
      <c r="N360" s="1003"/>
      <c r="O360" s="1003"/>
      <c r="P360" s="1003"/>
      <c r="Q360" s="1003"/>
      <c r="R360" s="1003"/>
      <c r="S360" s="1003"/>
      <c r="T360" s="1003"/>
      <c r="U360" s="1003"/>
      <c r="V360" s="1003"/>
      <c r="W360" s="1003"/>
      <c r="X360" s="1003"/>
      <c r="Y360" s="1003"/>
      <c r="Z360" s="1003"/>
      <c r="AA360" s="1003"/>
      <c r="AB360" s="1003"/>
      <c r="AC360" s="1003"/>
      <c r="AD360" s="1003"/>
      <c r="AE360" s="1003"/>
      <c r="AF360" s="1003"/>
      <c r="AG360" s="1003"/>
      <c r="AH360" s="1003"/>
      <c r="AI360" s="1003"/>
      <c r="AJ360" s="1003"/>
      <c r="AK360" s="1003"/>
      <c r="AL360" s="1003"/>
      <c r="AM360" s="1003"/>
      <c r="AN360" s="1003"/>
      <c r="AO360" s="1003"/>
      <c r="AP360" s="1003"/>
      <c r="AQ360" s="1003"/>
      <c r="AR360" s="1003"/>
      <c r="AS360" s="1003"/>
      <c r="AT360" s="1003"/>
      <c r="AU360" s="1003"/>
      <c r="AV360" s="1003"/>
      <c r="AW360" s="1003"/>
      <c r="AX360" s="1003"/>
      <c r="AY360" s="1003"/>
      <c r="AZ360" s="1003"/>
      <c r="BA360" s="1003"/>
      <c r="BB360" s="1003"/>
      <c r="BC360" s="1003"/>
      <c r="BD360" s="1003"/>
      <c r="BE360" s="1003"/>
      <c r="BF360" s="1003"/>
      <c r="BG360" s="1003"/>
      <c r="BH360" s="1003"/>
      <c r="BI360" s="1003"/>
      <c r="BJ360" s="1003"/>
      <c r="BK360" s="1003"/>
      <c r="BL360" s="1003"/>
    </row>
    <row r="361" spans="1:64" ht="38.25">
      <c r="A361" s="1818"/>
      <c r="B361" s="1048"/>
      <c r="C361" s="1078" t="s">
        <v>1134</v>
      </c>
      <c r="D361" s="1034"/>
      <c r="E361" s="1044"/>
      <c r="F361" s="1001"/>
      <c r="G361" s="1045"/>
      <c r="H361" s="1071"/>
      <c r="I361" s="1009"/>
      <c r="J361" s="1002"/>
      <c r="K361" s="1002"/>
      <c r="L361" s="1002"/>
      <c r="M361" s="1003"/>
      <c r="N361" s="1003"/>
      <c r="O361" s="1003"/>
      <c r="P361" s="1003"/>
      <c r="Q361" s="1003"/>
      <c r="R361" s="1003"/>
      <c r="S361" s="1003"/>
      <c r="T361" s="1003"/>
      <c r="U361" s="1003"/>
      <c r="V361" s="1003"/>
      <c r="W361" s="1003"/>
      <c r="X361" s="1003"/>
      <c r="Y361" s="1003"/>
      <c r="Z361" s="1003"/>
      <c r="AA361" s="1003"/>
      <c r="AB361" s="1003"/>
      <c r="AC361" s="1003"/>
      <c r="AD361" s="1003"/>
      <c r="AE361" s="1003"/>
      <c r="AF361" s="1003"/>
      <c r="AG361" s="1003"/>
      <c r="AH361" s="1003"/>
      <c r="AI361" s="1003"/>
      <c r="AJ361" s="1003"/>
      <c r="AK361" s="1003"/>
      <c r="AL361" s="1003"/>
      <c r="AM361" s="1003"/>
      <c r="AN361" s="1003"/>
      <c r="AO361" s="1003"/>
      <c r="AP361" s="1003"/>
      <c r="AQ361" s="1003"/>
      <c r="AR361" s="1003"/>
      <c r="AS361" s="1003"/>
      <c r="AT361" s="1003"/>
      <c r="AU361" s="1003"/>
      <c r="AV361" s="1003"/>
      <c r="AW361" s="1003"/>
      <c r="AX361" s="1003"/>
      <c r="AY361" s="1003"/>
      <c r="AZ361" s="1003"/>
      <c r="BA361" s="1003"/>
      <c r="BB361" s="1003"/>
      <c r="BC361" s="1003"/>
      <c r="BD361" s="1003"/>
      <c r="BE361" s="1003"/>
      <c r="BF361" s="1003"/>
      <c r="BG361" s="1003"/>
      <c r="BH361" s="1003"/>
      <c r="BI361" s="1003"/>
      <c r="BJ361" s="1003"/>
      <c r="BK361" s="1003"/>
      <c r="BL361" s="1003"/>
    </row>
    <row r="362" spans="1:64">
      <c r="A362" s="1818"/>
      <c r="B362" s="1048"/>
      <c r="C362" s="1816" t="s">
        <v>1069</v>
      </c>
      <c r="D362" s="1034"/>
      <c r="E362" s="1044"/>
      <c r="F362" s="1001"/>
      <c r="G362" s="1045"/>
      <c r="H362" s="1071"/>
      <c r="I362" s="1009"/>
      <c r="J362" s="1002"/>
      <c r="K362" s="1002"/>
      <c r="L362" s="1002"/>
      <c r="M362" s="1003"/>
      <c r="N362" s="1003"/>
      <c r="O362" s="1003"/>
      <c r="P362" s="1003"/>
      <c r="Q362" s="1003"/>
      <c r="R362" s="1003"/>
      <c r="S362" s="1003"/>
      <c r="T362" s="1003"/>
      <c r="U362" s="1003"/>
      <c r="V362" s="1003"/>
      <c r="W362" s="1003"/>
      <c r="X362" s="1003"/>
      <c r="Y362" s="1003"/>
      <c r="Z362" s="1003"/>
      <c r="AA362" s="1003"/>
      <c r="AB362" s="1003"/>
      <c r="AC362" s="1003"/>
      <c r="AD362" s="1003"/>
      <c r="AE362" s="1003"/>
      <c r="AF362" s="1003"/>
      <c r="AG362" s="1003"/>
      <c r="AH362" s="1003"/>
      <c r="AI362" s="1003"/>
      <c r="AJ362" s="1003"/>
      <c r="AK362" s="1003"/>
      <c r="AL362" s="1003"/>
      <c r="AM362" s="1003"/>
      <c r="AN362" s="1003"/>
      <c r="AO362" s="1003"/>
      <c r="AP362" s="1003"/>
      <c r="AQ362" s="1003"/>
      <c r="AR362" s="1003"/>
      <c r="AS362" s="1003"/>
      <c r="AT362" s="1003"/>
      <c r="AU362" s="1003"/>
      <c r="AV362" s="1003"/>
      <c r="AW362" s="1003"/>
      <c r="AX362" s="1003"/>
      <c r="AY362" s="1003"/>
      <c r="AZ362" s="1003"/>
      <c r="BA362" s="1003"/>
      <c r="BB362" s="1003"/>
      <c r="BC362" s="1003"/>
      <c r="BD362" s="1003"/>
      <c r="BE362" s="1003"/>
      <c r="BF362" s="1003"/>
      <c r="BG362" s="1003"/>
      <c r="BH362" s="1003"/>
      <c r="BI362" s="1003"/>
      <c r="BJ362" s="1003"/>
      <c r="BK362" s="1003"/>
      <c r="BL362" s="1003"/>
    </row>
    <row r="363" spans="1:64" ht="25.5">
      <c r="A363" s="1818"/>
      <c r="B363" s="1048"/>
      <c r="C363" s="1078" t="s">
        <v>1126</v>
      </c>
      <c r="D363" s="1034"/>
      <c r="E363" s="1044"/>
      <c r="F363" s="1001"/>
      <c r="G363" s="1045"/>
      <c r="H363" s="1071"/>
      <c r="I363" s="1009"/>
      <c r="J363" s="1002"/>
      <c r="K363" s="1002"/>
      <c r="L363" s="1002"/>
      <c r="M363" s="1003"/>
      <c r="N363" s="1003"/>
      <c r="O363" s="1003"/>
      <c r="P363" s="1003"/>
      <c r="Q363" s="1003"/>
      <c r="R363" s="1003"/>
      <c r="S363" s="1003"/>
      <c r="T363" s="1003"/>
      <c r="U363" s="1003"/>
      <c r="V363" s="1003"/>
      <c r="W363" s="1003"/>
      <c r="X363" s="1003"/>
      <c r="Y363" s="1003"/>
      <c r="Z363" s="1003"/>
      <c r="AA363" s="1003"/>
      <c r="AB363" s="1003"/>
      <c r="AC363" s="1003"/>
      <c r="AD363" s="1003"/>
      <c r="AE363" s="1003"/>
      <c r="AF363" s="1003"/>
      <c r="AG363" s="1003"/>
      <c r="AH363" s="1003"/>
      <c r="AI363" s="1003"/>
      <c r="AJ363" s="1003"/>
      <c r="AK363" s="1003"/>
      <c r="AL363" s="1003"/>
      <c r="AM363" s="1003"/>
      <c r="AN363" s="1003"/>
      <c r="AO363" s="1003"/>
      <c r="AP363" s="1003"/>
      <c r="AQ363" s="1003"/>
      <c r="AR363" s="1003"/>
      <c r="AS363" s="1003"/>
      <c r="AT363" s="1003"/>
      <c r="AU363" s="1003"/>
      <c r="AV363" s="1003"/>
      <c r="AW363" s="1003"/>
      <c r="AX363" s="1003"/>
      <c r="AY363" s="1003"/>
      <c r="AZ363" s="1003"/>
      <c r="BA363" s="1003"/>
      <c r="BB363" s="1003"/>
      <c r="BC363" s="1003"/>
      <c r="BD363" s="1003"/>
      <c r="BE363" s="1003"/>
      <c r="BF363" s="1003"/>
      <c r="BG363" s="1003"/>
      <c r="BH363" s="1003"/>
      <c r="BI363" s="1003"/>
      <c r="BJ363" s="1003"/>
      <c r="BK363" s="1003"/>
      <c r="BL363" s="1003"/>
    </row>
    <row r="364" spans="1:64">
      <c r="A364" s="1818"/>
      <c r="B364" s="1048"/>
      <c r="C364" s="1816" t="s">
        <v>1070</v>
      </c>
      <c r="D364" s="1077"/>
      <c r="E364" s="1071"/>
      <c r="F364" s="1001"/>
      <c r="G364" s="1045"/>
      <c r="H364" s="1071"/>
      <c r="I364" s="1009"/>
      <c r="J364" s="1002"/>
      <c r="K364" s="1002"/>
      <c r="L364" s="1002"/>
      <c r="M364" s="1003"/>
      <c r="N364" s="1003"/>
      <c r="O364" s="1003"/>
      <c r="P364" s="1003"/>
      <c r="Q364" s="1003"/>
      <c r="R364" s="1003"/>
      <c r="S364" s="1003"/>
      <c r="T364" s="1003"/>
      <c r="U364" s="1003"/>
      <c r="V364" s="1003"/>
      <c r="W364" s="1003"/>
      <c r="X364" s="1003"/>
      <c r="Y364" s="1003"/>
      <c r="Z364" s="1003"/>
      <c r="AA364" s="1003"/>
      <c r="AB364" s="1003"/>
      <c r="AC364" s="1003"/>
      <c r="AD364" s="1003"/>
      <c r="AE364" s="1003"/>
      <c r="AF364" s="1003"/>
      <c r="AG364" s="1003"/>
      <c r="AH364" s="1003"/>
      <c r="AI364" s="1003"/>
      <c r="AJ364" s="1003"/>
      <c r="AK364" s="1003"/>
      <c r="AL364" s="1003"/>
      <c r="AM364" s="1003"/>
      <c r="AN364" s="1003"/>
      <c r="AO364" s="1003"/>
      <c r="AP364" s="1003"/>
      <c r="AQ364" s="1003"/>
      <c r="AR364" s="1003"/>
      <c r="AS364" s="1003"/>
      <c r="AT364" s="1003"/>
      <c r="AU364" s="1003"/>
      <c r="AV364" s="1003"/>
      <c r="AW364" s="1003"/>
      <c r="AX364" s="1003"/>
      <c r="AY364" s="1003"/>
      <c r="AZ364" s="1003"/>
      <c r="BA364" s="1003"/>
      <c r="BB364" s="1003"/>
      <c r="BC364" s="1003"/>
      <c r="BD364" s="1003"/>
      <c r="BE364" s="1003"/>
      <c r="BF364" s="1003"/>
      <c r="BG364" s="1003"/>
      <c r="BH364" s="1003"/>
      <c r="BI364" s="1003"/>
      <c r="BJ364" s="1003"/>
      <c r="BK364" s="1003"/>
      <c r="BL364" s="1003"/>
    </row>
    <row r="365" spans="1:64">
      <c r="A365" s="1818"/>
      <c r="B365" s="1048"/>
      <c r="C365" s="1816" t="s">
        <v>1135</v>
      </c>
      <c r="D365" s="1034"/>
      <c r="E365" s="1044"/>
      <c r="F365" s="1001"/>
      <c r="G365" s="1045"/>
      <c r="H365" s="1071"/>
      <c r="I365" s="1009"/>
      <c r="J365" s="1002"/>
      <c r="K365" s="1002"/>
      <c r="L365" s="1002"/>
      <c r="M365" s="1003"/>
      <c r="N365" s="1003"/>
      <c r="O365" s="1003"/>
      <c r="P365" s="1003"/>
      <c r="Q365" s="1003"/>
      <c r="R365" s="1003"/>
      <c r="S365" s="1003"/>
      <c r="T365" s="1003"/>
      <c r="U365" s="1003"/>
      <c r="V365" s="1003"/>
      <c r="W365" s="1003"/>
      <c r="X365" s="1003"/>
      <c r="Y365" s="1003"/>
      <c r="Z365" s="1003"/>
      <c r="AA365" s="1003"/>
      <c r="AB365" s="1003"/>
      <c r="AC365" s="1003"/>
      <c r="AD365" s="1003"/>
      <c r="AE365" s="1003"/>
      <c r="AF365" s="1003"/>
      <c r="AG365" s="1003"/>
      <c r="AH365" s="1003"/>
      <c r="AI365" s="1003"/>
      <c r="AJ365" s="1003"/>
      <c r="AK365" s="1003"/>
      <c r="AL365" s="1003"/>
      <c r="AM365" s="1003"/>
      <c r="AN365" s="1003"/>
      <c r="AO365" s="1003"/>
      <c r="AP365" s="1003"/>
      <c r="AQ365" s="1003"/>
      <c r="AR365" s="1003"/>
      <c r="AS365" s="1003"/>
      <c r="AT365" s="1003"/>
      <c r="AU365" s="1003"/>
      <c r="AV365" s="1003"/>
      <c r="AW365" s="1003"/>
      <c r="AX365" s="1003"/>
      <c r="AY365" s="1003"/>
      <c r="AZ365" s="1003"/>
      <c r="BA365" s="1003"/>
      <c r="BB365" s="1003"/>
      <c r="BC365" s="1003"/>
      <c r="BD365" s="1003"/>
      <c r="BE365" s="1003"/>
      <c r="BF365" s="1003"/>
      <c r="BG365" s="1003"/>
      <c r="BH365" s="1003"/>
      <c r="BI365" s="1003"/>
      <c r="BJ365" s="1003"/>
      <c r="BK365" s="1003"/>
      <c r="BL365" s="1003"/>
    </row>
    <row r="366" spans="1:64">
      <c r="A366" s="1818"/>
      <c r="B366" s="1048"/>
      <c r="C366" s="1817" t="s">
        <v>1136</v>
      </c>
      <c r="D366" s="1034">
        <v>10</v>
      </c>
      <c r="E366" s="1044" t="s">
        <v>75</v>
      </c>
      <c r="F366" s="1001"/>
      <c r="G366" s="1045">
        <v>1</v>
      </c>
      <c r="H366" s="1044" t="s">
        <v>75</v>
      </c>
      <c r="I366" s="1001">
        <f>IF(G366="",D366*F366,(D366*F366/G366))</f>
        <v>0</v>
      </c>
      <c r="J366" s="1002"/>
      <c r="K366" s="1002"/>
      <c r="L366" s="1002"/>
      <c r="M366" s="1003"/>
      <c r="N366" s="1003"/>
      <c r="O366" s="1003"/>
      <c r="P366" s="1003"/>
      <c r="Q366" s="1003"/>
      <c r="R366" s="1003"/>
      <c r="S366" s="1003"/>
      <c r="T366" s="1003"/>
      <c r="U366" s="1003"/>
      <c r="V366" s="1003"/>
      <c r="W366" s="1003"/>
      <c r="X366" s="1003"/>
      <c r="Y366" s="1003"/>
      <c r="Z366" s="1003"/>
      <c r="AA366" s="1003"/>
      <c r="AB366" s="1003"/>
      <c r="AC366" s="1003"/>
      <c r="AD366" s="1003"/>
      <c r="AE366" s="1003"/>
      <c r="AF366" s="1003"/>
      <c r="AG366" s="1003"/>
      <c r="AH366" s="1003"/>
      <c r="AI366" s="1003"/>
      <c r="AJ366" s="1003"/>
      <c r="AK366" s="1003"/>
      <c r="AL366" s="1003"/>
      <c r="AM366" s="1003"/>
      <c r="AN366" s="1003"/>
      <c r="AO366" s="1003"/>
      <c r="AP366" s="1003"/>
      <c r="AQ366" s="1003"/>
      <c r="AR366" s="1003"/>
      <c r="AS366" s="1003"/>
      <c r="AT366" s="1003"/>
      <c r="AU366" s="1003"/>
      <c r="AV366" s="1003"/>
      <c r="AW366" s="1003"/>
      <c r="AX366" s="1003"/>
      <c r="AY366" s="1003"/>
      <c r="AZ366" s="1003"/>
      <c r="BA366" s="1003"/>
      <c r="BB366" s="1003"/>
      <c r="BC366" s="1003"/>
      <c r="BD366" s="1003"/>
      <c r="BE366" s="1003"/>
      <c r="BF366" s="1003"/>
      <c r="BG366" s="1003"/>
      <c r="BH366" s="1003"/>
      <c r="BI366" s="1003"/>
      <c r="BJ366" s="1003"/>
      <c r="BK366" s="1003"/>
      <c r="BL366" s="1003"/>
    </row>
    <row r="367" spans="1:64">
      <c r="A367" s="1818"/>
      <c r="B367" s="1048"/>
      <c r="C367" s="1816" t="s">
        <v>1137</v>
      </c>
      <c r="D367" s="1034"/>
      <c r="E367" s="1044"/>
      <c r="F367" s="1001"/>
      <c r="G367" s="1045"/>
      <c r="H367" s="1071"/>
      <c r="I367" s="1009"/>
      <c r="J367" s="1002"/>
      <c r="K367" s="1002"/>
      <c r="L367" s="1002"/>
      <c r="M367" s="1003"/>
      <c r="N367" s="1003"/>
      <c r="O367" s="1003"/>
      <c r="P367" s="1003"/>
      <c r="Q367" s="1003"/>
      <c r="R367" s="1003"/>
      <c r="S367" s="1003"/>
      <c r="T367" s="1003"/>
      <c r="U367" s="1003"/>
      <c r="V367" s="1003"/>
      <c r="W367" s="1003"/>
      <c r="X367" s="1003"/>
      <c r="Y367" s="1003"/>
      <c r="Z367" s="1003"/>
      <c r="AA367" s="1003"/>
      <c r="AB367" s="1003"/>
      <c r="AC367" s="1003"/>
      <c r="AD367" s="1003"/>
      <c r="AE367" s="1003"/>
      <c r="AF367" s="1003"/>
      <c r="AG367" s="1003"/>
      <c r="AH367" s="1003"/>
      <c r="AI367" s="1003"/>
      <c r="AJ367" s="1003"/>
      <c r="AK367" s="1003"/>
      <c r="AL367" s="1003"/>
      <c r="AM367" s="1003"/>
      <c r="AN367" s="1003"/>
      <c r="AO367" s="1003"/>
      <c r="AP367" s="1003"/>
      <c r="AQ367" s="1003"/>
      <c r="AR367" s="1003"/>
      <c r="AS367" s="1003"/>
      <c r="AT367" s="1003"/>
      <c r="AU367" s="1003"/>
      <c r="AV367" s="1003"/>
      <c r="AW367" s="1003"/>
      <c r="AX367" s="1003"/>
      <c r="AY367" s="1003"/>
      <c r="AZ367" s="1003"/>
      <c r="BA367" s="1003"/>
      <c r="BB367" s="1003"/>
      <c r="BC367" s="1003"/>
      <c r="BD367" s="1003"/>
      <c r="BE367" s="1003"/>
      <c r="BF367" s="1003"/>
      <c r="BG367" s="1003"/>
      <c r="BH367" s="1003"/>
      <c r="BI367" s="1003"/>
      <c r="BJ367" s="1003"/>
      <c r="BK367" s="1003"/>
      <c r="BL367" s="1003"/>
    </row>
    <row r="368" spans="1:64">
      <c r="A368" s="1818"/>
      <c r="B368" s="1048"/>
      <c r="C368" s="1817" t="s">
        <v>1130</v>
      </c>
      <c r="D368" s="1034">
        <v>0.2</v>
      </c>
      <c r="E368" s="1044" t="s">
        <v>36</v>
      </c>
      <c r="F368" s="1001">
        <f>'Civil-SOR'!$G$304</f>
        <v>550</v>
      </c>
      <c r="G368" s="1045">
        <v>1</v>
      </c>
      <c r="H368" s="1044" t="s">
        <v>39</v>
      </c>
      <c r="I368" s="1001">
        <f t="shared" ref="I368:I371" si="38">IF(G368="",D368*F368,(D368*F368/G368))</f>
        <v>110</v>
      </c>
      <c r="J368" s="1002"/>
      <c r="K368" s="1002"/>
      <c r="L368" s="1002"/>
      <c r="M368" s="1003"/>
      <c r="N368" s="1003"/>
      <c r="O368" s="1003"/>
      <c r="P368" s="1003"/>
      <c r="Q368" s="1003"/>
      <c r="R368" s="1003"/>
      <c r="S368" s="1003"/>
      <c r="T368" s="1003"/>
      <c r="U368" s="1003"/>
      <c r="V368" s="1003"/>
      <c r="W368" s="1003"/>
      <c r="X368" s="1003"/>
      <c r="Y368" s="1003"/>
      <c r="Z368" s="1003"/>
      <c r="AA368" s="1003"/>
      <c r="AB368" s="1003"/>
      <c r="AC368" s="1003"/>
      <c r="AD368" s="1003"/>
      <c r="AE368" s="1003"/>
      <c r="AF368" s="1003"/>
      <c r="AG368" s="1003"/>
      <c r="AH368" s="1003"/>
      <c r="AI368" s="1003"/>
      <c r="AJ368" s="1003"/>
      <c r="AK368" s="1003"/>
      <c r="AL368" s="1003"/>
      <c r="AM368" s="1003"/>
      <c r="AN368" s="1003"/>
      <c r="AO368" s="1003"/>
      <c r="AP368" s="1003"/>
      <c r="AQ368" s="1003"/>
      <c r="AR368" s="1003"/>
      <c r="AS368" s="1003"/>
      <c r="AT368" s="1003"/>
      <c r="AU368" s="1003"/>
      <c r="AV368" s="1003"/>
      <c r="AW368" s="1003"/>
      <c r="AX368" s="1003"/>
      <c r="AY368" s="1003"/>
      <c r="AZ368" s="1003"/>
      <c r="BA368" s="1003"/>
      <c r="BB368" s="1003"/>
      <c r="BC368" s="1003"/>
      <c r="BD368" s="1003"/>
      <c r="BE368" s="1003"/>
      <c r="BF368" s="1003"/>
      <c r="BG368" s="1003"/>
      <c r="BH368" s="1003"/>
      <c r="BI368" s="1003"/>
      <c r="BJ368" s="1003"/>
      <c r="BK368" s="1003"/>
      <c r="BL368" s="1003"/>
    </row>
    <row r="369" spans="1:64">
      <c r="A369" s="1818"/>
      <c r="B369" s="1048"/>
      <c r="C369" s="1817" t="s">
        <v>1120</v>
      </c>
      <c r="D369" s="1034">
        <v>2.5</v>
      </c>
      <c r="E369" s="1044" t="s">
        <v>36</v>
      </c>
      <c r="F369" s="1001">
        <f>'Civil-SOR'!$G$307</f>
        <v>520</v>
      </c>
      <c r="G369" s="1045">
        <v>1</v>
      </c>
      <c r="H369" s="1044" t="s">
        <v>39</v>
      </c>
      <c r="I369" s="1001">
        <f t="shared" si="38"/>
        <v>1300</v>
      </c>
      <c r="J369" s="1002"/>
      <c r="K369" s="1002"/>
      <c r="L369" s="1002"/>
      <c r="M369" s="1003"/>
      <c r="N369" s="1003"/>
      <c r="O369" s="1003"/>
      <c r="P369" s="1003"/>
      <c r="Q369" s="1003"/>
      <c r="R369" s="1003"/>
      <c r="S369" s="1003"/>
      <c r="T369" s="1003"/>
      <c r="U369" s="1003"/>
      <c r="V369" s="1003"/>
      <c r="W369" s="1003"/>
      <c r="X369" s="1003"/>
      <c r="Y369" s="1003"/>
      <c r="Z369" s="1003"/>
      <c r="AA369" s="1003"/>
      <c r="AB369" s="1003"/>
      <c r="AC369" s="1003"/>
      <c r="AD369" s="1003"/>
      <c r="AE369" s="1003"/>
      <c r="AF369" s="1003"/>
      <c r="AG369" s="1003"/>
      <c r="AH369" s="1003"/>
      <c r="AI369" s="1003"/>
      <c r="AJ369" s="1003"/>
      <c r="AK369" s="1003"/>
      <c r="AL369" s="1003"/>
      <c r="AM369" s="1003"/>
      <c r="AN369" s="1003"/>
      <c r="AO369" s="1003"/>
      <c r="AP369" s="1003"/>
      <c r="AQ369" s="1003"/>
      <c r="AR369" s="1003"/>
      <c r="AS369" s="1003"/>
      <c r="AT369" s="1003"/>
      <c r="AU369" s="1003"/>
      <c r="AV369" s="1003"/>
      <c r="AW369" s="1003"/>
      <c r="AX369" s="1003"/>
      <c r="AY369" s="1003"/>
      <c r="AZ369" s="1003"/>
      <c r="BA369" s="1003"/>
      <c r="BB369" s="1003"/>
      <c r="BC369" s="1003"/>
      <c r="BD369" s="1003"/>
      <c r="BE369" s="1003"/>
      <c r="BF369" s="1003"/>
      <c r="BG369" s="1003"/>
      <c r="BH369" s="1003"/>
      <c r="BI369" s="1003"/>
      <c r="BJ369" s="1003"/>
      <c r="BK369" s="1003"/>
      <c r="BL369" s="1003"/>
    </row>
    <row r="370" spans="1:64">
      <c r="A370" s="1818"/>
      <c r="B370" s="1048"/>
      <c r="C370" s="1817" t="s">
        <v>539</v>
      </c>
      <c r="D370" s="1034">
        <v>0.2</v>
      </c>
      <c r="E370" s="1044" t="s">
        <v>36</v>
      </c>
      <c r="F370" s="1001">
        <f>'Civil-SOR'!$G$305</f>
        <v>550</v>
      </c>
      <c r="G370" s="1045">
        <v>1</v>
      </c>
      <c r="H370" s="1044" t="s">
        <v>39</v>
      </c>
      <c r="I370" s="1001">
        <f t="shared" si="38"/>
        <v>110</v>
      </c>
      <c r="J370" s="1002"/>
      <c r="K370" s="1002"/>
      <c r="L370" s="1002"/>
      <c r="M370" s="1003"/>
      <c r="N370" s="1003"/>
      <c r="O370" s="1003"/>
      <c r="P370" s="1003"/>
      <c r="Q370" s="1003"/>
      <c r="R370" s="1003"/>
      <c r="S370" s="1003"/>
      <c r="T370" s="1003"/>
      <c r="U370" s="1003"/>
      <c r="V370" s="1003"/>
      <c r="W370" s="1003"/>
      <c r="X370" s="1003"/>
      <c r="Y370" s="1003"/>
      <c r="Z370" s="1003"/>
      <c r="AA370" s="1003"/>
      <c r="AB370" s="1003"/>
      <c r="AC370" s="1003"/>
      <c r="AD370" s="1003"/>
      <c r="AE370" s="1003"/>
      <c r="AF370" s="1003"/>
      <c r="AG370" s="1003"/>
      <c r="AH370" s="1003"/>
      <c r="AI370" s="1003"/>
      <c r="AJ370" s="1003"/>
      <c r="AK370" s="1003"/>
      <c r="AL370" s="1003"/>
      <c r="AM370" s="1003"/>
      <c r="AN370" s="1003"/>
      <c r="AO370" s="1003"/>
      <c r="AP370" s="1003"/>
      <c r="AQ370" s="1003"/>
      <c r="AR370" s="1003"/>
      <c r="AS370" s="1003"/>
      <c r="AT370" s="1003"/>
      <c r="AU370" s="1003"/>
      <c r="AV370" s="1003"/>
      <c r="AW370" s="1003"/>
      <c r="AX370" s="1003"/>
      <c r="AY370" s="1003"/>
      <c r="AZ370" s="1003"/>
      <c r="BA370" s="1003"/>
      <c r="BB370" s="1003"/>
      <c r="BC370" s="1003"/>
      <c r="BD370" s="1003"/>
      <c r="BE370" s="1003"/>
      <c r="BF370" s="1003"/>
      <c r="BG370" s="1003"/>
      <c r="BH370" s="1003"/>
      <c r="BI370" s="1003"/>
      <c r="BJ370" s="1003"/>
      <c r="BK370" s="1003"/>
      <c r="BL370" s="1003"/>
    </row>
    <row r="371" spans="1:64">
      <c r="A371" s="1818"/>
      <c r="B371" s="1048"/>
      <c r="C371" s="1817" t="str">
        <f>Input!$C$47</f>
        <v>Add for MA @ 40%</v>
      </c>
      <c r="D371" s="1034">
        <f>Input!$D$47</f>
        <v>0.4</v>
      </c>
      <c r="E371" s="1044"/>
      <c r="F371" s="1001">
        <f>SUM(I368:I370)</f>
        <v>1520</v>
      </c>
      <c r="G371" s="1045"/>
      <c r="H371" s="1044"/>
      <c r="I371" s="1001">
        <f t="shared" si="38"/>
        <v>608</v>
      </c>
      <c r="J371" s="1002"/>
      <c r="K371" s="1002"/>
      <c r="L371" s="1002"/>
      <c r="M371" s="1003"/>
      <c r="N371" s="1003"/>
      <c r="O371" s="1003"/>
      <c r="P371" s="1003"/>
      <c r="Q371" s="1003"/>
      <c r="R371" s="1003"/>
      <c r="S371" s="1003"/>
      <c r="T371" s="1003"/>
      <c r="U371" s="1003"/>
      <c r="V371" s="1003"/>
      <c r="W371" s="1003"/>
      <c r="X371" s="1003"/>
      <c r="Y371" s="1003"/>
      <c r="Z371" s="1003"/>
      <c r="AA371" s="1003"/>
      <c r="AB371" s="1003"/>
      <c r="AC371" s="1003"/>
      <c r="AD371" s="1003"/>
      <c r="AE371" s="1003"/>
      <c r="AF371" s="1003"/>
      <c r="AG371" s="1003"/>
      <c r="AH371" s="1003"/>
      <c r="AI371" s="1003"/>
      <c r="AJ371" s="1003"/>
      <c r="AK371" s="1003"/>
      <c r="AL371" s="1003"/>
      <c r="AM371" s="1003"/>
      <c r="AN371" s="1003"/>
      <c r="AO371" s="1003"/>
      <c r="AP371" s="1003"/>
      <c r="AQ371" s="1003"/>
      <c r="AR371" s="1003"/>
      <c r="AS371" s="1003"/>
      <c r="AT371" s="1003"/>
      <c r="AU371" s="1003"/>
      <c r="AV371" s="1003"/>
      <c r="AW371" s="1003"/>
      <c r="AX371" s="1003"/>
      <c r="AY371" s="1003"/>
      <c r="AZ371" s="1003"/>
      <c r="BA371" s="1003"/>
      <c r="BB371" s="1003"/>
      <c r="BC371" s="1003"/>
      <c r="BD371" s="1003"/>
      <c r="BE371" s="1003"/>
      <c r="BF371" s="1003"/>
      <c r="BG371" s="1003"/>
      <c r="BH371" s="1003"/>
      <c r="BI371" s="1003"/>
      <c r="BJ371" s="1003"/>
      <c r="BK371" s="1003"/>
      <c r="BL371" s="1003"/>
    </row>
    <row r="372" spans="1:64">
      <c r="A372" s="1818"/>
      <c r="B372" s="1048"/>
      <c r="C372" s="1817"/>
      <c r="D372" s="1034"/>
      <c r="E372" s="1044"/>
      <c r="F372" s="1001"/>
      <c r="G372" s="1045"/>
      <c r="H372" s="1044"/>
      <c r="I372" s="1001">
        <f>SUM(I366:I371)</f>
        <v>2128</v>
      </c>
      <c r="J372" s="1002"/>
      <c r="K372" s="1002"/>
      <c r="L372" s="1002"/>
      <c r="M372" s="1003"/>
      <c r="N372" s="1003"/>
      <c r="O372" s="1003"/>
      <c r="P372" s="1003"/>
      <c r="Q372" s="1003"/>
      <c r="R372" s="1003"/>
      <c r="S372" s="1003"/>
      <c r="T372" s="1003"/>
      <c r="U372" s="1003"/>
      <c r="V372" s="1003"/>
      <c r="W372" s="1003"/>
      <c r="X372" s="1003"/>
      <c r="Y372" s="1003"/>
      <c r="Z372" s="1003"/>
      <c r="AA372" s="1003"/>
      <c r="AB372" s="1003"/>
      <c r="AC372" s="1003"/>
      <c r="AD372" s="1003"/>
      <c r="AE372" s="1003"/>
      <c r="AF372" s="1003"/>
      <c r="AG372" s="1003"/>
      <c r="AH372" s="1003"/>
      <c r="AI372" s="1003"/>
      <c r="AJ372" s="1003"/>
      <c r="AK372" s="1003"/>
      <c r="AL372" s="1003"/>
      <c r="AM372" s="1003"/>
      <c r="AN372" s="1003"/>
      <c r="AO372" s="1003"/>
      <c r="AP372" s="1003"/>
      <c r="AQ372" s="1003"/>
      <c r="AR372" s="1003"/>
      <c r="AS372" s="1003"/>
      <c r="AT372" s="1003"/>
      <c r="AU372" s="1003"/>
      <c r="AV372" s="1003"/>
      <c r="AW372" s="1003"/>
      <c r="AX372" s="1003"/>
      <c r="AY372" s="1003"/>
      <c r="AZ372" s="1003"/>
      <c r="BA372" s="1003"/>
      <c r="BB372" s="1003"/>
      <c r="BC372" s="1003"/>
      <c r="BD372" s="1003"/>
      <c r="BE372" s="1003"/>
      <c r="BF372" s="1003"/>
      <c r="BG372" s="1003"/>
      <c r="BH372" s="1003"/>
      <c r="BI372" s="1003"/>
      <c r="BJ372" s="1003"/>
      <c r="BK372" s="1003"/>
      <c r="BL372" s="1003"/>
    </row>
    <row r="373" spans="1:64">
      <c r="A373" s="1818"/>
      <c r="B373" s="1048"/>
      <c r="C373" s="1817" t="s">
        <v>1131</v>
      </c>
      <c r="D373" s="1034">
        <f>1/100</f>
        <v>0.01</v>
      </c>
      <c r="E373" s="1044"/>
      <c r="F373" s="1001">
        <f>I372</f>
        <v>2128</v>
      </c>
      <c r="G373" s="1045"/>
      <c r="H373" s="1044"/>
      <c r="I373" s="1001">
        <f>IF(G373="",D373*F373,(D373*F373/G373))</f>
        <v>21.28</v>
      </c>
      <c r="J373" s="1002"/>
      <c r="K373" s="1002"/>
      <c r="L373" s="1002"/>
      <c r="M373" s="1003"/>
      <c r="N373" s="1003"/>
      <c r="O373" s="1003"/>
      <c r="P373" s="1003"/>
      <c r="Q373" s="1003"/>
      <c r="R373" s="1003"/>
      <c r="S373" s="1003"/>
      <c r="T373" s="1003"/>
      <c r="U373" s="1003"/>
      <c r="V373" s="1003"/>
      <c r="W373" s="1003"/>
      <c r="X373" s="1003"/>
      <c r="Y373" s="1003"/>
      <c r="Z373" s="1003"/>
      <c r="AA373" s="1003"/>
      <c r="AB373" s="1003"/>
      <c r="AC373" s="1003"/>
      <c r="AD373" s="1003"/>
      <c r="AE373" s="1003"/>
      <c r="AF373" s="1003"/>
      <c r="AG373" s="1003"/>
      <c r="AH373" s="1003"/>
      <c r="AI373" s="1003"/>
      <c r="AJ373" s="1003"/>
      <c r="AK373" s="1003"/>
      <c r="AL373" s="1003"/>
      <c r="AM373" s="1003"/>
      <c r="AN373" s="1003"/>
      <c r="AO373" s="1003"/>
      <c r="AP373" s="1003"/>
      <c r="AQ373" s="1003"/>
      <c r="AR373" s="1003"/>
      <c r="AS373" s="1003"/>
      <c r="AT373" s="1003"/>
      <c r="AU373" s="1003"/>
      <c r="AV373" s="1003"/>
      <c r="AW373" s="1003"/>
      <c r="AX373" s="1003"/>
      <c r="AY373" s="1003"/>
      <c r="AZ373" s="1003"/>
      <c r="BA373" s="1003"/>
      <c r="BB373" s="1003"/>
      <c r="BC373" s="1003"/>
      <c r="BD373" s="1003"/>
      <c r="BE373" s="1003"/>
      <c r="BF373" s="1003"/>
      <c r="BG373" s="1003"/>
      <c r="BH373" s="1003"/>
      <c r="BI373" s="1003"/>
      <c r="BJ373" s="1003"/>
      <c r="BK373" s="1003"/>
      <c r="BL373" s="1003"/>
    </row>
    <row r="374" spans="1:64">
      <c r="A374" s="1818"/>
      <c r="B374" s="1048"/>
      <c r="C374" s="1816" t="s">
        <v>1133</v>
      </c>
      <c r="D374" s="1034"/>
      <c r="E374" s="1044"/>
      <c r="F374" s="1001"/>
      <c r="G374" s="1045"/>
      <c r="H374" s="1044"/>
      <c r="I374" s="1009">
        <f>SUM(I372:I373)</f>
        <v>2149.2800000000002</v>
      </c>
      <c r="J374" s="1002"/>
      <c r="K374" s="1002"/>
      <c r="L374" s="1002"/>
      <c r="M374" s="1003"/>
      <c r="N374" s="1003"/>
      <c r="O374" s="1003"/>
      <c r="P374" s="1003"/>
      <c r="Q374" s="1003"/>
      <c r="R374" s="1003"/>
      <c r="S374" s="1003"/>
      <c r="T374" s="1003"/>
      <c r="U374" s="1003"/>
      <c r="V374" s="1003"/>
      <c r="W374" s="1003"/>
      <c r="X374" s="1003"/>
      <c r="Y374" s="1003"/>
      <c r="Z374" s="1003"/>
      <c r="AA374" s="1003"/>
      <c r="AB374" s="1003"/>
      <c r="AC374" s="1003"/>
      <c r="AD374" s="1003"/>
      <c r="AE374" s="1003"/>
      <c r="AF374" s="1003"/>
      <c r="AG374" s="1003"/>
      <c r="AH374" s="1003"/>
      <c r="AI374" s="1003"/>
      <c r="AJ374" s="1003"/>
      <c r="AK374" s="1003"/>
      <c r="AL374" s="1003"/>
      <c r="AM374" s="1003"/>
      <c r="AN374" s="1003"/>
      <c r="AO374" s="1003"/>
      <c r="AP374" s="1003"/>
      <c r="AQ374" s="1003"/>
      <c r="AR374" s="1003"/>
      <c r="AS374" s="1003"/>
      <c r="AT374" s="1003"/>
      <c r="AU374" s="1003"/>
      <c r="AV374" s="1003"/>
      <c r="AW374" s="1003"/>
      <c r="AX374" s="1003"/>
      <c r="AY374" s="1003"/>
      <c r="AZ374" s="1003"/>
      <c r="BA374" s="1003"/>
      <c r="BB374" s="1003"/>
      <c r="BC374" s="1003"/>
      <c r="BD374" s="1003"/>
      <c r="BE374" s="1003"/>
      <c r="BF374" s="1003"/>
      <c r="BG374" s="1003"/>
      <c r="BH374" s="1003"/>
      <c r="BI374" s="1003"/>
      <c r="BJ374" s="1003"/>
      <c r="BK374" s="1003"/>
      <c r="BL374" s="1003"/>
    </row>
    <row r="375" spans="1:64">
      <c r="A375" s="1818"/>
      <c r="B375" s="1048"/>
      <c r="C375" s="1816"/>
      <c r="D375" s="1034"/>
      <c r="E375" s="1044"/>
      <c r="F375" s="1001"/>
      <c r="G375" s="1045"/>
      <c r="H375" s="1044"/>
      <c r="I375" s="1001"/>
      <c r="J375" s="1002"/>
      <c r="K375" s="1002"/>
      <c r="L375" s="1002"/>
      <c r="M375" s="1003"/>
      <c r="N375" s="1003"/>
      <c r="O375" s="1003"/>
      <c r="P375" s="1003"/>
      <c r="Q375" s="1003"/>
      <c r="R375" s="1003"/>
      <c r="S375" s="1003"/>
      <c r="T375" s="1003"/>
      <c r="U375" s="1003"/>
      <c r="V375" s="1003"/>
      <c r="W375" s="1003"/>
      <c r="X375" s="1003"/>
      <c r="Y375" s="1003"/>
      <c r="Z375" s="1003"/>
      <c r="AA375" s="1003"/>
      <c r="AB375" s="1003"/>
      <c r="AC375" s="1003"/>
      <c r="AD375" s="1003"/>
      <c r="AE375" s="1003"/>
      <c r="AF375" s="1003"/>
      <c r="AG375" s="1003"/>
      <c r="AH375" s="1003"/>
      <c r="AI375" s="1003"/>
      <c r="AJ375" s="1003"/>
      <c r="AK375" s="1003"/>
      <c r="AL375" s="1003"/>
      <c r="AM375" s="1003"/>
      <c r="AN375" s="1003"/>
      <c r="AO375" s="1003"/>
      <c r="AP375" s="1003"/>
      <c r="AQ375" s="1003"/>
      <c r="AR375" s="1003"/>
      <c r="AS375" s="1003"/>
      <c r="AT375" s="1003"/>
      <c r="AU375" s="1003"/>
      <c r="AV375" s="1003"/>
      <c r="AW375" s="1003"/>
      <c r="AX375" s="1003"/>
      <c r="AY375" s="1003"/>
      <c r="AZ375" s="1003"/>
      <c r="BA375" s="1003"/>
      <c r="BB375" s="1003"/>
      <c r="BC375" s="1003"/>
      <c r="BD375" s="1003"/>
      <c r="BE375" s="1003"/>
      <c r="BF375" s="1003"/>
      <c r="BG375" s="1003"/>
      <c r="BH375" s="1003"/>
      <c r="BI375" s="1003"/>
      <c r="BJ375" s="1003"/>
      <c r="BK375" s="1003"/>
      <c r="BL375" s="1003"/>
    </row>
    <row r="376" spans="1:64">
      <c r="A376" s="1818"/>
      <c r="B376" s="1048"/>
      <c r="C376" s="1817" t="str">
        <f>Input!$C$48</f>
        <v>Overheads &amp; Contractors Profit @ 13.615%</v>
      </c>
      <c r="D376" s="1850">
        <f>Input!$D$48</f>
        <v>0.13614999999999999</v>
      </c>
      <c r="E376" s="1044"/>
      <c r="F376" s="1001">
        <f>I374</f>
        <v>2149.2800000000002</v>
      </c>
      <c r="G376" s="1045"/>
      <c r="H376" s="1071"/>
      <c r="I376" s="1001">
        <f>IF(G376="",D376*F376,(D376*F376/G376))</f>
        <v>292.62447200000003</v>
      </c>
      <c r="J376" s="1002"/>
      <c r="K376" s="1002"/>
      <c r="L376" s="1002"/>
      <c r="M376" s="1003"/>
      <c r="N376" s="1003"/>
      <c r="O376" s="1003"/>
      <c r="P376" s="1003"/>
      <c r="Q376" s="1003"/>
      <c r="R376" s="1003"/>
      <c r="S376" s="1003"/>
      <c r="T376" s="1003"/>
      <c r="U376" s="1003"/>
      <c r="V376" s="1003"/>
      <c r="W376" s="1003"/>
      <c r="X376" s="1003"/>
      <c r="Y376" s="1003"/>
      <c r="Z376" s="1003"/>
      <c r="AA376" s="1003"/>
      <c r="AB376" s="1003"/>
      <c r="AC376" s="1003"/>
      <c r="AD376" s="1003"/>
      <c r="AE376" s="1003"/>
      <c r="AF376" s="1003"/>
      <c r="AG376" s="1003"/>
      <c r="AH376" s="1003"/>
      <c r="AI376" s="1003"/>
      <c r="AJ376" s="1003"/>
      <c r="AK376" s="1003"/>
      <c r="AL376" s="1003"/>
      <c r="AM376" s="1003"/>
      <c r="AN376" s="1003"/>
      <c r="AO376" s="1003"/>
      <c r="AP376" s="1003"/>
      <c r="AQ376" s="1003"/>
      <c r="AR376" s="1003"/>
      <c r="AS376" s="1003"/>
      <c r="AT376" s="1003"/>
      <c r="AU376" s="1003"/>
      <c r="AV376" s="1003"/>
      <c r="AW376" s="1003"/>
      <c r="AX376" s="1003"/>
      <c r="AY376" s="1003"/>
      <c r="AZ376" s="1003"/>
      <c r="BA376" s="1003"/>
      <c r="BB376" s="1003"/>
      <c r="BC376" s="1003"/>
      <c r="BD376" s="1003"/>
      <c r="BE376" s="1003"/>
      <c r="BF376" s="1003"/>
      <c r="BG376" s="1003"/>
      <c r="BH376" s="1003"/>
      <c r="BI376" s="1003"/>
      <c r="BJ376" s="1003"/>
      <c r="BK376" s="1003"/>
      <c r="BL376" s="1003"/>
    </row>
    <row r="377" spans="1:64">
      <c r="A377" s="1818"/>
      <c r="B377" s="1048"/>
      <c r="C377" s="1022"/>
      <c r="D377" s="1034"/>
      <c r="E377" s="1044"/>
      <c r="F377" s="1001"/>
      <c r="G377" s="1045"/>
      <c r="H377" s="1071"/>
      <c r="I377" s="1001">
        <f>SUM(I374:I376)</f>
        <v>2441.9044720000002</v>
      </c>
      <c r="J377" s="1002"/>
      <c r="K377" s="1002"/>
      <c r="L377" s="1002"/>
      <c r="M377" s="1003"/>
      <c r="N377" s="1003"/>
      <c r="O377" s="1003"/>
      <c r="P377" s="1003"/>
      <c r="Q377" s="1003"/>
      <c r="R377" s="1003"/>
      <c r="S377" s="1003"/>
      <c r="T377" s="1003"/>
      <c r="U377" s="1003"/>
      <c r="V377" s="1003"/>
      <c r="W377" s="1003"/>
      <c r="X377" s="1003"/>
      <c r="Y377" s="1003"/>
      <c r="Z377" s="1003"/>
      <c r="AA377" s="1003"/>
      <c r="AB377" s="1003"/>
      <c r="AC377" s="1003"/>
      <c r="AD377" s="1003"/>
      <c r="AE377" s="1003"/>
      <c r="AF377" s="1003"/>
      <c r="AG377" s="1003"/>
      <c r="AH377" s="1003"/>
      <c r="AI377" s="1003"/>
      <c r="AJ377" s="1003"/>
      <c r="AK377" s="1003"/>
      <c r="AL377" s="1003"/>
      <c r="AM377" s="1003"/>
      <c r="AN377" s="1003"/>
      <c r="AO377" s="1003"/>
      <c r="AP377" s="1003"/>
      <c r="AQ377" s="1003"/>
      <c r="AR377" s="1003"/>
      <c r="AS377" s="1003"/>
      <c r="AT377" s="1003"/>
      <c r="AU377" s="1003"/>
      <c r="AV377" s="1003"/>
      <c r="AW377" s="1003"/>
      <c r="AX377" s="1003"/>
      <c r="AY377" s="1003"/>
      <c r="AZ377" s="1003"/>
      <c r="BA377" s="1003"/>
      <c r="BB377" s="1003"/>
      <c r="BC377" s="1003"/>
      <c r="BD377" s="1003"/>
      <c r="BE377" s="1003"/>
      <c r="BF377" s="1003"/>
      <c r="BG377" s="1003"/>
      <c r="BH377" s="1003"/>
      <c r="BI377" s="1003"/>
      <c r="BJ377" s="1003"/>
      <c r="BK377" s="1003"/>
      <c r="BL377" s="1003"/>
    </row>
    <row r="378" spans="1:64">
      <c r="A378" s="1818"/>
      <c r="B378" s="1048"/>
      <c r="C378" s="1816" t="s">
        <v>1032</v>
      </c>
      <c r="D378" s="1034"/>
      <c r="E378" s="1044"/>
      <c r="F378" s="1001"/>
      <c r="G378" s="1045"/>
      <c r="H378" s="1034" t="s">
        <v>1033</v>
      </c>
      <c r="I378" s="1001">
        <f>I377/10</f>
        <v>244.19044720000002</v>
      </c>
      <c r="J378" s="1002"/>
      <c r="K378" s="1002"/>
      <c r="L378" s="1002"/>
      <c r="M378" s="1003"/>
      <c r="N378" s="1003"/>
      <c r="O378" s="1003"/>
      <c r="P378" s="1003"/>
      <c r="Q378" s="1003"/>
      <c r="R378" s="1003"/>
      <c r="S378" s="1003"/>
      <c r="T378" s="1003"/>
      <c r="U378" s="1003"/>
      <c r="V378" s="1003"/>
      <c r="W378" s="1003"/>
      <c r="X378" s="1003"/>
      <c r="Y378" s="1003"/>
      <c r="Z378" s="1003"/>
      <c r="AA378" s="1003"/>
      <c r="AB378" s="1003"/>
      <c r="AC378" s="1003"/>
      <c r="AD378" s="1003"/>
      <c r="AE378" s="1003"/>
      <c r="AF378" s="1003"/>
      <c r="AG378" s="1003"/>
      <c r="AH378" s="1003"/>
      <c r="AI378" s="1003"/>
      <c r="AJ378" s="1003"/>
      <c r="AK378" s="1003"/>
      <c r="AL378" s="1003"/>
      <c r="AM378" s="1003"/>
      <c r="AN378" s="1003"/>
      <c r="AO378" s="1003"/>
      <c r="AP378" s="1003"/>
      <c r="AQ378" s="1003"/>
      <c r="AR378" s="1003"/>
      <c r="AS378" s="1003"/>
      <c r="AT378" s="1003"/>
      <c r="AU378" s="1003"/>
      <c r="AV378" s="1003"/>
      <c r="AW378" s="1003"/>
      <c r="AX378" s="1003"/>
      <c r="AY378" s="1003"/>
      <c r="AZ378" s="1003"/>
      <c r="BA378" s="1003"/>
      <c r="BB378" s="1003"/>
      <c r="BC378" s="1003"/>
      <c r="BD378" s="1003"/>
      <c r="BE378" s="1003"/>
      <c r="BF378" s="1003"/>
      <c r="BG378" s="1003"/>
      <c r="BH378" s="1003"/>
      <c r="BI378" s="1003"/>
      <c r="BJ378" s="1003"/>
      <c r="BK378" s="1003"/>
      <c r="BL378" s="1003"/>
    </row>
    <row r="379" spans="1:64">
      <c r="A379" s="1818"/>
      <c r="B379" s="1048"/>
      <c r="C379" s="1022"/>
      <c r="D379" s="1034"/>
      <c r="E379" s="1044"/>
      <c r="F379" s="1001"/>
      <c r="G379" s="1045"/>
      <c r="H379" s="1046" t="s">
        <v>1096</v>
      </c>
      <c r="I379" s="1011">
        <f>ROUND(I378,0)</f>
        <v>244</v>
      </c>
      <c r="J379" s="1002"/>
      <c r="K379" s="1002"/>
      <c r="L379" s="1002"/>
      <c r="M379" s="1003"/>
      <c r="N379" s="1003"/>
      <c r="O379" s="1003"/>
      <c r="P379" s="1003"/>
      <c r="Q379" s="1003"/>
      <c r="R379" s="1003"/>
      <c r="S379" s="1003"/>
      <c r="T379" s="1003"/>
      <c r="U379" s="1003"/>
      <c r="V379" s="1003"/>
      <c r="W379" s="1003"/>
      <c r="X379" s="1003"/>
      <c r="Y379" s="1003"/>
      <c r="Z379" s="1003"/>
      <c r="AA379" s="1003"/>
      <c r="AB379" s="1003"/>
      <c r="AC379" s="1003"/>
      <c r="AD379" s="1003"/>
      <c r="AE379" s="1003"/>
      <c r="AF379" s="1003"/>
      <c r="AG379" s="1003"/>
      <c r="AH379" s="1003"/>
      <c r="AI379" s="1003"/>
      <c r="AJ379" s="1003"/>
      <c r="AK379" s="1003"/>
      <c r="AL379" s="1003"/>
      <c r="AM379" s="1003"/>
      <c r="AN379" s="1003"/>
      <c r="AO379" s="1003"/>
      <c r="AP379" s="1003"/>
      <c r="AQ379" s="1003"/>
      <c r="AR379" s="1003"/>
      <c r="AS379" s="1003"/>
      <c r="AT379" s="1003"/>
      <c r="AU379" s="1003"/>
      <c r="AV379" s="1003"/>
      <c r="AW379" s="1003"/>
      <c r="AX379" s="1003"/>
      <c r="AY379" s="1003"/>
      <c r="AZ379" s="1003"/>
      <c r="BA379" s="1003"/>
      <c r="BB379" s="1003"/>
      <c r="BC379" s="1003"/>
      <c r="BD379" s="1003"/>
      <c r="BE379" s="1003"/>
      <c r="BF379" s="1003"/>
      <c r="BG379" s="1003"/>
      <c r="BH379" s="1003"/>
      <c r="BI379" s="1003"/>
      <c r="BJ379" s="1003"/>
      <c r="BK379" s="1003"/>
      <c r="BL379" s="1003"/>
    </row>
    <row r="380" spans="1:64">
      <c r="A380" s="1818"/>
      <c r="B380" s="1048"/>
      <c r="C380" s="1816"/>
      <c r="D380" s="1034"/>
      <c r="E380" s="1044"/>
      <c r="F380" s="1001"/>
      <c r="G380" s="1045"/>
      <c r="H380" s="1071"/>
      <c r="I380" s="1011"/>
      <c r="J380" s="1846"/>
      <c r="K380" s="1846"/>
      <c r="L380" s="1846"/>
    </row>
    <row r="381" spans="1:64" ht="71.849999999999994" customHeight="1">
      <c r="A381" s="2048">
        <f>A360+1</f>
        <v>9</v>
      </c>
      <c r="B381" s="2048"/>
      <c r="C381" s="2036" t="s">
        <v>3632</v>
      </c>
      <c r="D381" s="2036"/>
      <c r="E381" s="2036"/>
      <c r="F381" s="2036"/>
      <c r="G381" s="2036"/>
      <c r="H381" s="2036"/>
      <c r="I381" s="1825"/>
      <c r="J381" s="1846"/>
      <c r="K381" s="1846"/>
      <c r="L381" s="1846"/>
    </row>
    <row r="382" spans="1:64">
      <c r="A382" s="1818"/>
      <c r="B382" s="1048"/>
      <c r="C382" s="1049" t="s">
        <v>1138</v>
      </c>
      <c r="D382" s="1034"/>
      <c r="E382" s="1044"/>
      <c r="F382" s="1001"/>
      <c r="G382" s="1015"/>
      <c r="H382" s="1050"/>
      <c r="I382" s="1030"/>
      <c r="J382" s="1846"/>
      <c r="K382" s="1846"/>
      <c r="L382" s="1846"/>
    </row>
    <row r="383" spans="1:64">
      <c r="A383" s="1818"/>
      <c r="B383" s="1048"/>
      <c r="C383" s="1817" t="s">
        <v>1069</v>
      </c>
      <c r="D383" s="1034"/>
      <c r="E383" s="1044"/>
      <c r="F383" s="1001"/>
      <c r="G383" s="1015"/>
      <c r="H383" s="1050"/>
      <c r="I383" s="1030"/>
      <c r="J383" s="1846"/>
      <c r="K383" s="1846"/>
      <c r="L383" s="1846"/>
    </row>
    <row r="384" spans="1:64">
      <c r="A384" s="1818"/>
      <c r="B384" s="1048"/>
      <c r="C384" s="1816" t="s">
        <v>1139</v>
      </c>
      <c r="D384" s="1034"/>
      <c r="E384" s="1044"/>
      <c r="F384" s="1001"/>
      <c r="G384" s="1015"/>
      <c r="H384" s="1050"/>
      <c r="I384" s="1030"/>
      <c r="J384" s="1846"/>
      <c r="K384" s="1846"/>
      <c r="L384" s="1846"/>
    </row>
    <row r="385" spans="1:64">
      <c r="A385" s="1818"/>
      <c r="B385" s="1048"/>
      <c r="C385" s="1817" t="s">
        <v>889</v>
      </c>
      <c r="D385" s="1034">
        <v>162</v>
      </c>
      <c r="E385" s="1044" t="s">
        <v>1110</v>
      </c>
      <c r="F385" s="1001">
        <f>LEAD!$N$6</f>
        <v>5200</v>
      </c>
      <c r="G385" s="1015">
        <v>1000</v>
      </c>
      <c r="H385" s="1085" t="str">
        <f t="shared" ref="H385:H388" si="39">IF(E385="","",IF(E385="No.","Each",IF(E385="Nos.","Each",E385)))</f>
        <v>Kgs</v>
      </c>
      <c r="I385" s="1001">
        <f t="shared" ref="I385:I388" si="40">IF(G385="",D385*F385,(D385*F385/G385))</f>
        <v>842.4</v>
      </c>
      <c r="J385" s="1002"/>
      <c r="K385" s="1002"/>
      <c r="L385" s="1002"/>
      <c r="M385" s="1003"/>
      <c r="N385" s="1003"/>
      <c r="O385" s="1003"/>
      <c r="P385" s="1003"/>
      <c r="Q385" s="1003"/>
      <c r="R385" s="1003"/>
      <c r="S385" s="1003"/>
      <c r="T385" s="1003"/>
      <c r="U385" s="1003"/>
      <c r="V385" s="1003"/>
      <c r="W385" s="1003"/>
      <c r="X385" s="1003"/>
      <c r="Y385" s="1003"/>
      <c r="Z385" s="1003"/>
      <c r="AA385" s="1003"/>
      <c r="AB385" s="1003"/>
      <c r="AC385" s="1003"/>
      <c r="AD385" s="1003"/>
      <c r="AE385" s="1003"/>
      <c r="AF385" s="1003"/>
      <c r="AG385" s="1003"/>
      <c r="AH385" s="1003"/>
      <c r="AI385" s="1003"/>
      <c r="AJ385" s="1003"/>
      <c r="AK385" s="1003"/>
      <c r="AL385" s="1003"/>
      <c r="AM385" s="1003"/>
      <c r="AN385" s="1003"/>
      <c r="AO385" s="1003"/>
      <c r="AP385" s="1003"/>
      <c r="AQ385" s="1003"/>
      <c r="AR385" s="1003"/>
      <c r="AS385" s="1003"/>
      <c r="AT385" s="1003"/>
      <c r="AU385" s="1003"/>
      <c r="AV385" s="1003"/>
      <c r="AW385" s="1003"/>
      <c r="AX385" s="1003"/>
      <c r="AY385" s="1003"/>
      <c r="AZ385" s="1003"/>
      <c r="BA385" s="1003"/>
      <c r="BB385" s="1003"/>
      <c r="BC385" s="1003"/>
      <c r="BD385" s="1003"/>
      <c r="BE385" s="1003"/>
      <c r="BF385" s="1003"/>
      <c r="BG385" s="1003"/>
      <c r="BH385" s="1003"/>
      <c r="BI385" s="1003"/>
      <c r="BJ385" s="1003"/>
      <c r="BK385" s="1003"/>
      <c r="BL385" s="1003"/>
    </row>
    <row r="386" spans="1:64">
      <c r="A386" s="1818"/>
      <c r="B386" s="1048"/>
      <c r="C386" s="1817" t="s">
        <v>1140</v>
      </c>
      <c r="D386" s="1000">
        <v>0.9</v>
      </c>
      <c r="E386" s="1044" t="s">
        <v>484</v>
      </c>
      <c r="F386" s="1001">
        <f>LEAD!$N$18</f>
        <v>1310.96</v>
      </c>
      <c r="G386" s="1015">
        <v>1</v>
      </c>
      <c r="H386" s="1085" t="str">
        <f t="shared" si="39"/>
        <v>Cum</v>
      </c>
      <c r="I386" s="1001">
        <f t="shared" si="40"/>
        <v>1179.864</v>
      </c>
      <c r="J386" s="1002"/>
      <c r="K386" s="1002"/>
      <c r="L386" s="1002"/>
      <c r="M386" s="1003"/>
      <c r="N386" s="1003"/>
      <c r="O386" s="1003"/>
      <c r="P386" s="1003"/>
      <c r="Q386" s="1003"/>
      <c r="R386" s="1003"/>
      <c r="S386" s="1003"/>
      <c r="T386" s="1003"/>
      <c r="U386" s="1003"/>
      <c r="V386" s="1003"/>
      <c r="W386" s="1003"/>
      <c r="X386" s="1003"/>
      <c r="Y386" s="1003"/>
      <c r="Z386" s="1003"/>
      <c r="AA386" s="1003"/>
      <c r="AB386" s="1003"/>
      <c r="AC386" s="1003"/>
      <c r="AD386" s="1003"/>
      <c r="AE386" s="1003"/>
      <c r="AF386" s="1003"/>
      <c r="AG386" s="1003"/>
      <c r="AH386" s="1003"/>
      <c r="AI386" s="1003"/>
      <c r="AJ386" s="1003"/>
      <c r="AK386" s="1003"/>
      <c r="AL386" s="1003"/>
      <c r="AM386" s="1003"/>
      <c r="AN386" s="1003"/>
      <c r="AO386" s="1003"/>
      <c r="AP386" s="1003"/>
      <c r="AQ386" s="1003"/>
      <c r="AR386" s="1003"/>
      <c r="AS386" s="1003"/>
      <c r="AT386" s="1003"/>
      <c r="AU386" s="1003"/>
      <c r="AV386" s="1003"/>
      <c r="AW386" s="1003"/>
      <c r="AX386" s="1003"/>
      <c r="AY386" s="1003"/>
      <c r="AZ386" s="1003"/>
      <c r="BA386" s="1003"/>
      <c r="BB386" s="1003"/>
      <c r="BC386" s="1003"/>
      <c r="BD386" s="1003"/>
      <c r="BE386" s="1003"/>
      <c r="BF386" s="1003"/>
      <c r="BG386" s="1003"/>
      <c r="BH386" s="1003"/>
      <c r="BI386" s="1003"/>
      <c r="BJ386" s="1003"/>
      <c r="BK386" s="1003"/>
      <c r="BL386" s="1003"/>
    </row>
    <row r="387" spans="1:64">
      <c r="A387" s="1818"/>
      <c r="B387" s="1048"/>
      <c r="C387" s="1817" t="s">
        <v>1141</v>
      </c>
      <c r="D387" s="1000">
        <v>0.45</v>
      </c>
      <c r="E387" s="1044" t="s">
        <v>484</v>
      </c>
      <c r="F387" s="1001">
        <f>LEAD!$N$12</f>
        <v>2253.91</v>
      </c>
      <c r="G387" s="1015">
        <v>1</v>
      </c>
      <c r="H387" s="1085" t="str">
        <f t="shared" si="39"/>
        <v>Cum</v>
      </c>
      <c r="I387" s="1001">
        <f t="shared" si="40"/>
        <v>1014.2595</v>
      </c>
      <c r="J387" s="1002"/>
      <c r="K387" s="1002"/>
      <c r="L387" s="1002"/>
      <c r="M387" s="1003"/>
      <c r="N387" s="1003"/>
      <c r="O387" s="1003"/>
      <c r="P387" s="1003"/>
      <c r="Q387" s="1003"/>
      <c r="R387" s="1003"/>
      <c r="S387" s="1003"/>
      <c r="T387" s="1003"/>
      <c r="U387" s="1003"/>
      <c r="V387" s="1003"/>
      <c r="W387" s="1003"/>
      <c r="X387" s="1003"/>
      <c r="Y387" s="1003"/>
      <c r="Z387" s="1003"/>
      <c r="AA387" s="1003"/>
      <c r="AB387" s="1003"/>
      <c r="AC387" s="1003"/>
      <c r="AD387" s="1003"/>
      <c r="AE387" s="1003"/>
      <c r="AF387" s="1003"/>
      <c r="AG387" s="1003"/>
      <c r="AH387" s="1003"/>
      <c r="AI387" s="1003"/>
      <c r="AJ387" s="1003"/>
      <c r="AK387" s="1003"/>
      <c r="AL387" s="1003"/>
      <c r="AM387" s="1003"/>
      <c r="AN387" s="1003"/>
      <c r="AO387" s="1003"/>
      <c r="AP387" s="1003"/>
      <c r="AQ387" s="1003"/>
      <c r="AR387" s="1003"/>
      <c r="AS387" s="1003"/>
      <c r="AT387" s="1003"/>
      <c r="AU387" s="1003"/>
      <c r="AV387" s="1003"/>
      <c r="AW387" s="1003"/>
      <c r="AX387" s="1003"/>
      <c r="AY387" s="1003"/>
      <c r="AZ387" s="1003"/>
      <c r="BA387" s="1003"/>
      <c r="BB387" s="1003"/>
      <c r="BC387" s="1003"/>
      <c r="BD387" s="1003"/>
      <c r="BE387" s="1003"/>
      <c r="BF387" s="1003"/>
      <c r="BG387" s="1003"/>
      <c r="BH387" s="1003"/>
      <c r="BI387" s="1003"/>
      <c r="BJ387" s="1003"/>
      <c r="BK387" s="1003"/>
      <c r="BL387" s="1003"/>
    </row>
    <row r="388" spans="1:64">
      <c r="A388" s="1818"/>
      <c r="B388" s="1048"/>
      <c r="C388" s="1817" t="s">
        <v>1142</v>
      </c>
      <c r="D388" s="1000">
        <v>1.2</v>
      </c>
      <c r="E388" s="1044" t="s">
        <v>1143</v>
      </c>
      <c r="F388" s="1001">
        <f>Input!$D$53</f>
        <v>108</v>
      </c>
      <c r="G388" s="1015">
        <v>1</v>
      </c>
      <c r="H388" s="1085" t="str">
        <f t="shared" si="39"/>
        <v>kl</v>
      </c>
      <c r="I388" s="1001">
        <f t="shared" si="40"/>
        <v>129.6</v>
      </c>
      <c r="J388" s="1002"/>
      <c r="K388" s="1002"/>
      <c r="L388" s="1002"/>
      <c r="M388" s="1003"/>
      <c r="N388" s="1003"/>
      <c r="O388" s="1003"/>
      <c r="P388" s="1003"/>
      <c r="Q388" s="1003"/>
      <c r="R388" s="1003"/>
      <c r="S388" s="1003"/>
      <c r="T388" s="1003"/>
      <c r="U388" s="1003"/>
      <c r="V388" s="1003"/>
      <c r="W388" s="1003"/>
      <c r="X388" s="1003"/>
      <c r="Y388" s="1003"/>
      <c r="Z388" s="1003"/>
      <c r="AA388" s="1003"/>
      <c r="AB388" s="1003"/>
      <c r="AC388" s="1003"/>
      <c r="AD388" s="1003"/>
      <c r="AE388" s="1003"/>
      <c r="AF388" s="1003"/>
      <c r="AG388" s="1003"/>
      <c r="AH388" s="1003"/>
      <c r="AI388" s="1003"/>
      <c r="AJ388" s="1003"/>
      <c r="AK388" s="1003"/>
      <c r="AL388" s="1003"/>
      <c r="AM388" s="1003"/>
      <c r="AN388" s="1003"/>
      <c r="AO388" s="1003"/>
      <c r="AP388" s="1003"/>
      <c r="AQ388" s="1003"/>
      <c r="AR388" s="1003"/>
      <c r="AS388" s="1003"/>
      <c r="AT388" s="1003"/>
      <c r="AU388" s="1003"/>
      <c r="AV388" s="1003"/>
      <c r="AW388" s="1003"/>
      <c r="AX388" s="1003"/>
      <c r="AY388" s="1003"/>
      <c r="AZ388" s="1003"/>
      <c r="BA388" s="1003"/>
      <c r="BB388" s="1003"/>
      <c r="BC388" s="1003"/>
      <c r="BD388" s="1003"/>
      <c r="BE388" s="1003"/>
      <c r="BF388" s="1003"/>
      <c r="BG388" s="1003"/>
      <c r="BH388" s="1003"/>
      <c r="BI388" s="1003"/>
      <c r="BJ388" s="1003"/>
      <c r="BK388" s="1003"/>
      <c r="BL388" s="1003"/>
    </row>
    <row r="389" spans="1:64">
      <c r="A389" s="1818"/>
      <c r="B389" s="1048"/>
      <c r="C389" s="1816" t="s">
        <v>1144</v>
      </c>
      <c r="D389" s="1000"/>
      <c r="E389" s="1044"/>
      <c r="F389" s="1001"/>
      <c r="G389" s="1015"/>
      <c r="H389" s="1085"/>
      <c r="I389" s="1001"/>
      <c r="J389" s="1002"/>
      <c r="K389" s="1002"/>
      <c r="L389" s="1002"/>
      <c r="M389" s="1003"/>
      <c r="N389" s="1003"/>
      <c r="O389" s="1003"/>
      <c r="P389" s="1003"/>
      <c r="Q389" s="1003"/>
      <c r="R389" s="1003"/>
      <c r="S389" s="1003"/>
      <c r="T389" s="1003"/>
      <c r="U389" s="1003"/>
      <c r="V389" s="1003"/>
      <c r="W389" s="1003"/>
      <c r="X389" s="1003"/>
      <c r="Y389" s="1003"/>
      <c r="Z389" s="1003"/>
      <c r="AA389" s="1003"/>
      <c r="AB389" s="1003"/>
      <c r="AC389" s="1003"/>
      <c r="AD389" s="1003"/>
      <c r="AE389" s="1003"/>
      <c r="AF389" s="1003"/>
      <c r="AG389" s="1003"/>
      <c r="AH389" s="1003"/>
      <c r="AI389" s="1003"/>
      <c r="AJ389" s="1003"/>
      <c r="AK389" s="1003"/>
      <c r="AL389" s="1003"/>
      <c r="AM389" s="1003"/>
      <c r="AN389" s="1003"/>
      <c r="AO389" s="1003"/>
      <c r="AP389" s="1003"/>
      <c r="AQ389" s="1003"/>
      <c r="AR389" s="1003"/>
      <c r="AS389" s="1003"/>
      <c r="AT389" s="1003"/>
      <c r="AU389" s="1003"/>
      <c r="AV389" s="1003"/>
      <c r="AW389" s="1003"/>
      <c r="AX389" s="1003"/>
      <c r="AY389" s="1003"/>
      <c r="AZ389" s="1003"/>
      <c r="BA389" s="1003"/>
      <c r="BB389" s="1003"/>
      <c r="BC389" s="1003"/>
      <c r="BD389" s="1003"/>
      <c r="BE389" s="1003"/>
      <c r="BF389" s="1003"/>
      <c r="BG389" s="1003"/>
      <c r="BH389" s="1003"/>
      <c r="BI389" s="1003"/>
      <c r="BJ389" s="1003"/>
      <c r="BK389" s="1003"/>
      <c r="BL389" s="1003"/>
    </row>
    <row r="390" spans="1:64" ht="25.5">
      <c r="A390" s="1818"/>
      <c r="B390" s="1048"/>
      <c r="C390" s="1817" t="s">
        <v>1145</v>
      </c>
      <c r="D390" s="1000">
        <v>1</v>
      </c>
      <c r="E390" s="1044" t="s">
        <v>400</v>
      </c>
      <c r="F390" s="1001">
        <f>'Civil-SOR'!$G$330</f>
        <v>192.9</v>
      </c>
      <c r="G390" s="1015">
        <v>1</v>
      </c>
      <c r="H390" s="1015" t="str">
        <f t="shared" ref="H390:H391" si="41">IF(E390="","",IF(E390="No.","Each",IF(E390="Nos.","Each",E390)))</f>
        <v>hour</v>
      </c>
      <c r="I390" s="1001">
        <f t="shared" ref="I390:I392" si="42">IF(G390="",D390*F390,(D390*F390/G390))</f>
        <v>192.9</v>
      </c>
      <c r="J390" s="1002"/>
      <c r="K390" s="1002"/>
      <c r="L390" s="1002"/>
      <c r="M390" s="1003"/>
      <c r="N390" s="1003"/>
      <c r="O390" s="1003"/>
      <c r="P390" s="1003"/>
      <c r="Q390" s="1003"/>
      <c r="R390" s="1003"/>
      <c r="S390" s="1003"/>
      <c r="T390" s="1003"/>
      <c r="U390" s="1003"/>
      <c r="V390" s="1003"/>
      <c r="W390" s="1003"/>
      <c r="X390" s="1003"/>
      <c r="Y390" s="1003"/>
      <c r="Z390" s="1003"/>
      <c r="AA390" s="1003"/>
      <c r="AB390" s="1003"/>
      <c r="AC390" s="1003"/>
      <c r="AD390" s="1003"/>
      <c r="AE390" s="1003"/>
      <c r="AF390" s="1003"/>
      <c r="AG390" s="1003"/>
      <c r="AH390" s="1003"/>
      <c r="AI390" s="1003"/>
      <c r="AJ390" s="1003"/>
      <c r="AK390" s="1003"/>
      <c r="AL390" s="1003"/>
      <c r="AM390" s="1003"/>
      <c r="AN390" s="1003"/>
      <c r="AO390" s="1003"/>
      <c r="AP390" s="1003"/>
      <c r="AQ390" s="1003"/>
      <c r="AR390" s="1003"/>
      <c r="AS390" s="1003"/>
      <c r="AT390" s="1003"/>
      <c r="AU390" s="1003"/>
      <c r="AV390" s="1003"/>
      <c r="AW390" s="1003"/>
      <c r="AX390" s="1003"/>
      <c r="AY390" s="1003"/>
      <c r="AZ390" s="1003"/>
      <c r="BA390" s="1003"/>
      <c r="BB390" s="1003"/>
      <c r="BC390" s="1003"/>
      <c r="BD390" s="1003"/>
      <c r="BE390" s="1003"/>
      <c r="BF390" s="1003"/>
      <c r="BG390" s="1003"/>
      <c r="BH390" s="1003"/>
      <c r="BI390" s="1003"/>
      <c r="BJ390" s="1003"/>
      <c r="BK390" s="1003"/>
      <c r="BL390" s="1003"/>
    </row>
    <row r="391" spans="1:64">
      <c r="A391" s="1818"/>
      <c r="B391" s="1048"/>
      <c r="C391" s="1817" t="s">
        <v>579</v>
      </c>
      <c r="D391" s="1000">
        <v>1</v>
      </c>
      <c r="E391" s="1044" t="s">
        <v>400</v>
      </c>
      <c r="F391" s="1001">
        <f>'Civil-SOR'!$J$330</f>
        <v>302.89999999999998</v>
      </c>
      <c r="G391" s="1015">
        <v>1</v>
      </c>
      <c r="H391" s="1015" t="str">
        <f t="shared" si="41"/>
        <v>hour</v>
      </c>
      <c r="I391" s="1001">
        <f t="shared" si="42"/>
        <v>302.89999999999998</v>
      </c>
      <c r="J391" s="1002"/>
      <c r="K391" s="1002"/>
      <c r="L391" s="1002"/>
      <c r="M391" s="1003"/>
      <c r="N391" s="1003"/>
      <c r="O391" s="1003"/>
      <c r="P391" s="1003"/>
      <c r="Q391" s="1003"/>
      <c r="R391" s="1003"/>
      <c r="S391" s="1003"/>
      <c r="T391" s="1003"/>
      <c r="U391" s="1003"/>
      <c r="V391" s="1003"/>
      <c r="W391" s="1003"/>
      <c r="X391" s="1003"/>
      <c r="Y391" s="1003"/>
      <c r="Z391" s="1003"/>
      <c r="AA391" s="1003"/>
      <c r="AB391" s="1003"/>
      <c r="AC391" s="1003"/>
      <c r="AD391" s="1003"/>
      <c r="AE391" s="1003"/>
      <c r="AF391" s="1003"/>
      <c r="AG391" s="1003"/>
      <c r="AH391" s="1003"/>
      <c r="AI391" s="1003"/>
      <c r="AJ391" s="1003"/>
      <c r="AK391" s="1003"/>
      <c r="AL391" s="1003"/>
      <c r="AM391" s="1003"/>
      <c r="AN391" s="1003"/>
      <c r="AO391" s="1003"/>
      <c r="AP391" s="1003"/>
      <c r="AQ391" s="1003"/>
      <c r="AR391" s="1003"/>
      <c r="AS391" s="1003"/>
      <c r="AT391" s="1003"/>
      <c r="AU391" s="1003"/>
      <c r="AV391" s="1003"/>
      <c r="AW391" s="1003"/>
      <c r="AX391" s="1003"/>
      <c r="AY391" s="1003"/>
      <c r="AZ391" s="1003"/>
      <c r="BA391" s="1003"/>
      <c r="BB391" s="1003"/>
      <c r="BC391" s="1003"/>
      <c r="BD391" s="1003"/>
      <c r="BE391" s="1003"/>
      <c r="BF391" s="1003"/>
      <c r="BG391" s="1003"/>
      <c r="BH391" s="1003"/>
      <c r="BI391" s="1003"/>
      <c r="BJ391" s="1003"/>
      <c r="BK391" s="1003"/>
      <c r="BL391" s="1003"/>
    </row>
    <row r="392" spans="1:64">
      <c r="A392" s="1818"/>
      <c r="B392" s="1048"/>
      <c r="C392" s="1817" t="s">
        <v>1085</v>
      </c>
      <c r="D392" s="1034">
        <f>Input!$D$47</f>
        <v>0.4</v>
      </c>
      <c r="E392" s="1044"/>
      <c r="F392" s="1001">
        <f>I391</f>
        <v>302.89999999999998</v>
      </c>
      <c r="G392" s="1045"/>
      <c r="H392" s="1044"/>
      <c r="I392" s="1001">
        <f t="shared" si="42"/>
        <v>121.16</v>
      </c>
      <c r="J392" s="1002"/>
      <c r="K392" s="1002"/>
      <c r="L392" s="1002"/>
      <c r="M392" s="1003"/>
      <c r="N392" s="1003"/>
      <c r="O392" s="1003"/>
      <c r="P392" s="1003"/>
      <c r="Q392" s="1003"/>
      <c r="R392" s="1003"/>
      <c r="S392" s="1003"/>
      <c r="T392" s="1003"/>
      <c r="U392" s="1003"/>
      <c r="V392" s="1003"/>
      <c r="W392" s="1003"/>
      <c r="X392" s="1003"/>
      <c r="Y392" s="1003"/>
      <c r="Z392" s="1003"/>
      <c r="AA392" s="1003"/>
      <c r="AB392" s="1003"/>
      <c r="AC392" s="1003"/>
      <c r="AD392" s="1003"/>
      <c r="AE392" s="1003"/>
      <c r="AF392" s="1003"/>
      <c r="AG392" s="1003"/>
      <c r="AH392" s="1003"/>
      <c r="AI392" s="1003"/>
      <c r="AJ392" s="1003"/>
      <c r="AK392" s="1003"/>
      <c r="AL392" s="1003"/>
      <c r="AM392" s="1003"/>
      <c r="AN392" s="1003"/>
      <c r="AO392" s="1003"/>
      <c r="AP392" s="1003"/>
      <c r="AQ392" s="1003"/>
      <c r="AR392" s="1003"/>
      <c r="AS392" s="1003"/>
      <c r="AT392" s="1003"/>
      <c r="AU392" s="1003"/>
      <c r="AV392" s="1003"/>
      <c r="AW392" s="1003"/>
      <c r="AX392" s="1003"/>
      <c r="AY392" s="1003"/>
      <c r="AZ392" s="1003"/>
      <c r="BA392" s="1003"/>
      <c r="BB392" s="1003"/>
      <c r="BC392" s="1003"/>
      <c r="BD392" s="1003"/>
      <c r="BE392" s="1003"/>
      <c r="BF392" s="1003"/>
      <c r="BG392" s="1003"/>
      <c r="BH392" s="1003"/>
      <c r="BI392" s="1003"/>
      <c r="BJ392" s="1003"/>
      <c r="BK392" s="1003"/>
      <c r="BL392" s="1003"/>
    </row>
    <row r="393" spans="1:64">
      <c r="A393" s="1818"/>
      <c r="B393" s="1048"/>
      <c r="C393" s="1816" t="s">
        <v>1146</v>
      </c>
      <c r="D393" s="1000"/>
      <c r="E393" s="1044"/>
      <c r="F393" s="1001"/>
      <c r="G393" s="1015"/>
      <c r="H393" s="1085"/>
      <c r="I393" s="1001"/>
      <c r="J393" s="1002"/>
      <c r="K393" s="1002"/>
      <c r="L393" s="1002"/>
      <c r="M393" s="1003"/>
      <c r="N393" s="1003"/>
      <c r="O393" s="1003"/>
      <c r="P393" s="1003"/>
      <c r="Q393" s="1003"/>
      <c r="R393" s="1003"/>
      <c r="S393" s="1003"/>
      <c r="T393" s="1003"/>
      <c r="U393" s="1003"/>
      <c r="V393" s="1003"/>
      <c r="W393" s="1003"/>
      <c r="X393" s="1003"/>
      <c r="Y393" s="1003"/>
      <c r="Z393" s="1003"/>
      <c r="AA393" s="1003"/>
      <c r="AB393" s="1003"/>
      <c r="AC393" s="1003"/>
      <c r="AD393" s="1003"/>
      <c r="AE393" s="1003"/>
      <c r="AF393" s="1003"/>
      <c r="AG393" s="1003"/>
      <c r="AH393" s="1003"/>
      <c r="AI393" s="1003"/>
      <c r="AJ393" s="1003"/>
      <c r="AK393" s="1003"/>
      <c r="AL393" s="1003"/>
      <c r="AM393" s="1003"/>
      <c r="AN393" s="1003"/>
      <c r="AO393" s="1003"/>
      <c r="AP393" s="1003"/>
      <c r="AQ393" s="1003"/>
      <c r="AR393" s="1003"/>
      <c r="AS393" s="1003"/>
      <c r="AT393" s="1003"/>
      <c r="AU393" s="1003"/>
      <c r="AV393" s="1003"/>
      <c r="AW393" s="1003"/>
      <c r="AX393" s="1003"/>
      <c r="AY393" s="1003"/>
      <c r="AZ393" s="1003"/>
      <c r="BA393" s="1003"/>
      <c r="BB393" s="1003"/>
      <c r="BC393" s="1003"/>
      <c r="BD393" s="1003"/>
      <c r="BE393" s="1003"/>
      <c r="BF393" s="1003"/>
      <c r="BG393" s="1003"/>
      <c r="BH393" s="1003"/>
      <c r="BI393" s="1003"/>
      <c r="BJ393" s="1003"/>
      <c r="BK393" s="1003"/>
      <c r="BL393" s="1003"/>
    </row>
    <row r="394" spans="1:64">
      <c r="A394" s="1818"/>
      <c r="B394" s="1048"/>
      <c r="C394" s="1817" t="s">
        <v>1147</v>
      </c>
      <c r="D394" s="1000">
        <v>0.1</v>
      </c>
      <c r="E394" s="1044" t="s">
        <v>36</v>
      </c>
      <c r="F394" s="1001">
        <f>'Civil-SOR'!$G$293</f>
        <v>580</v>
      </c>
      <c r="G394" s="1015">
        <v>1</v>
      </c>
      <c r="H394" s="1085" t="str">
        <f t="shared" ref="H394:H395" si="43">IF(E394="","",IF(E394="No.","Each",IF(E394="Nos.","Each",E394)))</f>
        <v>Each</v>
      </c>
      <c r="I394" s="1001">
        <f t="shared" ref="I394:I396" si="44">IF(G394="",D394*F394,(D394*F394/G394))</f>
        <v>58</v>
      </c>
      <c r="J394" s="1002"/>
      <c r="K394" s="1002"/>
      <c r="L394" s="1002"/>
      <c r="M394" s="1003"/>
      <c r="N394" s="1003"/>
      <c r="O394" s="1003"/>
      <c r="P394" s="1003"/>
      <c r="Q394" s="1003"/>
      <c r="R394" s="1003"/>
      <c r="S394" s="1003"/>
      <c r="T394" s="1003"/>
      <c r="U394" s="1003"/>
      <c r="V394" s="1003"/>
      <c r="W394" s="1003"/>
      <c r="X394" s="1003"/>
      <c r="Y394" s="1003"/>
      <c r="Z394" s="1003"/>
      <c r="AA394" s="1003"/>
      <c r="AB394" s="1003"/>
      <c r="AC394" s="1003"/>
      <c r="AD394" s="1003"/>
      <c r="AE394" s="1003"/>
      <c r="AF394" s="1003"/>
      <c r="AG394" s="1003"/>
      <c r="AH394" s="1003"/>
      <c r="AI394" s="1003"/>
      <c r="AJ394" s="1003"/>
      <c r="AK394" s="1003"/>
      <c r="AL394" s="1003"/>
      <c r="AM394" s="1003"/>
      <c r="AN394" s="1003"/>
      <c r="AO394" s="1003"/>
      <c r="AP394" s="1003"/>
      <c r="AQ394" s="1003"/>
      <c r="AR394" s="1003"/>
      <c r="AS394" s="1003"/>
      <c r="AT394" s="1003"/>
      <c r="AU394" s="1003"/>
      <c r="AV394" s="1003"/>
      <c r="AW394" s="1003"/>
      <c r="AX394" s="1003"/>
      <c r="AY394" s="1003"/>
      <c r="AZ394" s="1003"/>
      <c r="BA394" s="1003"/>
      <c r="BB394" s="1003"/>
      <c r="BC394" s="1003"/>
      <c r="BD394" s="1003"/>
      <c r="BE394" s="1003"/>
      <c r="BF394" s="1003"/>
      <c r="BG394" s="1003"/>
      <c r="BH394" s="1003"/>
      <c r="BI394" s="1003"/>
      <c r="BJ394" s="1003"/>
      <c r="BK394" s="1003"/>
      <c r="BL394" s="1003"/>
    </row>
    <row r="395" spans="1:64">
      <c r="A395" s="1818"/>
      <c r="B395" s="1048"/>
      <c r="C395" s="1817" t="s">
        <v>1148</v>
      </c>
      <c r="D395" s="1000">
        <v>1.39</v>
      </c>
      <c r="E395" s="1044" t="s">
        <v>36</v>
      </c>
      <c r="F395" s="1001">
        <f>'Civil-SOR'!$G$307</f>
        <v>520</v>
      </c>
      <c r="G395" s="1015">
        <v>1</v>
      </c>
      <c r="H395" s="1085" t="str">
        <f t="shared" si="43"/>
        <v>Each</v>
      </c>
      <c r="I395" s="1001">
        <f t="shared" si="44"/>
        <v>722.8</v>
      </c>
      <c r="J395" s="1002"/>
      <c r="K395" s="1002"/>
      <c r="L395" s="1002"/>
      <c r="M395" s="1003"/>
      <c r="N395" s="1003"/>
      <c r="O395" s="1003"/>
      <c r="P395" s="1003"/>
      <c r="Q395" s="1003"/>
      <c r="R395" s="1003"/>
      <c r="S395" s="1003"/>
      <c r="T395" s="1003"/>
      <c r="U395" s="1003"/>
      <c r="V395" s="1003"/>
      <c r="W395" s="1003"/>
      <c r="X395" s="1003"/>
      <c r="Y395" s="1003"/>
      <c r="Z395" s="1003"/>
      <c r="AA395" s="1003"/>
      <c r="AB395" s="1003"/>
      <c r="AC395" s="1003"/>
      <c r="AD395" s="1003"/>
      <c r="AE395" s="1003"/>
      <c r="AF395" s="1003"/>
      <c r="AG395" s="1003"/>
      <c r="AH395" s="1003"/>
      <c r="AI395" s="1003"/>
      <c r="AJ395" s="1003"/>
      <c r="AK395" s="1003"/>
      <c r="AL395" s="1003"/>
      <c r="AM395" s="1003"/>
      <c r="AN395" s="1003"/>
      <c r="AO395" s="1003"/>
      <c r="AP395" s="1003"/>
      <c r="AQ395" s="1003"/>
      <c r="AR395" s="1003"/>
      <c r="AS395" s="1003"/>
      <c r="AT395" s="1003"/>
      <c r="AU395" s="1003"/>
      <c r="AV395" s="1003"/>
      <c r="AW395" s="1003"/>
      <c r="AX395" s="1003"/>
      <c r="AY395" s="1003"/>
      <c r="AZ395" s="1003"/>
      <c r="BA395" s="1003"/>
      <c r="BB395" s="1003"/>
      <c r="BC395" s="1003"/>
      <c r="BD395" s="1003"/>
      <c r="BE395" s="1003"/>
      <c r="BF395" s="1003"/>
      <c r="BG395" s="1003"/>
      <c r="BH395" s="1003"/>
      <c r="BI395" s="1003"/>
      <c r="BJ395" s="1003"/>
      <c r="BK395" s="1003"/>
      <c r="BL395" s="1003"/>
    </row>
    <row r="396" spans="1:64">
      <c r="A396" s="1818"/>
      <c r="B396" s="1048"/>
      <c r="C396" s="1817" t="str">
        <f>Input!$C$47</f>
        <v>Add for MA @ 40%</v>
      </c>
      <c r="D396" s="1034">
        <f>Input!$D$47</f>
        <v>0.4</v>
      </c>
      <c r="E396" s="1044"/>
      <c r="F396" s="1001">
        <f>SUM(I394:I395)</f>
        <v>780.8</v>
      </c>
      <c r="G396" s="1015"/>
      <c r="H396" s="1085"/>
      <c r="I396" s="1001">
        <f t="shared" si="44"/>
        <v>312.32</v>
      </c>
      <c r="J396" s="1002"/>
      <c r="K396" s="1002"/>
      <c r="L396" s="1002"/>
      <c r="M396" s="1003"/>
      <c r="N396" s="1003"/>
      <c r="O396" s="1003"/>
      <c r="P396" s="1003"/>
      <c r="Q396" s="1003"/>
      <c r="R396" s="1003"/>
      <c r="S396" s="1003"/>
      <c r="T396" s="1003"/>
      <c r="U396" s="1003"/>
      <c r="V396" s="1003"/>
      <c r="W396" s="1003"/>
      <c r="X396" s="1003"/>
      <c r="Y396" s="1003"/>
      <c r="Z396" s="1003"/>
      <c r="AA396" s="1003"/>
      <c r="AB396" s="1003"/>
      <c r="AC396" s="1003"/>
      <c r="AD396" s="1003"/>
      <c r="AE396" s="1003"/>
      <c r="AF396" s="1003"/>
      <c r="AG396" s="1003"/>
      <c r="AH396" s="1003"/>
      <c r="AI396" s="1003"/>
      <c r="AJ396" s="1003"/>
      <c r="AK396" s="1003"/>
      <c r="AL396" s="1003"/>
      <c r="AM396" s="1003"/>
      <c r="AN396" s="1003"/>
      <c r="AO396" s="1003"/>
      <c r="AP396" s="1003"/>
      <c r="AQ396" s="1003"/>
      <c r="AR396" s="1003"/>
      <c r="AS396" s="1003"/>
      <c r="AT396" s="1003"/>
      <c r="AU396" s="1003"/>
      <c r="AV396" s="1003"/>
      <c r="AW396" s="1003"/>
      <c r="AX396" s="1003"/>
      <c r="AY396" s="1003"/>
      <c r="AZ396" s="1003"/>
      <c r="BA396" s="1003"/>
      <c r="BB396" s="1003"/>
      <c r="BC396" s="1003"/>
      <c r="BD396" s="1003"/>
      <c r="BE396" s="1003"/>
      <c r="BF396" s="1003"/>
      <c r="BG396" s="1003"/>
      <c r="BH396" s="1003"/>
      <c r="BI396" s="1003"/>
      <c r="BJ396" s="1003"/>
      <c r="BK396" s="1003"/>
      <c r="BL396" s="1003"/>
    </row>
    <row r="397" spans="1:64">
      <c r="A397" s="1818"/>
      <c r="B397" s="1048"/>
      <c r="C397" s="1817"/>
      <c r="D397" s="1000"/>
      <c r="E397" s="1044"/>
      <c r="F397" s="1001"/>
      <c r="G397" s="1015"/>
      <c r="H397" s="1047"/>
      <c r="I397" s="1001">
        <f>SUM(I385:I396)</f>
        <v>4876.2034999999996</v>
      </c>
      <c r="J397" s="1002"/>
      <c r="K397" s="1002"/>
      <c r="L397" s="1002"/>
      <c r="M397" s="1003"/>
      <c r="N397" s="1003"/>
      <c r="O397" s="1003"/>
      <c r="P397" s="1003"/>
      <c r="Q397" s="1003"/>
      <c r="R397" s="1003"/>
      <c r="S397" s="1003"/>
      <c r="T397" s="1003"/>
      <c r="U397" s="1003"/>
      <c r="V397" s="1003"/>
      <c r="W397" s="1003"/>
      <c r="X397" s="1003"/>
      <c r="Y397" s="1003"/>
      <c r="Z397" s="1003"/>
      <c r="AA397" s="1003"/>
      <c r="AB397" s="1003"/>
      <c r="AC397" s="1003"/>
      <c r="AD397" s="1003"/>
      <c r="AE397" s="1003"/>
      <c r="AF397" s="1003"/>
      <c r="AG397" s="1003"/>
      <c r="AH397" s="1003"/>
      <c r="AI397" s="1003"/>
      <c r="AJ397" s="1003"/>
      <c r="AK397" s="1003"/>
      <c r="AL397" s="1003"/>
      <c r="AM397" s="1003"/>
      <c r="AN397" s="1003"/>
      <c r="AO397" s="1003"/>
      <c r="AP397" s="1003"/>
      <c r="AQ397" s="1003"/>
      <c r="AR397" s="1003"/>
      <c r="AS397" s="1003"/>
      <c r="AT397" s="1003"/>
      <c r="AU397" s="1003"/>
      <c r="AV397" s="1003"/>
      <c r="AW397" s="1003"/>
      <c r="AX397" s="1003"/>
      <c r="AY397" s="1003"/>
      <c r="AZ397" s="1003"/>
      <c r="BA397" s="1003"/>
      <c r="BB397" s="1003"/>
      <c r="BC397" s="1003"/>
      <c r="BD397" s="1003"/>
      <c r="BE397" s="1003"/>
      <c r="BF397" s="1003"/>
      <c r="BG397" s="1003"/>
      <c r="BH397" s="1003"/>
      <c r="BI397" s="1003"/>
      <c r="BJ397" s="1003"/>
      <c r="BK397" s="1003"/>
      <c r="BL397" s="1003"/>
    </row>
    <row r="398" spans="1:64">
      <c r="A398" s="1818"/>
      <c r="B398" s="1048"/>
      <c r="C398" s="1817" t="str">
        <f>Input!$C$48</f>
        <v>Overheads &amp; Contractors Profit @ 13.615%</v>
      </c>
      <c r="D398" s="1850">
        <f>Input!$D$48</f>
        <v>0.13614999999999999</v>
      </c>
      <c r="E398" s="1044"/>
      <c r="F398" s="1001">
        <f>I397</f>
        <v>4876.2034999999996</v>
      </c>
      <c r="G398" s="1015"/>
      <c r="H398" s="1047"/>
      <c r="I398" s="1001">
        <f>IF(G398="",D398*F398,(D398*F398/G398))</f>
        <v>663.89510652499996</v>
      </c>
      <c r="J398" s="1002"/>
      <c r="K398" s="1002"/>
      <c r="L398" s="1002"/>
      <c r="M398" s="1003"/>
      <c r="N398" s="1003"/>
      <c r="O398" s="1003"/>
      <c r="P398" s="1003"/>
      <c r="Q398" s="1003"/>
      <c r="R398" s="1003"/>
      <c r="S398" s="1003"/>
      <c r="T398" s="1003"/>
      <c r="U398" s="1003"/>
      <c r="V398" s="1003"/>
      <c r="W398" s="1003"/>
      <c r="X398" s="1003"/>
      <c r="Y398" s="1003"/>
      <c r="Z398" s="1003"/>
      <c r="AA398" s="1003"/>
      <c r="AB398" s="1003"/>
      <c r="AC398" s="1003"/>
      <c r="AD398" s="1003"/>
      <c r="AE398" s="1003"/>
      <c r="AF398" s="1003"/>
      <c r="AG398" s="1003"/>
      <c r="AH398" s="1003"/>
      <c r="AI398" s="1003"/>
      <c r="AJ398" s="1003"/>
      <c r="AK398" s="1003"/>
      <c r="AL398" s="1003"/>
      <c r="AM398" s="1003"/>
      <c r="AN398" s="1003"/>
      <c r="AO398" s="1003"/>
      <c r="AP398" s="1003"/>
      <c r="AQ398" s="1003"/>
      <c r="AR398" s="1003"/>
      <c r="AS398" s="1003"/>
      <c r="AT398" s="1003"/>
      <c r="AU398" s="1003"/>
      <c r="AV398" s="1003"/>
      <c r="AW398" s="1003"/>
      <c r="AX398" s="1003"/>
      <c r="AY398" s="1003"/>
      <c r="AZ398" s="1003"/>
      <c r="BA398" s="1003"/>
      <c r="BB398" s="1003"/>
      <c r="BC398" s="1003"/>
      <c r="BD398" s="1003"/>
      <c r="BE398" s="1003"/>
      <c r="BF398" s="1003"/>
      <c r="BG398" s="1003"/>
      <c r="BH398" s="1003"/>
      <c r="BI398" s="1003"/>
      <c r="BJ398" s="1003"/>
      <c r="BK398" s="1003"/>
      <c r="BL398" s="1003"/>
    </row>
    <row r="399" spans="1:64">
      <c r="A399" s="1818"/>
      <c r="B399" s="1048"/>
      <c r="C399" s="1816" t="s">
        <v>1032</v>
      </c>
      <c r="D399" s="1000"/>
      <c r="E399" s="1044"/>
      <c r="F399" s="1001"/>
      <c r="G399" s="1015"/>
      <c r="H399" s="1034" t="s">
        <v>1033</v>
      </c>
      <c r="I399" s="1021">
        <f>SUM(I397:I398)</f>
        <v>5540.0986065249999</v>
      </c>
      <c r="J399" s="1846"/>
      <c r="K399" s="1846"/>
      <c r="L399" s="1846"/>
    </row>
    <row r="400" spans="1:64">
      <c r="A400" s="1086"/>
      <c r="B400" s="1087"/>
      <c r="C400" s="1088"/>
      <c r="D400" s="1089"/>
      <c r="E400" s="1090"/>
      <c r="F400" s="994"/>
      <c r="G400" s="1091"/>
      <c r="H400" s="1092" t="s">
        <v>1096</v>
      </c>
      <c r="I400" s="1826">
        <f>ROUND(I399,0)</f>
        <v>5540</v>
      </c>
      <c r="J400" s="996"/>
      <c r="K400" s="996"/>
      <c r="L400" s="996"/>
      <c r="M400" s="997"/>
      <c r="N400" s="997"/>
      <c r="O400" s="997"/>
      <c r="P400" s="997"/>
      <c r="Q400" s="997"/>
      <c r="R400" s="997"/>
      <c r="S400" s="997"/>
      <c r="T400" s="997"/>
      <c r="U400" s="997"/>
      <c r="V400" s="997"/>
      <c r="W400" s="997"/>
      <c r="X400" s="997"/>
      <c r="Y400" s="997"/>
      <c r="Z400" s="997"/>
      <c r="AA400" s="997"/>
      <c r="AB400" s="997"/>
      <c r="AC400" s="997"/>
      <c r="AD400" s="997"/>
      <c r="AE400" s="997"/>
      <c r="AF400" s="997"/>
      <c r="AG400" s="997"/>
      <c r="AH400" s="997"/>
      <c r="AI400" s="997"/>
      <c r="AJ400" s="997"/>
      <c r="AK400" s="997"/>
      <c r="AL400" s="997"/>
      <c r="AM400" s="997"/>
      <c r="AN400" s="997"/>
      <c r="AO400" s="997"/>
      <c r="AP400" s="997"/>
      <c r="AQ400" s="997"/>
      <c r="AR400" s="997"/>
      <c r="AS400" s="997"/>
      <c r="AT400" s="997"/>
      <c r="AU400" s="997"/>
      <c r="AV400" s="997"/>
      <c r="AW400" s="997"/>
      <c r="AX400" s="997"/>
      <c r="AY400" s="997"/>
      <c r="AZ400" s="997"/>
      <c r="BA400" s="997"/>
      <c r="BB400" s="997"/>
      <c r="BC400" s="997"/>
      <c r="BD400" s="997"/>
      <c r="BE400" s="997"/>
      <c r="BF400" s="997"/>
      <c r="BG400" s="997"/>
      <c r="BH400" s="997"/>
      <c r="BI400" s="997"/>
      <c r="BJ400" s="997"/>
      <c r="BK400" s="997"/>
      <c r="BL400" s="997"/>
    </row>
    <row r="401" spans="1:64">
      <c r="A401" s="1818"/>
      <c r="B401" s="1048"/>
      <c r="C401" s="1817"/>
      <c r="D401" s="1817"/>
      <c r="E401" s="1817"/>
      <c r="F401" s="1847"/>
      <c r="G401" s="1851"/>
      <c r="H401" s="1817"/>
      <c r="I401" s="1011"/>
      <c r="J401" s="1846"/>
      <c r="K401" s="1846"/>
      <c r="L401" s="1846"/>
    </row>
    <row r="402" spans="1:64" ht="71.849999999999994" customHeight="1">
      <c r="A402" s="2048">
        <f>A381+1</f>
        <v>10</v>
      </c>
      <c r="B402" s="2048"/>
      <c r="C402" s="2036" t="s">
        <v>3686</v>
      </c>
      <c r="D402" s="2036"/>
      <c r="E402" s="2036"/>
      <c r="F402" s="2036"/>
      <c r="G402" s="2036"/>
      <c r="H402" s="2036"/>
      <c r="I402" s="1825"/>
      <c r="J402" s="1002"/>
      <c r="K402" s="1846"/>
      <c r="L402" s="1846"/>
    </row>
    <row r="403" spans="1:64">
      <c r="A403" s="1818"/>
      <c r="B403" s="1048"/>
      <c r="C403" s="1049" t="s">
        <v>1149</v>
      </c>
      <c r="D403" s="1034"/>
      <c r="E403" s="1044"/>
      <c r="F403" s="1001"/>
      <c r="G403" s="1015"/>
      <c r="H403" s="1050"/>
      <c r="I403" s="1030"/>
      <c r="J403" s="1002"/>
      <c r="K403" s="1846"/>
      <c r="L403" s="1846"/>
    </row>
    <row r="404" spans="1:64">
      <c r="A404" s="1818"/>
      <c r="B404" s="1048"/>
      <c r="C404" s="1816" t="s">
        <v>1069</v>
      </c>
      <c r="D404" s="1034"/>
      <c r="E404" s="1044"/>
      <c r="F404" s="1001"/>
      <c r="G404" s="1015"/>
      <c r="H404" s="1050"/>
      <c r="I404" s="1030"/>
      <c r="J404" s="1002"/>
      <c r="K404" s="1846"/>
      <c r="L404" s="1846"/>
    </row>
    <row r="405" spans="1:64">
      <c r="A405" s="1818"/>
      <c r="B405" s="1048"/>
      <c r="C405" s="1816" t="s">
        <v>1139</v>
      </c>
      <c r="D405" s="1034"/>
      <c r="E405" s="1044"/>
      <c r="F405" s="1001"/>
      <c r="G405" s="1015"/>
      <c r="H405" s="1050"/>
      <c r="I405" s="1030"/>
      <c r="J405" s="1002"/>
      <c r="K405" s="1846"/>
      <c r="L405" s="1846"/>
    </row>
    <row r="406" spans="1:64">
      <c r="A406" s="1818"/>
      <c r="B406" s="1048"/>
      <c r="C406" s="1817" t="s">
        <v>889</v>
      </c>
      <c r="D406" s="1034">
        <v>129.6</v>
      </c>
      <c r="E406" s="1044" t="s">
        <v>1110</v>
      </c>
      <c r="F406" s="1001">
        <f>LEAD!$N$6</f>
        <v>5200</v>
      </c>
      <c r="G406" s="1015">
        <v>1000</v>
      </c>
      <c r="H406" s="1085" t="str">
        <f t="shared" ref="H406:H409" si="45">IF(E406="","",IF(E406="No.","Each",IF(E406="Nos.","Each",E406)))</f>
        <v>Kgs</v>
      </c>
      <c r="I406" s="1001">
        <f t="shared" ref="I406:I409" si="46">IF(G406="",D406*F406,(D406*F406/G406))</f>
        <v>673.92</v>
      </c>
      <c r="J406" s="1002"/>
      <c r="K406" s="1002"/>
      <c r="L406" s="1002"/>
      <c r="M406" s="1003"/>
      <c r="N406" s="1003"/>
      <c r="O406" s="1003"/>
      <c r="P406" s="1003"/>
      <c r="Q406" s="1003"/>
      <c r="R406" s="1003"/>
      <c r="S406" s="1003"/>
      <c r="T406" s="1003"/>
      <c r="U406" s="1003"/>
      <c r="V406" s="1003"/>
      <c r="W406" s="1003"/>
      <c r="X406" s="1003"/>
      <c r="Y406" s="1003"/>
      <c r="Z406" s="1003"/>
      <c r="AA406" s="1003"/>
      <c r="AB406" s="1003"/>
      <c r="AC406" s="1003"/>
      <c r="AD406" s="1003"/>
      <c r="AE406" s="1003"/>
      <c r="AF406" s="1003"/>
      <c r="AG406" s="1003"/>
      <c r="AH406" s="1003"/>
      <c r="AI406" s="1003"/>
      <c r="AJ406" s="1003"/>
      <c r="AK406" s="1003"/>
      <c r="AL406" s="1003"/>
      <c r="AM406" s="1003"/>
      <c r="AN406" s="1003"/>
      <c r="AO406" s="1003"/>
      <c r="AP406" s="1003"/>
      <c r="AQ406" s="1003"/>
      <c r="AR406" s="1003"/>
      <c r="AS406" s="1003"/>
      <c r="AT406" s="1003"/>
      <c r="AU406" s="1003"/>
      <c r="AV406" s="1003"/>
      <c r="AW406" s="1003"/>
      <c r="AX406" s="1003"/>
      <c r="AY406" s="1003"/>
      <c r="AZ406" s="1003"/>
      <c r="BA406" s="1003"/>
      <c r="BB406" s="1003"/>
      <c r="BC406" s="1003"/>
      <c r="BD406" s="1003"/>
      <c r="BE406" s="1003"/>
      <c r="BF406" s="1003"/>
      <c r="BG406" s="1003"/>
      <c r="BH406" s="1003"/>
      <c r="BI406" s="1003"/>
      <c r="BJ406" s="1003"/>
      <c r="BK406" s="1003"/>
      <c r="BL406" s="1003"/>
    </row>
    <row r="407" spans="1:64">
      <c r="A407" s="1818"/>
      <c r="B407" s="1048"/>
      <c r="C407" s="1817" t="s">
        <v>1140</v>
      </c>
      <c r="D407" s="1000">
        <v>0.9</v>
      </c>
      <c r="E407" s="1044" t="s">
        <v>484</v>
      </c>
      <c r="F407" s="1001">
        <f>LEAD!$N$18</f>
        <v>1310.96</v>
      </c>
      <c r="G407" s="1015">
        <v>1</v>
      </c>
      <c r="H407" s="1085" t="str">
        <f t="shared" si="45"/>
        <v>Cum</v>
      </c>
      <c r="I407" s="1001">
        <f t="shared" si="46"/>
        <v>1179.864</v>
      </c>
      <c r="J407" s="1002"/>
      <c r="K407" s="1002"/>
      <c r="L407" s="1002"/>
      <c r="M407" s="1003"/>
      <c r="N407" s="1003"/>
      <c r="O407" s="1003"/>
      <c r="P407" s="1003"/>
      <c r="Q407" s="1003"/>
      <c r="R407" s="1003"/>
      <c r="S407" s="1003"/>
      <c r="T407" s="1003"/>
      <c r="U407" s="1003"/>
      <c r="V407" s="1003"/>
      <c r="W407" s="1003"/>
      <c r="X407" s="1003"/>
      <c r="Y407" s="1003"/>
      <c r="Z407" s="1003"/>
      <c r="AA407" s="1003"/>
      <c r="AB407" s="1003"/>
      <c r="AC407" s="1003"/>
      <c r="AD407" s="1003"/>
      <c r="AE407" s="1003"/>
      <c r="AF407" s="1003"/>
      <c r="AG407" s="1003"/>
      <c r="AH407" s="1003"/>
      <c r="AI407" s="1003"/>
      <c r="AJ407" s="1003"/>
      <c r="AK407" s="1003"/>
      <c r="AL407" s="1003"/>
      <c r="AM407" s="1003"/>
      <c r="AN407" s="1003"/>
      <c r="AO407" s="1003"/>
      <c r="AP407" s="1003"/>
      <c r="AQ407" s="1003"/>
      <c r="AR407" s="1003"/>
      <c r="AS407" s="1003"/>
      <c r="AT407" s="1003"/>
      <c r="AU407" s="1003"/>
      <c r="AV407" s="1003"/>
      <c r="AW407" s="1003"/>
      <c r="AX407" s="1003"/>
      <c r="AY407" s="1003"/>
      <c r="AZ407" s="1003"/>
      <c r="BA407" s="1003"/>
      <c r="BB407" s="1003"/>
      <c r="BC407" s="1003"/>
      <c r="BD407" s="1003"/>
      <c r="BE407" s="1003"/>
      <c r="BF407" s="1003"/>
      <c r="BG407" s="1003"/>
      <c r="BH407" s="1003"/>
      <c r="BI407" s="1003"/>
      <c r="BJ407" s="1003"/>
      <c r="BK407" s="1003"/>
      <c r="BL407" s="1003"/>
    </row>
    <row r="408" spans="1:64">
      <c r="A408" s="1818"/>
      <c r="B408" s="1048"/>
      <c r="C408" s="1817" t="s">
        <v>1141</v>
      </c>
      <c r="D408" s="1000">
        <v>0.45</v>
      </c>
      <c r="E408" s="1044" t="s">
        <v>484</v>
      </c>
      <c r="F408" s="1001">
        <f>LEAD!$N$12</f>
        <v>2253.91</v>
      </c>
      <c r="G408" s="1015">
        <v>1</v>
      </c>
      <c r="H408" s="1085" t="str">
        <f t="shared" si="45"/>
        <v>Cum</v>
      </c>
      <c r="I408" s="1001">
        <f t="shared" si="46"/>
        <v>1014.2595</v>
      </c>
      <c r="J408" s="1002"/>
      <c r="K408" s="1002"/>
      <c r="L408" s="1002"/>
      <c r="M408" s="1003"/>
      <c r="N408" s="1003"/>
      <c r="O408" s="1003"/>
      <c r="P408" s="1003"/>
      <c r="Q408" s="1003"/>
      <c r="R408" s="1003"/>
      <c r="S408" s="1003"/>
      <c r="T408" s="1003"/>
      <c r="U408" s="1003"/>
      <c r="V408" s="1003"/>
      <c r="W408" s="1003"/>
      <c r="X408" s="1003"/>
      <c r="Y408" s="1003"/>
      <c r="Z408" s="1003"/>
      <c r="AA408" s="1003"/>
      <c r="AB408" s="1003"/>
      <c r="AC408" s="1003"/>
      <c r="AD408" s="1003"/>
      <c r="AE408" s="1003"/>
      <c r="AF408" s="1003"/>
      <c r="AG408" s="1003"/>
      <c r="AH408" s="1003"/>
      <c r="AI408" s="1003"/>
      <c r="AJ408" s="1003"/>
      <c r="AK408" s="1003"/>
      <c r="AL408" s="1003"/>
      <c r="AM408" s="1003"/>
      <c r="AN408" s="1003"/>
      <c r="AO408" s="1003"/>
      <c r="AP408" s="1003"/>
      <c r="AQ408" s="1003"/>
      <c r="AR408" s="1003"/>
      <c r="AS408" s="1003"/>
      <c r="AT408" s="1003"/>
      <c r="AU408" s="1003"/>
      <c r="AV408" s="1003"/>
      <c r="AW408" s="1003"/>
      <c r="AX408" s="1003"/>
      <c r="AY408" s="1003"/>
      <c r="AZ408" s="1003"/>
      <c r="BA408" s="1003"/>
      <c r="BB408" s="1003"/>
      <c r="BC408" s="1003"/>
      <c r="BD408" s="1003"/>
      <c r="BE408" s="1003"/>
      <c r="BF408" s="1003"/>
      <c r="BG408" s="1003"/>
      <c r="BH408" s="1003"/>
      <c r="BI408" s="1003"/>
      <c r="BJ408" s="1003"/>
      <c r="BK408" s="1003"/>
      <c r="BL408" s="1003"/>
    </row>
    <row r="409" spans="1:64">
      <c r="A409" s="1818"/>
      <c r="B409" s="1048"/>
      <c r="C409" s="1817" t="s">
        <v>1142</v>
      </c>
      <c r="D409" s="1000">
        <v>1.2</v>
      </c>
      <c r="E409" s="1044" t="s">
        <v>1143</v>
      </c>
      <c r="F409" s="1001">
        <f>Input!$D$53</f>
        <v>108</v>
      </c>
      <c r="G409" s="1015">
        <v>1</v>
      </c>
      <c r="H409" s="1085" t="str">
        <f t="shared" si="45"/>
        <v>kl</v>
      </c>
      <c r="I409" s="1001">
        <f t="shared" si="46"/>
        <v>129.6</v>
      </c>
      <c r="J409" s="1002"/>
      <c r="K409" s="1002"/>
      <c r="L409" s="1002"/>
      <c r="M409" s="1003"/>
      <c r="N409" s="1003"/>
      <c r="O409" s="1003"/>
      <c r="P409" s="1003"/>
      <c r="Q409" s="1003"/>
      <c r="R409" s="1003"/>
      <c r="S409" s="1003"/>
      <c r="T409" s="1003"/>
      <c r="U409" s="1003"/>
      <c r="V409" s="1003"/>
      <c r="W409" s="1003"/>
      <c r="X409" s="1003"/>
      <c r="Y409" s="1003"/>
      <c r="Z409" s="1003"/>
      <c r="AA409" s="1003"/>
      <c r="AB409" s="1003"/>
      <c r="AC409" s="1003"/>
      <c r="AD409" s="1003"/>
      <c r="AE409" s="1003"/>
      <c r="AF409" s="1003"/>
      <c r="AG409" s="1003"/>
      <c r="AH409" s="1003"/>
      <c r="AI409" s="1003"/>
      <c r="AJ409" s="1003"/>
      <c r="AK409" s="1003"/>
      <c r="AL409" s="1003"/>
      <c r="AM409" s="1003"/>
      <c r="AN409" s="1003"/>
      <c r="AO409" s="1003"/>
      <c r="AP409" s="1003"/>
      <c r="AQ409" s="1003"/>
      <c r="AR409" s="1003"/>
      <c r="AS409" s="1003"/>
      <c r="AT409" s="1003"/>
      <c r="AU409" s="1003"/>
      <c r="AV409" s="1003"/>
      <c r="AW409" s="1003"/>
      <c r="AX409" s="1003"/>
      <c r="AY409" s="1003"/>
      <c r="AZ409" s="1003"/>
      <c r="BA409" s="1003"/>
      <c r="BB409" s="1003"/>
      <c r="BC409" s="1003"/>
      <c r="BD409" s="1003"/>
      <c r="BE409" s="1003"/>
      <c r="BF409" s="1003"/>
      <c r="BG409" s="1003"/>
      <c r="BH409" s="1003"/>
      <c r="BI409" s="1003"/>
      <c r="BJ409" s="1003"/>
      <c r="BK409" s="1003"/>
      <c r="BL409" s="1003"/>
    </row>
    <row r="410" spans="1:64">
      <c r="A410" s="1818"/>
      <c r="B410" s="1048"/>
      <c r="C410" s="1816" t="s">
        <v>1150</v>
      </c>
      <c r="D410" s="1000"/>
      <c r="E410" s="1044"/>
      <c r="F410" s="1001"/>
      <c r="G410" s="1015"/>
      <c r="H410" s="1085"/>
      <c r="I410" s="1001"/>
      <c r="J410" s="1002"/>
      <c r="K410" s="1002"/>
      <c r="L410" s="1002"/>
      <c r="M410" s="1003"/>
      <c r="N410" s="1003"/>
      <c r="O410" s="1003"/>
      <c r="P410" s="1003"/>
      <c r="Q410" s="1003"/>
      <c r="R410" s="1003"/>
      <c r="S410" s="1003"/>
      <c r="T410" s="1003"/>
      <c r="U410" s="1003"/>
      <c r="V410" s="1003"/>
      <c r="W410" s="1003"/>
      <c r="X410" s="1003"/>
      <c r="Y410" s="1003"/>
      <c r="Z410" s="1003"/>
      <c r="AA410" s="1003"/>
      <c r="AB410" s="1003"/>
      <c r="AC410" s="1003"/>
      <c r="AD410" s="1003"/>
      <c r="AE410" s="1003"/>
      <c r="AF410" s="1003"/>
      <c r="AG410" s="1003"/>
      <c r="AH410" s="1003"/>
      <c r="AI410" s="1003"/>
      <c r="AJ410" s="1003"/>
      <c r="AK410" s="1003"/>
      <c r="AL410" s="1003"/>
      <c r="AM410" s="1003"/>
      <c r="AN410" s="1003"/>
      <c r="AO410" s="1003"/>
      <c r="AP410" s="1003"/>
      <c r="AQ410" s="1003"/>
      <c r="AR410" s="1003"/>
      <c r="AS410" s="1003"/>
      <c r="AT410" s="1003"/>
      <c r="AU410" s="1003"/>
      <c r="AV410" s="1003"/>
      <c r="AW410" s="1003"/>
      <c r="AX410" s="1003"/>
      <c r="AY410" s="1003"/>
      <c r="AZ410" s="1003"/>
      <c r="BA410" s="1003"/>
      <c r="BB410" s="1003"/>
      <c r="BC410" s="1003"/>
      <c r="BD410" s="1003"/>
      <c r="BE410" s="1003"/>
      <c r="BF410" s="1003"/>
      <c r="BG410" s="1003"/>
      <c r="BH410" s="1003"/>
      <c r="BI410" s="1003"/>
      <c r="BJ410" s="1003"/>
      <c r="BK410" s="1003"/>
      <c r="BL410" s="1003"/>
    </row>
    <row r="411" spans="1:64" ht="25.5">
      <c r="A411" s="1818"/>
      <c r="B411" s="1048"/>
      <c r="C411" s="1849" t="s">
        <v>1145</v>
      </c>
      <c r="D411" s="1000">
        <v>1</v>
      </c>
      <c r="E411" s="1044" t="s">
        <v>400</v>
      </c>
      <c r="F411" s="1001">
        <f>'Civil-SOR'!$G$330</f>
        <v>192.9</v>
      </c>
      <c r="G411" s="1015">
        <v>1</v>
      </c>
      <c r="H411" s="1015" t="str">
        <f t="shared" ref="H411:H412" si="47">IF(E411="","",IF(E411="No.","Each",IF(E411="Nos.","Each",E411)))</f>
        <v>hour</v>
      </c>
      <c r="I411" s="1001">
        <f t="shared" ref="I411:I413" si="48">IF(G411="",D411*F411,(D411*F411/G411))</f>
        <v>192.9</v>
      </c>
      <c r="J411" s="1002"/>
      <c r="K411" s="1002"/>
      <c r="L411" s="1002"/>
      <c r="M411" s="1003"/>
      <c r="N411" s="1003"/>
      <c r="O411" s="1003"/>
      <c r="P411" s="1003"/>
      <c r="Q411" s="1003"/>
      <c r="R411" s="1003"/>
      <c r="S411" s="1003"/>
      <c r="T411" s="1003"/>
      <c r="U411" s="1003"/>
      <c r="V411" s="1003"/>
      <c r="W411" s="1003"/>
      <c r="X411" s="1003"/>
      <c r="Y411" s="1003"/>
      <c r="Z411" s="1003"/>
      <c r="AA411" s="1003"/>
      <c r="AB411" s="1003"/>
      <c r="AC411" s="1003"/>
      <c r="AD411" s="1003"/>
      <c r="AE411" s="1003"/>
      <c r="AF411" s="1003"/>
      <c r="AG411" s="1003"/>
      <c r="AH411" s="1003"/>
      <c r="AI411" s="1003"/>
      <c r="AJ411" s="1003"/>
      <c r="AK411" s="1003"/>
      <c r="AL411" s="1003"/>
      <c r="AM411" s="1003"/>
      <c r="AN411" s="1003"/>
      <c r="AO411" s="1003"/>
      <c r="AP411" s="1003"/>
      <c r="AQ411" s="1003"/>
      <c r="AR411" s="1003"/>
      <c r="AS411" s="1003"/>
      <c r="AT411" s="1003"/>
      <c r="AU411" s="1003"/>
      <c r="AV411" s="1003"/>
      <c r="AW411" s="1003"/>
      <c r="AX411" s="1003"/>
      <c r="AY411" s="1003"/>
      <c r="AZ411" s="1003"/>
      <c r="BA411" s="1003"/>
      <c r="BB411" s="1003"/>
      <c r="BC411" s="1003"/>
      <c r="BD411" s="1003"/>
      <c r="BE411" s="1003"/>
      <c r="BF411" s="1003"/>
      <c r="BG411" s="1003"/>
      <c r="BH411" s="1003"/>
      <c r="BI411" s="1003"/>
      <c r="BJ411" s="1003"/>
      <c r="BK411" s="1003"/>
      <c r="BL411" s="1003"/>
    </row>
    <row r="412" spans="1:64">
      <c r="A412" s="1818"/>
      <c r="B412" s="1048"/>
      <c r="C412" s="1817" t="s">
        <v>579</v>
      </c>
      <c r="D412" s="1000">
        <v>1</v>
      </c>
      <c r="E412" s="1044" t="s">
        <v>400</v>
      </c>
      <c r="F412" s="1001">
        <f>'Civil-SOR'!$J$330</f>
        <v>302.89999999999998</v>
      </c>
      <c r="G412" s="1015">
        <v>1</v>
      </c>
      <c r="H412" s="1015" t="str">
        <f t="shared" si="47"/>
        <v>hour</v>
      </c>
      <c r="I412" s="1001">
        <f t="shared" si="48"/>
        <v>302.89999999999998</v>
      </c>
      <c r="J412" s="1002"/>
      <c r="K412" s="1002"/>
      <c r="L412" s="1002"/>
      <c r="M412" s="1003"/>
      <c r="N412" s="1003"/>
      <c r="O412" s="1003"/>
      <c r="P412" s="1003"/>
      <c r="Q412" s="1003"/>
      <c r="R412" s="1003"/>
      <c r="S412" s="1003"/>
      <c r="T412" s="1003"/>
      <c r="U412" s="1003"/>
      <c r="V412" s="1003"/>
      <c r="W412" s="1003"/>
      <c r="X412" s="1003"/>
      <c r="Y412" s="1003"/>
      <c r="Z412" s="1003"/>
      <c r="AA412" s="1003"/>
      <c r="AB412" s="1003"/>
      <c r="AC412" s="1003"/>
      <c r="AD412" s="1003"/>
      <c r="AE412" s="1003"/>
      <c r="AF412" s="1003"/>
      <c r="AG412" s="1003"/>
      <c r="AH412" s="1003"/>
      <c r="AI412" s="1003"/>
      <c r="AJ412" s="1003"/>
      <c r="AK412" s="1003"/>
      <c r="AL412" s="1003"/>
      <c r="AM412" s="1003"/>
      <c r="AN412" s="1003"/>
      <c r="AO412" s="1003"/>
      <c r="AP412" s="1003"/>
      <c r="AQ412" s="1003"/>
      <c r="AR412" s="1003"/>
      <c r="AS412" s="1003"/>
      <c r="AT412" s="1003"/>
      <c r="AU412" s="1003"/>
      <c r="AV412" s="1003"/>
      <c r="AW412" s="1003"/>
      <c r="AX412" s="1003"/>
      <c r="AY412" s="1003"/>
      <c r="AZ412" s="1003"/>
      <c r="BA412" s="1003"/>
      <c r="BB412" s="1003"/>
      <c r="BC412" s="1003"/>
      <c r="BD412" s="1003"/>
      <c r="BE412" s="1003"/>
      <c r="BF412" s="1003"/>
      <c r="BG412" s="1003"/>
      <c r="BH412" s="1003"/>
      <c r="BI412" s="1003"/>
      <c r="BJ412" s="1003"/>
      <c r="BK412" s="1003"/>
      <c r="BL412" s="1003"/>
    </row>
    <row r="413" spans="1:64">
      <c r="A413" s="1818"/>
      <c r="B413" s="1048"/>
      <c r="C413" s="1817" t="s">
        <v>1085</v>
      </c>
      <c r="D413" s="1034">
        <f>Input!$D$47</f>
        <v>0.4</v>
      </c>
      <c r="E413" s="1044"/>
      <c r="F413" s="1001">
        <f>I412</f>
        <v>302.89999999999998</v>
      </c>
      <c r="G413" s="1045"/>
      <c r="H413" s="1044"/>
      <c r="I413" s="1001">
        <f t="shared" si="48"/>
        <v>121.16</v>
      </c>
      <c r="J413" s="1002"/>
      <c r="K413" s="1002"/>
      <c r="L413" s="1002"/>
      <c r="M413" s="1003"/>
      <c r="N413" s="1003"/>
      <c r="O413" s="1003"/>
      <c r="P413" s="1003"/>
      <c r="Q413" s="1003"/>
      <c r="R413" s="1003"/>
      <c r="S413" s="1003"/>
      <c r="T413" s="1003"/>
      <c r="U413" s="1003"/>
      <c r="V413" s="1003"/>
      <c r="W413" s="1003"/>
      <c r="X413" s="1003"/>
      <c r="Y413" s="1003"/>
      <c r="Z413" s="1003"/>
      <c r="AA413" s="1003"/>
      <c r="AB413" s="1003"/>
      <c r="AC413" s="1003"/>
      <c r="AD413" s="1003"/>
      <c r="AE413" s="1003"/>
      <c r="AF413" s="1003"/>
      <c r="AG413" s="1003"/>
      <c r="AH413" s="1003"/>
      <c r="AI413" s="1003"/>
      <c r="AJ413" s="1003"/>
      <c r="AK413" s="1003"/>
      <c r="AL413" s="1003"/>
      <c r="AM413" s="1003"/>
      <c r="AN413" s="1003"/>
      <c r="AO413" s="1003"/>
      <c r="AP413" s="1003"/>
      <c r="AQ413" s="1003"/>
      <c r="AR413" s="1003"/>
      <c r="AS413" s="1003"/>
      <c r="AT413" s="1003"/>
      <c r="AU413" s="1003"/>
      <c r="AV413" s="1003"/>
      <c r="AW413" s="1003"/>
      <c r="AX413" s="1003"/>
      <c r="AY413" s="1003"/>
      <c r="AZ413" s="1003"/>
      <c r="BA413" s="1003"/>
      <c r="BB413" s="1003"/>
      <c r="BC413" s="1003"/>
      <c r="BD413" s="1003"/>
      <c r="BE413" s="1003"/>
      <c r="BF413" s="1003"/>
      <c r="BG413" s="1003"/>
      <c r="BH413" s="1003"/>
      <c r="BI413" s="1003"/>
      <c r="BJ413" s="1003"/>
      <c r="BK413" s="1003"/>
      <c r="BL413" s="1003"/>
    </row>
    <row r="414" spans="1:64">
      <c r="A414" s="1818"/>
      <c r="B414" s="1048"/>
      <c r="C414" s="1816" t="s">
        <v>1151</v>
      </c>
      <c r="D414" s="1000"/>
      <c r="E414" s="1044"/>
      <c r="F414" s="1001"/>
      <c r="G414" s="1015"/>
      <c r="H414" s="1085"/>
      <c r="I414" s="1001"/>
      <c r="J414" s="1002"/>
      <c r="K414" s="1002"/>
      <c r="L414" s="1002"/>
      <c r="M414" s="1003"/>
      <c r="N414" s="1003"/>
      <c r="O414" s="1003"/>
      <c r="P414" s="1003"/>
      <c r="Q414" s="1003"/>
      <c r="R414" s="1003"/>
      <c r="S414" s="1003"/>
      <c r="T414" s="1003"/>
      <c r="U414" s="1003"/>
      <c r="V414" s="1003"/>
      <c r="W414" s="1003"/>
      <c r="X414" s="1003"/>
      <c r="Y414" s="1003"/>
      <c r="Z414" s="1003"/>
      <c r="AA414" s="1003"/>
      <c r="AB414" s="1003"/>
      <c r="AC414" s="1003"/>
      <c r="AD414" s="1003"/>
      <c r="AE414" s="1003"/>
      <c r="AF414" s="1003"/>
      <c r="AG414" s="1003"/>
      <c r="AH414" s="1003"/>
      <c r="AI414" s="1003"/>
      <c r="AJ414" s="1003"/>
      <c r="AK414" s="1003"/>
      <c r="AL414" s="1003"/>
      <c r="AM414" s="1003"/>
      <c r="AN414" s="1003"/>
      <c r="AO414" s="1003"/>
      <c r="AP414" s="1003"/>
      <c r="AQ414" s="1003"/>
      <c r="AR414" s="1003"/>
      <c r="AS414" s="1003"/>
      <c r="AT414" s="1003"/>
      <c r="AU414" s="1003"/>
      <c r="AV414" s="1003"/>
      <c r="AW414" s="1003"/>
      <c r="AX414" s="1003"/>
      <c r="AY414" s="1003"/>
      <c r="AZ414" s="1003"/>
      <c r="BA414" s="1003"/>
      <c r="BB414" s="1003"/>
      <c r="BC414" s="1003"/>
      <c r="BD414" s="1003"/>
      <c r="BE414" s="1003"/>
      <c r="BF414" s="1003"/>
      <c r="BG414" s="1003"/>
      <c r="BH414" s="1003"/>
      <c r="BI414" s="1003"/>
      <c r="BJ414" s="1003"/>
      <c r="BK414" s="1003"/>
      <c r="BL414" s="1003"/>
    </row>
    <row r="415" spans="1:64">
      <c r="A415" s="1818"/>
      <c r="B415" s="1048"/>
      <c r="C415" s="1817" t="s">
        <v>1147</v>
      </c>
      <c r="D415" s="1000">
        <v>0.1</v>
      </c>
      <c r="E415" s="1044" t="s">
        <v>36</v>
      </c>
      <c r="F415" s="1001">
        <f>'Civil-SOR'!$G$293</f>
        <v>580</v>
      </c>
      <c r="G415" s="1015">
        <v>1</v>
      </c>
      <c r="H415" s="1085" t="str">
        <f t="shared" ref="H415:H416" si="49">IF(E415="","",IF(E415="No.","Each",IF(E415="Nos.","Each",E415)))</f>
        <v>Each</v>
      </c>
      <c r="I415" s="1001">
        <f t="shared" ref="I415:I417" si="50">IF(G415="",D415*F415,(D415*F415/G415))</f>
        <v>58</v>
      </c>
      <c r="J415" s="1002"/>
      <c r="K415" s="1002"/>
      <c r="L415" s="1002"/>
      <c r="M415" s="1003"/>
      <c r="N415" s="1003"/>
      <c r="O415" s="1003"/>
      <c r="P415" s="1003"/>
      <c r="Q415" s="1003"/>
      <c r="R415" s="1003"/>
      <c r="S415" s="1003"/>
      <c r="T415" s="1003"/>
      <c r="U415" s="1003"/>
      <c r="V415" s="1003"/>
      <c r="W415" s="1003"/>
      <c r="X415" s="1003"/>
      <c r="Y415" s="1003"/>
      <c r="Z415" s="1003"/>
      <c r="AA415" s="1003"/>
      <c r="AB415" s="1003"/>
      <c r="AC415" s="1003"/>
      <c r="AD415" s="1003"/>
      <c r="AE415" s="1003"/>
      <c r="AF415" s="1003"/>
      <c r="AG415" s="1003"/>
      <c r="AH415" s="1003"/>
      <c r="AI415" s="1003"/>
      <c r="AJ415" s="1003"/>
      <c r="AK415" s="1003"/>
      <c r="AL415" s="1003"/>
      <c r="AM415" s="1003"/>
      <c r="AN415" s="1003"/>
      <c r="AO415" s="1003"/>
      <c r="AP415" s="1003"/>
      <c r="AQ415" s="1003"/>
      <c r="AR415" s="1003"/>
      <c r="AS415" s="1003"/>
      <c r="AT415" s="1003"/>
      <c r="AU415" s="1003"/>
      <c r="AV415" s="1003"/>
      <c r="AW415" s="1003"/>
      <c r="AX415" s="1003"/>
      <c r="AY415" s="1003"/>
      <c r="AZ415" s="1003"/>
      <c r="BA415" s="1003"/>
      <c r="BB415" s="1003"/>
      <c r="BC415" s="1003"/>
      <c r="BD415" s="1003"/>
      <c r="BE415" s="1003"/>
      <c r="BF415" s="1003"/>
      <c r="BG415" s="1003"/>
      <c r="BH415" s="1003"/>
      <c r="BI415" s="1003"/>
      <c r="BJ415" s="1003"/>
      <c r="BK415" s="1003"/>
      <c r="BL415" s="1003"/>
    </row>
    <row r="416" spans="1:64">
      <c r="A416" s="1818"/>
      <c r="B416" s="1048"/>
      <c r="C416" s="1817" t="s">
        <v>1148</v>
      </c>
      <c r="D416" s="1000">
        <v>1.39</v>
      </c>
      <c r="E416" s="1044" t="s">
        <v>36</v>
      </c>
      <c r="F416" s="1001">
        <f>'Civil-SOR'!$G$307</f>
        <v>520</v>
      </c>
      <c r="G416" s="1015">
        <v>1</v>
      </c>
      <c r="H416" s="1085" t="str">
        <f t="shared" si="49"/>
        <v>Each</v>
      </c>
      <c r="I416" s="1001">
        <f t="shared" si="50"/>
        <v>722.8</v>
      </c>
      <c r="J416" s="1002"/>
      <c r="K416" s="1002"/>
      <c r="L416" s="1002"/>
      <c r="M416" s="1003"/>
      <c r="N416" s="1003"/>
      <c r="O416" s="1003"/>
      <c r="P416" s="1003"/>
      <c r="Q416" s="1003"/>
      <c r="R416" s="1003"/>
      <c r="S416" s="1003"/>
      <c r="T416" s="1003"/>
      <c r="U416" s="1003"/>
      <c r="V416" s="1003"/>
      <c r="W416" s="1003"/>
      <c r="X416" s="1003"/>
      <c r="Y416" s="1003"/>
      <c r="Z416" s="1003"/>
      <c r="AA416" s="1003"/>
      <c r="AB416" s="1003"/>
      <c r="AC416" s="1003"/>
      <c r="AD416" s="1003"/>
      <c r="AE416" s="1003"/>
      <c r="AF416" s="1003"/>
      <c r="AG416" s="1003"/>
      <c r="AH416" s="1003"/>
      <c r="AI416" s="1003"/>
      <c r="AJ416" s="1003"/>
      <c r="AK416" s="1003"/>
      <c r="AL416" s="1003"/>
      <c r="AM416" s="1003"/>
      <c r="AN416" s="1003"/>
      <c r="AO416" s="1003"/>
      <c r="AP416" s="1003"/>
      <c r="AQ416" s="1003"/>
      <c r="AR416" s="1003"/>
      <c r="AS416" s="1003"/>
      <c r="AT416" s="1003"/>
      <c r="AU416" s="1003"/>
      <c r="AV416" s="1003"/>
      <c r="AW416" s="1003"/>
      <c r="AX416" s="1003"/>
      <c r="AY416" s="1003"/>
      <c r="AZ416" s="1003"/>
      <c r="BA416" s="1003"/>
      <c r="BB416" s="1003"/>
      <c r="BC416" s="1003"/>
      <c r="BD416" s="1003"/>
      <c r="BE416" s="1003"/>
      <c r="BF416" s="1003"/>
      <c r="BG416" s="1003"/>
      <c r="BH416" s="1003"/>
      <c r="BI416" s="1003"/>
      <c r="BJ416" s="1003"/>
      <c r="BK416" s="1003"/>
      <c r="BL416" s="1003"/>
    </row>
    <row r="417" spans="1:64">
      <c r="A417" s="1818"/>
      <c r="B417" s="1048"/>
      <c r="C417" s="1817" t="str">
        <f>Input!$C$47</f>
        <v>Add for MA @ 40%</v>
      </c>
      <c r="D417" s="1034">
        <f>Input!$D$47</f>
        <v>0.4</v>
      </c>
      <c r="E417" s="1044"/>
      <c r="F417" s="1001">
        <f>SUM(I415:I416)</f>
        <v>780.8</v>
      </c>
      <c r="G417" s="1015"/>
      <c r="H417" s="1085"/>
      <c r="I417" s="1001">
        <f t="shared" si="50"/>
        <v>312.32</v>
      </c>
      <c r="J417" s="1002"/>
      <c r="K417" s="1002"/>
      <c r="L417" s="1002"/>
      <c r="M417" s="1003"/>
      <c r="N417" s="1003"/>
      <c r="O417" s="1003"/>
      <c r="P417" s="1003"/>
      <c r="Q417" s="1003"/>
      <c r="R417" s="1003"/>
      <c r="S417" s="1003"/>
      <c r="T417" s="1003"/>
      <c r="U417" s="1003"/>
      <c r="V417" s="1003"/>
      <c r="W417" s="1003"/>
      <c r="X417" s="1003"/>
      <c r="Y417" s="1003"/>
      <c r="Z417" s="1003"/>
      <c r="AA417" s="1003"/>
      <c r="AB417" s="1003"/>
      <c r="AC417" s="1003"/>
      <c r="AD417" s="1003"/>
      <c r="AE417" s="1003"/>
      <c r="AF417" s="1003"/>
      <c r="AG417" s="1003"/>
      <c r="AH417" s="1003"/>
      <c r="AI417" s="1003"/>
      <c r="AJ417" s="1003"/>
      <c r="AK417" s="1003"/>
      <c r="AL417" s="1003"/>
      <c r="AM417" s="1003"/>
      <c r="AN417" s="1003"/>
      <c r="AO417" s="1003"/>
      <c r="AP417" s="1003"/>
      <c r="AQ417" s="1003"/>
      <c r="AR417" s="1003"/>
      <c r="AS417" s="1003"/>
      <c r="AT417" s="1003"/>
      <c r="AU417" s="1003"/>
      <c r="AV417" s="1003"/>
      <c r="AW417" s="1003"/>
      <c r="AX417" s="1003"/>
      <c r="AY417" s="1003"/>
      <c r="AZ417" s="1003"/>
      <c r="BA417" s="1003"/>
      <c r="BB417" s="1003"/>
      <c r="BC417" s="1003"/>
      <c r="BD417" s="1003"/>
      <c r="BE417" s="1003"/>
      <c r="BF417" s="1003"/>
      <c r="BG417" s="1003"/>
      <c r="BH417" s="1003"/>
      <c r="BI417" s="1003"/>
      <c r="BJ417" s="1003"/>
      <c r="BK417" s="1003"/>
      <c r="BL417" s="1003"/>
    </row>
    <row r="418" spans="1:64">
      <c r="A418" s="1818"/>
      <c r="B418" s="1048"/>
      <c r="C418" s="1817"/>
      <c r="D418" s="1000"/>
      <c r="E418" s="1044"/>
      <c r="F418" s="1001"/>
      <c r="G418" s="1015"/>
      <c r="H418" s="1047"/>
      <c r="I418" s="1001">
        <f>SUM(I406:I417)</f>
        <v>4707.7235000000001</v>
      </c>
      <c r="J418" s="1002"/>
      <c r="K418" s="1002"/>
      <c r="L418" s="1002"/>
      <c r="M418" s="1003"/>
      <c r="N418" s="1003"/>
      <c r="O418" s="1003"/>
      <c r="P418" s="1003"/>
      <c r="Q418" s="1003"/>
      <c r="R418" s="1003"/>
      <c r="S418" s="1003"/>
      <c r="T418" s="1003"/>
      <c r="U418" s="1003"/>
      <c r="V418" s="1003"/>
      <c r="W418" s="1003"/>
      <c r="X418" s="1003"/>
      <c r="Y418" s="1003"/>
      <c r="Z418" s="1003"/>
      <c r="AA418" s="1003"/>
      <c r="AB418" s="1003"/>
      <c r="AC418" s="1003"/>
      <c r="AD418" s="1003"/>
      <c r="AE418" s="1003"/>
      <c r="AF418" s="1003"/>
      <c r="AG418" s="1003"/>
      <c r="AH418" s="1003"/>
      <c r="AI418" s="1003"/>
      <c r="AJ418" s="1003"/>
      <c r="AK418" s="1003"/>
      <c r="AL418" s="1003"/>
      <c r="AM418" s="1003"/>
      <c r="AN418" s="1003"/>
      <c r="AO418" s="1003"/>
      <c r="AP418" s="1003"/>
      <c r="AQ418" s="1003"/>
      <c r="AR418" s="1003"/>
      <c r="AS418" s="1003"/>
      <c r="AT418" s="1003"/>
      <c r="AU418" s="1003"/>
      <c r="AV418" s="1003"/>
      <c r="AW418" s="1003"/>
      <c r="AX418" s="1003"/>
      <c r="AY418" s="1003"/>
      <c r="AZ418" s="1003"/>
      <c r="BA418" s="1003"/>
      <c r="BB418" s="1003"/>
      <c r="BC418" s="1003"/>
      <c r="BD418" s="1003"/>
      <c r="BE418" s="1003"/>
      <c r="BF418" s="1003"/>
      <c r="BG418" s="1003"/>
      <c r="BH418" s="1003"/>
      <c r="BI418" s="1003"/>
      <c r="BJ418" s="1003"/>
      <c r="BK418" s="1003"/>
      <c r="BL418" s="1003"/>
    </row>
    <row r="419" spans="1:64">
      <c r="A419" s="1818"/>
      <c r="B419" s="1048"/>
      <c r="C419" s="1817" t="str">
        <f>Input!$C$48</f>
        <v>Overheads &amp; Contractors Profit @ 13.615%</v>
      </c>
      <c r="D419" s="1850">
        <f>Input!$D$48</f>
        <v>0.13614999999999999</v>
      </c>
      <c r="E419" s="1044"/>
      <c r="F419" s="1001">
        <f>I418</f>
        <v>4707.7235000000001</v>
      </c>
      <c r="G419" s="1015"/>
      <c r="H419" s="1047"/>
      <c r="I419" s="1001">
        <f>IF(G419="",D419*F419,(D419*F419/G419))</f>
        <v>640.956554525</v>
      </c>
      <c r="J419" s="1002"/>
      <c r="K419" s="1002"/>
      <c r="L419" s="1002"/>
      <c r="M419" s="1003"/>
      <c r="N419" s="1003"/>
      <c r="O419" s="1003"/>
      <c r="P419" s="1003"/>
      <c r="Q419" s="1003"/>
      <c r="R419" s="1003"/>
      <c r="S419" s="1003"/>
      <c r="T419" s="1003"/>
      <c r="U419" s="1003"/>
      <c r="V419" s="1003"/>
      <c r="W419" s="1003"/>
      <c r="X419" s="1003"/>
      <c r="Y419" s="1003"/>
      <c r="Z419" s="1003"/>
      <c r="AA419" s="1003"/>
      <c r="AB419" s="1003"/>
      <c r="AC419" s="1003"/>
      <c r="AD419" s="1003"/>
      <c r="AE419" s="1003"/>
      <c r="AF419" s="1003"/>
      <c r="AG419" s="1003"/>
      <c r="AH419" s="1003"/>
      <c r="AI419" s="1003"/>
      <c r="AJ419" s="1003"/>
      <c r="AK419" s="1003"/>
      <c r="AL419" s="1003"/>
      <c r="AM419" s="1003"/>
      <c r="AN419" s="1003"/>
      <c r="AO419" s="1003"/>
      <c r="AP419" s="1003"/>
      <c r="AQ419" s="1003"/>
      <c r="AR419" s="1003"/>
      <c r="AS419" s="1003"/>
      <c r="AT419" s="1003"/>
      <c r="AU419" s="1003"/>
      <c r="AV419" s="1003"/>
      <c r="AW419" s="1003"/>
      <c r="AX419" s="1003"/>
      <c r="AY419" s="1003"/>
      <c r="AZ419" s="1003"/>
      <c r="BA419" s="1003"/>
      <c r="BB419" s="1003"/>
      <c r="BC419" s="1003"/>
      <c r="BD419" s="1003"/>
      <c r="BE419" s="1003"/>
      <c r="BF419" s="1003"/>
      <c r="BG419" s="1003"/>
      <c r="BH419" s="1003"/>
      <c r="BI419" s="1003"/>
      <c r="BJ419" s="1003"/>
      <c r="BK419" s="1003"/>
      <c r="BL419" s="1003"/>
    </row>
    <row r="420" spans="1:64">
      <c r="A420" s="1818"/>
      <c r="B420" s="1048"/>
      <c r="C420" s="1816" t="s">
        <v>1032</v>
      </c>
      <c r="D420" s="1000"/>
      <c r="E420" s="1044"/>
      <c r="F420" s="1001"/>
      <c r="G420" s="1015"/>
      <c r="H420" s="1034" t="s">
        <v>1033</v>
      </c>
      <c r="I420" s="1093">
        <f>SUM(I418:I419)</f>
        <v>5348.6800545249998</v>
      </c>
      <c r="J420" s="1002"/>
      <c r="K420" s="1002"/>
      <c r="L420" s="1002"/>
      <c r="M420" s="1003"/>
      <c r="N420" s="1003"/>
      <c r="O420" s="1003"/>
      <c r="P420" s="1003"/>
      <c r="Q420" s="1003"/>
      <c r="R420" s="1003"/>
      <c r="S420" s="1003"/>
      <c r="T420" s="1003"/>
      <c r="U420" s="1003"/>
      <c r="V420" s="1003"/>
      <c r="W420" s="1003"/>
      <c r="X420" s="1003"/>
      <c r="Y420" s="1003"/>
      <c r="Z420" s="1003"/>
      <c r="AA420" s="1003"/>
      <c r="AB420" s="1003"/>
      <c r="AC420" s="1003"/>
      <c r="AD420" s="1003"/>
      <c r="AE420" s="1003"/>
      <c r="AF420" s="1003"/>
      <c r="AG420" s="1003"/>
      <c r="AH420" s="1003"/>
      <c r="AI420" s="1003"/>
      <c r="AJ420" s="1003"/>
      <c r="AK420" s="1003"/>
      <c r="AL420" s="1003"/>
      <c r="AM420" s="1003"/>
      <c r="AN420" s="1003"/>
      <c r="AO420" s="1003"/>
      <c r="AP420" s="1003"/>
      <c r="AQ420" s="1003"/>
      <c r="AR420" s="1003"/>
      <c r="AS420" s="1003"/>
      <c r="AT420" s="1003"/>
      <c r="AU420" s="1003"/>
      <c r="AV420" s="1003"/>
      <c r="AW420" s="1003"/>
      <c r="AX420" s="1003"/>
      <c r="AY420" s="1003"/>
      <c r="AZ420" s="1003"/>
      <c r="BA420" s="1003"/>
      <c r="BB420" s="1003"/>
      <c r="BC420" s="1003"/>
      <c r="BD420" s="1003"/>
      <c r="BE420" s="1003"/>
      <c r="BF420" s="1003"/>
      <c r="BG420" s="1003"/>
      <c r="BH420" s="1003"/>
      <c r="BI420" s="1003"/>
      <c r="BJ420" s="1003"/>
      <c r="BK420" s="1003"/>
      <c r="BL420" s="1003"/>
    </row>
    <row r="421" spans="1:64">
      <c r="A421" s="1818"/>
      <c r="B421" s="1048"/>
      <c r="C421" s="1816"/>
      <c r="D421" s="1000"/>
      <c r="E421" s="1044"/>
      <c r="F421" s="1001"/>
      <c r="G421" s="1015"/>
      <c r="H421" s="1046" t="s">
        <v>1096</v>
      </c>
      <c r="I421" s="1011">
        <f>ROUND(I420,0)</f>
        <v>5349</v>
      </c>
      <c r="J421" s="1974" t="s">
        <v>3901</v>
      </c>
      <c r="K421" s="1846"/>
      <c r="L421" s="1846"/>
    </row>
    <row r="422" spans="1:64">
      <c r="A422" s="1818"/>
      <c r="B422" s="1048"/>
      <c r="C422" s="1816"/>
      <c r="D422" s="1000"/>
      <c r="E422" s="1044"/>
      <c r="F422" s="1001"/>
      <c r="G422" s="1015"/>
      <c r="H422" s="1047"/>
      <c r="I422" s="1011"/>
      <c r="J422" s="1846"/>
      <c r="K422" s="1846"/>
      <c r="L422" s="1846"/>
    </row>
    <row r="423" spans="1:64" ht="71.849999999999994" customHeight="1">
      <c r="A423" s="2048">
        <f>A402+1</f>
        <v>11</v>
      </c>
      <c r="B423" s="2048"/>
      <c r="C423" s="2036" t="s">
        <v>3397</v>
      </c>
      <c r="D423" s="2036"/>
      <c r="E423" s="2036"/>
      <c r="F423" s="2036"/>
      <c r="G423" s="2036"/>
      <c r="H423" s="2036"/>
      <c r="I423" s="1825"/>
      <c r="J423" s="1846"/>
      <c r="K423" s="1846"/>
      <c r="L423" s="1846"/>
    </row>
    <row r="424" spans="1:64">
      <c r="A424" s="1818"/>
      <c r="B424" s="1048"/>
      <c r="C424" s="1049" t="s">
        <v>1152</v>
      </c>
      <c r="D424" s="1000"/>
      <c r="E424" s="1094"/>
      <c r="F424" s="1001"/>
      <c r="G424" s="1015"/>
      <c r="H424" s="1050"/>
      <c r="I424" s="1030"/>
      <c r="J424" s="1846"/>
      <c r="K424" s="1846"/>
      <c r="L424" s="1846"/>
    </row>
    <row r="425" spans="1:64">
      <c r="A425" s="1818"/>
      <c r="B425" s="1048"/>
      <c r="C425" s="1820" t="s">
        <v>1153</v>
      </c>
      <c r="D425" s="1000"/>
      <c r="E425" s="1094"/>
      <c r="F425" s="1001"/>
      <c r="G425" s="1015"/>
      <c r="H425" s="1050"/>
      <c r="I425" s="1030"/>
      <c r="J425" s="1846"/>
      <c r="K425" s="1846"/>
      <c r="L425" s="1846"/>
    </row>
    <row r="426" spans="1:64">
      <c r="A426" s="1818"/>
      <c r="B426" s="1048"/>
      <c r="C426" s="1825" t="s">
        <v>1154</v>
      </c>
      <c r="D426" s="1000"/>
      <c r="E426" s="1094"/>
      <c r="F426" s="1001"/>
      <c r="G426" s="1015"/>
      <c r="H426" s="1050"/>
      <c r="I426" s="1030"/>
      <c r="J426" s="1846"/>
      <c r="K426" s="1846"/>
      <c r="L426" s="1846"/>
    </row>
    <row r="427" spans="1:64">
      <c r="A427" s="1818"/>
      <c r="B427" s="1048"/>
      <c r="C427" s="1820" t="s">
        <v>889</v>
      </c>
      <c r="D427" s="1034">
        <v>59.4</v>
      </c>
      <c r="E427" s="1044" t="s">
        <v>1110</v>
      </c>
      <c r="F427" s="1001">
        <f>LEAD!$N$6</f>
        <v>5200</v>
      </c>
      <c r="G427" s="1015">
        <v>1000</v>
      </c>
      <c r="H427" s="1050" t="str">
        <f t="shared" ref="H427:H429" si="51">IF(E427="","",IF(E427="No.","Each",IF(E427="Nos.","Each",E427)))</f>
        <v>Kgs</v>
      </c>
      <c r="I427" s="1030">
        <f t="shared" ref="I427:I429" si="52">IF(G427="",D427*F427,(D427*F427/G427))</f>
        <v>308.88</v>
      </c>
      <c r="J427" s="1846"/>
      <c r="K427" s="1846"/>
      <c r="L427" s="1846"/>
    </row>
    <row r="428" spans="1:64">
      <c r="A428" s="1818"/>
      <c r="B428" s="1048"/>
      <c r="C428" s="1820" t="s">
        <v>1155</v>
      </c>
      <c r="D428" s="1000">
        <v>1.1000000000000001</v>
      </c>
      <c r="E428" s="1044" t="s">
        <v>484</v>
      </c>
      <c r="F428" s="1001">
        <f>LEAD!$N$23</f>
        <v>574.96</v>
      </c>
      <c r="G428" s="1015">
        <v>1</v>
      </c>
      <c r="H428" s="1050" t="str">
        <f t="shared" si="51"/>
        <v>Cum</v>
      </c>
      <c r="I428" s="1030">
        <f t="shared" si="52"/>
        <v>632.45600000000013</v>
      </c>
      <c r="J428" s="1846"/>
      <c r="K428" s="1846"/>
      <c r="L428" s="1846"/>
    </row>
    <row r="429" spans="1:64">
      <c r="A429" s="1818"/>
      <c r="B429" s="1048"/>
      <c r="C429" s="1820" t="s">
        <v>1156</v>
      </c>
      <c r="D429" s="1000">
        <v>0.33</v>
      </c>
      <c r="E429" s="1044" t="s">
        <v>484</v>
      </c>
      <c r="F429" s="1001">
        <f>LEAD!$N$13</f>
        <v>2453.91</v>
      </c>
      <c r="G429" s="1015">
        <v>1</v>
      </c>
      <c r="H429" s="1050" t="str">
        <f t="shared" si="51"/>
        <v>Cum</v>
      </c>
      <c r="I429" s="1030">
        <f t="shared" si="52"/>
        <v>809.7903</v>
      </c>
      <c r="J429" s="1846"/>
      <c r="K429" s="1846"/>
      <c r="L429" s="1846"/>
    </row>
    <row r="430" spans="1:64">
      <c r="A430" s="1818"/>
      <c r="B430" s="1048"/>
      <c r="C430" s="1825" t="s">
        <v>1157</v>
      </c>
      <c r="D430" s="1000"/>
      <c r="E430" s="1094"/>
      <c r="F430" s="1001"/>
      <c r="G430" s="1015"/>
      <c r="H430" s="1047"/>
      <c r="I430" s="1011"/>
      <c r="J430" s="1846"/>
      <c r="K430" s="1846"/>
      <c r="L430" s="1846"/>
    </row>
    <row r="431" spans="1:64">
      <c r="A431" s="1818"/>
      <c r="B431" s="1048"/>
      <c r="C431" s="1817" t="s">
        <v>1147</v>
      </c>
      <c r="D431" s="1000">
        <v>1.2</v>
      </c>
      <c r="E431" s="1044" t="s">
        <v>36</v>
      </c>
      <c r="F431" s="1001">
        <f>'Civil-SOR'!$G$293</f>
        <v>580</v>
      </c>
      <c r="G431" s="1015">
        <v>1</v>
      </c>
      <c r="H431" s="1050" t="str">
        <f t="shared" ref="H431:H432" si="53">IF(E431="","",IF(E431="No.","Each",IF(E431="Nos.","Each",E431)))</f>
        <v>Each</v>
      </c>
      <c r="I431" s="1030">
        <f t="shared" ref="I431:I433" si="54">IF(G431="",D431*F431,(D431*F431/G431))</f>
        <v>696</v>
      </c>
      <c r="J431" s="1846"/>
      <c r="K431" s="1846"/>
      <c r="L431" s="1846"/>
    </row>
    <row r="432" spans="1:64">
      <c r="A432" s="1818"/>
      <c r="B432" s="1048"/>
      <c r="C432" s="1817" t="s">
        <v>1148</v>
      </c>
      <c r="D432" s="1000">
        <v>2</v>
      </c>
      <c r="E432" s="1044" t="s">
        <v>36</v>
      </c>
      <c r="F432" s="1001">
        <f>'Civil-SOR'!$G$307</f>
        <v>520</v>
      </c>
      <c r="G432" s="1015">
        <v>1</v>
      </c>
      <c r="H432" s="1050" t="str">
        <f t="shared" si="53"/>
        <v>Each</v>
      </c>
      <c r="I432" s="1030">
        <f t="shared" si="54"/>
        <v>1040</v>
      </c>
      <c r="J432" s="1846"/>
      <c r="K432" s="1846"/>
      <c r="L432" s="1846"/>
    </row>
    <row r="433" spans="1:18">
      <c r="A433" s="1818"/>
      <c r="B433" s="1048"/>
      <c r="C433" s="1817" t="str">
        <f>Input!$C$47</f>
        <v>Add for MA @ 40%</v>
      </c>
      <c r="D433" s="1000">
        <f>Input!$D$47</f>
        <v>0.4</v>
      </c>
      <c r="E433" s="1044"/>
      <c r="F433" s="1001">
        <f>SUM(I431:I432)</f>
        <v>1736</v>
      </c>
      <c r="G433" s="1015"/>
      <c r="H433" s="1050"/>
      <c r="I433" s="1030">
        <f t="shared" si="54"/>
        <v>694.40000000000009</v>
      </c>
      <c r="J433" s="1846"/>
      <c r="K433" s="1846"/>
      <c r="L433" s="1846"/>
    </row>
    <row r="434" spans="1:18">
      <c r="A434" s="1818"/>
      <c r="B434" s="1048"/>
      <c r="C434" s="1817"/>
      <c r="D434" s="1000"/>
      <c r="E434" s="1044"/>
      <c r="F434" s="1001"/>
      <c r="G434" s="1015"/>
      <c r="H434" s="1050"/>
      <c r="I434" s="1030">
        <f>SUM(I427:I433)</f>
        <v>4181.5262999999995</v>
      </c>
      <c r="J434" s="1846"/>
      <c r="K434" s="1846"/>
      <c r="L434" s="1846"/>
    </row>
    <row r="435" spans="1:18">
      <c r="A435" s="1818"/>
      <c r="B435" s="1048"/>
      <c r="C435" s="1817" t="s">
        <v>1158</v>
      </c>
      <c r="D435" s="1000">
        <v>0.01</v>
      </c>
      <c r="E435" s="1044"/>
      <c r="F435" s="1001">
        <f>I434</f>
        <v>4181.5262999999995</v>
      </c>
      <c r="G435" s="1015"/>
      <c r="H435" s="1050"/>
      <c r="I435" s="1030">
        <f>IF(G435="",D435*F435,(D435*F435/G435))</f>
        <v>41.815262999999995</v>
      </c>
      <c r="J435" s="1846"/>
      <c r="K435" s="1846"/>
      <c r="L435" s="1846"/>
    </row>
    <row r="436" spans="1:18">
      <c r="A436" s="1818"/>
      <c r="B436" s="1048"/>
      <c r="C436" s="1817"/>
      <c r="D436" s="1000"/>
      <c r="E436" s="1044"/>
      <c r="F436" s="1001"/>
      <c r="G436" s="1015"/>
      <c r="H436" s="1050"/>
      <c r="I436" s="1030">
        <f>SUM(I434:I435)</f>
        <v>4223.341563</v>
      </c>
      <c r="J436" s="1846"/>
      <c r="K436" s="1846"/>
      <c r="L436" s="1846"/>
    </row>
    <row r="437" spans="1:18">
      <c r="A437" s="1818"/>
      <c r="B437" s="1048"/>
      <c r="C437" s="1817" t="str">
        <f>Input!$C$48</f>
        <v>Overheads &amp; Contractors Profit @ 13.615%</v>
      </c>
      <c r="D437" s="1095">
        <f>Input!$D$48</f>
        <v>0.13614999999999999</v>
      </c>
      <c r="E437" s="1069"/>
      <c r="F437" s="1001">
        <f>I436</f>
        <v>4223.341563</v>
      </c>
      <c r="G437" s="1015"/>
      <c r="H437" s="1047"/>
      <c r="I437" s="1030">
        <f>IF(G437="",D437*F437,(D437*F437/G437))</f>
        <v>575.00795380244995</v>
      </c>
      <c r="J437" s="1846"/>
      <c r="K437" s="1846"/>
      <c r="L437" s="1846"/>
    </row>
    <row r="438" spans="1:18">
      <c r="A438" s="1818"/>
      <c r="B438" s="1048"/>
      <c r="C438" s="1816" t="s">
        <v>1032</v>
      </c>
      <c r="D438" s="1000"/>
      <c r="E438" s="1069"/>
      <c r="F438" s="1001"/>
      <c r="G438" s="1015"/>
      <c r="H438" s="1034" t="s">
        <v>1033</v>
      </c>
      <c r="I438" s="1030">
        <f>SUM(I436:I437)</f>
        <v>4798.3495168024501</v>
      </c>
      <c r="J438" s="1846"/>
      <c r="K438" s="1846"/>
      <c r="L438" s="1846"/>
    </row>
    <row r="439" spans="1:18">
      <c r="A439" s="1818"/>
      <c r="B439" s="1048"/>
      <c r="C439" s="1816"/>
      <c r="D439" s="1000"/>
      <c r="E439" s="1069"/>
      <c r="F439" s="1001"/>
      <c r="G439" s="1015"/>
      <c r="H439" s="1046" t="s">
        <v>1096</v>
      </c>
      <c r="I439" s="1011">
        <f>ROUND(I438,0)</f>
        <v>4798</v>
      </c>
      <c r="J439" s="1846"/>
      <c r="K439" s="1846"/>
      <c r="L439" s="1846"/>
    </row>
    <row r="440" spans="1:18">
      <c r="A440" s="1818"/>
      <c r="B440" s="1048"/>
      <c r="C440" s="1816"/>
      <c r="D440" s="1000"/>
      <c r="E440" s="1069"/>
      <c r="F440" s="1001"/>
      <c r="G440" s="1015"/>
      <c r="H440" s="1047"/>
      <c r="I440" s="1011"/>
      <c r="J440" s="1846"/>
      <c r="K440" s="1846"/>
      <c r="L440" s="1846"/>
    </row>
    <row r="441" spans="1:18" ht="71.849999999999994" customHeight="1">
      <c r="A441" s="2048">
        <f>1+A402</f>
        <v>11</v>
      </c>
      <c r="B441" s="2048"/>
      <c r="C441" s="2036" t="s">
        <v>3398</v>
      </c>
      <c r="D441" s="2036"/>
      <c r="E441" s="2036"/>
      <c r="F441" s="2036"/>
      <c r="G441" s="2036"/>
      <c r="H441" s="2036"/>
      <c r="I441" s="1825"/>
      <c r="J441" s="1049"/>
      <c r="K441" s="1049"/>
      <c r="L441" s="1049"/>
      <c r="M441" s="1845"/>
      <c r="N441" s="1845"/>
      <c r="O441" s="1845"/>
      <c r="P441" s="1845"/>
      <c r="Q441" s="1845"/>
      <c r="R441" s="1845"/>
    </row>
    <row r="442" spans="1:18">
      <c r="A442" s="1818"/>
      <c r="B442" s="1094"/>
      <c r="C442" s="1049" t="s">
        <v>1152</v>
      </c>
      <c r="D442" s="1000"/>
      <c r="E442" s="1094"/>
      <c r="F442" s="1001"/>
      <c r="G442" s="1015"/>
      <c r="H442" s="1050"/>
      <c r="I442" s="1030"/>
      <c r="J442" s="1846"/>
      <c r="K442" s="1846"/>
      <c r="L442" s="1846"/>
    </row>
    <row r="443" spans="1:18">
      <c r="A443" s="1818"/>
      <c r="B443" s="1094"/>
      <c r="C443" s="1820" t="s">
        <v>1153</v>
      </c>
      <c r="D443" s="1000"/>
      <c r="E443" s="1094"/>
      <c r="F443" s="1001"/>
      <c r="G443" s="1015"/>
      <c r="H443" s="1050"/>
      <c r="I443" s="1030"/>
      <c r="J443" s="1846"/>
      <c r="K443" s="1846"/>
      <c r="L443" s="1846"/>
    </row>
    <row r="444" spans="1:18">
      <c r="A444" s="1818"/>
      <c r="B444" s="1094"/>
      <c r="C444" s="1825" t="s">
        <v>1154</v>
      </c>
      <c r="D444" s="1000"/>
      <c r="E444" s="1094"/>
      <c r="F444" s="1001"/>
      <c r="G444" s="1015"/>
      <c r="H444" s="1050"/>
      <c r="I444" s="1030"/>
      <c r="J444" s="1846"/>
      <c r="K444" s="1846"/>
      <c r="L444" s="1846"/>
    </row>
    <row r="445" spans="1:18">
      <c r="A445" s="1818"/>
      <c r="B445" s="1094"/>
      <c r="C445" s="1820" t="s">
        <v>889</v>
      </c>
      <c r="D445" s="1034">
        <v>59.4</v>
      </c>
      <c r="E445" s="1044" t="s">
        <v>1110</v>
      </c>
      <c r="F445" s="1001">
        <f>LEAD!$N$6</f>
        <v>5200</v>
      </c>
      <c r="G445" s="1015">
        <v>1000</v>
      </c>
      <c r="H445" s="1050" t="str">
        <f t="shared" ref="H445:H447" si="55">IF(E445="","",IF(E445="No.","Each",IF(E445="Nos.","Each",E445)))</f>
        <v>Kgs</v>
      </c>
      <c r="I445" s="1030">
        <f t="shared" ref="I445:I447" si="56">IF(G445="",D445*F445,(D445*F445/G445))</f>
        <v>308.88</v>
      </c>
      <c r="J445" s="1096"/>
      <c r="K445" s="1846"/>
      <c r="L445" s="1846"/>
    </row>
    <row r="446" spans="1:18">
      <c r="A446" s="1818"/>
      <c r="B446" s="1094"/>
      <c r="C446" s="1820" t="s">
        <v>1159</v>
      </c>
      <c r="D446" s="1000">
        <v>1.1000000000000001</v>
      </c>
      <c r="E446" s="1044" t="s">
        <v>484</v>
      </c>
      <c r="F446" s="1001">
        <f>LEAD!$N$24</f>
        <v>760.96</v>
      </c>
      <c r="G446" s="1015">
        <v>1</v>
      </c>
      <c r="H446" s="1050" t="str">
        <f t="shared" si="55"/>
        <v>Cum</v>
      </c>
      <c r="I446" s="1030">
        <f t="shared" si="56"/>
        <v>837.05600000000015</v>
      </c>
      <c r="J446" s="1096"/>
      <c r="K446" s="1846"/>
      <c r="L446" s="1846"/>
    </row>
    <row r="447" spans="1:18">
      <c r="A447" s="1818"/>
      <c r="B447" s="1094"/>
      <c r="C447" s="1820" t="s">
        <v>1156</v>
      </c>
      <c r="D447" s="1000">
        <v>0.33</v>
      </c>
      <c r="E447" s="1044" t="s">
        <v>484</v>
      </c>
      <c r="F447" s="1001">
        <f>LEAD!$N$13</f>
        <v>2453.91</v>
      </c>
      <c r="G447" s="1015">
        <v>1</v>
      </c>
      <c r="H447" s="1050" t="str">
        <f t="shared" si="55"/>
        <v>Cum</v>
      </c>
      <c r="I447" s="1030">
        <f t="shared" si="56"/>
        <v>809.7903</v>
      </c>
      <c r="J447" s="1096"/>
      <c r="K447" s="1846"/>
      <c r="L447" s="1846"/>
    </row>
    <row r="448" spans="1:18">
      <c r="A448" s="1818"/>
      <c r="B448" s="1094"/>
      <c r="C448" s="1825" t="s">
        <v>1157</v>
      </c>
      <c r="D448" s="1000"/>
      <c r="E448" s="1094"/>
      <c r="F448" s="1001"/>
      <c r="G448" s="1015"/>
      <c r="H448" s="1047"/>
      <c r="I448" s="1011"/>
      <c r="J448" s="1096"/>
      <c r="K448" s="1846"/>
      <c r="L448" s="1846"/>
    </row>
    <row r="449" spans="1:64">
      <c r="A449" s="1818"/>
      <c r="B449" s="1094"/>
      <c r="C449" s="1817" t="s">
        <v>1147</v>
      </c>
      <c r="D449" s="1000">
        <v>1.2</v>
      </c>
      <c r="E449" s="1044" t="s">
        <v>36</v>
      </c>
      <c r="F449" s="1001">
        <f>'Civil-SOR'!$G$293</f>
        <v>580</v>
      </c>
      <c r="G449" s="1015">
        <v>1</v>
      </c>
      <c r="H449" s="1050" t="str">
        <f t="shared" ref="H449:H450" si="57">IF(E449="","",IF(E449="No.","Each",IF(E449="Nos.","Each",E449)))</f>
        <v>Each</v>
      </c>
      <c r="I449" s="1030">
        <f t="shared" ref="I449:I451" si="58">IF(G449="",D449*F449,(D449*F449/G449))</f>
        <v>696</v>
      </c>
      <c r="J449" s="1096"/>
      <c r="K449" s="1846"/>
      <c r="L449" s="1846"/>
    </row>
    <row r="450" spans="1:64">
      <c r="A450" s="1818"/>
      <c r="B450" s="1094"/>
      <c r="C450" s="1817" t="s">
        <v>1148</v>
      </c>
      <c r="D450" s="1000">
        <v>2</v>
      </c>
      <c r="E450" s="1044" t="s">
        <v>36</v>
      </c>
      <c r="F450" s="1001">
        <f>'Civil-SOR'!$G$307</f>
        <v>520</v>
      </c>
      <c r="G450" s="1015">
        <v>1</v>
      </c>
      <c r="H450" s="1050" t="str">
        <f t="shared" si="57"/>
        <v>Each</v>
      </c>
      <c r="I450" s="1030">
        <f t="shared" si="58"/>
        <v>1040</v>
      </c>
      <c r="J450" s="1096"/>
      <c r="K450" s="1846"/>
      <c r="L450" s="1846"/>
    </row>
    <row r="451" spans="1:64">
      <c r="A451" s="1818"/>
      <c r="B451" s="1094"/>
      <c r="C451" s="1817" t="str">
        <f>Input!$C$47</f>
        <v>Add for MA @ 40%</v>
      </c>
      <c r="D451" s="1000">
        <f>Input!$D$47</f>
        <v>0.4</v>
      </c>
      <c r="E451" s="1044"/>
      <c r="F451" s="1001">
        <f>SUM(I449:I450)</f>
        <v>1736</v>
      </c>
      <c r="G451" s="1015"/>
      <c r="H451" s="1050"/>
      <c r="I451" s="1030">
        <f t="shared" si="58"/>
        <v>694.40000000000009</v>
      </c>
      <c r="J451" s="1096"/>
      <c r="K451" s="1846"/>
      <c r="L451" s="1846"/>
    </row>
    <row r="452" spans="1:64">
      <c r="A452" s="1818"/>
      <c r="B452" s="1094"/>
      <c r="C452" s="1817"/>
      <c r="D452" s="1000"/>
      <c r="E452" s="1044"/>
      <c r="F452" s="1001"/>
      <c r="G452" s="1015"/>
      <c r="H452" s="1050"/>
      <c r="I452" s="1030">
        <f>SUM(I445:I451)</f>
        <v>4386.1262999999999</v>
      </c>
      <c r="J452" s="1096"/>
      <c r="K452" s="1846"/>
      <c r="L452" s="1846"/>
    </row>
    <row r="453" spans="1:64">
      <c r="A453" s="1818"/>
      <c r="B453" s="1094"/>
      <c r="C453" s="1817" t="s">
        <v>1158</v>
      </c>
      <c r="D453" s="1000">
        <v>0.01</v>
      </c>
      <c r="E453" s="1044"/>
      <c r="F453" s="1001">
        <f>I452</f>
        <v>4386.1262999999999</v>
      </c>
      <c r="G453" s="1015"/>
      <c r="H453" s="1050"/>
      <c r="I453" s="1030">
        <f>IF(G453="",D453*F453,(D453*F453/G453))</f>
        <v>43.861263000000001</v>
      </c>
      <c r="J453" s="1096"/>
      <c r="K453" s="1846"/>
      <c r="L453" s="1846"/>
    </row>
    <row r="454" spans="1:64">
      <c r="A454" s="1818"/>
      <c r="B454" s="1094"/>
      <c r="C454" s="1817"/>
      <c r="D454" s="1000"/>
      <c r="E454" s="1044"/>
      <c r="F454" s="1001"/>
      <c r="G454" s="1015"/>
      <c r="H454" s="1050"/>
      <c r="I454" s="1030">
        <f>SUM(I452:I453)</f>
        <v>4429.9875629999997</v>
      </c>
      <c r="J454" s="1096"/>
      <c r="K454" s="1846"/>
      <c r="L454" s="1846"/>
    </row>
    <row r="455" spans="1:64">
      <c r="A455" s="1818"/>
      <c r="B455" s="1094"/>
      <c r="C455" s="1817" t="str">
        <f>Input!$C$48</f>
        <v>Overheads &amp; Contractors Profit @ 13.615%</v>
      </c>
      <c r="D455" s="1095">
        <f>Input!$D$48</f>
        <v>0.13614999999999999</v>
      </c>
      <c r="E455" s="1069"/>
      <c r="F455" s="1001">
        <f>I454</f>
        <v>4429.9875629999997</v>
      </c>
      <c r="G455" s="1015"/>
      <c r="H455" s="1047"/>
      <c r="I455" s="1030">
        <f>IF(G455="",D455*F455,(D455*F455/G455))</f>
        <v>603.14280670244989</v>
      </c>
      <c r="J455" s="1096"/>
      <c r="K455" s="1846"/>
      <c r="L455" s="1846"/>
    </row>
    <row r="456" spans="1:64">
      <c r="A456" s="1818"/>
      <c r="B456" s="1094"/>
      <c r="C456" s="1816" t="s">
        <v>1032</v>
      </c>
      <c r="D456" s="1000"/>
      <c r="E456" s="1069"/>
      <c r="F456" s="1001"/>
      <c r="G456" s="1015"/>
      <c r="H456" s="1034" t="s">
        <v>1033</v>
      </c>
      <c r="I456" s="1030">
        <f>SUM(I454:I455)</f>
        <v>5033.1303697024496</v>
      </c>
      <c r="J456" s="1096"/>
      <c r="K456" s="1846"/>
      <c r="L456" s="1846"/>
    </row>
    <row r="457" spans="1:64">
      <c r="A457" s="1818"/>
      <c r="B457" s="1094"/>
      <c r="C457" s="1816"/>
      <c r="D457" s="1000"/>
      <c r="E457" s="1069"/>
      <c r="F457" s="1001"/>
      <c r="G457" s="1015"/>
      <c r="H457" s="1046" t="s">
        <v>1096</v>
      </c>
      <c r="I457" s="1011">
        <f>ROUND(I456,0)</f>
        <v>5033</v>
      </c>
      <c r="J457" s="1096"/>
      <c r="K457" s="1846"/>
      <c r="L457" s="1846"/>
    </row>
    <row r="458" spans="1:64">
      <c r="A458" s="1818"/>
      <c r="B458" s="1094"/>
      <c r="C458" s="1816"/>
      <c r="D458" s="1000"/>
      <c r="E458" s="1069"/>
      <c r="F458" s="1001"/>
      <c r="G458" s="1015"/>
      <c r="H458" s="1047"/>
      <c r="I458" s="1011"/>
      <c r="J458" s="1846"/>
      <c r="K458" s="1846"/>
      <c r="L458" s="1846"/>
    </row>
    <row r="459" spans="1:64" ht="71.849999999999994" customHeight="1">
      <c r="A459" s="2048">
        <f>+A441+1</f>
        <v>12</v>
      </c>
      <c r="B459" s="2048"/>
      <c r="C459" s="2067" t="s">
        <v>3399</v>
      </c>
      <c r="D459" s="2068"/>
      <c r="E459" s="2068"/>
      <c r="F459" s="2068"/>
      <c r="G459" s="2068"/>
      <c r="H459" s="2068"/>
      <c r="I459" s="2069"/>
      <c r="J459" s="1846"/>
      <c r="K459" s="1846"/>
      <c r="L459" s="1846"/>
    </row>
    <row r="460" spans="1:64">
      <c r="A460" s="1818"/>
      <c r="B460" s="1094"/>
      <c r="C460" s="1049" t="s">
        <v>1160</v>
      </c>
      <c r="D460" s="1096"/>
      <c r="E460" s="1846"/>
      <c r="F460" s="1818"/>
      <c r="G460" s="1048"/>
      <c r="H460" s="1048"/>
      <c r="I460" s="1001"/>
      <c r="J460" s="1846"/>
      <c r="K460" s="1846"/>
      <c r="L460" s="1846"/>
    </row>
    <row r="461" spans="1:64">
      <c r="A461" s="1818"/>
      <c r="B461" s="1094"/>
      <c r="C461" s="1047" t="s">
        <v>1161</v>
      </c>
      <c r="D461" s="1048"/>
      <c r="E461" s="1048"/>
      <c r="F461" s="1818"/>
      <c r="G461" s="1048"/>
      <c r="H461" s="1048"/>
      <c r="I461" s="1001"/>
      <c r="J461" s="1846"/>
      <c r="K461" s="1846"/>
      <c r="L461" s="1846"/>
    </row>
    <row r="462" spans="1:64">
      <c r="A462" s="1818"/>
      <c r="B462" s="1094"/>
      <c r="C462" s="1047" t="s">
        <v>1139</v>
      </c>
      <c r="D462" s="1048"/>
      <c r="E462" s="1048"/>
      <c r="F462" s="1818"/>
      <c r="G462" s="1048"/>
      <c r="H462" s="1048"/>
      <c r="I462" s="1001"/>
      <c r="J462" s="1002"/>
      <c r="K462" s="1002"/>
      <c r="L462" s="1002"/>
      <c r="M462" s="1003"/>
      <c r="N462" s="1003"/>
      <c r="O462" s="1003"/>
      <c r="P462" s="1003"/>
      <c r="Q462" s="1003"/>
      <c r="R462" s="1003"/>
      <c r="S462" s="1003"/>
      <c r="T462" s="1003"/>
      <c r="U462" s="1003"/>
      <c r="V462" s="1003"/>
      <c r="W462" s="1003"/>
      <c r="X462" s="1003"/>
      <c r="Y462" s="1003"/>
      <c r="Z462" s="1003"/>
      <c r="AA462" s="1003"/>
      <c r="AB462" s="1003"/>
      <c r="AC462" s="1003"/>
      <c r="AD462" s="1003"/>
      <c r="AE462" s="1003"/>
      <c r="AF462" s="1003"/>
      <c r="AG462" s="1003"/>
      <c r="AH462" s="1003"/>
      <c r="AI462" s="1003"/>
      <c r="AJ462" s="1003"/>
      <c r="AK462" s="1003"/>
      <c r="AL462" s="1003"/>
      <c r="AM462" s="1003"/>
      <c r="AN462" s="1003"/>
      <c r="AO462" s="1003"/>
      <c r="AP462" s="1003"/>
      <c r="AQ462" s="1003"/>
      <c r="AR462" s="1003"/>
      <c r="AS462" s="1003"/>
      <c r="AT462" s="1003"/>
      <c r="AU462" s="1003"/>
      <c r="AV462" s="1003"/>
      <c r="AW462" s="1003"/>
      <c r="AX462" s="1003"/>
      <c r="AY462" s="1003"/>
      <c r="AZ462" s="1003"/>
      <c r="BA462" s="1003"/>
      <c r="BB462" s="1003"/>
      <c r="BC462" s="1003"/>
      <c r="BD462" s="1003"/>
      <c r="BE462" s="1003"/>
      <c r="BF462" s="1003"/>
      <c r="BG462" s="1003"/>
      <c r="BH462" s="1003"/>
      <c r="BI462" s="1003"/>
      <c r="BJ462" s="1003"/>
      <c r="BK462" s="1003"/>
      <c r="BL462" s="1003"/>
    </row>
    <row r="463" spans="1:64">
      <c r="A463" s="1818"/>
      <c r="B463" s="1094"/>
      <c r="C463" s="1817" t="s">
        <v>1162</v>
      </c>
      <c r="D463" s="1034">
        <v>0.9</v>
      </c>
      <c r="E463" s="1069" t="s">
        <v>484</v>
      </c>
      <c r="F463" s="1001">
        <f>LEAD!$N$18</f>
        <v>1310.96</v>
      </c>
      <c r="G463" s="1045">
        <v>1</v>
      </c>
      <c r="H463" s="1069" t="str">
        <f t="shared" ref="H463:H464" si="59">IF(E463="","",IF(E463="No.","Each",IF(E463="Nos.","Each",E463)))</f>
        <v>Cum</v>
      </c>
      <c r="I463" s="1001">
        <f t="shared" ref="I463:I464" si="60">IF(G463="",D463*F463,(D463*F463/G463))</f>
        <v>1179.864</v>
      </c>
      <c r="J463" s="1018"/>
      <c r="K463" s="1002"/>
      <c r="L463" s="1002"/>
      <c r="M463" s="1003"/>
      <c r="N463" s="1003"/>
      <c r="O463" s="1003"/>
      <c r="P463" s="1003"/>
      <c r="Q463" s="1003"/>
      <c r="R463" s="1003"/>
      <c r="S463" s="1003"/>
      <c r="T463" s="1003"/>
      <c r="U463" s="1003"/>
      <c r="V463" s="1003"/>
      <c r="W463" s="1003"/>
      <c r="X463" s="1003"/>
      <c r="Y463" s="1003"/>
      <c r="Z463" s="1003"/>
      <c r="AA463" s="1003"/>
      <c r="AB463" s="1003"/>
      <c r="AC463" s="1003"/>
      <c r="AD463" s="1003"/>
      <c r="AE463" s="1003"/>
      <c r="AF463" s="1003"/>
      <c r="AG463" s="1003"/>
      <c r="AH463" s="1003"/>
      <c r="AI463" s="1003"/>
      <c r="AJ463" s="1003"/>
      <c r="AK463" s="1003"/>
      <c r="AL463" s="1003"/>
      <c r="AM463" s="1003"/>
      <c r="AN463" s="1003"/>
      <c r="AO463" s="1003"/>
      <c r="AP463" s="1003"/>
      <c r="AQ463" s="1003"/>
      <c r="AR463" s="1003"/>
      <c r="AS463" s="1003"/>
      <c r="AT463" s="1003"/>
      <c r="AU463" s="1003"/>
      <c r="AV463" s="1003"/>
      <c r="AW463" s="1003"/>
      <c r="AX463" s="1003"/>
      <c r="AY463" s="1003"/>
      <c r="AZ463" s="1003"/>
      <c r="BA463" s="1003"/>
      <c r="BB463" s="1003"/>
      <c r="BC463" s="1003"/>
      <c r="BD463" s="1003"/>
      <c r="BE463" s="1003"/>
      <c r="BF463" s="1003"/>
      <c r="BG463" s="1003"/>
      <c r="BH463" s="1003"/>
      <c r="BI463" s="1003"/>
      <c r="BJ463" s="1003"/>
      <c r="BK463" s="1003"/>
      <c r="BL463" s="1003"/>
    </row>
    <row r="464" spans="1:64">
      <c r="A464" s="1818"/>
      <c r="B464" s="1094"/>
      <c r="C464" s="1817" t="s">
        <v>1163</v>
      </c>
      <c r="D464" s="1034">
        <v>0.45</v>
      </c>
      <c r="E464" s="1069" t="s">
        <v>484</v>
      </c>
      <c r="F464" s="1001">
        <f>LEAD!$N$12</f>
        <v>2253.91</v>
      </c>
      <c r="G464" s="1045">
        <v>1</v>
      </c>
      <c r="H464" s="1069" t="str">
        <f t="shared" si="59"/>
        <v>Cum</v>
      </c>
      <c r="I464" s="1001">
        <f t="shared" si="60"/>
        <v>1014.2595</v>
      </c>
      <c r="J464" s="1002"/>
      <c r="K464" s="1002"/>
      <c r="L464" s="1002"/>
      <c r="M464" s="1003"/>
      <c r="N464" s="1003"/>
      <c r="O464" s="1003"/>
      <c r="P464" s="1003"/>
      <c r="Q464" s="1003"/>
      <c r="R464" s="1003"/>
      <c r="S464" s="1003"/>
      <c r="T464" s="1003"/>
      <c r="U464" s="1003"/>
      <c r="V464" s="1003"/>
      <c r="W464" s="1003"/>
      <c r="X464" s="1003"/>
      <c r="Y464" s="1003"/>
      <c r="Z464" s="1003"/>
      <c r="AA464" s="1003"/>
      <c r="AB464" s="1003"/>
      <c r="AC464" s="1003"/>
      <c r="AD464" s="1003"/>
      <c r="AE464" s="1003"/>
      <c r="AF464" s="1003"/>
      <c r="AG464" s="1003"/>
      <c r="AH464" s="1003"/>
      <c r="AI464" s="1003"/>
      <c r="AJ464" s="1003"/>
      <c r="AK464" s="1003"/>
      <c r="AL464" s="1003"/>
      <c r="AM464" s="1003"/>
      <c r="AN464" s="1003"/>
      <c r="AO464" s="1003"/>
      <c r="AP464" s="1003"/>
      <c r="AQ464" s="1003"/>
      <c r="AR464" s="1003"/>
      <c r="AS464" s="1003"/>
      <c r="AT464" s="1003"/>
      <c r="AU464" s="1003"/>
      <c r="AV464" s="1003"/>
      <c r="AW464" s="1003"/>
      <c r="AX464" s="1003"/>
      <c r="AY464" s="1003"/>
      <c r="AZ464" s="1003"/>
      <c r="BA464" s="1003"/>
      <c r="BB464" s="1003"/>
      <c r="BC464" s="1003"/>
      <c r="BD464" s="1003"/>
      <c r="BE464" s="1003"/>
      <c r="BF464" s="1003"/>
      <c r="BG464" s="1003"/>
      <c r="BH464" s="1003"/>
      <c r="BI464" s="1003"/>
      <c r="BJ464" s="1003"/>
      <c r="BK464" s="1003"/>
      <c r="BL464" s="1003"/>
    </row>
    <row r="465" spans="1:64">
      <c r="A465" s="1818"/>
      <c r="B465" s="1094"/>
      <c r="C465" s="1817" t="s">
        <v>889</v>
      </c>
      <c r="D465" s="1034">
        <v>220</v>
      </c>
      <c r="E465" s="1069" t="s">
        <v>1110</v>
      </c>
      <c r="F465" s="1001">
        <f>LEAD!$N$6</f>
        <v>5200</v>
      </c>
      <c r="G465" s="1045">
        <v>1</v>
      </c>
      <c r="H465" s="1069" t="s">
        <v>948</v>
      </c>
      <c r="I465" s="1001">
        <f>IF(G465="",D465*F465,(D465*F465/G465))/1000</f>
        <v>1144</v>
      </c>
      <c r="J465" s="1002"/>
      <c r="K465" s="1002"/>
      <c r="L465" s="1002"/>
      <c r="M465" s="1003"/>
      <c r="N465" s="1003"/>
      <c r="O465" s="1003"/>
      <c r="P465" s="1003"/>
      <c r="Q465" s="1003"/>
      <c r="R465" s="1003"/>
      <c r="S465" s="1003"/>
      <c r="T465" s="1003"/>
      <c r="U465" s="1003"/>
      <c r="V465" s="1003"/>
      <c r="W465" s="1003"/>
      <c r="X465" s="1003"/>
      <c r="Y465" s="1003"/>
      <c r="Z465" s="1003"/>
      <c r="AA465" s="1003"/>
      <c r="AB465" s="1003"/>
      <c r="AC465" s="1003"/>
      <c r="AD465" s="1003"/>
      <c r="AE465" s="1003"/>
      <c r="AF465" s="1003"/>
      <c r="AG465" s="1003"/>
      <c r="AH465" s="1003"/>
      <c r="AI465" s="1003"/>
      <c r="AJ465" s="1003"/>
      <c r="AK465" s="1003"/>
      <c r="AL465" s="1003"/>
      <c r="AM465" s="1003"/>
      <c r="AN465" s="1003"/>
      <c r="AO465" s="1003"/>
      <c r="AP465" s="1003"/>
      <c r="AQ465" s="1003"/>
      <c r="AR465" s="1003"/>
      <c r="AS465" s="1003"/>
      <c r="AT465" s="1003"/>
      <c r="AU465" s="1003"/>
      <c r="AV465" s="1003"/>
      <c r="AW465" s="1003"/>
      <c r="AX465" s="1003"/>
      <c r="AY465" s="1003"/>
      <c r="AZ465" s="1003"/>
      <c r="BA465" s="1003"/>
      <c r="BB465" s="1003"/>
      <c r="BC465" s="1003"/>
      <c r="BD465" s="1003"/>
      <c r="BE465" s="1003"/>
      <c r="BF465" s="1003"/>
      <c r="BG465" s="1003"/>
      <c r="BH465" s="1003"/>
      <c r="BI465" s="1003"/>
      <c r="BJ465" s="1003"/>
      <c r="BK465" s="1003"/>
      <c r="BL465" s="1003"/>
    </row>
    <row r="466" spans="1:64">
      <c r="A466" s="1818"/>
      <c r="B466" s="1094"/>
      <c r="C466" s="1817" t="s">
        <v>1164</v>
      </c>
      <c r="D466" s="1034">
        <v>1.2</v>
      </c>
      <c r="E466" s="1069" t="s">
        <v>1124</v>
      </c>
      <c r="F466" s="1001">
        <f>Input!$D$53</f>
        <v>108</v>
      </c>
      <c r="G466" s="1045">
        <v>1</v>
      </c>
      <c r="H466" s="1069" t="str">
        <f>IF(E466="","",IF(E466="No.","Each",IF(E466="Nos.","Each",E466)))</f>
        <v>Kl</v>
      </c>
      <c r="I466" s="1001">
        <f>IF(G466="",D466*F466,(D466*F466/G466))</f>
        <v>129.6</v>
      </c>
      <c r="J466" s="1002"/>
      <c r="K466" s="1002"/>
      <c r="L466" s="1002"/>
      <c r="M466" s="1003"/>
      <c r="N466" s="1003"/>
      <c r="O466" s="1003"/>
      <c r="P466" s="1003"/>
      <c r="Q466" s="1003"/>
      <c r="R466" s="1003"/>
      <c r="S466" s="1003"/>
      <c r="T466" s="1003"/>
      <c r="U466" s="1003"/>
      <c r="V466" s="1003"/>
      <c r="W466" s="1003"/>
      <c r="X466" s="1003"/>
      <c r="Y466" s="1003"/>
      <c r="Z466" s="1003"/>
      <c r="AA466" s="1003"/>
      <c r="AB466" s="1003"/>
      <c r="AC466" s="1003"/>
      <c r="AD466" s="1003"/>
      <c r="AE466" s="1003"/>
      <c r="AF466" s="1003"/>
      <c r="AG466" s="1003"/>
      <c r="AH466" s="1003"/>
      <c r="AI466" s="1003"/>
      <c r="AJ466" s="1003"/>
      <c r="AK466" s="1003"/>
      <c r="AL466" s="1003"/>
      <c r="AM466" s="1003"/>
      <c r="AN466" s="1003"/>
      <c r="AO466" s="1003"/>
      <c r="AP466" s="1003"/>
      <c r="AQ466" s="1003"/>
      <c r="AR466" s="1003"/>
      <c r="AS466" s="1003"/>
      <c r="AT466" s="1003"/>
      <c r="AU466" s="1003"/>
      <c r="AV466" s="1003"/>
      <c r="AW466" s="1003"/>
      <c r="AX466" s="1003"/>
      <c r="AY466" s="1003"/>
      <c r="AZ466" s="1003"/>
      <c r="BA466" s="1003"/>
      <c r="BB466" s="1003"/>
      <c r="BC466" s="1003"/>
      <c r="BD466" s="1003"/>
      <c r="BE466" s="1003"/>
      <c r="BF466" s="1003"/>
      <c r="BG466" s="1003"/>
      <c r="BH466" s="1003"/>
      <c r="BI466" s="1003"/>
      <c r="BJ466" s="1003"/>
      <c r="BK466" s="1003"/>
      <c r="BL466" s="1003"/>
    </row>
    <row r="467" spans="1:64">
      <c r="A467" s="1818"/>
      <c r="B467" s="1094"/>
      <c r="C467" s="1816" t="s">
        <v>1144</v>
      </c>
      <c r="D467" s="1034"/>
      <c r="E467" s="1069"/>
      <c r="F467" s="1001"/>
      <c r="G467" s="1045"/>
      <c r="H467" s="1069"/>
      <c r="I467" s="1001"/>
      <c r="J467" s="1002"/>
      <c r="K467" s="1002"/>
      <c r="L467" s="1002"/>
      <c r="M467" s="1003"/>
      <c r="N467" s="1003"/>
      <c r="O467" s="1003"/>
      <c r="P467" s="1003"/>
      <c r="Q467" s="1003"/>
      <c r="R467" s="1003"/>
      <c r="S467" s="1003"/>
      <c r="T467" s="1003"/>
      <c r="U467" s="1003"/>
      <c r="V467" s="1003"/>
      <c r="W467" s="1003"/>
      <c r="X467" s="1003"/>
      <c r="Y467" s="1003"/>
      <c r="Z467" s="1003"/>
      <c r="AA467" s="1003"/>
      <c r="AB467" s="1003"/>
      <c r="AC467" s="1003"/>
      <c r="AD467" s="1003"/>
      <c r="AE467" s="1003"/>
      <c r="AF467" s="1003"/>
      <c r="AG467" s="1003"/>
      <c r="AH467" s="1003"/>
      <c r="AI467" s="1003"/>
      <c r="AJ467" s="1003"/>
      <c r="AK467" s="1003"/>
      <c r="AL467" s="1003"/>
      <c r="AM467" s="1003"/>
      <c r="AN467" s="1003"/>
      <c r="AO467" s="1003"/>
      <c r="AP467" s="1003"/>
      <c r="AQ467" s="1003"/>
      <c r="AR467" s="1003"/>
      <c r="AS467" s="1003"/>
      <c r="AT467" s="1003"/>
      <c r="AU467" s="1003"/>
      <c r="AV467" s="1003"/>
      <c r="AW467" s="1003"/>
      <c r="AX467" s="1003"/>
      <c r="AY467" s="1003"/>
      <c r="AZ467" s="1003"/>
      <c r="BA467" s="1003"/>
      <c r="BB467" s="1003"/>
      <c r="BC467" s="1003"/>
      <c r="BD467" s="1003"/>
      <c r="BE467" s="1003"/>
      <c r="BF467" s="1003"/>
      <c r="BG467" s="1003"/>
      <c r="BH467" s="1003"/>
      <c r="BI467" s="1003"/>
      <c r="BJ467" s="1003"/>
      <c r="BK467" s="1003"/>
      <c r="BL467" s="1003"/>
    </row>
    <row r="468" spans="1:64" ht="25.5">
      <c r="A468" s="1818"/>
      <c r="B468" s="1094"/>
      <c r="C468" s="1817" t="s">
        <v>1145</v>
      </c>
      <c r="D468" s="1000">
        <v>1</v>
      </c>
      <c r="E468" s="1044" t="s">
        <v>400</v>
      </c>
      <c r="F468" s="1001">
        <f>'Civil-SOR'!$G$330</f>
        <v>192.9</v>
      </c>
      <c r="G468" s="1015">
        <v>1</v>
      </c>
      <c r="H468" s="1015" t="str">
        <f t="shared" ref="H468:H469" si="61">IF(E468="","",IF(E468="No.","Each",IF(E468="Nos.","Each",E468)))</f>
        <v>hour</v>
      </c>
      <c r="I468" s="1001">
        <f t="shared" ref="I468:I470" si="62">IF(G468="",D468*F468,(D468*F468/G468))</f>
        <v>192.9</v>
      </c>
      <c r="J468" s="1002"/>
      <c r="K468" s="1002"/>
      <c r="L468" s="1002"/>
      <c r="M468" s="1003"/>
      <c r="N468" s="1003"/>
      <c r="O468" s="1003"/>
      <c r="P468" s="1003"/>
      <c r="Q468" s="1003"/>
      <c r="R468" s="1003"/>
      <c r="S468" s="1003"/>
      <c r="T468" s="1003"/>
      <c r="U468" s="1003"/>
      <c r="V468" s="1003"/>
      <c r="W468" s="1003"/>
      <c r="X468" s="1003"/>
      <c r="Y468" s="1003"/>
      <c r="Z468" s="1003"/>
      <c r="AA468" s="1003"/>
      <c r="AB468" s="1003"/>
      <c r="AC468" s="1003"/>
      <c r="AD468" s="1003"/>
      <c r="AE468" s="1003"/>
      <c r="AF468" s="1003"/>
      <c r="AG468" s="1003"/>
      <c r="AH468" s="1003"/>
      <c r="AI468" s="1003"/>
      <c r="AJ468" s="1003"/>
      <c r="AK468" s="1003"/>
      <c r="AL468" s="1003"/>
      <c r="AM468" s="1003"/>
      <c r="AN468" s="1003"/>
      <c r="AO468" s="1003"/>
      <c r="AP468" s="1003"/>
      <c r="AQ468" s="1003"/>
      <c r="AR468" s="1003"/>
      <c r="AS468" s="1003"/>
      <c r="AT468" s="1003"/>
      <c r="AU468" s="1003"/>
      <c r="AV468" s="1003"/>
      <c r="AW468" s="1003"/>
      <c r="AX468" s="1003"/>
      <c r="AY468" s="1003"/>
      <c r="AZ468" s="1003"/>
      <c r="BA468" s="1003"/>
      <c r="BB468" s="1003"/>
      <c r="BC468" s="1003"/>
      <c r="BD468" s="1003"/>
      <c r="BE468" s="1003"/>
      <c r="BF468" s="1003"/>
      <c r="BG468" s="1003"/>
      <c r="BH468" s="1003"/>
      <c r="BI468" s="1003"/>
      <c r="BJ468" s="1003"/>
      <c r="BK468" s="1003"/>
      <c r="BL468" s="1003"/>
    </row>
    <row r="469" spans="1:64">
      <c r="A469" s="1818"/>
      <c r="B469" s="1094"/>
      <c r="C469" s="1817" t="s">
        <v>1165</v>
      </c>
      <c r="D469" s="1000">
        <v>1</v>
      </c>
      <c r="E469" s="1044" t="s">
        <v>400</v>
      </c>
      <c r="F469" s="1001">
        <f>'Civil-SOR'!$J$330</f>
        <v>302.89999999999998</v>
      </c>
      <c r="G469" s="1015">
        <v>1</v>
      </c>
      <c r="H469" s="1015" t="str">
        <f t="shared" si="61"/>
        <v>hour</v>
      </c>
      <c r="I469" s="1001">
        <f t="shared" si="62"/>
        <v>302.89999999999998</v>
      </c>
      <c r="J469" s="1002"/>
      <c r="K469" s="1002"/>
      <c r="L469" s="1002"/>
      <c r="M469" s="1003"/>
      <c r="N469" s="1003"/>
      <c r="O469" s="1003"/>
      <c r="P469" s="1003"/>
      <c r="Q469" s="1003"/>
      <c r="R469" s="1003"/>
      <c r="S469" s="1003"/>
      <c r="T469" s="1003"/>
      <c r="U469" s="1003"/>
      <c r="V469" s="1003"/>
      <c r="W469" s="1003"/>
      <c r="X469" s="1003"/>
      <c r="Y469" s="1003"/>
      <c r="Z469" s="1003"/>
      <c r="AA469" s="1003"/>
      <c r="AB469" s="1003"/>
      <c r="AC469" s="1003"/>
      <c r="AD469" s="1003"/>
      <c r="AE469" s="1003"/>
      <c r="AF469" s="1003"/>
      <c r="AG469" s="1003"/>
      <c r="AH469" s="1003"/>
      <c r="AI469" s="1003"/>
      <c r="AJ469" s="1003"/>
      <c r="AK469" s="1003"/>
      <c r="AL469" s="1003"/>
      <c r="AM469" s="1003"/>
      <c r="AN469" s="1003"/>
      <c r="AO469" s="1003"/>
      <c r="AP469" s="1003"/>
      <c r="AQ469" s="1003"/>
      <c r="AR469" s="1003"/>
      <c r="AS469" s="1003"/>
      <c r="AT469" s="1003"/>
      <c r="AU469" s="1003"/>
      <c r="AV469" s="1003"/>
      <c r="AW469" s="1003"/>
      <c r="AX469" s="1003"/>
      <c r="AY469" s="1003"/>
      <c r="AZ469" s="1003"/>
      <c r="BA469" s="1003"/>
      <c r="BB469" s="1003"/>
      <c r="BC469" s="1003"/>
      <c r="BD469" s="1003"/>
      <c r="BE469" s="1003"/>
      <c r="BF469" s="1003"/>
      <c r="BG469" s="1003"/>
      <c r="BH469" s="1003"/>
      <c r="BI469" s="1003"/>
      <c r="BJ469" s="1003"/>
      <c r="BK469" s="1003"/>
      <c r="BL469" s="1003"/>
    </row>
    <row r="470" spans="1:64">
      <c r="A470" s="1818"/>
      <c r="B470" s="1094"/>
      <c r="C470" s="1817" t="s">
        <v>1085</v>
      </c>
      <c r="D470" s="1034">
        <f>Input!$D$47</f>
        <v>0.4</v>
      </c>
      <c r="E470" s="1044"/>
      <c r="F470" s="1001">
        <f>'Civil-SOR'!$J$330</f>
        <v>302.89999999999998</v>
      </c>
      <c r="G470" s="1045"/>
      <c r="H470" s="1044"/>
      <c r="I470" s="1001">
        <f t="shared" si="62"/>
        <v>121.16</v>
      </c>
      <c r="J470" s="1002"/>
      <c r="K470" s="1002"/>
      <c r="L470" s="1002"/>
      <c r="M470" s="1003"/>
      <c r="N470" s="1003"/>
      <c r="O470" s="1003"/>
      <c r="P470" s="1003"/>
      <c r="Q470" s="1003"/>
      <c r="R470" s="1003"/>
      <c r="S470" s="1003"/>
      <c r="T470" s="1003"/>
      <c r="U470" s="1003"/>
      <c r="V470" s="1003"/>
      <c r="W470" s="1003"/>
      <c r="X470" s="1003"/>
      <c r="Y470" s="1003"/>
      <c r="Z470" s="1003"/>
      <c r="AA470" s="1003"/>
      <c r="AB470" s="1003"/>
      <c r="AC470" s="1003"/>
      <c r="AD470" s="1003"/>
      <c r="AE470" s="1003"/>
      <c r="AF470" s="1003"/>
      <c r="AG470" s="1003"/>
      <c r="AH470" s="1003"/>
      <c r="AI470" s="1003"/>
      <c r="AJ470" s="1003"/>
      <c r="AK470" s="1003"/>
      <c r="AL470" s="1003"/>
      <c r="AM470" s="1003"/>
      <c r="AN470" s="1003"/>
      <c r="AO470" s="1003"/>
      <c r="AP470" s="1003"/>
      <c r="AQ470" s="1003"/>
      <c r="AR470" s="1003"/>
      <c r="AS470" s="1003"/>
      <c r="AT470" s="1003"/>
      <c r="AU470" s="1003"/>
      <c r="AV470" s="1003"/>
      <c r="AW470" s="1003"/>
      <c r="AX470" s="1003"/>
      <c r="AY470" s="1003"/>
      <c r="AZ470" s="1003"/>
      <c r="BA470" s="1003"/>
      <c r="BB470" s="1003"/>
      <c r="BC470" s="1003"/>
      <c r="BD470" s="1003"/>
      <c r="BE470" s="1003"/>
      <c r="BF470" s="1003"/>
      <c r="BG470" s="1003"/>
      <c r="BH470" s="1003"/>
      <c r="BI470" s="1003"/>
      <c r="BJ470" s="1003"/>
      <c r="BK470" s="1003"/>
      <c r="BL470" s="1003"/>
    </row>
    <row r="471" spans="1:64">
      <c r="A471" s="1818"/>
      <c r="B471" s="1094"/>
      <c r="C471" s="1816" t="s">
        <v>1146</v>
      </c>
      <c r="D471" s="1034"/>
      <c r="E471" s="1069"/>
      <c r="F471" s="1001"/>
      <c r="G471" s="1045"/>
      <c r="H471" s="1069"/>
      <c r="I471" s="1001"/>
      <c r="J471" s="1002"/>
      <c r="K471" s="1002"/>
      <c r="L471" s="1002"/>
      <c r="M471" s="1003"/>
      <c r="N471" s="1003"/>
      <c r="O471" s="1003"/>
      <c r="P471" s="1003"/>
      <c r="Q471" s="1003"/>
      <c r="R471" s="1003"/>
      <c r="S471" s="1003"/>
      <c r="T471" s="1003"/>
      <c r="U471" s="1003"/>
      <c r="V471" s="1003"/>
      <c r="W471" s="1003"/>
      <c r="X471" s="1003"/>
      <c r="Y471" s="1003"/>
      <c r="Z471" s="1003"/>
      <c r="AA471" s="1003"/>
      <c r="AB471" s="1003"/>
      <c r="AC471" s="1003"/>
      <c r="AD471" s="1003"/>
      <c r="AE471" s="1003"/>
      <c r="AF471" s="1003"/>
      <c r="AG471" s="1003"/>
      <c r="AH471" s="1003"/>
      <c r="AI471" s="1003"/>
      <c r="AJ471" s="1003"/>
      <c r="AK471" s="1003"/>
      <c r="AL471" s="1003"/>
      <c r="AM471" s="1003"/>
      <c r="AN471" s="1003"/>
      <c r="AO471" s="1003"/>
      <c r="AP471" s="1003"/>
      <c r="AQ471" s="1003"/>
      <c r="AR471" s="1003"/>
      <c r="AS471" s="1003"/>
      <c r="AT471" s="1003"/>
      <c r="AU471" s="1003"/>
      <c r="AV471" s="1003"/>
      <c r="AW471" s="1003"/>
      <c r="AX471" s="1003"/>
      <c r="AY471" s="1003"/>
      <c r="AZ471" s="1003"/>
      <c r="BA471" s="1003"/>
      <c r="BB471" s="1003"/>
      <c r="BC471" s="1003"/>
      <c r="BD471" s="1003"/>
      <c r="BE471" s="1003"/>
      <c r="BF471" s="1003"/>
      <c r="BG471" s="1003"/>
      <c r="BH471" s="1003"/>
      <c r="BI471" s="1003"/>
      <c r="BJ471" s="1003"/>
      <c r="BK471" s="1003"/>
      <c r="BL471" s="1003"/>
    </row>
    <row r="472" spans="1:64">
      <c r="A472" s="1818"/>
      <c r="B472" s="1094"/>
      <c r="C472" s="1817" t="s">
        <v>1147</v>
      </c>
      <c r="D472" s="1034">
        <v>0.1</v>
      </c>
      <c r="E472" s="1069" t="s">
        <v>36</v>
      </c>
      <c r="F472" s="1001">
        <f>'Civil-SOR'!$G$293</f>
        <v>580</v>
      </c>
      <c r="G472" s="1045">
        <v>1</v>
      </c>
      <c r="H472" s="1069" t="str">
        <f t="shared" ref="H472:H473" si="63">IF(E472="","",IF(E472="No.","Each",IF(E472="Nos.","Each",E472)))</f>
        <v>Each</v>
      </c>
      <c r="I472" s="1001">
        <f t="shared" ref="I472:I474" si="64">IF(G472="",D472*F472,(D472*F472/G472))</f>
        <v>58</v>
      </c>
      <c r="J472" s="1002"/>
      <c r="K472" s="1002"/>
      <c r="L472" s="1002"/>
      <c r="M472" s="1003"/>
      <c r="N472" s="1003"/>
      <c r="O472" s="1003"/>
      <c r="P472" s="1003"/>
      <c r="Q472" s="1003"/>
      <c r="R472" s="1003"/>
      <c r="S472" s="1003"/>
      <c r="T472" s="1003"/>
      <c r="U472" s="1003"/>
      <c r="V472" s="1003"/>
      <c r="W472" s="1003"/>
      <c r="X472" s="1003"/>
      <c r="Y472" s="1003"/>
      <c r="Z472" s="1003"/>
      <c r="AA472" s="1003"/>
      <c r="AB472" s="1003"/>
      <c r="AC472" s="1003"/>
      <c r="AD472" s="1003"/>
      <c r="AE472" s="1003"/>
      <c r="AF472" s="1003"/>
      <c r="AG472" s="1003"/>
      <c r="AH472" s="1003"/>
      <c r="AI472" s="1003"/>
      <c r="AJ472" s="1003"/>
      <c r="AK472" s="1003"/>
      <c r="AL472" s="1003"/>
      <c r="AM472" s="1003"/>
      <c r="AN472" s="1003"/>
      <c r="AO472" s="1003"/>
      <c r="AP472" s="1003"/>
      <c r="AQ472" s="1003"/>
      <c r="AR472" s="1003"/>
      <c r="AS472" s="1003"/>
      <c r="AT472" s="1003"/>
      <c r="AU472" s="1003"/>
      <c r="AV472" s="1003"/>
      <c r="AW472" s="1003"/>
      <c r="AX472" s="1003"/>
      <c r="AY472" s="1003"/>
      <c r="AZ472" s="1003"/>
      <c r="BA472" s="1003"/>
      <c r="BB472" s="1003"/>
      <c r="BC472" s="1003"/>
      <c r="BD472" s="1003"/>
      <c r="BE472" s="1003"/>
      <c r="BF472" s="1003"/>
      <c r="BG472" s="1003"/>
      <c r="BH472" s="1003"/>
      <c r="BI472" s="1003"/>
      <c r="BJ472" s="1003"/>
      <c r="BK472" s="1003"/>
      <c r="BL472" s="1003"/>
    </row>
    <row r="473" spans="1:64">
      <c r="A473" s="1818"/>
      <c r="B473" s="1094"/>
      <c r="C473" s="1817" t="s">
        <v>1166</v>
      </c>
      <c r="D473" s="1034">
        <v>1.39</v>
      </c>
      <c r="E473" s="1069" t="s">
        <v>36</v>
      </c>
      <c r="F473" s="1001">
        <f>'Civil-SOR'!$G$307</f>
        <v>520</v>
      </c>
      <c r="G473" s="1045">
        <v>1</v>
      </c>
      <c r="H473" s="1069" t="str">
        <f t="shared" si="63"/>
        <v>Each</v>
      </c>
      <c r="I473" s="1001">
        <f t="shared" si="64"/>
        <v>722.8</v>
      </c>
      <c r="J473" s="1002"/>
      <c r="K473" s="1002"/>
      <c r="L473" s="1002"/>
      <c r="M473" s="1003"/>
      <c r="N473" s="1003"/>
      <c r="O473" s="1003"/>
      <c r="P473" s="1003"/>
      <c r="Q473" s="1003"/>
      <c r="R473" s="1003"/>
      <c r="S473" s="1003"/>
      <c r="T473" s="1003"/>
      <c r="U473" s="1003"/>
      <c r="V473" s="1003"/>
      <c r="W473" s="1003"/>
      <c r="X473" s="1003"/>
      <c r="Y473" s="1003"/>
      <c r="Z473" s="1003"/>
      <c r="AA473" s="1003"/>
      <c r="AB473" s="1003"/>
      <c r="AC473" s="1003"/>
      <c r="AD473" s="1003"/>
      <c r="AE473" s="1003"/>
      <c r="AF473" s="1003"/>
      <c r="AG473" s="1003"/>
      <c r="AH473" s="1003"/>
      <c r="AI473" s="1003"/>
      <c r="AJ473" s="1003"/>
      <c r="AK473" s="1003"/>
      <c r="AL473" s="1003"/>
      <c r="AM473" s="1003"/>
      <c r="AN473" s="1003"/>
      <c r="AO473" s="1003"/>
      <c r="AP473" s="1003"/>
      <c r="AQ473" s="1003"/>
      <c r="AR473" s="1003"/>
      <c r="AS473" s="1003"/>
      <c r="AT473" s="1003"/>
      <c r="AU473" s="1003"/>
      <c r="AV473" s="1003"/>
      <c r="AW473" s="1003"/>
      <c r="AX473" s="1003"/>
      <c r="AY473" s="1003"/>
      <c r="AZ473" s="1003"/>
      <c r="BA473" s="1003"/>
      <c r="BB473" s="1003"/>
      <c r="BC473" s="1003"/>
      <c r="BD473" s="1003"/>
      <c r="BE473" s="1003"/>
      <c r="BF473" s="1003"/>
      <c r="BG473" s="1003"/>
      <c r="BH473" s="1003"/>
      <c r="BI473" s="1003"/>
      <c r="BJ473" s="1003"/>
      <c r="BK473" s="1003"/>
      <c r="BL473" s="1003"/>
    </row>
    <row r="474" spans="1:64">
      <c r="A474" s="1818"/>
      <c r="B474" s="1094"/>
      <c r="C474" s="1817" t="str">
        <f>Input!$C$47</f>
        <v>Add for MA @ 40%</v>
      </c>
      <c r="D474" s="1034">
        <f>Input!$D$47</f>
        <v>0.4</v>
      </c>
      <c r="E474" s="1048"/>
      <c r="F474" s="1001">
        <f>SUM(I472:I473)</f>
        <v>780.8</v>
      </c>
      <c r="G474" s="1045"/>
      <c r="H474" s="1048"/>
      <c r="I474" s="1001">
        <f t="shared" si="64"/>
        <v>312.32</v>
      </c>
      <c r="J474" s="1002"/>
      <c r="K474" s="1002"/>
      <c r="L474" s="1002"/>
      <c r="M474" s="1003"/>
      <c r="N474" s="1003"/>
      <c r="O474" s="1003"/>
      <c r="P474" s="1003"/>
      <c r="Q474" s="1003"/>
      <c r="R474" s="1003"/>
      <c r="S474" s="1003"/>
      <c r="T474" s="1003"/>
      <c r="U474" s="1003"/>
      <c r="V474" s="1003"/>
      <c r="W474" s="1003"/>
      <c r="X474" s="1003"/>
      <c r="Y474" s="1003"/>
      <c r="Z474" s="1003"/>
      <c r="AA474" s="1003"/>
      <c r="AB474" s="1003"/>
      <c r="AC474" s="1003"/>
      <c r="AD474" s="1003"/>
      <c r="AE474" s="1003"/>
      <c r="AF474" s="1003"/>
      <c r="AG474" s="1003"/>
      <c r="AH474" s="1003"/>
      <c r="AI474" s="1003"/>
      <c r="AJ474" s="1003"/>
      <c r="AK474" s="1003"/>
      <c r="AL474" s="1003"/>
      <c r="AM474" s="1003"/>
      <c r="AN474" s="1003"/>
      <c r="AO474" s="1003"/>
      <c r="AP474" s="1003"/>
      <c r="AQ474" s="1003"/>
      <c r="AR474" s="1003"/>
      <c r="AS474" s="1003"/>
      <c r="AT474" s="1003"/>
      <c r="AU474" s="1003"/>
      <c r="AV474" s="1003"/>
      <c r="AW474" s="1003"/>
      <c r="AX474" s="1003"/>
      <c r="AY474" s="1003"/>
      <c r="AZ474" s="1003"/>
      <c r="BA474" s="1003"/>
      <c r="BB474" s="1003"/>
      <c r="BC474" s="1003"/>
      <c r="BD474" s="1003"/>
      <c r="BE474" s="1003"/>
      <c r="BF474" s="1003"/>
      <c r="BG474" s="1003"/>
      <c r="BH474" s="1003"/>
      <c r="BI474" s="1003"/>
      <c r="BJ474" s="1003"/>
      <c r="BK474" s="1003"/>
      <c r="BL474" s="1003"/>
    </row>
    <row r="475" spans="1:64">
      <c r="A475" s="1818"/>
      <c r="B475" s="1094"/>
      <c r="C475" s="1816" t="s">
        <v>1167</v>
      </c>
      <c r="D475" s="1034"/>
      <c r="E475" s="1048"/>
      <c r="F475" s="1001"/>
      <c r="G475" s="1045"/>
      <c r="H475" s="1046"/>
      <c r="I475" s="1001">
        <f>SUM(I463:I474)</f>
        <v>5177.8035</v>
      </c>
      <c r="J475" s="1002"/>
      <c r="K475" s="1002"/>
      <c r="L475" s="1002"/>
      <c r="M475" s="1003"/>
      <c r="N475" s="1003"/>
      <c r="O475" s="1003"/>
      <c r="P475" s="1003"/>
      <c r="Q475" s="1003"/>
      <c r="R475" s="1003"/>
      <c r="S475" s="1003"/>
      <c r="T475" s="1003"/>
      <c r="U475" s="1003"/>
      <c r="V475" s="1003"/>
      <c r="W475" s="1003"/>
      <c r="X475" s="1003"/>
      <c r="Y475" s="1003"/>
      <c r="Z475" s="1003"/>
      <c r="AA475" s="1003"/>
      <c r="AB475" s="1003"/>
      <c r="AC475" s="1003"/>
      <c r="AD475" s="1003"/>
      <c r="AE475" s="1003"/>
      <c r="AF475" s="1003"/>
      <c r="AG475" s="1003"/>
      <c r="AH475" s="1003"/>
      <c r="AI475" s="1003"/>
      <c r="AJ475" s="1003"/>
      <c r="AK475" s="1003"/>
      <c r="AL475" s="1003"/>
      <c r="AM475" s="1003"/>
      <c r="AN475" s="1003"/>
      <c r="AO475" s="1003"/>
      <c r="AP475" s="1003"/>
      <c r="AQ475" s="1003"/>
      <c r="AR475" s="1003"/>
      <c r="AS475" s="1003"/>
      <c r="AT475" s="1003"/>
      <c r="AU475" s="1003"/>
      <c r="AV475" s="1003"/>
      <c r="AW475" s="1003"/>
      <c r="AX475" s="1003"/>
      <c r="AY475" s="1003"/>
      <c r="AZ475" s="1003"/>
      <c r="BA475" s="1003"/>
      <c r="BB475" s="1003"/>
      <c r="BC475" s="1003"/>
      <c r="BD475" s="1003"/>
      <c r="BE475" s="1003"/>
      <c r="BF475" s="1003"/>
      <c r="BG475" s="1003"/>
      <c r="BH475" s="1003"/>
      <c r="BI475" s="1003"/>
      <c r="BJ475" s="1003"/>
      <c r="BK475" s="1003"/>
      <c r="BL475" s="1003"/>
    </row>
    <row r="476" spans="1:64">
      <c r="A476" s="1818"/>
      <c r="B476" s="1094"/>
      <c r="C476" s="1817" t="str">
        <f>Input!$C$48</f>
        <v>Overheads &amp; Contractors Profit @ 13.615%</v>
      </c>
      <c r="D476" s="1070">
        <f>Input!$D$48</f>
        <v>0.13614999999999999</v>
      </c>
      <c r="E476" s="1048"/>
      <c r="F476" s="1001">
        <f>I475</f>
        <v>5177.8035</v>
      </c>
      <c r="G476" s="1045"/>
      <c r="H476" s="1048"/>
      <c r="I476" s="1001">
        <f>IF(G476="",D476*F476,(D476*F476/G476))</f>
        <v>704.95794652500001</v>
      </c>
      <c r="J476" s="1002"/>
      <c r="K476" s="1002"/>
      <c r="L476" s="1002"/>
      <c r="M476" s="1003"/>
      <c r="N476" s="1003"/>
      <c r="O476" s="1003"/>
      <c r="P476" s="1003"/>
      <c r="Q476" s="1003"/>
      <c r="R476" s="1003"/>
      <c r="S476" s="1003"/>
      <c r="T476" s="1003"/>
      <c r="U476" s="1003"/>
      <c r="V476" s="1003"/>
      <c r="W476" s="1003"/>
      <c r="X476" s="1003"/>
      <c r="Y476" s="1003"/>
      <c r="Z476" s="1003"/>
      <c r="AA476" s="1003"/>
      <c r="AB476" s="1003"/>
      <c r="AC476" s="1003"/>
      <c r="AD476" s="1003"/>
      <c r="AE476" s="1003"/>
      <c r="AF476" s="1003"/>
      <c r="AG476" s="1003"/>
      <c r="AH476" s="1003"/>
      <c r="AI476" s="1003"/>
      <c r="AJ476" s="1003"/>
      <c r="AK476" s="1003"/>
      <c r="AL476" s="1003"/>
      <c r="AM476" s="1003"/>
      <c r="AN476" s="1003"/>
      <c r="AO476" s="1003"/>
      <c r="AP476" s="1003"/>
      <c r="AQ476" s="1003"/>
      <c r="AR476" s="1003"/>
      <c r="AS476" s="1003"/>
      <c r="AT476" s="1003"/>
      <c r="AU476" s="1003"/>
      <c r="AV476" s="1003"/>
      <c r="AW476" s="1003"/>
      <c r="AX476" s="1003"/>
      <c r="AY476" s="1003"/>
      <c r="AZ476" s="1003"/>
      <c r="BA476" s="1003"/>
      <c r="BB476" s="1003"/>
      <c r="BC476" s="1003"/>
      <c r="BD476" s="1003"/>
      <c r="BE476" s="1003"/>
      <c r="BF476" s="1003"/>
      <c r="BG476" s="1003"/>
      <c r="BH476" s="1003"/>
      <c r="BI476" s="1003"/>
      <c r="BJ476" s="1003"/>
      <c r="BK476" s="1003"/>
      <c r="BL476" s="1003"/>
    </row>
    <row r="477" spans="1:64">
      <c r="A477" s="1818"/>
      <c r="B477" s="1094"/>
      <c r="C477" s="1816" t="s">
        <v>1032</v>
      </c>
      <c r="D477" s="1000"/>
      <c r="E477" s="1044"/>
      <c r="F477" s="1001"/>
      <c r="G477" s="1015"/>
      <c r="H477" s="1085"/>
      <c r="I477" s="1001">
        <f>SUM(I475:I476)</f>
        <v>5882.7614465249999</v>
      </c>
      <c r="J477" s="1002"/>
      <c r="K477" s="1002"/>
      <c r="L477" s="1002"/>
      <c r="M477" s="1003"/>
      <c r="N477" s="1003"/>
      <c r="O477" s="1003"/>
      <c r="P477" s="1003"/>
      <c r="Q477" s="1003"/>
      <c r="R477" s="1003"/>
      <c r="S477" s="1003"/>
      <c r="T477" s="1003"/>
      <c r="U477" s="1003"/>
      <c r="V477" s="1003"/>
      <c r="W477" s="1003"/>
      <c r="X477" s="1003"/>
      <c r="Y477" s="1003"/>
      <c r="Z477" s="1003"/>
      <c r="AA477" s="1003"/>
      <c r="AB477" s="1003"/>
      <c r="AC477" s="1003"/>
      <c r="AD477" s="1003"/>
      <c r="AE477" s="1003"/>
      <c r="AF477" s="1003"/>
      <c r="AG477" s="1003"/>
      <c r="AH477" s="1003"/>
      <c r="AI477" s="1003"/>
      <c r="AJ477" s="1003"/>
      <c r="AK477" s="1003"/>
      <c r="AL477" s="1003"/>
      <c r="AM477" s="1003"/>
      <c r="AN477" s="1003"/>
      <c r="AO477" s="1003"/>
      <c r="AP477" s="1003"/>
      <c r="AQ477" s="1003"/>
      <c r="AR477" s="1003"/>
      <c r="AS477" s="1003"/>
      <c r="AT477" s="1003"/>
      <c r="AU477" s="1003"/>
      <c r="AV477" s="1003"/>
      <c r="AW477" s="1003"/>
      <c r="AX477" s="1003"/>
      <c r="AY477" s="1003"/>
      <c r="AZ477" s="1003"/>
      <c r="BA477" s="1003"/>
      <c r="BB477" s="1003"/>
      <c r="BC477" s="1003"/>
      <c r="BD477" s="1003"/>
      <c r="BE477" s="1003"/>
      <c r="BF477" s="1003"/>
      <c r="BG477" s="1003"/>
      <c r="BH477" s="1003"/>
      <c r="BI477" s="1003"/>
      <c r="BJ477" s="1003"/>
      <c r="BK477" s="1003"/>
      <c r="BL477" s="1003"/>
    </row>
    <row r="478" spans="1:64">
      <c r="A478" s="1818"/>
      <c r="B478" s="1094"/>
      <c r="C478" s="1816"/>
      <c r="D478" s="1000"/>
      <c r="E478" s="1069"/>
      <c r="F478" s="1001"/>
      <c r="G478" s="1015"/>
      <c r="H478" s="1046" t="s">
        <v>1065</v>
      </c>
      <c r="I478" s="1011">
        <f>ROUND(I477,0)</f>
        <v>5883</v>
      </c>
      <c r="J478" s="1846"/>
      <c r="K478" s="1846"/>
      <c r="L478" s="1846"/>
    </row>
    <row r="479" spans="1:64" ht="48.75" customHeight="1">
      <c r="A479" s="1824">
        <f>1+A441</f>
        <v>12</v>
      </c>
      <c r="B479" s="1094"/>
      <c r="C479" s="2036" t="s">
        <v>3400</v>
      </c>
      <c r="D479" s="2036"/>
      <c r="E479" s="2036"/>
      <c r="F479" s="2036"/>
      <c r="G479" s="2036"/>
      <c r="H479" s="2036"/>
      <c r="I479" s="2036"/>
      <c r="J479" s="1846"/>
      <c r="K479" s="1846"/>
      <c r="L479" s="1846"/>
    </row>
    <row r="480" spans="1:64">
      <c r="A480" s="1818"/>
      <c r="B480" s="1094"/>
      <c r="C480" s="1078" t="s">
        <v>1160</v>
      </c>
      <c r="D480" s="1096"/>
      <c r="E480" s="1846"/>
      <c r="F480" s="1818"/>
      <c r="G480" s="1048"/>
      <c r="H480" s="1048"/>
      <c r="I480" s="1001"/>
      <c r="J480" s="1846"/>
      <c r="K480" s="1846"/>
      <c r="L480" s="1846"/>
    </row>
    <row r="481" spans="1:12">
      <c r="A481" s="1818"/>
      <c r="B481" s="1094"/>
      <c r="C481" s="1097" t="s">
        <v>1161</v>
      </c>
      <c r="D481" s="1048"/>
      <c r="E481" s="1048"/>
      <c r="F481" s="1818"/>
      <c r="G481" s="1048"/>
      <c r="H481" s="1048"/>
      <c r="I481" s="1001"/>
      <c r="J481" s="1846"/>
      <c r="K481" s="1846"/>
      <c r="L481" s="1846"/>
    </row>
    <row r="482" spans="1:12">
      <c r="A482" s="1818"/>
      <c r="B482" s="1094"/>
      <c r="C482" s="1097" t="s">
        <v>1139</v>
      </c>
      <c r="D482" s="1048"/>
      <c r="E482" s="1048"/>
      <c r="F482" s="1818"/>
      <c r="G482" s="1048"/>
      <c r="H482" s="1048"/>
      <c r="I482" s="1001"/>
      <c r="J482" s="1846"/>
      <c r="K482" s="1846"/>
      <c r="L482" s="1846"/>
    </row>
    <row r="483" spans="1:12">
      <c r="A483" s="1818"/>
      <c r="B483" s="1094"/>
      <c r="C483" s="1817" t="s">
        <v>1168</v>
      </c>
      <c r="D483" s="1034">
        <v>0.9</v>
      </c>
      <c r="E483" s="1069" t="s">
        <v>484</v>
      </c>
      <c r="F483" s="1001">
        <f>LEAD!N19</f>
        <v>1507.96</v>
      </c>
      <c r="G483" s="1045">
        <v>1</v>
      </c>
      <c r="H483" s="1069" t="str">
        <f t="shared" ref="H483:H484" si="65">IF(E483="","",IF(E483="No.","Each",IF(E483="Nos.","Each",E483)))</f>
        <v>Cum</v>
      </c>
      <c r="I483" s="1001">
        <f t="shared" ref="I483:I484" si="66">IF(G483="",D483*F483,(D483*F483/G483))</f>
        <v>1357.164</v>
      </c>
      <c r="J483" s="1846"/>
      <c r="K483" s="1846"/>
      <c r="L483" s="1846"/>
    </row>
    <row r="484" spans="1:12">
      <c r="A484" s="1818"/>
      <c r="B484" s="1094"/>
      <c r="C484" s="1817" t="s">
        <v>1163</v>
      </c>
      <c r="D484" s="1034">
        <v>0.45</v>
      </c>
      <c r="E484" s="1069" t="s">
        <v>484</v>
      </c>
      <c r="F484" s="1001">
        <f>LEAD!$N$12</f>
        <v>2253.91</v>
      </c>
      <c r="G484" s="1045">
        <v>1</v>
      </c>
      <c r="H484" s="1069" t="str">
        <f t="shared" si="65"/>
        <v>Cum</v>
      </c>
      <c r="I484" s="1001">
        <f t="shared" si="66"/>
        <v>1014.2595</v>
      </c>
      <c r="J484" s="1846"/>
      <c r="K484" s="1846"/>
      <c r="L484" s="1846"/>
    </row>
    <row r="485" spans="1:12">
      <c r="A485" s="1818"/>
      <c r="B485" s="1094"/>
      <c r="C485" s="1817" t="s">
        <v>889</v>
      </c>
      <c r="D485" s="1034">
        <v>220</v>
      </c>
      <c r="E485" s="1069" t="s">
        <v>1110</v>
      </c>
      <c r="F485" s="1001">
        <f>LEAD!$N$6</f>
        <v>5200</v>
      </c>
      <c r="G485" s="1045">
        <v>1</v>
      </c>
      <c r="H485" s="1069" t="s">
        <v>948</v>
      </c>
      <c r="I485" s="1001">
        <f>IF(G485="",D485*F485,(D485*F485/G485))/1000</f>
        <v>1144</v>
      </c>
      <c r="J485" s="1846"/>
      <c r="K485" s="1846"/>
      <c r="L485" s="1846"/>
    </row>
    <row r="486" spans="1:12">
      <c r="A486" s="1818"/>
      <c r="B486" s="1094"/>
      <c r="C486" s="1817" t="s">
        <v>1164</v>
      </c>
      <c r="D486" s="1034">
        <v>1.2</v>
      </c>
      <c r="E486" s="1069" t="s">
        <v>1124</v>
      </c>
      <c r="F486" s="1001">
        <f>Input!$D$53</f>
        <v>108</v>
      </c>
      <c r="G486" s="1045">
        <v>1</v>
      </c>
      <c r="H486" s="1069" t="str">
        <f>IF(E486="","",IF(E486="No.","Each",IF(E486="Nos.","Each",E486)))</f>
        <v>Kl</v>
      </c>
      <c r="I486" s="1001">
        <f>IF(G486="",D486*F486,(D486*F486/G486))</f>
        <v>129.6</v>
      </c>
      <c r="J486" s="1846"/>
      <c r="K486" s="1846"/>
      <c r="L486" s="1846"/>
    </row>
    <row r="487" spans="1:12">
      <c r="A487" s="1818"/>
      <c r="B487" s="1094"/>
      <c r="C487" s="1816" t="s">
        <v>1144</v>
      </c>
      <c r="D487" s="1034"/>
      <c r="E487" s="1069"/>
      <c r="F487" s="1001"/>
      <c r="G487" s="1045"/>
      <c r="H487" s="1069"/>
      <c r="I487" s="1001"/>
      <c r="J487" s="1846"/>
      <c r="K487" s="1846"/>
      <c r="L487" s="1846"/>
    </row>
    <row r="488" spans="1:12" ht="25.5">
      <c r="A488" s="1818"/>
      <c r="B488" s="1094"/>
      <c r="C488" s="1817" t="s">
        <v>1145</v>
      </c>
      <c r="D488" s="1000">
        <v>1</v>
      </c>
      <c r="E488" s="1044" t="s">
        <v>400</v>
      </c>
      <c r="F488" s="1001">
        <f>'Civil-SOR'!$G$330</f>
        <v>192.9</v>
      </c>
      <c r="G488" s="1015">
        <v>1</v>
      </c>
      <c r="H488" s="1015" t="str">
        <f t="shared" ref="H488:H489" si="67">IF(E488="","",IF(E488="No.","Each",IF(E488="Nos.","Each",E488)))</f>
        <v>hour</v>
      </c>
      <c r="I488" s="1001">
        <f t="shared" ref="I488:I490" si="68">IF(G488="",D488*F488,(D488*F488/G488))</f>
        <v>192.9</v>
      </c>
      <c r="J488" s="1846"/>
      <c r="K488" s="1846"/>
      <c r="L488" s="1846"/>
    </row>
    <row r="489" spans="1:12">
      <c r="A489" s="1818"/>
      <c r="B489" s="1094"/>
      <c r="C489" s="1817" t="s">
        <v>1165</v>
      </c>
      <c r="D489" s="1000">
        <v>1</v>
      </c>
      <c r="E489" s="1044" t="s">
        <v>400</v>
      </c>
      <c r="F489" s="1001">
        <f>'Civil-SOR'!$J$330</f>
        <v>302.89999999999998</v>
      </c>
      <c r="G489" s="1015">
        <v>1</v>
      </c>
      <c r="H489" s="1015" t="str">
        <f t="shared" si="67"/>
        <v>hour</v>
      </c>
      <c r="I489" s="1001">
        <f t="shared" si="68"/>
        <v>302.89999999999998</v>
      </c>
      <c r="J489" s="1846"/>
      <c r="K489" s="1846"/>
      <c r="L489" s="1846"/>
    </row>
    <row r="490" spans="1:12">
      <c r="A490" s="1818"/>
      <c r="B490" s="1094"/>
      <c r="C490" s="1817" t="s">
        <v>1085</v>
      </c>
      <c r="D490" s="1034">
        <f>Input!$D$47</f>
        <v>0.4</v>
      </c>
      <c r="E490" s="1044"/>
      <c r="F490" s="1001">
        <f>'Civil-SOR'!$J$330</f>
        <v>302.89999999999998</v>
      </c>
      <c r="G490" s="1045"/>
      <c r="H490" s="1044"/>
      <c r="I490" s="1001">
        <f t="shared" si="68"/>
        <v>121.16</v>
      </c>
      <c r="J490" s="1846"/>
      <c r="K490" s="1846"/>
      <c r="L490" s="1846"/>
    </row>
    <row r="491" spans="1:12">
      <c r="A491" s="1818"/>
      <c r="B491" s="1094"/>
      <c r="C491" s="1816" t="s">
        <v>1146</v>
      </c>
      <c r="D491" s="1034"/>
      <c r="E491" s="1069"/>
      <c r="F491" s="1001"/>
      <c r="G491" s="1045"/>
      <c r="H491" s="1069"/>
      <c r="I491" s="1001"/>
      <c r="J491" s="1846"/>
      <c r="K491" s="1846"/>
      <c r="L491" s="1846"/>
    </row>
    <row r="492" spans="1:12">
      <c r="A492" s="1818"/>
      <c r="B492" s="1094"/>
      <c r="C492" s="1817" t="s">
        <v>1147</v>
      </c>
      <c r="D492" s="1034">
        <v>0.1</v>
      </c>
      <c r="E492" s="1069" t="s">
        <v>36</v>
      </c>
      <c r="F492" s="1001">
        <f>'Civil-SOR'!$G$293</f>
        <v>580</v>
      </c>
      <c r="G492" s="1045">
        <v>1</v>
      </c>
      <c r="H492" s="1069" t="str">
        <f t="shared" ref="H492:H493" si="69">IF(E492="","",IF(E492="No.","Each",IF(E492="Nos.","Each",E492)))</f>
        <v>Each</v>
      </c>
      <c r="I492" s="1001">
        <f t="shared" ref="I492:I494" si="70">IF(G492="",D492*F492,(D492*F492/G492))</f>
        <v>58</v>
      </c>
      <c r="J492" s="1846"/>
      <c r="K492" s="1846"/>
      <c r="L492" s="1846"/>
    </row>
    <row r="493" spans="1:12">
      <c r="A493" s="1818"/>
      <c r="B493" s="1094"/>
      <c r="C493" s="1817" t="s">
        <v>1166</v>
      </c>
      <c r="D493" s="1034">
        <v>1.39</v>
      </c>
      <c r="E493" s="1069" t="s">
        <v>36</v>
      </c>
      <c r="F493" s="1001">
        <f>'Civil-SOR'!$G$307</f>
        <v>520</v>
      </c>
      <c r="G493" s="1045">
        <v>1</v>
      </c>
      <c r="H493" s="1069" t="str">
        <f t="shared" si="69"/>
        <v>Each</v>
      </c>
      <c r="I493" s="1001">
        <f t="shared" si="70"/>
        <v>722.8</v>
      </c>
      <c r="J493" s="1846"/>
      <c r="K493" s="1846"/>
      <c r="L493" s="1846"/>
    </row>
    <row r="494" spans="1:12">
      <c r="A494" s="1818"/>
      <c r="B494" s="1094"/>
      <c r="C494" s="1817" t="str">
        <f>Input!$C$47</f>
        <v>Add for MA @ 40%</v>
      </c>
      <c r="D494" s="1034">
        <f>Input!$D$47</f>
        <v>0.4</v>
      </c>
      <c r="E494" s="1048"/>
      <c r="F494" s="1001">
        <f>SUM(I492:I493)</f>
        <v>780.8</v>
      </c>
      <c r="G494" s="1045"/>
      <c r="H494" s="1048"/>
      <c r="I494" s="1001">
        <f t="shared" si="70"/>
        <v>312.32</v>
      </c>
      <c r="J494" s="1846"/>
      <c r="K494" s="1846"/>
      <c r="L494" s="1846"/>
    </row>
    <row r="495" spans="1:12">
      <c r="A495" s="1818"/>
      <c r="B495" s="1094"/>
      <c r="C495" s="1816" t="s">
        <v>1167</v>
      </c>
      <c r="D495" s="1034"/>
      <c r="E495" s="1048"/>
      <c r="F495" s="1001"/>
      <c r="G495" s="1045"/>
      <c r="H495" s="1046"/>
      <c r="I495" s="1001">
        <f>SUM(I483:I494)</f>
        <v>5355.1034999999993</v>
      </c>
      <c r="J495" s="1846"/>
      <c r="K495" s="1846"/>
      <c r="L495" s="1846"/>
    </row>
    <row r="496" spans="1:12">
      <c r="A496" s="1818"/>
      <c r="B496" s="1094"/>
      <c r="C496" s="1817" t="str">
        <f>Input!$C$48</f>
        <v>Overheads &amp; Contractors Profit @ 13.615%</v>
      </c>
      <c r="D496" s="1070">
        <f>Input!$D$48</f>
        <v>0.13614999999999999</v>
      </c>
      <c r="E496" s="1048"/>
      <c r="F496" s="1001">
        <f>I495</f>
        <v>5355.1034999999993</v>
      </c>
      <c r="G496" s="1045"/>
      <c r="H496" s="1048"/>
      <c r="I496" s="1001">
        <f>IF(G496="",D496*F496,(D496*F496/G496))</f>
        <v>729.09734152499982</v>
      </c>
      <c r="J496" s="1846"/>
      <c r="K496" s="1846"/>
      <c r="L496" s="1846"/>
    </row>
    <row r="497" spans="1:64">
      <c r="A497" s="1818"/>
      <c r="B497" s="1094"/>
      <c r="C497" s="1816" t="s">
        <v>1032</v>
      </c>
      <c r="D497" s="1000"/>
      <c r="E497" s="1044"/>
      <c r="F497" s="1001"/>
      <c r="G497" s="1015"/>
      <c r="H497" s="1085"/>
      <c r="I497" s="1001">
        <f>SUM(I495:I496)</f>
        <v>6084.2008415249993</v>
      </c>
      <c r="J497" s="1846"/>
      <c r="K497" s="1846"/>
      <c r="L497" s="1846"/>
    </row>
    <row r="498" spans="1:64">
      <c r="A498" s="1818"/>
      <c r="B498" s="1094"/>
      <c r="C498" s="1816"/>
      <c r="D498" s="1000"/>
      <c r="E498" s="1069"/>
      <c r="F498" s="1001"/>
      <c r="G498" s="1015"/>
      <c r="H498" s="1046" t="s">
        <v>1065</v>
      </c>
      <c r="I498" s="1011">
        <f>ROUND(I497,0)</f>
        <v>6084</v>
      </c>
      <c r="J498" s="1846"/>
      <c r="K498" s="1846"/>
      <c r="L498" s="1846"/>
    </row>
    <row r="499" spans="1:64">
      <c r="A499" s="1818"/>
      <c r="B499" s="1094"/>
      <c r="C499" s="1816"/>
      <c r="D499" s="1000"/>
      <c r="E499" s="1069"/>
      <c r="F499" s="1001"/>
      <c r="G499" s="1015"/>
      <c r="H499" s="1047"/>
      <c r="I499" s="1011"/>
      <c r="J499" s="1846"/>
      <c r="K499" s="1846"/>
      <c r="L499" s="1846"/>
    </row>
    <row r="500" spans="1:64" ht="111.75" customHeight="1">
      <c r="A500" s="1822">
        <f>A459+1</f>
        <v>13</v>
      </c>
      <c r="B500" s="1822"/>
      <c r="C500" s="2039" t="s">
        <v>3671</v>
      </c>
      <c r="D500" s="2040"/>
      <c r="E500" s="2040"/>
      <c r="F500" s="2040"/>
      <c r="G500" s="2040"/>
      <c r="H500" s="2040"/>
      <c r="I500" s="2041"/>
      <c r="J500" s="1846"/>
      <c r="K500" s="1846"/>
      <c r="L500" s="1846"/>
    </row>
    <row r="501" spans="1:64">
      <c r="A501" s="1823"/>
      <c r="B501" s="1846"/>
      <c r="C501" s="1049" t="s">
        <v>1169</v>
      </c>
      <c r="D501" s="1846"/>
      <c r="E501" s="1846"/>
      <c r="F501" s="1068"/>
      <c r="G501" s="1846"/>
      <c r="H501" s="1817"/>
      <c r="I501" s="1848"/>
      <c r="J501" s="1846"/>
      <c r="K501" s="1846"/>
      <c r="L501" s="1846"/>
    </row>
    <row r="502" spans="1:64" ht="12.75" customHeight="1">
      <c r="A502" s="1823"/>
      <c r="B502" s="1098"/>
      <c r="C502" s="2045" t="s">
        <v>1170</v>
      </c>
      <c r="D502" s="2045"/>
      <c r="E502" s="2045"/>
      <c r="F502" s="2045"/>
      <c r="G502" s="2045"/>
      <c r="H502" s="1817"/>
      <c r="I502" s="1848"/>
      <c r="J502" s="1846"/>
      <c r="K502" s="1846"/>
      <c r="L502" s="1846"/>
    </row>
    <row r="503" spans="1:64">
      <c r="A503" s="1823"/>
      <c r="B503" s="1098"/>
      <c r="C503" s="1821" t="s">
        <v>1139</v>
      </c>
      <c r="D503" s="1849"/>
      <c r="E503" s="1849"/>
      <c r="F503" s="1847"/>
      <c r="G503" s="1849"/>
      <c r="H503" s="1817"/>
      <c r="I503" s="1848"/>
      <c r="J503" s="1846"/>
      <c r="K503" s="1846"/>
      <c r="L503" s="1846"/>
    </row>
    <row r="504" spans="1:64">
      <c r="A504" s="1823"/>
      <c r="B504" s="1823"/>
      <c r="C504" s="1817" t="s">
        <v>889</v>
      </c>
      <c r="D504" s="1018">
        <v>380</v>
      </c>
      <c r="E504" s="1002" t="s">
        <v>1110</v>
      </c>
      <c r="F504" s="1001">
        <f>LEAD!$N$6</f>
        <v>5200</v>
      </c>
      <c r="G504" s="1020">
        <v>1000</v>
      </c>
      <c r="H504" s="1002" t="s">
        <v>1110</v>
      </c>
      <c r="I504" s="1001">
        <f t="shared" ref="I504:I506" si="71">IF(G504="",D504*F504,(D504*F504/G504))</f>
        <v>1976</v>
      </c>
      <c r="J504" s="1002"/>
      <c r="K504" s="1002"/>
      <c r="L504" s="1002"/>
      <c r="M504" s="1003"/>
      <c r="N504" s="1003"/>
      <c r="O504" s="1003"/>
      <c r="P504" s="1003"/>
      <c r="Q504" s="1003"/>
      <c r="R504" s="1003"/>
      <c r="S504" s="1003"/>
      <c r="T504" s="1003"/>
      <c r="U504" s="1003"/>
      <c r="V504" s="1003"/>
      <c r="W504" s="1003"/>
      <c r="X504" s="1003"/>
      <c r="Y504" s="1003"/>
      <c r="Z504" s="1003"/>
      <c r="AA504" s="1003"/>
      <c r="AB504" s="1003"/>
      <c r="AC504" s="1003"/>
      <c r="AD504" s="1003"/>
      <c r="AE504" s="1003"/>
      <c r="AF504" s="1003"/>
      <c r="AG504" s="1003"/>
      <c r="AH504" s="1003"/>
      <c r="AI504" s="1003"/>
      <c r="AJ504" s="1003"/>
      <c r="AK504" s="1003"/>
      <c r="AL504" s="1003"/>
      <c r="AM504" s="1003"/>
      <c r="AN504" s="1003"/>
      <c r="AO504" s="1003"/>
      <c r="AP504" s="1003"/>
      <c r="AQ504" s="1003"/>
      <c r="AR504" s="1003"/>
      <c r="AS504" s="1003"/>
      <c r="AT504" s="1003"/>
      <c r="AU504" s="1003"/>
      <c r="AV504" s="1003"/>
      <c r="AW504" s="1003"/>
      <c r="AX504" s="1003"/>
      <c r="AY504" s="1003"/>
      <c r="AZ504" s="1003"/>
      <c r="BA504" s="1003"/>
      <c r="BB504" s="1003"/>
      <c r="BC504" s="1003"/>
      <c r="BD504" s="1003"/>
      <c r="BE504" s="1003"/>
      <c r="BF504" s="1003"/>
      <c r="BG504" s="1003"/>
      <c r="BH504" s="1003"/>
      <c r="BI504" s="1003"/>
      <c r="BJ504" s="1003"/>
      <c r="BK504" s="1003"/>
      <c r="BL504" s="1003"/>
    </row>
    <row r="505" spans="1:64">
      <c r="A505" s="1823"/>
      <c r="B505" s="1823"/>
      <c r="C505" s="1817" t="s">
        <v>1171</v>
      </c>
      <c r="D505" s="1018">
        <v>0.8</v>
      </c>
      <c r="E505" s="1002" t="s">
        <v>484</v>
      </c>
      <c r="F505" s="1001">
        <f>$F$16</f>
        <v>1447.96</v>
      </c>
      <c r="G505" s="1020">
        <v>1</v>
      </c>
      <c r="H505" s="1002" t="s">
        <v>484</v>
      </c>
      <c r="I505" s="1001">
        <f t="shared" si="71"/>
        <v>1158.3680000000002</v>
      </c>
      <c r="J505" s="1002"/>
      <c r="K505" s="1002"/>
      <c r="L505" s="1002"/>
      <c r="M505" s="1003"/>
      <c r="N505" s="1003"/>
      <c r="O505" s="1003"/>
      <c r="P505" s="1003"/>
      <c r="Q505" s="1003"/>
      <c r="R505" s="1003"/>
      <c r="S505" s="1003"/>
      <c r="T505" s="1003"/>
      <c r="U505" s="1003"/>
      <c r="V505" s="1003"/>
      <c r="W505" s="1003"/>
      <c r="X505" s="1003"/>
      <c r="Y505" s="1003"/>
      <c r="Z505" s="1003"/>
      <c r="AA505" s="1003"/>
      <c r="AB505" s="1003"/>
      <c r="AC505" s="1003"/>
      <c r="AD505" s="1003"/>
      <c r="AE505" s="1003"/>
      <c r="AF505" s="1003"/>
      <c r="AG505" s="1003"/>
      <c r="AH505" s="1003"/>
      <c r="AI505" s="1003"/>
      <c r="AJ505" s="1003"/>
      <c r="AK505" s="1003"/>
      <c r="AL505" s="1003"/>
      <c r="AM505" s="1003"/>
      <c r="AN505" s="1003"/>
      <c r="AO505" s="1003"/>
      <c r="AP505" s="1003"/>
      <c r="AQ505" s="1003"/>
      <c r="AR505" s="1003"/>
      <c r="AS505" s="1003"/>
      <c r="AT505" s="1003"/>
      <c r="AU505" s="1003"/>
      <c r="AV505" s="1003"/>
      <c r="AW505" s="1003"/>
      <c r="AX505" s="1003"/>
      <c r="AY505" s="1003"/>
      <c r="AZ505" s="1003"/>
      <c r="BA505" s="1003"/>
      <c r="BB505" s="1003"/>
      <c r="BC505" s="1003"/>
      <c r="BD505" s="1003"/>
      <c r="BE505" s="1003"/>
      <c r="BF505" s="1003"/>
      <c r="BG505" s="1003"/>
      <c r="BH505" s="1003"/>
      <c r="BI505" s="1003"/>
      <c r="BJ505" s="1003"/>
      <c r="BK505" s="1003"/>
      <c r="BL505" s="1003"/>
    </row>
    <row r="506" spans="1:64">
      <c r="A506" s="1823"/>
      <c r="B506" s="1823"/>
      <c r="C506" s="1817" t="s">
        <v>1163</v>
      </c>
      <c r="D506" s="1018">
        <v>0.4</v>
      </c>
      <c r="E506" s="1002" t="s">
        <v>484</v>
      </c>
      <c r="F506" s="1001">
        <f>LEAD!$N$12</f>
        <v>2253.91</v>
      </c>
      <c r="G506" s="1020">
        <v>1</v>
      </c>
      <c r="H506" s="1002" t="s">
        <v>484</v>
      </c>
      <c r="I506" s="1001">
        <f t="shared" si="71"/>
        <v>901.56399999999996</v>
      </c>
      <c r="J506" s="1002"/>
      <c r="K506" s="1002"/>
      <c r="L506" s="1002"/>
      <c r="M506" s="1003"/>
      <c r="N506" s="1003"/>
      <c r="O506" s="1003"/>
      <c r="P506" s="1003"/>
      <c r="Q506" s="1003"/>
      <c r="R506" s="1003"/>
      <c r="S506" s="1003"/>
      <c r="T506" s="1003"/>
      <c r="U506" s="1003"/>
      <c r="V506" s="1003"/>
      <c r="W506" s="1003"/>
      <c r="X506" s="1003"/>
      <c r="Y506" s="1003"/>
      <c r="Z506" s="1003"/>
      <c r="AA506" s="1003"/>
      <c r="AB506" s="1003"/>
      <c r="AC506" s="1003"/>
      <c r="AD506" s="1003"/>
      <c r="AE506" s="1003"/>
      <c r="AF506" s="1003"/>
      <c r="AG506" s="1003"/>
      <c r="AH506" s="1003"/>
      <c r="AI506" s="1003"/>
      <c r="AJ506" s="1003"/>
      <c r="AK506" s="1003"/>
      <c r="AL506" s="1003"/>
      <c r="AM506" s="1003"/>
      <c r="AN506" s="1003"/>
      <c r="AO506" s="1003"/>
      <c r="AP506" s="1003"/>
      <c r="AQ506" s="1003"/>
      <c r="AR506" s="1003"/>
      <c r="AS506" s="1003"/>
      <c r="AT506" s="1003"/>
      <c r="AU506" s="1003"/>
      <c r="AV506" s="1003"/>
      <c r="AW506" s="1003"/>
      <c r="AX506" s="1003"/>
      <c r="AY506" s="1003"/>
      <c r="AZ506" s="1003"/>
      <c r="BA506" s="1003"/>
      <c r="BB506" s="1003"/>
      <c r="BC506" s="1003"/>
      <c r="BD506" s="1003"/>
      <c r="BE506" s="1003"/>
      <c r="BF506" s="1003"/>
      <c r="BG506" s="1003"/>
      <c r="BH506" s="1003"/>
      <c r="BI506" s="1003"/>
      <c r="BJ506" s="1003"/>
      <c r="BK506" s="1003"/>
      <c r="BL506" s="1003"/>
    </row>
    <row r="507" spans="1:64">
      <c r="A507" s="1823"/>
      <c r="B507" s="1823"/>
      <c r="C507" s="1816" t="s">
        <v>1172</v>
      </c>
      <c r="D507" s="1002"/>
      <c r="E507" s="1002"/>
      <c r="F507" s="1823"/>
      <c r="G507" s="1002"/>
      <c r="H507" s="1002"/>
      <c r="I507" s="1093"/>
      <c r="J507" s="1002"/>
      <c r="K507" s="1002"/>
      <c r="L507" s="1002"/>
      <c r="M507" s="1003"/>
      <c r="N507" s="1003"/>
      <c r="O507" s="1003"/>
      <c r="P507" s="1003"/>
      <c r="Q507" s="1003"/>
      <c r="R507" s="1003"/>
      <c r="S507" s="1003"/>
      <c r="T507" s="1003"/>
      <c r="U507" s="1003"/>
      <c r="V507" s="1003"/>
      <c r="W507" s="1003"/>
      <c r="X507" s="1003"/>
      <c r="Y507" s="1003"/>
      <c r="Z507" s="1003"/>
      <c r="AA507" s="1003"/>
      <c r="AB507" s="1003"/>
      <c r="AC507" s="1003"/>
      <c r="AD507" s="1003"/>
      <c r="AE507" s="1003"/>
      <c r="AF507" s="1003"/>
      <c r="AG507" s="1003"/>
      <c r="AH507" s="1003"/>
      <c r="AI507" s="1003"/>
      <c r="AJ507" s="1003"/>
      <c r="AK507" s="1003"/>
      <c r="AL507" s="1003"/>
      <c r="AM507" s="1003"/>
      <c r="AN507" s="1003"/>
      <c r="AO507" s="1003"/>
      <c r="AP507" s="1003"/>
      <c r="AQ507" s="1003"/>
      <c r="AR507" s="1003"/>
      <c r="AS507" s="1003"/>
      <c r="AT507" s="1003"/>
      <c r="AU507" s="1003"/>
      <c r="AV507" s="1003"/>
      <c r="AW507" s="1003"/>
      <c r="AX507" s="1003"/>
      <c r="AY507" s="1003"/>
      <c r="AZ507" s="1003"/>
      <c r="BA507" s="1003"/>
      <c r="BB507" s="1003"/>
      <c r="BC507" s="1003"/>
      <c r="BD507" s="1003"/>
      <c r="BE507" s="1003"/>
      <c r="BF507" s="1003"/>
      <c r="BG507" s="1003"/>
      <c r="BH507" s="1003"/>
      <c r="BI507" s="1003"/>
      <c r="BJ507" s="1003"/>
      <c r="BK507" s="1003"/>
      <c r="BL507" s="1003"/>
    </row>
    <row r="508" spans="1:64">
      <c r="A508" s="1823"/>
      <c r="B508" s="1823"/>
      <c r="C508" s="1817" t="s">
        <v>1173</v>
      </c>
      <c r="D508" s="1099">
        <v>0.13300000000000001</v>
      </c>
      <c r="E508" s="1002" t="s">
        <v>955</v>
      </c>
      <c r="F508" s="1093">
        <f>'Civil-SOR'!$G$293</f>
        <v>580</v>
      </c>
      <c r="G508" s="1020">
        <v>1</v>
      </c>
      <c r="H508" s="1002" t="s">
        <v>501</v>
      </c>
      <c r="I508" s="1001">
        <f t="shared" ref="I508:I511" si="72">IF(G508="",D508*F508,(D508*F508/G508))</f>
        <v>77.14</v>
      </c>
      <c r="J508" s="1002"/>
      <c r="K508" s="1002"/>
      <c r="L508" s="1002"/>
      <c r="M508" s="1003"/>
      <c r="N508" s="1003"/>
      <c r="O508" s="1003"/>
      <c r="P508" s="1003"/>
      <c r="Q508" s="1003"/>
      <c r="R508" s="1003"/>
      <c r="S508" s="1003"/>
      <c r="T508" s="1003"/>
      <c r="U508" s="1003"/>
      <c r="V508" s="1003"/>
      <c r="W508" s="1003"/>
      <c r="X508" s="1003"/>
      <c r="Y508" s="1003"/>
      <c r="Z508" s="1003"/>
      <c r="AA508" s="1003"/>
      <c r="AB508" s="1003"/>
      <c r="AC508" s="1003"/>
      <c r="AD508" s="1003"/>
      <c r="AE508" s="1003"/>
      <c r="AF508" s="1003"/>
      <c r="AG508" s="1003"/>
      <c r="AH508" s="1003"/>
      <c r="AI508" s="1003"/>
      <c r="AJ508" s="1003"/>
      <c r="AK508" s="1003"/>
      <c r="AL508" s="1003"/>
      <c r="AM508" s="1003"/>
      <c r="AN508" s="1003"/>
      <c r="AO508" s="1003"/>
      <c r="AP508" s="1003"/>
      <c r="AQ508" s="1003"/>
      <c r="AR508" s="1003"/>
      <c r="AS508" s="1003"/>
      <c r="AT508" s="1003"/>
      <c r="AU508" s="1003"/>
      <c r="AV508" s="1003"/>
      <c r="AW508" s="1003"/>
      <c r="AX508" s="1003"/>
      <c r="AY508" s="1003"/>
      <c r="AZ508" s="1003"/>
      <c r="BA508" s="1003"/>
      <c r="BB508" s="1003"/>
      <c r="BC508" s="1003"/>
      <c r="BD508" s="1003"/>
      <c r="BE508" s="1003"/>
      <c r="BF508" s="1003"/>
      <c r="BG508" s="1003"/>
      <c r="BH508" s="1003"/>
      <c r="BI508" s="1003"/>
      <c r="BJ508" s="1003"/>
      <c r="BK508" s="1003"/>
      <c r="BL508" s="1003"/>
    </row>
    <row r="509" spans="1:64">
      <c r="A509" s="1823"/>
      <c r="B509" s="1823"/>
      <c r="C509" s="1817" t="s">
        <v>1174</v>
      </c>
      <c r="D509" s="1099">
        <v>0.26700000000000002</v>
      </c>
      <c r="E509" s="1002" t="s">
        <v>955</v>
      </c>
      <c r="F509" s="1093">
        <f>'Civil-SOR'!$G$302</f>
        <v>550</v>
      </c>
      <c r="G509" s="1020">
        <v>1</v>
      </c>
      <c r="H509" s="1002" t="str">
        <f>H508</f>
        <v>Each</v>
      </c>
      <c r="I509" s="1001">
        <f t="shared" si="72"/>
        <v>146.85</v>
      </c>
      <c r="J509" s="1002"/>
      <c r="K509" s="1002"/>
      <c r="L509" s="1002"/>
      <c r="M509" s="1003"/>
      <c r="N509" s="1003"/>
      <c r="O509" s="1003"/>
      <c r="P509" s="1003"/>
      <c r="Q509" s="1003"/>
      <c r="R509" s="1003"/>
      <c r="S509" s="1003"/>
      <c r="T509" s="1003"/>
      <c r="U509" s="1003"/>
      <c r="V509" s="1003"/>
      <c r="W509" s="1003"/>
      <c r="X509" s="1003"/>
      <c r="Y509" s="1003"/>
      <c r="Z509" s="1003"/>
      <c r="AA509" s="1003"/>
      <c r="AB509" s="1003"/>
      <c r="AC509" s="1003"/>
      <c r="AD509" s="1003"/>
      <c r="AE509" s="1003"/>
      <c r="AF509" s="1003"/>
      <c r="AG509" s="1003"/>
      <c r="AH509" s="1003"/>
      <c r="AI509" s="1003"/>
      <c r="AJ509" s="1003"/>
      <c r="AK509" s="1003"/>
      <c r="AL509" s="1003"/>
      <c r="AM509" s="1003"/>
      <c r="AN509" s="1003"/>
      <c r="AO509" s="1003"/>
      <c r="AP509" s="1003"/>
      <c r="AQ509" s="1003"/>
      <c r="AR509" s="1003"/>
      <c r="AS509" s="1003"/>
      <c r="AT509" s="1003"/>
      <c r="AU509" s="1003"/>
      <c r="AV509" s="1003"/>
      <c r="AW509" s="1003"/>
      <c r="AX509" s="1003"/>
      <c r="AY509" s="1003"/>
      <c r="AZ509" s="1003"/>
      <c r="BA509" s="1003"/>
      <c r="BB509" s="1003"/>
      <c r="BC509" s="1003"/>
      <c r="BD509" s="1003"/>
      <c r="BE509" s="1003"/>
      <c r="BF509" s="1003"/>
      <c r="BG509" s="1003"/>
      <c r="BH509" s="1003"/>
      <c r="BI509" s="1003"/>
      <c r="BJ509" s="1003"/>
      <c r="BK509" s="1003"/>
      <c r="BL509" s="1003"/>
    </row>
    <row r="510" spans="1:64">
      <c r="A510" s="1823"/>
      <c r="B510" s="1823"/>
      <c r="C510" s="1817" t="s">
        <v>1175</v>
      </c>
      <c r="D510" s="1018">
        <v>4.5999999999999996</v>
      </c>
      <c r="E510" s="1002" t="s">
        <v>955</v>
      </c>
      <c r="F510" s="1093">
        <f>'Civil-SOR'!$G$307</f>
        <v>520</v>
      </c>
      <c r="G510" s="1020">
        <v>1</v>
      </c>
      <c r="H510" s="1002" t="str">
        <f>H508</f>
        <v>Each</v>
      </c>
      <c r="I510" s="1001">
        <f t="shared" si="72"/>
        <v>2392</v>
      </c>
      <c r="J510" s="1002"/>
      <c r="K510" s="1002"/>
      <c r="L510" s="1002"/>
      <c r="M510" s="1003"/>
      <c r="N510" s="1003"/>
      <c r="O510" s="1003"/>
      <c r="P510" s="1003"/>
      <c r="Q510" s="1003"/>
      <c r="R510" s="1003"/>
      <c r="S510" s="1003"/>
      <c r="T510" s="1003"/>
      <c r="U510" s="1003"/>
      <c r="V510" s="1003"/>
      <c r="W510" s="1003"/>
      <c r="X510" s="1003"/>
      <c r="Y510" s="1003"/>
      <c r="Z510" s="1003"/>
      <c r="AA510" s="1003"/>
      <c r="AB510" s="1003"/>
      <c r="AC510" s="1003"/>
      <c r="AD510" s="1003"/>
      <c r="AE510" s="1003"/>
      <c r="AF510" s="1003"/>
      <c r="AG510" s="1003"/>
      <c r="AH510" s="1003"/>
      <c r="AI510" s="1003"/>
      <c r="AJ510" s="1003"/>
      <c r="AK510" s="1003"/>
      <c r="AL510" s="1003"/>
      <c r="AM510" s="1003"/>
      <c r="AN510" s="1003"/>
      <c r="AO510" s="1003"/>
      <c r="AP510" s="1003"/>
      <c r="AQ510" s="1003"/>
      <c r="AR510" s="1003"/>
      <c r="AS510" s="1003"/>
      <c r="AT510" s="1003"/>
      <c r="AU510" s="1003"/>
      <c r="AV510" s="1003"/>
      <c r="AW510" s="1003"/>
      <c r="AX510" s="1003"/>
      <c r="AY510" s="1003"/>
      <c r="AZ510" s="1003"/>
      <c r="BA510" s="1003"/>
      <c r="BB510" s="1003"/>
      <c r="BC510" s="1003"/>
      <c r="BD510" s="1003"/>
      <c r="BE510" s="1003"/>
      <c r="BF510" s="1003"/>
      <c r="BG510" s="1003"/>
      <c r="BH510" s="1003"/>
      <c r="BI510" s="1003"/>
      <c r="BJ510" s="1003"/>
      <c r="BK510" s="1003"/>
      <c r="BL510" s="1003"/>
    </row>
    <row r="511" spans="1:64">
      <c r="A511" s="1823"/>
      <c r="B511" s="1823"/>
      <c r="C511" s="1817" t="str">
        <f>Input!$C$47</f>
        <v>Add for MA @ 40%</v>
      </c>
      <c r="D511" s="1018">
        <f>Input!$D$47</f>
        <v>0.4</v>
      </c>
      <c r="E511" s="1002"/>
      <c r="F511" s="1093">
        <f>SUM(I508:I510)</f>
        <v>2615.9899999999998</v>
      </c>
      <c r="G511" s="1020"/>
      <c r="H511" s="1002"/>
      <c r="I511" s="1001">
        <f t="shared" si="72"/>
        <v>1046.396</v>
      </c>
      <c r="J511" s="1002"/>
      <c r="K511" s="1002"/>
      <c r="L511" s="1002"/>
      <c r="M511" s="1003"/>
      <c r="N511" s="1003"/>
      <c r="O511" s="1003"/>
      <c r="P511" s="1003"/>
      <c r="Q511" s="1003"/>
      <c r="R511" s="1003"/>
      <c r="S511" s="1003"/>
      <c r="T511" s="1003"/>
      <c r="U511" s="1003"/>
      <c r="V511" s="1003"/>
      <c r="W511" s="1003"/>
      <c r="X511" s="1003"/>
      <c r="Y511" s="1003"/>
      <c r="Z511" s="1003"/>
      <c r="AA511" s="1003"/>
      <c r="AB511" s="1003"/>
      <c r="AC511" s="1003"/>
      <c r="AD511" s="1003"/>
      <c r="AE511" s="1003"/>
      <c r="AF511" s="1003"/>
      <c r="AG511" s="1003"/>
      <c r="AH511" s="1003"/>
      <c r="AI511" s="1003"/>
      <c r="AJ511" s="1003"/>
      <c r="AK511" s="1003"/>
      <c r="AL511" s="1003"/>
      <c r="AM511" s="1003"/>
      <c r="AN511" s="1003"/>
      <c r="AO511" s="1003"/>
      <c r="AP511" s="1003"/>
      <c r="AQ511" s="1003"/>
      <c r="AR511" s="1003"/>
      <c r="AS511" s="1003"/>
      <c r="AT511" s="1003"/>
      <c r="AU511" s="1003"/>
      <c r="AV511" s="1003"/>
      <c r="AW511" s="1003"/>
      <c r="AX511" s="1003"/>
      <c r="AY511" s="1003"/>
      <c r="AZ511" s="1003"/>
      <c r="BA511" s="1003"/>
      <c r="BB511" s="1003"/>
      <c r="BC511" s="1003"/>
      <c r="BD511" s="1003"/>
      <c r="BE511" s="1003"/>
      <c r="BF511" s="1003"/>
      <c r="BG511" s="1003"/>
      <c r="BH511" s="1003"/>
      <c r="BI511" s="1003"/>
      <c r="BJ511" s="1003"/>
      <c r="BK511" s="1003"/>
      <c r="BL511" s="1003"/>
    </row>
    <row r="512" spans="1:64">
      <c r="A512" s="1823"/>
      <c r="B512" s="1823"/>
      <c r="C512" s="1816" t="s">
        <v>1176</v>
      </c>
      <c r="D512" s="1018"/>
      <c r="E512" s="1002"/>
      <c r="F512" s="1093"/>
      <c r="G512" s="1020"/>
      <c r="H512" s="1002"/>
      <c r="I512" s="1001"/>
      <c r="J512" s="1002"/>
      <c r="K512" s="1002"/>
      <c r="L512" s="1002"/>
      <c r="M512" s="1003"/>
      <c r="N512" s="1003"/>
      <c r="O512" s="1003"/>
      <c r="P512" s="1003"/>
      <c r="Q512" s="1003"/>
      <c r="R512" s="1003"/>
      <c r="S512" s="1003"/>
      <c r="T512" s="1003"/>
      <c r="U512" s="1003"/>
      <c r="V512" s="1003"/>
      <c r="W512" s="1003"/>
      <c r="X512" s="1003"/>
      <c r="Y512" s="1003"/>
      <c r="Z512" s="1003"/>
      <c r="AA512" s="1003"/>
      <c r="AB512" s="1003"/>
      <c r="AC512" s="1003"/>
      <c r="AD512" s="1003"/>
      <c r="AE512" s="1003"/>
      <c r="AF512" s="1003"/>
      <c r="AG512" s="1003"/>
      <c r="AH512" s="1003"/>
      <c r="AI512" s="1003"/>
      <c r="AJ512" s="1003"/>
      <c r="AK512" s="1003"/>
      <c r="AL512" s="1003"/>
      <c r="AM512" s="1003"/>
      <c r="AN512" s="1003"/>
      <c r="AO512" s="1003"/>
      <c r="AP512" s="1003"/>
      <c r="AQ512" s="1003"/>
      <c r="AR512" s="1003"/>
      <c r="AS512" s="1003"/>
      <c r="AT512" s="1003"/>
      <c r="AU512" s="1003"/>
      <c r="AV512" s="1003"/>
      <c r="AW512" s="1003"/>
      <c r="AX512" s="1003"/>
      <c r="AY512" s="1003"/>
      <c r="AZ512" s="1003"/>
      <c r="BA512" s="1003"/>
      <c r="BB512" s="1003"/>
      <c r="BC512" s="1003"/>
      <c r="BD512" s="1003"/>
      <c r="BE512" s="1003"/>
      <c r="BF512" s="1003"/>
      <c r="BG512" s="1003"/>
      <c r="BH512" s="1003"/>
      <c r="BI512" s="1003"/>
      <c r="BJ512" s="1003"/>
      <c r="BK512" s="1003"/>
      <c r="BL512" s="1003"/>
    </row>
    <row r="513" spans="1:64" ht="25.5">
      <c r="A513" s="1823"/>
      <c r="B513" s="1823"/>
      <c r="C513" s="1817" t="s">
        <v>582</v>
      </c>
      <c r="D513" s="1099">
        <v>1.333</v>
      </c>
      <c r="E513" s="1002" t="s">
        <v>1083</v>
      </c>
      <c r="F513" s="1093">
        <f>'Civil-SOR'!G330</f>
        <v>192.9</v>
      </c>
      <c r="G513" s="1020">
        <v>1</v>
      </c>
      <c r="H513" s="1002" t="s">
        <v>400</v>
      </c>
      <c r="I513" s="1001">
        <f t="shared" ref="I513:I518" si="73">IF(G513="",D513*F513,(D513*F513/G513))</f>
        <v>257.13569999999999</v>
      </c>
      <c r="J513" s="1002"/>
      <c r="K513" s="1002"/>
      <c r="L513" s="1002"/>
      <c r="M513" s="1003"/>
      <c r="N513" s="1003"/>
      <c r="O513" s="1003"/>
      <c r="P513" s="1003"/>
      <c r="Q513" s="1003"/>
      <c r="R513" s="1003"/>
      <c r="S513" s="1003"/>
      <c r="T513" s="1003"/>
      <c r="U513" s="1003"/>
      <c r="V513" s="1003"/>
      <c r="W513" s="1003"/>
      <c r="X513" s="1003"/>
      <c r="Y513" s="1003"/>
      <c r="Z513" s="1003"/>
      <c r="AA513" s="1003"/>
      <c r="AB513" s="1003"/>
      <c r="AC513" s="1003"/>
      <c r="AD513" s="1003"/>
      <c r="AE513" s="1003"/>
      <c r="AF513" s="1003"/>
      <c r="AG513" s="1003"/>
      <c r="AH513" s="1003"/>
      <c r="AI513" s="1003"/>
      <c r="AJ513" s="1003"/>
      <c r="AK513" s="1003"/>
      <c r="AL513" s="1003"/>
      <c r="AM513" s="1003"/>
      <c r="AN513" s="1003"/>
      <c r="AO513" s="1003"/>
      <c r="AP513" s="1003"/>
      <c r="AQ513" s="1003"/>
      <c r="AR513" s="1003"/>
      <c r="AS513" s="1003"/>
      <c r="AT513" s="1003"/>
      <c r="AU513" s="1003"/>
      <c r="AV513" s="1003"/>
      <c r="AW513" s="1003"/>
      <c r="AX513" s="1003"/>
      <c r="AY513" s="1003"/>
      <c r="AZ513" s="1003"/>
      <c r="BA513" s="1003"/>
      <c r="BB513" s="1003"/>
      <c r="BC513" s="1003"/>
      <c r="BD513" s="1003"/>
      <c r="BE513" s="1003"/>
      <c r="BF513" s="1003"/>
      <c r="BG513" s="1003"/>
      <c r="BH513" s="1003"/>
      <c r="BI513" s="1003"/>
      <c r="BJ513" s="1003"/>
      <c r="BK513" s="1003"/>
      <c r="BL513" s="1003"/>
    </row>
    <row r="514" spans="1:64">
      <c r="A514" s="1823"/>
      <c r="B514" s="1823"/>
      <c r="C514" s="1817" t="s">
        <v>579</v>
      </c>
      <c r="D514" s="1099">
        <v>1.333</v>
      </c>
      <c r="E514" s="1002" t="s">
        <v>1083</v>
      </c>
      <c r="F514" s="1093">
        <f>'Civil-SOR'!J330</f>
        <v>302.89999999999998</v>
      </c>
      <c r="G514" s="1020">
        <v>1</v>
      </c>
      <c r="H514" s="1002" t="s">
        <v>400</v>
      </c>
      <c r="I514" s="1001">
        <f t="shared" si="73"/>
        <v>403.76569999999998</v>
      </c>
      <c r="J514" s="1002"/>
      <c r="K514" s="1002"/>
      <c r="L514" s="1002"/>
      <c r="M514" s="1003"/>
      <c r="N514" s="1003"/>
      <c r="O514" s="1003"/>
      <c r="P514" s="1003"/>
      <c r="Q514" s="1003"/>
      <c r="R514" s="1003"/>
      <c r="S514" s="1003"/>
      <c r="T514" s="1003"/>
      <c r="U514" s="1003"/>
      <c r="V514" s="1003"/>
      <c r="W514" s="1003"/>
      <c r="X514" s="1003"/>
      <c r="Y514" s="1003"/>
      <c r="Z514" s="1003"/>
      <c r="AA514" s="1003"/>
      <c r="AB514" s="1003"/>
      <c r="AC514" s="1003"/>
      <c r="AD514" s="1003"/>
      <c r="AE514" s="1003"/>
      <c r="AF514" s="1003"/>
      <c r="AG514" s="1003"/>
      <c r="AH514" s="1003"/>
      <c r="AI514" s="1003"/>
      <c r="AJ514" s="1003"/>
      <c r="AK514" s="1003"/>
      <c r="AL514" s="1003"/>
      <c r="AM514" s="1003"/>
      <c r="AN514" s="1003"/>
      <c r="AO514" s="1003"/>
      <c r="AP514" s="1003"/>
      <c r="AQ514" s="1003"/>
      <c r="AR514" s="1003"/>
      <c r="AS514" s="1003"/>
      <c r="AT514" s="1003"/>
      <c r="AU514" s="1003"/>
      <c r="AV514" s="1003"/>
      <c r="AW514" s="1003"/>
      <c r="AX514" s="1003"/>
      <c r="AY514" s="1003"/>
      <c r="AZ514" s="1003"/>
      <c r="BA514" s="1003"/>
      <c r="BB514" s="1003"/>
      <c r="BC514" s="1003"/>
      <c r="BD514" s="1003"/>
      <c r="BE514" s="1003"/>
      <c r="BF514" s="1003"/>
      <c r="BG514" s="1003"/>
      <c r="BH514" s="1003"/>
      <c r="BI514" s="1003"/>
      <c r="BJ514" s="1003"/>
      <c r="BK514" s="1003"/>
      <c r="BL514" s="1003"/>
    </row>
    <row r="515" spans="1:64">
      <c r="A515" s="1823"/>
      <c r="B515" s="1823"/>
      <c r="C515" s="1817" t="s">
        <v>1178</v>
      </c>
      <c r="D515" s="1099">
        <v>1.333</v>
      </c>
      <c r="E515" s="1002" t="s">
        <v>1083</v>
      </c>
      <c r="F515" s="1093">
        <f>'Civil-SOR'!$G$332</f>
        <v>36.5</v>
      </c>
      <c r="G515" s="1020">
        <v>1</v>
      </c>
      <c r="H515" s="1002" t="s">
        <v>400</v>
      </c>
      <c r="I515" s="1001">
        <f t="shared" si="73"/>
        <v>48.654499999999999</v>
      </c>
      <c r="J515" s="1002"/>
      <c r="K515" s="1002"/>
      <c r="L515" s="1002"/>
      <c r="M515" s="1003"/>
      <c r="N515" s="1003"/>
      <c r="O515" s="1003"/>
      <c r="P515" s="1003"/>
      <c r="Q515" s="1003"/>
      <c r="R515" s="1003"/>
      <c r="S515" s="1003"/>
      <c r="T515" s="1003"/>
      <c r="U515" s="1003"/>
      <c r="V515" s="1003"/>
      <c r="W515" s="1003"/>
      <c r="X515" s="1003"/>
      <c r="Y515" s="1003"/>
      <c r="Z515" s="1003"/>
      <c r="AA515" s="1003"/>
      <c r="AB515" s="1003"/>
      <c r="AC515" s="1003"/>
      <c r="AD515" s="1003"/>
      <c r="AE515" s="1003"/>
      <c r="AF515" s="1003"/>
      <c r="AG515" s="1003"/>
      <c r="AH515" s="1003"/>
      <c r="AI515" s="1003"/>
      <c r="AJ515" s="1003"/>
      <c r="AK515" s="1003"/>
      <c r="AL515" s="1003"/>
      <c r="AM515" s="1003"/>
      <c r="AN515" s="1003"/>
      <c r="AO515" s="1003"/>
      <c r="AP515" s="1003"/>
      <c r="AQ515" s="1003"/>
      <c r="AR515" s="1003"/>
      <c r="AS515" s="1003"/>
      <c r="AT515" s="1003"/>
      <c r="AU515" s="1003"/>
      <c r="AV515" s="1003"/>
      <c r="AW515" s="1003"/>
      <c r="AX515" s="1003"/>
      <c r="AY515" s="1003"/>
      <c r="AZ515" s="1003"/>
      <c r="BA515" s="1003"/>
      <c r="BB515" s="1003"/>
      <c r="BC515" s="1003"/>
      <c r="BD515" s="1003"/>
      <c r="BE515" s="1003"/>
      <c r="BF515" s="1003"/>
      <c r="BG515" s="1003"/>
      <c r="BH515" s="1003"/>
      <c r="BI515" s="1003"/>
      <c r="BJ515" s="1003"/>
      <c r="BK515" s="1003"/>
      <c r="BL515" s="1003"/>
    </row>
    <row r="516" spans="1:64">
      <c r="A516" s="1823"/>
      <c r="B516" s="1823"/>
      <c r="C516" s="1817" t="s">
        <v>579</v>
      </c>
      <c r="D516" s="1099">
        <v>1.333</v>
      </c>
      <c r="E516" s="1002" t="s">
        <v>1083</v>
      </c>
      <c r="F516" s="1093">
        <f>'Civil-SOR'!$J$332</f>
        <v>218</v>
      </c>
      <c r="G516" s="1020">
        <v>1</v>
      </c>
      <c r="H516" s="1002" t="s">
        <v>400</v>
      </c>
      <c r="I516" s="1001">
        <f t="shared" si="73"/>
        <v>290.59399999999999</v>
      </c>
      <c r="J516" s="1002"/>
      <c r="K516" s="1002"/>
      <c r="L516" s="1002"/>
      <c r="M516" s="1003"/>
      <c r="N516" s="1003"/>
      <c r="O516" s="1003"/>
      <c r="P516" s="1003"/>
      <c r="Q516" s="1003"/>
      <c r="R516" s="1003"/>
      <c r="S516" s="1003"/>
      <c r="T516" s="1003"/>
      <c r="U516" s="1003"/>
      <c r="V516" s="1003"/>
      <c r="W516" s="1003"/>
      <c r="X516" s="1003"/>
      <c r="Y516" s="1003"/>
      <c r="Z516" s="1003"/>
      <c r="AA516" s="1003"/>
      <c r="AB516" s="1003"/>
      <c r="AC516" s="1003"/>
      <c r="AD516" s="1003"/>
      <c r="AE516" s="1003"/>
      <c r="AF516" s="1003"/>
      <c r="AG516" s="1003"/>
      <c r="AH516" s="1003"/>
      <c r="AI516" s="1003"/>
      <c r="AJ516" s="1003"/>
      <c r="AK516" s="1003"/>
      <c r="AL516" s="1003"/>
      <c r="AM516" s="1003"/>
      <c r="AN516" s="1003"/>
      <c r="AO516" s="1003"/>
      <c r="AP516" s="1003"/>
      <c r="AQ516" s="1003"/>
      <c r="AR516" s="1003"/>
      <c r="AS516" s="1003"/>
      <c r="AT516" s="1003"/>
      <c r="AU516" s="1003"/>
      <c r="AV516" s="1003"/>
      <c r="AW516" s="1003"/>
      <c r="AX516" s="1003"/>
      <c r="AY516" s="1003"/>
      <c r="AZ516" s="1003"/>
      <c r="BA516" s="1003"/>
      <c r="BB516" s="1003"/>
      <c r="BC516" s="1003"/>
      <c r="BD516" s="1003"/>
      <c r="BE516" s="1003"/>
      <c r="BF516" s="1003"/>
      <c r="BG516" s="1003"/>
      <c r="BH516" s="1003"/>
      <c r="BI516" s="1003"/>
      <c r="BJ516" s="1003"/>
      <c r="BK516" s="1003"/>
      <c r="BL516" s="1003"/>
    </row>
    <row r="517" spans="1:64">
      <c r="A517" s="1823"/>
      <c r="B517" s="1823"/>
      <c r="C517" s="1817" t="s">
        <v>1085</v>
      </c>
      <c r="D517" s="1018">
        <f>Input!$D$47</f>
        <v>0.4</v>
      </c>
      <c r="E517" s="1002"/>
      <c r="F517" s="1093">
        <f>$I$514+$I$516</f>
        <v>694.35969999999998</v>
      </c>
      <c r="G517" s="1020"/>
      <c r="H517" s="1002"/>
      <c r="I517" s="1001">
        <f t="shared" si="73"/>
        <v>277.74387999999999</v>
      </c>
      <c r="J517" s="1002"/>
      <c r="K517" s="1002"/>
      <c r="L517" s="1002"/>
      <c r="M517" s="1003"/>
      <c r="N517" s="1003"/>
      <c r="O517" s="1003"/>
      <c r="P517" s="1003"/>
      <c r="Q517" s="1003"/>
      <c r="R517" s="1003"/>
      <c r="S517" s="1003"/>
      <c r="T517" s="1003"/>
      <c r="U517" s="1003"/>
      <c r="V517" s="1003"/>
      <c r="W517" s="1003"/>
      <c r="X517" s="1003"/>
      <c r="Y517" s="1003"/>
      <c r="Z517" s="1003"/>
      <c r="AA517" s="1003"/>
      <c r="AB517" s="1003"/>
      <c r="AC517" s="1003"/>
      <c r="AD517" s="1003"/>
      <c r="AE517" s="1003"/>
      <c r="AF517" s="1003"/>
      <c r="AG517" s="1003"/>
      <c r="AH517" s="1003"/>
      <c r="AI517" s="1003"/>
      <c r="AJ517" s="1003"/>
      <c r="AK517" s="1003"/>
      <c r="AL517" s="1003"/>
      <c r="AM517" s="1003"/>
      <c r="AN517" s="1003"/>
      <c r="AO517" s="1003"/>
      <c r="AP517" s="1003"/>
      <c r="AQ517" s="1003"/>
      <c r="AR517" s="1003"/>
      <c r="AS517" s="1003"/>
      <c r="AT517" s="1003"/>
      <c r="AU517" s="1003"/>
      <c r="AV517" s="1003"/>
      <c r="AW517" s="1003"/>
      <c r="AX517" s="1003"/>
      <c r="AY517" s="1003"/>
      <c r="AZ517" s="1003"/>
      <c r="BA517" s="1003"/>
      <c r="BB517" s="1003"/>
      <c r="BC517" s="1003"/>
      <c r="BD517" s="1003"/>
      <c r="BE517" s="1003"/>
      <c r="BF517" s="1003"/>
      <c r="BG517" s="1003"/>
      <c r="BH517" s="1003"/>
      <c r="BI517" s="1003"/>
      <c r="BJ517" s="1003"/>
      <c r="BK517" s="1003"/>
      <c r="BL517" s="1003"/>
    </row>
    <row r="518" spans="1:64">
      <c r="A518" s="1823"/>
      <c r="B518" s="1823"/>
      <c r="C518" s="1817" t="s">
        <v>1179</v>
      </c>
      <c r="D518" s="1000">
        <v>1.2</v>
      </c>
      <c r="E518" s="1044" t="s">
        <v>1143</v>
      </c>
      <c r="F518" s="1001">
        <f>Input!$D$53</f>
        <v>108</v>
      </c>
      <c r="G518" s="1015">
        <v>1</v>
      </c>
      <c r="H518" s="1085" t="str">
        <f>IF(E518="","",IF(E518="No.","Each",IF(E518="Nos.","Each",E518)))</f>
        <v>kl</v>
      </c>
      <c r="I518" s="1001">
        <f t="shared" si="73"/>
        <v>129.6</v>
      </c>
      <c r="J518" s="1002"/>
      <c r="K518" s="1002"/>
      <c r="L518" s="1002"/>
      <c r="M518" s="1003"/>
      <c r="N518" s="1003"/>
      <c r="O518" s="1003"/>
      <c r="P518" s="1003"/>
      <c r="Q518" s="1003"/>
      <c r="R518" s="1003"/>
      <c r="S518" s="1003"/>
      <c r="T518" s="1003"/>
      <c r="U518" s="1003"/>
      <c r="V518" s="1003"/>
      <c r="W518" s="1003"/>
      <c r="X518" s="1003"/>
      <c r="Y518" s="1003"/>
      <c r="Z518" s="1003"/>
      <c r="AA518" s="1003"/>
      <c r="AB518" s="1003"/>
      <c r="AC518" s="1003"/>
      <c r="AD518" s="1003"/>
      <c r="AE518" s="1003"/>
      <c r="AF518" s="1003"/>
      <c r="AG518" s="1003"/>
      <c r="AH518" s="1003"/>
      <c r="AI518" s="1003"/>
      <c r="AJ518" s="1003"/>
      <c r="AK518" s="1003"/>
      <c r="AL518" s="1003"/>
      <c r="AM518" s="1003"/>
      <c r="AN518" s="1003"/>
      <c r="AO518" s="1003"/>
      <c r="AP518" s="1003"/>
      <c r="AQ518" s="1003"/>
      <c r="AR518" s="1003"/>
      <c r="AS518" s="1003"/>
      <c r="AT518" s="1003"/>
      <c r="AU518" s="1003"/>
      <c r="AV518" s="1003"/>
      <c r="AW518" s="1003"/>
      <c r="AX518" s="1003"/>
      <c r="AY518" s="1003"/>
      <c r="AZ518" s="1003"/>
      <c r="BA518" s="1003"/>
      <c r="BB518" s="1003"/>
      <c r="BC518" s="1003"/>
      <c r="BD518" s="1003"/>
      <c r="BE518" s="1003"/>
      <c r="BF518" s="1003"/>
      <c r="BG518" s="1003"/>
      <c r="BH518" s="1003"/>
      <c r="BI518" s="1003"/>
      <c r="BJ518" s="1003"/>
      <c r="BK518" s="1003"/>
      <c r="BL518" s="1003"/>
    </row>
    <row r="519" spans="1:64">
      <c r="A519" s="1023"/>
      <c r="B519" s="1023"/>
      <c r="C519" s="1088" t="s">
        <v>1032</v>
      </c>
      <c r="D519" s="996"/>
      <c r="E519" s="996"/>
      <c r="F519" s="1023"/>
      <c r="G519" s="1100"/>
      <c r="H519" s="996"/>
      <c r="I519" s="1834">
        <f>SUM(I504:I518)</f>
        <v>9105.81178</v>
      </c>
      <c r="J519" s="996"/>
      <c r="K519" s="996"/>
      <c r="L519" s="996"/>
      <c r="M519" s="997"/>
      <c r="N519" s="997"/>
      <c r="O519" s="997"/>
      <c r="P519" s="997"/>
      <c r="Q519" s="997"/>
      <c r="R519" s="997"/>
      <c r="S519" s="997"/>
      <c r="T519" s="997"/>
      <c r="U519" s="997"/>
      <c r="V519" s="997"/>
      <c r="W519" s="997"/>
      <c r="X519" s="997"/>
      <c r="Y519" s="997"/>
      <c r="Z519" s="997"/>
      <c r="AA519" s="997"/>
      <c r="AB519" s="997"/>
      <c r="AC519" s="997"/>
      <c r="AD519" s="997"/>
      <c r="AE519" s="997"/>
      <c r="AF519" s="997"/>
      <c r="AG519" s="997"/>
      <c r="AH519" s="997"/>
      <c r="AI519" s="997"/>
      <c r="AJ519" s="997"/>
      <c r="AK519" s="997"/>
      <c r="AL519" s="997"/>
      <c r="AM519" s="997"/>
      <c r="AN519" s="997"/>
      <c r="AO519" s="997"/>
      <c r="AP519" s="997"/>
      <c r="AQ519" s="997"/>
      <c r="AR519" s="997"/>
      <c r="AS519" s="997"/>
      <c r="AT519" s="997"/>
      <c r="AU519" s="997"/>
      <c r="AV519" s="997"/>
      <c r="AW519" s="997"/>
      <c r="AX519" s="997"/>
      <c r="AY519" s="997"/>
      <c r="AZ519" s="997"/>
      <c r="BA519" s="997"/>
      <c r="BB519" s="997"/>
      <c r="BC519" s="997"/>
      <c r="BD519" s="997"/>
      <c r="BE519" s="997"/>
      <c r="BF519" s="997"/>
      <c r="BG519" s="997"/>
      <c r="BH519" s="997"/>
      <c r="BI519" s="997"/>
      <c r="BJ519" s="997"/>
      <c r="BK519" s="997"/>
      <c r="BL519" s="997"/>
    </row>
    <row r="520" spans="1:64">
      <c r="A520" s="1823"/>
      <c r="B520" s="1068"/>
      <c r="C520" s="1820"/>
      <c r="D520" s="1846"/>
      <c r="E520" s="1846"/>
      <c r="F520" s="1068"/>
      <c r="G520" s="1101"/>
      <c r="H520" s="1846"/>
      <c r="I520" s="1021"/>
      <c r="J520" s="1846"/>
      <c r="K520" s="1846"/>
      <c r="L520" s="1846"/>
    </row>
    <row r="521" spans="1:64">
      <c r="A521" s="1823"/>
      <c r="B521" s="1098" t="s">
        <v>1180</v>
      </c>
      <c r="C521" s="1816" t="s">
        <v>483</v>
      </c>
      <c r="D521" s="1846"/>
      <c r="E521" s="1846"/>
      <c r="F521" s="1068"/>
      <c r="G521" s="1102"/>
      <c r="H521" s="1846"/>
      <c r="I521" s="1021"/>
      <c r="J521" s="1846"/>
      <c r="K521" s="1846"/>
      <c r="L521" s="1846"/>
    </row>
    <row r="522" spans="1:64">
      <c r="A522" s="1823"/>
      <c r="B522" s="1823"/>
      <c r="C522" s="1817" t="s">
        <v>1181</v>
      </c>
      <c r="D522" s="1018">
        <v>1</v>
      </c>
      <c r="E522" s="1002" t="s">
        <v>484</v>
      </c>
      <c r="F522" s="1093">
        <f>$I$519</f>
        <v>9105.81178</v>
      </c>
      <c r="G522" s="1020">
        <v>1</v>
      </c>
      <c r="H522" s="1002" t="s">
        <v>484</v>
      </c>
      <c r="I522" s="1001">
        <f t="shared" ref="I522:I525" si="74">IF(G522="",D522*F522,(D522*F522/G522))</f>
        <v>9105.81178</v>
      </c>
      <c r="J522" s="1002"/>
      <c r="K522" s="1018"/>
      <c r="L522" s="1002"/>
      <c r="M522" s="1003"/>
      <c r="N522" s="1003"/>
      <c r="O522" s="1003"/>
      <c r="P522" s="1003"/>
      <c r="Q522" s="1003"/>
      <c r="R522" s="1003"/>
      <c r="S522" s="1003"/>
      <c r="T522" s="1003"/>
      <c r="U522" s="1003"/>
      <c r="V522" s="1003"/>
      <c r="W522" s="1003"/>
      <c r="X522" s="1003"/>
      <c r="Y522" s="1003"/>
      <c r="Z522" s="1003"/>
      <c r="AA522" s="1003"/>
      <c r="AB522" s="1003"/>
      <c r="AC522" s="1003"/>
      <c r="AD522" s="1003"/>
      <c r="AE522" s="1003"/>
      <c r="AF522" s="1003"/>
      <c r="AG522" s="1003"/>
      <c r="AH522" s="1003"/>
      <c r="AI522" s="1003"/>
      <c r="AJ522" s="1003"/>
      <c r="AK522" s="1003"/>
      <c r="AL522" s="1003"/>
      <c r="AM522" s="1003"/>
      <c r="AN522" s="1003"/>
      <c r="AO522" s="1003"/>
      <c r="AP522" s="1003"/>
      <c r="AQ522" s="1003"/>
      <c r="AR522" s="1003"/>
      <c r="AS522" s="1003"/>
      <c r="AT522" s="1003"/>
      <c r="AU522" s="1003"/>
      <c r="AV522" s="1003"/>
      <c r="AW522" s="1003"/>
      <c r="AX522" s="1003"/>
      <c r="AY522" s="1003"/>
      <c r="AZ522" s="1003"/>
      <c r="BA522" s="1003"/>
      <c r="BB522" s="1003"/>
      <c r="BC522" s="1003"/>
      <c r="BD522" s="1003"/>
      <c r="BE522" s="1003"/>
      <c r="BF522" s="1003"/>
      <c r="BG522" s="1003"/>
      <c r="BH522" s="1003"/>
      <c r="BI522" s="1003"/>
      <c r="BJ522" s="1003"/>
      <c r="BK522" s="1003"/>
      <c r="BL522" s="1003"/>
    </row>
    <row r="523" spans="1:64">
      <c r="A523" s="1823"/>
      <c r="B523" s="1823"/>
      <c r="C523" s="1817" t="s">
        <v>1240</v>
      </c>
      <c r="D523" s="1018">
        <v>1</v>
      </c>
      <c r="E523" s="1002" t="s">
        <v>484</v>
      </c>
      <c r="F523" s="1093">
        <f>'Civil-SOR'!$F$257</f>
        <v>325</v>
      </c>
      <c r="G523" s="1020">
        <v>1</v>
      </c>
      <c r="H523" s="1002" t="s">
        <v>484</v>
      </c>
      <c r="I523" s="1001">
        <f t="shared" si="74"/>
        <v>325</v>
      </c>
      <c r="J523" s="1002"/>
      <c r="K523" s="1018"/>
      <c r="L523" s="1002"/>
      <c r="M523" s="1003"/>
      <c r="N523" s="1003"/>
      <c r="O523" s="1003"/>
      <c r="P523" s="1003"/>
      <c r="Q523" s="1003"/>
      <c r="R523" s="1003"/>
      <c r="S523" s="1003"/>
      <c r="T523" s="1003"/>
      <c r="U523" s="1003"/>
      <c r="V523" s="1003"/>
      <c r="W523" s="1003"/>
      <c r="X523" s="1003"/>
      <c r="Y523" s="1003"/>
      <c r="Z523" s="1003"/>
      <c r="AA523" s="1003"/>
      <c r="AB523" s="1003"/>
      <c r="AC523" s="1003"/>
      <c r="AD523" s="1003"/>
      <c r="AE523" s="1003"/>
      <c r="AF523" s="1003"/>
      <c r="AG523" s="1003"/>
      <c r="AH523" s="1003"/>
      <c r="AI523" s="1003"/>
      <c r="AJ523" s="1003"/>
      <c r="AK523" s="1003"/>
      <c r="AL523" s="1003"/>
      <c r="AM523" s="1003"/>
      <c r="AN523" s="1003"/>
      <c r="AO523" s="1003"/>
      <c r="AP523" s="1003"/>
      <c r="AQ523" s="1003"/>
      <c r="AR523" s="1003"/>
      <c r="AS523" s="1003"/>
      <c r="AT523" s="1003"/>
      <c r="AU523" s="1003"/>
      <c r="AV523" s="1003"/>
      <c r="AW523" s="1003"/>
      <c r="AX523" s="1003"/>
      <c r="AY523" s="1003"/>
      <c r="AZ523" s="1003"/>
      <c r="BA523" s="1003"/>
      <c r="BB523" s="1003"/>
      <c r="BC523" s="1003"/>
      <c r="BD523" s="1003"/>
      <c r="BE523" s="1003"/>
      <c r="BF523" s="1003"/>
      <c r="BG523" s="1003"/>
      <c r="BH523" s="1003"/>
      <c r="BI523" s="1003"/>
      <c r="BJ523" s="1003"/>
      <c r="BK523" s="1003"/>
      <c r="BL523" s="1003"/>
    </row>
    <row r="524" spans="1:64">
      <c r="A524" s="1823"/>
      <c r="B524" s="1823"/>
      <c r="C524" s="1817" t="s">
        <v>1183</v>
      </c>
      <c r="D524" s="1018">
        <v>1</v>
      </c>
      <c r="E524" s="1002" t="s">
        <v>484</v>
      </c>
      <c r="F524" s="1093">
        <f>'Civil-SOR'!$G$257</f>
        <v>760</v>
      </c>
      <c r="G524" s="1020">
        <v>1</v>
      </c>
      <c r="H524" s="1002" t="s">
        <v>484</v>
      </c>
      <c r="I524" s="1001">
        <f t="shared" si="74"/>
        <v>760</v>
      </c>
      <c r="J524" s="1002"/>
      <c r="K524" s="1018"/>
      <c r="L524" s="1002"/>
      <c r="M524" s="1003"/>
      <c r="N524" s="1003"/>
      <c r="O524" s="1003"/>
      <c r="P524" s="1003"/>
      <c r="Q524" s="1003"/>
      <c r="R524" s="1003"/>
      <c r="S524" s="1003"/>
      <c r="T524" s="1003"/>
      <c r="U524" s="1003"/>
      <c r="V524" s="1003"/>
      <c r="W524" s="1003"/>
      <c r="X524" s="1003"/>
      <c r="Y524" s="1003"/>
      <c r="Z524" s="1003"/>
      <c r="AA524" s="1003"/>
      <c r="AB524" s="1003"/>
      <c r="AC524" s="1003"/>
      <c r="AD524" s="1003"/>
      <c r="AE524" s="1003"/>
      <c r="AF524" s="1003"/>
      <c r="AG524" s="1003"/>
      <c r="AH524" s="1003"/>
      <c r="AI524" s="1003"/>
      <c r="AJ524" s="1003"/>
      <c r="AK524" s="1003"/>
      <c r="AL524" s="1003"/>
      <c r="AM524" s="1003"/>
      <c r="AN524" s="1003"/>
      <c r="AO524" s="1003"/>
      <c r="AP524" s="1003"/>
      <c r="AQ524" s="1003"/>
      <c r="AR524" s="1003"/>
      <c r="AS524" s="1003"/>
      <c r="AT524" s="1003"/>
      <c r="AU524" s="1003"/>
      <c r="AV524" s="1003"/>
      <c r="AW524" s="1003"/>
      <c r="AX524" s="1003"/>
      <c r="AY524" s="1003"/>
      <c r="AZ524" s="1003"/>
      <c r="BA524" s="1003"/>
      <c r="BB524" s="1003"/>
      <c r="BC524" s="1003"/>
      <c r="BD524" s="1003"/>
      <c r="BE524" s="1003"/>
      <c r="BF524" s="1003"/>
      <c r="BG524" s="1003"/>
      <c r="BH524" s="1003"/>
      <c r="BI524" s="1003"/>
      <c r="BJ524" s="1003"/>
      <c r="BK524" s="1003"/>
      <c r="BL524" s="1003"/>
    </row>
    <row r="525" spans="1:64">
      <c r="A525" s="1823"/>
      <c r="B525" s="1823"/>
      <c r="C525" s="1817" t="str">
        <f>Input!$C$47</f>
        <v>Add for MA @ 40%</v>
      </c>
      <c r="D525" s="1018">
        <f>Input!$D$47</f>
        <v>0.4</v>
      </c>
      <c r="E525" s="1002"/>
      <c r="F525" s="1093">
        <f>I524</f>
        <v>760</v>
      </c>
      <c r="G525" s="1020"/>
      <c r="H525" s="1002"/>
      <c r="I525" s="1001">
        <f t="shared" si="74"/>
        <v>304</v>
      </c>
      <c r="J525" s="1002"/>
      <c r="K525" s="1018"/>
      <c r="L525" s="1002"/>
      <c r="M525" s="1003"/>
      <c r="N525" s="1003"/>
      <c r="O525" s="1003"/>
      <c r="P525" s="1003"/>
      <c r="Q525" s="1003"/>
      <c r="R525" s="1003"/>
      <c r="S525" s="1003"/>
      <c r="T525" s="1003"/>
      <c r="U525" s="1003"/>
      <c r="V525" s="1003"/>
      <c r="W525" s="1003"/>
      <c r="X525" s="1003"/>
      <c r="Y525" s="1003"/>
      <c r="Z525" s="1003"/>
      <c r="AA525" s="1003"/>
      <c r="AB525" s="1003"/>
      <c r="AC525" s="1003"/>
      <c r="AD525" s="1003"/>
      <c r="AE525" s="1003"/>
      <c r="AF525" s="1003"/>
      <c r="AG525" s="1003"/>
      <c r="AH525" s="1003"/>
      <c r="AI525" s="1003"/>
      <c r="AJ525" s="1003"/>
      <c r="AK525" s="1003"/>
      <c r="AL525" s="1003"/>
      <c r="AM525" s="1003"/>
      <c r="AN525" s="1003"/>
      <c r="AO525" s="1003"/>
      <c r="AP525" s="1003"/>
      <c r="AQ525" s="1003"/>
      <c r="AR525" s="1003"/>
      <c r="AS525" s="1003"/>
      <c r="AT525" s="1003"/>
      <c r="AU525" s="1003"/>
      <c r="AV525" s="1003"/>
      <c r="AW525" s="1003"/>
      <c r="AX525" s="1003"/>
      <c r="AY525" s="1003"/>
      <c r="AZ525" s="1003"/>
      <c r="BA525" s="1003"/>
      <c r="BB525" s="1003"/>
      <c r="BC525" s="1003"/>
      <c r="BD525" s="1003"/>
      <c r="BE525" s="1003"/>
      <c r="BF525" s="1003"/>
      <c r="BG525" s="1003"/>
      <c r="BH525" s="1003"/>
      <c r="BI525" s="1003"/>
      <c r="BJ525" s="1003"/>
      <c r="BK525" s="1003"/>
      <c r="BL525" s="1003"/>
    </row>
    <row r="526" spans="1:64">
      <c r="A526" s="1823"/>
      <c r="B526" s="1823"/>
      <c r="C526" s="1817"/>
      <c r="D526" s="1018"/>
      <c r="E526" s="1002"/>
      <c r="F526" s="1093"/>
      <c r="G526" s="1020"/>
      <c r="H526" s="1002"/>
      <c r="I526" s="1093">
        <f>SUM(I522:I525)</f>
        <v>10494.81178</v>
      </c>
      <c r="J526" s="1002"/>
      <c r="K526" s="1018"/>
      <c r="L526" s="1002"/>
      <c r="M526" s="1003"/>
      <c r="N526" s="1003"/>
      <c r="O526" s="1003"/>
      <c r="P526" s="1003"/>
      <c r="Q526" s="1003"/>
      <c r="R526" s="1003"/>
      <c r="S526" s="1003"/>
      <c r="T526" s="1003"/>
      <c r="U526" s="1003"/>
      <c r="V526" s="1003"/>
      <c r="W526" s="1003"/>
      <c r="X526" s="1003"/>
      <c r="Y526" s="1003"/>
      <c r="Z526" s="1003"/>
      <c r="AA526" s="1003"/>
      <c r="AB526" s="1003"/>
      <c r="AC526" s="1003"/>
      <c r="AD526" s="1003"/>
      <c r="AE526" s="1003"/>
      <c r="AF526" s="1003"/>
      <c r="AG526" s="1003"/>
      <c r="AH526" s="1003"/>
      <c r="AI526" s="1003"/>
      <c r="AJ526" s="1003"/>
      <c r="AK526" s="1003"/>
      <c r="AL526" s="1003"/>
      <c r="AM526" s="1003"/>
      <c r="AN526" s="1003"/>
      <c r="AO526" s="1003"/>
      <c r="AP526" s="1003"/>
      <c r="AQ526" s="1003"/>
      <c r="AR526" s="1003"/>
      <c r="AS526" s="1003"/>
      <c r="AT526" s="1003"/>
      <c r="AU526" s="1003"/>
      <c r="AV526" s="1003"/>
      <c r="AW526" s="1003"/>
      <c r="AX526" s="1003"/>
      <c r="AY526" s="1003"/>
      <c r="AZ526" s="1003"/>
      <c r="BA526" s="1003"/>
      <c r="BB526" s="1003"/>
      <c r="BC526" s="1003"/>
      <c r="BD526" s="1003"/>
      <c r="BE526" s="1003"/>
      <c r="BF526" s="1003"/>
      <c r="BG526" s="1003"/>
      <c r="BH526" s="1003"/>
      <c r="BI526" s="1003"/>
      <c r="BJ526" s="1003"/>
      <c r="BK526" s="1003"/>
      <c r="BL526" s="1003"/>
    </row>
    <row r="527" spans="1:64">
      <c r="A527" s="1823"/>
      <c r="B527" s="1823"/>
      <c r="C527" s="1817" t="str">
        <f>Input!$C$48</f>
        <v>Overheads &amp; Contractors Profit @ 13.615%</v>
      </c>
      <c r="D527" s="1103">
        <f>Input!$D$48</f>
        <v>0.13614999999999999</v>
      </c>
      <c r="E527" s="1002"/>
      <c r="F527" s="1093">
        <f>I526</f>
        <v>10494.81178</v>
      </c>
      <c r="G527" s="1020"/>
      <c r="H527" s="1104"/>
      <c r="I527" s="1001">
        <f>IF(G527="",D527*F527,(D527*F527/G527))</f>
        <v>1428.868623847</v>
      </c>
      <c r="J527" s="1002"/>
      <c r="K527" s="1018"/>
      <c r="L527" s="1002"/>
      <c r="M527" s="1003"/>
      <c r="N527" s="1003"/>
      <c r="O527" s="1003"/>
      <c r="P527" s="1003"/>
      <c r="Q527" s="1003"/>
      <c r="R527" s="1003"/>
      <c r="S527" s="1003"/>
      <c r="T527" s="1003"/>
      <c r="U527" s="1003"/>
      <c r="V527" s="1003"/>
      <c r="W527" s="1003"/>
      <c r="X527" s="1003"/>
      <c r="Y527" s="1003"/>
      <c r="Z527" s="1003"/>
      <c r="AA527" s="1003"/>
      <c r="AB527" s="1003"/>
      <c r="AC527" s="1003"/>
      <c r="AD527" s="1003"/>
      <c r="AE527" s="1003"/>
      <c r="AF527" s="1003"/>
      <c r="AG527" s="1003"/>
      <c r="AH527" s="1003"/>
      <c r="AI527" s="1003"/>
      <c r="AJ527" s="1003"/>
      <c r="AK527" s="1003"/>
      <c r="AL527" s="1003"/>
      <c r="AM527" s="1003"/>
      <c r="AN527" s="1003"/>
      <c r="AO527" s="1003"/>
      <c r="AP527" s="1003"/>
      <c r="AQ527" s="1003"/>
      <c r="AR527" s="1003"/>
      <c r="AS527" s="1003"/>
      <c r="AT527" s="1003"/>
      <c r="AU527" s="1003"/>
      <c r="AV527" s="1003"/>
      <c r="AW527" s="1003"/>
      <c r="AX527" s="1003"/>
      <c r="AY527" s="1003"/>
      <c r="AZ527" s="1003"/>
      <c r="BA527" s="1003"/>
      <c r="BB527" s="1003"/>
      <c r="BC527" s="1003"/>
      <c r="BD527" s="1003"/>
      <c r="BE527" s="1003"/>
      <c r="BF527" s="1003"/>
      <c r="BG527" s="1003"/>
      <c r="BH527" s="1003"/>
      <c r="BI527" s="1003"/>
      <c r="BJ527" s="1003"/>
      <c r="BK527" s="1003"/>
      <c r="BL527" s="1003"/>
    </row>
    <row r="528" spans="1:64">
      <c r="A528" s="1823"/>
      <c r="B528" s="1823"/>
      <c r="C528" s="1816" t="s">
        <v>1032</v>
      </c>
      <c r="D528" s="1002"/>
      <c r="E528" s="1002"/>
      <c r="F528" s="1823"/>
      <c r="G528" s="1020"/>
      <c r="H528" s="1104"/>
      <c r="I528" s="1093">
        <f>SUM(I526:I527)</f>
        <v>11923.680403847</v>
      </c>
      <c r="J528" s="1002"/>
      <c r="K528" s="1018"/>
      <c r="L528" s="1002"/>
      <c r="M528" s="1003"/>
      <c r="N528" s="1003"/>
      <c r="O528" s="1003"/>
      <c r="P528" s="1003"/>
      <c r="Q528" s="1003"/>
      <c r="R528" s="1003"/>
      <c r="S528" s="1003"/>
      <c r="T528" s="1003"/>
      <c r="U528" s="1003"/>
      <c r="V528" s="1003"/>
      <c r="W528" s="1003"/>
      <c r="X528" s="1003"/>
      <c r="Y528" s="1003"/>
      <c r="Z528" s="1003"/>
      <c r="AA528" s="1003"/>
      <c r="AB528" s="1003"/>
      <c r="AC528" s="1003"/>
      <c r="AD528" s="1003"/>
      <c r="AE528" s="1003"/>
      <c r="AF528" s="1003"/>
      <c r="AG528" s="1003"/>
      <c r="AH528" s="1003"/>
      <c r="AI528" s="1003"/>
      <c r="AJ528" s="1003"/>
      <c r="AK528" s="1003"/>
      <c r="AL528" s="1003"/>
      <c r="AM528" s="1003"/>
      <c r="AN528" s="1003"/>
      <c r="AO528" s="1003"/>
      <c r="AP528" s="1003"/>
      <c r="AQ528" s="1003"/>
      <c r="AR528" s="1003"/>
      <c r="AS528" s="1003"/>
      <c r="AT528" s="1003"/>
      <c r="AU528" s="1003"/>
      <c r="AV528" s="1003"/>
      <c r="AW528" s="1003"/>
      <c r="AX528" s="1003"/>
      <c r="AY528" s="1003"/>
      <c r="AZ528" s="1003"/>
      <c r="BA528" s="1003"/>
      <c r="BB528" s="1003"/>
      <c r="BC528" s="1003"/>
      <c r="BD528" s="1003"/>
      <c r="BE528" s="1003"/>
      <c r="BF528" s="1003"/>
      <c r="BG528" s="1003"/>
      <c r="BH528" s="1003"/>
      <c r="BI528" s="1003"/>
      <c r="BJ528" s="1003"/>
      <c r="BK528" s="1003"/>
      <c r="BL528" s="1003"/>
    </row>
    <row r="529" spans="1:64">
      <c r="A529" s="1823"/>
      <c r="B529" s="1068"/>
      <c r="C529" s="1846"/>
      <c r="D529" s="1846"/>
      <c r="E529" s="1846"/>
      <c r="F529" s="1068"/>
      <c r="G529" s="1105"/>
      <c r="H529" s="1077" t="s">
        <v>1065</v>
      </c>
      <c r="I529" s="1011">
        <f>ROUND(I528,0)</f>
        <v>11924</v>
      </c>
      <c r="J529" s="1846"/>
      <c r="K529" s="1096"/>
      <c r="L529" s="1846"/>
    </row>
    <row r="530" spans="1:64">
      <c r="A530" s="1823"/>
      <c r="B530" s="1068"/>
      <c r="C530" s="1816"/>
      <c r="D530" s="1846"/>
      <c r="E530" s="1846"/>
      <c r="F530" s="1068"/>
      <c r="G530" s="1105"/>
      <c r="H530" s="1079"/>
      <c r="I530" s="1011"/>
      <c r="J530" s="1846"/>
      <c r="K530" s="1846"/>
      <c r="L530" s="1846"/>
    </row>
    <row r="531" spans="1:64">
      <c r="A531" s="1823"/>
      <c r="B531" s="1831" t="s">
        <v>1184</v>
      </c>
      <c r="C531" s="1816" t="s">
        <v>1185</v>
      </c>
      <c r="D531" s="1002"/>
      <c r="E531" s="1002"/>
      <c r="F531" s="1823"/>
      <c r="G531" s="1774"/>
      <c r="H531" s="1002"/>
      <c r="I531" s="1093"/>
      <c r="J531" s="1002"/>
      <c r="K531" s="1002"/>
      <c r="L531" s="1002"/>
      <c r="M531" s="1003"/>
      <c r="N531" s="1003"/>
      <c r="O531" s="1003"/>
      <c r="P531" s="1003"/>
      <c r="Q531" s="1003"/>
      <c r="R531" s="1003"/>
      <c r="S531" s="1003"/>
      <c r="T531" s="1003"/>
      <c r="U531" s="1003"/>
      <c r="V531" s="1003"/>
      <c r="W531" s="1003"/>
      <c r="X531" s="1003"/>
      <c r="Y531" s="1003"/>
      <c r="Z531" s="1003"/>
      <c r="AA531" s="1003"/>
      <c r="AB531" s="1003"/>
      <c r="AC531" s="1003"/>
      <c r="AD531" s="1003"/>
      <c r="AE531" s="1003"/>
      <c r="AF531" s="1003"/>
      <c r="AG531" s="1003"/>
      <c r="AH531" s="1003"/>
      <c r="AI531" s="1003"/>
      <c r="AJ531" s="1003"/>
      <c r="AK531" s="1003"/>
      <c r="AL531" s="1003"/>
      <c r="AM531" s="1003"/>
      <c r="AN531" s="1003"/>
      <c r="AO531" s="1003"/>
      <c r="AP531" s="1003"/>
      <c r="AQ531" s="1003"/>
      <c r="AR531" s="1003"/>
      <c r="AS531" s="1003"/>
      <c r="AT531" s="1003"/>
      <c r="AU531" s="1003"/>
      <c r="AV531" s="1003"/>
      <c r="AW531" s="1003"/>
      <c r="AX531" s="1003"/>
      <c r="AY531" s="1003"/>
      <c r="AZ531" s="1003"/>
      <c r="BA531" s="1003"/>
      <c r="BB531" s="1003"/>
      <c r="BC531" s="1003"/>
      <c r="BD531" s="1003"/>
      <c r="BE531" s="1003"/>
      <c r="BF531" s="1003"/>
      <c r="BG531" s="1003"/>
      <c r="BH531" s="1003"/>
      <c r="BI531" s="1003"/>
      <c r="BJ531" s="1003"/>
      <c r="BK531" s="1003"/>
      <c r="BL531" s="1003"/>
    </row>
    <row r="532" spans="1:64">
      <c r="A532" s="1823"/>
      <c r="B532" s="1823"/>
      <c r="C532" s="1817" t="s">
        <v>1181</v>
      </c>
      <c r="D532" s="1018">
        <v>1</v>
      </c>
      <c r="E532" s="1002" t="s">
        <v>484</v>
      </c>
      <c r="F532" s="1093">
        <f>$I$519</f>
        <v>9105.81178</v>
      </c>
      <c r="G532" s="1020">
        <v>1</v>
      </c>
      <c r="H532" s="1002" t="s">
        <v>484</v>
      </c>
      <c r="I532" s="1001">
        <f t="shared" ref="I532:I535" si="75">IF(G532="",D532*F532,(D532*F532/G532))</f>
        <v>9105.81178</v>
      </c>
      <c r="J532" s="1002"/>
      <c r="K532" s="1002"/>
      <c r="L532" s="1002"/>
      <c r="M532" s="1003"/>
      <c r="N532" s="1003"/>
      <c r="O532" s="1003"/>
      <c r="P532" s="1003"/>
      <c r="Q532" s="1003"/>
      <c r="R532" s="1003"/>
      <c r="S532" s="1003"/>
      <c r="T532" s="1003"/>
      <c r="U532" s="1003"/>
      <c r="V532" s="1003"/>
      <c r="W532" s="1003"/>
      <c r="X532" s="1003"/>
      <c r="Y532" s="1003"/>
      <c r="Z532" s="1003"/>
      <c r="AA532" s="1003"/>
      <c r="AB532" s="1003"/>
      <c r="AC532" s="1003"/>
      <c r="AD532" s="1003"/>
      <c r="AE532" s="1003"/>
      <c r="AF532" s="1003"/>
      <c r="AG532" s="1003"/>
      <c r="AH532" s="1003"/>
      <c r="AI532" s="1003"/>
      <c r="AJ532" s="1003"/>
      <c r="AK532" s="1003"/>
      <c r="AL532" s="1003"/>
      <c r="AM532" s="1003"/>
      <c r="AN532" s="1003"/>
      <c r="AO532" s="1003"/>
      <c r="AP532" s="1003"/>
      <c r="AQ532" s="1003"/>
      <c r="AR532" s="1003"/>
      <c r="AS532" s="1003"/>
      <c r="AT532" s="1003"/>
      <c r="AU532" s="1003"/>
      <c r="AV532" s="1003"/>
      <c r="AW532" s="1003"/>
      <c r="AX532" s="1003"/>
      <c r="AY532" s="1003"/>
      <c r="AZ532" s="1003"/>
      <c r="BA532" s="1003"/>
      <c r="BB532" s="1003"/>
      <c r="BC532" s="1003"/>
      <c r="BD532" s="1003"/>
      <c r="BE532" s="1003"/>
      <c r="BF532" s="1003"/>
      <c r="BG532" s="1003"/>
      <c r="BH532" s="1003"/>
      <c r="BI532" s="1003"/>
      <c r="BJ532" s="1003"/>
      <c r="BK532" s="1003"/>
      <c r="BL532" s="1003"/>
    </row>
    <row r="533" spans="1:64">
      <c r="A533" s="1823"/>
      <c r="B533" s="1823"/>
      <c r="C533" s="1817" t="s">
        <v>1182</v>
      </c>
      <c r="D533" s="1018">
        <v>1</v>
      </c>
      <c r="E533" s="1002" t="s">
        <v>484</v>
      </c>
      <c r="F533" s="1093">
        <f>'Civil-SOR'!$F$259</f>
        <v>369</v>
      </c>
      <c r="G533" s="1020">
        <v>1</v>
      </c>
      <c r="H533" s="1002" t="s">
        <v>484</v>
      </c>
      <c r="I533" s="1001">
        <f t="shared" si="75"/>
        <v>369</v>
      </c>
      <c r="J533" s="1002"/>
      <c r="K533" s="1002"/>
      <c r="L533" s="1002"/>
      <c r="M533" s="1003"/>
      <c r="N533" s="1003"/>
      <c r="O533" s="1003"/>
      <c r="P533" s="1003"/>
      <c r="Q533" s="1003"/>
      <c r="R533" s="1003"/>
      <c r="S533" s="1003"/>
      <c r="T533" s="1003"/>
      <c r="U533" s="1003"/>
      <c r="V533" s="1003"/>
      <c r="W533" s="1003"/>
      <c r="X533" s="1003"/>
      <c r="Y533" s="1003"/>
      <c r="Z533" s="1003"/>
      <c r="AA533" s="1003"/>
      <c r="AB533" s="1003"/>
      <c r="AC533" s="1003"/>
      <c r="AD533" s="1003"/>
      <c r="AE533" s="1003"/>
      <c r="AF533" s="1003"/>
      <c r="AG533" s="1003"/>
      <c r="AH533" s="1003"/>
      <c r="AI533" s="1003"/>
      <c r="AJ533" s="1003"/>
      <c r="AK533" s="1003"/>
      <c r="AL533" s="1003"/>
      <c r="AM533" s="1003"/>
      <c r="AN533" s="1003"/>
      <c r="AO533" s="1003"/>
      <c r="AP533" s="1003"/>
      <c r="AQ533" s="1003"/>
      <c r="AR533" s="1003"/>
      <c r="AS533" s="1003"/>
      <c r="AT533" s="1003"/>
      <c r="AU533" s="1003"/>
      <c r="AV533" s="1003"/>
      <c r="AW533" s="1003"/>
      <c r="AX533" s="1003"/>
      <c r="AY533" s="1003"/>
      <c r="AZ533" s="1003"/>
      <c r="BA533" s="1003"/>
      <c r="BB533" s="1003"/>
      <c r="BC533" s="1003"/>
      <c r="BD533" s="1003"/>
      <c r="BE533" s="1003"/>
      <c r="BF533" s="1003"/>
      <c r="BG533" s="1003"/>
      <c r="BH533" s="1003"/>
      <c r="BI533" s="1003"/>
      <c r="BJ533" s="1003"/>
      <c r="BK533" s="1003"/>
      <c r="BL533" s="1003"/>
    </row>
    <row r="534" spans="1:64">
      <c r="A534" s="1823"/>
      <c r="B534" s="1823"/>
      <c r="C534" s="1817" t="s">
        <v>1183</v>
      </c>
      <c r="D534" s="1018">
        <v>1</v>
      </c>
      <c r="E534" s="1002" t="s">
        <v>484</v>
      </c>
      <c r="F534" s="1093">
        <f>'Civil-SOR'!$G$259</f>
        <v>1209</v>
      </c>
      <c r="G534" s="1020">
        <v>1</v>
      </c>
      <c r="H534" s="1002" t="s">
        <v>484</v>
      </c>
      <c r="I534" s="1001">
        <f t="shared" si="75"/>
        <v>1209</v>
      </c>
      <c r="J534" s="1002"/>
      <c r="K534" s="1002"/>
      <c r="L534" s="1002"/>
      <c r="M534" s="1003"/>
      <c r="N534" s="1003"/>
      <c r="O534" s="1003"/>
      <c r="P534" s="1003"/>
      <c r="Q534" s="1003"/>
      <c r="R534" s="1003"/>
      <c r="S534" s="1003"/>
      <c r="T534" s="1003"/>
      <c r="U534" s="1003"/>
      <c r="V534" s="1003"/>
      <c r="W534" s="1003"/>
      <c r="X534" s="1003"/>
      <c r="Y534" s="1003"/>
      <c r="Z534" s="1003"/>
      <c r="AA534" s="1003"/>
      <c r="AB534" s="1003"/>
      <c r="AC534" s="1003"/>
      <c r="AD534" s="1003"/>
      <c r="AE534" s="1003"/>
      <c r="AF534" s="1003"/>
      <c r="AG534" s="1003"/>
      <c r="AH534" s="1003"/>
      <c r="AI534" s="1003"/>
      <c r="AJ534" s="1003"/>
      <c r="AK534" s="1003"/>
      <c r="AL534" s="1003"/>
      <c r="AM534" s="1003"/>
      <c r="AN534" s="1003"/>
      <c r="AO534" s="1003"/>
      <c r="AP534" s="1003"/>
      <c r="AQ534" s="1003"/>
      <c r="AR534" s="1003"/>
      <c r="AS534" s="1003"/>
      <c r="AT534" s="1003"/>
      <c r="AU534" s="1003"/>
      <c r="AV534" s="1003"/>
      <c r="AW534" s="1003"/>
      <c r="AX534" s="1003"/>
      <c r="AY534" s="1003"/>
      <c r="AZ534" s="1003"/>
      <c r="BA534" s="1003"/>
      <c r="BB534" s="1003"/>
      <c r="BC534" s="1003"/>
      <c r="BD534" s="1003"/>
      <c r="BE534" s="1003"/>
      <c r="BF534" s="1003"/>
      <c r="BG534" s="1003"/>
      <c r="BH534" s="1003"/>
      <c r="BI534" s="1003"/>
      <c r="BJ534" s="1003"/>
      <c r="BK534" s="1003"/>
      <c r="BL534" s="1003"/>
    </row>
    <row r="535" spans="1:64">
      <c r="A535" s="1823"/>
      <c r="B535" s="1823"/>
      <c r="C535" s="1817" t="str">
        <f>Input!$C$47</f>
        <v>Add for MA @ 40%</v>
      </c>
      <c r="D535" s="1018">
        <f>Input!$D$47</f>
        <v>0.4</v>
      </c>
      <c r="E535" s="1002"/>
      <c r="F535" s="1093">
        <f>I534</f>
        <v>1209</v>
      </c>
      <c r="G535" s="1020"/>
      <c r="H535" s="1002"/>
      <c r="I535" s="1001">
        <f t="shared" si="75"/>
        <v>483.6</v>
      </c>
      <c r="J535" s="1002"/>
      <c r="K535" s="1002"/>
      <c r="L535" s="1002"/>
      <c r="M535" s="1003"/>
      <c r="N535" s="1003"/>
      <c r="O535" s="1003"/>
      <c r="P535" s="1003"/>
      <c r="Q535" s="1003"/>
      <c r="R535" s="1003"/>
      <c r="S535" s="1003"/>
      <c r="T535" s="1003"/>
      <c r="U535" s="1003"/>
      <c r="V535" s="1003"/>
      <c r="W535" s="1003"/>
      <c r="X535" s="1003"/>
      <c r="Y535" s="1003"/>
      <c r="Z535" s="1003"/>
      <c r="AA535" s="1003"/>
      <c r="AB535" s="1003"/>
      <c r="AC535" s="1003"/>
      <c r="AD535" s="1003"/>
      <c r="AE535" s="1003"/>
      <c r="AF535" s="1003"/>
      <c r="AG535" s="1003"/>
      <c r="AH535" s="1003"/>
      <c r="AI535" s="1003"/>
      <c r="AJ535" s="1003"/>
      <c r="AK535" s="1003"/>
      <c r="AL535" s="1003"/>
      <c r="AM535" s="1003"/>
      <c r="AN535" s="1003"/>
      <c r="AO535" s="1003"/>
      <c r="AP535" s="1003"/>
      <c r="AQ535" s="1003"/>
      <c r="AR535" s="1003"/>
      <c r="AS535" s="1003"/>
      <c r="AT535" s="1003"/>
      <c r="AU535" s="1003"/>
      <c r="AV535" s="1003"/>
      <c r="AW535" s="1003"/>
      <c r="AX535" s="1003"/>
      <c r="AY535" s="1003"/>
      <c r="AZ535" s="1003"/>
      <c r="BA535" s="1003"/>
      <c r="BB535" s="1003"/>
      <c r="BC535" s="1003"/>
      <c r="BD535" s="1003"/>
      <c r="BE535" s="1003"/>
      <c r="BF535" s="1003"/>
      <c r="BG535" s="1003"/>
      <c r="BH535" s="1003"/>
      <c r="BI535" s="1003"/>
      <c r="BJ535" s="1003"/>
      <c r="BK535" s="1003"/>
      <c r="BL535" s="1003"/>
    </row>
    <row r="536" spans="1:64">
      <c r="A536" s="1823"/>
      <c r="B536" s="1823"/>
      <c r="C536" s="1817"/>
      <c r="D536" s="1018"/>
      <c r="E536" s="1002"/>
      <c r="F536" s="1093"/>
      <c r="G536" s="1020"/>
      <c r="H536" s="1002"/>
      <c r="I536" s="1001">
        <f>SUM(I532:I535)</f>
        <v>11167.41178</v>
      </c>
      <c r="J536" s="1002"/>
      <c r="K536" s="1002"/>
      <c r="L536" s="1002"/>
      <c r="M536" s="1003"/>
      <c r="N536" s="1003"/>
      <c r="O536" s="1003"/>
      <c r="P536" s="1003"/>
      <c r="Q536" s="1003"/>
      <c r="R536" s="1003"/>
      <c r="S536" s="1003"/>
      <c r="T536" s="1003"/>
      <c r="U536" s="1003"/>
      <c r="V536" s="1003"/>
      <c r="W536" s="1003"/>
      <c r="X536" s="1003"/>
      <c r="Y536" s="1003"/>
      <c r="Z536" s="1003"/>
      <c r="AA536" s="1003"/>
      <c r="AB536" s="1003"/>
      <c r="AC536" s="1003"/>
      <c r="AD536" s="1003"/>
      <c r="AE536" s="1003"/>
      <c r="AF536" s="1003"/>
      <c r="AG536" s="1003"/>
      <c r="AH536" s="1003"/>
      <c r="AI536" s="1003"/>
      <c r="AJ536" s="1003"/>
      <c r="AK536" s="1003"/>
      <c r="AL536" s="1003"/>
      <c r="AM536" s="1003"/>
      <c r="AN536" s="1003"/>
      <c r="AO536" s="1003"/>
      <c r="AP536" s="1003"/>
      <c r="AQ536" s="1003"/>
      <c r="AR536" s="1003"/>
      <c r="AS536" s="1003"/>
      <c r="AT536" s="1003"/>
      <c r="AU536" s="1003"/>
      <c r="AV536" s="1003"/>
      <c r="AW536" s="1003"/>
      <c r="AX536" s="1003"/>
      <c r="AY536" s="1003"/>
      <c r="AZ536" s="1003"/>
      <c r="BA536" s="1003"/>
      <c r="BB536" s="1003"/>
      <c r="BC536" s="1003"/>
      <c r="BD536" s="1003"/>
      <c r="BE536" s="1003"/>
      <c r="BF536" s="1003"/>
      <c r="BG536" s="1003"/>
      <c r="BH536" s="1003"/>
      <c r="BI536" s="1003"/>
      <c r="BJ536" s="1003"/>
      <c r="BK536" s="1003"/>
      <c r="BL536" s="1003"/>
    </row>
    <row r="537" spans="1:64">
      <c r="A537" s="1823"/>
      <c r="B537" s="1823"/>
      <c r="C537" s="1817" t="str">
        <f>Input!$C$48</f>
        <v>Overheads &amp; Contractors Profit @ 13.615%</v>
      </c>
      <c r="D537" s="1103">
        <f>Input!$D$48</f>
        <v>0.13614999999999999</v>
      </c>
      <c r="E537" s="1002"/>
      <c r="F537" s="1093">
        <f>I536</f>
        <v>11167.41178</v>
      </c>
      <c r="G537" s="1020"/>
      <c r="H537" s="1104"/>
      <c r="I537" s="1001">
        <f>IF(G537="",D537*F537,(D537*F537/G537))</f>
        <v>1520.4431138469999</v>
      </c>
      <c r="J537" s="1002"/>
      <c r="K537" s="1002"/>
      <c r="L537" s="1002"/>
      <c r="M537" s="1003"/>
      <c r="N537" s="1003"/>
      <c r="O537" s="1003"/>
      <c r="P537" s="1003"/>
      <c r="Q537" s="1003"/>
      <c r="R537" s="1003"/>
      <c r="S537" s="1003"/>
      <c r="T537" s="1003"/>
      <c r="U537" s="1003"/>
      <c r="V537" s="1003"/>
      <c r="W537" s="1003"/>
      <c r="X537" s="1003"/>
      <c r="Y537" s="1003"/>
      <c r="Z537" s="1003"/>
      <c r="AA537" s="1003"/>
      <c r="AB537" s="1003"/>
      <c r="AC537" s="1003"/>
      <c r="AD537" s="1003"/>
      <c r="AE537" s="1003"/>
      <c r="AF537" s="1003"/>
      <c r="AG537" s="1003"/>
      <c r="AH537" s="1003"/>
      <c r="AI537" s="1003"/>
      <c r="AJ537" s="1003"/>
      <c r="AK537" s="1003"/>
      <c r="AL537" s="1003"/>
      <c r="AM537" s="1003"/>
      <c r="AN537" s="1003"/>
      <c r="AO537" s="1003"/>
      <c r="AP537" s="1003"/>
      <c r="AQ537" s="1003"/>
      <c r="AR537" s="1003"/>
      <c r="AS537" s="1003"/>
      <c r="AT537" s="1003"/>
      <c r="AU537" s="1003"/>
      <c r="AV537" s="1003"/>
      <c r="AW537" s="1003"/>
      <c r="AX537" s="1003"/>
      <c r="AY537" s="1003"/>
      <c r="AZ537" s="1003"/>
      <c r="BA537" s="1003"/>
      <c r="BB537" s="1003"/>
      <c r="BC537" s="1003"/>
      <c r="BD537" s="1003"/>
      <c r="BE537" s="1003"/>
      <c r="BF537" s="1003"/>
      <c r="BG537" s="1003"/>
      <c r="BH537" s="1003"/>
      <c r="BI537" s="1003"/>
      <c r="BJ537" s="1003"/>
      <c r="BK537" s="1003"/>
      <c r="BL537" s="1003"/>
    </row>
    <row r="538" spans="1:64">
      <c r="A538" s="1823"/>
      <c r="B538" s="1823"/>
      <c r="C538" s="1816" t="s">
        <v>1032</v>
      </c>
      <c r="D538" s="1002"/>
      <c r="E538" s="1002"/>
      <c r="F538" s="1823"/>
      <c r="G538" s="1020"/>
      <c r="H538" s="1104"/>
      <c r="I538" s="1093">
        <f>SUM(I536:I537)</f>
        <v>12687.854893847001</v>
      </c>
      <c r="J538" s="1002"/>
      <c r="K538" s="1002"/>
      <c r="L538" s="1002"/>
      <c r="M538" s="1003"/>
      <c r="N538" s="1003"/>
      <c r="O538" s="1003"/>
      <c r="P538" s="1003"/>
      <c r="Q538" s="1003"/>
      <c r="R538" s="1003"/>
      <c r="S538" s="1003"/>
      <c r="T538" s="1003"/>
      <c r="U538" s="1003"/>
      <c r="V538" s="1003"/>
      <c r="W538" s="1003"/>
      <c r="X538" s="1003"/>
      <c r="Y538" s="1003"/>
      <c r="Z538" s="1003"/>
      <c r="AA538" s="1003"/>
      <c r="AB538" s="1003"/>
      <c r="AC538" s="1003"/>
      <c r="AD538" s="1003"/>
      <c r="AE538" s="1003"/>
      <c r="AF538" s="1003"/>
      <c r="AG538" s="1003"/>
      <c r="AH538" s="1003"/>
      <c r="AI538" s="1003"/>
      <c r="AJ538" s="1003"/>
      <c r="AK538" s="1003"/>
      <c r="AL538" s="1003"/>
      <c r="AM538" s="1003"/>
      <c r="AN538" s="1003"/>
      <c r="AO538" s="1003"/>
      <c r="AP538" s="1003"/>
      <c r="AQ538" s="1003"/>
      <c r="AR538" s="1003"/>
      <c r="AS538" s="1003"/>
      <c r="AT538" s="1003"/>
      <c r="AU538" s="1003"/>
      <c r="AV538" s="1003"/>
      <c r="AW538" s="1003"/>
      <c r="AX538" s="1003"/>
      <c r="AY538" s="1003"/>
      <c r="AZ538" s="1003"/>
      <c r="BA538" s="1003"/>
      <c r="BB538" s="1003"/>
      <c r="BC538" s="1003"/>
      <c r="BD538" s="1003"/>
      <c r="BE538" s="1003"/>
      <c r="BF538" s="1003"/>
      <c r="BG538" s="1003"/>
      <c r="BH538" s="1003"/>
      <c r="BI538" s="1003"/>
      <c r="BJ538" s="1003"/>
      <c r="BK538" s="1003"/>
      <c r="BL538" s="1003"/>
    </row>
    <row r="539" spans="1:64">
      <c r="A539" s="1823"/>
      <c r="B539" s="1068"/>
      <c r="C539" s="1846"/>
      <c r="D539" s="1846"/>
      <c r="E539" s="1846"/>
      <c r="F539" s="1068"/>
      <c r="G539" s="1105"/>
      <c r="H539" s="1077" t="s">
        <v>1065</v>
      </c>
      <c r="I539" s="1011">
        <f>ROUND(I538,0)</f>
        <v>12688</v>
      </c>
      <c r="J539" s="1846"/>
      <c r="K539" s="1846"/>
      <c r="L539" s="1846"/>
    </row>
    <row r="540" spans="1:64">
      <c r="A540" s="1823"/>
      <c r="B540" s="1068"/>
      <c r="C540" s="1817"/>
      <c r="D540" s="1846"/>
      <c r="E540" s="1846"/>
      <c r="F540" s="1068"/>
      <c r="G540" s="1101"/>
      <c r="H540" s="1846"/>
      <c r="I540" s="1021"/>
      <c r="J540" s="1846"/>
      <c r="K540" s="1846"/>
      <c r="L540" s="1846"/>
    </row>
    <row r="541" spans="1:64">
      <c r="A541" s="1823"/>
      <c r="B541" s="1831" t="s">
        <v>1186</v>
      </c>
      <c r="C541" s="1816" t="s">
        <v>1187</v>
      </c>
      <c r="D541" s="1002"/>
      <c r="E541" s="1002"/>
      <c r="F541" s="1823"/>
      <c r="G541" s="1774"/>
      <c r="H541" s="1002"/>
      <c r="I541" s="1093"/>
      <c r="J541" s="1002"/>
      <c r="K541" s="1002"/>
      <c r="L541" s="1002"/>
      <c r="M541" s="1003"/>
      <c r="N541" s="1003"/>
      <c r="O541" s="1003"/>
      <c r="P541" s="1003"/>
      <c r="Q541" s="1003"/>
      <c r="R541" s="1003"/>
      <c r="S541" s="1003"/>
      <c r="T541" s="1003"/>
      <c r="U541" s="1003"/>
      <c r="V541" s="1003"/>
      <c r="W541" s="1003"/>
      <c r="X541" s="1003"/>
      <c r="Y541" s="1003"/>
      <c r="Z541" s="1003"/>
      <c r="AA541" s="1003"/>
      <c r="AB541" s="1003"/>
      <c r="AC541" s="1003"/>
      <c r="AD541" s="1003"/>
      <c r="AE541" s="1003"/>
      <c r="AF541" s="1003"/>
      <c r="AG541" s="1003"/>
      <c r="AH541" s="1003"/>
      <c r="AI541" s="1003"/>
      <c r="AJ541" s="1003"/>
      <c r="AK541" s="1003"/>
      <c r="AL541" s="1003"/>
      <c r="AM541" s="1003"/>
      <c r="AN541" s="1003"/>
      <c r="AO541" s="1003"/>
      <c r="AP541" s="1003"/>
      <c r="AQ541" s="1003"/>
      <c r="AR541" s="1003"/>
      <c r="AS541" s="1003"/>
      <c r="AT541" s="1003"/>
      <c r="AU541" s="1003"/>
      <c r="AV541" s="1003"/>
      <c r="AW541" s="1003"/>
      <c r="AX541" s="1003"/>
      <c r="AY541" s="1003"/>
      <c r="AZ541" s="1003"/>
      <c r="BA541" s="1003"/>
      <c r="BB541" s="1003"/>
      <c r="BC541" s="1003"/>
      <c r="BD541" s="1003"/>
      <c r="BE541" s="1003"/>
      <c r="BF541" s="1003"/>
      <c r="BG541" s="1003"/>
      <c r="BH541" s="1003"/>
      <c r="BI541" s="1003"/>
      <c r="BJ541" s="1003"/>
      <c r="BK541" s="1003"/>
      <c r="BL541" s="1003"/>
    </row>
    <row r="542" spans="1:64">
      <c r="A542" s="1823"/>
      <c r="B542" s="1823"/>
      <c r="C542" s="1817" t="s">
        <v>1181</v>
      </c>
      <c r="D542" s="1018">
        <v>1</v>
      </c>
      <c r="E542" s="1002" t="s">
        <v>484</v>
      </c>
      <c r="F542" s="1093">
        <f>$I$519</f>
        <v>9105.81178</v>
      </c>
      <c r="G542" s="1020">
        <v>1</v>
      </c>
      <c r="H542" s="1002" t="s">
        <v>484</v>
      </c>
      <c r="I542" s="1001">
        <f t="shared" ref="I542:I545" si="76">IF(G542="",D542*F542,(D542*F542/G542))</f>
        <v>9105.81178</v>
      </c>
      <c r="J542" s="1002"/>
      <c r="K542" s="1002"/>
      <c r="L542" s="1002"/>
      <c r="M542" s="1003"/>
      <c r="N542" s="1003"/>
      <c r="O542" s="1003"/>
      <c r="P542" s="1003"/>
      <c r="Q542" s="1003"/>
      <c r="R542" s="1003"/>
      <c r="S542" s="1003"/>
      <c r="T542" s="1003"/>
      <c r="U542" s="1003"/>
      <c r="V542" s="1003"/>
      <c r="W542" s="1003"/>
      <c r="X542" s="1003"/>
      <c r="Y542" s="1003"/>
      <c r="Z542" s="1003"/>
      <c r="AA542" s="1003"/>
      <c r="AB542" s="1003"/>
      <c r="AC542" s="1003"/>
      <c r="AD542" s="1003"/>
      <c r="AE542" s="1003"/>
      <c r="AF542" s="1003"/>
      <c r="AG542" s="1003"/>
      <c r="AH542" s="1003"/>
      <c r="AI542" s="1003"/>
      <c r="AJ542" s="1003"/>
      <c r="AK542" s="1003"/>
      <c r="AL542" s="1003"/>
      <c r="AM542" s="1003"/>
      <c r="AN542" s="1003"/>
      <c r="AO542" s="1003"/>
      <c r="AP542" s="1003"/>
      <c r="AQ542" s="1003"/>
      <c r="AR542" s="1003"/>
      <c r="AS542" s="1003"/>
      <c r="AT542" s="1003"/>
      <c r="AU542" s="1003"/>
      <c r="AV542" s="1003"/>
      <c r="AW542" s="1003"/>
      <c r="AX542" s="1003"/>
      <c r="AY542" s="1003"/>
      <c r="AZ542" s="1003"/>
      <c r="BA542" s="1003"/>
      <c r="BB542" s="1003"/>
      <c r="BC542" s="1003"/>
      <c r="BD542" s="1003"/>
      <c r="BE542" s="1003"/>
      <c r="BF542" s="1003"/>
      <c r="BG542" s="1003"/>
      <c r="BH542" s="1003"/>
      <c r="BI542" s="1003"/>
      <c r="BJ542" s="1003"/>
      <c r="BK542" s="1003"/>
      <c r="BL542" s="1003"/>
    </row>
    <row r="543" spans="1:64">
      <c r="A543" s="1823"/>
      <c r="B543" s="1823"/>
      <c r="C543" s="1817" t="s">
        <v>1182</v>
      </c>
      <c r="D543" s="1018">
        <v>1</v>
      </c>
      <c r="E543" s="1002" t="s">
        <v>484</v>
      </c>
      <c r="F543" s="1093">
        <f>'Civil-SOR'!$F$260</f>
        <v>1566</v>
      </c>
      <c r="G543" s="1020">
        <v>1</v>
      </c>
      <c r="H543" s="1002" t="s">
        <v>484</v>
      </c>
      <c r="I543" s="1001">
        <f t="shared" si="76"/>
        <v>1566</v>
      </c>
      <c r="J543" s="1002"/>
      <c r="K543" s="1002"/>
      <c r="L543" s="1002"/>
      <c r="M543" s="1003"/>
      <c r="N543" s="1003"/>
      <c r="O543" s="1003"/>
      <c r="P543" s="1003"/>
      <c r="Q543" s="1003"/>
      <c r="R543" s="1003"/>
      <c r="S543" s="1003"/>
      <c r="T543" s="1003"/>
      <c r="U543" s="1003"/>
      <c r="V543" s="1003"/>
      <c r="W543" s="1003"/>
      <c r="X543" s="1003"/>
      <c r="Y543" s="1003"/>
      <c r="Z543" s="1003"/>
      <c r="AA543" s="1003"/>
      <c r="AB543" s="1003"/>
      <c r="AC543" s="1003"/>
      <c r="AD543" s="1003"/>
      <c r="AE543" s="1003"/>
      <c r="AF543" s="1003"/>
      <c r="AG543" s="1003"/>
      <c r="AH543" s="1003"/>
      <c r="AI543" s="1003"/>
      <c r="AJ543" s="1003"/>
      <c r="AK543" s="1003"/>
      <c r="AL543" s="1003"/>
      <c r="AM543" s="1003"/>
      <c r="AN543" s="1003"/>
      <c r="AO543" s="1003"/>
      <c r="AP543" s="1003"/>
      <c r="AQ543" s="1003"/>
      <c r="AR543" s="1003"/>
      <c r="AS543" s="1003"/>
      <c r="AT543" s="1003"/>
      <c r="AU543" s="1003"/>
      <c r="AV543" s="1003"/>
      <c r="AW543" s="1003"/>
      <c r="AX543" s="1003"/>
      <c r="AY543" s="1003"/>
      <c r="AZ543" s="1003"/>
      <c r="BA543" s="1003"/>
      <c r="BB543" s="1003"/>
      <c r="BC543" s="1003"/>
      <c r="BD543" s="1003"/>
      <c r="BE543" s="1003"/>
      <c r="BF543" s="1003"/>
      <c r="BG543" s="1003"/>
      <c r="BH543" s="1003"/>
      <c r="BI543" s="1003"/>
      <c r="BJ543" s="1003"/>
      <c r="BK543" s="1003"/>
      <c r="BL543" s="1003"/>
    </row>
    <row r="544" spans="1:64">
      <c r="A544" s="1823"/>
      <c r="B544" s="1823"/>
      <c r="C544" s="1817" t="s">
        <v>1183</v>
      </c>
      <c r="D544" s="1018">
        <v>1</v>
      </c>
      <c r="E544" s="1002" t="s">
        <v>484</v>
      </c>
      <c r="F544" s="1093">
        <f>'Civil-SOR'!$G$260</f>
        <v>1833</v>
      </c>
      <c r="G544" s="1020">
        <v>1</v>
      </c>
      <c r="H544" s="1002" t="s">
        <v>484</v>
      </c>
      <c r="I544" s="1001">
        <f t="shared" si="76"/>
        <v>1833</v>
      </c>
      <c r="J544" s="1002"/>
      <c r="K544" s="1002"/>
      <c r="L544" s="1002"/>
      <c r="M544" s="1003"/>
      <c r="N544" s="1003"/>
      <c r="O544" s="1003"/>
      <c r="P544" s="1003"/>
      <c r="Q544" s="1003"/>
      <c r="R544" s="1003"/>
      <c r="S544" s="1003"/>
      <c r="T544" s="1003"/>
      <c r="U544" s="1003"/>
      <c r="V544" s="1003"/>
      <c r="W544" s="1003"/>
      <c r="X544" s="1003"/>
      <c r="Y544" s="1003"/>
      <c r="Z544" s="1003"/>
      <c r="AA544" s="1003"/>
      <c r="AB544" s="1003"/>
      <c r="AC544" s="1003"/>
      <c r="AD544" s="1003"/>
      <c r="AE544" s="1003"/>
      <c r="AF544" s="1003"/>
      <c r="AG544" s="1003"/>
      <c r="AH544" s="1003"/>
      <c r="AI544" s="1003"/>
      <c r="AJ544" s="1003"/>
      <c r="AK544" s="1003"/>
      <c r="AL544" s="1003"/>
      <c r="AM544" s="1003"/>
      <c r="AN544" s="1003"/>
      <c r="AO544" s="1003"/>
      <c r="AP544" s="1003"/>
      <c r="AQ544" s="1003"/>
      <c r="AR544" s="1003"/>
      <c r="AS544" s="1003"/>
      <c r="AT544" s="1003"/>
      <c r="AU544" s="1003"/>
      <c r="AV544" s="1003"/>
      <c r="AW544" s="1003"/>
      <c r="AX544" s="1003"/>
      <c r="AY544" s="1003"/>
      <c r="AZ544" s="1003"/>
      <c r="BA544" s="1003"/>
      <c r="BB544" s="1003"/>
      <c r="BC544" s="1003"/>
      <c r="BD544" s="1003"/>
      <c r="BE544" s="1003"/>
      <c r="BF544" s="1003"/>
      <c r="BG544" s="1003"/>
      <c r="BH544" s="1003"/>
      <c r="BI544" s="1003"/>
      <c r="BJ544" s="1003"/>
      <c r="BK544" s="1003"/>
      <c r="BL544" s="1003"/>
    </row>
    <row r="545" spans="1:64">
      <c r="A545" s="1823"/>
      <c r="B545" s="1823"/>
      <c r="C545" s="1817" t="str">
        <f>Input!$C$47</f>
        <v>Add for MA @ 40%</v>
      </c>
      <c r="D545" s="1018">
        <f>Input!$D$47</f>
        <v>0.4</v>
      </c>
      <c r="E545" s="1002"/>
      <c r="F545" s="1093">
        <f>I544</f>
        <v>1833</v>
      </c>
      <c r="G545" s="1020"/>
      <c r="H545" s="1002"/>
      <c r="I545" s="1001">
        <f t="shared" si="76"/>
        <v>733.2</v>
      </c>
      <c r="J545" s="1002"/>
      <c r="K545" s="1002"/>
      <c r="L545" s="1002"/>
      <c r="M545" s="1003"/>
      <c r="N545" s="1003"/>
      <c r="O545" s="1003"/>
      <c r="P545" s="1003"/>
      <c r="Q545" s="1003"/>
      <c r="R545" s="1003"/>
      <c r="S545" s="1003"/>
      <c r="T545" s="1003"/>
      <c r="U545" s="1003"/>
      <c r="V545" s="1003"/>
      <c r="W545" s="1003"/>
      <c r="X545" s="1003"/>
      <c r="Y545" s="1003"/>
      <c r="Z545" s="1003"/>
      <c r="AA545" s="1003"/>
      <c r="AB545" s="1003"/>
      <c r="AC545" s="1003"/>
      <c r="AD545" s="1003"/>
      <c r="AE545" s="1003"/>
      <c r="AF545" s="1003"/>
      <c r="AG545" s="1003"/>
      <c r="AH545" s="1003"/>
      <c r="AI545" s="1003"/>
      <c r="AJ545" s="1003"/>
      <c r="AK545" s="1003"/>
      <c r="AL545" s="1003"/>
      <c r="AM545" s="1003"/>
      <c r="AN545" s="1003"/>
      <c r="AO545" s="1003"/>
      <c r="AP545" s="1003"/>
      <c r="AQ545" s="1003"/>
      <c r="AR545" s="1003"/>
      <c r="AS545" s="1003"/>
      <c r="AT545" s="1003"/>
      <c r="AU545" s="1003"/>
      <c r="AV545" s="1003"/>
      <c r="AW545" s="1003"/>
      <c r="AX545" s="1003"/>
      <c r="AY545" s="1003"/>
      <c r="AZ545" s="1003"/>
      <c r="BA545" s="1003"/>
      <c r="BB545" s="1003"/>
      <c r="BC545" s="1003"/>
      <c r="BD545" s="1003"/>
      <c r="BE545" s="1003"/>
      <c r="BF545" s="1003"/>
      <c r="BG545" s="1003"/>
      <c r="BH545" s="1003"/>
      <c r="BI545" s="1003"/>
      <c r="BJ545" s="1003"/>
      <c r="BK545" s="1003"/>
      <c r="BL545" s="1003"/>
    </row>
    <row r="546" spans="1:64">
      <c r="A546" s="1823"/>
      <c r="B546" s="1823"/>
      <c r="C546" s="1817"/>
      <c r="D546" s="1018"/>
      <c r="E546" s="1002"/>
      <c r="F546" s="1093"/>
      <c r="G546" s="1020"/>
      <c r="H546" s="1002"/>
      <c r="I546" s="1001">
        <f>SUM(I542:I545)</f>
        <v>13238.011780000001</v>
      </c>
      <c r="J546" s="1002"/>
      <c r="K546" s="1002"/>
      <c r="L546" s="1002"/>
      <c r="M546" s="1003"/>
      <c r="N546" s="1003"/>
      <c r="O546" s="1003"/>
      <c r="P546" s="1003"/>
      <c r="Q546" s="1003"/>
      <c r="R546" s="1003"/>
      <c r="S546" s="1003"/>
      <c r="T546" s="1003"/>
      <c r="U546" s="1003"/>
      <c r="V546" s="1003"/>
      <c r="W546" s="1003"/>
      <c r="X546" s="1003"/>
      <c r="Y546" s="1003"/>
      <c r="Z546" s="1003"/>
      <c r="AA546" s="1003"/>
      <c r="AB546" s="1003"/>
      <c r="AC546" s="1003"/>
      <c r="AD546" s="1003"/>
      <c r="AE546" s="1003"/>
      <c r="AF546" s="1003"/>
      <c r="AG546" s="1003"/>
      <c r="AH546" s="1003"/>
      <c r="AI546" s="1003"/>
      <c r="AJ546" s="1003"/>
      <c r="AK546" s="1003"/>
      <c r="AL546" s="1003"/>
      <c r="AM546" s="1003"/>
      <c r="AN546" s="1003"/>
      <c r="AO546" s="1003"/>
      <c r="AP546" s="1003"/>
      <c r="AQ546" s="1003"/>
      <c r="AR546" s="1003"/>
      <c r="AS546" s="1003"/>
      <c r="AT546" s="1003"/>
      <c r="AU546" s="1003"/>
      <c r="AV546" s="1003"/>
      <c r="AW546" s="1003"/>
      <c r="AX546" s="1003"/>
      <c r="AY546" s="1003"/>
      <c r="AZ546" s="1003"/>
      <c r="BA546" s="1003"/>
      <c r="BB546" s="1003"/>
      <c r="BC546" s="1003"/>
      <c r="BD546" s="1003"/>
      <c r="BE546" s="1003"/>
      <c r="BF546" s="1003"/>
      <c r="BG546" s="1003"/>
      <c r="BH546" s="1003"/>
      <c r="BI546" s="1003"/>
      <c r="BJ546" s="1003"/>
      <c r="BK546" s="1003"/>
      <c r="BL546" s="1003"/>
    </row>
    <row r="547" spans="1:64">
      <c r="A547" s="1823"/>
      <c r="B547" s="1823"/>
      <c r="C547" s="1817" t="str">
        <f>Input!$C$48</f>
        <v>Overheads &amp; Contractors Profit @ 13.615%</v>
      </c>
      <c r="D547" s="1103">
        <f>Input!$D$48</f>
        <v>0.13614999999999999</v>
      </c>
      <c r="E547" s="1002"/>
      <c r="F547" s="1093">
        <f>I546</f>
        <v>13238.011780000001</v>
      </c>
      <c r="G547" s="1020"/>
      <c r="H547" s="1104"/>
      <c r="I547" s="1001">
        <f>IF(G547="",D547*F547,(D547*F547/G547))</f>
        <v>1802.355303847</v>
      </c>
      <c r="J547" s="1002"/>
      <c r="K547" s="1002"/>
      <c r="L547" s="1002"/>
      <c r="M547" s="1003"/>
      <c r="N547" s="1003"/>
      <c r="O547" s="1003"/>
      <c r="P547" s="1003"/>
      <c r="Q547" s="1003"/>
      <c r="R547" s="1003"/>
      <c r="S547" s="1003"/>
      <c r="T547" s="1003"/>
      <c r="U547" s="1003"/>
      <c r="V547" s="1003"/>
      <c r="W547" s="1003"/>
      <c r="X547" s="1003"/>
      <c r="Y547" s="1003"/>
      <c r="Z547" s="1003"/>
      <c r="AA547" s="1003"/>
      <c r="AB547" s="1003"/>
      <c r="AC547" s="1003"/>
      <c r="AD547" s="1003"/>
      <c r="AE547" s="1003"/>
      <c r="AF547" s="1003"/>
      <c r="AG547" s="1003"/>
      <c r="AH547" s="1003"/>
      <c r="AI547" s="1003"/>
      <c r="AJ547" s="1003"/>
      <c r="AK547" s="1003"/>
      <c r="AL547" s="1003"/>
      <c r="AM547" s="1003"/>
      <c r="AN547" s="1003"/>
      <c r="AO547" s="1003"/>
      <c r="AP547" s="1003"/>
      <c r="AQ547" s="1003"/>
      <c r="AR547" s="1003"/>
      <c r="AS547" s="1003"/>
      <c r="AT547" s="1003"/>
      <c r="AU547" s="1003"/>
      <c r="AV547" s="1003"/>
      <c r="AW547" s="1003"/>
      <c r="AX547" s="1003"/>
      <c r="AY547" s="1003"/>
      <c r="AZ547" s="1003"/>
      <c r="BA547" s="1003"/>
      <c r="BB547" s="1003"/>
      <c r="BC547" s="1003"/>
      <c r="BD547" s="1003"/>
      <c r="BE547" s="1003"/>
      <c r="BF547" s="1003"/>
      <c r="BG547" s="1003"/>
      <c r="BH547" s="1003"/>
      <c r="BI547" s="1003"/>
      <c r="BJ547" s="1003"/>
      <c r="BK547" s="1003"/>
      <c r="BL547" s="1003"/>
    </row>
    <row r="548" spans="1:64">
      <c r="A548" s="1823"/>
      <c r="B548" s="1823"/>
      <c r="C548" s="1816" t="s">
        <v>1032</v>
      </c>
      <c r="D548" s="1002"/>
      <c r="E548" s="1002"/>
      <c r="F548" s="1823"/>
      <c r="G548" s="1020"/>
      <c r="H548" s="1104"/>
      <c r="I548" s="1093">
        <f>SUM(I546:I547)</f>
        <v>15040.367083847001</v>
      </c>
      <c r="J548" s="1002"/>
      <c r="K548" s="1002"/>
      <c r="L548" s="1002"/>
      <c r="M548" s="1003"/>
      <c r="N548" s="1003"/>
      <c r="O548" s="1003"/>
      <c r="P548" s="1003"/>
      <c r="Q548" s="1003"/>
      <c r="R548" s="1003"/>
      <c r="S548" s="1003"/>
      <c r="T548" s="1003"/>
      <c r="U548" s="1003"/>
      <c r="V548" s="1003"/>
      <c r="W548" s="1003"/>
      <c r="X548" s="1003"/>
      <c r="Y548" s="1003"/>
      <c r="Z548" s="1003"/>
      <c r="AA548" s="1003"/>
      <c r="AB548" s="1003"/>
      <c r="AC548" s="1003"/>
      <c r="AD548" s="1003"/>
      <c r="AE548" s="1003"/>
      <c r="AF548" s="1003"/>
      <c r="AG548" s="1003"/>
      <c r="AH548" s="1003"/>
      <c r="AI548" s="1003"/>
      <c r="AJ548" s="1003"/>
      <c r="AK548" s="1003"/>
      <c r="AL548" s="1003"/>
      <c r="AM548" s="1003"/>
      <c r="AN548" s="1003"/>
      <c r="AO548" s="1003"/>
      <c r="AP548" s="1003"/>
      <c r="AQ548" s="1003"/>
      <c r="AR548" s="1003"/>
      <c r="AS548" s="1003"/>
      <c r="AT548" s="1003"/>
      <c r="AU548" s="1003"/>
      <c r="AV548" s="1003"/>
      <c r="AW548" s="1003"/>
      <c r="AX548" s="1003"/>
      <c r="AY548" s="1003"/>
      <c r="AZ548" s="1003"/>
      <c r="BA548" s="1003"/>
      <c r="BB548" s="1003"/>
      <c r="BC548" s="1003"/>
      <c r="BD548" s="1003"/>
      <c r="BE548" s="1003"/>
      <c r="BF548" s="1003"/>
      <c r="BG548" s="1003"/>
      <c r="BH548" s="1003"/>
      <c r="BI548" s="1003"/>
      <c r="BJ548" s="1003"/>
      <c r="BK548" s="1003"/>
      <c r="BL548" s="1003"/>
    </row>
    <row r="549" spans="1:64">
      <c r="A549" s="1823"/>
      <c r="B549" s="1823"/>
      <c r="C549" s="1002"/>
      <c r="D549" s="1002"/>
      <c r="E549" s="1002"/>
      <c r="F549" s="1823"/>
      <c r="G549" s="1020"/>
      <c r="H549" s="1077" t="s">
        <v>1065</v>
      </c>
      <c r="I549" s="1009">
        <f>ROUND(I548,0)</f>
        <v>15040</v>
      </c>
      <c r="J549" s="1002"/>
      <c r="K549" s="1002"/>
      <c r="L549" s="1002"/>
      <c r="M549" s="1003"/>
      <c r="N549" s="1003"/>
      <c r="O549" s="1003"/>
      <c r="P549" s="1003"/>
      <c r="Q549" s="1003"/>
      <c r="R549" s="1003"/>
      <c r="S549" s="1003"/>
      <c r="T549" s="1003"/>
      <c r="U549" s="1003"/>
      <c r="V549" s="1003"/>
      <c r="W549" s="1003"/>
      <c r="X549" s="1003"/>
      <c r="Y549" s="1003"/>
      <c r="Z549" s="1003"/>
      <c r="AA549" s="1003"/>
      <c r="AB549" s="1003"/>
      <c r="AC549" s="1003"/>
      <c r="AD549" s="1003"/>
      <c r="AE549" s="1003"/>
      <c r="AF549" s="1003"/>
      <c r="AG549" s="1003"/>
      <c r="AH549" s="1003"/>
      <c r="AI549" s="1003"/>
      <c r="AJ549" s="1003"/>
      <c r="AK549" s="1003"/>
      <c r="AL549" s="1003"/>
      <c r="AM549" s="1003"/>
      <c r="AN549" s="1003"/>
      <c r="AO549" s="1003"/>
      <c r="AP549" s="1003"/>
      <c r="AQ549" s="1003"/>
      <c r="AR549" s="1003"/>
      <c r="AS549" s="1003"/>
      <c r="AT549" s="1003"/>
      <c r="AU549" s="1003"/>
      <c r="AV549" s="1003"/>
      <c r="AW549" s="1003"/>
      <c r="AX549" s="1003"/>
      <c r="AY549" s="1003"/>
      <c r="AZ549" s="1003"/>
      <c r="BA549" s="1003"/>
      <c r="BB549" s="1003"/>
      <c r="BC549" s="1003"/>
      <c r="BD549" s="1003"/>
      <c r="BE549" s="1003"/>
      <c r="BF549" s="1003"/>
      <c r="BG549" s="1003"/>
      <c r="BH549" s="1003"/>
      <c r="BI549" s="1003"/>
      <c r="BJ549" s="1003"/>
      <c r="BK549" s="1003"/>
      <c r="BL549" s="1003"/>
    </row>
    <row r="550" spans="1:64">
      <c r="A550" s="1818"/>
      <c r="B550" s="1094"/>
      <c r="C550" s="1816"/>
      <c r="D550" s="1000"/>
      <c r="E550" s="1069"/>
      <c r="F550" s="1001"/>
      <c r="G550" s="1015"/>
      <c r="H550" s="1047"/>
      <c r="I550" s="1011"/>
      <c r="J550" s="1846"/>
      <c r="K550" s="1846"/>
      <c r="L550" s="1846"/>
    </row>
    <row r="551" spans="1:64" ht="12.75" customHeight="1">
      <c r="A551" s="1818"/>
      <c r="B551" s="1106" t="s">
        <v>1188</v>
      </c>
      <c r="C551" s="2045" t="s">
        <v>1189</v>
      </c>
      <c r="D551" s="2045"/>
      <c r="E551" s="1846"/>
      <c r="F551" s="1068"/>
      <c r="G551" s="1102"/>
      <c r="H551" s="1846"/>
      <c r="I551" s="1021"/>
      <c r="J551" s="1846"/>
      <c r="K551" s="1846"/>
      <c r="L551" s="1846"/>
    </row>
    <row r="552" spans="1:64">
      <c r="A552" s="1818"/>
      <c r="B552" s="1094"/>
      <c r="C552" s="1817" t="s">
        <v>1181</v>
      </c>
      <c r="D552" s="1018">
        <v>0.1</v>
      </c>
      <c r="E552" s="1002" t="s">
        <v>484</v>
      </c>
      <c r="F552" s="1093">
        <f>$I$519</f>
        <v>9105.81178</v>
      </c>
      <c r="G552" s="1020">
        <v>1</v>
      </c>
      <c r="H552" s="1002" t="s">
        <v>484</v>
      </c>
      <c r="I552" s="1001">
        <f t="shared" ref="I552:I555" si="77">IF(G552="",D552*F552,(D552*F552/G552))</f>
        <v>910.58117800000002</v>
      </c>
      <c r="J552" s="1846"/>
      <c r="K552" s="1846"/>
      <c r="L552" s="1846"/>
    </row>
    <row r="553" spans="1:64">
      <c r="A553" s="1818"/>
      <c r="B553" s="1094"/>
      <c r="C553" s="1817" t="s">
        <v>1182</v>
      </c>
      <c r="D553" s="1018">
        <f>D552</f>
        <v>0.1</v>
      </c>
      <c r="E553" s="1002" t="s">
        <v>484</v>
      </c>
      <c r="F553" s="1093">
        <f>'Civil-SOR'!$F$257</f>
        <v>325</v>
      </c>
      <c r="G553" s="1020">
        <v>1</v>
      </c>
      <c r="H553" s="1002" t="s">
        <v>484</v>
      </c>
      <c r="I553" s="1001">
        <f t="shared" si="77"/>
        <v>32.5</v>
      </c>
      <c r="J553" s="1846"/>
      <c r="K553" s="1846"/>
      <c r="L553" s="1846"/>
    </row>
    <row r="554" spans="1:64">
      <c r="A554" s="1818"/>
      <c r="B554" s="1094"/>
      <c r="C554" s="1817" t="s">
        <v>453</v>
      </c>
      <c r="D554" s="1018">
        <f>D552</f>
        <v>0.1</v>
      </c>
      <c r="E554" s="1002" t="s">
        <v>484</v>
      </c>
      <c r="F554" s="1093">
        <f>'Civil-SOR'!$G$257</f>
        <v>760</v>
      </c>
      <c r="G554" s="1020">
        <v>1</v>
      </c>
      <c r="H554" s="1002" t="s">
        <v>484</v>
      </c>
      <c r="I554" s="1001">
        <f t="shared" si="77"/>
        <v>76</v>
      </c>
      <c r="J554" s="1846"/>
      <c r="K554" s="1846"/>
      <c r="L554" s="1846"/>
    </row>
    <row r="555" spans="1:64">
      <c r="A555" s="1818"/>
      <c r="B555" s="1094"/>
      <c r="C555" s="1817" t="str">
        <f>Input!$C$47</f>
        <v>Add for MA @ 40%</v>
      </c>
      <c r="D555" s="1018">
        <f>Input!$D$47</f>
        <v>0.4</v>
      </c>
      <c r="E555" s="1002"/>
      <c r="F555" s="1093">
        <f>I554</f>
        <v>76</v>
      </c>
      <c r="G555" s="1020"/>
      <c r="H555" s="1002"/>
      <c r="I555" s="1001">
        <f t="shared" si="77"/>
        <v>30.400000000000002</v>
      </c>
      <c r="J555" s="1846"/>
      <c r="K555" s="1846"/>
      <c r="L555" s="1846"/>
    </row>
    <row r="556" spans="1:64">
      <c r="A556" s="1818"/>
      <c r="B556" s="1094"/>
      <c r="C556" s="1817"/>
      <c r="D556" s="1018"/>
      <c r="E556" s="1002"/>
      <c r="F556" s="1093"/>
      <c r="G556" s="1020"/>
      <c r="H556" s="1002"/>
      <c r="I556" s="1001">
        <f>SUM(I552:I555)</f>
        <v>1049.481178</v>
      </c>
      <c r="J556" s="1846"/>
      <c r="K556" s="1846"/>
      <c r="L556" s="1846"/>
    </row>
    <row r="557" spans="1:64">
      <c r="A557" s="1818"/>
      <c r="B557" s="1094"/>
      <c r="C557" s="1817" t="str">
        <f>Input!$C$48</f>
        <v>Overheads &amp; Contractors Profit @ 13.615%</v>
      </c>
      <c r="D557" s="1103">
        <f>Input!$D$48</f>
        <v>0.13614999999999999</v>
      </c>
      <c r="E557" s="1002"/>
      <c r="F557" s="1093">
        <f>I556</f>
        <v>1049.481178</v>
      </c>
      <c r="G557" s="1020"/>
      <c r="H557" s="1104"/>
      <c r="I557" s="1001">
        <f>IF(G557="",D557*F557,(D557*F557/G557))</f>
        <v>142.88686238469998</v>
      </c>
      <c r="J557" s="1846"/>
      <c r="K557" s="1846"/>
      <c r="L557" s="1846"/>
    </row>
    <row r="558" spans="1:64">
      <c r="A558" s="1818"/>
      <c r="B558" s="1094"/>
      <c r="C558" s="1816" t="s">
        <v>1045</v>
      </c>
      <c r="D558" s="1002"/>
      <c r="E558" s="1002"/>
      <c r="F558" s="1823"/>
      <c r="G558" s="1020"/>
      <c r="H558" s="1104"/>
      <c r="I558" s="1093">
        <f>SUM(I556:I557)</f>
        <v>1192.3680403847</v>
      </c>
      <c r="J558" s="1846"/>
      <c r="K558" s="1846"/>
      <c r="L558" s="1846"/>
    </row>
    <row r="559" spans="1:64">
      <c r="A559" s="1818"/>
      <c r="B559" s="1107"/>
      <c r="C559" s="1817"/>
      <c r="D559" s="996"/>
      <c r="E559" s="996"/>
      <c r="F559" s="1023"/>
      <c r="G559" s="1108"/>
      <c r="H559" s="1109" t="s">
        <v>1065</v>
      </c>
      <c r="I559" s="1826">
        <f>ROUND(I558,0)</f>
        <v>1192</v>
      </c>
      <c r="J559" s="1846"/>
      <c r="K559" s="1846"/>
      <c r="L559" s="1846"/>
    </row>
    <row r="560" spans="1:64">
      <c r="A560" s="1818"/>
      <c r="B560" s="1107"/>
      <c r="C560" s="1817"/>
      <c r="D560" s="996"/>
      <c r="E560" s="996"/>
      <c r="F560" s="1023"/>
      <c r="G560" s="1108"/>
      <c r="H560" s="1109"/>
      <c r="I560" s="1826"/>
      <c r="J560" s="1846"/>
      <c r="K560" s="1846"/>
      <c r="L560" s="1846"/>
    </row>
    <row r="561" spans="1:12" ht="12.75" customHeight="1">
      <c r="A561" s="1818"/>
      <c r="B561" s="1106" t="s">
        <v>1188</v>
      </c>
      <c r="C561" s="2045" t="s">
        <v>1190</v>
      </c>
      <c r="D561" s="2045"/>
      <c r="E561" s="1846"/>
      <c r="F561" s="1068"/>
      <c r="G561" s="1102"/>
      <c r="H561" s="1846"/>
      <c r="I561" s="1021"/>
      <c r="J561" s="1846"/>
      <c r="K561" s="1846"/>
      <c r="L561" s="1846"/>
    </row>
    <row r="562" spans="1:12">
      <c r="A562" s="1818"/>
      <c r="B562" s="1094"/>
      <c r="C562" s="1817" t="s">
        <v>1181</v>
      </c>
      <c r="D562" s="1099">
        <v>0.125</v>
      </c>
      <c r="E562" s="1002" t="s">
        <v>484</v>
      </c>
      <c r="F562" s="1093">
        <f>$I$519</f>
        <v>9105.81178</v>
      </c>
      <c r="G562" s="1020">
        <v>1</v>
      </c>
      <c r="H562" s="1002" t="s">
        <v>484</v>
      </c>
      <c r="I562" s="1001">
        <f t="shared" ref="I562:I565" si="78">IF(G562="",D562*F562,(D562*F562/G562))</f>
        <v>1138.2264725</v>
      </c>
      <c r="J562" s="1846"/>
      <c r="K562" s="1846"/>
      <c r="L562" s="1846"/>
    </row>
    <row r="563" spans="1:12">
      <c r="A563" s="1818"/>
      <c r="B563" s="1094"/>
      <c r="C563" s="1817" t="s">
        <v>1182</v>
      </c>
      <c r="D563" s="1099">
        <f>D562</f>
        <v>0.125</v>
      </c>
      <c r="E563" s="1002" t="s">
        <v>484</v>
      </c>
      <c r="F563" s="1093">
        <f>'Civil-SOR'!$F$257</f>
        <v>325</v>
      </c>
      <c r="G563" s="1020">
        <v>1</v>
      </c>
      <c r="H563" s="1002" t="s">
        <v>484</v>
      </c>
      <c r="I563" s="1001">
        <f t="shared" si="78"/>
        <v>40.625</v>
      </c>
      <c r="J563" s="1846"/>
      <c r="K563" s="1846"/>
      <c r="L563" s="1846"/>
    </row>
    <row r="564" spans="1:12">
      <c r="A564" s="1818"/>
      <c r="B564" s="1094"/>
      <c r="C564" s="1817" t="s">
        <v>453</v>
      </c>
      <c r="D564" s="1099">
        <f>D562</f>
        <v>0.125</v>
      </c>
      <c r="E564" s="1002" t="s">
        <v>484</v>
      </c>
      <c r="F564" s="1093">
        <f>'Civil-SOR'!$G$257</f>
        <v>760</v>
      </c>
      <c r="G564" s="1020">
        <v>1</v>
      </c>
      <c r="H564" s="1002" t="s">
        <v>484</v>
      </c>
      <c r="I564" s="1001">
        <f t="shared" si="78"/>
        <v>95</v>
      </c>
      <c r="J564" s="1846"/>
      <c r="K564" s="1846"/>
      <c r="L564" s="1846"/>
    </row>
    <row r="565" spans="1:12">
      <c r="A565" s="1818"/>
      <c r="B565" s="1094"/>
      <c r="C565" s="1817" t="str">
        <f>Input!$C$47</f>
        <v>Add for MA @ 40%</v>
      </c>
      <c r="D565" s="1018">
        <f>Input!$D$47</f>
        <v>0.4</v>
      </c>
      <c r="E565" s="1002"/>
      <c r="F565" s="1093">
        <f>I564</f>
        <v>95</v>
      </c>
      <c r="G565" s="1020"/>
      <c r="H565" s="1002"/>
      <c r="I565" s="1001">
        <f t="shared" si="78"/>
        <v>38</v>
      </c>
      <c r="J565" s="1846"/>
      <c r="K565" s="1846"/>
      <c r="L565" s="1846"/>
    </row>
    <row r="566" spans="1:12">
      <c r="A566" s="1818"/>
      <c r="B566" s="1094"/>
      <c r="C566" s="1817"/>
      <c r="D566" s="1018"/>
      <c r="E566" s="1002"/>
      <c r="F566" s="1093"/>
      <c r="G566" s="1020"/>
      <c r="H566" s="1002"/>
      <c r="I566" s="1001">
        <f>SUM(I562:I565)</f>
        <v>1311.8514725</v>
      </c>
      <c r="J566" s="1846"/>
      <c r="K566" s="1846"/>
      <c r="L566" s="1846"/>
    </row>
    <row r="567" spans="1:12">
      <c r="A567" s="1818"/>
      <c r="B567" s="1094"/>
      <c r="C567" s="1817" t="str">
        <f>Input!$C$48</f>
        <v>Overheads &amp; Contractors Profit @ 13.615%</v>
      </c>
      <c r="D567" s="1103">
        <f>Input!$D$48</f>
        <v>0.13614999999999999</v>
      </c>
      <c r="E567" s="1002"/>
      <c r="F567" s="1093">
        <f>I566</f>
        <v>1311.8514725</v>
      </c>
      <c r="G567" s="1020"/>
      <c r="H567" s="1104"/>
      <c r="I567" s="1001">
        <f>IF(G567="",D567*F567,(D567*F567/G567))</f>
        <v>178.608577980875</v>
      </c>
      <c r="J567" s="1846"/>
      <c r="K567" s="1846"/>
      <c r="L567" s="1846"/>
    </row>
    <row r="568" spans="1:12">
      <c r="A568" s="1818"/>
      <c r="B568" s="1094"/>
      <c r="C568" s="1816" t="s">
        <v>1045</v>
      </c>
      <c r="D568" s="1002"/>
      <c r="E568" s="1002"/>
      <c r="F568" s="1823"/>
      <c r="G568" s="1020"/>
      <c r="H568" s="1104"/>
      <c r="I568" s="1093">
        <f>SUM(I566:I567)</f>
        <v>1490.460050480875</v>
      </c>
      <c r="J568" s="1846"/>
      <c r="K568" s="1846"/>
      <c r="L568" s="1846"/>
    </row>
    <row r="569" spans="1:12">
      <c r="A569" s="1818"/>
      <c r="B569" s="1107"/>
      <c r="C569" s="1817"/>
      <c r="D569" s="996"/>
      <c r="E569" s="996"/>
      <c r="F569" s="1023"/>
      <c r="G569" s="1108"/>
      <c r="H569" s="1109" t="s">
        <v>1065</v>
      </c>
      <c r="I569" s="1826">
        <f>ROUND(I568,0)</f>
        <v>1490</v>
      </c>
      <c r="J569" s="1846"/>
      <c r="K569" s="1846"/>
      <c r="L569" s="1846"/>
    </row>
    <row r="570" spans="1:12">
      <c r="A570" s="1818"/>
      <c r="B570" s="1107"/>
      <c r="C570" s="1817"/>
      <c r="D570" s="996"/>
      <c r="E570" s="996"/>
      <c r="F570" s="1023"/>
      <c r="G570" s="1108"/>
      <c r="H570" s="1109"/>
      <c r="I570" s="1826"/>
      <c r="J570" s="1846"/>
      <c r="K570" s="1846"/>
      <c r="L570" s="1846"/>
    </row>
    <row r="571" spans="1:12" ht="12.75" customHeight="1">
      <c r="A571" s="1818"/>
      <c r="B571" s="1106" t="s">
        <v>1188</v>
      </c>
      <c r="C571" s="2045" t="s">
        <v>1191</v>
      </c>
      <c r="D571" s="2045"/>
      <c r="E571" s="1846"/>
      <c r="F571" s="1068"/>
      <c r="G571" s="1102"/>
      <c r="H571" s="1846"/>
      <c r="I571" s="1021"/>
      <c r="J571" s="1846"/>
      <c r="K571" s="1846"/>
      <c r="L571" s="1846"/>
    </row>
    <row r="572" spans="1:12">
      <c r="A572" s="1818"/>
      <c r="B572" s="1094"/>
      <c r="C572" s="1817" t="s">
        <v>1181</v>
      </c>
      <c r="D572" s="1018">
        <v>0.15</v>
      </c>
      <c r="E572" s="1002" t="s">
        <v>484</v>
      </c>
      <c r="F572" s="1093">
        <f>$I$519</f>
        <v>9105.81178</v>
      </c>
      <c r="G572" s="1020">
        <v>1</v>
      </c>
      <c r="H572" s="1002" t="s">
        <v>484</v>
      </c>
      <c r="I572" s="1001">
        <f t="shared" ref="I572:I575" si="79">IF(G572="",D572*F572,(D572*F572/G572))</f>
        <v>1365.8717669999999</v>
      </c>
      <c r="J572" s="1846"/>
      <c r="K572" s="1846"/>
      <c r="L572" s="1846"/>
    </row>
    <row r="573" spans="1:12">
      <c r="A573" s="1818"/>
      <c r="B573" s="1094"/>
      <c r="C573" s="1817" t="s">
        <v>1182</v>
      </c>
      <c r="D573" s="1018">
        <f>D572</f>
        <v>0.15</v>
      </c>
      <c r="E573" s="1002" t="s">
        <v>484</v>
      </c>
      <c r="F573" s="1093">
        <f>'Civil-SOR'!$F$257</f>
        <v>325</v>
      </c>
      <c r="G573" s="1020">
        <v>1</v>
      </c>
      <c r="H573" s="1002" t="s">
        <v>484</v>
      </c>
      <c r="I573" s="1001">
        <f t="shared" si="79"/>
        <v>48.75</v>
      </c>
      <c r="J573" s="1846"/>
      <c r="K573" s="1846"/>
      <c r="L573" s="1846"/>
    </row>
    <row r="574" spans="1:12">
      <c r="A574" s="1818"/>
      <c r="B574" s="1094"/>
      <c r="C574" s="1817" t="s">
        <v>453</v>
      </c>
      <c r="D574" s="1018">
        <f>D572</f>
        <v>0.15</v>
      </c>
      <c r="E574" s="1002" t="s">
        <v>484</v>
      </c>
      <c r="F574" s="1093">
        <f>'Civil-SOR'!$G$257</f>
        <v>760</v>
      </c>
      <c r="G574" s="1020">
        <v>1</v>
      </c>
      <c r="H574" s="1002" t="s">
        <v>484</v>
      </c>
      <c r="I574" s="1001">
        <f t="shared" si="79"/>
        <v>114</v>
      </c>
      <c r="J574" s="1846"/>
      <c r="K574" s="1846"/>
      <c r="L574" s="1846"/>
    </row>
    <row r="575" spans="1:12">
      <c r="A575" s="1818"/>
      <c r="B575" s="1094"/>
      <c r="C575" s="1817" t="str">
        <f>Input!$C$47</f>
        <v>Add for MA @ 40%</v>
      </c>
      <c r="D575" s="1018">
        <f>Input!$D$47</f>
        <v>0.4</v>
      </c>
      <c r="E575" s="1002"/>
      <c r="F575" s="1093">
        <f>I574</f>
        <v>114</v>
      </c>
      <c r="G575" s="1020"/>
      <c r="H575" s="1002"/>
      <c r="I575" s="1001">
        <f t="shared" si="79"/>
        <v>45.6</v>
      </c>
      <c r="J575" s="1846"/>
      <c r="K575" s="1846"/>
      <c r="L575" s="1846"/>
    </row>
    <row r="576" spans="1:12">
      <c r="A576" s="1818"/>
      <c r="B576" s="1094"/>
      <c r="C576" s="1817"/>
      <c r="D576" s="1018"/>
      <c r="E576" s="1002"/>
      <c r="F576" s="1093"/>
      <c r="G576" s="1020"/>
      <c r="H576" s="1002"/>
      <c r="I576" s="1001">
        <f>SUM(I572:I575)</f>
        <v>1574.2217669999998</v>
      </c>
      <c r="J576" s="1846"/>
      <c r="K576" s="1846"/>
      <c r="L576" s="1846"/>
    </row>
    <row r="577" spans="1:12">
      <c r="A577" s="1818"/>
      <c r="B577" s="1094"/>
      <c r="C577" s="1817" t="str">
        <f>Input!$C$48</f>
        <v>Overheads &amp; Contractors Profit @ 13.615%</v>
      </c>
      <c r="D577" s="1103">
        <f>Input!$D$48</f>
        <v>0.13614999999999999</v>
      </c>
      <c r="E577" s="1002"/>
      <c r="F577" s="1093">
        <f>I576</f>
        <v>1574.2217669999998</v>
      </c>
      <c r="G577" s="1020"/>
      <c r="H577" s="1104"/>
      <c r="I577" s="1001">
        <f>IF(G577="",D577*F577,(D577*F577/G577))</f>
        <v>214.33029357704996</v>
      </c>
      <c r="J577" s="1846"/>
      <c r="K577" s="1846"/>
      <c r="L577" s="1846"/>
    </row>
    <row r="578" spans="1:12">
      <c r="A578" s="1818"/>
      <c r="B578" s="1094"/>
      <c r="C578" s="1816" t="s">
        <v>1045</v>
      </c>
      <c r="D578" s="1002"/>
      <c r="E578" s="1002"/>
      <c r="F578" s="1823"/>
      <c r="G578" s="1020"/>
      <c r="H578" s="1104"/>
      <c r="I578" s="1093">
        <f>SUM(I576:I577)</f>
        <v>1788.5520605770498</v>
      </c>
      <c r="J578" s="1846"/>
      <c r="K578" s="1846"/>
      <c r="L578" s="1846"/>
    </row>
    <row r="579" spans="1:12">
      <c r="A579" s="1818"/>
      <c r="B579" s="1107"/>
      <c r="C579" s="1817"/>
      <c r="D579" s="996"/>
      <c r="E579" s="996"/>
      <c r="F579" s="1023"/>
      <c r="G579" s="1108"/>
      <c r="H579" s="1109" t="s">
        <v>1065</v>
      </c>
      <c r="I579" s="1826">
        <f>ROUND(I578,0)</f>
        <v>1789</v>
      </c>
      <c r="J579" s="1846"/>
      <c r="K579" s="1846"/>
      <c r="L579" s="1846"/>
    </row>
    <row r="580" spans="1:12">
      <c r="A580" s="1818"/>
      <c r="B580" s="1823"/>
      <c r="C580" s="1022"/>
      <c r="D580" s="1002"/>
      <c r="E580" s="1002"/>
      <c r="F580" s="1823"/>
      <c r="G580" s="1020"/>
      <c r="H580" s="1077"/>
      <c r="I580" s="1009"/>
      <c r="J580" s="1846"/>
      <c r="K580" s="1846"/>
      <c r="L580" s="1846"/>
    </row>
    <row r="581" spans="1:12" ht="12.75" customHeight="1">
      <c r="A581" s="1818"/>
      <c r="B581" s="1106" t="s">
        <v>1192</v>
      </c>
      <c r="C581" s="2045" t="s">
        <v>1193</v>
      </c>
      <c r="D581" s="2045"/>
      <c r="E581" s="1846"/>
      <c r="F581" s="1068"/>
      <c r="G581" s="1102"/>
      <c r="H581" s="1846"/>
      <c r="I581" s="1021"/>
      <c r="J581" s="1846"/>
      <c r="K581" s="1846"/>
      <c r="L581" s="1846"/>
    </row>
    <row r="582" spans="1:12">
      <c r="A582" s="1818"/>
      <c r="B582" s="1094"/>
      <c r="C582" s="1817" t="s">
        <v>1181</v>
      </c>
      <c r="D582" s="1018">
        <v>0.2</v>
      </c>
      <c r="E582" s="1002" t="s">
        <v>484</v>
      </c>
      <c r="F582" s="1093">
        <f>$I$519</f>
        <v>9105.81178</v>
      </c>
      <c r="G582" s="1020">
        <v>1</v>
      </c>
      <c r="H582" s="1002" t="s">
        <v>484</v>
      </c>
      <c r="I582" s="1001">
        <f t="shared" ref="I582:I585" si="80">IF(G582="",D582*F582,(D582*F582/G582))</f>
        <v>1821.162356</v>
      </c>
      <c r="J582" s="1846"/>
      <c r="K582" s="1846"/>
      <c r="L582" s="1846"/>
    </row>
    <row r="583" spans="1:12">
      <c r="A583" s="1818"/>
      <c r="B583" s="1094"/>
      <c r="C583" s="1817" t="s">
        <v>1182</v>
      </c>
      <c r="D583" s="1018">
        <f>D582</f>
        <v>0.2</v>
      </c>
      <c r="E583" s="1002" t="s">
        <v>484</v>
      </c>
      <c r="F583" s="1093">
        <f>'Civil-SOR'!$F$257</f>
        <v>325</v>
      </c>
      <c r="G583" s="1020">
        <v>1</v>
      </c>
      <c r="H583" s="1002" t="s">
        <v>484</v>
      </c>
      <c r="I583" s="1001">
        <f t="shared" si="80"/>
        <v>65</v>
      </c>
      <c r="J583" s="1846"/>
      <c r="K583" s="1846"/>
      <c r="L583" s="1846"/>
    </row>
    <row r="584" spans="1:12">
      <c r="A584" s="1818"/>
      <c r="B584" s="1094"/>
      <c r="C584" s="1817" t="s">
        <v>453</v>
      </c>
      <c r="D584" s="1018">
        <f>D582</f>
        <v>0.2</v>
      </c>
      <c r="E584" s="1002" t="s">
        <v>484</v>
      </c>
      <c r="F584" s="1093">
        <f>'Civil-SOR'!$G$257</f>
        <v>760</v>
      </c>
      <c r="G584" s="1020">
        <v>1</v>
      </c>
      <c r="H584" s="1002" t="s">
        <v>484</v>
      </c>
      <c r="I584" s="1001">
        <f t="shared" si="80"/>
        <v>152</v>
      </c>
      <c r="J584" s="1846"/>
      <c r="K584" s="1846"/>
      <c r="L584" s="1846"/>
    </row>
    <row r="585" spans="1:12">
      <c r="A585" s="1818"/>
      <c r="B585" s="1094"/>
      <c r="C585" s="1817" t="str">
        <f>Input!$C$47</f>
        <v>Add for MA @ 40%</v>
      </c>
      <c r="D585" s="1018">
        <f>Input!$D$47</f>
        <v>0.4</v>
      </c>
      <c r="E585" s="1002"/>
      <c r="F585" s="1093">
        <f>I584</f>
        <v>152</v>
      </c>
      <c r="G585" s="1020"/>
      <c r="H585" s="1002"/>
      <c r="I585" s="1001">
        <f t="shared" si="80"/>
        <v>60.800000000000004</v>
      </c>
      <c r="J585" s="1846"/>
      <c r="K585" s="1846"/>
      <c r="L585" s="1846"/>
    </row>
    <row r="586" spans="1:12">
      <c r="A586" s="1818"/>
      <c r="B586" s="1094"/>
      <c r="C586" s="1817"/>
      <c r="D586" s="1018"/>
      <c r="E586" s="1002"/>
      <c r="F586" s="1093"/>
      <c r="G586" s="1020"/>
      <c r="H586" s="1002"/>
      <c r="I586" s="1001">
        <f>SUM(I582:I585)</f>
        <v>2098.962356</v>
      </c>
      <c r="J586" s="1846"/>
      <c r="K586" s="1846"/>
      <c r="L586" s="1846"/>
    </row>
    <row r="587" spans="1:12">
      <c r="A587" s="1818"/>
      <c r="B587" s="1094"/>
      <c r="C587" s="1817" t="str">
        <f>Input!$C$48</f>
        <v>Overheads &amp; Contractors Profit @ 13.615%</v>
      </c>
      <c r="D587" s="1103">
        <f>Input!$D$48</f>
        <v>0.13614999999999999</v>
      </c>
      <c r="E587" s="1002"/>
      <c r="F587" s="1093">
        <f>I586</f>
        <v>2098.962356</v>
      </c>
      <c r="G587" s="1020"/>
      <c r="H587" s="1104"/>
      <c r="I587" s="1001">
        <f>IF(G587="",D587*F587,(D587*F587/G587))</f>
        <v>285.77372476939996</v>
      </c>
      <c r="J587" s="1846"/>
      <c r="K587" s="1846"/>
      <c r="L587" s="1846"/>
    </row>
    <row r="588" spans="1:12">
      <c r="A588" s="1818"/>
      <c r="B588" s="1094"/>
      <c r="C588" s="1816" t="s">
        <v>1045</v>
      </c>
      <c r="D588" s="1002"/>
      <c r="E588" s="1002"/>
      <c r="F588" s="1823"/>
      <c r="G588" s="1020"/>
      <c r="H588" s="1104"/>
      <c r="I588" s="1093">
        <f>SUM(I586:I587)</f>
        <v>2384.7360807693999</v>
      </c>
      <c r="J588" s="1846"/>
      <c r="K588" s="1846"/>
      <c r="L588" s="1846"/>
    </row>
    <row r="589" spans="1:12">
      <c r="A589" s="1818"/>
      <c r="B589" s="1107"/>
      <c r="C589" s="1817"/>
      <c r="D589" s="996"/>
      <c r="E589" s="996"/>
      <c r="F589" s="1023"/>
      <c r="G589" s="1108"/>
      <c r="H589" s="1109" t="s">
        <v>1065</v>
      </c>
      <c r="I589" s="1826">
        <f>ROUND(I588,0)</f>
        <v>2385</v>
      </c>
      <c r="J589" s="1846"/>
      <c r="K589" s="1846"/>
      <c r="L589" s="1846"/>
    </row>
    <row r="590" spans="1:12" ht="12.75" customHeight="1">
      <c r="A590" s="1818"/>
      <c r="B590" s="1106" t="s">
        <v>1192</v>
      </c>
      <c r="C590" s="2045" t="s">
        <v>1194</v>
      </c>
      <c r="D590" s="2045"/>
      <c r="E590" s="1846"/>
      <c r="F590" s="1068"/>
      <c r="G590" s="1102"/>
      <c r="H590" s="1846"/>
      <c r="I590" s="1021"/>
      <c r="J590" s="1846"/>
      <c r="K590" s="1846"/>
      <c r="L590" s="1846"/>
    </row>
    <row r="591" spans="1:12">
      <c r="A591" s="1818"/>
      <c r="B591" s="1094"/>
      <c r="C591" s="1817" t="s">
        <v>1181</v>
      </c>
      <c r="D591" s="1018">
        <v>0.23</v>
      </c>
      <c r="E591" s="1002" t="s">
        <v>484</v>
      </c>
      <c r="F591" s="1093">
        <f>$I$519</f>
        <v>9105.81178</v>
      </c>
      <c r="G591" s="1020">
        <v>1</v>
      </c>
      <c r="H591" s="1002" t="s">
        <v>484</v>
      </c>
      <c r="I591" s="1001">
        <f t="shared" ref="I591:I594" si="81">IF(G591="",D591*F591,(D591*F591/G591))</f>
        <v>2094.3367094</v>
      </c>
      <c r="J591" s="1846"/>
      <c r="K591" s="1846"/>
      <c r="L591" s="1846"/>
    </row>
    <row r="592" spans="1:12">
      <c r="A592" s="1818"/>
      <c r="B592" s="1094"/>
      <c r="C592" s="1817" t="s">
        <v>1182</v>
      </c>
      <c r="D592" s="1018">
        <f>D591</f>
        <v>0.23</v>
      </c>
      <c r="E592" s="1002" t="s">
        <v>484</v>
      </c>
      <c r="F592" s="1093">
        <f>'Civil-SOR'!$F$257</f>
        <v>325</v>
      </c>
      <c r="G592" s="1020">
        <v>1</v>
      </c>
      <c r="H592" s="1002" t="s">
        <v>484</v>
      </c>
      <c r="I592" s="1001">
        <f t="shared" si="81"/>
        <v>74.75</v>
      </c>
      <c r="J592" s="1846"/>
      <c r="K592" s="1846"/>
      <c r="L592" s="1846"/>
    </row>
    <row r="593" spans="1:12">
      <c r="A593" s="1818"/>
      <c r="B593" s="1094"/>
      <c r="C593" s="1817" t="s">
        <v>453</v>
      </c>
      <c r="D593" s="1018">
        <f>D591</f>
        <v>0.23</v>
      </c>
      <c r="E593" s="1002" t="s">
        <v>484</v>
      </c>
      <c r="F593" s="1093">
        <f>'Civil-SOR'!$G$257</f>
        <v>760</v>
      </c>
      <c r="G593" s="1020">
        <v>1</v>
      </c>
      <c r="H593" s="1002" t="s">
        <v>484</v>
      </c>
      <c r="I593" s="1001">
        <f t="shared" si="81"/>
        <v>174.8</v>
      </c>
      <c r="J593" s="1846"/>
      <c r="K593" s="1846"/>
      <c r="L593" s="1846"/>
    </row>
    <row r="594" spans="1:12">
      <c r="A594" s="1818"/>
      <c r="B594" s="1094"/>
      <c r="C594" s="1817" t="str">
        <f>Input!$C$47</f>
        <v>Add for MA @ 40%</v>
      </c>
      <c r="D594" s="1018">
        <f>Input!$D$47</f>
        <v>0.4</v>
      </c>
      <c r="E594" s="1002"/>
      <c r="F594" s="1093">
        <f>I593</f>
        <v>174.8</v>
      </c>
      <c r="G594" s="1020"/>
      <c r="H594" s="1002"/>
      <c r="I594" s="1001">
        <f t="shared" si="81"/>
        <v>69.92</v>
      </c>
      <c r="J594" s="1846"/>
      <c r="K594" s="1846"/>
      <c r="L594" s="1846"/>
    </row>
    <row r="595" spans="1:12">
      <c r="A595" s="1818"/>
      <c r="B595" s="1094"/>
      <c r="C595" s="1817"/>
      <c r="D595" s="1018"/>
      <c r="E595" s="1002"/>
      <c r="F595" s="1093"/>
      <c r="G595" s="1020"/>
      <c r="H595" s="1002"/>
      <c r="I595" s="1001">
        <f>SUM(I591:I594)</f>
        <v>2413.8067094000003</v>
      </c>
      <c r="J595" s="1846"/>
      <c r="K595" s="1846"/>
      <c r="L595" s="1846"/>
    </row>
    <row r="596" spans="1:12">
      <c r="A596" s="1818"/>
      <c r="B596" s="1094"/>
      <c r="C596" s="1817" t="str">
        <f>Input!$C$48</f>
        <v>Overheads &amp; Contractors Profit @ 13.615%</v>
      </c>
      <c r="D596" s="1103">
        <f>Input!$D$48</f>
        <v>0.13614999999999999</v>
      </c>
      <c r="E596" s="1002"/>
      <c r="F596" s="1093">
        <f>I595</f>
        <v>2413.8067094000003</v>
      </c>
      <c r="G596" s="1020"/>
      <c r="H596" s="1104"/>
      <c r="I596" s="1001">
        <f>IF(G596="",D596*F596,(D596*F596/G596))</f>
        <v>328.63978348481004</v>
      </c>
      <c r="J596" s="1846"/>
      <c r="K596" s="1846"/>
      <c r="L596" s="1846"/>
    </row>
    <row r="597" spans="1:12">
      <c r="A597" s="1818"/>
      <c r="B597" s="1094"/>
      <c r="C597" s="1816" t="s">
        <v>1045</v>
      </c>
      <c r="D597" s="1002"/>
      <c r="E597" s="1002"/>
      <c r="F597" s="1823"/>
      <c r="G597" s="1020"/>
      <c r="H597" s="1104"/>
      <c r="I597" s="1093">
        <f>SUM(I595:I596)</f>
        <v>2742.4464928848101</v>
      </c>
      <c r="J597" s="1846"/>
      <c r="K597" s="1846"/>
      <c r="L597" s="1846"/>
    </row>
    <row r="598" spans="1:12">
      <c r="A598" s="1818"/>
      <c r="B598" s="1107"/>
      <c r="C598" s="1817"/>
      <c r="D598" s="996"/>
      <c r="E598" s="996"/>
      <c r="F598" s="1023"/>
      <c r="G598" s="1108"/>
      <c r="H598" s="1109" t="s">
        <v>1065</v>
      </c>
      <c r="I598" s="1826">
        <f>ROUND(I597,0)</f>
        <v>2742</v>
      </c>
      <c r="J598" s="1846"/>
      <c r="K598" s="1846"/>
      <c r="L598" s="1846"/>
    </row>
    <row r="599" spans="1:12">
      <c r="A599" s="1818"/>
      <c r="B599" s="1094"/>
      <c r="C599" s="1816"/>
      <c r="D599" s="1000"/>
      <c r="E599" s="1069"/>
      <c r="F599" s="1001"/>
      <c r="G599" s="1015"/>
      <c r="H599" s="1047"/>
      <c r="I599" s="1011"/>
      <c r="J599" s="1846"/>
      <c r="K599" s="1846"/>
      <c r="L599" s="1846"/>
    </row>
    <row r="600" spans="1:12" ht="12.75" customHeight="1">
      <c r="A600" s="1818"/>
      <c r="B600" s="1106" t="s">
        <v>1188</v>
      </c>
      <c r="C600" s="2045" t="s">
        <v>1195</v>
      </c>
      <c r="D600" s="2045"/>
      <c r="E600" s="1846"/>
      <c r="F600" s="1068"/>
      <c r="G600" s="1102"/>
      <c r="H600" s="1846"/>
      <c r="I600" s="1021"/>
      <c r="J600" s="1846"/>
      <c r="K600" s="1846"/>
      <c r="L600" s="1846"/>
    </row>
    <row r="601" spans="1:12">
      <c r="A601" s="1818"/>
      <c r="B601" s="1094"/>
      <c r="C601" s="1817" t="s">
        <v>1181</v>
      </c>
      <c r="D601" s="1018">
        <v>0.25</v>
      </c>
      <c r="E601" s="1002" t="s">
        <v>484</v>
      </c>
      <c r="F601" s="1093">
        <f>$I$519</f>
        <v>9105.81178</v>
      </c>
      <c r="G601" s="1020">
        <v>1</v>
      </c>
      <c r="H601" s="1002" t="s">
        <v>484</v>
      </c>
      <c r="I601" s="1001">
        <f t="shared" ref="I601:I604" si="82">IF(G601="",D601*F601,(D601*F601/G601))</f>
        <v>2276.452945</v>
      </c>
      <c r="J601" s="1846"/>
      <c r="K601" s="1846"/>
      <c r="L601" s="1846"/>
    </row>
    <row r="602" spans="1:12">
      <c r="A602" s="1818"/>
      <c r="B602" s="1094"/>
      <c r="C602" s="1817" t="s">
        <v>1182</v>
      </c>
      <c r="D602" s="1018">
        <f>D601</f>
        <v>0.25</v>
      </c>
      <c r="E602" s="1002" t="s">
        <v>484</v>
      </c>
      <c r="F602" s="1093">
        <f>'Civil-SOR'!$F$257</f>
        <v>325</v>
      </c>
      <c r="G602" s="1020">
        <v>1</v>
      </c>
      <c r="H602" s="1002" t="s">
        <v>484</v>
      </c>
      <c r="I602" s="1001">
        <f t="shared" si="82"/>
        <v>81.25</v>
      </c>
      <c r="J602" s="1846"/>
      <c r="K602" s="1846"/>
      <c r="L602" s="1846"/>
    </row>
    <row r="603" spans="1:12">
      <c r="A603" s="1818"/>
      <c r="B603" s="1094"/>
      <c r="C603" s="1817" t="s">
        <v>453</v>
      </c>
      <c r="D603" s="1018">
        <f>D601</f>
        <v>0.25</v>
      </c>
      <c r="E603" s="1002" t="s">
        <v>484</v>
      </c>
      <c r="F603" s="1093">
        <f>'Civil-SOR'!$G$257</f>
        <v>760</v>
      </c>
      <c r="G603" s="1020">
        <v>1</v>
      </c>
      <c r="H603" s="1002" t="s">
        <v>484</v>
      </c>
      <c r="I603" s="1001">
        <f t="shared" si="82"/>
        <v>190</v>
      </c>
      <c r="J603" s="1846"/>
      <c r="K603" s="1846"/>
      <c r="L603" s="1846"/>
    </row>
    <row r="604" spans="1:12">
      <c r="A604" s="1818"/>
      <c r="B604" s="1094"/>
      <c r="C604" s="1817" t="str">
        <f>Input!$C$47</f>
        <v>Add for MA @ 40%</v>
      </c>
      <c r="D604" s="1018">
        <f>Input!$D$47</f>
        <v>0.4</v>
      </c>
      <c r="E604" s="1002"/>
      <c r="F604" s="1093">
        <f>I603</f>
        <v>190</v>
      </c>
      <c r="G604" s="1020"/>
      <c r="H604" s="1002"/>
      <c r="I604" s="1001">
        <f t="shared" si="82"/>
        <v>76</v>
      </c>
      <c r="J604" s="1846"/>
      <c r="K604" s="1846"/>
      <c r="L604" s="1846"/>
    </row>
    <row r="605" spans="1:12">
      <c r="A605" s="1818"/>
      <c r="B605" s="1094"/>
      <c r="C605" s="1817"/>
      <c r="D605" s="1018"/>
      <c r="E605" s="1002"/>
      <c r="F605" s="1093"/>
      <c r="G605" s="1020"/>
      <c r="H605" s="1002"/>
      <c r="I605" s="1001">
        <f>SUM(I601:I604)</f>
        <v>2623.702945</v>
      </c>
      <c r="J605" s="1846"/>
      <c r="K605" s="1846"/>
      <c r="L605" s="1846"/>
    </row>
    <row r="606" spans="1:12">
      <c r="A606" s="1818"/>
      <c r="B606" s="1094"/>
      <c r="C606" s="1817" t="str">
        <f>Input!$C$48</f>
        <v>Overheads &amp; Contractors Profit @ 13.615%</v>
      </c>
      <c r="D606" s="1103">
        <f>Input!$D$48</f>
        <v>0.13614999999999999</v>
      </c>
      <c r="E606" s="1002"/>
      <c r="F606" s="1093">
        <f>I605</f>
        <v>2623.702945</v>
      </c>
      <c r="G606" s="1020"/>
      <c r="H606" s="1104"/>
      <c r="I606" s="1001">
        <f>IF(G606="",D606*F606,(D606*F606/G606))</f>
        <v>357.21715596175</v>
      </c>
      <c r="J606" s="1846"/>
      <c r="K606" s="1846"/>
      <c r="L606" s="1846"/>
    </row>
    <row r="607" spans="1:12">
      <c r="A607" s="1818"/>
      <c r="B607" s="1094"/>
      <c r="C607" s="1816" t="s">
        <v>1045</v>
      </c>
      <c r="D607" s="1002"/>
      <c r="E607" s="1002"/>
      <c r="F607" s="1823"/>
      <c r="G607" s="1020"/>
      <c r="H607" s="1104"/>
      <c r="I607" s="1093">
        <f>SUM(I605:I606)</f>
        <v>2980.92010096175</v>
      </c>
      <c r="J607" s="1846"/>
      <c r="K607" s="1846"/>
      <c r="L607" s="1846"/>
    </row>
    <row r="608" spans="1:12">
      <c r="A608" s="1818"/>
      <c r="B608" s="1107"/>
      <c r="C608" s="1817"/>
      <c r="D608" s="996"/>
      <c r="E608" s="996"/>
      <c r="F608" s="1023"/>
      <c r="G608" s="1108"/>
      <c r="H608" s="1109" t="s">
        <v>1065</v>
      </c>
      <c r="I608" s="1826">
        <f>ROUND(I607,0)</f>
        <v>2981</v>
      </c>
      <c r="J608" s="1846"/>
      <c r="K608" s="1846"/>
      <c r="L608" s="1846"/>
    </row>
    <row r="609" spans="1:64">
      <c r="A609" s="1818"/>
      <c r="B609" s="1094"/>
      <c r="C609" s="1816"/>
      <c r="D609" s="1000"/>
      <c r="E609" s="1069"/>
      <c r="F609" s="1001"/>
      <c r="G609" s="1015"/>
      <c r="H609" s="1047"/>
      <c r="I609" s="1011"/>
      <c r="J609" s="1846"/>
      <c r="K609" s="1846"/>
      <c r="L609" s="1846"/>
    </row>
    <row r="610" spans="1:64" ht="12.75" customHeight="1">
      <c r="A610" s="1818"/>
      <c r="B610" s="1106" t="s">
        <v>1188</v>
      </c>
      <c r="C610" s="2045" t="s">
        <v>1196</v>
      </c>
      <c r="D610" s="2045"/>
      <c r="E610" s="1846"/>
      <c r="F610" s="1068"/>
      <c r="G610" s="1102"/>
      <c r="H610" s="1846"/>
      <c r="I610" s="1021"/>
      <c r="J610" s="1846"/>
      <c r="K610" s="1846"/>
      <c r="L610" s="1846"/>
    </row>
    <row r="611" spans="1:64">
      <c r="A611" s="1818"/>
      <c r="B611" s="1094"/>
      <c r="C611" s="1817" t="s">
        <v>1181</v>
      </c>
      <c r="D611" s="1018">
        <v>0.3</v>
      </c>
      <c r="E611" s="1002" t="s">
        <v>484</v>
      </c>
      <c r="F611" s="1093">
        <f>$I$519</f>
        <v>9105.81178</v>
      </c>
      <c r="G611" s="1020">
        <v>1</v>
      </c>
      <c r="H611" s="1002" t="s">
        <v>484</v>
      </c>
      <c r="I611" s="1001">
        <f t="shared" ref="I611:I614" si="83">IF(G611="",D611*F611,(D611*F611/G611))</f>
        <v>2731.7435339999997</v>
      </c>
      <c r="J611" s="1002"/>
      <c r="K611" s="1002"/>
      <c r="L611" s="1002"/>
      <c r="M611" s="1003"/>
      <c r="N611" s="1003"/>
      <c r="O611" s="1003"/>
      <c r="P611" s="1003"/>
      <c r="Q611" s="1003"/>
      <c r="R611" s="1003"/>
      <c r="S611" s="1003"/>
      <c r="T611" s="1003"/>
      <c r="U611" s="1003"/>
      <c r="V611" s="1003"/>
      <c r="W611" s="1003"/>
      <c r="X611" s="1003"/>
      <c r="Y611" s="1003"/>
      <c r="Z611" s="1003"/>
      <c r="AA611" s="1003"/>
      <c r="AB611" s="1003"/>
      <c r="AC611" s="1003"/>
      <c r="AD611" s="1003"/>
      <c r="AE611" s="1003"/>
      <c r="AF611" s="1003"/>
      <c r="AG611" s="1003"/>
      <c r="AH611" s="1003"/>
      <c r="AI611" s="1003"/>
      <c r="AJ611" s="1003"/>
      <c r="AK611" s="1003"/>
      <c r="AL611" s="1003"/>
      <c r="AM611" s="1003"/>
      <c r="AN611" s="1003"/>
      <c r="AO611" s="1003"/>
      <c r="AP611" s="1003"/>
      <c r="AQ611" s="1003"/>
      <c r="AR611" s="1003"/>
      <c r="AS611" s="1003"/>
      <c r="AT611" s="1003"/>
      <c r="AU611" s="1003"/>
      <c r="AV611" s="1003"/>
      <c r="AW611" s="1003"/>
      <c r="AX611" s="1003"/>
      <c r="AY611" s="1003"/>
      <c r="AZ611" s="1003"/>
      <c r="BA611" s="1003"/>
      <c r="BB611" s="1003"/>
      <c r="BC611" s="1003"/>
      <c r="BD611" s="1003"/>
      <c r="BE611" s="1003"/>
      <c r="BF611" s="1003"/>
      <c r="BG611" s="1003"/>
      <c r="BH611" s="1003"/>
      <c r="BI611" s="1003"/>
      <c r="BJ611" s="1003"/>
      <c r="BK611" s="1003"/>
      <c r="BL611" s="1003"/>
    </row>
    <row r="612" spans="1:64">
      <c r="A612" s="1818"/>
      <c r="B612" s="1094"/>
      <c r="C612" s="1817" t="s">
        <v>1182</v>
      </c>
      <c r="D612" s="1018">
        <f>D611</f>
        <v>0.3</v>
      </c>
      <c r="E612" s="1002" t="s">
        <v>484</v>
      </c>
      <c r="F612" s="1093">
        <f>'Civil-SOR'!$F$257</f>
        <v>325</v>
      </c>
      <c r="G612" s="1020">
        <v>1</v>
      </c>
      <c r="H612" s="1002" t="s">
        <v>484</v>
      </c>
      <c r="I612" s="1001">
        <f t="shared" si="83"/>
        <v>97.5</v>
      </c>
      <c r="J612" s="1002"/>
      <c r="K612" s="1002"/>
      <c r="L612" s="1002"/>
      <c r="M612" s="1003"/>
      <c r="N612" s="1003"/>
      <c r="O612" s="1003"/>
      <c r="P612" s="1003"/>
      <c r="Q612" s="1003"/>
      <c r="R612" s="1003"/>
      <c r="S612" s="1003"/>
      <c r="T612" s="1003"/>
      <c r="U612" s="1003"/>
      <c r="V612" s="1003"/>
      <c r="W612" s="1003"/>
      <c r="X612" s="1003"/>
      <c r="Y612" s="1003"/>
      <c r="Z612" s="1003"/>
      <c r="AA612" s="1003"/>
      <c r="AB612" s="1003"/>
      <c r="AC612" s="1003"/>
      <c r="AD612" s="1003"/>
      <c r="AE612" s="1003"/>
      <c r="AF612" s="1003"/>
      <c r="AG612" s="1003"/>
      <c r="AH612" s="1003"/>
      <c r="AI612" s="1003"/>
      <c r="AJ612" s="1003"/>
      <c r="AK612" s="1003"/>
      <c r="AL612" s="1003"/>
      <c r="AM612" s="1003"/>
      <c r="AN612" s="1003"/>
      <c r="AO612" s="1003"/>
      <c r="AP612" s="1003"/>
      <c r="AQ612" s="1003"/>
      <c r="AR612" s="1003"/>
      <c r="AS612" s="1003"/>
      <c r="AT612" s="1003"/>
      <c r="AU612" s="1003"/>
      <c r="AV612" s="1003"/>
      <c r="AW612" s="1003"/>
      <c r="AX612" s="1003"/>
      <c r="AY612" s="1003"/>
      <c r="AZ612" s="1003"/>
      <c r="BA612" s="1003"/>
      <c r="BB612" s="1003"/>
      <c r="BC612" s="1003"/>
      <c r="BD612" s="1003"/>
      <c r="BE612" s="1003"/>
      <c r="BF612" s="1003"/>
      <c r="BG612" s="1003"/>
      <c r="BH612" s="1003"/>
      <c r="BI612" s="1003"/>
      <c r="BJ612" s="1003"/>
      <c r="BK612" s="1003"/>
      <c r="BL612" s="1003"/>
    </row>
    <row r="613" spans="1:64">
      <c r="A613" s="1818"/>
      <c r="B613" s="1094"/>
      <c r="C613" s="1817" t="s">
        <v>453</v>
      </c>
      <c r="D613" s="1018">
        <f>D611</f>
        <v>0.3</v>
      </c>
      <c r="E613" s="1002" t="s">
        <v>484</v>
      </c>
      <c r="F613" s="1093">
        <f>'Civil-SOR'!$G$257</f>
        <v>760</v>
      </c>
      <c r="G613" s="1020">
        <v>1</v>
      </c>
      <c r="H613" s="1002" t="s">
        <v>484</v>
      </c>
      <c r="I613" s="1001">
        <f t="shared" si="83"/>
        <v>228</v>
      </c>
      <c r="J613" s="1002"/>
      <c r="K613" s="1002"/>
      <c r="L613" s="1002"/>
      <c r="M613" s="1003"/>
      <c r="N613" s="1003"/>
      <c r="O613" s="1003"/>
      <c r="P613" s="1003"/>
      <c r="Q613" s="1003"/>
      <c r="R613" s="1003"/>
      <c r="S613" s="1003"/>
      <c r="T613" s="1003"/>
      <c r="U613" s="1003"/>
      <c r="V613" s="1003"/>
      <c r="W613" s="1003"/>
      <c r="X613" s="1003"/>
      <c r="Y613" s="1003"/>
      <c r="Z613" s="1003"/>
      <c r="AA613" s="1003"/>
      <c r="AB613" s="1003"/>
      <c r="AC613" s="1003"/>
      <c r="AD613" s="1003"/>
      <c r="AE613" s="1003"/>
      <c r="AF613" s="1003"/>
      <c r="AG613" s="1003"/>
      <c r="AH613" s="1003"/>
      <c r="AI613" s="1003"/>
      <c r="AJ613" s="1003"/>
      <c r="AK613" s="1003"/>
      <c r="AL613" s="1003"/>
      <c r="AM613" s="1003"/>
      <c r="AN613" s="1003"/>
      <c r="AO613" s="1003"/>
      <c r="AP613" s="1003"/>
      <c r="AQ613" s="1003"/>
      <c r="AR613" s="1003"/>
      <c r="AS613" s="1003"/>
      <c r="AT613" s="1003"/>
      <c r="AU613" s="1003"/>
      <c r="AV613" s="1003"/>
      <c r="AW613" s="1003"/>
      <c r="AX613" s="1003"/>
      <c r="AY613" s="1003"/>
      <c r="AZ613" s="1003"/>
      <c r="BA613" s="1003"/>
      <c r="BB613" s="1003"/>
      <c r="BC613" s="1003"/>
      <c r="BD613" s="1003"/>
      <c r="BE613" s="1003"/>
      <c r="BF613" s="1003"/>
      <c r="BG613" s="1003"/>
      <c r="BH613" s="1003"/>
      <c r="BI613" s="1003"/>
      <c r="BJ613" s="1003"/>
      <c r="BK613" s="1003"/>
      <c r="BL613" s="1003"/>
    </row>
    <row r="614" spans="1:64">
      <c r="A614" s="1818"/>
      <c r="B614" s="1094"/>
      <c r="C614" s="1817" t="str">
        <f>Input!$C$47</f>
        <v>Add for MA @ 40%</v>
      </c>
      <c r="D614" s="1018">
        <f>Input!$D$47</f>
        <v>0.4</v>
      </c>
      <c r="E614" s="1002"/>
      <c r="F614" s="1093">
        <f>I613</f>
        <v>228</v>
      </c>
      <c r="G614" s="1020"/>
      <c r="H614" s="1002"/>
      <c r="I614" s="1001">
        <f t="shared" si="83"/>
        <v>91.2</v>
      </c>
      <c r="J614" s="1002"/>
      <c r="K614" s="1002"/>
      <c r="L614" s="1002"/>
      <c r="M614" s="1003"/>
      <c r="N614" s="1003"/>
      <c r="O614" s="1003"/>
      <c r="P614" s="1003"/>
      <c r="Q614" s="1003"/>
      <c r="R614" s="1003"/>
      <c r="S614" s="1003"/>
      <c r="T614" s="1003"/>
      <c r="U614" s="1003"/>
      <c r="V614" s="1003"/>
      <c r="W614" s="1003"/>
      <c r="X614" s="1003"/>
      <c r="Y614" s="1003"/>
      <c r="Z614" s="1003"/>
      <c r="AA614" s="1003"/>
      <c r="AB614" s="1003"/>
      <c r="AC614" s="1003"/>
      <c r="AD614" s="1003"/>
      <c r="AE614" s="1003"/>
      <c r="AF614" s="1003"/>
      <c r="AG614" s="1003"/>
      <c r="AH614" s="1003"/>
      <c r="AI614" s="1003"/>
      <c r="AJ614" s="1003"/>
      <c r="AK614" s="1003"/>
      <c r="AL614" s="1003"/>
      <c r="AM614" s="1003"/>
      <c r="AN614" s="1003"/>
      <c r="AO614" s="1003"/>
      <c r="AP614" s="1003"/>
      <c r="AQ614" s="1003"/>
      <c r="AR614" s="1003"/>
      <c r="AS614" s="1003"/>
      <c r="AT614" s="1003"/>
      <c r="AU614" s="1003"/>
      <c r="AV614" s="1003"/>
      <c r="AW614" s="1003"/>
      <c r="AX614" s="1003"/>
      <c r="AY614" s="1003"/>
      <c r="AZ614" s="1003"/>
      <c r="BA614" s="1003"/>
      <c r="BB614" s="1003"/>
      <c r="BC614" s="1003"/>
      <c r="BD614" s="1003"/>
      <c r="BE614" s="1003"/>
      <c r="BF614" s="1003"/>
      <c r="BG614" s="1003"/>
      <c r="BH614" s="1003"/>
      <c r="BI614" s="1003"/>
      <c r="BJ614" s="1003"/>
      <c r="BK614" s="1003"/>
      <c r="BL614" s="1003"/>
    </row>
    <row r="615" spans="1:64">
      <c r="A615" s="1818"/>
      <c r="B615" s="1094"/>
      <c r="C615" s="1817"/>
      <c r="D615" s="1018"/>
      <c r="E615" s="1002"/>
      <c r="F615" s="1093"/>
      <c r="G615" s="1020"/>
      <c r="H615" s="1002"/>
      <c r="I615" s="1001">
        <f>SUM(I611:I614)</f>
        <v>3148.4435339999995</v>
      </c>
      <c r="J615" s="1002"/>
      <c r="K615" s="1002"/>
      <c r="L615" s="1002"/>
      <c r="M615" s="1003"/>
      <c r="N615" s="1003"/>
      <c r="O615" s="1003"/>
      <c r="P615" s="1003"/>
      <c r="Q615" s="1003"/>
      <c r="R615" s="1003"/>
      <c r="S615" s="1003"/>
      <c r="T615" s="1003"/>
      <c r="U615" s="1003"/>
      <c r="V615" s="1003"/>
      <c r="W615" s="1003"/>
      <c r="X615" s="1003"/>
      <c r="Y615" s="1003"/>
      <c r="Z615" s="1003"/>
      <c r="AA615" s="1003"/>
      <c r="AB615" s="1003"/>
      <c r="AC615" s="1003"/>
      <c r="AD615" s="1003"/>
      <c r="AE615" s="1003"/>
      <c r="AF615" s="1003"/>
      <c r="AG615" s="1003"/>
      <c r="AH615" s="1003"/>
      <c r="AI615" s="1003"/>
      <c r="AJ615" s="1003"/>
      <c r="AK615" s="1003"/>
      <c r="AL615" s="1003"/>
      <c r="AM615" s="1003"/>
      <c r="AN615" s="1003"/>
      <c r="AO615" s="1003"/>
      <c r="AP615" s="1003"/>
      <c r="AQ615" s="1003"/>
      <c r="AR615" s="1003"/>
      <c r="AS615" s="1003"/>
      <c r="AT615" s="1003"/>
      <c r="AU615" s="1003"/>
      <c r="AV615" s="1003"/>
      <c r="AW615" s="1003"/>
      <c r="AX615" s="1003"/>
      <c r="AY615" s="1003"/>
      <c r="AZ615" s="1003"/>
      <c r="BA615" s="1003"/>
      <c r="BB615" s="1003"/>
      <c r="BC615" s="1003"/>
      <c r="BD615" s="1003"/>
      <c r="BE615" s="1003"/>
      <c r="BF615" s="1003"/>
      <c r="BG615" s="1003"/>
      <c r="BH615" s="1003"/>
      <c r="BI615" s="1003"/>
      <c r="BJ615" s="1003"/>
      <c r="BK615" s="1003"/>
      <c r="BL615" s="1003"/>
    </row>
    <row r="616" spans="1:64">
      <c r="A616" s="1818"/>
      <c r="B616" s="1094"/>
      <c r="C616" s="1817" t="str">
        <f>Input!$C$48</f>
        <v>Overheads &amp; Contractors Profit @ 13.615%</v>
      </c>
      <c r="D616" s="1103">
        <f>Input!$D$48</f>
        <v>0.13614999999999999</v>
      </c>
      <c r="E616" s="1002"/>
      <c r="F616" s="1093">
        <f>I615</f>
        <v>3148.4435339999995</v>
      </c>
      <c r="G616" s="1020"/>
      <c r="H616" s="1104"/>
      <c r="I616" s="1001">
        <f>IF(G616="",D616*F616,(D616*F616/G616))</f>
        <v>428.66058715409991</v>
      </c>
      <c r="J616" s="1002"/>
      <c r="K616" s="1002"/>
      <c r="L616" s="1002"/>
      <c r="M616" s="1003"/>
      <c r="N616" s="1003"/>
      <c r="O616" s="1003"/>
      <c r="P616" s="1003"/>
      <c r="Q616" s="1003"/>
      <c r="R616" s="1003"/>
      <c r="S616" s="1003"/>
      <c r="T616" s="1003"/>
      <c r="U616" s="1003"/>
      <c r="V616" s="1003"/>
      <c r="W616" s="1003"/>
      <c r="X616" s="1003"/>
      <c r="Y616" s="1003"/>
      <c r="Z616" s="1003"/>
      <c r="AA616" s="1003"/>
      <c r="AB616" s="1003"/>
      <c r="AC616" s="1003"/>
      <c r="AD616" s="1003"/>
      <c r="AE616" s="1003"/>
      <c r="AF616" s="1003"/>
      <c r="AG616" s="1003"/>
      <c r="AH616" s="1003"/>
      <c r="AI616" s="1003"/>
      <c r="AJ616" s="1003"/>
      <c r="AK616" s="1003"/>
      <c r="AL616" s="1003"/>
      <c r="AM616" s="1003"/>
      <c r="AN616" s="1003"/>
      <c r="AO616" s="1003"/>
      <c r="AP616" s="1003"/>
      <c r="AQ616" s="1003"/>
      <c r="AR616" s="1003"/>
      <c r="AS616" s="1003"/>
      <c r="AT616" s="1003"/>
      <c r="AU616" s="1003"/>
      <c r="AV616" s="1003"/>
      <c r="AW616" s="1003"/>
      <c r="AX616" s="1003"/>
      <c r="AY616" s="1003"/>
      <c r="AZ616" s="1003"/>
      <c r="BA616" s="1003"/>
      <c r="BB616" s="1003"/>
      <c r="BC616" s="1003"/>
      <c r="BD616" s="1003"/>
      <c r="BE616" s="1003"/>
      <c r="BF616" s="1003"/>
      <c r="BG616" s="1003"/>
      <c r="BH616" s="1003"/>
      <c r="BI616" s="1003"/>
      <c r="BJ616" s="1003"/>
      <c r="BK616" s="1003"/>
      <c r="BL616" s="1003"/>
    </row>
    <row r="617" spans="1:64">
      <c r="A617" s="1818"/>
      <c r="B617" s="1094"/>
      <c r="C617" s="1816" t="s">
        <v>1045</v>
      </c>
      <c r="D617" s="1002"/>
      <c r="E617" s="1002"/>
      <c r="F617" s="1823"/>
      <c r="G617" s="1020"/>
      <c r="H617" s="1104"/>
      <c r="I617" s="1093">
        <f>SUM(I615:I616)</f>
        <v>3577.1041211540996</v>
      </c>
      <c r="J617" s="1002"/>
      <c r="K617" s="1002"/>
      <c r="L617" s="1002"/>
      <c r="M617" s="1003"/>
      <c r="N617" s="1003"/>
      <c r="O617" s="1003"/>
      <c r="P617" s="1003"/>
      <c r="Q617" s="1003"/>
      <c r="R617" s="1003"/>
      <c r="S617" s="1003"/>
      <c r="T617" s="1003"/>
      <c r="U617" s="1003"/>
      <c r="V617" s="1003"/>
      <c r="W617" s="1003"/>
      <c r="X617" s="1003"/>
      <c r="Y617" s="1003"/>
      <c r="Z617" s="1003"/>
      <c r="AA617" s="1003"/>
      <c r="AB617" s="1003"/>
      <c r="AC617" s="1003"/>
      <c r="AD617" s="1003"/>
      <c r="AE617" s="1003"/>
      <c r="AF617" s="1003"/>
      <c r="AG617" s="1003"/>
      <c r="AH617" s="1003"/>
      <c r="AI617" s="1003"/>
      <c r="AJ617" s="1003"/>
      <c r="AK617" s="1003"/>
      <c r="AL617" s="1003"/>
      <c r="AM617" s="1003"/>
      <c r="AN617" s="1003"/>
      <c r="AO617" s="1003"/>
      <c r="AP617" s="1003"/>
      <c r="AQ617" s="1003"/>
      <c r="AR617" s="1003"/>
      <c r="AS617" s="1003"/>
      <c r="AT617" s="1003"/>
      <c r="AU617" s="1003"/>
      <c r="AV617" s="1003"/>
      <c r="AW617" s="1003"/>
      <c r="AX617" s="1003"/>
      <c r="AY617" s="1003"/>
      <c r="AZ617" s="1003"/>
      <c r="BA617" s="1003"/>
      <c r="BB617" s="1003"/>
      <c r="BC617" s="1003"/>
      <c r="BD617" s="1003"/>
      <c r="BE617" s="1003"/>
      <c r="BF617" s="1003"/>
      <c r="BG617" s="1003"/>
      <c r="BH617" s="1003"/>
      <c r="BI617" s="1003"/>
      <c r="BJ617" s="1003"/>
      <c r="BK617" s="1003"/>
      <c r="BL617" s="1003"/>
    </row>
    <row r="618" spans="1:64">
      <c r="A618" s="1086"/>
      <c r="B618" s="1107"/>
      <c r="C618" s="1110"/>
      <c r="D618" s="996"/>
      <c r="E618" s="996"/>
      <c r="F618" s="1023"/>
      <c r="G618" s="1108"/>
      <c r="H618" s="1109" t="s">
        <v>1065</v>
      </c>
      <c r="I618" s="1826">
        <f>ROUND(I617,0)</f>
        <v>3577</v>
      </c>
      <c r="J618" s="996"/>
      <c r="K618" s="996"/>
      <c r="L618" s="996"/>
      <c r="M618" s="997"/>
      <c r="N618" s="997"/>
      <c r="O618" s="997"/>
      <c r="P618" s="997"/>
      <c r="Q618" s="997"/>
      <c r="R618" s="997"/>
      <c r="S618" s="997"/>
      <c r="T618" s="997"/>
      <c r="U618" s="997"/>
      <c r="V618" s="997"/>
      <c r="W618" s="997"/>
      <c r="X618" s="997"/>
      <c r="Y618" s="997"/>
      <c r="Z618" s="997"/>
      <c r="AA618" s="997"/>
      <c r="AB618" s="997"/>
      <c r="AC618" s="997"/>
      <c r="AD618" s="997"/>
      <c r="AE618" s="997"/>
      <c r="AF618" s="997"/>
      <c r="AG618" s="997"/>
      <c r="AH618" s="997"/>
      <c r="AI618" s="997"/>
      <c r="AJ618" s="997"/>
      <c r="AK618" s="997"/>
      <c r="AL618" s="997"/>
      <c r="AM618" s="997"/>
      <c r="AN618" s="997"/>
      <c r="AO618" s="997"/>
      <c r="AP618" s="997"/>
      <c r="AQ618" s="997"/>
      <c r="AR618" s="997"/>
      <c r="AS618" s="997"/>
      <c r="AT618" s="997"/>
      <c r="AU618" s="997"/>
      <c r="AV618" s="997"/>
      <c r="AW618" s="997"/>
      <c r="AX618" s="997"/>
      <c r="AY618" s="997"/>
      <c r="AZ618" s="997"/>
      <c r="BA618" s="997"/>
      <c r="BB618" s="997"/>
      <c r="BC618" s="997"/>
      <c r="BD618" s="997"/>
      <c r="BE618" s="997"/>
      <c r="BF618" s="997"/>
      <c r="BG618" s="997"/>
      <c r="BH618" s="997"/>
      <c r="BI618" s="997"/>
      <c r="BJ618" s="997"/>
      <c r="BK618" s="997"/>
      <c r="BL618" s="997"/>
    </row>
    <row r="619" spans="1:64">
      <c r="A619" s="1818"/>
      <c r="B619" s="1094"/>
      <c r="C619" s="1817"/>
      <c r="D619" s="1846"/>
      <c r="E619" s="1846"/>
      <c r="F619" s="1068"/>
      <c r="G619" s="1105"/>
      <c r="H619" s="1079"/>
      <c r="I619" s="1011"/>
      <c r="J619" s="1846"/>
      <c r="K619" s="1846"/>
      <c r="L619" s="1846"/>
    </row>
    <row r="620" spans="1:64" ht="12.75" customHeight="1">
      <c r="A620" s="1818"/>
      <c r="B620" s="1106" t="s">
        <v>1197</v>
      </c>
      <c r="C620" s="2045" t="s">
        <v>1198</v>
      </c>
      <c r="D620" s="2045"/>
      <c r="E620" s="1846"/>
      <c r="F620" s="1068"/>
      <c r="G620" s="1102"/>
      <c r="H620" s="1846"/>
      <c r="I620" s="1021"/>
      <c r="J620" s="1846"/>
      <c r="K620" s="1846"/>
      <c r="L620" s="1846"/>
    </row>
    <row r="621" spans="1:64">
      <c r="A621" s="1818"/>
      <c r="B621" s="1094"/>
      <c r="C621" s="1817" t="s">
        <v>1181</v>
      </c>
      <c r="D621" s="1018">
        <v>0.4</v>
      </c>
      <c r="E621" s="1002" t="s">
        <v>484</v>
      </c>
      <c r="F621" s="1093">
        <f>$I$519</f>
        <v>9105.81178</v>
      </c>
      <c r="G621" s="1020">
        <v>1</v>
      </c>
      <c r="H621" s="1002" t="s">
        <v>484</v>
      </c>
      <c r="I621" s="1001">
        <f t="shared" ref="I621:I624" si="84">IF(G621="",D621*F621,(D621*F621/G621))</f>
        <v>3642.3247120000001</v>
      </c>
      <c r="J621" s="1846"/>
      <c r="K621" s="1846"/>
      <c r="L621" s="1846"/>
    </row>
    <row r="622" spans="1:64">
      <c r="A622" s="1818"/>
      <c r="B622" s="1094"/>
      <c r="C622" s="1817" t="s">
        <v>1182</v>
      </c>
      <c r="D622" s="1018">
        <f>D621</f>
        <v>0.4</v>
      </c>
      <c r="E622" s="1002" t="s">
        <v>484</v>
      </c>
      <c r="F622" s="1093">
        <f>'Civil-SOR'!$F$257</f>
        <v>325</v>
      </c>
      <c r="G622" s="1020">
        <v>1</v>
      </c>
      <c r="H622" s="1002" t="s">
        <v>484</v>
      </c>
      <c r="I622" s="1001">
        <f t="shared" si="84"/>
        <v>130</v>
      </c>
      <c r="J622" s="1846"/>
      <c r="K622" s="1846"/>
      <c r="L622" s="1846"/>
    </row>
    <row r="623" spans="1:64">
      <c r="A623" s="1818"/>
      <c r="B623" s="1094"/>
      <c r="C623" s="1817" t="s">
        <v>453</v>
      </c>
      <c r="D623" s="1018">
        <f>D621</f>
        <v>0.4</v>
      </c>
      <c r="E623" s="1002" t="s">
        <v>484</v>
      </c>
      <c r="F623" s="1093">
        <f>'Civil-SOR'!$G$257</f>
        <v>760</v>
      </c>
      <c r="G623" s="1020">
        <v>1</v>
      </c>
      <c r="H623" s="1002" t="s">
        <v>484</v>
      </c>
      <c r="I623" s="1001">
        <f t="shared" si="84"/>
        <v>304</v>
      </c>
      <c r="J623" s="1846"/>
      <c r="K623" s="1846"/>
      <c r="L623" s="1846"/>
    </row>
    <row r="624" spans="1:64">
      <c r="A624" s="1818"/>
      <c r="B624" s="1094"/>
      <c r="C624" s="1817" t="str">
        <f>Input!$C$47</f>
        <v>Add for MA @ 40%</v>
      </c>
      <c r="D624" s="1018">
        <f>Input!$D$47</f>
        <v>0.4</v>
      </c>
      <c r="E624" s="1002"/>
      <c r="F624" s="1093">
        <f>I623</f>
        <v>304</v>
      </c>
      <c r="G624" s="1020"/>
      <c r="H624" s="1002"/>
      <c r="I624" s="1001">
        <f t="shared" si="84"/>
        <v>121.60000000000001</v>
      </c>
      <c r="J624" s="1846"/>
      <c r="K624" s="1846"/>
      <c r="L624" s="1846"/>
    </row>
    <row r="625" spans="1:12">
      <c r="A625" s="1818"/>
      <c r="B625" s="1094"/>
      <c r="C625" s="1817"/>
      <c r="D625" s="1018"/>
      <c r="E625" s="1002"/>
      <c r="F625" s="1093"/>
      <c r="G625" s="1020"/>
      <c r="H625" s="1002"/>
      <c r="I625" s="1001">
        <f>SUM(I621:I624)</f>
        <v>4197.924712</v>
      </c>
      <c r="J625" s="1846"/>
      <c r="K625" s="1846"/>
      <c r="L625" s="1846"/>
    </row>
    <row r="626" spans="1:12">
      <c r="A626" s="1818"/>
      <c r="B626" s="1094"/>
      <c r="C626" s="1817" t="str">
        <f>Input!$C$48</f>
        <v>Overheads &amp; Contractors Profit @ 13.615%</v>
      </c>
      <c r="D626" s="1103">
        <f>Input!$D$48</f>
        <v>0.13614999999999999</v>
      </c>
      <c r="E626" s="1002"/>
      <c r="F626" s="1093">
        <f>I625</f>
        <v>4197.924712</v>
      </c>
      <c r="G626" s="1020"/>
      <c r="H626" s="1104"/>
      <c r="I626" s="1001">
        <f>IF(G626="",D626*F626,(D626*F626/G626))</f>
        <v>571.54744953879992</v>
      </c>
      <c r="J626" s="1846"/>
      <c r="K626" s="1846"/>
      <c r="L626" s="1846"/>
    </row>
    <row r="627" spans="1:12">
      <c r="A627" s="1818"/>
      <c r="B627" s="1094"/>
      <c r="C627" s="1816" t="s">
        <v>1045</v>
      </c>
      <c r="D627" s="1002"/>
      <c r="E627" s="1002"/>
      <c r="F627" s="1823"/>
      <c r="G627" s="1020"/>
      <c r="H627" s="1104"/>
      <c r="I627" s="1093">
        <f>SUM(I625:I626)</f>
        <v>4769.4721615387998</v>
      </c>
      <c r="J627" s="1846"/>
      <c r="K627" s="1846"/>
      <c r="L627" s="1846"/>
    </row>
    <row r="628" spans="1:12">
      <c r="A628" s="1818"/>
      <c r="B628" s="1107"/>
      <c r="C628" s="1817"/>
      <c r="D628" s="996"/>
      <c r="E628" s="996"/>
      <c r="F628" s="1023"/>
      <c r="G628" s="1108"/>
      <c r="H628" s="1109" t="s">
        <v>1065</v>
      </c>
      <c r="I628" s="1826">
        <f>ROUND(I627,0)</f>
        <v>4769</v>
      </c>
      <c r="J628" s="1846"/>
      <c r="K628" s="1846"/>
      <c r="L628" s="1846"/>
    </row>
    <row r="629" spans="1:12" ht="12.75" customHeight="1">
      <c r="A629" s="1818"/>
      <c r="B629" s="1106" t="s">
        <v>1199</v>
      </c>
      <c r="C629" s="2045" t="s">
        <v>1200</v>
      </c>
      <c r="D629" s="2045"/>
      <c r="E629" s="1846"/>
      <c r="F629" s="1068"/>
      <c r="G629" s="1102"/>
      <c r="H629" s="1846"/>
      <c r="I629" s="1021"/>
      <c r="J629" s="1846"/>
      <c r="K629" s="1846"/>
      <c r="L629" s="1846"/>
    </row>
    <row r="630" spans="1:12">
      <c r="A630" s="1818"/>
      <c r="B630" s="1094"/>
      <c r="C630" s="1817" t="s">
        <v>1181</v>
      </c>
      <c r="D630" s="1018">
        <v>0.5</v>
      </c>
      <c r="E630" s="1002" t="s">
        <v>484</v>
      </c>
      <c r="F630" s="1093">
        <f>$I$519</f>
        <v>9105.81178</v>
      </c>
      <c r="G630" s="1020">
        <v>1</v>
      </c>
      <c r="H630" s="1002" t="s">
        <v>484</v>
      </c>
      <c r="I630" s="1001">
        <f t="shared" ref="I630:I633" si="85">IF(G630="",D630*F630,(D630*F630/G630))</f>
        <v>4552.90589</v>
      </c>
      <c r="J630" s="1846"/>
      <c r="K630" s="1846"/>
      <c r="L630" s="1846"/>
    </row>
    <row r="631" spans="1:12">
      <c r="A631" s="1818"/>
      <c r="B631" s="1094"/>
      <c r="C631" s="1817" t="s">
        <v>1182</v>
      </c>
      <c r="D631" s="1018">
        <f>D630</f>
        <v>0.5</v>
      </c>
      <c r="E631" s="1002" t="s">
        <v>484</v>
      </c>
      <c r="F631" s="1093">
        <f>'Civil-SOR'!$F$257</f>
        <v>325</v>
      </c>
      <c r="G631" s="1020">
        <v>1</v>
      </c>
      <c r="H631" s="1002" t="s">
        <v>484</v>
      </c>
      <c r="I631" s="1001">
        <f t="shared" si="85"/>
        <v>162.5</v>
      </c>
      <c r="J631" s="1846"/>
      <c r="K631" s="1846"/>
      <c r="L631" s="1846"/>
    </row>
    <row r="632" spans="1:12">
      <c r="A632" s="1818"/>
      <c r="B632" s="1094"/>
      <c r="C632" s="1817" t="s">
        <v>453</v>
      </c>
      <c r="D632" s="1018">
        <f>D630</f>
        <v>0.5</v>
      </c>
      <c r="E632" s="1002" t="s">
        <v>484</v>
      </c>
      <c r="F632" s="1093">
        <f>'Civil-SOR'!$G$257</f>
        <v>760</v>
      </c>
      <c r="G632" s="1020">
        <v>1</v>
      </c>
      <c r="H632" s="1002" t="s">
        <v>484</v>
      </c>
      <c r="I632" s="1001">
        <f t="shared" si="85"/>
        <v>380</v>
      </c>
      <c r="J632" s="1846"/>
      <c r="K632" s="1846"/>
      <c r="L632" s="1846"/>
    </row>
    <row r="633" spans="1:12">
      <c r="A633" s="1818"/>
      <c r="B633" s="1094"/>
      <c r="C633" s="1817" t="str">
        <f>Input!$C$47</f>
        <v>Add for MA @ 40%</v>
      </c>
      <c r="D633" s="1018">
        <f>Input!$D$47</f>
        <v>0.4</v>
      </c>
      <c r="E633" s="1002"/>
      <c r="F633" s="1093">
        <f>I632</f>
        <v>380</v>
      </c>
      <c r="G633" s="1020"/>
      <c r="H633" s="1002"/>
      <c r="I633" s="1001">
        <f t="shared" si="85"/>
        <v>152</v>
      </c>
      <c r="J633" s="1846"/>
      <c r="K633" s="1846"/>
      <c r="L633" s="1846"/>
    </row>
    <row r="634" spans="1:12">
      <c r="A634" s="1818"/>
      <c r="B634" s="1094"/>
      <c r="C634" s="1817"/>
      <c r="D634" s="1018"/>
      <c r="E634" s="1002"/>
      <c r="F634" s="1093"/>
      <c r="G634" s="1020"/>
      <c r="H634" s="1002"/>
      <c r="I634" s="1001">
        <f>SUM(I630:I633)</f>
        <v>5247.40589</v>
      </c>
      <c r="J634" s="1846"/>
      <c r="K634" s="1846"/>
      <c r="L634" s="1846"/>
    </row>
    <row r="635" spans="1:12">
      <c r="A635" s="1818"/>
      <c r="B635" s="1094"/>
      <c r="C635" s="1817" t="str">
        <f>Input!$C$48</f>
        <v>Overheads &amp; Contractors Profit @ 13.615%</v>
      </c>
      <c r="D635" s="1103">
        <f>Input!$D$48</f>
        <v>0.13614999999999999</v>
      </c>
      <c r="E635" s="1002"/>
      <c r="F635" s="1093">
        <f>I634</f>
        <v>5247.40589</v>
      </c>
      <c r="G635" s="1020"/>
      <c r="H635" s="1104"/>
      <c r="I635" s="1001">
        <f>IF(G635="",D635*F635,(D635*F635/G635))</f>
        <v>714.43431192349999</v>
      </c>
      <c r="J635" s="1846"/>
      <c r="K635" s="1846"/>
      <c r="L635" s="1846"/>
    </row>
    <row r="636" spans="1:12">
      <c r="A636" s="1818"/>
      <c r="B636" s="1094"/>
      <c r="C636" s="1816" t="s">
        <v>1045</v>
      </c>
      <c r="D636" s="1002"/>
      <c r="E636" s="1002"/>
      <c r="F636" s="1823"/>
      <c r="G636" s="1020"/>
      <c r="H636" s="1104"/>
      <c r="I636" s="1093">
        <f>SUM(I634:I635)</f>
        <v>5961.8402019235</v>
      </c>
      <c r="J636" s="1846"/>
      <c r="K636" s="1846"/>
      <c r="L636" s="1846"/>
    </row>
    <row r="637" spans="1:12">
      <c r="A637" s="1818"/>
      <c r="B637" s="1107"/>
      <c r="C637" s="1817"/>
      <c r="D637" s="996"/>
      <c r="E637" s="996"/>
      <c r="F637" s="1023"/>
      <c r="G637" s="1108"/>
      <c r="H637" s="1109" t="s">
        <v>1065</v>
      </c>
      <c r="I637" s="1826">
        <f>ROUND(I636,0)</f>
        <v>5962</v>
      </c>
      <c r="J637" s="1846"/>
      <c r="K637" s="1846"/>
      <c r="L637" s="1846"/>
    </row>
    <row r="638" spans="1:12">
      <c r="A638" s="1818"/>
      <c r="B638" s="1094"/>
      <c r="C638" s="1817"/>
      <c r="D638" s="1846"/>
      <c r="E638" s="1846"/>
      <c r="F638" s="1068"/>
      <c r="G638" s="1105"/>
      <c r="H638" s="1079"/>
      <c r="I638" s="1011"/>
      <c r="J638" s="1846"/>
      <c r="K638" s="1846"/>
      <c r="L638" s="1846"/>
    </row>
    <row r="639" spans="1:12" ht="12.75" customHeight="1">
      <c r="A639" s="1818"/>
      <c r="B639" s="1106" t="s">
        <v>1199</v>
      </c>
      <c r="C639" s="2045" t="s">
        <v>1201</v>
      </c>
      <c r="D639" s="2045"/>
      <c r="E639" s="1846"/>
      <c r="F639" s="1068"/>
      <c r="G639" s="1102"/>
      <c r="H639" s="1846"/>
      <c r="I639" s="1021"/>
      <c r="J639" s="1846"/>
      <c r="K639" s="1846"/>
      <c r="L639" s="1846"/>
    </row>
    <row r="640" spans="1:12">
      <c r="A640" s="1818"/>
      <c r="B640" s="1094"/>
      <c r="C640" s="1817" t="s">
        <v>1181</v>
      </c>
      <c r="D640" s="1018">
        <v>0.6</v>
      </c>
      <c r="E640" s="1002" t="s">
        <v>484</v>
      </c>
      <c r="F640" s="1093">
        <f>$I$519</f>
        <v>9105.81178</v>
      </c>
      <c r="G640" s="1020">
        <v>1</v>
      </c>
      <c r="H640" s="1002" t="s">
        <v>484</v>
      </c>
      <c r="I640" s="1001">
        <f t="shared" ref="I640:I643" si="86">IF(G640="",D640*F640,(D640*F640/G640))</f>
        <v>5463.4870679999995</v>
      </c>
      <c r="J640" s="1846"/>
      <c r="K640" s="1846"/>
      <c r="L640" s="1846"/>
    </row>
    <row r="641" spans="1:12">
      <c r="A641" s="1818"/>
      <c r="B641" s="1094"/>
      <c r="C641" s="1817" t="s">
        <v>1182</v>
      </c>
      <c r="D641" s="1018">
        <f>D640</f>
        <v>0.6</v>
      </c>
      <c r="E641" s="1002" t="s">
        <v>484</v>
      </c>
      <c r="F641" s="1093">
        <f>'Civil-SOR'!$F$257</f>
        <v>325</v>
      </c>
      <c r="G641" s="1020">
        <v>1</v>
      </c>
      <c r="H641" s="1002" t="s">
        <v>484</v>
      </c>
      <c r="I641" s="1001">
        <f t="shared" si="86"/>
        <v>195</v>
      </c>
      <c r="J641" s="1846"/>
      <c r="K641" s="1846"/>
      <c r="L641" s="1846"/>
    </row>
    <row r="642" spans="1:12">
      <c r="A642" s="1818"/>
      <c r="B642" s="1094"/>
      <c r="C642" s="1817" t="s">
        <v>453</v>
      </c>
      <c r="D642" s="1018">
        <f>D640</f>
        <v>0.6</v>
      </c>
      <c r="E642" s="1002" t="s">
        <v>484</v>
      </c>
      <c r="F642" s="1093">
        <f>'Civil-SOR'!$G$257</f>
        <v>760</v>
      </c>
      <c r="G642" s="1020">
        <v>1</v>
      </c>
      <c r="H642" s="1002" t="s">
        <v>484</v>
      </c>
      <c r="I642" s="1001">
        <f t="shared" si="86"/>
        <v>456</v>
      </c>
      <c r="J642" s="1846"/>
      <c r="K642" s="1846"/>
      <c r="L642" s="1846"/>
    </row>
    <row r="643" spans="1:12">
      <c r="A643" s="1818"/>
      <c r="B643" s="1094"/>
      <c r="C643" s="1817" t="str">
        <f>Input!$C$47</f>
        <v>Add for MA @ 40%</v>
      </c>
      <c r="D643" s="1018">
        <f>Input!$D$47</f>
        <v>0.4</v>
      </c>
      <c r="E643" s="1002"/>
      <c r="F643" s="1093">
        <f>I642</f>
        <v>456</v>
      </c>
      <c r="G643" s="1020"/>
      <c r="H643" s="1002"/>
      <c r="I643" s="1001">
        <f t="shared" si="86"/>
        <v>182.4</v>
      </c>
      <c r="J643" s="1846"/>
      <c r="K643" s="1846"/>
      <c r="L643" s="1846"/>
    </row>
    <row r="644" spans="1:12">
      <c r="A644" s="1818"/>
      <c r="B644" s="1094"/>
      <c r="C644" s="1817"/>
      <c r="D644" s="1018"/>
      <c r="E644" s="1002"/>
      <c r="F644" s="1093"/>
      <c r="G644" s="1020"/>
      <c r="H644" s="1002"/>
      <c r="I644" s="1001">
        <f>SUM(I640:I643)</f>
        <v>6296.8870679999991</v>
      </c>
      <c r="J644" s="1846"/>
      <c r="K644" s="1846"/>
      <c r="L644" s="1846"/>
    </row>
    <row r="645" spans="1:12">
      <c r="A645" s="1818"/>
      <c r="B645" s="1094"/>
      <c r="C645" s="1817" t="str">
        <f>Input!$C$48</f>
        <v>Overheads &amp; Contractors Profit @ 13.615%</v>
      </c>
      <c r="D645" s="1103">
        <f>Input!$D$48</f>
        <v>0.13614999999999999</v>
      </c>
      <c r="E645" s="1002"/>
      <c r="F645" s="1093">
        <f>I644</f>
        <v>6296.8870679999991</v>
      </c>
      <c r="G645" s="1020"/>
      <c r="H645" s="1104"/>
      <c r="I645" s="1001">
        <f>IF(G645="",D645*F645,(D645*F645/G645))</f>
        <v>857.32117430819983</v>
      </c>
      <c r="J645" s="1846"/>
      <c r="K645" s="1846"/>
      <c r="L645" s="1846"/>
    </row>
    <row r="646" spans="1:12">
      <c r="A646" s="1818"/>
      <c r="B646" s="1094"/>
      <c r="C646" s="1816" t="s">
        <v>1045</v>
      </c>
      <c r="D646" s="1002"/>
      <c r="E646" s="1002"/>
      <c r="F646" s="1823"/>
      <c r="G646" s="1020"/>
      <c r="H646" s="1104"/>
      <c r="I646" s="1093">
        <f>SUM(I644:I645)</f>
        <v>7154.2082423081993</v>
      </c>
      <c r="J646" s="1846"/>
      <c r="K646" s="1846"/>
      <c r="L646" s="1846"/>
    </row>
    <row r="647" spans="1:12">
      <c r="A647" s="1818"/>
      <c r="B647" s="1107"/>
      <c r="C647" s="1817"/>
      <c r="D647" s="996"/>
      <c r="E647" s="996"/>
      <c r="F647" s="1023"/>
      <c r="G647" s="1108"/>
      <c r="H647" s="1109" t="s">
        <v>1065</v>
      </c>
      <c r="I647" s="1826">
        <f>ROUND(I646,0)</f>
        <v>7154</v>
      </c>
      <c r="J647" s="1846"/>
      <c r="K647" s="1846"/>
      <c r="L647" s="1846"/>
    </row>
    <row r="648" spans="1:12">
      <c r="A648" s="1058"/>
      <c r="B648" s="1111" t="s">
        <v>1197</v>
      </c>
      <c r="C648" s="1816" t="s">
        <v>1202</v>
      </c>
      <c r="D648" s="1846"/>
      <c r="E648" s="1846"/>
      <c r="F648" s="1068"/>
      <c r="G648" s="1105"/>
      <c r="H648" s="1079"/>
      <c r="I648" s="1011"/>
      <c r="J648" s="1846"/>
      <c r="K648" s="1846"/>
      <c r="L648" s="1846"/>
    </row>
    <row r="649" spans="1:12">
      <c r="A649" s="1058"/>
      <c r="B649" s="1112"/>
      <c r="C649" s="1817" t="s">
        <v>1181</v>
      </c>
      <c r="D649" s="1096">
        <v>1</v>
      </c>
      <c r="E649" s="1846" t="s">
        <v>484</v>
      </c>
      <c r="F649" s="1021">
        <f>$I$519</f>
        <v>9105.81178</v>
      </c>
      <c r="G649" s="1105">
        <v>1</v>
      </c>
      <c r="H649" s="1846" t="s">
        <v>484</v>
      </c>
      <c r="I649" s="1030">
        <f t="shared" ref="I649:I650" si="87">IF(G649="",D649*F649,(D649*F649/G649))</f>
        <v>9105.81178</v>
      </c>
      <c r="J649" s="1846"/>
      <c r="K649" s="1846"/>
      <c r="L649" s="1846"/>
    </row>
    <row r="650" spans="1:12">
      <c r="A650" s="1058"/>
      <c r="B650" s="1112"/>
      <c r="C650" s="1817" t="str">
        <f>Input!$C$48</f>
        <v>Overheads &amp; Contractors Profit @ 13.615%</v>
      </c>
      <c r="D650" s="1113">
        <f>Input!$D$48</f>
        <v>0.13614999999999999</v>
      </c>
      <c r="E650" s="1846"/>
      <c r="F650" s="1021">
        <f>I649</f>
        <v>9105.81178</v>
      </c>
      <c r="G650" s="1105"/>
      <c r="H650" s="1079"/>
      <c r="I650" s="1030">
        <f t="shared" si="87"/>
        <v>1239.7562738469999</v>
      </c>
      <c r="J650" s="1846"/>
      <c r="K650" s="1846"/>
      <c r="L650" s="1846"/>
    </row>
    <row r="651" spans="1:12">
      <c r="A651" s="1058"/>
      <c r="B651" s="1112"/>
      <c r="C651" s="1816" t="s">
        <v>1032</v>
      </c>
      <c r="D651" s="1846"/>
      <c r="E651" s="1846"/>
      <c r="F651" s="1068"/>
      <c r="G651" s="1105"/>
      <c r="H651" s="1079"/>
      <c r="I651" s="1021">
        <f>SUM(I649:I650)</f>
        <v>10345.568053847001</v>
      </c>
      <c r="J651" s="1846"/>
      <c r="K651" s="1846"/>
      <c r="L651" s="1846"/>
    </row>
    <row r="652" spans="1:12">
      <c r="A652" s="1058"/>
      <c r="B652" s="1112"/>
      <c r="C652" s="1817"/>
      <c r="D652" s="1846"/>
      <c r="E652" s="1846"/>
      <c r="F652" s="1068"/>
      <c r="G652" s="1105"/>
      <c r="H652" s="1077" t="s">
        <v>1065</v>
      </c>
      <c r="I652" s="1011">
        <f>ROUND(I651,0)</f>
        <v>10346</v>
      </c>
      <c r="J652" s="1846"/>
      <c r="K652" s="1846"/>
      <c r="L652" s="1846"/>
    </row>
    <row r="653" spans="1:12">
      <c r="A653" s="1818"/>
      <c r="B653" s="1094"/>
      <c r="C653" s="1816"/>
      <c r="D653" s="1000"/>
      <c r="E653" s="1069"/>
      <c r="F653" s="1001"/>
      <c r="G653" s="1015"/>
      <c r="H653" s="1047"/>
      <c r="I653" s="1011"/>
      <c r="J653" s="1846"/>
      <c r="K653" s="1846"/>
      <c r="L653" s="1846"/>
    </row>
    <row r="654" spans="1:12" ht="116.1" customHeight="1">
      <c r="A654" s="1822">
        <f>1+A500</f>
        <v>14</v>
      </c>
      <c r="B654" s="1822"/>
      <c r="C654" s="2036" t="s">
        <v>3401</v>
      </c>
      <c r="D654" s="2036"/>
      <c r="E654" s="2036"/>
      <c r="F654" s="2036"/>
      <c r="G654" s="2036"/>
      <c r="H654" s="2036"/>
      <c r="I654" s="2036"/>
      <c r="J654" s="1846"/>
      <c r="K654" s="1846"/>
      <c r="L654" s="1846"/>
    </row>
    <row r="655" spans="1:12">
      <c r="A655" s="1823"/>
      <c r="B655" s="1846"/>
      <c r="C655" s="1078" t="s">
        <v>1203</v>
      </c>
      <c r="D655" s="1846"/>
      <c r="E655" s="1846"/>
      <c r="F655" s="1068"/>
      <c r="G655" s="1846"/>
      <c r="H655" s="1817"/>
      <c r="I655" s="1848"/>
      <c r="J655" s="1846"/>
      <c r="K655" s="1846"/>
      <c r="L655" s="1846"/>
    </row>
    <row r="656" spans="1:12" ht="12.75" customHeight="1">
      <c r="A656" s="1823"/>
      <c r="B656" s="1098"/>
      <c r="C656" s="2045" t="s">
        <v>1204</v>
      </c>
      <c r="D656" s="2045"/>
      <c r="E656" s="2045"/>
      <c r="F656" s="2045"/>
      <c r="G656" s="2045"/>
      <c r="H656" s="1817"/>
      <c r="I656" s="1848"/>
      <c r="J656" s="1846"/>
      <c r="K656" s="1846"/>
      <c r="L656" s="1846"/>
    </row>
    <row r="657" spans="1:20">
      <c r="A657" s="1823"/>
      <c r="B657" s="1098"/>
      <c r="C657" s="1821" t="s">
        <v>1139</v>
      </c>
      <c r="D657" s="1849"/>
      <c r="E657" s="1849"/>
      <c r="F657" s="1847"/>
      <c r="G657" s="1849"/>
      <c r="H657" s="1817"/>
      <c r="I657" s="1848"/>
      <c r="J657" s="1846"/>
      <c r="K657" s="1846"/>
      <c r="L657" s="1846"/>
    </row>
    <row r="658" spans="1:20">
      <c r="A658" s="1823"/>
      <c r="B658" s="1823"/>
      <c r="C658" s="1817" t="s">
        <v>889</v>
      </c>
      <c r="D658" s="1018">
        <v>380</v>
      </c>
      <c r="E658" s="1002" t="s">
        <v>1110</v>
      </c>
      <c r="F658" s="1093">
        <f>LEAD!$N$6</f>
        <v>5200</v>
      </c>
      <c r="G658" s="1020">
        <v>1000</v>
      </c>
      <c r="H658" s="1002" t="s">
        <v>1110</v>
      </c>
      <c r="I658" s="1001">
        <f t="shared" ref="I658:I660" si="88">IF(G658="",D658*F658,(D658*F658/G658))</f>
        <v>1976</v>
      </c>
      <c r="J658" s="1002"/>
      <c r="K658" s="1002"/>
      <c r="L658" s="1002"/>
      <c r="M658" s="1003"/>
      <c r="N658" s="1003"/>
      <c r="O658" s="1003"/>
      <c r="P658" s="1003"/>
      <c r="Q658" s="1003"/>
      <c r="R658" s="1003"/>
      <c r="S658" s="1003"/>
      <c r="T658" s="1003"/>
    </row>
    <row r="659" spans="1:20">
      <c r="A659" s="1823"/>
      <c r="B659" s="1823"/>
      <c r="C659" s="1817" t="s">
        <v>1171</v>
      </c>
      <c r="D659" s="1018">
        <v>0.8</v>
      </c>
      <c r="E659" s="1002" t="s">
        <v>484</v>
      </c>
      <c r="F659" s="1001">
        <f>$F$16</f>
        <v>1447.96</v>
      </c>
      <c r="G659" s="1020">
        <v>1</v>
      </c>
      <c r="H659" s="1002" t="s">
        <v>484</v>
      </c>
      <c r="I659" s="1001">
        <f t="shared" si="88"/>
        <v>1158.3680000000002</v>
      </c>
      <c r="J659" s="1002"/>
      <c r="K659" s="1002"/>
      <c r="L659" s="1002"/>
      <c r="M659" s="1003"/>
      <c r="N659" s="1003"/>
      <c r="O659" s="1003"/>
      <c r="P659" s="1003"/>
      <c r="Q659" s="1003"/>
      <c r="R659" s="1003"/>
      <c r="S659" s="1003"/>
      <c r="T659" s="1003"/>
    </row>
    <row r="660" spans="1:20">
      <c r="A660" s="1823"/>
      <c r="B660" s="1823"/>
      <c r="C660" s="1817" t="s">
        <v>1163</v>
      </c>
      <c r="D660" s="1018">
        <v>0.4</v>
      </c>
      <c r="E660" s="1002" t="s">
        <v>484</v>
      </c>
      <c r="F660" s="1093">
        <f>LEAD!$N$12</f>
        <v>2253.91</v>
      </c>
      <c r="G660" s="1020">
        <v>1</v>
      </c>
      <c r="H660" s="1002" t="s">
        <v>484</v>
      </c>
      <c r="I660" s="1001">
        <f t="shared" si="88"/>
        <v>901.56399999999996</v>
      </c>
      <c r="J660" s="1002"/>
      <c r="K660" s="1002"/>
      <c r="L660" s="1002"/>
      <c r="M660" s="1003"/>
      <c r="N660" s="1003"/>
      <c r="O660" s="1003"/>
      <c r="P660" s="1003"/>
      <c r="Q660" s="1003"/>
      <c r="R660" s="1003"/>
      <c r="S660" s="1003"/>
      <c r="T660" s="1003"/>
    </row>
    <row r="661" spans="1:20">
      <c r="A661" s="1823"/>
      <c r="B661" s="1823"/>
      <c r="C661" s="1816" t="s">
        <v>1172</v>
      </c>
      <c r="D661" s="1002"/>
      <c r="E661" s="1002"/>
      <c r="F661" s="1823"/>
      <c r="G661" s="1002"/>
      <c r="H661" s="1002"/>
      <c r="I661" s="1093"/>
      <c r="J661" s="1002"/>
      <c r="K661" s="1002"/>
      <c r="L661" s="1002"/>
      <c r="M661" s="1003"/>
      <c r="N661" s="1003"/>
      <c r="O661" s="1003"/>
      <c r="P661" s="1003"/>
      <c r="Q661" s="1003"/>
      <c r="R661" s="1003"/>
      <c r="S661" s="1003"/>
      <c r="T661" s="1003"/>
    </row>
    <row r="662" spans="1:20">
      <c r="A662" s="1823"/>
      <c r="B662" s="1823"/>
      <c r="C662" s="1817" t="s">
        <v>1173</v>
      </c>
      <c r="D662" s="1099">
        <v>0.16700000000000001</v>
      </c>
      <c r="E662" s="1002" t="s">
        <v>955</v>
      </c>
      <c r="F662" s="1093">
        <f>'Civil-SOR'!$G$293</f>
        <v>580</v>
      </c>
      <c r="G662" s="1020">
        <v>1</v>
      </c>
      <c r="H662" s="1002" t="s">
        <v>501</v>
      </c>
      <c r="I662" s="1001">
        <f t="shared" ref="I662:I665" si="89">IF(G662="",D662*F662,(D662*F662/G662))</f>
        <v>96.86</v>
      </c>
      <c r="J662" s="1002"/>
      <c r="K662" s="1002"/>
      <c r="L662" s="1002"/>
      <c r="M662" s="1003"/>
      <c r="N662" s="1003"/>
      <c r="O662" s="1003"/>
      <c r="P662" s="1003"/>
      <c r="Q662" s="1003"/>
      <c r="R662" s="1003"/>
      <c r="S662" s="1003"/>
      <c r="T662" s="1003"/>
    </row>
    <row r="663" spans="1:20">
      <c r="A663" s="1823"/>
      <c r="B663" s="1823"/>
      <c r="C663" s="1817" t="s">
        <v>1174</v>
      </c>
      <c r="D663" s="1099">
        <v>0.16700000000000001</v>
      </c>
      <c r="E663" s="1002" t="s">
        <v>955</v>
      </c>
      <c r="F663" s="1093">
        <f>'Civil-SOR'!$G$302</f>
        <v>550</v>
      </c>
      <c r="G663" s="1020">
        <v>1</v>
      </c>
      <c r="H663" s="1002" t="str">
        <f>H662</f>
        <v>Each</v>
      </c>
      <c r="I663" s="1001">
        <f t="shared" si="89"/>
        <v>91.850000000000009</v>
      </c>
      <c r="J663" s="1002"/>
      <c r="K663" s="1002"/>
      <c r="L663" s="1002"/>
      <c r="M663" s="1003"/>
      <c r="N663" s="1003"/>
      <c r="O663" s="1003"/>
      <c r="P663" s="1003"/>
      <c r="Q663" s="1003"/>
      <c r="R663" s="1003"/>
      <c r="S663" s="1003"/>
      <c r="T663" s="1003"/>
    </row>
    <row r="664" spans="1:20">
      <c r="A664" s="1823"/>
      <c r="B664" s="1823"/>
      <c r="C664" s="1817" t="s">
        <v>1175</v>
      </c>
      <c r="D664" s="1018">
        <v>5.6</v>
      </c>
      <c r="E664" s="1002" t="s">
        <v>955</v>
      </c>
      <c r="F664" s="1093">
        <f>'Civil-SOR'!$G$307</f>
        <v>520</v>
      </c>
      <c r="G664" s="1020">
        <v>1</v>
      </c>
      <c r="H664" s="1002" t="str">
        <f>H662</f>
        <v>Each</v>
      </c>
      <c r="I664" s="1001">
        <f t="shared" si="89"/>
        <v>2912</v>
      </c>
      <c r="J664" s="1002"/>
      <c r="K664" s="1002"/>
      <c r="L664" s="1002"/>
      <c r="M664" s="1003"/>
      <c r="N664" s="1003"/>
      <c r="O664" s="1003"/>
      <c r="P664" s="1003"/>
      <c r="Q664" s="1003"/>
      <c r="R664" s="1003"/>
      <c r="S664" s="1003"/>
      <c r="T664" s="1003"/>
    </row>
    <row r="665" spans="1:20">
      <c r="A665" s="1823"/>
      <c r="B665" s="1823"/>
      <c r="C665" s="1817" t="str">
        <f>Input!$C$47</f>
        <v>Add for MA @ 40%</v>
      </c>
      <c r="D665" s="1018">
        <f>Input!$D$47</f>
        <v>0.4</v>
      </c>
      <c r="E665" s="1002"/>
      <c r="F665" s="1019">
        <f>SUM(I662:I664)</f>
        <v>3100.71</v>
      </c>
      <c r="G665" s="1020"/>
      <c r="H665" s="1002"/>
      <c r="I665" s="1001">
        <f t="shared" si="89"/>
        <v>1240.2840000000001</v>
      </c>
      <c r="J665" s="1002"/>
      <c r="K665" s="1002"/>
      <c r="L665" s="1002"/>
      <c r="M665" s="1003"/>
      <c r="N665" s="1003"/>
      <c r="O665" s="1003"/>
      <c r="P665" s="1003"/>
      <c r="Q665" s="1003"/>
      <c r="R665" s="1003"/>
      <c r="S665" s="1003"/>
      <c r="T665" s="1003"/>
    </row>
    <row r="666" spans="1:20">
      <c r="A666" s="1823"/>
      <c r="B666" s="1823"/>
      <c r="C666" s="1816" t="s">
        <v>1176</v>
      </c>
      <c r="D666" s="1018"/>
      <c r="E666" s="1002"/>
      <c r="F666" s="1093"/>
      <c r="G666" s="1020"/>
      <c r="H666" s="1002"/>
      <c r="I666" s="1001"/>
      <c r="J666" s="1002"/>
      <c r="K666" s="1002"/>
      <c r="L666" s="1002"/>
      <c r="M666" s="1003"/>
      <c r="N666" s="1003"/>
      <c r="O666" s="1003"/>
      <c r="P666" s="1003"/>
      <c r="Q666" s="1003"/>
      <c r="R666" s="1003"/>
      <c r="S666" s="1003"/>
      <c r="T666" s="1003"/>
    </row>
    <row r="667" spans="1:20" ht="25.5">
      <c r="A667" s="1823"/>
      <c r="B667" s="1823"/>
      <c r="C667" s="1817" t="s">
        <v>582</v>
      </c>
      <c r="D667" s="1099">
        <v>1.333</v>
      </c>
      <c r="E667" s="1002" t="s">
        <v>1083</v>
      </c>
      <c r="F667" s="1093">
        <f>'Civil-SOR'!G330</f>
        <v>192.9</v>
      </c>
      <c r="G667" s="1020">
        <v>1</v>
      </c>
      <c r="H667" s="1002" t="s">
        <v>400</v>
      </c>
      <c r="I667" s="1001">
        <f t="shared" ref="I667:I672" si="90">IF(G667="",D667*F667,(D667*F667/G667))</f>
        <v>257.13569999999999</v>
      </c>
      <c r="J667" s="1002"/>
      <c r="K667" s="1002"/>
      <c r="L667" s="1002"/>
      <c r="M667" s="1003"/>
      <c r="N667" s="1003"/>
      <c r="O667" s="1003"/>
      <c r="P667" s="1003"/>
      <c r="Q667" s="1003"/>
      <c r="R667" s="1003"/>
      <c r="S667" s="1003"/>
      <c r="T667" s="1003"/>
    </row>
    <row r="668" spans="1:20">
      <c r="A668" s="1823"/>
      <c r="B668" s="1823"/>
      <c r="C668" s="1817" t="s">
        <v>579</v>
      </c>
      <c r="D668" s="1099">
        <v>1.333</v>
      </c>
      <c r="E668" s="1002" t="s">
        <v>1083</v>
      </c>
      <c r="F668" s="1093">
        <f>'Civil-SOR'!J330</f>
        <v>302.89999999999998</v>
      </c>
      <c r="G668" s="1020">
        <v>1</v>
      </c>
      <c r="H668" s="1002" t="s">
        <v>400</v>
      </c>
      <c r="I668" s="1001">
        <f t="shared" si="90"/>
        <v>403.76569999999998</v>
      </c>
      <c r="J668" s="1002"/>
      <c r="K668" s="1002"/>
      <c r="L668" s="1002"/>
      <c r="M668" s="1003"/>
      <c r="N668" s="1003"/>
      <c r="O668" s="1003"/>
      <c r="P668" s="1003"/>
      <c r="Q668" s="1003"/>
      <c r="R668" s="1003"/>
      <c r="S668" s="1003"/>
      <c r="T668" s="1003"/>
    </row>
    <row r="669" spans="1:20">
      <c r="A669" s="1823"/>
      <c r="B669" s="1823"/>
      <c r="C669" s="1817" t="s">
        <v>1178</v>
      </c>
      <c r="D669" s="1099">
        <v>1.333</v>
      </c>
      <c r="E669" s="1002" t="s">
        <v>1083</v>
      </c>
      <c r="F669" s="1093">
        <f>'Civil-SOR'!$G$332</f>
        <v>36.5</v>
      </c>
      <c r="G669" s="1020">
        <v>1</v>
      </c>
      <c r="H669" s="1002" t="s">
        <v>400</v>
      </c>
      <c r="I669" s="1001">
        <f t="shared" si="90"/>
        <v>48.654499999999999</v>
      </c>
      <c r="J669" s="1002"/>
      <c r="K669" s="1002"/>
      <c r="L669" s="1002"/>
      <c r="M669" s="1003"/>
      <c r="N669" s="1003"/>
      <c r="O669" s="1003"/>
      <c r="P669" s="1003"/>
      <c r="Q669" s="1003"/>
      <c r="R669" s="1003"/>
      <c r="S669" s="1003"/>
      <c r="T669" s="1003"/>
    </row>
    <row r="670" spans="1:20">
      <c r="A670" s="1823"/>
      <c r="B670" s="1823"/>
      <c r="C670" s="1817" t="s">
        <v>579</v>
      </c>
      <c r="D670" s="1099">
        <v>1.333</v>
      </c>
      <c r="E670" s="1002" t="s">
        <v>1083</v>
      </c>
      <c r="F670" s="1093">
        <f>'Civil-SOR'!$J$332</f>
        <v>218</v>
      </c>
      <c r="G670" s="1020">
        <v>1</v>
      </c>
      <c r="H670" s="1002" t="s">
        <v>400</v>
      </c>
      <c r="I670" s="1001">
        <f t="shared" si="90"/>
        <v>290.59399999999999</v>
      </c>
      <c r="J670" s="1002"/>
      <c r="K670" s="1002"/>
      <c r="L670" s="1002"/>
      <c r="M670" s="1003"/>
      <c r="N670" s="1003"/>
      <c r="O670" s="1003"/>
      <c r="P670" s="1003"/>
      <c r="Q670" s="1003"/>
      <c r="R670" s="1003"/>
      <c r="S670" s="1003"/>
      <c r="T670" s="1003"/>
    </row>
    <row r="671" spans="1:20">
      <c r="A671" s="1823"/>
      <c r="B671" s="1823"/>
      <c r="C671" s="1817" t="s">
        <v>1085</v>
      </c>
      <c r="D671" s="1018">
        <f>Input!$D$47</f>
        <v>0.4</v>
      </c>
      <c r="E671" s="1002"/>
      <c r="F671" s="1093">
        <f>I668+I670</f>
        <v>694.35969999999998</v>
      </c>
      <c r="G671" s="1020"/>
      <c r="H671" s="1002"/>
      <c r="I671" s="1001">
        <f t="shared" si="90"/>
        <v>277.74387999999999</v>
      </c>
      <c r="J671" s="1002"/>
      <c r="K671" s="1002"/>
      <c r="L671" s="1002"/>
      <c r="M671" s="1003"/>
      <c r="N671" s="1003"/>
      <c r="O671" s="1003"/>
      <c r="P671" s="1003"/>
      <c r="Q671" s="1003"/>
      <c r="R671" s="1003"/>
      <c r="S671" s="1003"/>
      <c r="T671" s="1003"/>
    </row>
    <row r="672" spans="1:20">
      <c r="A672" s="1823"/>
      <c r="B672" s="1823"/>
      <c r="C672" s="1817" t="s">
        <v>1179</v>
      </c>
      <c r="D672" s="1000">
        <v>1.2</v>
      </c>
      <c r="E672" s="1044" t="s">
        <v>1143</v>
      </c>
      <c r="F672" s="1001">
        <f>Input!$D$53</f>
        <v>108</v>
      </c>
      <c r="G672" s="1015">
        <v>1</v>
      </c>
      <c r="H672" s="1085" t="str">
        <f>IF(E672="","",IF(E672="No.","Each",IF(E672="Nos.","Each",E672)))</f>
        <v>kl</v>
      </c>
      <c r="I672" s="1001">
        <f t="shared" si="90"/>
        <v>129.6</v>
      </c>
      <c r="J672" s="1002"/>
      <c r="K672" s="1002"/>
      <c r="L672" s="1002"/>
      <c r="M672" s="1003"/>
      <c r="N672" s="1003"/>
      <c r="O672" s="1003"/>
      <c r="P672" s="1003"/>
      <c r="Q672" s="1003"/>
      <c r="R672" s="1003"/>
      <c r="S672" s="1003"/>
      <c r="T672" s="1003"/>
    </row>
    <row r="673" spans="1:20">
      <c r="A673" s="1023"/>
      <c r="B673" s="1023"/>
      <c r="C673" s="1816" t="s">
        <v>1032</v>
      </c>
      <c r="D673" s="996"/>
      <c r="E673" s="996"/>
      <c r="F673" s="1023"/>
      <c r="G673" s="1100"/>
      <c r="H673" s="996"/>
      <c r="I673" s="1834">
        <f>SUM(I658:I672)</f>
        <v>9784.419780000002</v>
      </c>
      <c r="J673" s="996"/>
      <c r="K673" s="996"/>
      <c r="L673" s="996"/>
      <c r="M673" s="997"/>
      <c r="N673" s="997"/>
      <c r="O673" s="997"/>
      <c r="P673" s="997"/>
      <c r="Q673" s="997"/>
      <c r="R673" s="997"/>
      <c r="S673" s="997"/>
      <c r="T673" s="997"/>
    </row>
    <row r="674" spans="1:20">
      <c r="A674" s="1823"/>
      <c r="B674" s="1068"/>
      <c r="C674" s="1821"/>
      <c r="D674" s="1846"/>
      <c r="E674" s="1846"/>
      <c r="F674" s="1068"/>
      <c r="G674" s="1105"/>
      <c r="H674" s="1098"/>
      <c r="I674" s="1080"/>
      <c r="J674" s="1846"/>
      <c r="K674" s="1846"/>
      <c r="L674" s="1846"/>
    </row>
    <row r="675" spans="1:20" ht="25.5">
      <c r="A675" s="1823"/>
      <c r="B675" s="1098" t="s">
        <v>294</v>
      </c>
      <c r="C675" s="1821" t="s">
        <v>1205</v>
      </c>
      <c r="D675" s="1096"/>
      <c r="E675" s="1846"/>
      <c r="F675" s="1021"/>
      <c r="G675" s="1105"/>
      <c r="H675" s="1846"/>
      <c r="I675" s="1021"/>
      <c r="J675" s="1846"/>
      <c r="K675" s="1846"/>
      <c r="L675" s="1846"/>
    </row>
    <row r="676" spans="1:20">
      <c r="A676" s="1823"/>
      <c r="B676" s="1068"/>
      <c r="C676" s="1821"/>
      <c r="D676" s="1833" t="s">
        <v>1206</v>
      </c>
      <c r="E676" s="1833" t="s">
        <v>1207</v>
      </c>
      <c r="F676" s="1832" t="s">
        <v>1208</v>
      </c>
      <c r="G676" s="1832" t="s">
        <v>1209</v>
      </c>
      <c r="H676" s="1832" t="s">
        <v>1210</v>
      </c>
      <c r="I676" s="1834" t="s">
        <v>1211</v>
      </c>
      <c r="J676" s="1832"/>
      <c r="K676" s="1832" t="s">
        <v>1213</v>
      </c>
      <c r="L676" s="1834" t="s">
        <v>1214</v>
      </c>
    </row>
    <row r="677" spans="1:20">
      <c r="A677" s="1823"/>
      <c r="B677" s="1098" t="s">
        <v>1215</v>
      </c>
      <c r="C677" s="1821" t="s">
        <v>1216</v>
      </c>
      <c r="D677" s="1833"/>
      <c r="E677" s="1833"/>
      <c r="F677" s="1832"/>
      <c r="G677" s="1832"/>
      <c r="H677" s="1832"/>
      <c r="I677" s="1834"/>
      <c r="J677" s="1832"/>
      <c r="K677" s="1832"/>
      <c r="L677" s="1834"/>
    </row>
    <row r="678" spans="1:20">
      <c r="A678" s="1823"/>
      <c r="B678" s="1068"/>
      <c r="C678" s="1816" t="s">
        <v>1217</v>
      </c>
      <c r="D678" s="1833"/>
      <c r="E678" s="1833"/>
      <c r="F678" s="1832"/>
      <c r="G678" s="1832"/>
      <c r="H678" s="1832"/>
      <c r="I678" s="1834"/>
      <c r="J678" s="1832"/>
      <c r="K678" s="1832"/>
      <c r="L678" s="1834"/>
    </row>
    <row r="679" spans="1:20">
      <c r="A679" s="1823"/>
      <c r="B679" s="1823"/>
      <c r="C679" s="1817" t="s">
        <v>1218</v>
      </c>
      <c r="D679" s="1093">
        <f t="shared" ref="D679:L679" si="91">$I$673</f>
        <v>9784.419780000002</v>
      </c>
      <c r="E679" s="1093">
        <f t="shared" si="91"/>
        <v>9784.419780000002</v>
      </c>
      <c r="F679" s="1093">
        <f t="shared" si="91"/>
        <v>9784.419780000002</v>
      </c>
      <c r="G679" s="1093">
        <f t="shared" si="91"/>
        <v>9784.419780000002</v>
      </c>
      <c r="H679" s="1093">
        <f t="shared" si="91"/>
        <v>9784.419780000002</v>
      </c>
      <c r="I679" s="1093">
        <f t="shared" si="91"/>
        <v>9784.419780000002</v>
      </c>
      <c r="J679" s="1093"/>
      <c r="K679" s="1093">
        <f t="shared" si="91"/>
        <v>9784.419780000002</v>
      </c>
      <c r="L679" s="1093">
        <f t="shared" si="91"/>
        <v>9784.419780000002</v>
      </c>
      <c r="M679" s="1003"/>
      <c r="N679" s="1003"/>
      <c r="O679" s="1003"/>
      <c r="P679" s="1003"/>
      <c r="Q679" s="1003"/>
      <c r="R679" s="1003"/>
      <c r="S679" s="1003"/>
      <c r="T679" s="1003"/>
    </row>
    <row r="680" spans="1:20">
      <c r="A680" s="1823"/>
      <c r="B680" s="1823"/>
      <c r="C680" s="1817" t="s">
        <v>1182</v>
      </c>
      <c r="D680" s="1093">
        <f>'Civil-SOR'!$F$278</f>
        <v>267</v>
      </c>
      <c r="E680" s="1093">
        <f>'Civil-SOR'!$F$278</f>
        <v>267</v>
      </c>
      <c r="F680" s="1093">
        <f>'Civil-SOR'!$F$278</f>
        <v>267</v>
      </c>
      <c r="G680" s="1093">
        <f>'Civil-SOR'!$F$278</f>
        <v>267</v>
      </c>
      <c r="H680" s="1093">
        <f>'Civil-SOR'!$F$278</f>
        <v>267</v>
      </c>
      <c r="I680" s="1093">
        <f>'Civil-SOR'!$F$278</f>
        <v>267</v>
      </c>
      <c r="J680" s="1093"/>
      <c r="K680" s="1093">
        <f>'Civil-SOR'!$F$278</f>
        <v>267</v>
      </c>
      <c r="L680" s="1093">
        <f>'Civil-SOR'!$F$278</f>
        <v>267</v>
      </c>
      <c r="M680" s="1003"/>
      <c r="N680" s="1003"/>
      <c r="O680" s="1003"/>
      <c r="P680" s="1003"/>
      <c r="Q680" s="1003"/>
      <c r="R680" s="1003"/>
      <c r="S680" s="1003"/>
      <c r="T680" s="1003"/>
    </row>
    <row r="681" spans="1:20">
      <c r="A681" s="1823"/>
      <c r="B681" s="1823"/>
      <c r="C681" s="1817" t="s">
        <v>1219</v>
      </c>
      <c r="D681" s="1001">
        <f>'Civil-SOR'!$G$278</f>
        <v>2091</v>
      </c>
      <c r="E681" s="1001">
        <f>'Civil-SOR'!$H$278</f>
        <v>2300</v>
      </c>
      <c r="F681" s="1001">
        <f>'Civil-SOR'!$I$278</f>
        <v>2509</v>
      </c>
      <c r="G681" s="1001">
        <f>'Civil-SOR'!$J$278</f>
        <v>2718</v>
      </c>
      <c r="H681" s="1001">
        <f>'Civil-SOR'!$K$278</f>
        <v>2927</v>
      </c>
      <c r="I681" s="1001">
        <f>'Civil-SOR'!$L$278</f>
        <v>3137</v>
      </c>
      <c r="J681" s="1001"/>
      <c r="K681" s="1001">
        <f>'Civil-SOR'!$N$278</f>
        <v>3555</v>
      </c>
      <c r="L681" s="1001">
        <f>'Civil-SOR'!$O$278</f>
        <v>3764</v>
      </c>
      <c r="M681" s="1003"/>
      <c r="N681" s="1003"/>
      <c r="O681" s="1003"/>
      <c r="P681" s="1003"/>
      <c r="Q681" s="1003"/>
      <c r="R681" s="1003"/>
      <c r="S681" s="1003"/>
      <c r="T681" s="1003"/>
    </row>
    <row r="682" spans="1:20">
      <c r="A682" s="1823"/>
      <c r="B682" s="1823"/>
      <c r="C682" s="1817" t="str">
        <f>Input!$C$47</f>
        <v>Add for MA @ 40%</v>
      </c>
      <c r="D682" s="1001">
        <f>D681*Input!$D$47</f>
        <v>836.40000000000009</v>
      </c>
      <c r="E682" s="1001">
        <f>E681*Input!$D$47</f>
        <v>920</v>
      </c>
      <c r="F682" s="1001">
        <f>F681*Input!$D$47</f>
        <v>1003.6</v>
      </c>
      <c r="G682" s="1001">
        <f>G681*Input!$D$47</f>
        <v>1087.2</v>
      </c>
      <c r="H682" s="1001">
        <f>H681*Input!$D$47</f>
        <v>1170.8</v>
      </c>
      <c r="I682" s="1001">
        <f>I681*Input!$D$47</f>
        <v>1254.8000000000002</v>
      </c>
      <c r="J682" s="1001"/>
      <c r="K682" s="1001">
        <f>K681*Input!$D$47</f>
        <v>1422</v>
      </c>
      <c r="L682" s="1001">
        <f>L681*Input!$D$47</f>
        <v>1505.6000000000001</v>
      </c>
      <c r="M682" s="1003"/>
      <c r="N682" s="1003"/>
      <c r="O682" s="1003"/>
      <c r="P682" s="1003"/>
      <c r="Q682" s="1003"/>
      <c r="R682" s="1003"/>
      <c r="S682" s="1003"/>
      <c r="T682" s="1003"/>
    </row>
    <row r="683" spans="1:20">
      <c r="A683" s="1823"/>
      <c r="B683" s="1823"/>
      <c r="C683" s="1817" t="s">
        <v>1220</v>
      </c>
      <c r="D683" s="1093">
        <v>0</v>
      </c>
      <c r="E683" s="1093">
        <f>$F$665*10%</f>
        <v>310.07100000000003</v>
      </c>
      <c r="F683" s="1093">
        <f>$F$665*20%</f>
        <v>620.14200000000005</v>
      </c>
      <c r="G683" s="1093">
        <f>$F$665*30%</f>
        <v>930.21299999999997</v>
      </c>
      <c r="H683" s="1093">
        <f>$F$665*40%</f>
        <v>1240.2840000000001</v>
      </c>
      <c r="I683" s="1093">
        <f>$F$665*50%</f>
        <v>1550.355</v>
      </c>
      <c r="J683" s="1093"/>
      <c r="K683" s="1093">
        <f>$F$665*70%</f>
        <v>2170.4969999999998</v>
      </c>
      <c r="L683" s="1093">
        <f>$F$665*80%</f>
        <v>2480.5680000000002</v>
      </c>
      <c r="M683" s="1003"/>
      <c r="N683" s="1003"/>
      <c r="O683" s="1003"/>
      <c r="P683" s="1003"/>
      <c r="Q683" s="1003"/>
      <c r="R683" s="1003"/>
      <c r="S683" s="1003"/>
      <c r="T683" s="1003"/>
    </row>
    <row r="684" spans="1:20">
      <c r="A684" s="1823"/>
      <c r="B684" s="1823"/>
      <c r="C684" s="1817" t="str">
        <f>Input!$C$47</f>
        <v>Add for MA @ 40%</v>
      </c>
      <c r="D684" s="1093">
        <v>0</v>
      </c>
      <c r="E684" s="1093">
        <f>ROUND(E683*Input!$D$47,2)</f>
        <v>124.03</v>
      </c>
      <c r="F684" s="1093">
        <f>ROUND(F683*Input!$D$47,2)</f>
        <v>248.06</v>
      </c>
      <c r="G684" s="1093">
        <f>ROUND(G683*Input!$D$47,2)</f>
        <v>372.09</v>
      </c>
      <c r="H684" s="1093">
        <f>ROUND(H683*Input!$D$47,2)</f>
        <v>496.11</v>
      </c>
      <c r="I684" s="1093">
        <f>ROUND(I683*Input!$D$47,2)</f>
        <v>620.14</v>
      </c>
      <c r="J684" s="1093"/>
      <c r="K684" s="1093">
        <f>ROUND(K683*Input!$D$47,2)</f>
        <v>868.2</v>
      </c>
      <c r="L684" s="1093">
        <f>ROUND(L683*Input!$D$47,2)</f>
        <v>992.23</v>
      </c>
      <c r="M684" s="1003"/>
      <c r="N684" s="1003"/>
      <c r="O684" s="1003"/>
      <c r="P684" s="1003"/>
      <c r="Q684" s="1003"/>
      <c r="R684" s="1003"/>
      <c r="S684" s="1003"/>
      <c r="T684" s="1003"/>
    </row>
    <row r="685" spans="1:20">
      <c r="A685" s="1023"/>
      <c r="B685" s="1023"/>
      <c r="C685" s="1816" t="s">
        <v>1032</v>
      </c>
      <c r="D685" s="1829">
        <f t="shared" ref="D685:L685" si="92">SUM(D679:D684)</f>
        <v>12978.819780000002</v>
      </c>
      <c r="E685" s="1829">
        <f t="shared" si="92"/>
        <v>13705.520780000003</v>
      </c>
      <c r="F685" s="1829">
        <f t="shared" si="92"/>
        <v>14432.221780000002</v>
      </c>
      <c r="G685" s="1829">
        <f t="shared" si="92"/>
        <v>15158.922780000003</v>
      </c>
      <c r="H685" s="1829">
        <f t="shared" si="92"/>
        <v>15885.613780000001</v>
      </c>
      <c r="I685" s="1829">
        <f t="shared" si="92"/>
        <v>16613.714780000002</v>
      </c>
      <c r="J685" s="1829"/>
      <c r="K685" s="1829">
        <f t="shared" si="92"/>
        <v>18067.116780000004</v>
      </c>
      <c r="L685" s="1829">
        <f t="shared" si="92"/>
        <v>18793.817780000001</v>
      </c>
      <c r="M685" s="997"/>
      <c r="N685" s="997"/>
      <c r="O685" s="997"/>
      <c r="P685" s="997"/>
      <c r="Q685" s="997"/>
      <c r="R685" s="997"/>
      <c r="S685" s="997"/>
      <c r="T685" s="997"/>
    </row>
    <row r="686" spans="1:20">
      <c r="A686" s="1823"/>
      <c r="B686" s="1823"/>
      <c r="C686" s="1817" t="str">
        <f>Input!$C$48</f>
        <v>Overheads &amp; Contractors Profit @ 13.615%</v>
      </c>
      <c r="D686" s="1093">
        <f>ROUND(D685*Input!$D$48,2)</f>
        <v>1767.07</v>
      </c>
      <c r="E686" s="1093">
        <f>ROUND(E685*Input!$D$48,2)</f>
        <v>1866.01</v>
      </c>
      <c r="F686" s="1093">
        <f>ROUND(F685*Input!$D$48,2)</f>
        <v>1964.95</v>
      </c>
      <c r="G686" s="1093">
        <f>ROUND(G685*Input!$D$48,2)</f>
        <v>2063.89</v>
      </c>
      <c r="H686" s="1093">
        <f>ROUND(H685*Input!$D$48,2)</f>
        <v>2162.83</v>
      </c>
      <c r="I686" s="1093">
        <f>ROUND(I685*Input!$D$48,2)</f>
        <v>2261.96</v>
      </c>
      <c r="J686" s="1093"/>
      <c r="K686" s="1093">
        <f>ROUND(K685*Input!$D$48,2)</f>
        <v>2459.84</v>
      </c>
      <c r="L686" s="1093">
        <f>ROUND(L685*Input!$D$48,2)</f>
        <v>2558.7800000000002</v>
      </c>
      <c r="M686" s="1003"/>
      <c r="N686" s="1003"/>
      <c r="O686" s="1003"/>
      <c r="P686" s="1003"/>
      <c r="Q686" s="1003"/>
      <c r="R686" s="1003"/>
      <c r="S686" s="1003"/>
      <c r="T686" s="1003"/>
    </row>
    <row r="687" spans="1:20">
      <c r="A687" s="1023"/>
      <c r="B687" s="1023"/>
      <c r="C687" s="1816" t="s">
        <v>1032</v>
      </c>
      <c r="D687" s="1829">
        <f t="shared" ref="D687:L687" si="93">SUM(D685:D686)</f>
        <v>14745.889780000001</v>
      </c>
      <c r="E687" s="1829">
        <f t="shared" si="93"/>
        <v>15571.530780000003</v>
      </c>
      <c r="F687" s="1829">
        <f t="shared" si="93"/>
        <v>16397.171780000001</v>
      </c>
      <c r="G687" s="1829">
        <f t="shared" si="93"/>
        <v>17222.812780000004</v>
      </c>
      <c r="H687" s="1829">
        <f t="shared" si="93"/>
        <v>18048.443780000001</v>
      </c>
      <c r="I687" s="1829">
        <f t="shared" si="93"/>
        <v>18875.674780000001</v>
      </c>
      <c r="J687" s="1829"/>
      <c r="K687" s="1829">
        <f t="shared" si="93"/>
        <v>20526.956780000004</v>
      </c>
      <c r="L687" s="1829">
        <f t="shared" si="93"/>
        <v>21352.59778</v>
      </c>
      <c r="M687" s="997"/>
      <c r="N687" s="997"/>
      <c r="O687" s="997"/>
      <c r="P687" s="997"/>
      <c r="Q687" s="997"/>
      <c r="R687" s="997"/>
      <c r="S687" s="997"/>
      <c r="T687" s="997"/>
    </row>
    <row r="688" spans="1:20">
      <c r="A688" s="1023"/>
      <c r="B688" s="1023"/>
      <c r="C688" s="1843" t="s">
        <v>1034</v>
      </c>
      <c r="D688" s="999">
        <f t="shared" ref="D688:L688" si="94">ROUND(D687,0)</f>
        <v>14746</v>
      </c>
      <c r="E688" s="999">
        <f t="shared" si="94"/>
        <v>15572</v>
      </c>
      <c r="F688" s="999">
        <f t="shared" si="94"/>
        <v>16397</v>
      </c>
      <c r="G688" s="999">
        <f t="shared" si="94"/>
        <v>17223</v>
      </c>
      <c r="H688" s="999">
        <f t="shared" si="94"/>
        <v>18048</v>
      </c>
      <c r="I688" s="999">
        <f t="shared" si="94"/>
        <v>18876</v>
      </c>
      <c r="J688" s="999"/>
      <c r="K688" s="999">
        <f t="shared" si="94"/>
        <v>20527</v>
      </c>
      <c r="L688" s="999">
        <f t="shared" si="94"/>
        <v>21353</v>
      </c>
      <c r="M688" s="997"/>
      <c r="N688" s="997"/>
      <c r="O688" s="997"/>
      <c r="P688" s="997"/>
      <c r="Q688" s="997"/>
      <c r="R688" s="997"/>
      <c r="S688" s="997"/>
      <c r="T688" s="997"/>
    </row>
    <row r="689" spans="1:20">
      <c r="A689" s="1823"/>
      <c r="B689" s="1068"/>
      <c r="C689" s="1817"/>
      <c r="D689" s="1114"/>
      <c r="E689" s="1114"/>
      <c r="F689" s="1114"/>
      <c r="G689" s="1114"/>
      <c r="H689" s="1114"/>
      <c r="I689" s="1011"/>
      <c r="J689" s="1846"/>
      <c r="K689" s="1846"/>
      <c r="L689" s="1846"/>
    </row>
    <row r="690" spans="1:20">
      <c r="A690" s="1823"/>
      <c r="B690" s="1098" t="s">
        <v>1221</v>
      </c>
      <c r="C690" s="1821" t="s">
        <v>1222</v>
      </c>
      <c r="D690" s="2050" t="s">
        <v>1223</v>
      </c>
      <c r="E690" s="2058" t="s">
        <v>1207</v>
      </c>
      <c r="F690" s="2057" t="s">
        <v>1208</v>
      </c>
      <c r="G690" s="2057" t="s">
        <v>1209</v>
      </c>
      <c r="H690" s="2057" t="s">
        <v>1210</v>
      </c>
      <c r="I690" s="2059" t="s">
        <v>1211</v>
      </c>
      <c r="J690" s="1846"/>
      <c r="K690" s="1846"/>
      <c r="L690" s="1846"/>
    </row>
    <row r="691" spans="1:20">
      <c r="A691" s="1823"/>
      <c r="B691" s="1068"/>
      <c r="C691" s="1816" t="s">
        <v>1217</v>
      </c>
      <c r="D691" s="2050"/>
      <c r="E691" s="2058"/>
      <c r="F691" s="2057"/>
      <c r="G691" s="2057"/>
      <c r="H691" s="2057"/>
      <c r="I691" s="2059"/>
      <c r="J691" s="1846"/>
      <c r="K691" s="1846"/>
      <c r="L691" s="1846"/>
    </row>
    <row r="692" spans="1:20">
      <c r="A692" s="1823"/>
      <c r="B692" s="1823"/>
      <c r="C692" s="1817" t="s">
        <v>1218</v>
      </c>
      <c r="D692" s="1093">
        <f t="shared" ref="D692:I692" si="95">$I$673</f>
        <v>9784.419780000002</v>
      </c>
      <c r="E692" s="1093">
        <f t="shared" si="95"/>
        <v>9784.419780000002</v>
      </c>
      <c r="F692" s="1093">
        <f t="shared" si="95"/>
        <v>9784.419780000002</v>
      </c>
      <c r="G692" s="1093">
        <f t="shared" si="95"/>
        <v>9784.419780000002</v>
      </c>
      <c r="H692" s="1093">
        <f t="shared" si="95"/>
        <v>9784.419780000002</v>
      </c>
      <c r="I692" s="1093">
        <f t="shared" si="95"/>
        <v>9784.419780000002</v>
      </c>
      <c r="J692" s="1002"/>
      <c r="K692" s="1002"/>
      <c r="L692" s="1002"/>
      <c r="M692" s="1003"/>
      <c r="N692" s="1003"/>
      <c r="O692" s="1003"/>
      <c r="P692" s="1003"/>
      <c r="Q692" s="1003"/>
      <c r="R692" s="1003"/>
      <c r="S692" s="1003"/>
      <c r="T692" s="1003"/>
    </row>
    <row r="693" spans="1:20">
      <c r="A693" s="1823"/>
      <c r="B693" s="1823"/>
      <c r="C693" s="1817" t="s">
        <v>1182</v>
      </c>
      <c r="D693" s="1093">
        <f>'Civil-SOR'!$F$278</f>
        <v>267</v>
      </c>
      <c r="E693" s="1093">
        <f>'Civil-SOR'!$F$278</f>
        <v>267</v>
      </c>
      <c r="F693" s="1093">
        <f>'Civil-SOR'!$F$278</f>
        <v>267</v>
      </c>
      <c r="G693" s="1093">
        <f>'Civil-SOR'!$F$278</f>
        <v>267</v>
      </c>
      <c r="H693" s="1093">
        <f>'Civil-SOR'!$F$278</f>
        <v>267</v>
      </c>
      <c r="I693" s="1093">
        <f>'Civil-SOR'!$F$278</f>
        <v>267</v>
      </c>
      <c r="J693" s="1002"/>
      <c r="K693" s="1002"/>
      <c r="L693" s="1002"/>
      <c r="M693" s="1003"/>
      <c r="N693" s="1003"/>
      <c r="O693" s="1003"/>
      <c r="P693" s="1003"/>
      <c r="Q693" s="1003"/>
      <c r="R693" s="1003"/>
      <c r="S693" s="1003"/>
      <c r="T693" s="1003"/>
    </row>
    <row r="694" spans="1:20">
      <c r="A694" s="1823"/>
      <c r="B694" s="1823"/>
      <c r="C694" s="1817" t="s">
        <v>453</v>
      </c>
      <c r="D694" s="1001">
        <f>'Civil-SOR'!$G$278</f>
        <v>2091</v>
      </c>
      <c r="E694" s="1001">
        <f>'Civil-SOR'!$H$278</f>
        <v>2300</v>
      </c>
      <c r="F694" s="1001">
        <f>'Civil-SOR'!$I$278</f>
        <v>2509</v>
      </c>
      <c r="G694" s="1001">
        <f>'Civil-SOR'!$J$278</f>
        <v>2718</v>
      </c>
      <c r="H694" s="1001">
        <f>'Civil-SOR'!$K$278</f>
        <v>2927</v>
      </c>
      <c r="I694" s="1001">
        <f>'Civil-SOR'!$L$278</f>
        <v>3137</v>
      </c>
      <c r="J694" s="1002"/>
      <c r="K694" s="1002"/>
      <c r="L694" s="1002"/>
      <c r="M694" s="1003"/>
      <c r="N694" s="1003"/>
      <c r="O694" s="1003"/>
      <c r="P694" s="1003"/>
      <c r="Q694" s="1003"/>
      <c r="R694" s="1003"/>
      <c r="S694" s="1003"/>
      <c r="T694" s="1003"/>
    </row>
    <row r="695" spans="1:20">
      <c r="A695" s="1823"/>
      <c r="B695" s="1823"/>
      <c r="C695" s="1817" t="str">
        <f>Input!$C$47</f>
        <v>Add for MA @ 40%</v>
      </c>
      <c r="D695" s="1001">
        <f>D694*Input!$D$47</f>
        <v>836.40000000000009</v>
      </c>
      <c r="E695" s="1001">
        <f>E694*Input!$D$47</f>
        <v>920</v>
      </c>
      <c r="F695" s="1001">
        <f>F694*Input!$D$47</f>
        <v>1003.6</v>
      </c>
      <c r="G695" s="1001">
        <f>G694*Input!$D$47</f>
        <v>1087.2</v>
      </c>
      <c r="H695" s="1001">
        <f>H694*Input!$D$47</f>
        <v>1170.8</v>
      </c>
      <c r="I695" s="1001">
        <f>I694*Input!$D$47</f>
        <v>1254.8000000000002</v>
      </c>
      <c r="J695" s="1002"/>
      <c r="K695" s="1002"/>
      <c r="L695" s="1002"/>
      <c r="M695" s="1003"/>
      <c r="N695" s="1003"/>
      <c r="O695" s="1003"/>
      <c r="P695" s="1003"/>
      <c r="Q695" s="1003"/>
      <c r="R695" s="1003"/>
      <c r="S695" s="1003"/>
      <c r="T695" s="1003"/>
    </row>
    <row r="696" spans="1:20" ht="25.5">
      <c r="A696" s="1823"/>
      <c r="B696" s="1823"/>
      <c r="C696" s="1817" t="s">
        <v>1224</v>
      </c>
      <c r="D696" s="1093">
        <v>0</v>
      </c>
      <c r="E696" s="1093">
        <f>1.333*'Civil-SOR'!$G$334</f>
        <v>504.80710000000005</v>
      </c>
      <c r="F696" s="1093">
        <f t="shared" ref="F696:F697" si="96">E696*1.1</f>
        <v>555.28781000000015</v>
      </c>
      <c r="G696" s="1093">
        <f t="shared" ref="G696:G697" si="97">E696*1.2</f>
        <v>605.76852000000008</v>
      </c>
      <c r="H696" s="1093">
        <f t="shared" ref="H696:H697" si="98">E696*1.3</f>
        <v>656.24923000000013</v>
      </c>
      <c r="I696" s="1093">
        <f t="shared" ref="I696:I697" si="99">E696*1.4</f>
        <v>706.72994000000006</v>
      </c>
      <c r="J696" s="1002"/>
      <c r="K696" s="1002"/>
      <c r="L696" s="1002"/>
      <c r="M696" s="1003"/>
      <c r="N696" s="1003"/>
      <c r="O696" s="1003"/>
      <c r="P696" s="1003"/>
      <c r="Q696" s="1003"/>
      <c r="R696" s="1003"/>
      <c r="S696" s="1003"/>
      <c r="T696" s="1003"/>
    </row>
    <row r="697" spans="1:20" ht="25.5">
      <c r="A697" s="1823"/>
      <c r="B697" s="1823"/>
      <c r="C697" s="1817" t="s">
        <v>1225</v>
      </c>
      <c r="D697" s="1093">
        <v>0</v>
      </c>
      <c r="E697" s="1093">
        <f>1.333*'Civil-SOR'!$J$334</f>
        <v>480.41319999999996</v>
      </c>
      <c r="F697" s="1093">
        <f t="shared" si="96"/>
        <v>528.45452</v>
      </c>
      <c r="G697" s="1093">
        <f t="shared" si="97"/>
        <v>576.49583999999993</v>
      </c>
      <c r="H697" s="1093">
        <f t="shared" si="98"/>
        <v>624.53715999999997</v>
      </c>
      <c r="I697" s="1093">
        <f t="shared" si="99"/>
        <v>672.5784799999999</v>
      </c>
      <c r="J697" s="1002"/>
      <c r="K697" s="1002"/>
      <c r="L697" s="1002"/>
      <c r="M697" s="1003"/>
      <c r="N697" s="1003"/>
      <c r="O697" s="1003"/>
      <c r="P697" s="1003"/>
      <c r="Q697" s="1003"/>
      <c r="R697" s="1003"/>
      <c r="S697" s="1003"/>
      <c r="T697" s="1003"/>
    </row>
    <row r="698" spans="1:20">
      <c r="A698" s="1823"/>
      <c r="B698" s="1823"/>
      <c r="C698" s="1817" t="str">
        <f>Input!$C$47</f>
        <v>Add for MA @ 40%</v>
      </c>
      <c r="D698" s="1093">
        <v>0</v>
      </c>
      <c r="E698" s="1093">
        <f>ROUND(E697*Input!$D$47,2)</f>
        <v>192.17</v>
      </c>
      <c r="F698" s="1093">
        <f>ROUND(F697*Input!$D$47,2)</f>
        <v>211.38</v>
      </c>
      <c r="G698" s="1093">
        <f>ROUND(G697*Input!$D$47,2)</f>
        <v>230.6</v>
      </c>
      <c r="H698" s="1093">
        <f>ROUND(H697*Input!$D$47,2)</f>
        <v>249.81</v>
      </c>
      <c r="I698" s="1093">
        <f>ROUND(I697*Input!$D$47,2)</f>
        <v>269.02999999999997</v>
      </c>
      <c r="J698" s="1002"/>
      <c r="K698" s="1002"/>
      <c r="L698" s="1002"/>
      <c r="M698" s="1003"/>
      <c r="N698" s="1003"/>
      <c r="O698" s="1003"/>
      <c r="P698" s="1003"/>
      <c r="Q698" s="1003"/>
      <c r="R698" s="1003"/>
      <c r="S698" s="1003"/>
      <c r="T698" s="1003"/>
    </row>
    <row r="699" spans="1:20">
      <c r="A699" s="1023"/>
      <c r="B699" s="1023"/>
      <c r="C699" s="1816" t="s">
        <v>1032</v>
      </c>
      <c r="D699" s="1829">
        <f t="shared" ref="D699:I699" si="100">SUM(D692:D698)</f>
        <v>12978.819780000002</v>
      </c>
      <c r="E699" s="1829">
        <f t="shared" si="100"/>
        <v>14448.810080000001</v>
      </c>
      <c r="F699" s="1829">
        <f t="shared" si="100"/>
        <v>14859.142110000001</v>
      </c>
      <c r="G699" s="1829">
        <f t="shared" si="100"/>
        <v>15269.484140000002</v>
      </c>
      <c r="H699" s="1829">
        <f t="shared" si="100"/>
        <v>15679.81617</v>
      </c>
      <c r="I699" s="1829">
        <f t="shared" si="100"/>
        <v>16091.558200000003</v>
      </c>
      <c r="J699" s="996"/>
      <c r="K699" s="996"/>
      <c r="L699" s="996"/>
      <c r="M699" s="997"/>
      <c r="N699" s="997"/>
      <c r="O699" s="997"/>
      <c r="P699" s="997"/>
      <c r="Q699" s="997"/>
      <c r="R699" s="997"/>
      <c r="S699" s="997"/>
      <c r="T699" s="997"/>
    </row>
    <row r="700" spans="1:20">
      <c r="A700" s="1823"/>
      <c r="B700" s="1823"/>
      <c r="C700" s="1817" t="str">
        <f>Input!$C$48</f>
        <v>Overheads &amp; Contractors Profit @ 13.615%</v>
      </c>
      <c r="D700" s="1093">
        <f>ROUND(D699*Input!$D$48,2)</f>
        <v>1767.07</v>
      </c>
      <c r="E700" s="1093">
        <f>ROUND(E699*Input!$D$48,2)</f>
        <v>1967.21</v>
      </c>
      <c r="F700" s="1093">
        <f>ROUND(F699*Input!$D$48,2)</f>
        <v>2023.07</v>
      </c>
      <c r="G700" s="1093">
        <f>ROUND(G699*Input!$D$48,2)</f>
        <v>2078.94</v>
      </c>
      <c r="H700" s="1093">
        <f>ROUND(H699*Input!$D$48,2)</f>
        <v>2134.81</v>
      </c>
      <c r="I700" s="1093">
        <f>ROUND(I699*Input!$D$48,2)</f>
        <v>2190.87</v>
      </c>
      <c r="J700" s="1002"/>
      <c r="K700" s="1002"/>
      <c r="L700" s="1002"/>
      <c r="M700" s="1003"/>
      <c r="N700" s="1003"/>
      <c r="O700" s="1003"/>
      <c r="P700" s="1003"/>
      <c r="Q700" s="1003"/>
      <c r="R700" s="1003"/>
      <c r="S700" s="1003"/>
      <c r="T700" s="1003"/>
    </row>
    <row r="701" spans="1:20">
      <c r="A701" s="1023"/>
      <c r="B701" s="1023"/>
      <c r="C701" s="1821" t="s">
        <v>1032</v>
      </c>
      <c r="D701" s="1829">
        <f t="shared" ref="D701:I701" si="101">SUM(D699:D700)</f>
        <v>14745.889780000001</v>
      </c>
      <c r="E701" s="1829">
        <f t="shared" si="101"/>
        <v>16416.020080000002</v>
      </c>
      <c r="F701" s="1829">
        <f t="shared" si="101"/>
        <v>16882.21211</v>
      </c>
      <c r="G701" s="1829">
        <f t="shared" si="101"/>
        <v>17348.424140000003</v>
      </c>
      <c r="H701" s="1829">
        <f t="shared" si="101"/>
        <v>17814.62617</v>
      </c>
      <c r="I701" s="1829">
        <f t="shared" si="101"/>
        <v>18282.428200000002</v>
      </c>
      <c r="J701" s="1023"/>
      <c r="K701" s="1023"/>
      <c r="L701" s="1023"/>
      <c r="M701" s="1024"/>
      <c r="N701" s="1024"/>
      <c r="O701" s="1024"/>
      <c r="P701" s="1024"/>
      <c r="Q701" s="1024"/>
      <c r="R701" s="1024"/>
      <c r="S701" s="1024"/>
      <c r="T701" s="1024"/>
    </row>
    <row r="702" spans="1:20">
      <c r="A702" s="1023"/>
      <c r="B702" s="1023"/>
      <c r="C702" s="1843" t="s">
        <v>1034</v>
      </c>
      <c r="D702" s="999">
        <f t="shared" ref="D702:I702" si="102">ROUND(D701,0)</f>
        <v>14746</v>
      </c>
      <c r="E702" s="999">
        <f t="shared" si="102"/>
        <v>16416</v>
      </c>
      <c r="F702" s="999">
        <f t="shared" si="102"/>
        <v>16882</v>
      </c>
      <c r="G702" s="999">
        <f t="shared" si="102"/>
        <v>17348</v>
      </c>
      <c r="H702" s="999">
        <f t="shared" si="102"/>
        <v>17815</v>
      </c>
      <c r="I702" s="999">
        <f t="shared" si="102"/>
        <v>18282</v>
      </c>
      <c r="J702" s="1023"/>
      <c r="K702" s="1023"/>
      <c r="L702" s="1023"/>
      <c r="M702" s="1024"/>
      <c r="N702" s="1115">
        <f>E702-D702</f>
        <v>1670</v>
      </c>
      <c r="O702" s="1115">
        <f>F702-E702</f>
        <v>466</v>
      </c>
      <c r="P702" s="1115">
        <f>G702-F702</f>
        <v>466</v>
      </c>
      <c r="Q702" s="1024"/>
      <c r="R702" s="1024"/>
      <c r="S702" s="1024"/>
      <c r="T702" s="1024"/>
    </row>
    <row r="703" spans="1:20">
      <c r="A703" s="1023"/>
      <c r="B703" s="1023"/>
      <c r="C703" s="1843"/>
      <c r="D703" s="999"/>
      <c r="E703" s="999"/>
      <c r="F703" s="999"/>
      <c r="G703" s="999"/>
      <c r="H703" s="999"/>
      <c r="I703" s="999"/>
      <c r="J703" s="999"/>
      <c r="K703" s="999"/>
      <c r="L703" s="999"/>
      <c r="M703" s="1024"/>
      <c r="N703" s="1115"/>
      <c r="O703" s="1115"/>
      <c r="P703" s="1115"/>
      <c r="Q703" s="1024"/>
      <c r="R703" s="1024"/>
      <c r="S703" s="1024"/>
      <c r="T703" s="1024"/>
    </row>
    <row r="704" spans="1:20">
      <c r="A704" s="1023"/>
      <c r="B704" s="1023"/>
      <c r="C704" s="1816" t="s">
        <v>1217</v>
      </c>
      <c r="D704" s="1832" t="s">
        <v>1212</v>
      </c>
      <c r="E704" s="1832" t="s">
        <v>1213</v>
      </c>
      <c r="F704" s="1834" t="s">
        <v>1214</v>
      </c>
      <c r="G704" s="999"/>
      <c r="H704" s="999"/>
      <c r="I704" s="999"/>
      <c r="J704" s="999"/>
      <c r="K704" s="999"/>
      <c r="L704" s="999"/>
      <c r="M704" s="1024"/>
      <c r="N704" s="1115"/>
      <c r="O704" s="1115"/>
      <c r="P704" s="1115"/>
      <c r="Q704" s="1024"/>
      <c r="R704" s="1024"/>
      <c r="S704" s="1024"/>
      <c r="T704" s="1024"/>
    </row>
    <row r="705" spans="1:20">
      <c r="A705" s="1023"/>
      <c r="B705" s="1023"/>
      <c r="C705" s="1817" t="s">
        <v>1218</v>
      </c>
      <c r="D705" s="1093">
        <f>$I$673</f>
        <v>9784.419780000002</v>
      </c>
      <c r="E705" s="1093">
        <f>$I$673</f>
        <v>9784.419780000002</v>
      </c>
      <c r="F705" s="1093">
        <f>$I$673</f>
        <v>9784.419780000002</v>
      </c>
      <c r="G705" s="999"/>
      <c r="H705" s="999"/>
      <c r="I705" s="999"/>
      <c r="J705" s="999"/>
      <c r="K705" s="999"/>
      <c r="L705" s="999"/>
      <c r="M705" s="1024"/>
      <c r="N705" s="1115"/>
      <c r="O705" s="1115"/>
      <c r="P705" s="1115"/>
      <c r="Q705" s="1024"/>
      <c r="R705" s="1024"/>
      <c r="S705" s="1024"/>
      <c r="T705" s="1024"/>
    </row>
    <row r="706" spans="1:20">
      <c r="A706" s="1023"/>
      <c r="B706" s="1023"/>
      <c r="C706" s="1817" t="s">
        <v>1182</v>
      </c>
      <c r="D706" s="1093">
        <f>'Civil-SOR'!$F$278</f>
        <v>267</v>
      </c>
      <c r="E706" s="1093">
        <f>'Civil-SOR'!$F$278</f>
        <v>267</v>
      </c>
      <c r="F706" s="1093">
        <f>'Civil-SOR'!$F$278</f>
        <v>267</v>
      </c>
      <c r="G706" s="999"/>
      <c r="H706" s="999"/>
      <c r="I706" s="999"/>
      <c r="J706" s="999"/>
      <c r="K706" s="999"/>
      <c r="L706" s="999"/>
      <c r="M706" s="1024"/>
      <c r="N706" s="1115"/>
      <c r="O706" s="1115"/>
      <c r="P706" s="1115"/>
      <c r="Q706" s="1024"/>
      <c r="R706" s="1024"/>
      <c r="S706" s="1024"/>
      <c r="T706" s="1024"/>
    </row>
    <row r="707" spans="1:20">
      <c r="A707" s="1023"/>
      <c r="B707" s="1023"/>
      <c r="C707" s="1817" t="s">
        <v>453</v>
      </c>
      <c r="D707" s="1001">
        <f>'Civil-SOR'!$M$278</f>
        <v>3346</v>
      </c>
      <c r="E707" s="1001">
        <f>'Civil-SOR'!$N$278</f>
        <v>3555</v>
      </c>
      <c r="F707" s="1001">
        <f>'Civil-SOR'!$O$278</f>
        <v>3764</v>
      </c>
      <c r="G707" s="999"/>
      <c r="H707" s="999"/>
      <c r="I707" s="999"/>
      <c r="J707" s="999"/>
      <c r="K707" s="999"/>
      <c r="L707" s="999"/>
      <c r="M707" s="1024"/>
      <c r="N707" s="1115"/>
      <c r="O707" s="1115"/>
      <c r="P707" s="1115"/>
      <c r="Q707" s="1024"/>
      <c r="R707" s="1024"/>
      <c r="S707" s="1024"/>
      <c r="T707" s="1024"/>
    </row>
    <row r="708" spans="1:20">
      <c r="A708" s="1023"/>
      <c r="B708" s="1023"/>
      <c r="C708" s="1817" t="str">
        <f>Input!$C$47</f>
        <v>Add for MA @ 40%</v>
      </c>
      <c r="D708" s="1001">
        <f>D707*Input!$D$47</f>
        <v>1338.4</v>
      </c>
      <c r="E708" s="1001">
        <f>E707*Input!$D$47</f>
        <v>1422</v>
      </c>
      <c r="F708" s="1001">
        <f>F707*Input!$D$47</f>
        <v>1505.6000000000001</v>
      </c>
      <c r="G708" s="999"/>
      <c r="H708" s="999"/>
      <c r="I708" s="999"/>
      <c r="J708" s="999"/>
      <c r="K708" s="999"/>
      <c r="L708" s="999"/>
      <c r="M708" s="1024"/>
      <c r="N708" s="1115"/>
      <c r="O708" s="1115"/>
      <c r="P708" s="1115"/>
      <c r="Q708" s="1024"/>
      <c r="R708" s="1024"/>
      <c r="S708" s="1024"/>
      <c r="T708" s="1024"/>
    </row>
    <row r="709" spans="1:20" ht="25.5">
      <c r="A709" s="1023"/>
      <c r="B709" s="1023"/>
      <c r="C709" s="1817" t="s">
        <v>1224</v>
      </c>
      <c r="D709" s="1093">
        <f t="shared" ref="D709:D710" si="103">E696*1.5</f>
        <v>757.2106500000001</v>
      </c>
      <c r="E709" s="1093">
        <f t="shared" ref="E709:E710" si="104">E696*1.6</f>
        <v>807.69136000000015</v>
      </c>
      <c r="F709" s="1093">
        <f t="shared" ref="F709:F710" si="105">E696*1.7</f>
        <v>858.17207000000008</v>
      </c>
      <c r="G709" s="999"/>
      <c r="H709" s="999"/>
      <c r="I709" s="999"/>
      <c r="J709" s="999"/>
      <c r="K709" s="999"/>
      <c r="L709" s="999"/>
      <c r="M709" s="1024"/>
      <c r="N709" s="1115"/>
      <c r="O709" s="1115"/>
      <c r="P709" s="1115"/>
      <c r="Q709" s="1024"/>
      <c r="R709" s="1024"/>
      <c r="S709" s="1024"/>
      <c r="T709" s="1024"/>
    </row>
    <row r="710" spans="1:20" ht="25.5">
      <c r="A710" s="1023"/>
      <c r="B710" s="1023"/>
      <c r="C710" s="1817" t="s">
        <v>1225</v>
      </c>
      <c r="D710" s="1093">
        <f t="shared" si="103"/>
        <v>720.61979999999994</v>
      </c>
      <c r="E710" s="1093">
        <f t="shared" si="104"/>
        <v>768.66111999999998</v>
      </c>
      <c r="F710" s="1093">
        <f t="shared" si="105"/>
        <v>816.70243999999991</v>
      </c>
      <c r="G710" s="999"/>
      <c r="H710" s="999"/>
      <c r="I710" s="999"/>
      <c r="J710" s="999"/>
      <c r="K710" s="999"/>
      <c r="L710" s="999"/>
      <c r="M710" s="1024"/>
      <c r="N710" s="1115"/>
      <c r="O710" s="1115"/>
      <c r="P710" s="1115"/>
      <c r="Q710" s="1024"/>
      <c r="R710" s="1024"/>
      <c r="S710" s="1024"/>
      <c r="T710" s="1024"/>
    </row>
    <row r="711" spans="1:20">
      <c r="A711" s="1023"/>
      <c r="B711" s="1023"/>
      <c r="C711" s="1817" t="str">
        <f>Input!$C$47</f>
        <v>Add for MA @ 40%</v>
      </c>
      <c r="D711" s="1093">
        <f>ROUND(D710*Input!$D$47,2)</f>
        <v>288.25</v>
      </c>
      <c r="E711" s="1093">
        <f>ROUND(E710*Input!$D$47,2)</f>
        <v>307.45999999999998</v>
      </c>
      <c r="F711" s="1093">
        <f>ROUND(F710*Input!$D$47,2)</f>
        <v>326.68</v>
      </c>
      <c r="G711" s="999"/>
      <c r="H711" s="999"/>
      <c r="I711" s="999"/>
      <c r="J711" s="999"/>
      <c r="K711" s="999"/>
      <c r="L711" s="999"/>
      <c r="M711" s="1024"/>
      <c r="N711" s="1115"/>
      <c r="O711" s="1115"/>
      <c r="P711" s="1115"/>
      <c r="Q711" s="1024"/>
      <c r="R711" s="1024"/>
      <c r="S711" s="1024"/>
      <c r="T711" s="1024"/>
    </row>
    <row r="712" spans="1:20">
      <c r="A712" s="1023"/>
      <c r="B712" s="1023"/>
      <c r="C712" s="1816" t="s">
        <v>1032</v>
      </c>
      <c r="D712" s="1829">
        <f>SUM(D705:D711)</f>
        <v>16501.900230000003</v>
      </c>
      <c r="E712" s="1829">
        <f>SUM(E705:E711)</f>
        <v>16912.232260000001</v>
      </c>
      <c r="F712" s="1829">
        <f>SUM(F705:F711)</f>
        <v>17322.574290000004</v>
      </c>
      <c r="G712" s="999"/>
      <c r="H712" s="999"/>
      <c r="I712" s="999"/>
      <c r="J712" s="999"/>
      <c r="K712" s="999"/>
      <c r="L712" s="999"/>
      <c r="M712" s="1024"/>
      <c r="N712" s="1115"/>
      <c r="O712" s="1115"/>
      <c r="P712" s="1115"/>
      <c r="Q712" s="1024"/>
      <c r="R712" s="1024"/>
      <c r="S712" s="1024"/>
      <c r="T712" s="1024"/>
    </row>
    <row r="713" spans="1:20">
      <c r="A713" s="1023"/>
      <c r="B713" s="1023"/>
      <c r="C713" s="1817" t="str">
        <f>Input!$C$48</f>
        <v>Overheads &amp; Contractors Profit @ 13.615%</v>
      </c>
      <c r="D713" s="1093">
        <f>ROUND(D712*Input!$D$48,2)</f>
        <v>2246.73</v>
      </c>
      <c r="E713" s="1093">
        <f>ROUND(E712*Input!$D$48,2)</f>
        <v>2302.6</v>
      </c>
      <c r="F713" s="1093">
        <f>ROUND(F712*Input!$D$48,2)</f>
        <v>2358.4699999999998</v>
      </c>
      <c r="G713" s="999"/>
      <c r="H713" s="999"/>
      <c r="I713" s="999"/>
      <c r="J713" s="999"/>
      <c r="K713" s="999"/>
      <c r="L713" s="999"/>
      <c r="M713" s="1024"/>
      <c r="N713" s="1115"/>
      <c r="O713" s="1115"/>
      <c r="P713" s="1115"/>
      <c r="Q713" s="1024"/>
      <c r="R713" s="1024"/>
      <c r="S713" s="1024"/>
      <c r="T713" s="1024"/>
    </row>
    <row r="714" spans="1:20">
      <c r="A714" s="1023"/>
      <c r="B714" s="1023"/>
      <c r="C714" s="1821" t="s">
        <v>1032</v>
      </c>
      <c r="D714" s="1829">
        <f>SUM(D712:D713)</f>
        <v>18748.630230000002</v>
      </c>
      <c r="E714" s="1829">
        <f>SUM(E712:E713)</f>
        <v>19214.832259999999</v>
      </c>
      <c r="F714" s="1829">
        <f>SUM(F712:F713)</f>
        <v>19681.044290000005</v>
      </c>
      <c r="G714" s="999"/>
      <c r="H714" s="999"/>
      <c r="I714" s="999"/>
      <c r="J714" s="999"/>
      <c r="K714" s="999"/>
      <c r="L714" s="999"/>
      <c r="M714" s="1024"/>
      <c r="N714" s="1115"/>
      <c r="O714" s="1115"/>
      <c r="P714" s="1115"/>
      <c r="Q714" s="1024"/>
      <c r="R714" s="1024"/>
      <c r="S714" s="1024"/>
      <c r="T714" s="1024"/>
    </row>
    <row r="715" spans="1:20">
      <c r="A715" s="1023"/>
      <c r="B715" s="1023"/>
      <c r="C715" s="1843" t="s">
        <v>1034</v>
      </c>
      <c r="D715" s="999">
        <f>ROUND(D714,0)</f>
        <v>18749</v>
      </c>
      <c r="E715" s="999">
        <f>ROUND(E714,0)</f>
        <v>19215</v>
      </c>
      <c r="F715" s="999">
        <f>ROUND(F714,0)</f>
        <v>19681</v>
      </c>
      <c r="G715" s="999"/>
      <c r="H715" s="999"/>
      <c r="I715" s="999"/>
      <c r="J715" s="999"/>
      <c r="K715" s="999"/>
      <c r="L715" s="999"/>
      <c r="M715" s="1024"/>
      <c r="N715" s="1115"/>
      <c r="O715" s="1115"/>
      <c r="P715" s="1115"/>
      <c r="Q715" s="1024"/>
      <c r="R715" s="1024"/>
      <c r="S715" s="1024"/>
      <c r="T715" s="1024"/>
    </row>
    <row r="716" spans="1:20">
      <c r="A716" s="1023"/>
      <c r="B716" s="1023"/>
      <c r="C716" s="1843"/>
      <c r="D716" s="999"/>
      <c r="E716" s="999"/>
      <c r="F716" s="999"/>
      <c r="G716" s="999"/>
      <c r="H716" s="999"/>
      <c r="I716" s="999"/>
      <c r="J716" s="999"/>
      <c r="K716" s="999"/>
      <c r="L716" s="999"/>
      <c r="M716" s="1024"/>
      <c r="N716" s="1115"/>
      <c r="O716" s="1115"/>
      <c r="P716" s="1115"/>
      <c r="Q716" s="1024"/>
      <c r="R716" s="1024"/>
      <c r="S716" s="1024"/>
      <c r="T716" s="1024"/>
    </row>
    <row r="717" spans="1:20">
      <c r="A717" s="1023"/>
      <c r="B717" s="1098" t="s">
        <v>297</v>
      </c>
      <c r="C717" s="1816" t="s">
        <v>1226</v>
      </c>
      <c r="D717" s="2050" t="s">
        <v>1223</v>
      </c>
      <c r="E717" s="2058" t="s">
        <v>1207</v>
      </c>
      <c r="F717" s="2057" t="s">
        <v>1208</v>
      </c>
      <c r="G717" s="2057" t="s">
        <v>1209</v>
      </c>
      <c r="H717" s="2057" t="s">
        <v>1210</v>
      </c>
      <c r="I717" s="2057" t="s">
        <v>1211</v>
      </c>
      <c r="J717" s="1846"/>
      <c r="K717" s="1846"/>
      <c r="L717" s="999"/>
      <c r="M717" s="1024"/>
      <c r="N717" s="1115"/>
      <c r="O717" s="1115"/>
      <c r="P717" s="1115"/>
      <c r="Q717" s="1024"/>
      <c r="R717" s="1024"/>
      <c r="S717" s="1024"/>
      <c r="T717" s="1024"/>
    </row>
    <row r="718" spans="1:20">
      <c r="A718" s="1023"/>
      <c r="B718" s="1098" t="s">
        <v>1215</v>
      </c>
      <c r="C718" s="1116" t="s">
        <v>1216</v>
      </c>
      <c r="D718" s="2050"/>
      <c r="E718" s="2058"/>
      <c r="F718" s="2057"/>
      <c r="G718" s="2057"/>
      <c r="H718" s="2057"/>
      <c r="I718" s="2057"/>
      <c r="J718" s="1846"/>
      <c r="K718" s="1846"/>
      <c r="L718" s="999"/>
      <c r="M718" s="1024"/>
      <c r="N718" s="1115"/>
      <c r="O718" s="1115"/>
      <c r="P718" s="1115"/>
      <c r="Q718" s="1024"/>
      <c r="R718" s="1024"/>
      <c r="S718" s="1024"/>
      <c r="T718" s="1024"/>
    </row>
    <row r="719" spans="1:20">
      <c r="A719" s="1023"/>
      <c r="B719" s="1068"/>
      <c r="C719" s="1816" t="s">
        <v>1217</v>
      </c>
      <c r="D719" s="2050"/>
      <c r="E719" s="2058"/>
      <c r="F719" s="2057"/>
      <c r="G719" s="2057"/>
      <c r="H719" s="2057"/>
      <c r="I719" s="2057"/>
      <c r="J719" s="1846"/>
      <c r="K719" s="1846"/>
      <c r="L719" s="999"/>
      <c r="M719" s="1024"/>
      <c r="N719" s="1115"/>
      <c r="O719" s="1115"/>
      <c r="P719" s="1115"/>
      <c r="Q719" s="1024"/>
      <c r="R719" s="1024"/>
      <c r="S719" s="1024"/>
      <c r="T719" s="1024"/>
    </row>
    <row r="720" spans="1:20">
      <c r="A720" s="1023"/>
      <c r="B720" s="1823"/>
      <c r="C720" s="1817" t="s">
        <v>1218</v>
      </c>
      <c r="D720" s="1093">
        <f t="shared" ref="D720:I720" si="106">+$I$673</f>
        <v>9784.419780000002</v>
      </c>
      <c r="E720" s="1093">
        <f t="shared" si="106"/>
        <v>9784.419780000002</v>
      </c>
      <c r="F720" s="1093">
        <f t="shared" si="106"/>
        <v>9784.419780000002</v>
      </c>
      <c r="G720" s="1093">
        <f t="shared" si="106"/>
        <v>9784.419780000002</v>
      </c>
      <c r="H720" s="1093">
        <f t="shared" si="106"/>
        <v>9784.419780000002</v>
      </c>
      <c r="I720" s="1093">
        <f t="shared" si="106"/>
        <v>9784.419780000002</v>
      </c>
      <c r="J720" s="1846"/>
      <c r="K720" s="1846"/>
      <c r="L720" s="999"/>
      <c r="M720" s="1024"/>
      <c r="N720" s="1115"/>
      <c r="O720" s="1115"/>
      <c r="P720" s="1115"/>
      <c r="Q720" s="1024"/>
      <c r="R720" s="1024"/>
      <c r="S720" s="1024"/>
      <c r="T720" s="1024"/>
    </row>
    <row r="721" spans="1:20">
      <c r="A721" s="1023"/>
      <c r="B721" s="1823"/>
      <c r="C721" s="1817" t="s">
        <v>1182</v>
      </c>
      <c r="D721" s="1093">
        <f>'Civil-SOR'!$F$276</f>
        <v>886</v>
      </c>
      <c r="E721" s="1093">
        <f>'Civil-SOR'!$F$276</f>
        <v>886</v>
      </c>
      <c r="F721" s="1093">
        <f>'Civil-SOR'!$F$276</f>
        <v>886</v>
      </c>
      <c r="G721" s="1093">
        <f>'Civil-SOR'!$F$276</f>
        <v>886</v>
      </c>
      <c r="H721" s="1093">
        <f>'Civil-SOR'!$F$276</f>
        <v>886</v>
      </c>
      <c r="I721" s="1093">
        <f>'Civil-SOR'!$F$276</f>
        <v>886</v>
      </c>
      <c r="J721" s="1846"/>
      <c r="K721" s="1846"/>
      <c r="L721" s="999"/>
      <c r="M721" s="1024"/>
      <c r="N721" s="1115"/>
      <c r="O721" s="1115"/>
      <c r="P721" s="1115"/>
      <c r="Q721" s="1024"/>
      <c r="R721" s="1024"/>
      <c r="S721" s="1024"/>
      <c r="T721" s="1024"/>
    </row>
    <row r="722" spans="1:20">
      <c r="A722" s="1023"/>
      <c r="B722" s="1823"/>
      <c r="C722" s="1817" t="s">
        <v>453</v>
      </c>
      <c r="D722" s="1001">
        <f>'Civil-SOR'!$G$276</f>
        <v>1489</v>
      </c>
      <c r="E722" s="1001">
        <f>'Civil-SOR'!$H$276</f>
        <v>1638</v>
      </c>
      <c r="F722" s="1001">
        <f>'Civil-SOR'!$I$276</f>
        <v>1787</v>
      </c>
      <c r="G722" s="1001">
        <f>'Civil-SOR'!$J$276</f>
        <v>1936</v>
      </c>
      <c r="H722" s="1001">
        <f>'Civil-SOR'!$K$276</f>
        <v>2085</v>
      </c>
      <c r="I722" s="1001">
        <f>'Civil-SOR'!$L$276</f>
        <v>2234</v>
      </c>
      <c r="J722" s="1846"/>
      <c r="K722" s="1846"/>
      <c r="L722" s="999"/>
      <c r="M722" s="1024"/>
      <c r="N722" s="1115"/>
      <c r="O722" s="1115"/>
      <c r="P722" s="1115"/>
      <c r="Q722" s="1024"/>
      <c r="R722" s="1024"/>
      <c r="S722" s="1024"/>
      <c r="T722" s="1024"/>
    </row>
    <row r="723" spans="1:20">
      <c r="A723" s="1023"/>
      <c r="B723" s="1823"/>
      <c r="C723" s="1817" t="str">
        <f>Input!$C$47</f>
        <v>Add for MA @ 40%</v>
      </c>
      <c r="D723" s="1001">
        <f>D722*Input!$D$47</f>
        <v>595.6</v>
      </c>
      <c r="E723" s="1001">
        <f>E722*Input!$D$47</f>
        <v>655.20000000000005</v>
      </c>
      <c r="F723" s="1001">
        <f>F722*Input!$D$47</f>
        <v>714.80000000000007</v>
      </c>
      <c r="G723" s="1001">
        <f>G722*Input!$D$47</f>
        <v>774.40000000000009</v>
      </c>
      <c r="H723" s="1001">
        <f>H722*Input!$D$47</f>
        <v>834</v>
      </c>
      <c r="I723" s="1001">
        <f>I722*Input!$D$47</f>
        <v>893.6</v>
      </c>
      <c r="J723" s="1846"/>
      <c r="K723" s="1846"/>
      <c r="L723" s="999"/>
      <c r="M723" s="1024"/>
      <c r="N723" s="1115"/>
      <c r="O723" s="1115"/>
      <c r="P723" s="1115"/>
      <c r="Q723" s="1024"/>
      <c r="R723" s="1024"/>
      <c r="S723" s="1024"/>
      <c r="T723" s="1024"/>
    </row>
    <row r="724" spans="1:20">
      <c r="A724" s="1023"/>
      <c r="B724" s="1823"/>
      <c r="C724" s="1817" t="s">
        <v>3402</v>
      </c>
      <c r="D724" s="1093">
        <v>0</v>
      </c>
      <c r="E724" s="1093">
        <f>$F$754*10%</f>
        <v>310.07100000000003</v>
      </c>
      <c r="F724" s="1093">
        <f>$F$754*20%</f>
        <v>620.14200000000005</v>
      </c>
      <c r="G724" s="1093">
        <f>$F$754*30%</f>
        <v>930.21299999999997</v>
      </c>
      <c r="H724" s="1093">
        <f>$F$754*40%</f>
        <v>1240.2840000000001</v>
      </c>
      <c r="I724" s="1093">
        <f>$F$754*50%</f>
        <v>1550.355</v>
      </c>
      <c r="J724" s="1846"/>
      <c r="K724" s="1846"/>
      <c r="L724" s="999"/>
      <c r="M724" s="1024"/>
      <c r="N724" s="1115"/>
      <c r="O724" s="1115"/>
      <c r="P724" s="1115"/>
      <c r="Q724" s="1024"/>
      <c r="R724" s="1024"/>
      <c r="S724" s="1024"/>
      <c r="T724" s="1024"/>
    </row>
    <row r="725" spans="1:20">
      <c r="A725" s="1023"/>
      <c r="B725" s="1823"/>
      <c r="C725" s="1817" t="str">
        <f>Input!$C$47</f>
        <v>Add for MA @ 40%</v>
      </c>
      <c r="D725" s="1093">
        <v>0</v>
      </c>
      <c r="E725" s="1093">
        <f>ROUND(E724*Input!$D$47,2)</f>
        <v>124.03</v>
      </c>
      <c r="F725" s="1093">
        <f>ROUND(F724*Input!$D$47,2)</f>
        <v>248.06</v>
      </c>
      <c r="G725" s="1093">
        <f>ROUND(G724*Input!$D$47,2)</f>
        <v>372.09</v>
      </c>
      <c r="H725" s="1093">
        <f>ROUND(H724*Input!$D$47,2)</f>
        <v>496.11</v>
      </c>
      <c r="I725" s="1093">
        <f>ROUND(I724*Input!$D$47,2)</f>
        <v>620.14</v>
      </c>
      <c r="J725" s="1846"/>
      <c r="K725" s="1846"/>
      <c r="L725" s="999"/>
      <c r="M725" s="1024"/>
      <c r="N725" s="1115"/>
      <c r="O725" s="1115"/>
      <c r="P725" s="1115"/>
      <c r="Q725" s="1024"/>
      <c r="R725" s="1024"/>
      <c r="S725" s="1024"/>
      <c r="T725" s="1024"/>
    </row>
    <row r="726" spans="1:20">
      <c r="A726" s="1023"/>
      <c r="B726" s="1823"/>
      <c r="C726" s="1816" t="s">
        <v>1032</v>
      </c>
      <c r="D726" s="1093">
        <f t="shared" ref="D726:I726" si="107">SUM(D720:D725)</f>
        <v>12755.019780000002</v>
      </c>
      <c r="E726" s="1093">
        <f t="shared" si="107"/>
        <v>13397.720780000003</v>
      </c>
      <c r="F726" s="1093">
        <f t="shared" si="107"/>
        <v>14040.421780000001</v>
      </c>
      <c r="G726" s="1093">
        <f t="shared" si="107"/>
        <v>14683.122780000002</v>
      </c>
      <c r="H726" s="1093">
        <f t="shared" si="107"/>
        <v>15325.813780000002</v>
      </c>
      <c r="I726" s="1093">
        <f t="shared" si="107"/>
        <v>15968.514780000001</v>
      </c>
      <c r="J726" s="1846"/>
      <c r="K726" s="1846"/>
      <c r="L726" s="999"/>
      <c r="M726" s="1024"/>
      <c r="N726" s="1115"/>
      <c r="O726" s="1115"/>
      <c r="P726" s="1115"/>
      <c r="Q726" s="1024"/>
      <c r="R726" s="1024"/>
      <c r="S726" s="1024"/>
      <c r="T726" s="1024"/>
    </row>
    <row r="727" spans="1:20">
      <c r="A727" s="1023"/>
      <c r="B727" s="1823"/>
      <c r="C727" s="1817" t="str">
        <f>Input!$C$48</f>
        <v>Overheads &amp; Contractors Profit @ 13.615%</v>
      </c>
      <c r="D727" s="1093">
        <f>ROUND(D726*Input!$D$48,2)</f>
        <v>1736.6</v>
      </c>
      <c r="E727" s="1093">
        <f>ROUND(E726*Input!$D$48,2)</f>
        <v>1824.1</v>
      </c>
      <c r="F727" s="1093">
        <f>ROUND(F726*Input!$D$48,2)</f>
        <v>1911.6</v>
      </c>
      <c r="G727" s="1093">
        <f>ROUND(G726*Input!$D$48,2)</f>
        <v>1999.11</v>
      </c>
      <c r="H727" s="1093">
        <f>ROUND(H726*Input!$D$48,2)</f>
        <v>2086.61</v>
      </c>
      <c r="I727" s="1093">
        <f>ROUND(I726*Input!$D$48,2)</f>
        <v>2174.11</v>
      </c>
      <c r="J727" s="1846"/>
      <c r="K727" s="1846"/>
      <c r="L727" s="999"/>
      <c r="M727" s="1024"/>
      <c r="N727" s="1115"/>
      <c r="O727" s="1115"/>
      <c r="P727" s="1115"/>
      <c r="Q727" s="1024"/>
      <c r="R727" s="1024"/>
      <c r="S727" s="1024"/>
      <c r="T727" s="1024"/>
    </row>
    <row r="728" spans="1:20">
      <c r="A728" s="1023"/>
      <c r="B728" s="1023"/>
      <c r="C728" s="1088" t="s">
        <v>1032</v>
      </c>
      <c r="D728" s="1117">
        <f t="shared" ref="D728:I728" si="108">SUM(D726:D727)</f>
        <v>14491.619780000003</v>
      </c>
      <c r="E728" s="1117">
        <f t="shared" si="108"/>
        <v>15221.820780000004</v>
      </c>
      <c r="F728" s="1829">
        <f t="shared" si="108"/>
        <v>15952.021780000001</v>
      </c>
      <c r="G728" s="1117">
        <f t="shared" si="108"/>
        <v>16682.232780000002</v>
      </c>
      <c r="H728" s="1117">
        <f t="shared" si="108"/>
        <v>17412.423780000001</v>
      </c>
      <c r="I728" s="1117">
        <f t="shared" si="108"/>
        <v>18142.624780000002</v>
      </c>
      <c r="J728" s="1846"/>
      <c r="K728" s="1846"/>
      <c r="L728" s="999"/>
      <c r="M728" s="1024"/>
      <c r="N728" s="1115"/>
      <c r="O728" s="1115"/>
      <c r="P728" s="1115"/>
      <c r="Q728" s="1024"/>
      <c r="R728" s="1024"/>
      <c r="S728" s="1024"/>
      <c r="T728" s="1024"/>
    </row>
    <row r="729" spans="1:20">
      <c r="A729" s="1023"/>
      <c r="B729" s="1023"/>
      <c r="C729" s="1118" t="s">
        <v>1034</v>
      </c>
      <c r="D729" s="999">
        <f t="shared" ref="D729:I729" si="109">ROUND(D728,0)</f>
        <v>14492</v>
      </c>
      <c r="E729" s="999">
        <f t="shared" si="109"/>
        <v>15222</v>
      </c>
      <c r="F729" s="999">
        <f t="shared" si="109"/>
        <v>15952</v>
      </c>
      <c r="G729" s="999">
        <f t="shared" si="109"/>
        <v>16682</v>
      </c>
      <c r="H729" s="999">
        <f t="shared" si="109"/>
        <v>17412</v>
      </c>
      <c r="I729" s="999">
        <f t="shared" si="109"/>
        <v>18143</v>
      </c>
      <c r="J729" s="1846"/>
      <c r="K729" s="1846"/>
      <c r="L729" s="999"/>
      <c r="M729" s="1024"/>
      <c r="N729" s="1115"/>
      <c r="O729" s="1115"/>
      <c r="P729" s="1115"/>
      <c r="Q729" s="1024"/>
      <c r="R729" s="1024"/>
      <c r="S729" s="1024"/>
      <c r="T729" s="1024"/>
    </row>
    <row r="730" spans="1:20">
      <c r="A730" s="1023"/>
      <c r="B730" s="1068"/>
      <c r="C730" s="1817"/>
      <c r="D730" s="1114"/>
      <c r="E730" s="1114"/>
      <c r="F730" s="1114"/>
      <c r="G730" s="1114"/>
      <c r="H730" s="1114"/>
      <c r="I730" s="1011"/>
      <c r="J730" s="1846"/>
      <c r="K730" s="1846"/>
      <c r="L730" s="999"/>
      <c r="M730" s="1024"/>
      <c r="N730" s="1115"/>
      <c r="O730" s="1115"/>
      <c r="P730" s="1115"/>
      <c r="Q730" s="1024"/>
      <c r="R730" s="1024"/>
      <c r="S730" s="1024"/>
      <c r="T730" s="1024"/>
    </row>
    <row r="731" spans="1:20">
      <c r="A731" s="1023"/>
      <c r="B731" s="1068"/>
      <c r="C731" s="1816" t="s">
        <v>1226</v>
      </c>
      <c r="D731" s="1832" t="s">
        <v>1212</v>
      </c>
      <c r="E731" s="1832" t="s">
        <v>1213</v>
      </c>
      <c r="F731" s="1832" t="s">
        <v>1214</v>
      </c>
      <c r="G731" s="1114"/>
      <c r="H731" s="1114"/>
      <c r="I731" s="1011"/>
      <c r="J731" s="1846"/>
      <c r="K731" s="1846"/>
      <c r="L731" s="999"/>
      <c r="M731" s="1024"/>
      <c r="N731" s="1115"/>
      <c r="O731" s="1115"/>
      <c r="P731" s="1115"/>
      <c r="Q731" s="1024"/>
      <c r="R731" s="1024"/>
      <c r="S731" s="1024"/>
      <c r="T731" s="1024"/>
    </row>
    <row r="732" spans="1:20">
      <c r="A732" s="1023"/>
      <c r="B732" s="1068"/>
      <c r="C732" s="1817" t="s">
        <v>1218</v>
      </c>
      <c r="D732" s="1093">
        <f>$I$673</f>
        <v>9784.419780000002</v>
      </c>
      <c r="E732" s="1093">
        <f>$I$673</f>
        <v>9784.419780000002</v>
      </c>
      <c r="F732" s="1093">
        <f>$I$673</f>
        <v>9784.419780000002</v>
      </c>
      <c r="G732" s="1114"/>
      <c r="H732" s="1114"/>
      <c r="I732" s="1011"/>
      <c r="J732" s="1846"/>
      <c r="K732" s="1846"/>
      <c r="L732" s="999"/>
      <c r="M732" s="1024"/>
      <c r="N732" s="1115"/>
      <c r="O732" s="1115"/>
      <c r="P732" s="1115"/>
      <c r="Q732" s="1024"/>
      <c r="R732" s="1024"/>
      <c r="S732" s="1024"/>
      <c r="T732" s="1024"/>
    </row>
    <row r="733" spans="1:20">
      <c r="A733" s="1023"/>
      <c r="B733" s="1068"/>
      <c r="C733" s="1817" t="s">
        <v>1182</v>
      </c>
      <c r="D733" s="1093">
        <f>'Civil-SOR'!$F$276</f>
        <v>886</v>
      </c>
      <c r="E733" s="1093">
        <f>'Civil-SOR'!$F$276</f>
        <v>886</v>
      </c>
      <c r="F733" s="1093">
        <f>'Civil-SOR'!$F$276</f>
        <v>886</v>
      </c>
      <c r="G733" s="1114"/>
      <c r="H733" s="1114"/>
      <c r="I733" s="1011"/>
      <c r="J733" s="1846"/>
      <c r="K733" s="1846"/>
      <c r="L733" s="999"/>
      <c r="M733" s="1024"/>
      <c r="N733" s="1115"/>
      <c r="O733" s="1115"/>
      <c r="P733" s="1115"/>
      <c r="Q733" s="1024"/>
      <c r="R733" s="1024"/>
      <c r="S733" s="1024"/>
      <c r="T733" s="1024"/>
    </row>
    <row r="734" spans="1:20">
      <c r="A734" s="1023"/>
      <c r="B734" s="1068"/>
      <c r="C734" s="1817" t="s">
        <v>453</v>
      </c>
      <c r="D734" s="1001">
        <f>'Civil-SOR'!$M$276</f>
        <v>2382</v>
      </c>
      <c r="E734" s="1001">
        <f>'Civil-SOR'!$N$276</f>
        <v>2531</v>
      </c>
      <c r="F734" s="1001">
        <f>'Civil-SOR'!$O$276</f>
        <v>2680</v>
      </c>
      <c r="G734" s="1114"/>
      <c r="H734" s="1114"/>
      <c r="I734" s="1011"/>
      <c r="J734" s="1846"/>
      <c r="K734" s="1846"/>
      <c r="L734" s="999"/>
      <c r="M734" s="1024"/>
      <c r="N734" s="1115"/>
      <c r="O734" s="1115"/>
      <c r="P734" s="1115"/>
      <c r="Q734" s="1024"/>
      <c r="R734" s="1024"/>
      <c r="S734" s="1024"/>
      <c r="T734" s="1024"/>
    </row>
    <row r="735" spans="1:20">
      <c r="A735" s="1023"/>
      <c r="B735" s="1068"/>
      <c r="C735" s="1817" t="str">
        <f>Input!$C$47</f>
        <v>Add for MA @ 40%</v>
      </c>
      <c r="D735" s="1001">
        <f>D734*Input!$D$47</f>
        <v>952.80000000000007</v>
      </c>
      <c r="E735" s="1001">
        <f>E734*Input!$D$47</f>
        <v>1012.4000000000001</v>
      </c>
      <c r="F735" s="1001">
        <f>F734*Input!$D$47</f>
        <v>1072</v>
      </c>
      <c r="G735" s="1114"/>
      <c r="H735" s="1114"/>
      <c r="I735" s="1011"/>
      <c r="J735" s="1846"/>
      <c r="K735" s="1846"/>
      <c r="L735" s="999"/>
      <c r="M735" s="1024"/>
      <c r="N735" s="1115"/>
      <c r="O735" s="1115"/>
      <c r="P735" s="1115"/>
      <c r="Q735" s="1024"/>
      <c r="R735" s="1024"/>
      <c r="S735" s="1024"/>
      <c r="T735" s="1024"/>
    </row>
    <row r="736" spans="1:20">
      <c r="A736" s="1023"/>
      <c r="B736" s="1068"/>
      <c r="C736" s="1817" t="s">
        <v>3402</v>
      </c>
      <c r="D736" s="1093">
        <f>$F$665*60%</f>
        <v>1860.4259999999999</v>
      </c>
      <c r="E736" s="1093">
        <f>$F$665*70%</f>
        <v>2170.4969999999998</v>
      </c>
      <c r="F736" s="1093">
        <f>$F$665*80%</f>
        <v>2480.5680000000002</v>
      </c>
      <c r="G736" s="1114"/>
      <c r="H736" s="1114"/>
      <c r="I736" s="1011"/>
      <c r="J736" s="1846"/>
      <c r="K736" s="1846"/>
      <c r="L736" s="999"/>
      <c r="M736" s="1024"/>
      <c r="N736" s="1115"/>
      <c r="O736" s="1115"/>
      <c r="P736" s="1115"/>
      <c r="Q736" s="1024"/>
      <c r="R736" s="1024"/>
      <c r="S736" s="1024"/>
      <c r="T736" s="1024"/>
    </row>
    <row r="737" spans="1:20">
      <c r="A737" s="1023"/>
      <c r="B737" s="1068"/>
      <c r="C737" s="1817" t="str">
        <f>Input!$C$47</f>
        <v>Add for MA @ 40%</v>
      </c>
      <c r="D737" s="1093">
        <f>ROUND(D736*Input!$D$47,2)</f>
        <v>744.17</v>
      </c>
      <c r="E737" s="1093">
        <f>ROUND(E736*Input!$D$47,2)</f>
        <v>868.2</v>
      </c>
      <c r="F737" s="1093">
        <f>ROUND(F736*Input!$D$47,2)</f>
        <v>992.23</v>
      </c>
      <c r="G737" s="1114"/>
      <c r="H737" s="1114"/>
      <c r="I737" s="1011"/>
      <c r="J737" s="1846"/>
      <c r="K737" s="1846"/>
      <c r="L737" s="999"/>
      <c r="M737" s="1024"/>
      <c r="N737" s="1115"/>
      <c r="O737" s="1115"/>
      <c r="P737" s="1115"/>
      <c r="Q737" s="1024"/>
      <c r="R737" s="1024"/>
      <c r="S737" s="1024"/>
      <c r="T737" s="1024"/>
    </row>
    <row r="738" spans="1:20">
      <c r="A738" s="1023"/>
      <c r="B738" s="1068"/>
      <c r="C738" s="1816" t="s">
        <v>1032</v>
      </c>
      <c r="D738" s="1093">
        <f>SUM(D732:D737)</f>
        <v>16609.815780000001</v>
      </c>
      <c r="E738" s="1093">
        <f>SUM(E732:E737)</f>
        <v>17252.516780000002</v>
      </c>
      <c r="F738" s="1093">
        <f>SUM(F732:F737)</f>
        <v>17895.217780000003</v>
      </c>
      <c r="G738" s="1114"/>
      <c r="H738" s="1114"/>
      <c r="I738" s="1011"/>
      <c r="J738" s="1846"/>
      <c r="K738" s="1846"/>
      <c r="L738" s="999"/>
      <c r="M738" s="1024"/>
      <c r="N738" s="1115"/>
      <c r="O738" s="1115"/>
      <c r="P738" s="1115"/>
      <c r="Q738" s="1024"/>
      <c r="R738" s="1024"/>
      <c r="S738" s="1024"/>
      <c r="T738" s="1024"/>
    </row>
    <row r="739" spans="1:20">
      <c r="A739" s="1023"/>
      <c r="B739" s="1068"/>
      <c r="C739" s="1817" t="str">
        <f>Input!$C$48</f>
        <v>Overheads &amp; Contractors Profit @ 13.615%</v>
      </c>
      <c r="D739" s="1093">
        <f>ROUND(D738*Input!$D$48,2)</f>
        <v>2261.4299999999998</v>
      </c>
      <c r="E739" s="1093">
        <f>ROUND(E738*Input!$D$48,2)</f>
        <v>2348.9299999999998</v>
      </c>
      <c r="F739" s="1093">
        <f>ROUND(F738*Input!$D$48,2)</f>
        <v>2436.4299999999998</v>
      </c>
      <c r="G739" s="1114"/>
      <c r="H739" s="1114"/>
      <c r="I739" s="1011"/>
      <c r="J739" s="1846"/>
      <c r="K739" s="1846"/>
      <c r="L739" s="999"/>
      <c r="M739" s="1024"/>
      <c r="N739" s="1115"/>
      <c r="O739" s="1115"/>
      <c r="P739" s="1115"/>
      <c r="Q739" s="1024"/>
      <c r="R739" s="1024"/>
      <c r="S739" s="1024"/>
      <c r="T739" s="1024"/>
    </row>
    <row r="740" spans="1:20">
      <c r="A740" s="1023"/>
      <c r="B740" s="1068"/>
      <c r="C740" s="1816" t="s">
        <v>1032</v>
      </c>
      <c r="D740" s="1117">
        <f>SUM(D738:D739)</f>
        <v>18871.245780000001</v>
      </c>
      <c r="E740" s="1117">
        <f>SUM(E738:E739)</f>
        <v>19601.446780000002</v>
      </c>
      <c r="F740" s="1117">
        <f>SUM(F738:F739)</f>
        <v>20331.647780000003</v>
      </c>
      <c r="G740" s="1114"/>
      <c r="H740" s="1114"/>
      <c r="I740" s="1011"/>
      <c r="J740" s="1846"/>
      <c r="K740" s="1846"/>
      <c r="L740" s="999"/>
      <c r="M740" s="1024"/>
      <c r="N740" s="1115"/>
      <c r="O740" s="1115"/>
      <c r="P740" s="1115"/>
      <c r="Q740" s="1024"/>
      <c r="R740" s="1024"/>
      <c r="S740" s="1024"/>
      <c r="T740" s="1024"/>
    </row>
    <row r="741" spans="1:20">
      <c r="A741" s="1023"/>
      <c r="B741" s="1068"/>
      <c r="C741" s="1843" t="s">
        <v>1034</v>
      </c>
      <c r="D741" s="999">
        <f>ROUND(D740,0)</f>
        <v>18871</v>
      </c>
      <c r="E741" s="999">
        <f>ROUND(E740,0)</f>
        <v>19601</v>
      </c>
      <c r="F741" s="999">
        <f>ROUND(F740,0)</f>
        <v>20332</v>
      </c>
      <c r="G741" s="1114"/>
      <c r="H741" s="1114"/>
      <c r="I741" s="1011"/>
      <c r="J741" s="1846"/>
      <c r="K741" s="1846"/>
      <c r="L741" s="999"/>
      <c r="M741" s="1024"/>
      <c r="N741" s="1115"/>
      <c r="O741" s="1115"/>
      <c r="P741" s="1115"/>
      <c r="Q741" s="1024"/>
      <c r="R741" s="1024"/>
      <c r="S741" s="1024"/>
      <c r="T741" s="1024"/>
    </row>
    <row r="742" spans="1:20">
      <c r="A742" s="1023"/>
      <c r="B742" s="1023"/>
      <c r="C742" s="1843"/>
      <c r="D742" s="999"/>
      <c r="E742" s="999"/>
      <c r="F742" s="999"/>
      <c r="G742" s="999"/>
      <c r="H742" s="999"/>
      <c r="I742" s="999"/>
      <c r="J742" s="999"/>
      <c r="K742" s="999"/>
      <c r="L742" s="999"/>
      <c r="M742" s="1024"/>
      <c r="N742" s="1115"/>
      <c r="O742" s="1115"/>
      <c r="P742" s="1115"/>
      <c r="Q742" s="1024"/>
      <c r="R742" s="1024"/>
      <c r="S742" s="1024"/>
      <c r="T742" s="1024"/>
    </row>
    <row r="743" spans="1:20" ht="103.5" customHeight="1">
      <c r="A743" s="1824">
        <f>1+A654</f>
        <v>15</v>
      </c>
      <c r="B743" s="1824"/>
      <c r="C743" s="2036" t="s">
        <v>3672</v>
      </c>
      <c r="D743" s="2036"/>
      <c r="E743" s="2036"/>
      <c r="F743" s="2036"/>
      <c r="G743" s="2036"/>
      <c r="H743" s="2036"/>
      <c r="I743" s="2036"/>
      <c r="J743" s="999"/>
      <c r="K743" s="999"/>
      <c r="L743" s="999"/>
      <c r="M743" s="1024"/>
      <c r="N743" s="1115"/>
      <c r="O743" s="1115"/>
      <c r="P743" s="1115"/>
    </row>
    <row r="744" spans="1:20">
      <c r="A744" s="1823"/>
      <c r="B744" s="1846"/>
      <c r="C744" s="1078" t="s">
        <v>1203</v>
      </c>
      <c r="D744" s="1846"/>
      <c r="E744" s="1846"/>
      <c r="F744" s="1068"/>
      <c r="G744" s="1846"/>
      <c r="H744" s="1817"/>
      <c r="I744" s="1848"/>
      <c r="J744" s="999"/>
      <c r="K744" s="999"/>
      <c r="L744" s="999"/>
      <c r="M744" s="1024"/>
      <c r="N744" s="1115"/>
      <c r="O744" s="1115"/>
      <c r="P744" s="1115"/>
    </row>
    <row r="745" spans="1:20" ht="12.75" customHeight="1">
      <c r="A745" s="1823"/>
      <c r="B745" s="1098"/>
      <c r="C745" s="2045" t="s">
        <v>1204</v>
      </c>
      <c r="D745" s="2045"/>
      <c r="E745" s="2045"/>
      <c r="F745" s="2045"/>
      <c r="G745" s="2045"/>
      <c r="H745" s="1817"/>
      <c r="I745" s="1848"/>
      <c r="J745" s="999"/>
      <c r="K745" s="999"/>
      <c r="L745" s="999"/>
      <c r="M745" s="1024"/>
      <c r="N745" s="1115"/>
      <c r="O745" s="1115"/>
      <c r="P745" s="1115"/>
    </row>
    <row r="746" spans="1:20">
      <c r="A746" s="1823"/>
      <c r="B746" s="1098"/>
      <c r="C746" s="1821" t="s">
        <v>1139</v>
      </c>
      <c r="D746" s="1849"/>
      <c r="E746" s="1849"/>
      <c r="F746" s="1847"/>
      <c r="G746" s="1849"/>
      <c r="H746" s="1817"/>
      <c r="I746" s="1848"/>
      <c r="J746" s="999"/>
      <c r="K746" s="999"/>
      <c r="L746" s="999"/>
      <c r="M746" s="1024"/>
      <c r="N746" s="1115"/>
      <c r="O746" s="1115"/>
      <c r="P746" s="1115"/>
    </row>
    <row r="747" spans="1:20">
      <c r="A747" s="1823"/>
      <c r="B747" s="1823"/>
      <c r="C747" s="1817" t="s">
        <v>889</v>
      </c>
      <c r="D747" s="1018">
        <v>380</v>
      </c>
      <c r="E747" s="1002" t="s">
        <v>1110</v>
      </c>
      <c r="F747" s="1093">
        <f>LEAD!$N$6</f>
        <v>5200</v>
      </c>
      <c r="G747" s="1020">
        <v>1000</v>
      </c>
      <c r="H747" s="1002" t="s">
        <v>1110</v>
      </c>
      <c r="I747" s="1001">
        <f t="shared" ref="I747:I749" si="110">IF(G747="",D747*F747,(D747*F747/G747))</f>
        <v>1976</v>
      </c>
      <c r="J747" s="999"/>
      <c r="K747" s="999"/>
      <c r="L747" s="999"/>
      <c r="M747" s="1024"/>
      <c r="N747" s="1115"/>
      <c r="O747" s="1115"/>
      <c r="P747" s="1115"/>
    </row>
    <row r="748" spans="1:20">
      <c r="A748" s="1823"/>
      <c r="B748" s="1823"/>
      <c r="C748" s="1817" t="s">
        <v>1171</v>
      </c>
      <c r="D748" s="1018">
        <v>0.8</v>
      </c>
      <c r="E748" s="1002" t="s">
        <v>484</v>
      </c>
      <c r="F748" s="1001">
        <f>$F$16</f>
        <v>1447.96</v>
      </c>
      <c r="G748" s="1020">
        <v>1</v>
      </c>
      <c r="H748" s="1002" t="s">
        <v>484</v>
      </c>
      <c r="I748" s="1001">
        <f t="shared" si="110"/>
        <v>1158.3680000000002</v>
      </c>
      <c r="J748" s="999"/>
      <c r="K748" s="999"/>
      <c r="L748" s="999"/>
      <c r="M748" s="1024"/>
      <c r="N748" s="1115"/>
      <c r="O748" s="1115"/>
      <c r="P748" s="1115"/>
    </row>
    <row r="749" spans="1:20">
      <c r="A749" s="1823"/>
      <c r="B749" s="1823"/>
      <c r="C749" s="1817" t="s">
        <v>1163</v>
      </c>
      <c r="D749" s="1018">
        <v>0.4</v>
      </c>
      <c r="E749" s="1002" t="s">
        <v>484</v>
      </c>
      <c r="F749" s="1093">
        <f>LEAD!$N$12</f>
        <v>2253.91</v>
      </c>
      <c r="G749" s="1020">
        <v>1</v>
      </c>
      <c r="H749" s="1002" t="s">
        <v>484</v>
      </c>
      <c r="I749" s="1001">
        <f t="shared" si="110"/>
        <v>901.56399999999996</v>
      </c>
      <c r="J749" s="999"/>
      <c r="K749" s="999"/>
      <c r="L749" s="999"/>
      <c r="M749" s="1024"/>
      <c r="N749" s="1115"/>
      <c r="O749" s="1115"/>
      <c r="P749" s="1115"/>
    </row>
    <row r="750" spans="1:20">
      <c r="A750" s="1823"/>
      <c r="B750" s="1823"/>
      <c r="C750" s="1816" t="s">
        <v>1172</v>
      </c>
      <c r="D750" s="1002"/>
      <c r="E750" s="1002"/>
      <c r="F750" s="1823"/>
      <c r="G750" s="1002"/>
      <c r="H750" s="1002"/>
      <c r="I750" s="1093"/>
      <c r="J750" s="999"/>
      <c r="K750" s="999"/>
      <c r="L750" s="999"/>
      <c r="M750" s="1024"/>
      <c r="N750" s="1115"/>
      <c r="O750" s="1115"/>
      <c r="P750" s="1115"/>
    </row>
    <row r="751" spans="1:20">
      <c r="A751" s="1823"/>
      <c r="B751" s="1823"/>
      <c r="C751" s="1817" t="s">
        <v>1173</v>
      </c>
      <c r="D751" s="1099">
        <v>0.16700000000000001</v>
      </c>
      <c r="E751" s="1002" t="s">
        <v>955</v>
      </c>
      <c r="F751" s="1093">
        <f>'Civil-SOR'!$G$293</f>
        <v>580</v>
      </c>
      <c r="G751" s="1020">
        <v>1</v>
      </c>
      <c r="H751" s="1002" t="s">
        <v>501</v>
      </c>
      <c r="I751" s="1001">
        <f t="shared" ref="I751:I754" si="111">IF(G751="",D751*F751,(D751*F751/G751))</f>
        <v>96.86</v>
      </c>
      <c r="J751" s="999"/>
      <c r="K751" s="999"/>
      <c r="L751" s="999"/>
      <c r="M751" s="1024"/>
      <c r="N751" s="1115"/>
      <c r="O751" s="1115"/>
      <c r="P751" s="1115"/>
    </row>
    <row r="752" spans="1:20">
      <c r="A752" s="1823"/>
      <c r="B752" s="1823"/>
      <c r="C752" s="1817" t="s">
        <v>1174</v>
      </c>
      <c r="D752" s="1099">
        <v>0.16700000000000001</v>
      </c>
      <c r="E752" s="1002" t="s">
        <v>955</v>
      </c>
      <c r="F752" s="1093">
        <f>'Civil-SOR'!$G$302</f>
        <v>550</v>
      </c>
      <c r="G752" s="1020">
        <v>1</v>
      </c>
      <c r="H752" s="1002" t="str">
        <f>H751</f>
        <v>Each</v>
      </c>
      <c r="I752" s="1001">
        <f t="shared" si="111"/>
        <v>91.850000000000009</v>
      </c>
      <c r="J752" s="999"/>
      <c r="K752" s="999"/>
      <c r="L752" s="999"/>
      <c r="M752" s="1024"/>
      <c r="N752" s="1115"/>
      <c r="O752" s="1115"/>
      <c r="P752" s="1115"/>
    </row>
    <row r="753" spans="1:16">
      <c r="A753" s="1823"/>
      <c r="B753" s="1823"/>
      <c r="C753" s="1817" t="s">
        <v>1175</v>
      </c>
      <c r="D753" s="1018">
        <v>5.6</v>
      </c>
      <c r="E753" s="1002" t="s">
        <v>955</v>
      </c>
      <c r="F753" s="1093">
        <f>'Civil-SOR'!$G$307</f>
        <v>520</v>
      </c>
      <c r="G753" s="1020">
        <v>1</v>
      </c>
      <c r="H753" s="1002" t="str">
        <f>H751</f>
        <v>Each</v>
      </c>
      <c r="I753" s="1001">
        <f t="shared" si="111"/>
        <v>2912</v>
      </c>
      <c r="J753" s="999"/>
      <c r="K753" s="999"/>
      <c r="L753" s="999"/>
      <c r="M753" s="1024"/>
      <c r="N753" s="1115"/>
      <c r="O753" s="1115"/>
      <c r="P753" s="1115"/>
    </row>
    <row r="754" spans="1:16">
      <c r="A754" s="1823"/>
      <c r="B754" s="1823"/>
      <c r="C754" s="1817" t="str">
        <f>Input!$C$47</f>
        <v>Add for MA @ 40%</v>
      </c>
      <c r="D754" s="1018">
        <f>Input!$D$47</f>
        <v>0.4</v>
      </c>
      <c r="E754" s="1002"/>
      <c r="F754" s="1019">
        <f>SUM(I751:I753)</f>
        <v>3100.71</v>
      </c>
      <c r="G754" s="1020"/>
      <c r="H754" s="1002"/>
      <c r="I754" s="1001">
        <f t="shared" si="111"/>
        <v>1240.2840000000001</v>
      </c>
      <c r="J754" s="999"/>
      <c r="K754" s="999"/>
      <c r="L754" s="999"/>
      <c r="M754" s="1024"/>
      <c r="N754" s="1115"/>
      <c r="O754" s="1115"/>
      <c r="P754" s="1115"/>
    </row>
    <row r="755" spans="1:16">
      <c r="A755" s="1823"/>
      <c r="B755" s="1823"/>
      <c r="C755" s="1816" t="s">
        <v>1176</v>
      </c>
      <c r="D755" s="1018"/>
      <c r="E755" s="1002"/>
      <c r="F755" s="1093"/>
      <c r="G755" s="1020"/>
      <c r="H755" s="1002"/>
      <c r="I755" s="1001"/>
      <c r="J755" s="999"/>
      <c r="K755" s="999"/>
      <c r="L755" s="999"/>
      <c r="M755" s="1024"/>
      <c r="N755" s="1115"/>
      <c r="O755" s="1115"/>
      <c r="P755" s="1115"/>
    </row>
    <row r="756" spans="1:16" ht="25.5">
      <c r="A756" s="1823"/>
      <c r="B756" s="1823"/>
      <c r="C756" s="1817" t="s">
        <v>582</v>
      </c>
      <c r="D756" s="1099">
        <v>1.333</v>
      </c>
      <c r="E756" s="1002" t="s">
        <v>1083</v>
      </c>
      <c r="F756" s="1093">
        <f>'Civil-SOR'!G330</f>
        <v>192.9</v>
      </c>
      <c r="G756" s="1020">
        <v>1</v>
      </c>
      <c r="H756" s="1002" t="s">
        <v>400</v>
      </c>
      <c r="I756" s="1001">
        <f t="shared" ref="I756:I761" si="112">IF(G756="",D756*F756,(D756*F756/G756))</f>
        <v>257.13569999999999</v>
      </c>
      <c r="J756" s="999"/>
      <c r="K756" s="999"/>
      <c r="L756" s="999"/>
      <c r="M756" s="1024"/>
      <c r="N756" s="1115"/>
      <c r="O756" s="1115"/>
      <c r="P756" s="1115"/>
    </row>
    <row r="757" spans="1:16">
      <c r="A757" s="1823"/>
      <c r="B757" s="1823"/>
      <c r="C757" s="1817" t="s">
        <v>579</v>
      </c>
      <c r="D757" s="1099">
        <v>1.333</v>
      </c>
      <c r="E757" s="1002" t="s">
        <v>1083</v>
      </c>
      <c r="F757" s="1093">
        <f>'Civil-SOR'!J330</f>
        <v>302.89999999999998</v>
      </c>
      <c r="G757" s="1020">
        <v>1</v>
      </c>
      <c r="H757" s="1002" t="s">
        <v>400</v>
      </c>
      <c r="I757" s="1001">
        <f t="shared" si="112"/>
        <v>403.76569999999998</v>
      </c>
      <c r="J757" s="999"/>
      <c r="K757" s="999"/>
      <c r="L757" s="999"/>
      <c r="M757" s="1024"/>
      <c r="N757" s="1115"/>
      <c r="O757" s="1115"/>
      <c r="P757" s="1115"/>
    </row>
    <row r="758" spans="1:16">
      <c r="A758" s="1823"/>
      <c r="B758" s="1823"/>
      <c r="C758" s="1817" t="s">
        <v>1178</v>
      </c>
      <c r="D758" s="1099">
        <v>1.333</v>
      </c>
      <c r="E758" s="1002" t="s">
        <v>1083</v>
      </c>
      <c r="F758" s="1093">
        <f>'Civil-SOR'!$G$332</f>
        <v>36.5</v>
      </c>
      <c r="G758" s="1020">
        <v>1</v>
      </c>
      <c r="H758" s="1002" t="s">
        <v>400</v>
      </c>
      <c r="I758" s="1001">
        <f t="shared" si="112"/>
        <v>48.654499999999999</v>
      </c>
      <c r="J758" s="999"/>
      <c r="K758" s="999"/>
      <c r="L758" s="999"/>
      <c r="M758" s="1024"/>
      <c r="N758" s="1115"/>
      <c r="O758" s="1115"/>
      <c r="P758" s="1115"/>
    </row>
    <row r="759" spans="1:16">
      <c r="A759" s="1823"/>
      <c r="B759" s="1823"/>
      <c r="C759" s="1817" t="s">
        <v>579</v>
      </c>
      <c r="D759" s="1099">
        <v>1.333</v>
      </c>
      <c r="E759" s="1002" t="s">
        <v>1083</v>
      </c>
      <c r="F759" s="1093">
        <f>'Civil-SOR'!$J$332</f>
        <v>218</v>
      </c>
      <c r="G759" s="1020">
        <v>1</v>
      </c>
      <c r="H759" s="1002" t="s">
        <v>400</v>
      </c>
      <c r="I759" s="1001">
        <f t="shared" si="112"/>
        <v>290.59399999999999</v>
      </c>
      <c r="J759" s="999"/>
      <c r="K759" s="999"/>
      <c r="L759" s="999"/>
      <c r="M759" s="1024"/>
      <c r="N759" s="1115"/>
      <c r="O759" s="1115"/>
      <c r="P759" s="1115"/>
    </row>
    <row r="760" spans="1:16">
      <c r="A760" s="1823"/>
      <c r="B760" s="1823"/>
      <c r="C760" s="1817" t="s">
        <v>1085</v>
      </c>
      <c r="D760" s="1018">
        <f>Input!$D$47</f>
        <v>0.4</v>
      </c>
      <c r="E760" s="1002"/>
      <c r="F760" s="1093">
        <f>I757+I759</f>
        <v>694.35969999999998</v>
      </c>
      <c r="G760" s="1020"/>
      <c r="H760" s="1002"/>
      <c r="I760" s="1001">
        <f t="shared" si="112"/>
        <v>277.74387999999999</v>
      </c>
      <c r="J760" s="999"/>
      <c r="K760" s="999"/>
      <c r="L760" s="999"/>
      <c r="M760" s="1024"/>
      <c r="N760" s="1115"/>
      <c r="O760" s="1115"/>
      <c r="P760" s="1115"/>
    </row>
    <row r="761" spans="1:16">
      <c r="A761" s="1823"/>
      <c r="B761" s="1823"/>
      <c r="C761" s="1817" t="s">
        <v>1179</v>
      </c>
      <c r="D761" s="1000">
        <v>1.2</v>
      </c>
      <c r="E761" s="1044" t="s">
        <v>1143</v>
      </c>
      <c r="F761" s="1001">
        <f>Input!$D$53</f>
        <v>108</v>
      </c>
      <c r="G761" s="1015">
        <v>1</v>
      </c>
      <c r="H761" s="1085" t="str">
        <f>IF(E761="","",IF(E761="No.","Each",IF(E761="Nos.","Each",E761)))</f>
        <v>kl</v>
      </c>
      <c r="I761" s="1001">
        <f t="shared" si="112"/>
        <v>129.6</v>
      </c>
      <c r="J761" s="999"/>
      <c r="K761" s="999"/>
      <c r="L761" s="999"/>
      <c r="M761" s="1024"/>
      <c r="N761" s="1115"/>
      <c r="O761" s="1115"/>
      <c r="P761" s="1115"/>
    </row>
    <row r="762" spans="1:16">
      <c r="A762" s="1023"/>
      <c r="B762" s="1023"/>
      <c r="C762" s="1816" t="s">
        <v>1032</v>
      </c>
      <c r="D762" s="996"/>
      <c r="E762" s="996"/>
      <c r="F762" s="1023"/>
      <c r="G762" s="1100"/>
      <c r="H762" s="996"/>
      <c r="I762" s="1834">
        <f>SUM(I747:I761)</f>
        <v>9784.419780000002</v>
      </c>
      <c r="J762" s="999"/>
      <c r="K762" s="999"/>
      <c r="L762" s="999"/>
      <c r="M762" s="1024"/>
      <c r="N762" s="1115"/>
      <c r="O762" s="1115"/>
      <c r="P762" s="1115"/>
    </row>
    <row r="763" spans="1:16">
      <c r="A763" s="1023"/>
      <c r="B763" s="1023"/>
      <c r="C763" s="1816"/>
      <c r="D763" s="996"/>
      <c r="E763" s="996"/>
      <c r="F763" s="1023"/>
      <c r="G763" s="1100"/>
      <c r="H763" s="996"/>
      <c r="I763" s="1834"/>
      <c r="J763" s="999"/>
      <c r="K763" s="999"/>
      <c r="L763" s="999"/>
      <c r="M763" s="1024"/>
      <c r="N763" s="1115"/>
      <c r="O763" s="1115"/>
      <c r="P763" s="1115"/>
    </row>
    <row r="764" spans="1:16">
      <c r="A764" s="1023"/>
      <c r="B764" s="1833" t="s">
        <v>454</v>
      </c>
      <c r="C764" s="1816" t="s">
        <v>1227</v>
      </c>
      <c r="D764" s="996"/>
      <c r="E764" s="996"/>
      <c r="F764" s="1023"/>
      <c r="G764" s="1100"/>
      <c r="H764" s="996"/>
      <c r="I764" s="1834"/>
      <c r="J764" s="999"/>
      <c r="K764" s="999"/>
      <c r="L764" s="999"/>
      <c r="M764" s="1024"/>
      <c r="N764" s="1115"/>
      <c r="O764" s="1115"/>
      <c r="P764" s="1115"/>
    </row>
    <row r="765" spans="1:16" ht="25.5">
      <c r="A765" s="1023"/>
      <c r="B765" s="1023"/>
      <c r="C765" s="1816" t="s">
        <v>1228</v>
      </c>
      <c r="D765" s="996"/>
      <c r="E765" s="996"/>
      <c r="F765" s="1023"/>
      <c r="G765" s="1100"/>
      <c r="H765" s="996"/>
      <c r="I765" s="1834"/>
      <c r="J765" s="999"/>
      <c r="K765" s="999"/>
      <c r="L765" s="999"/>
      <c r="M765" s="1024"/>
      <c r="N765" s="1115"/>
      <c r="O765" s="1115"/>
      <c r="P765" s="1115"/>
    </row>
    <row r="766" spans="1:16">
      <c r="A766" s="1023"/>
      <c r="B766" s="1098" t="s">
        <v>261</v>
      </c>
      <c r="C766" s="1821" t="s">
        <v>1216</v>
      </c>
      <c r="D766" s="2050" t="s">
        <v>1223</v>
      </c>
      <c r="E766" s="2058" t="s">
        <v>1207</v>
      </c>
      <c r="F766" s="2057" t="s">
        <v>1208</v>
      </c>
      <c r="G766" s="2057" t="s">
        <v>1209</v>
      </c>
      <c r="H766" s="2057" t="s">
        <v>1210</v>
      </c>
      <c r="I766" s="2059" t="s">
        <v>1211</v>
      </c>
      <c r="J766" s="999"/>
      <c r="K766" s="999"/>
      <c r="L766" s="999"/>
      <c r="M766" s="1024"/>
      <c r="N766" s="1115"/>
      <c r="O766" s="1115"/>
      <c r="P766" s="1115"/>
    </row>
    <row r="767" spans="1:16">
      <c r="A767" s="1023"/>
      <c r="B767" s="1068"/>
      <c r="C767" s="1816" t="s">
        <v>1217</v>
      </c>
      <c r="D767" s="2050"/>
      <c r="E767" s="2058"/>
      <c r="F767" s="2057"/>
      <c r="G767" s="2057"/>
      <c r="H767" s="2057"/>
      <c r="I767" s="2059"/>
      <c r="J767" s="999"/>
      <c r="K767" s="999"/>
      <c r="L767" s="999"/>
      <c r="M767" s="1024"/>
      <c r="N767" s="1115"/>
      <c r="O767" s="1115"/>
      <c r="P767" s="1115"/>
    </row>
    <row r="768" spans="1:16">
      <c r="A768" s="1023"/>
      <c r="B768" s="1823"/>
      <c r="C768" s="1817" t="s">
        <v>1218</v>
      </c>
      <c r="D768" s="1093">
        <f t="shared" ref="D768:I768" si="113">$I$762</f>
        <v>9784.419780000002</v>
      </c>
      <c r="E768" s="1093">
        <f t="shared" si="113"/>
        <v>9784.419780000002</v>
      </c>
      <c r="F768" s="1093">
        <f t="shared" si="113"/>
        <v>9784.419780000002</v>
      </c>
      <c r="G768" s="1093">
        <f t="shared" si="113"/>
        <v>9784.419780000002</v>
      </c>
      <c r="H768" s="1093">
        <f t="shared" si="113"/>
        <v>9784.419780000002</v>
      </c>
      <c r="I768" s="1093">
        <f t="shared" si="113"/>
        <v>9784.419780000002</v>
      </c>
      <c r="J768" s="999"/>
      <c r="K768" s="999"/>
      <c r="L768" s="999"/>
      <c r="M768" s="1024"/>
      <c r="N768" s="1115"/>
      <c r="O768" s="1115"/>
      <c r="P768" s="1115"/>
    </row>
    <row r="769" spans="1:16">
      <c r="A769" s="1023"/>
      <c r="B769" s="1823"/>
      <c r="C769" s="1817" t="s">
        <v>1182</v>
      </c>
      <c r="D769" s="1093">
        <f>'Civil-SOR'!$F$267</f>
        <v>400</v>
      </c>
      <c r="E769" s="1093">
        <f>'Civil-SOR'!$F$267</f>
        <v>400</v>
      </c>
      <c r="F769" s="1093">
        <f>'Civil-SOR'!$F$267</f>
        <v>400</v>
      </c>
      <c r="G769" s="1093">
        <f>'Civil-SOR'!$F$267</f>
        <v>400</v>
      </c>
      <c r="H769" s="1093">
        <f>'Civil-SOR'!$F$267</f>
        <v>400</v>
      </c>
      <c r="I769" s="1093">
        <f>'Civil-SOR'!$F$267</f>
        <v>400</v>
      </c>
      <c r="J769" s="999"/>
      <c r="K769" s="999"/>
      <c r="L769" s="999"/>
      <c r="M769" s="1024"/>
      <c r="N769" s="1115"/>
      <c r="O769" s="1115"/>
      <c r="P769" s="1115"/>
    </row>
    <row r="770" spans="1:16">
      <c r="A770" s="1023"/>
      <c r="B770" s="1823"/>
      <c r="C770" s="1817" t="s">
        <v>453</v>
      </c>
      <c r="D770" s="1001">
        <f>'Civil-SOR'!$G$267</f>
        <v>2732</v>
      </c>
      <c r="E770" s="1001">
        <f>'Civil-SOR'!$H$267</f>
        <v>3005</v>
      </c>
      <c r="F770" s="1001">
        <f>'Civil-SOR'!$I$267</f>
        <v>3278</v>
      </c>
      <c r="G770" s="1001">
        <f>'Civil-SOR'!$J$267</f>
        <v>3552</v>
      </c>
      <c r="H770" s="1001">
        <f>'Civil-SOR'!$K$267</f>
        <v>3825</v>
      </c>
      <c r="I770" s="1001">
        <f>'Civil-SOR'!$L$267</f>
        <v>4098</v>
      </c>
      <c r="J770" s="999"/>
      <c r="K770" s="999"/>
      <c r="L770" s="999"/>
      <c r="M770" s="1024"/>
      <c r="N770" s="1115"/>
      <c r="O770" s="1115"/>
      <c r="P770" s="1115"/>
    </row>
    <row r="771" spans="1:16">
      <c r="A771" s="1023"/>
      <c r="B771" s="1823"/>
      <c r="C771" s="1817" t="str">
        <f>Input!$C$47</f>
        <v>Add for MA @ 40%</v>
      </c>
      <c r="D771" s="1001">
        <f>D770*Input!$D$47</f>
        <v>1092.8</v>
      </c>
      <c r="E771" s="1001">
        <f>E770*Input!$D$47</f>
        <v>1202</v>
      </c>
      <c r="F771" s="1001">
        <f>F770*Input!$D$47</f>
        <v>1311.2</v>
      </c>
      <c r="G771" s="1001">
        <f>G770*Input!$D$47</f>
        <v>1420.8000000000002</v>
      </c>
      <c r="H771" s="1001">
        <f>H770*Input!$D$47</f>
        <v>1530</v>
      </c>
      <c r="I771" s="1001">
        <f>I770*Input!$D$47</f>
        <v>1639.2</v>
      </c>
      <c r="J771" s="999"/>
      <c r="K771" s="999"/>
      <c r="L771" s="999"/>
      <c r="M771" s="1024"/>
      <c r="N771" s="1115"/>
      <c r="O771" s="1115"/>
      <c r="P771" s="1115"/>
    </row>
    <row r="772" spans="1:16">
      <c r="A772" s="1023"/>
      <c r="B772" s="1823"/>
      <c r="C772" s="1817" t="s">
        <v>1220</v>
      </c>
      <c r="D772" s="1093">
        <v>0</v>
      </c>
      <c r="E772" s="1093">
        <f>$F$754*0.1</f>
        <v>310.07100000000003</v>
      </c>
      <c r="F772" s="1093">
        <f>$F$754*0.2</f>
        <v>620.14200000000005</v>
      </c>
      <c r="G772" s="1093">
        <f>$F$754*0.3</f>
        <v>930.21299999999997</v>
      </c>
      <c r="H772" s="1093">
        <f>$F$754*0.4</f>
        <v>1240.2840000000001</v>
      </c>
      <c r="I772" s="1093">
        <f>$F$754*0.5</f>
        <v>1550.355</v>
      </c>
      <c r="J772" s="999"/>
      <c r="K772" s="999"/>
      <c r="L772" s="999"/>
      <c r="M772" s="1024"/>
      <c r="N772" s="1115"/>
      <c r="O772" s="1115"/>
      <c r="P772" s="1115"/>
    </row>
    <row r="773" spans="1:16">
      <c r="A773" s="1023"/>
      <c r="B773" s="1823"/>
      <c r="C773" s="1817" t="str">
        <f>Input!$C$47</f>
        <v>Add for MA @ 40%</v>
      </c>
      <c r="D773" s="1093">
        <v>0</v>
      </c>
      <c r="E773" s="1093">
        <f>ROUND(E772*Input!$D$47,2)</f>
        <v>124.03</v>
      </c>
      <c r="F773" s="1093">
        <f>ROUND(F772*Input!$D$47,2)</f>
        <v>248.06</v>
      </c>
      <c r="G773" s="1093">
        <f>ROUND(G772*Input!$D$47,2)</f>
        <v>372.09</v>
      </c>
      <c r="H773" s="1093">
        <f>ROUND(H772*Input!$D$47,2)</f>
        <v>496.11</v>
      </c>
      <c r="I773" s="1093">
        <f>ROUND(I772*Input!$D$47,2)</f>
        <v>620.14</v>
      </c>
      <c r="J773" s="999"/>
      <c r="K773" s="999"/>
      <c r="L773" s="999"/>
      <c r="M773" s="1024"/>
      <c r="N773" s="1115"/>
      <c r="O773" s="1115"/>
      <c r="P773" s="1115"/>
    </row>
    <row r="774" spans="1:16">
      <c r="A774" s="1023"/>
      <c r="B774" s="1023"/>
      <c r="C774" s="1816" t="s">
        <v>1032</v>
      </c>
      <c r="D774" s="1829">
        <f t="shared" ref="D774:I774" si="114">SUM(D768:D773)</f>
        <v>14009.219780000001</v>
      </c>
      <c r="E774" s="1829">
        <f t="shared" si="114"/>
        <v>14825.520780000003</v>
      </c>
      <c r="F774" s="1829">
        <f t="shared" si="114"/>
        <v>15641.821780000002</v>
      </c>
      <c r="G774" s="1829">
        <f t="shared" si="114"/>
        <v>16459.522780000003</v>
      </c>
      <c r="H774" s="1829">
        <f t="shared" si="114"/>
        <v>17275.813780000004</v>
      </c>
      <c r="I774" s="1829">
        <f t="shared" si="114"/>
        <v>18092.114780000004</v>
      </c>
      <c r="J774" s="999"/>
      <c r="K774" s="999"/>
      <c r="L774" s="999"/>
      <c r="M774" s="1024"/>
      <c r="N774" s="1115"/>
      <c r="O774" s="1115"/>
      <c r="P774" s="1115"/>
    </row>
    <row r="775" spans="1:16">
      <c r="A775" s="1023"/>
      <c r="B775" s="1823"/>
      <c r="C775" s="1817" t="str">
        <f>Input!$C$48</f>
        <v>Overheads &amp; Contractors Profit @ 13.615%</v>
      </c>
      <c r="D775" s="1093">
        <f>ROUND(D774*Input!$D$48,2)</f>
        <v>1907.36</v>
      </c>
      <c r="E775" s="1093">
        <f>ROUND(E774*Input!$D$48,2)</f>
        <v>2018.49</v>
      </c>
      <c r="F775" s="1093">
        <f>ROUND(F774*Input!$D$48,2)</f>
        <v>2129.63</v>
      </c>
      <c r="G775" s="1093">
        <f>ROUND(G774*Input!$D$48,2)</f>
        <v>2240.96</v>
      </c>
      <c r="H775" s="1093">
        <f>ROUND(H774*Input!$D$48,2)</f>
        <v>2352.1</v>
      </c>
      <c r="I775" s="1093">
        <f>ROUND(I774*Input!$D$48,2)</f>
        <v>2463.2399999999998</v>
      </c>
      <c r="J775" s="999"/>
      <c r="K775" s="999"/>
      <c r="L775" s="999"/>
      <c r="M775" s="1024"/>
      <c r="N775" s="1115"/>
      <c r="O775" s="1115"/>
      <c r="P775" s="1115"/>
    </row>
    <row r="776" spans="1:16">
      <c r="A776" s="1023"/>
      <c r="B776" s="1023"/>
      <c r="C776" s="1821" t="s">
        <v>1032</v>
      </c>
      <c r="D776" s="1829">
        <f t="shared" ref="D776:I776" si="115">SUM(D774:D775)</f>
        <v>15916.579780000002</v>
      </c>
      <c r="E776" s="1829">
        <f t="shared" si="115"/>
        <v>16844.010780000004</v>
      </c>
      <c r="F776" s="1829">
        <f t="shared" si="115"/>
        <v>17771.451780000003</v>
      </c>
      <c r="G776" s="1829">
        <f t="shared" si="115"/>
        <v>18700.482780000002</v>
      </c>
      <c r="H776" s="1829">
        <f t="shared" si="115"/>
        <v>19627.913780000003</v>
      </c>
      <c r="I776" s="1829">
        <f t="shared" si="115"/>
        <v>20555.354780000001</v>
      </c>
      <c r="J776" s="999"/>
      <c r="K776" s="999"/>
      <c r="L776" s="999"/>
      <c r="M776" s="1024"/>
      <c r="N776" s="1115"/>
      <c r="O776" s="1115"/>
      <c r="P776" s="1115"/>
    </row>
    <row r="777" spans="1:16">
      <c r="A777" s="1023"/>
      <c r="B777" s="1023"/>
      <c r="C777" s="1843" t="s">
        <v>1034</v>
      </c>
      <c r="D777" s="999">
        <f t="shared" ref="D777:I777" si="116">ROUND(D776,0)</f>
        <v>15917</v>
      </c>
      <c r="E777" s="999">
        <f t="shared" si="116"/>
        <v>16844</v>
      </c>
      <c r="F777" s="999">
        <f t="shared" si="116"/>
        <v>17771</v>
      </c>
      <c r="G777" s="999">
        <f t="shared" si="116"/>
        <v>18700</v>
      </c>
      <c r="H777" s="999">
        <f t="shared" si="116"/>
        <v>19628</v>
      </c>
      <c r="I777" s="999">
        <f t="shared" si="116"/>
        <v>20555</v>
      </c>
      <c r="J777" s="999"/>
      <c r="K777" s="999"/>
      <c r="L777" s="999"/>
      <c r="M777" s="1024"/>
      <c r="N777" s="1115"/>
      <c r="O777" s="1115"/>
      <c r="P777" s="1115"/>
    </row>
    <row r="778" spans="1:16">
      <c r="A778" s="1023"/>
      <c r="B778" s="1023"/>
      <c r="C778" s="1816"/>
      <c r="D778" s="996"/>
      <c r="E778" s="996"/>
      <c r="F778" s="1023"/>
      <c r="G778" s="1100"/>
      <c r="H778" s="996"/>
      <c r="I778" s="1834"/>
      <c r="J778" s="999"/>
      <c r="K778" s="999"/>
      <c r="L778" s="999"/>
      <c r="M778" s="1024"/>
      <c r="N778" s="1115"/>
      <c r="O778" s="1115"/>
      <c r="P778" s="1115"/>
    </row>
    <row r="779" spans="1:16">
      <c r="A779" s="1023"/>
      <c r="B779" s="1098" t="s">
        <v>264</v>
      </c>
      <c r="C779" s="1821" t="s">
        <v>1222</v>
      </c>
      <c r="D779" s="2050" t="s">
        <v>1223</v>
      </c>
      <c r="E779" s="2058" t="s">
        <v>1207</v>
      </c>
      <c r="F779" s="2057" t="s">
        <v>1208</v>
      </c>
      <c r="G779" s="2057" t="s">
        <v>1209</v>
      </c>
      <c r="H779" s="2057" t="s">
        <v>1210</v>
      </c>
      <c r="I779" s="2059" t="s">
        <v>1211</v>
      </c>
      <c r="J779" s="1023"/>
      <c r="K779" s="1023"/>
      <c r="L779" s="999"/>
      <c r="M779" s="1024"/>
      <c r="N779" s="1115"/>
      <c r="O779" s="1115"/>
      <c r="P779" s="1115"/>
    </row>
    <row r="780" spans="1:16">
      <c r="A780" s="1023"/>
      <c r="B780" s="1068"/>
      <c r="C780" s="1816" t="s">
        <v>1217</v>
      </c>
      <c r="D780" s="2050"/>
      <c r="E780" s="2058"/>
      <c r="F780" s="2057"/>
      <c r="G780" s="2057"/>
      <c r="H780" s="2057"/>
      <c r="I780" s="2059"/>
      <c r="J780" s="1023"/>
      <c r="K780" s="1023"/>
      <c r="L780" s="999"/>
      <c r="M780" s="1024"/>
      <c r="N780" s="1115"/>
      <c r="O780" s="1115"/>
      <c r="P780" s="1115"/>
    </row>
    <row r="781" spans="1:16">
      <c r="A781" s="1023"/>
      <c r="B781" s="1823"/>
      <c r="C781" s="1817" t="s">
        <v>1218</v>
      </c>
      <c r="D781" s="1093">
        <f t="shared" ref="D781:I781" si="117">$I$673</f>
        <v>9784.419780000002</v>
      </c>
      <c r="E781" s="1093">
        <f t="shared" si="117"/>
        <v>9784.419780000002</v>
      </c>
      <c r="F781" s="1093">
        <f t="shared" si="117"/>
        <v>9784.419780000002</v>
      </c>
      <c r="G781" s="1093">
        <f t="shared" si="117"/>
        <v>9784.419780000002</v>
      </c>
      <c r="H781" s="1093">
        <f t="shared" si="117"/>
        <v>9784.419780000002</v>
      </c>
      <c r="I781" s="1093">
        <f t="shared" si="117"/>
        <v>9784.419780000002</v>
      </c>
      <c r="J781" s="1023"/>
      <c r="K781" s="1023"/>
      <c r="L781" s="999"/>
      <c r="M781" s="1024"/>
      <c r="N781" s="1115"/>
      <c r="O781" s="1115"/>
      <c r="P781" s="1115"/>
    </row>
    <row r="782" spans="1:16">
      <c r="A782" s="1023"/>
      <c r="B782" s="1823"/>
      <c r="C782" s="1817" t="s">
        <v>1182</v>
      </c>
      <c r="D782" s="1093">
        <f>'Civil-SOR'!$F$267</f>
        <v>400</v>
      </c>
      <c r="E782" s="1093">
        <f>+D782</f>
        <v>400</v>
      </c>
      <c r="F782" s="1093">
        <f>+E782</f>
        <v>400</v>
      </c>
      <c r="G782" s="1093">
        <f>+F782</f>
        <v>400</v>
      </c>
      <c r="H782" s="1093">
        <f>+G782</f>
        <v>400</v>
      </c>
      <c r="I782" s="1093">
        <f>+H782</f>
        <v>400</v>
      </c>
      <c r="J782" s="1023"/>
      <c r="K782" s="1023"/>
      <c r="L782" s="999"/>
      <c r="M782" s="1024"/>
      <c r="N782" s="1115"/>
      <c r="O782" s="1115"/>
      <c r="P782" s="1115"/>
    </row>
    <row r="783" spans="1:16">
      <c r="A783" s="1023"/>
      <c r="B783" s="1823"/>
      <c r="C783" s="1817" t="s">
        <v>453</v>
      </c>
      <c r="D783" s="1001">
        <f>'Civil-SOR'!$G$267</f>
        <v>2732</v>
      </c>
      <c r="E783" s="1001">
        <f>'Civil-SOR'!$H$267</f>
        <v>3005</v>
      </c>
      <c r="F783" s="1001">
        <f>'Civil-SOR'!$I$267</f>
        <v>3278</v>
      </c>
      <c r="G783" s="1001">
        <f>'Civil-SOR'!$J$267</f>
        <v>3552</v>
      </c>
      <c r="H783" s="1001">
        <f>'Civil-SOR'!$K$267</f>
        <v>3825</v>
      </c>
      <c r="I783" s="1001">
        <f>'Civil-SOR'!$L$267</f>
        <v>4098</v>
      </c>
      <c r="J783" s="1023"/>
      <c r="K783" s="1023"/>
      <c r="L783" s="999"/>
      <c r="M783" s="1024"/>
      <c r="N783" s="1115"/>
      <c r="O783" s="1115"/>
      <c r="P783" s="1115"/>
    </row>
    <row r="784" spans="1:16">
      <c r="A784" s="1023"/>
      <c r="B784" s="1823"/>
      <c r="C784" s="1817" t="str">
        <f>Input!$C$47</f>
        <v>Add for MA @ 40%</v>
      </c>
      <c r="D784" s="1001">
        <f>D783*Input!$D$47</f>
        <v>1092.8</v>
      </c>
      <c r="E784" s="1001">
        <f>E783*Input!$D$47</f>
        <v>1202</v>
      </c>
      <c r="F784" s="1001">
        <f>F783*Input!$D$47</f>
        <v>1311.2</v>
      </c>
      <c r="G784" s="1001">
        <f>G783*Input!$D$47</f>
        <v>1420.8000000000002</v>
      </c>
      <c r="H784" s="1001">
        <f>H783*Input!$D$47</f>
        <v>1530</v>
      </c>
      <c r="I784" s="1001">
        <f>I783*Input!$D$47</f>
        <v>1639.2</v>
      </c>
      <c r="J784" s="1023"/>
      <c r="K784" s="1023"/>
      <c r="L784" s="999"/>
      <c r="M784" s="1024"/>
      <c r="N784" s="1115"/>
      <c r="O784" s="1115"/>
      <c r="P784" s="1115"/>
    </row>
    <row r="785" spans="1:16" ht="38.25">
      <c r="A785" s="1023"/>
      <c r="B785" s="1823"/>
      <c r="C785" s="1817" t="s">
        <v>1229</v>
      </c>
      <c r="D785" s="1093">
        <v>0</v>
      </c>
      <c r="E785" s="1093">
        <f>1.333*'Civil-SOR'!$G$334</f>
        <v>504.80710000000005</v>
      </c>
      <c r="F785" s="1093">
        <f t="shared" ref="F785:F786" si="118">E785*1.1</f>
        <v>555.28781000000015</v>
      </c>
      <c r="G785" s="1093">
        <f t="shared" ref="G785:G786" si="119">E785*1.2</f>
        <v>605.76852000000008</v>
      </c>
      <c r="H785" s="1093">
        <f t="shared" ref="H785:H786" si="120">E785*1.3</f>
        <v>656.24923000000013</v>
      </c>
      <c r="I785" s="1093">
        <f t="shared" ref="I785:I786" si="121">E785*1.4</f>
        <v>706.72994000000006</v>
      </c>
      <c r="J785" s="1023"/>
      <c r="K785" s="1023"/>
      <c r="L785" s="999"/>
      <c r="M785" s="1024"/>
      <c r="N785" s="1115"/>
      <c r="O785" s="1115"/>
      <c r="P785" s="1115"/>
    </row>
    <row r="786" spans="1:16" ht="25.5">
      <c r="A786" s="1023"/>
      <c r="B786" s="1823"/>
      <c r="C786" s="1817" t="s">
        <v>1225</v>
      </c>
      <c r="D786" s="1093">
        <v>0</v>
      </c>
      <c r="E786" s="1093">
        <f>1.333*'Civil-SOR'!$J$334</f>
        <v>480.41319999999996</v>
      </c>
      <c r="F786" s="1093">
        <f t="shared" si="118"/>
        <v>528.45452</v>
      </c>
      <c r="G786" s="1093">
        <f t="shared" si="119"/>
        <v>576.49583999999993</v>
      </c>
      <c r="H786" s="1093">
        <f t="shared" si="120"/>
        <v>624.53715999999997</v>
      </c>
      <c r="I786" s="1093">
        <f t="shared" si="121"/>
        <v>672.5784799999999</v>
      </c>
      <c r="J786" s="1023"/>
      <c r="K786" s="1023"/>
      <c r="L786" s="999"/>
      <c r="M786" s="1024"/>
      <c r="N786" s="1115"/>
      <c r="O786" s="1115"/>
      <c r="P786" s="1115"/>
    </row>
    <row r="787" spans="1:16">
      <c r="A787" s="1023"/>
      <c r="B787" s="1823"/>
      <c r="C787" s="1817" t="str">
        <f>Input!$C$47</f>
        <v>Add for MA @ 40%</v>
      </c>
      <c r="D787" s="1093">
        <v>0</v>
      </c>
      <c r="E787" s="1093">
        <f>ROUND(E786*Input!$D$47,2)</f>
        <v>192.17</v>
      </c>
      <c r="F787" s="1093">
        <f>ROUND(F786*Input!$D$47,2)</f>
        <v>211.38</v>
      </c>
      <c r="G787" s="1093">
        <f>ROUND(G786*Input!$D$47,2)</f>
        <v>230.6</v>
      </c>
      <c r="H787" s="1093">
        <f>ROUND(H786*Input!$D$47,2)</f>
        <v>249.81</v>
      </c>
      <c r="I787" s="1093">
        <f>ROUND(I786*Input!$D$47,2)</f>
        <v>269.02999999999997</v>
      </c>
      <c r="J787" s="1023"/>
      <c r="K787" s="1023"/>
      <c r="L787" s="999"/>
      <c r="M787" s="1024"/>
      <c r="N787" s="1115"/>
      <c r="O787" s="1115"/>
      <c r="P787" s="1115"/>
    </row>
    <row r="788" spans="1:16">
      <c r="A788" s="1023"/>
      <c r="B788" s="1023"/>
      <c r="C788" s="1816" t="s">
        <v>1032</v>
      </c>
      <c r="D788" s="1829">
        <f t="shared" ref="D788:I788" si="122">SUM(D781:D787)</f>
        <v>14009.219780000001</v>
      </c>
      <c r="E788" s="1829">
        <f t="shared" si="122"/>
        <v>15568.810080000001</v>
      </c>
      <c r="F788" s="1829">
        <f t="shared" si="122"/>
        <v>16068.742110000001</v>
      </c>
      <c r="G788" s="1829">
        <f t="shared" si="122"/>
        <v>16570.084140000003</v>
      </c>
      <c r="H788" s="1829">
        <f t="shared" si="122"/>
        <v>17070.016170000003</v>
      </c>
      <c r="I788" s="1829">
        <f t="shared" si="122"/>
        <v>17569.958200000001</v>
      </c>
      <c r="J788" s="1023"/>
      <c r="K788" s="1023"/>
      <c r="L788" s="999"/>
      <c r="M788" s="1024"/>
      <c r="N788" s="1115"/>
      <c r="O788" s="1115"/>
      <c r="P788" s="1115"/>
    </row>
    <row r="789" spans="1:16">
      <c r="A789" s="1023"/>
      <c r="B789" s="1823"/>
      <c r="C789" s="1817" t="str">
        <f>Input!$C$48</f>
        <v>Overheads &amp; Contractors Profit @ 13.615%</v>
      </c>
      <c r="D789" s="1093">
        <f>ROUND(D788*Input!$D$48,2)</f>
        <v>1907.36</v>
      </c>
      <c r="E789" s="1093">
        <f>ROUND(E788*Input!$D$48,2)</f>
        <v>2119.69</v>
      </c>
      <c r="F789" s="1093">
        <f>ROUND(F788*Input!$D$48,2)</f>
        <v>2187.7600000000002</v>
      </c>
      <c r="G789" s="1093">
        <f>ROUND(G788*Input!$D$48,2)</f>
        <v>2256.02</v>
      </c>
      <c r="H789" s="1093">
        <f>ROUND(H788*Input!$D$48,2)</f>
        <v>2324.08</v>
      </c>
      <c r="I789" s="1093">
        <f>ROUND(I788*Input!$D$48,2)</f>
        <v>2392.15</v>
      </c>
      <c r="J789" s="1023"/>
      <c r="K789" s="1023"/>
      <c r="L789" s="999"/>
      <c r="M789" s="1024"/>
      <c r="N789" s="1115"/>
      <c r="O789" s="1115"/>
      <c r="P789" s="1115"/>
    </row>
    <row r="790" spans="1:16">
      <c r="A790" s="1023"/>
      <c r="B790" s="1023"/>
      <c r="C790" s="1821" t="s">
        <v>1032</v>
      </c>
      <c r="D790" s="1829">
        <f t="shared" ref="D790:I790" si="123">SUM(D788:D789)</f>
        <v>15916.579780000002</v>
      </c>
      <c r="E790" s="1829">
        <f t="shared" si="123"/>
        <v>17688.500080000002</v>
      </c>
      <c r="F790" s="1829">
        <f t="shared" si="123"/>
        <v>18256.502110000001</v>
      </c>
      <c r="G790" s="1829">
        <f t="shared" si="123"/>
        <v>18826.104140000003</v>
      </c>
      <c r="H790" s="1829">
        <f t="shared" si="123"/>
        <v>19394.096170000004</v>
      </c>
      <c r="I790" s="1829">
        <f t="shared" si="123"/>
        <v>19962.108200000002</v>
      </c>
      <c r="J790" s="1023"/>
      <c r="K790" s="1023"/>
      <c r="L790" s="999"/>
      <c r="M790" s="1024"/>
      <c r="N790" s="1115"/>
      <c r="O790" s="1115"/>
      <c r="P790" s="1115"/>
    </row>
    <row r="791" spans="1:16">
      <c r="A791" s="1023"/>
      <c r="B791" s="1023"/>
      <c r="C791" s="1843" t="s">
        <v>1034</v>
      </c>
      <c r="D791" s="999">
        <f t="shared" ref="D791:I791" si="124">ROUND(D790,0)</f>
        <v>15917</v>
      </c>
      <c r="E791" s="999">
        <f t="shared" si="124"/>
        <v>17689</v>
      </c>
      <c r="F791" s="999">
        <f t="shared" si="124"/>
        <v>18257</v>
      </c>
      <c r="G791" s="999">
        <f t="shared" si="124"/>
        <v>18826</v>
      </c>
      <c r="H791" s="999">
        <f t="shared" si="124"/>
        <v>19394</v>
      </c>
      <c r="I791" s="999">
        <f t="shared" si="124"/>
        <v>19962</v>
      </c>
      <c r="J791" s="1023"/>
      <c r="K791" s="1023"/>
      <c r="L791" s="999"/>
      <c r="M791" s="1024"/>
      <c r="N791" s="1115"/>
      <c r="O791" s="1115"/>
      <c r="P791" s="1115"/>
    </row>
    <row r="792" spans="1:16">
      <c r="A792" s="1023"/>
      <c r="B792" s="1023"/>
      <c r="C792" s="1816"/>
      <c r="D792" s="996"/>
      <c r="E792" s="996"/>
      <c r="F792" s="1023"/>
      <c r="G792" s="1100"/>
      <c r="H792" s="996"/>
      <c r="I792" s="1834"/>
      <c r="J792" s="999"/>
      <c r="K792" s="999"/>
      <c r="L792" s="999"/>
      <c r="M792" s="1024"/>
      <c r="N792" s="1115"/>
      <c r="O792" s="1115"/>
      <c r="P792" s="1115"/>
    </row>
    <row r="793" spans="1:16" ht="25.5">
      <c r="A793" s="1023"/>
      <c r="B793" s="1023"/>
      <c r="C793" s="1816" t="s">
        <v>1230</v>
      </c>
      <c r="D793" s="996"/>
      <c r="E793" s="996"/>
      <c r="F793" s="1023"/>
      <c r="G793" s="1100"/>
      <c r="H793" s="996"/>
      <c r="I793" s="1834"/>
      <c r="J793" s="999"/>
      <c r="K793" s="999"/>
      <c r="L793" s="999"/>
      <c r="M793" s="1024"/>
      <c r="N793" s="1115"/>
      <c r="O793" s="1115"/>
      <c r="P793" s="1115"/>
    </row>
    <row r="794" spans="1:16">
      <c r="A794" s="1023"/>
      <c r="B794" s="1098" t="s">
        <v>264</v>
      </c>
      <c r="C794" s="1821" t="s">
        <v>1216</v>
      </c>
      <c r="D794" s="2050" t="s">
        <v>1223</v>
      </c>
      <c r="E794" s="2058" t="s">
        <v>1207</v>
      </c>
      <c r="F794" s="2057" t="s">
        <v>1208</v>
      </c>
      <c r="G794" s="2057" t="s">
        <v>1209</v>
      </c>
      <c r="H794" s="2057" t="s">
        <v>1210</v>
      </c>
      <c r="I794" s="2059" t="s">
        <v>1211</v>
      </c>
      <c r="J794" s="999"/>
      <c r="K794" s="999"/>
      <c r="L794" s="999"/>
      <c r="M794" s="1024"/>
      <c r="N794" s="1115"/>
      <c r="O794" s="1115"/>
      <c r="P794" s="1115"/>
    </row>
    <row r="795" spans="1:16">
      <c r="A795" s="1023"/>
      <c r="B795" s="1068"/>
      <c r="C795" s="1816" t="s">
        <v>1217</v>
      </c>
      <c r="D795" s="2050"/>
      <c r="E795" s="2058"/>
      <c r="F795" s="2057"/>
      <c r="G795" s="2057"/>
      <c r="H795" s="2057"/>
      <c r="I795" s="2059"/>
      <c r="J795" s="999"/>
      <c r="K795" s="999"/>
      <c r="L795" s="999"/>
      <c r="M795" s="1024"/>
      <c r="N795" s="1115"/>
      <c r="O795" s="1115"/>
      <c r="P795" s="1115"/>
    </row>
    <row r="796" spans="1:16">
      <c r="A796" s="1023"/>
      <c r="B796" s="1823"/>
      <c r="C796" s="1817" t="s">
        <v>1218</v>
      </c>
      <c r="D796" s="1093">
        <f t="shared" ref="D796:I796" si="125">$I$762</f>
        <v>9784.419780000002</v>
      </c>
      <c r="E796" s="1093">
        <f t="shared" si="125"/>
        <v>9784.419780000002</v>
      </c>
      <c r="F796" s="1093">
        <f t="shared" si="125"/>
        <v>9784.419780000002</v>
      </c>
      <c r="G796" s="1093">
        <f t="shared" si="125"/>
        <v>9784.419780000002</v>
      </c>
      <c r="H796" s="1093">
        <f t="shared" si="125"/>
        <v>9784.419780000002</v>
      </c>
      <c r="I796" s="1093">
        <f t="shared" si="125"/>
        <v>9784.419780000002</v>
      </c>
      <c r="J796" s="999"/>
      <c r="K796" s="999"/>
      <c r="L796" s="999"/>
      <c r="M796" s="1024"/>
      <c r="N796" s="1115"/>
      <c r="O796" s="1115"/>
      <c r="P796" s="1115"/>
    </row>
    <row r="797" spans="1:16">
      <c r="A797" s="1023"/>
      <c r="B797" s="1823"/>
      <c r="C797" s="1817" t="s">
        <v>1182</v>
      </c>
      <c r="D797" s="1093">
        <f>'Civil-SOR'!$F$267+('Civil-SOR'!$F$267*16.66%)</f>
        <v>466.64</v>
      </c>
      <c r="E797" s="1093">
        <f>'Civil-SOR'!$F$267+('Civil-SOR'!$F$267*16.66%)</f>
        <v>466.64</v>
      </c>
      <c r="F797" s="1093">
        <f>'Civil-SOR'!$F$267+('Civil-SOR'!$F$267*16.66%)</f>
        <v>466.64</v>
      </c>
      <c r="G797" s="1093">
        <f>'Civil-SOR'!$F$267+('Civil-SOR'!$F$267*16.66%)</f>
        <v>466.64</v>
      </c>
      <c r="H797" s="1093">
        <f>'Civil-SOR'!$F$267+('Civil-SOR'!$F$267*16.66%)</f>
        <v>466.64</v>
      </c>
      <c r="I797" s="1093">
        <f>'Civil-SOR'!$F$267+('Civil-SOR'!$F$267*16.66%)</f>
        <v>466.64</v>
      </c>
      <c r="J797" s="999"/>
      <c r="K797" s="999"/>
      <c r="L797" s="999"/>
      <c r="M797" s="1024"/>
      <c r="N797" s="1115"/>
      <c r="O797" s="1115"/>
      <c r="P797" s="1115"/>
    </row>
    <row r="798" spans="1:16">
      <c r="A798" s="1023"/>
      <c r="B798" s="1823"/>
      <c r="C798" s="1817" t="s">
        <v>453</v>
      </c>
      <c r="D798" s="1001">
        <f>'Civil-SOR'!$G$267+('Civil-SOR'!$G$267*16.66%)</f>
        <v>3187.1512000000002</v>
      </c>
      <c r="E798" s="1001">
        <f>'Civil-SOR'!$H$267+('Civil-SOR'!$H$267*16.66%)</f>
        <v>3505.6329999999998</v>
      </c>
      <c r="F798" s="1001">
        <f>'Civil-SOR'!$I$267+('Civil-SOR'!$I$267*16.66%)</f>
        <v>3824.1147999999998</v>
      </c>
      <c r="G798" s="1001">
        <f>'Civil-SOR'!$J$267+('Civil-SOR'!$J$267*16.66%)</f>
        <v>4143.7632000000003</v>
      </c>
      <c r="H798" s="1001">
        <f>'Civil-SOR'!$K$267+('Civil-SOR'!$K$267*16.66%)</f>
        <v>4462.2449999999999</v>
      </c>
      <c r="I798" s="1001">
        <f>'Civil-SOR'!$L$267+('Civil-SOR'!$L$267*16.66%)</f>
        <v>4780.7268000000004</v>
      </c>
      <c r="J798" s="999"/>
      <c r="K798" s="999"/>
      <c r="L798" s="999"/>
      <c r="M798" s="1024"/>
      <c r="N798" s="1115"/>
      <c r="O798" s="1115"/>
      <c r="P798" s="1115"/>
    </row>
    <row r="799" spans="1:16">
      <c r="A799" s="1023"/>
      <c r="B799" s="1823"/>
      <c r="C799" s="1817" t="str">
        <f>Input!$C$47</f>
        <v>Add for MA @ 40%</v>
      </c>
      <c r="D799" s="1001">
        <f>D798*Input!$D$47</f>
        <v>1274.8604800000003</v>
      </c>
      <c r="E799" s="1001">
        <f>E798*Input!$D$47</f>
        <v>1402.2532000000001</v>
      </c>
      <c r="F799" s="1001">
        <f>F798*Input!$D$47</f>
        <v>1529.6459199999999</v>
      </c>
      <c r="G799" s="1001">
        <f>G798*Input!$D$47</f>
        <v>1657.5052800000003</v>
      </c>
      <c r="H799" s="1001">
        <f>H798*Input!$D$47</f>
        <v>1784.8980000000001</v>
      </c>
      <c r="I799" s="1001">
        <f>I798*Input!$D$47</f>
        <v>1912.2907200000002</v>
      </c>
      <c r="J799" s="999"/>
      <c r="K799" s="999"/>
      <c r="L799" s="999"/>
      <c r="M799" s="1024"/>
      <c r="N799" s="1115"/>
      <c r="O799" s="1115"/>
      <c r="P799" s="1115"/>
    </row>
    <row r="800" spans="1:16">
      <c r="A800" s="1023"/>
      <c r="B800" s="1823"/>
      <c r="C800" s="1817" t="s">
        <v>1220</v>
      </c>
      <c r="D800" s="1093">
        <v>0</v>
      </c>
      <c r="E800" s="1093">
        <f>$F$754*0.1</f>
        <v>310.07100000000003</v>
      </c>
      <c r="F800" s="1093">
        <f>$F$754*0.2</f>
        <v>620.14200000000005</v>
      </c>
      <c r="G800" s="1093">
        <f>$F$754*0.3</f>
        <v>930.21299999999997</v>
      </c>
      <c r="H800" s="1093">
        <f>$F$754*0.4</f>
        <v>1240.2840000000001</v>
      </c>
      <c r="I800" s="1093">
        <f>$F$754*0.5</f>
        <v>1550.355</v>
      </c>
      <c r="J800" s="999"/>
      <c r="K800" s="999"/>
      <c r="L800" s="999"/>
      <c r="M800" s="1024"/>
      <c r="N800" s="1115"/>
      <c r="O800" s="1115"/>
      <c r="P800" s="1115"/>
    </row>
    <row r="801" spans="1:16">
      <c r="A801" s="1023"/>
      <c r="B801" s="1823"/>
      <c r="C801" s="1817" t="str">
        <f>Input!$C$47</f>
        <v>Add for MA @ 40%</v>
      </c>
      <c r="D801" s="1093">
        <v>0</v>
      </c>
      <c r="E801" s="1093">
        <f>ROUND(E800*Input!$D$47,2)</f>
        <v>124.03</v>
      </c>
      <c r="F801" s="1093">
        <f>ROUND(F800*Input!$D$47,2)</f>
        <v>248.06</v>
      </c>
      <c r="G801" s="1093">
        <f>ROUND(G800*Input!$D$47,2)</f>
        <v>372.09</v>
      </c>
      <c r="H801" s="1093">
        <f>ROUND(H800*Input!$D$47,2)</f>
        <v>496.11</v>
      </c>
      <c r="I801" s="1093">
        <f>ROUND(I800*Input!$D$47,2)</f>
        <v>620.14</v>
      </c>
      <c r="J801" s="999"/>
      <c r="K801" s="999"/>
      <c r="L801" s="999"/>
      <c r="M801" s="1024"/>
      <c r="N801" s="1115"/>
      <c r="O801" s="1115"/>
      <c r="P801" s="1115"/>
    </row>
    <row r="802" spans="1:16">
      <c r="A802" s="1023"/>
      <c r="B802" s="1023"/>
      <c r="C802" s="1816" t="s">
        <v>1032</v>
      </c>
      <c r="D802" s="1829">
        <f t="shared" ref="D802:I802" si="126">SUM(D796:D801)</f>
        <v>14713.071460000003</v>
      </c>
      <c r="E802" s="1829">
        <f t="shared" si="126"/>
        <v>15593.046980000001</v>
      </c>
      <c r="F802" s="1829">
        <f t="shared" si="126"/>
        <v>16473.022500000003</v>
      </c>
      <c r="G802" s="1829">
        <f t="shared" si="126"/>
        <v>17354.631260000002</v>
      </c>
      <c r="H802" s="1829">
        <f t="shared" si="126"/>
        <v>18234.596780000003</v>
      </c>
      <c r="I802" s="1829">
        <f t="shared" si="126"/>
        <v>19114.5723</v>
      </c>
      <c r="J802" s="999"/>
      <c r="K802" s="999"/>
      <c r="L802" s="999"/>
      <c r="M802" s="1024"/>
      <c r="N802" s="1115"/>
      <c r="O802" s="1115"/>
      <c r="P802" s="1115"/>
    </row>
    <row r="803" spans="1:16">
      <c r="A803" s="1023"/>
      <c r="B803" s="1823"/>
      <c r="C803" s="1817" t="str">
        <f>Input!$C$48</f>
        <v>Overheads &amp; Contractors Profit @ 13.615%</v>
      </c>
      <c r="D803" s="1093">
        <f>ROUND(D802*Input!$D$48,2)</f>
        <v>2003.18</v>
      </c>
      <c r="E803" s="1093">
        <f>ROUND(E802*Input!$D$48,2)</f>
        <v>2122.9899999999998</v>
      </c>
      <c r="F803" s="1093">
        <f>ROUND(F802*Input!$D$48,2)</f>
        <v>2242.8000000000002</v>
      </c>
      <c r="G803" s="1093">
        <f>ROUND(G802*Input!$D$48,2)</f>
        <v>2362.83</v>
      </c>
      <c r="H803" s="1093">
        <f>ROUND(H802*Input!$D$48,2)</f>
        <v>2482.64</v>
      </c>
      <c r="I803" s="1093">
        <f>ROUND(I802*Input!$D$48,2)</f>
        <v>2602.4499999999998</v>
      </c>
      <c r="J803" s="999"/>
      <c r="K803" s="999"/>
      <c r="L803" s="999"/>
      <c r="M803" s="1024"/>
      <c r="N803" s="1115"/>
      <c r="O803" s="1115"/>
      <c r="P803" s="1115"/>
    </row>
    <row r="804" spans="1:16">
      <c r="A804" s="1023"/>
      <c r="B804" s="1023"/>
      <c r="C804" s="1821" t="s">
        <v>1032</v>
      </c>
      <c r="D804" s="1829">
        <f t="shared" ref="D804:I804" si="127">SUM(D802:D803)</f>
        <v>16716.251460000003</v>
      </c>
      <c r="E804" s="1829">
        <f t="shared" si="127"/>
        <v>17716.036980000001</v>
      </c>
      <c r="F804" s="1829">
        <f t="shared" si="127"/>
        <v>18715.822500000002</v>
      </c>
      <c r="G804" s="1829">
        <f t="shared" si="127"/>
        <v>19717.461260000004</v>
      </c>
      <c r="H804" s="1829">
        <f t="shared" si="127"/>
        <v>20717.236780000003</v>
      </c>
      <c r="I804" s="1829">
        <f t="shared" si="127"/>
        <v>21717.022300000001</v>
      </c>
      <c r="J804" s="999"/>
      <c r="K804" s="999"/>
      <c r="L804" s="999"/>
      <c r="M804" s="1024"/>
      <c r="N804" s="1115"/>
      <c r="O804" s="1115"/>
      <c r="P804" s="1115"/>
    </row>
    <row r="805" spans="1:16">
      <c r="A805" s="1023"/>
      <c r="B805" s="1023"/>
      <c r="C805" s="1843" t="s">
        <v>1034</v>
      </c>
      <c r="D805" s="999">
        <f t="shared" ref="D805:I805" si="128">ROUND(D804,0)</f>
        <v>16716</v>
      </c>
      <c r="E805" s="999">
        <f t="shared" si="128"/>
        <v>17716</v>
      </c>
      <c r="F805" s="999">
        <f t="shared" si="128"/>
        <v>18716</v>
      </c>
      <c r="G805" s="999">
        <f t="shared" si="128"/>
        <v>19717</v>
      </c>
      <c r="H805" s="999">
        <f t="shared" si="128"/>
        <v>20717</v>
      </c>
      <c r="I805" s="999">
        <f t="shared" si="128"/>
        <v>21717</v>
      </c>
      <c r="J805" s="999"/>
      <c r="K805" s="999"/>
      <c r="L805" s="999"/>
      <c r="M805" s="1024"/>
      <c r="N805" s="1115"/>
      <c r="O805" s="1115"/>
      <c r="P805" s="1115"/>
    </row>
    <row r="806" spans="1:16">
      <c r="A806" s="1023"/>
      <c r="B806" s="1023"/>
      <c r="C806" s="1843"/>
      <c r="D806" s="999"/>
      <c r="E806" s="999"/>
      <c r="F806" s="999"/>
      <c r="G806" s="999"/>
      <c r="H806" s="999"/>
      <c r="I806" s="999"/>
      <c r="J806" s="999"/>
      <c r="K806" s="999"/>
      <c r="L806" s="999"/>
      <c r="M806" s="1024"/>
      <c r="N806" s="1115"/>
      <c r="O806" s="1115"/>
      <c r="P806" s="1115"/>
    </row>
    <row r="807" spans="1:16">
      <c r="A807" s="1023"/>
      <c r="B807" s="1098" t="s">
        <v>264</v>
      </c>
      <c r="C807" s="1821" t="s">
        <v>1222</v>
      </c>
      <c r="D807" s="2050" t="s">
        <v>1223</v>
      </c>
      <c r="E807" s="2058" t="s">
        <v>1207</v>
      </c>
      <c r="F807" s="2057" t="s">
        <v>1208</v>
      </c>
      <c r="G807" s="2057" t="s">
        <v>1209</v>
      </c>
      <c r="H807" s="2057" t="s">
        <v>1210</v>
      </c>
      <c r="I807" s="2059" t="s">
        <v>1211</v>
      </c>
      <c r="J807" s="1023"/>
      <c r="K807" s="1023"/>
      <c r="L807" s="1846"/>
    </row>
    <row r="808" spans="1:16">
      <c r="A808" s="1023"/>
      <c r="B808" s="1068"/>
      <c r="C808" s="1816" t="s">
        <v>1217</v>
      </c>
      <c r="D808" s="2050"/>
      <c r="E808" s="2058"/>
      <c r="F808" s="2057"/>
      <c r="G808" s="2057"/>
      <c r="H808" s="2057"/>
      <c r="I808" s="2059"/>
      <c r="J808" s="1023"/>
      <c r="K808" s="1023"/>
      <c r="L808" s="1846"/>
    </row>
    <row r="809" spans="1:16">
      <c r="A809" s="1023"/>
      <c r="B809" s="1823"/>
      <c r="C809" s="1817" t="s">
        <v>1218</v>
      </c>
      <c r="D809" s="1093">
        <f t="shared" ref="D809:I809" si="129">$I$673</f>
        <v>9784.419780000002</v>
      </c>
      <c r="E809" s="1093">
        <f t="shared" si="129"/>
        <v>9784.419780000002</v>
      </c>
      <c r="F809" s="1093">
        <f t="shared" si="129"/>
        <v>9784.419780000002</v>
      </c>
      <c r="G809" s="1093">
        <f t="shared" si="129"/>
        <v>9784.419780000002</v>
      </c>
      <c r="H809" s="1093">
        <f t="shared" si="129"/>
        <v>9784.419780000002</v>
      </c>
      <c r="I809" s="1093">
        <f t="shared" si="129"/>
        <v>9784.419780000002</v>
      </c>
      <c r="J809" s="1023"/>
      <c r="K809" s="1023"/>
      <c r="L809" s="1846"/>
    </row>
    <row r="810" spans="1:16">
      <c r="A810" s="1023"/>
      <c r="B810" s="1823"/>
      <c r="C810" s="1817" t="s">
        <v>1182</v>
      </c>
      <c r="D810" s="1093">
        <f>'Civil-SOR'!$F$267+('Civil-SOR'!$F$267*16.66%)</f>
        <v>466.64</v>
      </c>
      <c r="E810" s="1093">
        <f>'Civil-SOR'!$F$267+('Civil-SOR'!$F$267*16.66%)</f>
        <v>466.64</v>
      </c>
      <c r="F810" s="1093">
        <f>'Civil-SOR'!$F$267+('Civil-SOR'!$F$267*16.66%)</f>
        <v>466.64</v>
      </c>
      <c r="G810" s="1093">
        <f>'Civil-SOR'!$F$267+('Civil-SOR'!$F$267*16.66%)</f>
        <v>466.64</v>
      </c>
      <c r="H810" s="1093">
        <f>'Civil-SOR'!$F$267+('Civil-SOR'!$F$267*16.66%)</f>
        <v>466.64</v>
      </c>
      <c r="I810" s="1093">
        <f>'Civil-SOR'!$F$267+('Civil-SOR'!$F$267*16.66%)</f>
        <v>466.64</v>
      </c>
      <c r="J810" s="1023"/>
      <c r="K810" s="1023"/>
      <c r="L810" s="1846"/>
    </row>
    <row r="811" spans="1:16">
      <c r="A811" s="1023"/>
      <c r="B811" s="1823"/>
      <c r="C811" s="1817" t="s">
        <v>453</v>
      </c>
      <c r="D811" s="1001">
        <f>'Civil-SOR'!$G$267+('Civil-SOR'!$G$267*16.66%)</f>
        <v>3187.1512000000002</v>
      </c>
      <c r="E811" s="1001">
        <f>'Civil-SOR'!$H$267+('Civil-SOR'!$H$267*16.66%)</f>
        <v>3505.6329999999998</v>
      </c>
      <c r="F811" s="1001">
        <f>'Civil-SOR'!$I$267+('Civil-SOR'!$I$267*16.66%)</f>
        <v>3824.1147999999998</v>
      </c>
      <c r="G811" s="1001">
        <f>'Civil-SOR'!$J$267+('Civil-SOR'!$J$267*16.66%)</f>
        <v>4143.7632000000003</v>
      </c>
      <c r="H811" s="1001">
        <f>'Civil-SOR'!$K$267+('Civil-SOR'!$K$267*16.66%)</f>
        <v>4462.2449999999999</v>
      </c>
      <c r="I811" s="1001">
        <f>'Civil-SOR'!$L$267+('Civil-SOR'!$L$267*16.66%)</f>
        <v>4780.7268000000004</v>
      </c>
      <c r="J811" s="1023"/>
      <c r="K811" s="1023"/>
      <c r="L811" s="1846"/>
    </row>
    <row r="812" spans="1:16">
      <c r="A812" s="1023"/>
      <c r="B812" s="1823"/>
      <c r="C812" s="1817" t="str">
        <f>Input!$C$47</f>
        <v>Add for MA @ 40%</v>
      </c>
      <c r="D812" s="1001">
        <f>D811*Input!$D$47</f>
        <v>1274.8604800000003</v>
      </c>
      <c r="E812" s="1001">
        <f>E811*Input!$D$47</f>
        <v>1402.2532000000001</v>
      </c>
      <c r="F812" s="1001">
        <f>F811*Input!$D$47</f>
        <v>1529.6459199999999</v>
      </c>
      <c r="G812" s="1001">
        <f>G811*Input!$D$47</f>
        <v>1657.5052800000003</v>
      </c>
      <c r="H812" s="1001">
        <f>H811*Input!$D$47</f>
        <v>1784.8980000000001</v>
      </c>
      <c r="I812" s="1001">
        <f>I811*Input!$D$47</f>
        <v>1912.2907200000002</v>
      </c>
      <c r="J812" s="1023"/>
      <c r="K812" s="1023"/>
      <c r="L812" s="1846"/>
    </row>
    <row r="813" spans="1:16" ht="38.25">
      <c r="A813" s="1023"/>
      <c r="B813" s="1823"/>
      <c r="C813" s="1817" t="s">
        <v>1229</v>
      </c>
      <c r="D813" s="1093">
        <v>0</v>
      </c>
      <c r="E813" s="1093">
        <f>1.333*'Civil-SOR'!$G$334</f>
        <v>504.80710000000005</v>
      </c>
      <c r="F813" s="1093">
        <f t="shared" ref="F813:F814" si="130">E813*1.1</f>
        <v>555.28781000000015</v>
      </c>
      <c r="G813" s="1093">
        <f t="shared" ref="G813:G814" si="131">E813*1.2</f>
        <v>605.76852000000008</v>
      </c>
      <c r="H813" s="1093">
        <f t="shared" ref="H813:H814" si="132">E813*1.3</f>
        <v>656.24923000000013</v>
      </c>
      <c r="I813" s="1093">
        <f t="shared" ref="I813:I814" si="133">E813*1.4</f>
        <v>706.72994000000006</v>
      </c>
      <c r="J813" s="1023"/>
      <c r="K813" s="1023"/>
      <c r="L813" s="1846"/>
    </row>
    <row r="814" spans="1:16" ht="25.5">
      <c r="A814" s="1023"/>
      <c r="B814" s="1823"/>
      <c r="C814" s="1817" t="s">
        <v>1225</v>
      </c>
      <c r="D814" s="1093">
        <v>0</v>
      </c>
      <c r="E814" s="1093">
        <f>1.333*'Civil-SOR'!$J$334</f>
        <v>480.41319999999996</v>
      </c>
      <c r="F814" s="1093">
        <f t="shared" si="130"/>
        <v>528.45452</v>
      </c>
      <c r="G814" s="1093">
        <f t="shared" si="131"/>
        <v>576.49583999999993</v>
      </c>
      <c r="H814" s="1093">
        <f t="shared" si="132"/>
        <v>624.53715999999997</v>
      </c>
      <c r="I814" s="1093">
        <f t="shared" si="133"/>
        <v>672.5784799999999</v>
      </c>
      <c r="J814" s="1023"/>
      <c r="K814" s="1023"/>
      <c r="L814" s="1846"/>
    </row>
    <row r="815" spans="1:16">
      <c r="A815" s="1023"/>
      <c r="B815" s="1823"/>
      <c r="C815" s="1817" t="str">
        <f>Input!$C$47</f>
        <v>Add for MA @ 40%</v>
      </c>
      <c r="D815" s="1093">
        <v>0</v>
      </c>
      <c r="E815" s="1093">
        <f>ROUND(E814*Input!$D$47,2)</f>
        <v>192.17</v>
      </c>
      <c r="F815" s="1093">
        <f>ROUND(F814*Input!$D$47,2)</f>
        <v>211.38</v>
      </c>
      <c r="G815" s="1093">
        <f>ROUND(G814*Input!$D$47,2)</f>
        <v>230.6</v>
      </c>
      <c r="H815" s="1093">
        <f>ROUND(H814*Input!$D$47,2)</f>
        <v>249.81</v>
      </c>
      <c r="I815" s="1093">
        <f>ROUND(I814*Input!$D$47,2)</f>
        <v>269.02999999999997</v>
      </c>
      <c r="J815" s="1023"/>
      <c r="K815" s="1023"/>
      <c r="L815" s="1846"/>
    </row>
    <row r="816" spans="1:16">
      <c r="A816" s="1023"/>
      <c r="B816" s="1023"/>
      <c r="C816" s="1816" t="s">
        <v>1032</v>
      </c>
      <c r="D816" s="1829">
        <f t="shared" ref="D816:I816" si="134">SUM(D809:D815)</f>
        <v>14713.071460000003</v>
      </c>
      <c r="E816" s="1829">
        <f t="shared" si="134"/>
        <v>16336.336280000001</v>
      </c>
      <c r="F816" s="1829">
        <f t="shared" si="134"/>
        <v>16899.942830000004</v>
      </c>
      <c r="G816" s="1829">
        <f t="shared" si="134"/>
        <v>17465.192620000002</v>
      </c>
      <c r="H816" s="1829">
        <f t="shared" si="134"/>
        <v>18028.799170000006</v>
      </c>
      <c r="I816" s="1829">
        <f t="shared" si="134"/>
        <v>18592.415720000001</v>
      </c>
      <c r="J816" s="1023"/>
      <c r="K816" s="1023"/>
      <c r="L816" s="1846"/>
    </row>
    <row r="817" spans="1:16">
      <c r="A817" s="1023"/>
      <c r="B817" s="1823"/>
      <c r="C817" s="1817" t="str">
        <f>Input!$C$48</f>
        <v>Overheads &amp; Contractors Profit @ 13.615%</v>
      </c>
      <c r="D817" s="1093">
        <f>ROUND(D816*Input!$D$48,2)</f>
        <v>2003.18</v>
      </c>
      <c r="E817" s="1093">
        <f>ROUND(E816*Input!$D$48,2)</f>
        <v>2224.19</v>
      </c>
      <c r="F817" s="1093">
        <f>ROUND(F816*Input!$D$48,2)</f>
        <v>2300.9299999999998</v>
      </c>
      <c r="G817" s="1093">
        <f>ROUND(G816*Input!$D$48,2)</f>
        <v>2377.89</v>
      </c>
      <c r="H817" s="1093">
        <f>ROUND(H816*Input!$D$48,2)</f>
        <v>2454.62</v>
      </c>
      <c r="I817" s="1093">
        <f>ROUND(I816*Input!$D$48,2)</f>
        <v>2531.36</v>
      </c>
      <c r="J817" s="1023"/>
      <c r="K817" s="1023"/>
      <c r="L817" s="1846"/>
    </row>
    <row r="818" spans="1:16">
      <c r="A818" s="1023"/>
      <c r="B818" s="1023"/>
      <c r="C818" s="1821" t="s">
        <v>1032</v>
      </c>
      <c r="D818" s="1829">
        <f t="shared" ref="D818:I818" si="135">SUM(D816:D817)</f>
        <v>16716.251460000003</v>
      </c>
      <c r="E818" s="1829">
        <f t="shared" si="135"/>
        <v>18560.526280000002</v>
      </c>
      <c r="F818" s="1829">
        <f t="shared" si="135"/>
        <v>19200.872830000004</v>
      </c>
      <c r="G818" s="1829">
        <f t="shared" si="135"/>
        <v>19843.082620000001</v>
      </c>
      <c r="H818" s="1829">
        <f t="shared" si="135"/>
        <v>20483.419170000005</v>
      </c>
      <c r="I818" s="1829">
        <f t="shared" si="135"/>
        <v>21123.775720000001</v>
      </c>
      <c r="J818" s="1023"/>
      <c r="K818" s="1023"/>
      <c r="L818" s="1846"/>
    </row>
    <row r="819" spans="1:16">
      <c r="A819" s="1023"/>
      <c r="B819" s="1023"/>
      <c r="C819" s="1843" t="s">
        <v>1034</v>
      </c>
      <c r="D819" s="999">
        <f t="shared" ref="D819:I819" si="136">ROUND(D818,0)</f>
        <v>16716</v>
      </c>
      <c r="E819" s="999">
        <f t="shared" si="136"/>
        <v>18561</v>
      </c>
      <c r="F819" s="999">
        <f t="shared" si="136"/>
        <v>19201</v>
      </c>
      <c r="G819" s="999">
        <f t="shared" si="136"/>
        <v>19843</v>
      </c>
      <c r="H819" s="999">
        <f t="shared" si="136"/>
        <v>20483</v>
      </c>
      <c r="I819" s="999">
        <f t="shared" si="136"/>
        <v>21124</v>
      </c>
      <c r="J819" s="1023"/>
      <c r="K819" s="1023"/>
      <c r="L819" s="1846"/>
    </row>
    <row r="820" spans="1:16">
      <c r="A820" s="1823"/>
      <c r="B820" s="1068"/>
      <c r="C820" s="1817"/>
      <c r="D820" s="1114"/>
      <c r="E820" s="1114"/>
      <c r="F820" s="1114"/>
      <c r="G820" s="1114"/>
      <c r="H820" s="1114"/>
      <c r="I820" s="1011"/>
      <c r="J820" s="1846"/>
      <c r="K820" s="1846"/>
      <c r="L820" s="1846"/>
    </row>
    <row r="821" spans="1:16" ht="25.5">
      <c r="A821" s="1023"/>
      <c r="B821" s="1023"/>
      <c r="C821" s="1816" t="s">
        <v>1231</v>
      </c>
      <c r="D821" s="996"/>
      <c r="E821" s="996"/>
      <c r="F821" s="1023"/>
      <c r="G821" s="1100"/>
      <c r="H821" s="996"/>
      <c r="I821" s="1834"/>
      <c r="J821" s="999"/>
      <c r="K821" s="999"/>
      <c r="L821" s="999"/>
      <c r="M821" s="1024"/>
      <c r="N821" s="1115"/>
      <c r="O821" s="1115"/>
      <c r="P821" s="1115"/>
    </row>
    <row r="822" spans="1:16">
      <c r="A822" s="1823"/>
      <c r="B822" s="1098" t="s">
        <v>1215</v>
      </c>
      <c r="C822" s="1821" t="s">
        <v>1222</v>
      </c>
      <c r="D822" s="2050" t="s">
        <v>1223</v>
      </c>
      <c r="E822" s="2058" t="s">
        <v>1207</v>
      </c>
      <c r="F822" s="2057"/>
      <c r="G822" s="2057"/>
      <c r="H822" s="2057"/>
      <c r="I822" s="2059"/>
      <c r="J822" s="1023"/>
      <c r="K822" s="1023"/>
      <c r="L822" s="1023"/>
      <c r="M822" s="1024"/>
      <c r="N822" s="1115"/>
      <c r="O822" s="1115"/>
      <c r="P822" s="1115"/>
    </row>
    <row r="823" spans="1:16">
      <c r="A823" s="1823"/>
      <c r="B823" s="1068"/>
      <c r="C823" s="1816" t="s">
        <v>1217</v>
      </c>
      <c r="D823" s="2050"/>
      <c r="E823" s="2058"/>
      <c r="F823" s="2057"/>
      <c r="G823" s="2057"/>
      <c r="H823" s="2057"/>
      <c r="I823" s="2059"/>
      <c r="J823" s="1023"/>
      <c r="K823" s="1023"/>
      <c r="L823" s="1023"/>
      <c r="M823" s="1024"/>
      <c r="N823" s="1115"/>
      <c r="O823" s="1115"/>
      <c r="P823" s="1115"/>
    </row>
    <row r="824" spans="1:16">
      <c r="A824" s="1823"/>
      <c r="B824" s="1823"/>
      <c r="C824" s="1817" t="s">
        <v>1218</v>
      </c>
      <c r="D824" s="1093">
        <f>$I$673</f>
        <v>9784.419780000002</v>
      </c>
      <c r="E824" s="1093">
        <f>$I$673</f>
        <v>9784.419780000002</v>
      </c>
      <c r="F824" s="1093"/>
      <c r="G824" s="1093"/>
      <c r="H824" s="1093"/>
      <c r="I824" s="1093"/>
      <c r="J824" s="1023"/>
      <c r="K824" s="1023"/>
      <c r="L824" s="1023"/>
      <c r="M824" s="1024"/>
      <c r="N824" s="1115"/>
      <c r="O824" s="1115"/>
      <c r="P824" s="1115"/>
    </row>
    <row r="825" spans="1:16">
      <c r="A825" s="1823"/>
      <c r="B825" s="1823"/>
      <c r="C825" s="1817" t="s">
        <v>1182</v>
      </c>
      <c r="D825" s="1093">
        <f>'Civil-SOR'!$F$267+('Civil-SOR'!$F$267*33.332%)</f>
        <v>533.32799999999997</v>
      </c>
      <c r="E825" s="1093">
        <f>'Civil-SOR'!$F$267+('Civil-SOR'!$F$267*33.332%)</f>
        <v>533.32799999999997</v>
      </c>
      <c r="F825" s="1093"/>
      <c r="G825" s="1093"/>
      <c r="H825" s="1093"/>
      <c r="I825" s="1093"/>
      <c r="J825" s="1023"/>
      <c r="K825" s="1023"/>
      <c r="L825" s="1023"/>
      <c r="M825" s="1844">
        <f>((4.27-3.66)/0.61)*16.66</f>
        <v>16.659999999999986</v>
      </c>
      <c r="N825" s="1119">
        <f>0.61/0.61</f>
        <v>1</v>
      </c>
      <c r="O825" s="1120">
        <f>16.66*N825</f>
        <v>16.66</v>
      </c>
      <c r="P825" s="1115"/>
    </row>
    <row r="826" spans="1:16">
      <c r="A826" s="1823"/>
      <c r="B826" s="1823"/>
      <c r="C826" s="1817" t="s">
        <v>453</v>
      </c>
      <c r="D826" s="1001">
        <f>'Civil-SOR'!$G$267+('Civil-SOR'!$G$267*33.332%)</f>
        <v>3642.63024</v>
      </c>
      <c r="E826" s="1001">
        <f>'Civil-SOR'!$H$267+('Civil-SOR'!$H$267*33.332%)</f>
        <v>4006.6266000000001</v>
      </c>
      <c r="F826" s="1001"/>
      <c r="G826" s="1001"/>
      <c r="H826" s="1001"/>
      <c r="I826" s="1001"/>
      <c r="J826" s="1023"/>
      <c r="K826" s="1023"/>
      <c r="L826" s="1023"/>
      <c r="M826" s="1024"/>
      <c r="N826" s="1115"/>
      <c r="O826" s="1115"/>
      <c r="P826" s="1115"/>
    </row>
    <row r="827" spans="1:16">
      <c r="A827" s="1823"/>
      <c r="B827" s="1823"/>
      <c r="C827" s="1817" t="str">
        <f>Input!$C$47</f>
        <v>Add for MA @ 40%</v>
      </c>
      <c r="D827" s="1001">
        <f>D826*Input!$D$47</f>
        <v>1457.0520960000001</v>
      </c>
      <c r="E827" s="1001">
        <f>E826*Input!$D$47</f>
        <v>1602.6506400000001</v>
      </c>
      <c r="F827" s="1001"/>
      <c r="G827" s="1001"/>
      <c r="H827" s="1001"/>
      <c r="I827" s="1001"/>
      <c r="J827" s="1023"/>
      <c r="K827" s="1023"/>
      <c r="L827" s="1023"/>
      <c r="M827" s="1024"/>
      <c r="N827" s="1115"/>
      <c r="O827" s="1115"/>
      <c r="P827" s="1115"/>
    </row>
    <row r="828" spans="1:16" ht="38.25">
      <c r="A828" s="1823"/>
      <c r="B828" s="1823"/>
      <c r="C828" s="1817" t="s">
        <v>1229</v>
      </c>
      <c r="D828" s="1093">
        <v>0</v>
      </c>
      <c r="E828" s="1093">
        <f>1.333*'Civil-SOR'!$G$334</f>
        <v>504.80710000000005</v>
      </c>
      <c r="F828" s="1093"/>
      <c r="G828" s="1093"/>
      <c r="H828" s="1093"/>
      <c r="I828" s="1093"/>
      <c r="J828" s="1023"/>
      <c r="K828" s="1023"/>
      <c r="L828" s="1023"/>
      <c r="M828" s="1024"/>
      <c r="N828" s="1115"/>
      <c r="O828" s="1115"/>
      <c r="P828" s="1115"/>
    </row>
    <row r="829" spans="1:16" ht="25.5">
      <c r="A829" s="1823"/>
      <c r="B829" s="1823"/>
      <c r="C829" s="1817" t="s">
        <v>1225</v>
      </c>
      <c r="D829" s="1093">
        <v>0</v>
      </c>
      <c r="E829" s="1093">
        <f>1.333*'Civil-SOR'!$J$334</f>
        <v>480.41319999999996</v>
      </c>
      <c r="F829" s="1093"/>
      <c r="G829" s="1093"/>
      <c r="H829" s="1093"/>
      <c r="I829" s="1093"/>
      <c r="J829" s="1023"/>
      <c r="K829" s="1023"/>
      <c r="L829" s="1023"/>
      <c r="M829" s="1024"/>
      <c r="N829" s="1115"/>
      <c r="O829" s="1115"/>
      <c r="P829" s="1115"/>
    </row>
    <row r="830" spans="1:16">
      <c r="A830" s="1823"/>
      <c r="B830" s="1823"/>
      <c r="C830" s="1817" t="str">
        <f>Input!$C$47</f>
        <v>Add for MA @ 40%</v>
      </c>
      <c r="D830" s="1093">
        <v>0</v>
      </c>
      <c r="E830" s="1093">
        <f>ROUND(E829*Input!$D$47,2)</f>
        <v>192.17</v>
      </c>
      <c r="F830" s="1093"/>
      <c r="G830" s="1093"/>
      <c r="H830" s="1093"/>
      <c r="I830" s="1093"/>
      <c r="J830" s="1023"/>
      <c r="K830" s="1023"/>
      <c r="L830" s="1023"/>
      <c r="M830" s="1024"/>
      <c r="N830" s="1115"/>
      <c r="O830" s="1115"/>
      <c r="P830" s="1115"/>
    </row>
    <row r="831" spans="1:16">
      <c r="A831" s="1023"/>
      <c r="B831" s="1023"/>
      <c r="C831" s="1816" t="s">
        <v>1032</v>
      </c>
      <c r="D831" s="1829">
        <f>SUM(D824:D830)</f>
        <v>15417.430116000001</v>
      </c>
      <c r="E831" s="1829">
        <f>SUM(E824:E830)</f>
        <v>17104.41532</v>
      </c>
      <c r="F831" s="1829"/>
      <c r="G831" s="1829"/>
      <c r="H831" s="1829"/>
      <c r="I831" s="1829"/>
      <c r="J831" s="1023"/>
      <c r="K831" s="1023"/>
      <c r="L831" s="1023"/>
      <c r="M831" s="1024"/>
      <c r="N831" s="1115"/>
      <c r="O831" s="1115"/>
      <c r="P831" s="1115"/>
    </row>
    <row r="832" spans="1:16">
      <c r="A832" s="1823"/>
      <c r="B832" s="1823"/>
      <c r="C832" s="1817" t="str">
        <f>Input!$C$48</f>
        <v>Overheads &amp; Contractors Profit @ 13.615%</v>
      </c>
      <c r="D832" s="1093">
        <f>ROUND(D831*Input!$D$48,2)</f>
        <v>2099.08</v>
      </c>
      <c r="E832" s="1093">
        <f>ROUND(E831*Input!$D$48,2)</f>
        <v>2328.77</v>
      </c>
      <c r="F832" s="1093"/>
      <c r="G832" s="1093"/>
      <c r="H832" s="1093"/>
      <c r="I832" s="1093"/>
      <c r="J832" s="1023"/>
      <c r="K832" s="1023"/>
      <c r="L832" s="1023"/>
      <c r="M832" s="1024"/>
      <c r="N832" s="1115"/>
      <c r="O832" s="1115"/>
      <c r="P832" s="1115"/>
    </row>
    <row r="833" spans="1:16">
      <c r="A833" s="1023"/>
      <c r="B833" s="1023"/>
      <c r="C833" s="1821" t="s">
        <v>1032</v>
      </c>
      <c r="D833" s="1829">
        <f>SUM(D831:D832)</f>
        <v>17516.510116000001</v>
      </c>
      <c r="E833" s="1829">
        <f>SUM(E831:E832)</f>
        <v>19433.185320000001</v>
      </c>
      <c r="F833" s="1829"/>
      <c r="G833" s="1829"/>
      <c r="H833" s="1829"/>
      <c r="I833" s="1829"/>
      <c r="J833" s="1023"/>
      <c r="K833" s="1023"/>
      <c r="L833" s="1023"/>
      <c r="M833" s="1024"/>
      <c r="N833" s="1115"/>
      <c r="O833" s="1115"/>
      <c r="P833" s="1115"/>
    </row>
    <row r="834" spans="1:16">
      <c r="A834" s="1023"/>
      <c r="B834" s="1023"/>
      <c r="C834" s="1843" t="s">
        <v>1034</v>
      </c>
      <c r="D834" s="999">
        <f>ROUND(D833,0)</f>
        <v>17517</v>
      </c>
      <c r="E834" s="999">
        <f>ROUND(E833,0)</f>
        <v>19433</v>
      </c>
      <c r="F834" s="999"/>
      <c r="G834" s="999"/>
      <c r="H834" s="999"/>
      <c r="I834" s="999"/>
      <c r="J834" s="1023"/>
      <c r="K834" s="1023"/>
      <c r="L834" s="1023"/>
      <c r="M834" s="1024"/>
      <c r="N834" s="1115"/>
      <c r="O834" s="1115"/>
      <c r="P834" s="1115"/>
    </row>
    <row r="835" spans="1:16">
      <c r="A835" s="1023"/>
      <c r="B835" s="1023"/>
      <c r="C835" s="1843"/>
      <c r="D835" s="999"/>
      <c r="E835" s="999"/>
      <c r="F835" s="999"/>
      <c r="G835" s="999"/>
      <c r="H835" s="999"/>
      <c r="I835" s="999"/>
      <c r="J835" s="1023"/>
      <c r="K835" s="1023"/>
      <c r="L835" s="1023"/>
      <c r="M835" s="1024"/>
      <c r="N835" s="1115"/>
      <c r="O835" s="1115"/>
      <c r="P835" s="1115"/>
    </row>
    <row r="836" spans="1:16" ht="25.5">
      <c r="A836" s="1023"/>
      <c r="B836" s="1023"/>
      <c r="C836" s="1816" t="s">
        <v>1232</v>
      </c>
      <c r="D836" s="996"/>
      <c r="E836" s="996"/>
      <c r="F836" s="1023"/>
      <c r="G836" s="1100"/>
      <c r="H836" s="996"/>
      <c r="I836" s="1834"/>
      <c r="J836" s="1826"/>
      <c r="K836" s="999"/>
      <c r="L836" s="999"/>
      <c r="M836" s="1024"/>
      <c r="N836" s="1115"/>
      <c r="O836" s="1115"/>
      <c r="P836" s="1115"/>
    </row>
    <row r="837" spans="1:16">
      <c r="A837" s="1823"/>
      <c r="B837" s="1098" t="s">
        <v>1215</v>
      </c>
      <c r="C837" s="1821" t="s">
        <v>1222</v>
      </c>
      <c r="D837" s="2050" t="s">
        <v>1223</v>
      </c>
      <c r="E837" s="2058" t="s">
        <v>1207</v>
      </c>
      <c r="F837" s="2057" t="s">
        <v>1208</v>
      </c>
      <c r="G837" s="2057" t="s">
        <v>1209</v>
      </c>
      <c r="H837" s="2057" t="s">
        <v>1210</v>
      </c>
      <c r="I837" s="2059" t="s">
        <v>1211</v>
      </c>
      <c r="J837" s="1023"/>
      <c r="K837" s="1023"/>
      <c r="L837" s="1023"/>
      <c r="M837" s="1024"/>
      <c r="N837" s="1115"/>
      <c r="O837" s="1115"/>
      <c r="P837" s="1115"/>
    </row>
    <row r="838" spans="1:16">
      <c r="A838" s="1823"/>
      <c r="B838" s="1068"/>
      <c r="C838" s="1816" t="s">
        <v>1217</v>
      </c>
      <c r="D838" s="2050"/>
      <c r="E838" s="2058"/>
      <c r="F838" s="2057"/>
      <c r="G838" s="2057"/>
      <c r="H838" s="2057"/>
      <c r="I838" s="2059"/>
      <c r="J838" s="1023"/>
      <c r="K838" s="1023"/>
      <c r="L838" s="1023"/>
      <c r="M838" s="1024"/>
      <c r="N838" s="1115"/>
      <c r="O838" s="1115"/>
      <c r="P838" s="1115"/>
    </row>
    <row r="839" spans="1:16">
      <c r="A839" s="1823"/>
      <c r="B839" s="1823"/>
      <c r="C839" s="1817" t="s">
        <v>1218</v>
      </c>
      <c r="D839" s="1093">
        <f t="shared" ref="D839:I839" si="137">$I$673</f>
        <v>9784.419780000002</v>
      </c>
      <c r="E839" s="1093">
        <f t="shared" si="137"/>
        <v>9784.419780000002</v>
      </c>
      <c r="F839" s="1093">
        <f t="shared" si="137"/>
        <v>9784.419780000002</v>
      </c>
      <c r="G839" s="1093">
        <f t="shared" si="137"/>
        <v>9784.419780000002</v>
      </c>
      <c r="H839" s="1093">
        <f t="shared" si="137"/>
        <v>9784.419780000002</v>
      </c>
      <c r="I839" s="1093">
        <f t="shared" si="137"/>
        <v>9784.419780000002</v>
      </c>
      <c r="J839" s="1023"/>
      <c r="K839" s="1023"/>
      <c r="L839" s="1023"/>
      <c r="M839" s="1024"/>
      <c r="N839" s="1115"/>
      <c r="O839" s="1115"/>
      <c r="P839" s="1115"/>
    </row>
    <row r="840" spans="1:16">
      <c r="A840" s="1823"/>
      <c r="B840" s="1823"/>
      <c r="C840" s="1817" t="s">
        <v>1182</v>
      </c>
      <c r="D840" s="1093">
        <f>'Civil-SOR'!$F$267+('Civil-SOR'!$F$267*49.998%)</f>
        <v>599.99199999999996</v>
      </c>
      <c r="E840" s="1093">
        <f>'Civil-SOR'!$F$267+('Civil-SOR'!$F$267*49.998%)</f>
        <v>599.99199999999996</v>
      </c>
      <c r="F840" s="1093">
        <f>'Civil-SOR'!$F$267+('Civil-SOR'!$F$267*49.998%)</f>
        <v>599.99199999999996</v>
      </c>
      <c r="G840" s="1093">
        <f>'Civil-SOR'!$F$267+('Civil-SOR'!$F$267*49.998%)</f>
        <v>599.99199999999996</v>
      </c>
      <c r="H840" s="1093">
        <f>'Civil-SOR'!$F$267+('Civil-SOR'!$F$267*49.998%)</f>
        <v>599.99199999999996</v>
      </c>
      <c r="I840" s="1093">
        <f>'Civil-SOR'!$F$267+('Civil-SOR'!$F$267*49.998%)</f>
        <v>599.99199999999996</v>
      </c>
      <c r="J840" s="1023"/>
      <c r="K840" s="1023"/>
      <c r="L840" s="1023"/>
      <c r="M840" s="1844">
        <f>((4.27-3.66)/0.61)*16.66</f>
        <v>16.659999999999986</v>
      </c>
      <c r="N840" s="1119">
        <f>0.61/0.61</f>
        <v>1</v>
      </c>
      <c r="O840" s="1120">
        <f>16.66*N840</f>
        <v>16.66</v>
      </c>
      <c r="P840" s="1115"/>
    </row>
    <row r="841" spans="1:16">
      <c r="A841" s="1823"/>
      <c r="B841" s="1823"/>
      <c r="C841" s="1817" t="s">
        <v>453</v>
      </c>
      <c r="D841" s="1001">
        <f>'Civil-SOR'!$G$267+('Civil-SOR'!$G$267*49.998%)</f>
        <v>4097.9453599999997</v>
      </c>
      <c r="E841" s="1001">
        <f>'Civil-SOR'!$H$267+('Civil-SOR'!$H$267*49.998%)</f>
        <v>4507.4398999999994</v>
      </c>
      <c r="F841" s="1001">
        <f>'Civil-SOR'!$I$267+('Civil-SOR'!$I$267*49.998%)</f>
        <v>4916.93444</v>
      </c>
      <c r="G841" s="1001">
        <f>'Civil-SOR'!$J$267+('Civil-SOR'!$J$267*49.998%)</f>
        <v>5327.9289600000002</v>
      </c>
      <c r="H841" s="1001">
        <f>'Civil-SOR'!$K$267+('Civil-SOR'!$K$267*49.998%)</f>
        <v>5737.4234999999999</v>
      </c>
      <c r="I841" s="1001">
        <f>'Civil-SOR'!$L$267+('Civil-SOR'!$L$267*49.998%)</f>
        <v>6146.9180400000005</v>
      </c>
      <c r="J841" s="1023"/>
      <c r="K841" s="1023"/>
      <c r="L841" s="1023"/>
      <c r="M841" s="1024"/>
      <c r="N841" s="1115"/>
      <c r="O841" s="1115"/>
      <c r="P841" s="1115"/>
    </row>
    <row r="842" spans="1:16">
      <c r="A842" s="1823"/>
      <c r="B842" s="1823"/>
      <c r="C842" s="1817" t="str">
        <f>Input!$C$47</f>
        <v>Add for MA @ 40%</v>
      </c>
      <c r="D842" s="1001">
        <f>D841*Input!$D$47</f>
        <v>1639.178144</v>
      </c>
      <c r="E842" s="1001">
        <f>E841*Input!$D$47</f>
        <v>1802.9759599999998</v>
      </c>
      <c r="F842" s="1001">
        <f>F841*Input!$D$47</f>
        <v>1966.773776</v>
      </c>
      <c r="G842" s="1001">
        <f>G841*Input!$D$47</f>
        <v>2131.1715840000002</v>
      </c>
      <c r="H842" s="1001">
        <f>H841*Input!$D$47</f>
        <v>2294.9694</v>
      </c>
      <c r="I842" s="1001">
        <f>I841*Input!$D$47</f>
        <v>2458.7672160000002</v>
      </c>
      <c r="J842" s="1023"/>
      <c r="K842" s="1023"/>
      <c r="L842" s="1023"/>
      <c r="M842" s="1024"/>
      <c r="N842" s="1115"/>
      <c r="O842" s="1115"/>
      <c r="P842" s="1115"/>
    </row>
    <row r="843" spans="1:16" ht="38.25">
      <c r="A843" s="1823"/>
      <c r="B843" s="1823"/>
      <c r="C843" s="1817" t="s">
        <v>1229</v>
      </c>
      <c r="D843" s="1093">
        <v>0</v>
      </c>
      <c r="E843" s="1093">
        <f>1.333*'Civil-SOR'!$G$334</f>
        <v>504.80710000000005</v>
      </c>
      <c r="F843" s="1093">
        <f t="shared" ref="F843:F844" si="138">E843*1.1</f>
        <v>555.28781000000015</v>
      </c>
      <c r="G843" s="1093">
        <f t="shared" ref="G843:G844" si="139">E843*1.2</f>
        <v>605.76852000000008</v>
      </c>
      <c r="H843" s="1093">
        <f t="shared" ref="H843:H844" si="140">E843*1.3</f>
        <v>656.24923000000013</v>
      </c>
      <c r="I843" s="1093">
        <f t="shared" ref="I843:I844" si="141">E843*1.4</f>
        <v>706.72994000000006</v>
      </c>
      <c r="J843" s="1023"/>
      <c r="K843" s="1023"/>
      <c r="L843" s="1023"/>
      <c r="M843" s="1024"/>
      <c r="N843" s="1115"/>
      <c r="O843" s="1115"/>
      <c r="P843" s="1115"/>
    </row>
    <row r="844" spans="1:16" ht="25.5">
      <c r="A844" s="1823"/>
      <c r="B844" s="1823"/>
      <c r="C844" s="1817" t="s">
        <v>1225</v>
      </c>
      <c r="D844" s="1093">
        <v>0</v>
      </c>
      <c r="E844" s="1093">
        <f>1.333*'Civil-SOR'!$J$334</f>
        <v>480.41319999999996</v>
      </c>
      <c r="F844" s="1093">
        <f t="shared" si="138"/>
        <v>528.45452</v>
      </c>
      <c r="G844" s="1093">
        <f t="shared" si="139"/>
        <v>576.49583999999993</v>
      </c>
      <c r="H844" s="1093">
        <f t="shared" si="140"/>
        <v>624.53715999999997</v>
      </c>
      <c r="I844" s="1093">
        <f t="shared" si="141"/>
        <v>672.5784799999999</v>
      </c>
      <c r="J844" s="1023"/>
      <c r="K844" s="1023"/>
      <c r="L844" s="1023"/>
      <c r="M844" s="1024"/>
      <c r="N844" s="1115"/>
      <c r="O844" s="1115"/>
      <c r="P844" s="1115"/>
    </row>
    <row r="845" spans="1:16">
      <c r="A845" s="1823"/>
      <c r="B845" s="1823"/>
      <c r="C845" s="1817" t="str">
        <f>Input!$C$47</f>
        <v>Add for MA @ 40%</v>
      </c>
      <c r="D845" s="1093">
        <v>0</v>
      </c>
      <c r="E845" s="1093">
        <f>ROUND(E844*Input!$D$47,2)</f>
        <v>192.17</v>
      </c>
      <c r="F845" s="1093">
        <f>ROUND(F844*Input!$D$47,2)</f>
        <v>211.38</v>
      </c>
      <c r="G845" s="1093">
        <f>ROUND(G844*Input!$D$47,2)</f>
        <v>230.6</v>
      </c>
      <c r="H845" s="1093">
        <f>ROUND(H844*Input!$D$47,2)</f>
        <v>249.81</v>
      </c>
      <c r="I845" s="1093">
        <f>ROUND(I844*Input!$D$47,2)</f>
        <v>269.02999999999997</v>
      </c>
      <c r="J845" s="1023"/>
      <c r="K845" s="1023"/>
      <c r="L845" s="1023"/>
      <c r="M845" s="1024"/>
      <c r="N845" s="1115"/>
      <c r="O845" s="1115"/>
      <c r="P845" s="1115"/>
    </row>
    <row r="846" spans="1:16">
      <c r="A846" s="1023"/>
      <c r="B846" s="1023"/>
      <c r="C846" s="1816" t="s">
        <v>1032</v>
      </c>
      <c r="D846" s="1829">
        <f t="shared" ref="D846:I846" si="142">SUM(D839:D845)</f>
        <v>16121.535284000001</v>
      </c>
      <c r="E846" s="1829">
        <f t="shared" si="142"/>
        <v>17872.217940000002</v>
      </c>
      <c r="F846" s="1829">
        <f t="shared" si="142"/>
        <v>18563.242326000003</v>
      </c>
      <c r="G846" s="1829">
        <f t="shared" si="142"/>
        <v>19256.376684000003</v>
      </c>
      <c r="H846" s="1829">
        <f t="shared" si="142"/>
        <v>19947.401070000004</v>
      </c>
      <c r="I846" s="1829">
        <f t="shared" si="142"/>
        <v>20638.435456000003</v>
      </c>
      <c r="J846" s="1023"/>
      <c r="K846" s="1023"/>
      <c r="L846" s="1023"/>
      <c r="M846" s="1024"/>
      <c r="N846" s="1115"/>
      <c r="O846" s="1115"/>
      <c r="P846" s="1115"/>
    </row>
    <row r="847" spans="1:16">
      <c r="A847" s="1823"/>
      <c r="B847" s="1823"/>
      <c r="C847" s="1817" t="str">
        <f>Input!$C$48</f>
        <v>Overheads &amp; Contractors Profit @ 13.615%</v>
      </c>
      <c r="D847" s="1093">
        <f>ROUND(D846*Input!$D$48,2)</f>
        <v>2194.9499999999998</v>
      </c>
      <c r="E847" s="1093">
        <f>ROUND(E846*Input!$D$48,2)</f>
        <v>2433.3000000000002</v>
      </c>
      <c r="F847" s="1093">
        <f>ROUND(F846*Input!$D$48,2)</f>
        <v>2527.39</v>
      </c>
      <c r="G847" s="1093">
        <f>ROUND(G846*Input!$D$48,2)</f>
        <v>2621.76</v>
      </c>
      <c r="H847" s="1093">
        <f>ROUND(H846*Input!$D$48,2)</f>
        <v>2715.84</v>
      </c>
      <c r="I847" s="1093">
        <f>ROUND(I846*Input!$D$48,2)</f>
        <v>2809.92</v>
      </c>
      <c r="J847" s="1023"/>
      <c r="K847" s="1023"/>
      <c r="L847" s="1023"/>
      <c r="M847" s="1024"/>
      <c r="N847" s="1115"/>
      <c r="O847" s="1115"/>
      <c r="P847" s="1115"/>
    </row>
    <row r="848" spans="1:16">
      <c r="A848" s="1023"/>
      <c r="B848" s="1023"/>
      <c r="C848" s="1821" t="s">
        <v>1032</v>
      </c>
      <c r="D848" s="1829">
        <f t="shared" ref="D848:I848" si="143">SUM(D846:D847)</f>
        <v>18316.485284000002</v>
      </c>
      <c r="E848" s="1829">
        <f t="shared" si="143"/>
        <v>20305.517940000002</v>
      </c>
      <c r="F848" s="1829">
        <f t="shared" si="143"/>
        <v>21090.632326000003</v>
      </c>
      <c r="G848" s="1829">
        <f t="shared" si="143"/>
        <v>21878.136684000005</v>
      </c>
      <c r="H848" s="1829">
        <f t="shared" si="143"/>
        <v>22663.241070000004</v>
      </c>
      <c r="I848" s="1829">
        <f t="shared" si="143"/>
        <v>23448.355456000005</v>
      </c>
      <c r="J848" s="1023"/>
      <c r="K848" s="1023"/>
      <c r="L848" s="1023"/>
      <c r="M848" s="1024"/>
      <c r="N848" s="1115"/>
      <c r="O848" s="1115"/>
      <c r="P848" s="1115"/>
    </row>
    <row r="849" spans="1:16">
      <c r="A849" s="1023"/>
      <c r="B849" s="1023"/>
      <c r="C849" s="1843" t="s">
        <v>1034</v>
      </c>
      <c r="D849" s="999">
        <f t="shared" ref="D849:I849" si="144">ROUND(D848,0)</f>
        <v>18316</v>
      </c>
      <c r="E849" s="999">
        <f t="shared" si="144"/>
        <v>20306</v>
      </c>
      <c r="F849" s="999">
        <f t="shared" si="144"/>
        <v>21091</v>
      </c>
      <c r="G849" s="999">
        <f t="shared" si="144"/>
        <v>21878</v>
      </c>
      <c r="H849" s="999">
        <f t="shared" si="144"/>
        <v>22663</v>
      </c>
      <c r="I849" s="999">
        <f t="shared" si="144"/>
        <v>23448</v>
      </c>
      <c r="J849" s="1023"/>
      <c r="K849" s="1023"/>
      <c r="L849" s="1023"/>
      <c r="M849" s="1024"/>
      <c r="N849" s="1115"/>
      <c r="O849" s="1115"/>
      <c r="P849" s="1115"/>
    </row>
    <row r="850" spans="1:16">
      <c r="A850" s="1023"/>
      <c r="B850" s="1121"/>
      <c r="C850" s="1122"/>
      <c r="D850" s="1123"/>
      <c r="E850" s="1123"/>
      <c r="F850" s="1123"/>
      <c r="G850" s="1123"/>
      <c r="H850" s="1123"/>
      <c r="I850" s="1123"/>
      <c r="J850" s="1023"/>
      <c r="K850" s="1023"/>
      <c r="L850" s="1023"/>
      <c r="M850" s="1024"/>
      <c r="N850" s="1115"/>
      <c r="O850" s="1115"/>
      <c r="P850" s="1115"/>
    </row>
    <row r="851" spans="1:16">
      <c r="A851" s="1823"/>
      <c r="B851" s="1098" t="s">
        <v>430</v>
      </c>
      <c r="C851" s="1124" t="s">
        <v>1233</v>
      </c>
      <c r="D851" s="1114"/>
      <c r="E851" s="1114"/>
      <c r="F851" s="1114"/>
      <c r="G851" s="1114"/>
      <c r="H851" s="1114"/>
      <c r="I851" s="1011"/>
      <c r="J851" s="1846"/>
      <c r="K851" s="1846"/>
      <c r="L851" s="1846"/>
    </row>
    <row r="852" spans="1:16">
      <c r="A852" s="1823"/>
      <c r="B852" s="1068"/>
      <c r="C852" s="1816" t="s">
        <v>1234</v>
      </c>
      <c r="D852" s="1114"/>
      <c r="E852" s="1114"/>
      <c r="F852" s="1114"/>
      <c r="G852" s="1114"/>
      <c r="H852" s="1114"/>
      <c r="I852" s="1011"/>
      <c r="J852" s="1846"/>
      <c r="K852" s="1846"/>
      <c r="L852" s="1846"/>
    </row>
    <row r="853" spans="1:16">
      <c r="A853" s="1823"/>
      <c r="B853" s="1068"/>
      <c r="C853" s="1817" t="s">
        <v>1235</v>
      </c>
      <c r="D853" s="1034">
        <v>0.35</v>
      </c>
      <c r="E853" s="1125" t="s">
        <v>75</v>
      </c>
      <c r="F853" s="1001">
        <f>$I$762</f>
        <v>9784.419780000002</v>
      </c>
      <c r="G853" s="1034">
        <v>1</v>
      </c>
      <c r="H853" s="1125" t="s">
        <v>75</v>
      </c>
      <c r="I853" s="1011">
        <f>IF(G853="",D853*F853,(D853*F853/G853))</f>
        <v>3424.5469230000003</v>
      </c>
      <c r="J853" s="1846"/>
      <c r="K853" s="1846"/>
      <c r="L853" s="1846"/>
    </row>
    <row r="854" spans="1:16">
      <c r="A854" s="1823"/>
      <c r="B854" s="1068"/>
      <c r="C854" s="1816"/>
      <c r="D854" s="1114"/>
      <c r="E854" s="1114"/>
      <c r="F854" s="1114"/>
      <c r="G854" s="1114"/>
      <c r="H854" s="1114"/>
      <c r="I854" s="1011"/>
      <c r="J854" s="1846"/>
      <c r="K854" s="1846"/>
      <c r="L854" s="1846"/>
    </row>
    <row r="855" spans="1:16">
      <c r="A855" s="1823"/>
      <c r="B855" s="1068" t="s">
        <v>1215</v>
      </c>
      <c r="C855" s="1821" t="s">
        <v>1216</v>
      </c>
      <c r="D855" s="2050" t="s">
        <v>1223</v>
      </c>
      <c r="E855" s="1114"/>
      <c r="F855" s="1114"/>
      <c r="G855" s="1114"/>
      <c r="H855" s="1114"/>
      <c r="I855" s="1011"/>
      <c r="J855" s="1846"/>
      <c r="K855" s="1846"/>
      <c r="L855" s="1846"/>
    </row>
    <row r="856" spans="1:16">
      <c r="A856" s="1823"/>
      <c r="B856" s="1068"/>
      <c r="C856" s="1816" t="s">
        <v>1217</v>
      </c>
      <c r="D856" s="2050"/>
      <c r="E856" s="1114"/>
      <c r="F856" s="1114"/>
      <c r="G856" s="1114"/>
      <c r="H856" s="1114"/>
      <c r="I856" s="1011"/>
      <c r="J856" s="1846"/>
      <c r="K856" s="1846"/>
      <c r="L856" s="1846"/>
    </row>
    <row r="857" spans="1:16">
      <c r="A857" s="1823"/>
      <c r="B857" s="1068"/>
      <c r="C857" s="1817" t="s">
        <v>1218</v>
      </c>
      <c r="D857" s="1021">
        <f>+I853</f>
        <v>3424.5469230000003</v>
      </c>
      <c r="E857" s="1114"/>
      <c r="F857" s="1114"/>
      <c r="G857" s="1114"/>
      <c r="H857" s="1114"/>
      <c r="I857" s="1011"/>
      <c r="J857" s="1846"/>
      <c r="K857" s="1846"/>
      <c r="L857" s="1846"/>
    </row>
    <row r="858" spans="1:16">
      <c r="A858" s="1823"/>
      <c r="B858" s="1068"/>
      <c r="C858" s="1817" t="s">
        <v>1182</v>
      </c>
      <c r="D858" s="1021">
        <f>'Civil-SOR'!$F$282</f>
        <v>1183</v>
      </c>
      <c r="E858" s="1114"/>
      <c r="F858" s="1114"/>
      <c r="G858" s="1114"/>
      <c r="H858" s="1114"/>
      <c r="I858" s="1011"/>
      <c r="J858" s="1846"/>
      <c r="K858" s="1846"/>
      <c r="L858" s="1846"/>
    </row>
    <row r="859" spans="1:16">
      <c r="A859" s="1823"/>
      <c r="B859" s="1068"/>
      <c r="C859" s="1817" t="s">
        <v>1220</v>
      </c>
      <c r="D859" s="1021">
        <v>0</v>
      </c>
      <c r="E859" s="1114"/>
      <c r="F859" s="1114"/>
      <c r="G859" s="1114"/>
      <c r="H859" s="1114"/>
      <c r="I859" s="1011"/>
      <c r="J859" s="1846"/>
      <c r="K859" s="1846"/>
      <c r="L859" s="1846"/>
    </row>
    <row r="860" spans="1:16">
      <c r="A860" s="1823"/>
      <c r="B860" s="1068"/>
      <c r="C860" s="1817" t="str">
        <f>Input!$C$47</f>
        <v>Add for MA @ 40%</v>
      </c>
      <c r="D860" s="1021">
        <v>0</v>
      </c>
      <c r="E860" s="1114"/>
      <c r="F860" s="1114"/>
      <c r="G860" s="1114"/>
      <c r="H860" s="1114"/>
      <c r="I860" s="1011"/>
      <c r="J860" s="1846"/>
      <c r="K860" s="1846"/>
      <c r="L860" s="1846"/>
      <c r="N860" s="1126"/>
      <c r="O860" s="1126"/>
      <c r="P860" s="1126"/>
    </row>
    <row r="861" spans="1:16">
      <c r="A861" s="1823"/>
      <c r="B861" s="1068"/>
      <c r="C861" s="1816" t="s">
        <v>1044</v>
      </c>
      <c r="D861" s="1021">
        <f>SUM(D857:D860)</f>
        <v>4607.5469229999999</v>
      </c>
      <c r="E861" s="1114"/>
      <c r="F861" s="1114"/>
      <c r="G861" s="1114"/>
      <c r="H861" s="1114"/>
      <c r="I861" s="1011"/>
      <c r="J861" s="1846"/>
      <c r="K861" s="1846"/>
      <c r="L861" s="1846"/>
    </row>
    <row r="862" spans="1:16">
      <c r="A862" s="1823"/>
      <c r="B862" s="1068"/>
      <c r="C862" s="1817" t="str">
        <f>Input!$C$48</f>
        <v>Overheads &amp; Contractors Profit @ 13.615%</v>
      </c>
      <c r="D862" s="1068">
        <f>ROUND(D861*Input!$D$48,2)</f>
        <v>627.32000000000005</v>
      </c>
      <c r="E862" s="1114"/>
      <c r="F862" s="1114"/>
      <c r="G862" s="1114"/>
      <c r="H862" s="1114"/>
      <c r="I862" s="1011"/>
      <c r="J862" s="1846"/>
      <c r="K862" s="1846"/>
      <c r="L862" s="1846"/>
    </row>
    <row r="863" spans="1:16">
      <c r="A863" s="1023"/>
      <c r="B863" s="1023"/>
      <c r="C863" s="1816" t="s">
        <v>1045</v>
      </c>
      <c r="D863" s="1829">
        <f>SUM(D861:D862)</f>
        <v>5234.8669229999996</v>
      </c>
      <c r="E863" s="1114"/>
      <c r="F863" s="1114"/>
      <c r="G863" s="1114"/>
      <c r="H863" s="1114"/>
      <c r="I863" s="1011"/>
      <c r="J863" s="1846"/>
      <c r="K863" s="1846"/>
      <c r="L863" s="1846"/>
      <c r="N863" s="997"/>
      <c r="O863" s="997"/>
      <c r="P863" s="997"/>
    </row>
    <row r="864" spans="1:16">
      <c r="A864" s="1023"/>
      <c r="B864" s="1023"/>
      <c r="C864" s="1843" t="s">
        <v>1034</v>
      </c>
      <c r="D864" s="999">
        <f>ROUND(D863,0)</f>
        <v>5235</v>
      </c>
      <c r="E864" s="1114"/>
      <c r="F864" s="1114"/>
      <c r="G864" s="1114"/>
      <c r="H864" s="1114"/>
      <c r="I864" s="1011"/>
      <c r="J864" s="1846"/>
      <c r="K864" s="1846"/>
      <c r="L864" s="1846"/>
      <c r="N864" s="997"/>
      <c r="O864" s="997"/>
      <c r="P864" s="997"/>
    </row>
    <row r="865" spans="1:64">
      <c r="A865" s="1823"/>
      <c r="B865" s="1068"/>
      <c r="C865" s="1817"/>
      <c r="D865" s="1114"/>
      <c r="E865" s="1114"/>
      <c r="F865" s="1114"/>
      <c r="G865" s="1114"/>
      <c r="H865" s="1114"/>
      <c r="I865" s="1011"/>
      <c r="J865" s="1846"/>
      <c r="K865" s="1846"/>
      <c r="L865" s="1846"/>
    </row>
    <row r="866" spans="1:64">
      <c r="A866" s="1823"/>
      <c r="B866" s="1068"/>
      <c r="C866" s="1816" t="s">
        <v>1236</v>
      </c>
      <c r="D866" s="1114"/>
      <c r="E866" s="1114"/>
      <c r="F866" s="1114"/>
      <c r="G866" s="1114"/>
      <c r="H866" s="1114"/>
      <c r="I866" s="1011"/>
      <c r="J866" s="1846"/>
      <c r="K866" s="1846"/>
      <c r="L866" s="1846"/>
    </row>
    <row r="867" spans="1:64">
      <c r="A867" s="1823"/>
      <c r="B867" s="1068"/>
      <c r="C867" s="1817" t="s">
        <v>1235</v>
      </c>
      <c r="D867" s="1034">
        <v>0.15</v>
      </c>
      <c r="E867" s="1125" t="s">
        <v>75</v>
      </c>
      <c r="F867" s="1093">
        <f>$I$762</f>
        <v>9784.419780000002</v>
      </c>
      <c r="G867" s="1034">
        <v>1</v>
      </c>
      <c r="H867" s="1125" t="s">
        <v>75</v>
      </c>
      <c r="I867" s="1011">
        <f>IF(G867="",D867*F867,(D867*F867/G867))</f>
        <v>1467.6629670000002</v>
      </c>
      <c r="J867" s="1846"/>
      <c r="K867" s="1846"/>
      <c r="L867" s="1846"/>
    </row>
    <row r="868" spans="1:64">
      <c r="A868" s="1823"/>
      <c r="B868" s="1068"/>
      <c r="C868" s="1816"/>
      <c r="D868" s="1114"/>
      <c r="E868" s="1114"/>
      <c r="F868" s="1114"/>
      <c r="G868" s="1114"/>
      <c r="H868" s="1114"/>
      <c r="I868" s="1011"/>
      <c r="J868" s="1846"/>
      <c r="K868" s="1846"/>
      <c r="L868" s="1846"/>
    </row>
    <row r="869" spans="1:64">
      <c r="A869" s="1823"/>
      <c r="B869" s="1068" t="s">
        <v>1215</v>
      </c>
      <c r="C869" s="1116" t="s">
        <v>1216</v>
      </c>
      <c r="D869" s="2050" t="s">
        <v>1223</v>
      </c>
      <c r="E869" s="2058" t="s">
        <v>1207</v>
      </c>
      <c r="F869" s="2057" t="s">
        <v>1208</v>
      </c>
      <c r="G869" s="2057" t="s">
        <v>1209</v>
      </c>
      <c r="H869" s="2057" t="s">
        <v>1210</v>
      </c>
      <c r="I869" s="2057" t="s">
        <v>1211</v>
      </c>
      <c r="J869" s="1846"/>
      <c r="K869" s="1846"/>
      <c r="L869" s="1846"/>
    </row>
    <row r="870" spans="1:64">
      <c r="A870" s="1823"/>
      <c r="B870" s="1068"/>
      <c r="C870" s="1816" t="s">
        <v>1217</v>
      </c>
      <c r="D870" s="2050"/>
      <c r="E870" s="2058"/>
      <c r="F870" s="2057"/>
      <c r="G870" s="2057"/>
      <c r="H870" s="2057"/>
      <c r="I870" s="2057"/>
      <c r="J870" s="1846"/>
      <c r="K870" s="1846"/>
      <c r="L870" s="1846"/>
    </row>
    <row r="871" spans="1:64">
      <c r="A871" s="1823"/>
      <c r="B871" s="1068"/>
      <c r="C871" s="1817" t="s">
        <v>1218</v>
      </c>
      <c r="D871" s="1021">
        <f t="shared" ref="D871:I871" si="145">$I$867</f>
        <v>1467.6629670000002</v>
      </c>
      <c r="E871" s="1021">
        <f t="shared" si="145"/>
        <v>1467.6629670000002</v>
      </c>
      <c r="F871" s="1021">
        <f t="shared" si="145"/>
        <v>1467.6629670000002</v>
      </c>
      <c r="G871" s="1021">
        <f t="shared" si="145"/>
        <v>1467.6629670000002</v>
      </c>
      <c r="H871" s="1021">
        <f t="shared" si="145"/>
        <v>1467.6629670000002</v>
      </c>
      <c r="I871" s="1021">
        <f t="shared" si="145"/>
        <v>1467.6629670000002</v>
      </c>
      <c r="J871" s="1846"/>
      <c r="K871" s="1846"/>
      <c r="L871" s="1846"/>
    </row>
    <row r="872" spans="1:64">
      <c r="A872" s="1823"/>
      <c r="B872" s="1068"/>
      <c r="C872" s="1820" t="s">
        <v>1182</v>
      </c>
      <c r="D872" s="1021">
        <f>'Civil-SOR'!$F$282</f>
        <v>1183</v>
      </c>
      <c r="E872" s="1021">
        <f>'Civil-SOR'!$F$282</f>
        <v>1183</v>
      </c>
      <c r="F872" s="1021">
        <f>'Civil-SOR'!$F$282</f>
        <v>1183</v>
      </c>
      <c r="G872" s="1021">
        <f>'Civil-SOR'!$F$282</f>
        <v>1183</v>
      </c>
      <c r="H872" s="1021">
        <f>'Civil-SOR'!$F$282</f>
        <v>1183</v>
      </c>
      <c r="I872" s="1021">
        <f>'Civil-SOR'!$F$282</f>
        <v>1183</v>
      </c>
      <c r="J872" s="1846"/>
      <c r="K872" s="1846"/>
      <c r="L872" s="1846"/>
    </row>
    <row r="873" spans="1:64">
      <c r="A873" s="1823"/>
      <c r="B873" s="1068"/>
      <c r="C873" s="1817" t="s">
        <v>1220</v>
      </c>
      <c r="D873" s="1021">
        <v>0</v>
      </c>
      <c r="E873" s="1021">
        <f>$F$754*$D$867*10%</f>
        <v>46.510649999999998</v>
      </c>
      <c r="F873" s="1021">
        <f>$F$754*$D$867*20%</f>
        <v>93.021299999999997</v>
      </c>
      <c r="G873" s="1021">
        <f>$F$754*$D$867*30%</f>
        <v>139.53194999999999</v>
      </c>
      <c r="H873" s="1021">
        <f>$F$754*$D$867*40%</f>
        <v>186.04259999999999</v>
      </c>
      <c r="I873" s="1021">
        <f>$F$754*$D$867*50%</f>
        <v>232.55324999999999</v>
      </c>
      <c r="J873" s="1846"/>
      <c r="K873" s="1846"/>
      <c r="L873" s="1846"/>
    </row>
    <row r="874" spans="1:64">
      <c r="A874" s="1823"/>
      <c r="B874" s="1068"/>
      <c r="C874" s="1817" t="str">
        <f>Input!$C$47</f>
        <v>Add for MA @ 40%</v>
      </c>
      <c r="D874" s="1021">
        <v>0</v>
      </c>
      <c r="E874" s="1021">
        <f>ROUND(E873*Input!$D$47,2)</f>
        <v>18.600000000000001</v>
      </c>
      <c r="F874" s="1021">
        <f>ROUND(F873*Input!$D$47,2)</f>
        <v>37.21</v>
      </c>
      <c r="G874" s="1021">
        <f>ROUND(G873*Input!$D$47,2)</f>
        <v>55.81</v>
      </c>
      <c r="H874" s="1021">
        <f>ROUND(H873*Input!$D$47,2)</f>
        <v>74.42</v>
      </c>
      <c r="I874" s="1021">
        <f>ROUND(I873*Input!$D$47,2)</f>
        <v>93.02</v>
      </c>
      <c r="J874" s="1846"/>
      <c r="K874" s="1846"/>
      <c r="L874" s="1846"/>
      <c r="N874" s="1126"/>
      <c r="O874" s="1126"/>
      <c r="P874" s="1126"/>
      <c r="Q874" s="1126"/>
      <c r="R874" s="1126"/>
    </row>
    <row r="875" spans="1:64">
      <c r="A875" s="1823"/>
      <c r="B875" s="1068"/>
      <c r="C875" s="1816" t="s">
        <v>1044</v>
      </c>
      <c r="D875" s="1021">
        <f t="shared" ref="D875:I875" si="146">SUM(D871:D874)</f>
        <v>2650.6629670000002</v>
      </c>
      <c r="E875" s="1021">
        <f t="shared" si="146"/>
        <v>2715.7736170000003</v>
      </c>
      <c r="F875" s="1021">
        <f t="shared" si="146"/>
        <v>2780.8942670000001</v>
      </c>
      <c r="G875" s="1021">
        <f t="shared" si="146"/>
        <v>2846.0049170000002</v>
      </c>
      <c r="H875" s="1021">
        <f t="shared" si="146"/>
        <v>2911.125567</v>
      </c>
      <c r="I875" s="1021">
        <f t="shared" si="146"/>
        <v>2976.2362170000001</v>
      </c>
      <c r="J875" s="1846"/>
      <c r="K875" s="1846"/>
      <c r="L875" s="1846"/>
    </row>
    <row r="876" spans="1:64">
      <c r="A876" s="1823"/>
      <c r="B876" s="1068"/>
      <c r="C876" s="1817" t="str">
        <f>Input!$C$48</f>
        <v>Overheads &amp; Contractors Profit @ 13.615%</v>
      </c>
      <c r="D876" s="1068">
        <f>ROUND(D875*Input!$D$48,2)</f>
        <v>360.89</v>
      </c>
      <c r="E876" s="1068">
        <f>ROUND(E875*Input!$D$48,2)</f>
        <v>369.75</v>
      </c>
      <c r="F876" s="1068">
        <f>ROUND(F875*Input!$D$48,2)</f>
        <v>378.62</v>
      </c>
      <c r="G876" s="1068">
        <f>ROUND(G875*Input!$D$48,2)</f>
        <v>387.48</v>
      </c>
      <c r="H876" s="1068">
        <f>ROUND(H875*Input!$D$48,2)</f>
        <v>396.35</v>
      </c>
      <c r="I876" s="1068">
        <f>ROUND(I875*Input!$D$48,2)</f>
        <v>405.21</v>
      </c>
      <c r="J876" s="1846"/>
      <c r="K876" s="1846"/>
      <c r="L876" s="1846"/>
    </row>
    <row r="877" spans="1:64">
      <c r="A877" s="1023"/>
      <c r="B877" s="1023"/>
      <c r="C877" s="1088" t="s">
        <v>1045</v>
      </c>
      <c r="D877" s="1829">
        <f t="shared" ref="D877:I877" si="147">SUM(D875:D876)</f>
        <v>3011.5529670000001</v>
      </c>
      <c r="E877" s="1829">
        <f t="shared" si="147"/>
        <v>3085.5236170000003</v>
      </c>
      <c r="F877" s="1829">
        <f t="shared" si="147"/>
        <v>3159.514267</v>
      </c>
      <c r="G877" s="1829">
        <f t="shared" si="147"/>
        <v>3233.4849170000002</v>
      </c>
      <c r="H877" s="1829">
        <f t="shared" si="147"/>
        <v>3307.475567</v>
      </c>
      <c r="I877" s="1829">
        <f t="shared" si="147"/>
        <v>3381.4462170000002</v>
      </c>
      <c r="J877" s="1846"/>
      <c r="K877" s="1846"/>
      <c r="L877" s="1846"/>
      <c r="N877" s="997"/>
      <c r="O877" s="997"/>
      <c r="P877" s="997"/>
      <c r="Q877" s="997"/>
      <c r="R877" s="997"/>
      <c r="S877" s="997"/>
      <c r="T877" s="997"/>
      <c r="U877" s="997"/>
      <c r="V877" s="997"/>
      <c r="W877" s="997"/>
      <c r="X877" s="997"/>
      <c r="Y877" s="997"/>
      <c r="Z877" s="997"/>
      <c r="AA877" s="997"/>
      <c r="AB877" s="997"/>
      <c r="AC877" s="997"/>
      <c r="AD877" s="997"/>
      <c r="AE877" s="997"/>
      <c r="AF877" s="997"/>
      <c r="AG877" s="997"/>
      <c r="AH877" s="997"/>
      <c r="AI877" s="997"/>
      <c r="AJ877" s="997"/>
      <c r="AK877" s="997"/>
      <c r="AL877" s="997"/>
      <c r="AM877" s="997"/>
      <c r="AN877" s="997"/>
      <c r="AO877" s="997"/>
      <c r="AP877" s="997"/>
      <c r="AQ877" s="997"/>
      <c r="AR877" s="997"/>
      <c r="AS877" s="997"/>
      <c r="AT877" s="997"/>
      <c r="AU877" s="997"/>
      <c r="AV877" s="997"/>
      <c r="AW877" s="997"/>
      <c r="AX877" s="997"/>
      <c r="AY877" s="997"/>
      <c r="AZ877" s="997"/>
      <c r="BA877" s="997"/>
      <c r="BB877" s="997"/>
      <c r="BC877" s="997"/>
      <c r="BD877" s="997"/>
      <c r="BE877" s="997"/>
      <c r="BF877" s="997"/>
      <c r="BG877" s="997"/>
      <c r="BH877" s="997"/>
      <c r="BI877" s="997"/>
      <c r="BJ877" s="997"/>
      <c r="BK877" s="997"/>
      <c r="BL877" s="997"/>
    </row>
    <row r="878" spans="1:64">
      <c r="A878" s="1023"/>
      <c r="B878" s="1023"/>
      <c r="C878" s="1118" t="s">
        <v>1034</v>
      </c>
      <c r="D878" s="999">
        <f t="shared" ref="D878:I878" si="148">ROUND(D877,0)</f>
        <v>3012</v>
      </c>
      <c r="E878" s="999">
        <f t="shared" si="148"/>
        <v>3086</v>
      </c>
      <c r="F878" s="999">
        <f t="shared" si="148"/>
        <v>3160</v>
      </c>
      <c r="G878" s="999">
        <f t="shared" si="148"/>
        <v>3233</v>
      </c>
      <c r="H878" s="999">
        <f t="shared" si="148"/>
        <v>3307</v>
      </c>
      <c r="I878" s="999">
        <f t="shared" si="148"/>
        <v>3381</v>
      </c>
      <c r="J878" s="1846"/>
      <c r="K878" s="1846"/>
      <c r="L878" s="1846"/>
      <c r="N878" s="997"/>
      <c r="O878" s="997"/>
      <c r="P878" s="997"/>
      <c r="Q878" s="997"/>
      <c r="R878" s="997"/>
      <c r="S878" s="997"/>
      <c r="T878" s="997"/>
      <c r="U878" s="997"/>
      <c r="V878" s="997"/>
      <c r="W878" s="997"/>
      <c r="X878" s="997"/>
      <c r="Y878" s="997"/>
      <c r="Z878" s="997"/>
      <c r="AA878" s="997"/>
      <c r="AB878" s="997"/>
      <c r="AC878" s="997"/>
      <c r="AD878" s="997"/>
      <c r="AE878" s="997"/>
      <c r="AF878" s="997"/>
      <c r="AG878" s="997"/>
      <c r="AH878" s="997"/>
      <c r="AI878" s="997"/>
      <c r="AJ878" s="997"/>
      <c r="AK878" s="997"/>
      <c r="AL878" s="997"/>
      <c r="AM878" s="997"/>
      <c r="AN878" s="997"/>
      <c r="AO878" s="997"/>
      <c r="AP878" s="997"/>
      <c r="AQ878" s="997"/>
      <c r="AR878" s="997"/>
      <c r="AS878" s="997"/>
      <c r="AT878" s="997"/>
      <c r="AU878" s="997"/>
      <c r="AV878" s="997"/>
      <c r="AW878" s="997"/>
      <c r="AX878" s="997"/>
      <c r="AY878" s="997"/>
      <c r="AZ878" s="997"/>
      <c r="BA878" s="997"/>
      <c r="BB878" s="997"/>
      <c r="BC878" s="997"/>
      <c r="BD878" s="997"/>
      <c r="BE878" s="997"/>
      <c r="BF878" s="997"/>
      <c r="BG878" s="997"/>
      <c r="BH878" s="997"/>
      <c r="BI878" s="997"/>
      <c r="BJ878" s="997"/>
      <c r="BK878" s="997"/>
      <c r="BL878" s="997"/>
    </row>
    <row r="879" spans="1:64">
      <c r="A879" s="1823"/>
      <c r="B879" s="1068"/>
      <c r="C879" s="1817"/>
      <c r="D879" s="1114"/>
      <c r="E879" s="1114"/>
      <c r="F879" s="1114"/>
      <c r="G879" s="1114"/>
      <c r="H879" s="1114"/>
      <c r="I879" s="1011"/>
      <c r="J879" s="1846"/>
      <c r="K879" s="1846"/>
      <c r="L879" s="1846"/>
    </row>
    <row r="880" spans="1:64">
      <c r="A880" s="1823"/>
      <c r="B880" s="1068"/>
      <c r="C880" s="1817"/>
      <c r="D880" s="1114"/>
      <c r="E880" s="1114"/>
      <c r="F880" s="1114"/>
      <c r="G880" s="1114"/>
      <c r="H880" s="1114"/>
      <c r="I880" s="1011"/>
      <c r="J880" s="1114"/>
      <c r="K880" s="1114"/>
      <c r="L880" s="1011"/>
    </row>
    <row r="881" spans="1:64">
      <c r="A881" s="1823"/>
      <c r="B881" s="1098" t="s">
        <v>1221</v>
      </c>
      <c r="C881" s="1116" t="s">
        <v>1222</v>
      </c>
      <c r="D881" s="2050" t="s">
        <v>1223</v>
      </c>
      <c r="E881" s="2058" t="s">
        <v>1207</v>
      </c>
      <c r="F881" s="2057" t="s">
        <v>1208</v>
      </c>
      <c r="G881" s="2057" t="s">
        <v>1209</v>
      </c>
      <c r="H881" s="2057" t="s">
        <v>1210</v>
      </c>
      <c r="I881" s="2057" t="s">
        <v>1211</v>
      </c>
      <c r="J881" s="1114"/>
      <c r="K881" s="1114"/>
      <c r="L881" s="1011"/>
    </row>
    <row r="882" spans="1:64">
      <c r="A882" s="1823"/>
      <c r="B882" s="1068"/>
      <c r="C882" s="1816" t="s">
        <v>1217</v>
      </c>
      <c r="D882" s="2050"/>
      <c r="E882" s="2058"/>
      <c r="F882" s="2057"/>
      <c r="G882" s="2057"/>
      <c r="H882" s="2057"/>
      <c r="I882" s="2057"/>
      <c r="J882" s="1114"/>
      <c r="K882" s="1114"/>
      <c r="L882" s="1011"/>
    </row>
    <row r="883" spans="1:64">
      <c r="A883" s="1823"/>
      <c r="B883" s="1068"/>
      <c r="C883" s="1817" t="s">
        <v>1218</v>
      </c>
      <c r="D883" s="1021">
        <f t="shared" ref="D883:I883" si="149">$I$867</f>
        <v>1467.6629670000002</v>
      </c>
      <c r="E883" s="1021">
        <f t="shared" si="149"/>
        <v>1467.6629670000002</v>
      </c>
      <c r="F883" s="1021">
        <f t="shared" si="149"/>
        <v>1467.6629670000002</v>
      </c>
      <c r="G883" s="1021">
        <f t="shared" si="149"/>
        <v>1467.6629670000002</v>
      </c>
      <c r="H883" s="1021">
        <f t="shared" si="149"/>
        <v>1467.6629670000002</v>
      </c>
      <c r="I883" s="1021">
        <f t="shared" si="149"/>
        <v>1467.6629670000002</v>
      </c>
      <c r="J883" s="1114"/>
      <c r="K883" s="1114"/>
      <c r="L883" s="1011"/>
    </row>
    <row r="884" spans="1:64">
      <c r="A884" s="1823"/>
      <c r="B884" s="1068"/>
      <c r="C884" s="1820" t="s">
        <v>1182</v>
      </c>
      <c r="D884" s="1021">
        <f>'Civil-SOR'!$F$282</f>
        <v>1183</v>
      </c>
      <c r="E884" s="1021">
        <f>'Civil-SOR'!$F$282</f>
        <v>1183</v>
      </c>
      <c r="F884" s="1021">
        <f>'Civil-SOR'!$F$282</f>
        <v>1183</v>
      </c>
      <c r="G884" s="1021">
        <f>'Civil-SOR'!$F$282</f>
        <v>1183</v>
      </c>
      <c r="H884" s="1021">
        <f>'Civil-SOR'!$F$282</f>
        <v>1183</v>
      </c>
      <c r="I884" s="1021">
        <f>'Civil-SOR'!$F$282</f>
        <v>1183</v>
      </c>
      <c r="J884" s="1114"/>
      <c r="K884" s="1114"/>
      <c r="L884" s="1011"/>
    </row>
    <row r="885" spans="1:64" ht="25.5">
      <c r="A885" s="1823"/>
      <c r="B885" s="1068"/>
      <c r="C885" s="1817" t="s">
        <v>1237</v>
      </c>
      <c r="D885" s="1093">
        <v>0</v>
      </c>
      <c r="E885" s="1093">
        <f>1.333*$D$867*'Civil-SOR'!$G$334</f>
        <v>75.72106500000001</v>
      </c>
      <c r="F885" s="1093">
        <f t="shared" ref="F885:F886" si="150">E885*1.1</f>
        <v>83.293171500000014</v>
      </c>
      <c r="G885" s="1093">
        <f t="shared" ref="G885:G886" si="151">E885*1.2</f>
        <v>90.865278000000004</v>
      </c>
      <c r="H885" s="1093">
        <f t="shared" ref="H885:H886" si="152">E885*1.3</f>
        <v>98.437384500000022</v>
      </c>
      <c r="I885" s="1093">
        <f t="shared" ref="I885:I886" si="153">E885*1.4</f>
        <v>106.00949100000001</v>
      </c>
      <c r="J885" s="1114"/>
      <c r="K885" s="1114"/>
      <c r="L885" s="1011"/>
    </row>
    <row r="886" spans="1:64">
      <c r="A886" s="1823"/>
      <c r="B886" s="1068"/>
      <c r="C886" s="1820" t="s">
        <v>579</v>
      </c>
      <c r="D886" s="1021"/>
      <c r="E886" s="1021">
        <f>1.333*D867*'Civil-SOR'!J334</f>
        <v>72.061979999999991</v>
      </c>
      <c r="F886" s="1021">
        <f t="shared" si="150"/>
        <v>79.268177999999992</v>
      </c>
      <c r="G886" s="1021">
        <f t="shared" si="151"/>
        <v>86.474375999999992</v>
      </c>
      <c r="H886" s="1021">
        <f t="shared" si="152"/>
        <v>93.680573999999993</v>
      </c>
      <c r="I886" s="1021">
        <f t="shared" si="153"/>
        <v>100.88677199999998</v>
      </c>
      <c r="J886" s="1114"/>
      <c r="K886" s="1114"/>
      <c r="L886" s="1011"/>
    </row>
    <row r="887" spans="1:64">
      <c r="A887" s="1823"/>
      <c r="B887" s="1068"/>
      <c r="C887" s="1817" t="str">
        <f>Input!$C$47</f>
        <v>Add for MA @ 40%</v>
      </c>
      <c r="D887" s="1021">
        <v>0</v>
      </c>
      <c r="E887" s="1021">
        <f>ROUND(E886*Input!$D$47,2)</f>
        <v>28.82</v>
      </c>
      <c r="F887" s="1021">
        <f>ROUND(F886*Input!$D$47,2)</f>
        <v>31.71</v>
      </c>
      <c r="G887" s="1021">
        <f>ROUND(G886*Input!$D$47,2)</f>
        <v>34.590000000000003</v>
      </c>
      <c r="H887" s="1021">
        <f>ROUND(H886*Input!$D$47,2)</f>
        <v>37.47</v>
      </c>
      <c r="I887" s="1021">
        <f>ROUND(I886*Input!$D$47,2)</f>
        <v>40.35</v>
      </c>
      <c r="J887" s="1114"/>
      <c r="K887" s="1114"/>
      <c r="L887" s="1011"/>
      <c r="M887" s="1126"/>
      <c r="N887" s="1126"/>
      <c r="O887" s="1126"/>
      <c r="P887" s="1126"/>
      <c r="Q887" s="1126"/>
      <c r="R887" s="1126"/>
    </row>
    <row r="888" spans="1:64">
      <c r="A888" s="1823"/>
      <c r="B888" s="1068"/>
      <c r="C888" s="1816" t="s">
        <v>1044</v>
      </c>
      <c r="D888" s="1021">
        <f t="shared" ref="D888:I888" si="154">SUM(D883:D887)</f>
        <v>2650.6629670000002</v>
      </c>
      <c r="E888" s="1021">
        <f t="shared" si="154"/>
        <v>2827.2660120000005</v>
      </c>
      <c r="F888" s="1021">
        <f t="shared" si="154"/>
        <v>2844.9343165</v>
      </c>
      <c r="G888" s="1021">
        <f t="shared" si="154"/>
        <v>2862.5926210000007</v>
      </c>
      <c r="H888" s="1021">
        <f t="shared" si="154"/>
        <v>2880.2509255</v>
      </c>
      <c r="I888" s="1021">
        <f t="shared" si="154"/>
        <v>2897.9092299999998</v>
      </c>
      <c r="J888" s="1114"/>
      <c r="K888" s="1114"/>
      <c r="L888" s="1011"/>
    </row>
    <row r="889" spans="1:64">
      <c r="A889" s="1823"/>
      <c r="B889" s="1068"/>
      <c r="C889" s="1817" t="str">
        <f>Input!$C$48</f>
        <v>Overheads &amp; Contractors Profit @ 13.615%</v>
      </c>
      <c r="D889" s="1068">
        <f>ROUND(D888*Input!$D$48,2)</f>
        <v>360.89</v>
      </c>
      <c r="E889" s="1068">
        <f>ROUND(E888*Input!$D$48,2)</f>
        <v>384.93</v>
      </c>
      <c r="F889" s="1068">
        <f>ROUND(F888*Input!$D$48,2)</f>
        <v>387.34</v>
      </c>
      <c r="G889" s="1068">
        <f>ROUND(G888*Input!$D$48,2)</f>
        <v>389.74</v>
      </c>
      <c r="H889" s="1068">
        <f>ROUND(H888*Input!$D$48,2)</f>
        <v>392.15</v>
      </c>
      <c r="I889" s="1068">
        <f>ROUND(I888*Input!$D$48,2)</f>
        <v>394.55</v>
      </c>
      <c r="J889" s="1114"/>
      <c r="K889" s="1114"/>
      <c r="L889" s="1011"/>
    </row>
    <row r="890" spans="1:64">
      <c r="A890" s="1823"/>
      <c r="B890" s="1068"/>
      <c r="C890" s="1816" t="s">
        <v>1045</v>
      </c>
      <c r="D890" s="1021">
        <f t="shared" ref="D890:I890" si="155">SUM(D888:D889)</f>
        <v>3011.5529670000001</v>
      </c>
      <c r="E890" s="1021">
        <f t="shared" si="155"/>
        <v>3212.1960120000003</v>
      </c>
      <c r="F890" s="1021">
        <f t="shared" si="155"/>
        <v>3232.2743165000002</v>
      </c>
      <c r="G890" s="1021">
        <f t="shared" si="155"/>
        <v>3252.3326210000005</v>
      </c>
      <c r="H890" s="1021">
        <f t="shared" si="155"/>
        <v>3272.4009255000001</v>
      </c>
      <c r="I890" s="1021">
        <f t="shared" si="155"/>
        <v>3292.4592299999999</v>
      </c>
      <c r="J890" s="1114"/>
      <c r="K890" s="1114"/>
      <c r="L890" s="1011"/>
    </row>
    <row r="891" spans="1:64">
      <c r="A891" s="1023"/>
      <c r="B891" s="1023"/>
      <c r="C891" s="1118" t="s">
        <v>1034</v>
      </c>
      <c r="D891" s="999">
        <f t="shared" ref="D891:I891" si="156">ROUND(D890,0)</f>
        <v>3012</v>
      </c>
      <c r="E891" s="999">
        <f t="shared" si="156"/>
        <v>3212</v>
      </c>
      <c r="F891" s="999">
        <f t="shared" si="156"/>
        <v>3232</v>
      </c>
      <c r="G891" s="999">
        <f t="shared" si="156"/>
        <v>3252</v>
      </c>
      <c r="H891" s="999">
        <f t="shared" si="156"/>
        <v>3272</v>
      </c>
      <c r="I891" s="999">
        <f t="shared" si="156"/>
        <v>3292</v>
      </c>
      <c r="J891" s="1114"/>
      <c r="K891" s="1114"/>
      <c r="L891" s="1011"/>
      <c r="M891" s="997"/>
      <c r="N891" s="997"/>
      <c r="O891" s="997"/>
      <c r="P891" s="997"/>
      <c r="Q891" s="997"/>
      <c r="R891" s="997"/>
      <c r="S891" s="997"/>
      <c r="T891" s="997"/>
      <c r="U891" s="997"/>
      <c r="V891" s="997"/>
      <c r="W891" s="997"/>
      <c r="X891" s="997"/>
      <c r="Y891" s="997"/>
      <c r="Z891" s="997"/>
      <c r="AA891" s="997"/>
      <c r="AB891" s="997"/>
      <c r="AC891" s="997"/>
      <c r="AD891" s="997"/>
      <c r="AE891" s="997"/>
      <c r="AF891" s="997"/>
      <c r="AG891" s="997"/>
      <c r="AH891" s="997"/>
      <c r="AI891" s="997"/>
      <c r="AJ891" s="997"/>
      <c r="AK891" s="997"/>
      <c r="AL891" s="997"/>
      <c r="AM891" s="997"/>
      <c r="AN891" s="997"/>
      <c r="AO891" s="997"/>
      <c r="AP891" s="997"/>
      <c r="AQ891" s="997"/>
      <c r="AR891" s="997"/>
      <c r="AS891" s="997"/>
      <c r="AT891" s="997"/>
      <c r="AU891" s="997"/>
      <c r="AV891" s="997"/>
      <c r="AW891" s="997"/>
      <c r="AX891" s="997"/>
      <c r="AY891" s="997"/>
      <c r="AZ891" s="997"/>
      <c r="BA891" s="997"/>
      <c r="BB891" s="997"/>
      <c r="BC891" s="997"/>
      <c r="BD891" s="997"/>
      <c r="BE891" s="997"/>
      <c r="BF891" s="997"/>
      <c r="BG891" s="997"/>
      <c r="BH891" s="997"/>
      <c r="BI891" s="997"/>
      <c r="BJ891" s="997"/>
      <c r="BK891" s="997"/>
      <c r="BL891" s="997"/>
    </row>
    <row r="892" spans="1:64">
      <c r="A892" s="1823"/>
      <c r="B892" s="1068"/>
      <c r="C892" s="1817"/>
      <c r="D892" s="1114"/>
      <c r="E892" s="1114"/>
      <c r="F892" s="1114"/>
      <c r="G892" s="1114"/>
      <c r="H892" s="1114"/>
      <c r="I892" s="1011"/>
      <c r="J892" s="1114"/>
      <c r="K892" s="1114"/>
      <c r="L892" s="1011"/>
    </row>
    <row r="893" spans="1:64">
      <c r="A893" s="1823"/>
      <c r="B893" s="1068"/>
      <c r="C893" s="1816"/>
      <c r="D893" s="1832" t="s">
        <v>1212</v>
      </c>
      <c r="E893" s="1832" t="s">
        <v>1213</v>
      </c>
      <c r="F893" s="1832" t="s">
        <v>1214</v>
      </c>
      <c r="G893" s="1114"/>
      <c r="H893" s="1114"/>
      <c r="I893" s="1011"/>
      <c r="J893" s="1846"/>
      <c r="K893" s="1846"/>
      <c r="L893" s="1846"/>
    </row>
    <row r="894" spans="1:64">
      <c r="A894" s="1823"/>
      <c r="B894" s="1068"/>
      <c r="C894" s="1817" t="s">
        <v>1218</v>
      </c>
      <c r="D894" s="1021">
        <f>$I$867</f>
        <v>1467.6629670000002</v>
      </c>
      <c r="E894" s="1021">
        <f>$I$867</f>
        <v>1467.6629670000002</v>
      </c>
      <c r="F894" s="1021">
        <f>$I$867</f>
        <v>1467.6629670000002</v>
      </c>
      <c r="G894" s="1114"/>
      <c r="H894" s="1114"/>
      <c r="I894" s="1011"/>
      <c r="J894" s="1846"/>
      <c r="K894" s="1846"/>
      <c r="L894" s="1846"/>
    </row>
    <row r="895" spans="1:64">
      <c r="A895" s="1823"/>
      <c r="B895" s="1068"/>
      <c r="C895" s="1817" t="s">
        <v>1182</v>
      </c>
      <c r="D895" s="1021">
        <f>'Civil-SOR'!$F$282</f>
        <v>1183</v>
      </c>
      <c r="E895" s="1021">
        <f>'Civil-SOR'!$F$282</f>
        <v>1183</v>
      </c>
      <c r="F895" s="1021">
        <f>'Civil-SOR'!$F$282</f>
        <v>1183</v>
      </c>
      <c r="G895" s="1114"/>
      <c r="H895" s="1114"/>
      <c r="I895" s="1011"/>
      <c r="J895" s="1846"/>
      <c r="K895" s="1846"/>
      <c r="L895" s="1846"/>
    </row>
    <row r="896" spans="1:64" ht="25.5">
      <c r="A896" s="1823"/>
      <c r="B896" s="1068"/>
      <c r="C896" s="1817" t="s">
        <v>1237</v>
      </c>
      <c r="D896" s="1093">
        <f t="shared" ref="D896:D897" si="157">E885*1.5</f>
        <v>113.58159750000002</v>
      </c>
      <c r="E896" s="1093">
        <f t="shared" ref="E896:E897" si="158">E885*1.6</f>
        <v>121.15370400000002</v>
      </c>
      <c r="F896" s="1093">
        <f t="shared" ref="F896:F897" si="159">E885*1.7</f>
        <v>128.72581050000002</v>
      </c>
      <c r="G896" s="1114"/>
      <c r="H896" s="1114"/>
      <c r="I896" s="1011"/>
      <c r="J896" s="1846"/>
      <c r="K896" s="1846"/>
      <c r="L896" s="1846"/>
    </row>
    <row r="897" spans="1:64">
      <c r="A897" s="1823"/>
      <c r="B897" s="1068"/>
      <c r="C897" s="1817" t="s">
        <v>579</v>
      </c>
      <c r="D897" s="1021">
        <f t="shared" si="157"/>
        <v>108.09296999999998</v>
      </c>
      <c r="E897" s="1021">
        <f t="shared" si="158"/>
        <v>115.29916799999999</v>
      </c>
      <c r="F897" s="1021">
        <f t="shared" si="159"/>
        <v>122.50536599999998</v>
      </c>
      <c r="G897" s="1114"/>
      <c r="H897" s="1114"/>
      <c r="I897" s="1011"/>
      <c r="J897" s="1846"/>
      <c r="K897" s="1846"/>
      <c r="L897" s="1846"/>
    </row>
    <row r="898" spans="1:64">
      <c r="A898" s="1823"/>
      <c r="B898" s="1068"/>
      <c r="C898" s="1817" t="str">
        <f>Input!$C$47</f>
        <v>Add for MA @ 40%</v>
      </c>
      <c r="D898" s="1021">
        <f>ROUND(D897*Input!$D$47,2)</f>
        <v>43.24</v>
      </c>
      <c r="E898" s="1021">
        <f>ROUND(E897*Input!$D$47,2)</f>
        <v>46.12</v>
      </c>
      <c r="F898" s="1021">
        <f>ROUND(F897*Input!$D$47,2)</f>
        <v>49</v>
      </c>
      <c r="G898" s="1114"/>
      <c r="H898" s="1114"/>
      <c r="I898" s="1011"/>
      <c r="J898" s="1846"/>
      <c r="K898" s="1846"/>
      <c r="L898" s="1846"/>
    </row>
    <row r="899" spans="1:64">
      <c r="A899" s="1823"/>
      <c r="B899" s="1068"/>
      <c r="C899" s="1816" t="s">
        <v>1044</v>
      </c>
      <c r="D899" s="1021">
        <f>SUM(D894:D898)</f>
        <v>2915.5775345000002</v>
      </c>
      <c r="E899" s="1021">
        <f>SUM(E894:E898)</f>
        <v>2933.2358389999999</v>
      </c>
      <c r="F899" s="1021">
        <f>SUM(F894:F898)</f>
        <v>2950.8941435000002</v>
      </c>
      <c r="G899" s="1114"/>
      <c r="H899" s="1114"/>
      <c r="I899" s="1011"/>
      <c r="J899" s="1846"/>
      <c r="K899" s="1846"/>
      <c r="L899" s="1846"/>
    </row>
    <row r="900" spans="1:64">
      <c r="A900" s="1823"/>
      <c r="B900" s="1068"/>
      <c r="C900" s="1817" t="str">
        <f>Input!$C$48</f>
        <v>Overheads &amp; Contractors Profit @ 13.615%</v>
      </c>
      <c r="D900" s="1068">
        <f>ROUND(D899*Input!$D$48,2)</f>
        <v>396.96</v>
      </c>
      <c r="E900" s="1068">
        <f>ROUND(E899*Input!$D$48,2)</f>
        <v>399.36</v>
      </c>
      <c r="F900" s="1068">
        <f>ROUND(F899*Input!$D$48,2)</f>
        <v>401.76</v>
      </c>
      <c r="G900" s="1114"/>
      <c r="H900" s="1114"/>
      <c r="I900" s="1011"/>
      <c r="J900" s="1846"/>
      <c r="K900" s="1846"/>
      <c r="L900" s="1846"/>
    </row>
    <row r="901" spans="1:64">
      <c r="A901" s="1823"/>
      <c r="B901" s="1068"/>
      <c r="C901" s="1816" t="s">
        <v>1045</v>
      </c>
      <c r="D901" s="1021">
        <f>SUM(D899:D900)</f>
        <v>3312.5375345000002</v>
      </c>
      <c r="E901" s="1021">
        <f>SUM(E899:E900)</f>
        <v>3332.5958390000001</v>
      </c>
      <c r="F901" s="1021">
        <f>SUM(F899:F900)</f>
        <v>3352.6541434999999</v>
      </c>
      <c r="G901" s="1114"/>
      <c r="H901" s="1114"/>
      <c r="I901" s="1011"/>
      <c r="J901" s="1846"/>
      <c r="K901" s="1846"/>
      <c r="L901" s="1846"/>
    </row>
    <row r="902" spans="1:64">
      <c r="A902" s="1823"/>
      <c r="B902" s="1068"/>
      <c r="C902" s="1843" t="s">
        <v>1034</v>
      </c>
      <c r="D902" s="999">
        <f>ROUND(D901,0)</f>
        <v>3313</v>
      </c>
      <c r="E902" s="999">
        <f>ROUND(E901,0)</f>
        <v>3333</v>
      </c>
      <c r="F902" s="999">
        <f>ROUND(F901,0)</f>
        <v>3353</v>
      </c>
      <c r="G902" s="1114"/>
      <c r="H902" s="1114"/>
      <c r="I902" s="1011"/>
      <c r="J902" s="1846"/>
      <c r="K902" s="1846"/>
      <c r="L902" s="1846"/>
    </row>
    <row r="903" spans="1:64">
      <c r="A903" s="1823"/>
      <c r="B903" s="1068"/>
      <c r="C903" s="1843"/>
      <c r="D903" s="999"/>
      <c r="E903" s="999"/>
      <c r="F903" s="999"/>
      <c r="G903" s="1114"/>
      <c r="H903" s="1114"/>
      <c r="I903" s="1011"/>
      <c r="J903" s="1846"/>
      <c r="K903" s="1846"/>
      <c r="L903" s="1846"/>
    </row>
    <row r="904" spans="1:64">
      <c r="A904" s="1823"/>
      <c r="B904" s="1068" t="s">
        <v>433</v>
      </c>
      <c r="C904" s="1816" t="s">
        <v>1238</v>
      </c>
      <c r="D904" s="1114"/>
      <c r="E904" s="1114"/>
      <c r="F904" s="1114"/>
      <c r="G904" s="1114"/>
      <c r="H904" s="1114"/>
      <c r="I904" s="1011"/>
      <c r="J904" s="1846"/>
      <c r="K904" s="1846"/>
      <c r="L904" s="1846"/>
    </row>
    <row r="905" spans="1:64">
      <c r="A905" s="1823"/>
      <c r="B905" s="1068"/>
      <c r="C905" s="1817" t="s">
        <v>1235</v>
      </c>
      <c r="D905" s="1127">
        <v>0.2</v>
      </c>
      <c r="E905" s="1125" t="s">
        <v>75</v>
      </c>
      <c r="F905" s="1093">
        <f>$I$762</f>
        <v>9784.419780000002</v>
      </c>
      <c r="G905" s="1034">
        <v>1</v>
      </c>
      <c r="H905" s="1125" t="s">
        <v>75</v>
      </c>
      <c r="I905" s="1011">
        <f>IF(G905="",D905*F905,(D905*F905/G905))</f>
        <v>1956.8839560000006</v>
      </c>
      <c r="J905" s="1846"/>
      <c r="K905" s="1846"/>
      <c r="L905" s="1846"/>
    </row>
    <row r="906" spans="1:64">
      <c r="A906" s="1823"/>
      <c r="B906" s="1068"/>
      <c r="C906" s="1816"/>
      <c r="D906" s="1114"/>
      <c r="E906" s="1114"/>
      <c r="F906" s="1114"/>
      <c r="G906" s="1114"/>
      <c r="H906" s="1114"/>
      <c r="I906" s="1011"/>
      <c r="J906" s="1846"/>
      <c r="K906" s="1846"/>
      <c r="L906" s="1846"/>
    </row>
    <row r="907" spans="1:64">
      <c r="A907" s="1823"/>
      <c r="B907" s="1098" t="s">
        <v>1215</v>
      </c>
      <c r="C907" s="1116" t="s">
        <v>1216</v>
      </c>
      <c r="D907" s="1114"/>
      <c r="E907" s="1114"/>
      <c r="F907" s="1114"/>
      <c r="G907" s="1114"/>
      <c r="H907" s="1114"/>
      <c r="I907" s="1011"/>
      <c r="J907" s="1846"/>
      <c r="K907" s="1846"/>
      <c r="L907" s="1846"/>
    </row>
    <row r="908" spans="1:64">
      <c r="A908" s="1823"/>
      <c r="B908" s="1068"/>
      <c r="C908" s="1816" t="s">
        <v>1217</v>
      </c>
      <c r="D908" s="1009" t="s">
        <v>1223</v>
      </c>
      <c r="E908" s="1098" t="s">
        <v>1207</v>
      </c>
      <c r="F908" s="1102" t="s">
        <v>1208</v>
      </c>
      <c r="G908" s="1102" t="s">
        <v>1209</v>
      </c>
      <c r="H908" s="1102" t="s">
        <v>1210</v>
      </c>
      <c r="I908" s="1102" t="s">
        <v>1211</v>
      </c>
      <c r="J908" s="1846"/>
      <c r="K908" s="1846"/>
      <c r="L908" s="1846"/>
    </row>
    <row r="909" spans="1:64">
      <c r="A909" s="1823"/>
      <c r="B909" s="1823"/>
      <c r="C909" s="1849" t="s">
        <v>1218</v>
      </c>
      <c r="D909" s="1093">
        <f t="shared" ref="D909:I909" si="160">$I$905</f>
        <v>1956.8839560000006</v>
      </c>
      <c r="E909" s="1093">
        <f t="shared" si="160"/>
        <v>1956.8839560000006</v>
      </c>
      <c r="F909" s="1093">
        <f t="shared" si="160"/>
        <v>1956.8839560000006</v>
      </c>
      <c r="G909" s="1093">
        <f t="shared" si="160"/>
        <v>1956.8839560000006</v>
      </c>
      <c r="H909" s="1093">
        <f t="shared" si="160"/>
        <v>1956.8839560000006</v>
      </c>
      <c r="I909" s="1093">
        <f t="shared" si="160"/>
        <v>1956.8839560000006</v>
      </c>
      <c r="J909" s="1846"/>
      <c r="K909" s="1846"/>
      <c r="L909" s="1846"/>
      <c r="N909" s="1037"/>
      <c r="O909" s="1037"/>
      <c r="P909" s="1037"/>
      <c r="Q909" s="1037"/>
      <c r="R909" s="1037"/>
      <c r="S909" s="1037"/>
      <c r="T909" s="1037"/>
      <c r="U909" s="1037"/>
      <c r="V909" s="1037"/>
      <c r="W909" s="1037"/>
      <c r="X909" s="1037"/>
      <c r="Y909" s="1037"/>
      <c r="Z909" s="1037"/>
      <c r="AA909" s="1037"/>
      <c r="AB909" s="1037"/>
      <c r="AC909" s="1037"/>
      <c r="AD909" s="1037"/>
      <c r="AE909" s="1037"/>
      <c r="AF909" s="1037"/>
      <c r="AG909" s="1037"/>
      <c r="AH909" s="1037"/>
      <c r="AI909" s="1037"/>
      <c r="AJ909" s="1037"/>
      <c r="AK909" s="1037"/>
      <c r="AL909" s="1037"/>
      <c r="AM909" s="1037"/>
      <c r="AN909" s="1037"/>
      <c r="AO909" s="1037"/>
      <c r="AP909" s="1037"/>
      <c r="AQ909" s="1037"/>
      <c r="AR909" s="1037"/>
      <c r="AS909" s="1037"/>
      <c r="AT909" s="1037"/>
      <c r="AU909" s="1037"/>
      <c r="AV909" s="1037"/>
      <c r="AW909" s="1037"/>
      <c r="AX909" s="1037"/>
      <c r="AY909" s="1037"/>
      <c r="AZ909" s="1037"/>
      <c r="BA909" s="1037"/>
      <c r="BB909" s="1037"/>
      <c r="BC909" s="1037"/>
      <c r="BD909" s="1037"/>
      <c r="BE909" s="1037"/>
      <c r="BF909" s="1037"/>
      <c r="BG909" s="1037"/>
      <c r="BH909" s="1037"/>
      <c r="BI909" s="1037"/>
      <c r="BJ909" s="1037"/>
      <c r="BK909" s="1037"/>
      <c r="BL909" s="1037"/>
    </row>
    <row r="910" spans="1:64">
      <c r="A910" s="1823"/>
      <c r="B910" s="1823"/>
      <c r="C910" s="1849" t="s">
        <v>1182</v>
      </c>
      <c r="D910" s="1093">
        <f>'Civil-SOR'!$F$282</f>
        <v>1183</v>
      </c>
      <c r="E910" s="1093">
        <f>'Civil-SOR'!$F$282</f>
        <v>1183</v>
      </c>
      <c r="F910" s="1093">
        <f>'Civil-SOR'!$F$282</f>
        <v>1183</v>
      </c>
      <c r="G910" s="1093">
        <f>'Civil-SOR'!$F$282</f>
        <v>1183</v>
      </c>
      <c r="H910" s="1093">
        <f>'Civil-SOR'!$F$282</f>
        <v>1183</v>
      </c>
      <c r="I910" s="1093">
        <f>'Civil-SOR'!$F$282</f>
        <v>1183</v>
      </c>
      <c r="J910" s="1846"/>
      <c r="K910" s="1846"/>
      <c r="L910" s="1846"/>
      <c r="N910" s="1037"/>
      <c r="O910" s="1037"/>
      <c r="P910" s="1037"/>
      <c r="Q910" s="1037"/>
      <c r="R910" s="1037"/>
      <c r="S910" s="1037"/>
      <c r="T910" s="1037"/>
      <c r="U910" s="1037"/>
      <c r="V910" s="1037"/>
      <c r="W910" s="1037"/>
      <c r="X910" s="1037"/>
      <c r="Y910" s="1037"/>
      <c r="Z910" s="1037"/>
      <c r="AA910" s="1037"/>
      <c r="AB910" s="1037"/>
      <c r="AC910" s="1037"/>
      <c r="AD910" s="1037"/>
      <c r="AE910" s="1037"/>
      <c r="AF910" s="1037"/>
      <c r="AG910" s="1037"/>
      <c r="AH910" s="1037"/>
      <c r="AI910" s="1037"/>
      <c r="AJ910" s="1037"/>
      <c r="AK910" s="1037"/>
      <c r="AL910" s="1037"/>
      <c r="AM910" s="1037"/>
      <c r="AN910" s="1037"/>
      <c r="AO910" s="1037"/>
      <c r="AP910" s="1037"/>
      <c r="AQ910" s="1037"/>
      <c r="AR910" s="1037"/>
      <c r="AS910" s="1037"/>
      <c r="AT910" s="1037"/>
      <c r="AU910" s="1037"/>
      <c r="AV910" s="1037"/>
      <c r="AW910" s="1037"/>
      <c r="AX910" s="1037"/>
      <c r="AY910" s="1037"/>
      <c r="AZ910" s="1037"/>
      <c r="BA910" s="1037"/>
      <c r="BB910" s="1037"/>
      <c r="BC910" s="1037"/>
      <c r="BD910" s="1037"/>
      <c r="BE910" s="1037"/>
      <c r="BF910" s="1037"/>
      <c r="BG910" s="1037"/>
      <c r="BH910" s="1037"/>
      <c r="BI910" s="1037"/>
      <c r="BJ910" s="1037"/>
      <c r="BK910" s="1037"/>
      <c r="BL910" s="1037"/>
    </row>
    <row r="911" spans="1:64">
      <c r="A911" s="1823"/>
      <c r="B911" s="1823"/>
      <c r="C911" s="1849" t="s">
        <v>453</v>
      </c>
      <c r="D911" s="1093">
        <v>0</v>
      </c>
      <c r="E911" s="1093">
        <f>+D911</f>
        <v>0</v>
      </c>
      <c r="F911" s="1093">
        <f>+E911</f>
        <v>0</v>
      </c>
      <c r="G911" s="1093">
        <f>+F911</f>
        <v>0</v>
      </c>
      <c r="H911" s="1093">
        <f>+G911</f>
        <v>0</v>
      </c>
      <c r="I911" s="1093">
        <f>+H911</f>
        <v>0</v>
      </c>
      <c r="J911" s="1846"/>
      <c r="K911" s="1846"/>
      <c r="L911" s="1846"/>
      <c r="N911" s="1037"/>
      <c r="O911" s="1037"/>
      <c r="P911" s="1037"/>
      <c r="Q911" s="1037"/>
      <c r="R911" s="1037"/>
      <c r="S911" s="1037"/>
      <c r="T911" s="1037"/>
      <c r="U911" s="1037"/>
      <c r="V911" s="1037"/>
      <c r="W911" s="1037"/>
      <c r="X911" s="1037"/>
      <c r="Y911" s="1037"/>
      <c r="Z911" s="1037"/>
      <c r="AA911" s="1037"/>
      <c r="AB911" s="1037"/>
      <c r="AC911" s="1037"/>
      <c r="AD911" s="1037"/>
      <c r="AE911" s="1037"/>
      <c r="AF911" s="1037"/>
      <c r="AG911" s="1037"/>
      <c r="AH911" s="1037"/>
      <c r="AI911" s="1037"/>
      <c r="AJ911" s="1037"/>
      <c r="AK911" s="1037"/>
      <c r="AL911" s="1037"/>
      <c r="AM911" s="1037"/>
      <c r="AN911" s="1037"/>
      <c r="AO911" s="1037"/>
      <c r="AP911" s="1037"/>
      <c r="AQ911" s="1037"/>
      <c r="AR911" s="1037"/>
      <c r="AS911" s="1037"/>
      <c r="AT911" s="1037"/>
      <c r="AU911" s="1037"/>
      <c r="AV911" s="1037"/>
      <c r="AW911" s="1037"/>
      <c r="AX911" s="1037"/>
      <c r="AY911" s="1037"/>
      <c r="AZ911" s="1037"/>
      <c r="BA911" s="1037"/>
      <c r="BB911" s="1037"/>
      <c r="BC911" s="1037"/>
      <c r="BD911" s="1037"/>
      <c r="BE911" s="1037"/>
      <c r="BF911" s="1037"/>
      <c r="BG911" s="1037"/>
      <c r="BH911" s="1037"/>
      <c r="BI911" s="1037"/>
      <c r="BJ911" s="1037"/>
      <c r="BK911" s="1037"/>
      <c r="BL911" s="1037"/>
    </row>
    <row r="912" spans="1:64">
      <c r="A912" s="1823"/>
      <c r="B912" s="1823"/>
      <c r="C912" s="1849" t="str">
        <f>Input!$C$47</f>
        <v>Add for MA @ 40%</v>
      </c>
      <c r="D912" s="1093">
        <f>D911*Input!$D$47</f>
        <v>0</v>
      </c>
      <c r="E912" s="1093">
        <f>E911*Input!$D$47</f>
        <v>0</v>
      </c>
      <c r="F912" s="1093">
        <f>F911*Input!$D$47</f>
        <v>0</v>
      </c>
      <c r="G912" s="1093">
        <f>G911*Input!$D$47</f>
        <v>0</v>
      </c>
      <c r="H912" s="1093">
        <f>H911*Input!$D$47</f>
        <v>0</v>
      </c>
      <c r="I912" s="1093">
        <f>I911*Input!$D$47</f>
        <v>0</v>
      </c>
      <c r="J912" s="1846"/>
      <c r="K912" s="1846"/>
      <c r="L912" s="1846"/>
      <c r="N912" s="1037"/>
      <c r="O912" s="1037"/>
      <c r="P912" s="1037"/>
      <c r="Q912" s="1037"/>
      <c r="R912" s="1037"/>
      <c r="S912" s="1037"/>
      <c r="T912" s="1037"/>
      <c r="U912" s="1037"/>
      <c r="V912" s="1037"/>
      <c r="W912" s="1037"/>
      <c r="X912" s="1037"/>
      <c r="Y912" s="1037"/>
      <c r="Z912" s="1037"/>
      <c r="AA912" s="1037"/>
      <c r="AB912" s="1037"/>
      <c r="AC912" s="1037"/>
      <c r="AD912" s="1037"/>
      <c r="AE912" s="1037"/>
      <c r="AF912" s="1037"/>
      <c r="AG912" s="1037"/>
      <c r="AH912" s="1037"/>
      <c r="AI912" s="1037"/>
      <c r="AJ912" s="1037"/>
      <c r="AK912" s="1037"/>
      <c r="AL912" s="1037"/>
      <c r="AM912" s="1037"/>
      <c r="AN912" s="1037"/>
      <c r="AO912" s="1037"/>
      <c r="AP912" s="1037"/>
      <c r="AQ912" s="1037"/>
      <c r="AR912" s="1037"/>
      <c r="AS912" s="1037"/>
      <c r="AT912" s="1037"/>
      <c r="AU912" s="1037"/>
      <c r="AV912" s="1037"/>
      <c r="AW912" s="1037"/>
      <c r="AX912" s="1037"/>
      <c r="AY912" s="1037"/>
      <c r="AZ912" s="1037"/>
      <c r="BA912" s="1037"/>
      <c r="BB912" s="1037"/>
      <c r="BC912" s="1037"/>
      <c r="BD912" s="1037"/>
      <c r="BE912" s="1037"/>
      <c r="BF912" s="1037"/>
      <c r="BG912" s="1037"/>
      <c r="BH912" s="1037"/>
      <c r="BI912" s="1037"/>
      <c r="BJ912" s="1037"/>
      <c r="BK912" s="1037"/>
      <c r="BL912" s="1037"/>
    </row>
    <row r="913" spans="1:64">
      <c r="A913" s="1823"/>
      <c r="B913" s="1823"/>
      <c r="C913" s="1849" t="s">
        <v>1239</v>
      </c>
      <c r="D913" s="1093">
        <v>0</v>
      </c>
      <c r="E913" s="1093">
        <f>$F$754*$D$905*10%</f>
        <v>62.01420000000001</v>
      </c>
      <c r="F913" s="1093">
        <f>$F$754*$D$905*20%</f>
        <v>124.02840000000002</v>
      </c>
      <c r="G913" s="1093">
        <f>$F$754*$D$905*30%</f>
        <v>186.04260000000002</v>
      </c>
      <c r="H913" s="1093">
        <f>$F$754*$D$905*40%</f>
        <v>248.05680000000004</v>
      </c>
      <c r="I913" s="1093">
        <f>$F$754*$D$905*50%</f>
        <v>310.07100000000003</v>
      </c>
      <c r="J913" s="1846"/>
      <c r="K913" s="1846"/>
      <c r="L913" s="1846"/>
      <c r="N913" s="1037"/>
      <c r="O913" s="1037"/>
      <c r="P913" s="1037"/>
      <c r="Q913" s="1037"/>
      <c r="R913" s="1037"/>
      <c r="S913" s="1037"/>
      <c r="T913" s="1037"/>
      <c r="U913" s="1037"/>
      <c r="V913" s="1037"/>
      <c r="W913" s="1037"/>
      <c r="X913" s="1037"/>
      <c r="Y913" s="1037"/>
      <c r="Z913" s="1037"/>
      <c r="AA913" s="1037"/>
      <c r="AB913" s="1037"/>
      <c r="AC913" s="1037"/>
      <c r="AD913" s="1037"/>
      <c r="AE913" s="1037"/>
      <c r="AF913" s="1037"/>
      <c r="AG913" s="1037"/>
      <c r="AH913" s="1037"/>
      <c r="AI913" s="1037"/>
      <c r="AJ913" s="1037"/>
      <c r="AK913" s="1037"/>
      <c r="AL913" s="1037"/>
      <c r="AM913" s="1037"/>
      <c r="AN913" s="1037"/>
      <c r="AO913" s="1037"/>
      <c r="AP913" s="1037"/>
      <c r="AQ913" s="1037"/>
      <c r="AR913" s="1037"/>
      <c r="AS913" s="1037"/>
      <c r="AT913" s="1037"/>
      <c r="AU913" s="1037"/>
      <c r="AV913" s="1037"/>
      <c r="AW913" s="1037"/>
      <c r="AX913" s="1037"/>
      <c r="AY913" s="1037"/>
      <c r="AZ913" s="1037"/>
      <c r="BA913" s="1037"/>
      <c r="BB913" s="1037"/>
      <c r="BC913" s="1037"/>
      <c r="BD913" s="1037"/>
      <c r="BE913" s="1037"/>
      <c r="BF913" s="1037"/>
      <c r="BG913" s="1037"/>
      <c r="BH913" s="1037"/>
      <c r="BI913" s="1037"/>
      <c r="BJ913" s="1037"/>
      <c r="BK913" s="1037"/>
      <c r="BL913" s="1037"/>
    </row>
    <row r="914" spans="1:64">
      <c r="A914" s="1823"/>
      <c r="B914" s="1823"/>
      <c r="C914" s="1849" t="str">
        <f>Input!$C$47</f>
        <v>Add for MA @ 40%</v>
      </c>
      <c r="D914" s="1093">
        <v>0</v>
      </c>
      <c r="E914" s="1093">
        <f>ROUND(E913*Input!$D$47,2)</f>
        <v>24.81</v>
      </c>
      <c r="F914" s="1093">
        <f>ROUND(F913*Input!$D$47,2)</f>
        <v>49.61</v>
      </c>
      <c r="G914" s="1093">
        <f>ROUND(G913*Input!$D$47,2)</f>
        <v>74.42</v>
      </c>
      <c r="H914" s="1093">
        <f>ROUND(H913*Input!$D$47,2)</f>
        <v>99.22</v>
      </c>
      <c r="I914" s="1093">
        <f>ROUND(I913*Input!$D$47,2)</f>
        <v>124.03</v>
      </c>
      <c r="J914" s="1846"/>
      <c r="K914" s="1846"/>
      <c r="L914" s="1846"/>
      <c r="N914" s="1037"/>
      <c r="O914" s="1037"/>
      <c r="P914" s="1037"/>
      <c r="Q914" s="1037"/>
      <c r="R914" s="1037"/>
      <c r="S914" s="1037"/>
      <c r="T914" s="1037"/>
      <c r="U914" s="1037"/>
      <c r="V914" s="1037"/>
      <c r="W914" s="1037"/>
      <c r="X914" s="1037"/>
      <c r="Y914" s="1037"/>
      <c r="Z914" s="1037"/>
      <c r="AA914" s="1037"/>
      <c r="AB914" s="1037"/>
      <c r="AC914" s="1037"/>
      <c r="AD914" s="1037"/>
      <c r="AE914" s="1037"/>
      <c r="AF914" s="1037"/>
      <c r="AG914" s="1037"/>
      <c r="AH914" s="1037"/>
      <c r="AI914" s="1037"/>
      <c r="AJ914" s="1037"/>
      <c r="AK914" s="1037"/>
      <c r="AL914" s="1037"/>
      <c r="AM914" s="1037"/>
      <c r="AN914" s="1037"/>
      <c r="AO914" s="1037"/>
      <c r="AP914" s="1037"/>
      <c r="AQ914" s="1037"/>
      <c r="AR914" s="1037"/>
      <c r="AS914" s="1037"/>
      <c r="AT914" s="1037"/>
      <c r="AU914" s="1037"/>
      <c r="AV914" s="1037"/>
      <c r="AW914" s="1037"/>
      <c r="AX914" s="1037"/>
      <c r="AY914" s="1037"/>
      <c r="AZ914" s="1037"/>
      <c r="BA914" s="1037"/>
      <c r="BB914" s="1037"/>
      <c r="BC914" s="1037"/>
      <c r="BD914" s="1037"/>
      <c r="BE914" s="1037"/>
      <c r="BF914" s="1037"/>
      <c r="BG914" s="1037"/>
      <c r="BH914" s="1037"/>
      <c r="BI914" s="1037"/>
      <c r="BJ914" s="1037"/>
      <c r="BK914" s="1037"/>
      <c r="BL914" s="1037"/>
    </row>
    <row r="915" spans="1:64">
      <c r="A915" s="1823"/>
      <c r="B915" s="1823"/>
      <c r="C915" s="1821" t="s">
        <v>1044</v>
      </c>
      <c r="D915" s="1093">
        <f t="shared" ref="D915:I915" si="161">SUM(D909:D914)</f>
        <v>3139.8839560000006</v>
      </c>
      <c r="E915" s="1093">
        <f t="shared" si="161"/>
        <v>3226.7081560000006</v>
      </c>
      <c r="F915" s="1093">
        <f t="shared" si="161"/>
        <v>3313.5223560000009</v>
      </c>
      <c r="G915" s="1093">
        <f t="shared" si="161"/>
        <v>3400.3465560000009</v>
      </c>
      <c r="H915" s="1093">
        <f t="shared" si="161"/>
        <v>3487.1607560000002</v>
      </c>
      <c r="I915" s="1093">
        <f t="shared" si="161"/>
        <v>3573.9849560000007</v>
      </c>
      <c r="J915" s="1846"/>
      <c r="K915" s="1846"/>
      <c r="L915" s="1846"/>
      <c r="N915" s="1037"/>
      <c r="O915" s="1037"/>
      <c r="P915" s="1037"/>
      <c r="Q915" s="1037"/>
      <c r="R915" s="1037"/>
      <c r="S915" s="1037"/>
      <c r="T915" s="1037"/>
      <c r="U915" s="1037"/>
      <c r="V915" s="1037"/>
      <c r="W915" s="1037"/>
      <c r="X915" s="1037"/>
      <c r="Y915" s="1037"/>
      <c r="Z915" s="1037"/>
      <c r="AA915" s="1037"/>
      <c r="AB915" s="1037"/>
      <c r="AC915" s="1037"/>
      <c r="AD915" s="1037"/>
      <c r="AE915" s="1037"/>
      <c r="AF915" s="1037"/>
      <c r="AG915" s="1037"/>
      <c r="AH915" s="1037"/>
      <c r="AI915" s="1037"/>
      <c r="AJ915" s="1037"/>
      <c r="AK915" s="1037"/>
      <c r="AL915" s="1037"/>
      <c r="AM915" s="1037"/>
      <c r="AN915" s="1037"/>
      <c r="AO915" s="1037"/>
      <c r="AP915" s="1037"/>
      <c r="AQ915" s="1037"/>
      <c r="AR915" s="1037"/>
      <c r="AS915" s="1037"/>
      <c r="AT915" s="1037"/>
      <c r="AU915" s="1037"/>
      <c r="AV915" s="1037"/>
      <c r="AW915" s="1037"/>
      <c r="AX915" s="1037"/>
      <c r="AY915" s="1037"/>
      <c r="AZ915" s="1037"/>
      <c r="BA915" s="1037"/>
      <c r="BB915" s="1037"/>
      <c r="BC915" s="1037"/>
      <c r="BD915" s="1037"/>
      <c r="BE915" s="1037"/>
      <c r="BF915" s="1037"/>
      <c r="BG915" s="1037"/>
      <c r="BH915" s="1037"/>
      <c r="BI915" s="1037"/>
      <c r="BJ915" s="1037"/>
      <c r="BK915" s="1037"/>
      <c r="BL915" s="1037"/>
    </row>
    <row r="916" spans="1:64">
      <c r="A916" s="1823"/>
      <c r="B916" s="1823"/>
      <c r="C916" s="1849" t="str">
        <f>Input!$C$48</f>
        <v>Overheads &amp; Contractors Profit @ 13.615%</v>
      </c>
      <c r="D916" s="1823">
        <f>ROUND(D915*Input!$D$48,2)</f>
        <v>427.5</v>
      </c>
      <c r="E916" s="1823">
        <f>ROUND(E915*Input!$D$48,2)</f>
        <v>439.32</v>
      </c>
      <c r="F916" s="1823">
        <f>ROUND(F915*Input!$D$48,2)</f>
        <v>451.14</v>
      </c>
      <c r="G916" s="1823">
        <f>ROUND(G915*Input!$D$48,2)</f>
        <v>462.96</v>
      </c>
      <c r="H916" s="1823">
        <f>ROUND(H915*Input!$D$48,2)</f>
        <v>474.78</v>
      </c>
      <c r="I916" s="1823">
        <f>ROUND(I915*Input!$D$48,2)</f>
        <v>486.6</v>
      </c>
      <c r="J916" s="1846"/>
      <c r="K916" s="1846"/>
      <c r="L916" s="1846"/>
      <c r="N916" s="1037"/>
      <c r="O916" s="1037"/>
      <c r="P916" s="1037"/>
      <c r="Q916" s="1037"/>
      <c r="R916" s="1037"/>
      <c r="S916" s="1037"/>
      <c r="T916" s="1037"/>
      <c r="U916" s="1037"/>
      <c r="V916" s="1037"/>
      <c r="W916" s="1037"/>
      <c r="X916" s="1037"/>
      <c r="Y916" s="1037"/>
      <c r="Z916" s="1037"/>
      <c r="AA916" s="1037"/>
      <c r="AB916" s="1037"/>
      <c r="AC916" s="1037"/>
      <c r="AD916" s="1037"/>
      <c r="AE916" s="1037"/>
      <c r="AF916" s="1037"/>
      <c r="AG916" s="1037"/>
      <c r="AH916" s="1037"/>
      <c r="AI916" s="1037"/>
      <c r="AJ916" s="1037"/>
      <c r="AK916" s="1037"/>
      <c r="AL916" s="1037"/>
      <c r="AM916" s="1037"/>
      <c r="AN916" s="1037"/>
      <c r="AO916" s="1037"/>
      <c r="AP916" s="1037"/>
      <c r="AQ916" s="1037"/>
      <c r="AR916" s="1037"/>
      <c r="AS916" s="1037"/>
      <c r="AT916" s="1037"/>
      <c r="AU916" s="1037"/>
      <c r="AV916" s="1037"/>
      <c r="AW916" s="1037"/>
      <c r="AX916" s="1037"/>
      <c r="AY916" s="1037"/>
      <c r="AZ916" s="1037"/>
      <c r="BA916" s="1037"/>
      <c r="BB916" s="1037"/>
      <c r="BC916" s="1037"/>
      <c r="BD916" s="1037"/>
      <c r="BE916" s="1037"/>
      <c r="BF916" s="1037"/>
      <c r="BG916" s="1037"/>
      <c r="BH916" s="1037"/>
      <c r="BI916" s="1037"/>
      <c r="BJ916" s="1037"/>
      <c r="BK916" s="1037"/>
      <c r="BL916" s="1037"/>
    </row>
    <row r="917" spans="1:64">
      <c r="A917" s="1023"/>
      <c r="B917" s="1023"/>
      <c r="C917" s="1088" t="s">
        <v>1045</v>
      </c>
      <c r="D917" s="1117">
        <f t="shared" ref="D917:I917" si="162">SUM(D915:D916)</f>
        <v>3567.3839560000006</v>
      </c>
      <c r="E917" s="1117">
        <f t="shared" si="162"/>
        <v>3666.0281560000008</v>
      </c>
      <c r="F917" s="1829">
        <f t="shared" si="162"/>
        <v>3764.6623560000007</v>
      </c>
      <c r="G917" s="1829">
        <f t="shared" si="162"/>
        <v>3863.3065560000009</v>
      </c>
      <c r="H917" s="1829">
        <f t="shared" si="162"/>
        <v>3961.940756</v>
      </c>
      <c r="I917" s="1829">
        <f t="shared" si="162"/>
        <v>4060.5849560000006</v>
      </c>
      <c r="J917" s="1846"/>
      <c r="K917" s="1846"/>
      <c r="L917" s="1846"/>
      <c r="N917" s="997"/>
      <c r="O917" s="997"/>
      <c r="P917" s="997"/>
      <c r="Q917" s="997"/>
      <c r="R917" s="997"/>
      <c r="S917" s="997"/>
      <c r="T917" s="997"/>
      <c r="U917" s="997"/>
      <c r="V917" s="997"/>
      <c r="W917" s="997"/>
      <c r="X917" s="997"/>
      <c r="Y917" s="997"/>
      <c r="Z917" s="997"/>
      <c r="AA917" s="997"/>
      <c r="AB917" s="997"/>
      <c r="AC917" s="997"/>
      <c r="AD917" s="997"/>
      <c r="AE917" s="997"/>
      <c r="AF917" s="997"/>
      <c r="AG917" s="997"/>
      <c r="AH917" s="997"/>
      <c r="AI917" s="997"/>
      <c r="AJ917" s="997"/>
      <c r="AK917" s="997"/>
      <c r="AL917" s="997"/>
      <c r="AM917" s="997"/>
      <c r="AN917" s="997"/>
      <c r="AO917" s="997"/>
      <c r="AP917" s="997"/>
      <c r="AQ917" s="997"/>
      <c r="AR917" s="997"/>
      <c r="AS917" s="997"/>
      <c r="AT917" s="997"/>
      <c r="AU917" s="997"/>
      <c r="AV917" s="997"/>
      <c r="AW917" s="997"/>
      <c r="AX917" s="997"/>
      <c r="AY917" s="997"/>
      <c r="AZ917" s="997"/>
      <c r="BA917" s="997"/>
      <c r="BB917" s="997"/>
      <c r="BC917" s="997"/>
      <c r="BD917" s="997"/>
      <c r="BE917" s="997"/>
      <c r="BF917" s="997"/>
      <c r="BG917" s="997"/>
      <c r="BH917" s="997"/>
      <c r="BI917" s="997"/>
      <c r="BJ917" s="997"/>
      <c r="BK917" s="997"/>
      <c r="BL917" s="997"/>
    </row>
    <row r="918" spans="1:64">
      <c r="A918" s="1023"/>
      <c r="B918" s="1023"/>
      <c r="C918" s="1118" t="s">
        <v>1034</v>
      </c>
      <c r="D918" s="999">
        <f t="shared" ref="D918:I918" si="163">ROUND(D917,0)</f>
        <v>3567</v>
      </c>
      <c r="E918" s="999">
        <f t="shared" si="163"/>
        <v>3666</v>
      </c>
      <c r="F918" s="999">
        <f t="shared" si="163"/>
        <v>3765</v>
      </c>
      <c r="G918" s="999">
        <f t="shared" si="163"/>
        <v>3863</v>
      </c>
      <c r="H918" s="999">
        <f t="shared" si="163"/>
        <v>3962</v>
      </c>
      <c r="I918" s="999">
        <f t="shared" si="163"/>
        <v>4061</v>
      </c>
      <c r="J918" s="1846"/>
      <c r="K918" s="1846"/>
      <c r="L918" s="1846"/>
      <c r="N918" s="997"/>
      <c r="O918" s="997"/>
      <c r="P918" s="997"/>
      <c r="Q918" s="997"/>
      <c r="R918" s="997"/>
      <c r="S918" s="997"/>
      <c r="T918" s="997"/>
      <c r="U918" s="997"/>
      <c r="V918" s="997"/>
      <c r="W918" s="997"/>
      <c r="X918" s="997"/>
      <c r="Y918" s="997"/>
      <c r="Z918" s="997"/>
      <c r="AA918" s="997"/>
      <c r="AB918" s="997"/>
      <c r="AC918" s="997"/>
      <c r="AD918" s="997"/>
      <c r="AE918" s="997"/>
      <c r="AF918" s="997"/>
      <c r="AG918" s="997"/>
      <c r="AH918" s="997"/>
      <c r="AI918" s="997"/>
      <c r="AJ918" s="997"/>
      <c r="AK918" s="997"/>
      <c r="AL918" s="997"/>
      <c r="AM918" s="997"/>
      <c r="AN918" s="997"/>
      <c r="AO918" s="997"/>
      <c r="AP918" s="997"/>
      <c r="AQ918" s="997"/>
      <c r="AR918" s="997"/>
      <c r="AS918" s="997"/>
      <c r="AT918" s="997"/>
      <c r="AU918" s="997"/>
      <c r="AV918" s="997"/>
      <c r="AW918" s="997"/>
      <c r="AX918" s="997"/>
      <c r="AY918" s="997"/>
      <c r="AZ918" s="997"/>
      <c r="BA918" s="997"/>
      <c r="BB918" s="997"/>
      <c r="BC918" s="997"/>
      <c r="BD918" s="997"/>
      <c r="BE918" s="997"/>
      <c r="BF918" s="997"/>
      <c r="BG918" s="997"/>
      <c r="BH918" s="997"/>
      <c r="BI918" s="997"/>
      <c r="BJ918" s="997"/>
      <c r="BK918" s="997"/>
      <c r="BL918" s="997"/>
    </row>
    <row r="919" spans="1:64">
      <c r="A919" s="1023"/>
      <c r="B919" s="1023"/>
      <c r="C919" s="1118"/>
      <c r="D919" s="999"/>
      <c r="E919" s="999"/>
      <c r="F919" s="999"/>
      <c r="G919" s="999"/>
      <c r="H919" s="999"/>
      <c r="I919" s="999"/>
      <c r="J919" s="1846"/>
      <c r="K919" s="1846"/>
      <c r="L919" s="1846"/>
      <c r="N919" s="997"/>
      <c r="O919" s="997"/>
      <c r="P919" s="997"/>
      <c r="Q919" s="997"/>
      <c r="R919" s="997"/>
      <c r="S919" s="997"/>
      <c r="T919" s="997"/>
      <c r="U919" s="997"/>
      <c r="V919" s="997"/>
      <c r="W919" s="997"/>
      <c r="X919" s="997"/>
      <c r="Y919" s="997"/>
      <c r="Z919" s="997"/>
      <c r="AA919" s="997"/>
      <c r="AB919" s="997"/>
      <c r="AC919" s="997"/>
      <c r="AD919" s="997"/>
      <c r="AE919" s="997"/>
      <c r="AF919" s="997"/>
      <c r="AG919" s="997"/>
      <c r="AH919" s="997"/>
      <c r="AI919" s="997"/>
      <c r="AJ919" s="997"/>
      <c r="AK919" s="997"/>
      <c r="AL919" s="997"/>
      <c r="AM919" s="997"/>
      <c r="AN919" s="997"/>
      <c r="AO919" s="997"/>
      <c r="AP919" s="997"/>
      <c r="AQ919" s="997"/>
      <c r="AR919" s="997"/>
      <c r="AS919" s="997"/>
      <c r="AT919" s="997"/>
      <c r="AU919" s="997"/>
      <c r="AV919" s="997"/>
      <c r="AW919" s="997"/>
      <c r="AX919" s="997"/>
      <c r="AY919" s="997"/>
      <c r="AZ919" s="997"/>
      <c r="BA919" s="997"/>
      <c r="BB919" s="997"/>
      <c r="BC919" s="997"/>
      <c r="BD919" s="997"/>
      <c r="BE919" s="997"/>
      <c r="BF919" s="997"/>
      <c r="BG919" s="997"/>
      <c r="BH919" s="997"/>
      <c r="BI919" s="997"/>
      <c r="BJ919" s="997"/>
      <c r="BK919" s="997"/>
      <c r="BL919" s="997"/>
    </row>
    <row r="920" spans="1:64">
      <c r="A920" s="1023"/>
      <c r="B920" s="1023"/>
      <c r="C920" s="1816" t="s">
        <v>1217</v>
      </c>
      <c r="D920" s="1102" t="s">
        <v>1212</v>
      </c>
      <c r="E920" s="1102" t="s">
        <v>1213</v>
      </c>
      <c r="F920" s="1102" t="s">
        <v>1214</v>
      </c>
      <c r="G920" s="999"/>
      <c r="H920" s="999"/>
      <c r="I920" s="999"/>
      <c r="J920" s="1846"/>
      <c r="K920" s="1846"/>
      <c r="L920" s="1846"/>
      <c r="N920" s="997"/>
      <c r="O920" s="997"/>
      <c r="P920" s="997"/>
      <c r="Q920" s="997"/>
      <c r="R920" s="997"/>
      <c r="S920" s="997"/>
      <c r="T920" s="997"/>
      <c r="U920" s="997"/>
      <c r="V920" s="997"/>
      <c r="W920" s="997"/>
      <c r="X920" s="997"/>
      <c r="Y920" s="997"/>
      <c r="Z920" s="997"/>
      <c r="AA920" s="997"/>
      <c r="AB920" s="997"/>
      <c r="AC920" s="997"/>
      <c r="AD920" s="997"/>
      <c r="AE920" s="997"/>
      <c r="AF920" s="997"/>
      <c r="AG920" s="997"/>
      <c r="AH920" s="997"/>
      <c r="AI920" s="997"/>
      <c r="AJ920" s="997"/>
      <c r="AK920" s="997"/>
      <c r="AL920" s="997"/>
      <c r="AM920" s="997"/>
      <c r="AN920" s="997"/>
      <c r="AO920" s="997"/>
      <c r="AP920" s="997"/>
      <c r="AQ920" s="997"/>
      <c r="AR920" s="997"/>
      <c r="AS920" s="997"/>
      <c r="AT920" s="997"/>
      <c r="AU920" s="997"/>
      <c r="AV920" s="997"/>
      <c r="AW920" s="997"/>
      <c r="AX920" s="997"/>
      <c r="AY920" s="997"/>
      <c r="AZ920" s="997"/>
      <c r="BA920" s="997"/>
      <c r="BB920" s="997"/>
      <c r="BC920" s="997"/>
      <c r="BD920" s="997"/>
      <c r="BE920" s="997"/>
      <c r="BF920" s="997"/>
      <c r="BG920" s="997"/>
      <c r="BH920" s="997"/>
      <c r="BI920" s="997"/>
      <c r="BJ920" s="997"/>
      <c r="BK920" s="997"/>
      <c r="BL920" s="997"/>
    </row>
    <row r="921" spans="1:64">
      <c r="A921" s="1023"/>
      <c r="B921" s="1023"/>
      <c r="C921" s="1849" t="s">
        <v>1218</v>
      </c>
      <c r="D921" s="1093">
        <f>$I$905</f>
        <v>1956.8839560000006</v>
      </c>
      <c r="E921" s="1093">
        <f>$I$905</f>
        <v>1956.8839560000006</v>
      </c>
      <c r="F921" s="1093">
        <f>$I$905</f>
        <v>1956.8839560000006</v>
      </c>
      <c r="G921" s="999"/>
      <c r="H921" s="999"/>
      <c r="I921" s="999"/>
      <c r="J921" s="1846"/>
      <c r="K921" s="1846"/>
      <c r="L921" s="1846"/>
      <c r="N921" s="997"/>
      <c r="O921" s="997"/>
      <c r="P921" s="997"/>
      <c r="Q921" s="997"/>
      <c r="R921" s="997"/>
      <c r="S921" s="997"/>
      <c r="T921" s="997"/>
      <c r="U921" s="997"/>
      <c r="V921" s="997"/>
      <c r="W921" s="997"/>
      <c r="X921" s="997"/>
      <c r="Y921" s="997"/>
      <c r="Z921" s="997"/>
      <c r="AA921" s="997"/>
      <c r="AB921" s="997"/>
      <c r="AC921" s="997"/>
      <c r="AD921" s="997"/>
      <c r="AE921" s="997"/>
      <c r="AF921" s="997"/>
      <c r="AG921" s="997"/>
      <c r="AH921" s="997"/>
      <c r="AI921" s="997"/>
      <c r="AJ921" s="997"/>
      <c r="AK921" s="997"/>
      <c r="AL921" s="997"/>
      <c r="AM921" s="997"/>
      <c r="AN921" s="997"/>
      <c r="AO921" s="997"/>
      <c r="AP921" s="997"/>
      <c r="AQ921" s="997"/>
      <c r="AR921" s="997"/>
      <c r="AS921" s="997"/>
      <c r="AT921" s="997"/>
      <c r="AU921" s="997"/>
      <c r="AV921" s="997"/>
      <c r="AW921" s="997"/>
      <c r="AX921" s="997"/>
      <c r="AY921" s="997"/>
      <c r="AZ921" s="997"/>
      <c r="BA921" s="997"/>
      <c r="BB921" s="997"/>
      <c r="BC921" s="997"/>
      <c r="BD921" s="997"/>
      <c r="BE921" s="997"/>
      <c r="BF921" s="997"/>
      <c r="BG921" s="997"/>
      <c r="BH921" s="997"/>
      <c r="BI921" s="997"/>
      <c r="BJ921" s="997"/>
      <c r="BK921" s="997"/>
      <c r="BL921" s="997"/>
    </row>
    <row r="922" spans="1:64">
      <c r="A922" s="1023"/>
      <c r="B922" s="1023"/>
      <c r="C922" s="1849" t="s">
        <v>1182</v>
      </c>
      <c r="D922" s="1093">
        <f>'Civil-SOR'!$F$282</f>
        <v>1183</v>
      </c>
      <c r="E922" s="1093">
        <f>'Civil-SOR'!$F$282</f>
        <v>1183</v>
      </c>
      <c r="F922" s="1093">
        <f>'Civil-SOR'!$F$282</f>
        <v>1183</v>
      </c>
      <c r="G922" s="999"/>
      <c r="H922" s="999"/>
      <c r="I922" s="999"/>
      <c r="J922" s="999"/>
      <c r="K922" s="999"/>
      <c r="L922" s="999"/>
      <c r="M922" s="997"/>
      <c r="N922" s="997"/>
      <c r="O922" s="997"/>
      <c r="P922" s="997"/>
      <c r="Q922" s="997"/>
      <c r="R922" s="997"/>
      <c r="S922" s="997"/>
      <c r="T922" s="997"/>
      <c r="U922" s="997"/>
      <c r="V922" s="997"/>
      <c r="W922" s="997"/>
      <c r="X922" s="997"/>
      <c r="Y922" s="997"/>
      <c r="Z922" s="997"/>
      <c r="AA922" s="997"/>
      <c r="AB922" s="997"/>
      <c r="AC922" s="997"/>
      <c r="AD922" s="997"/>
      <c r="AE922" s="997"/>
      <c r="AF922" s="997"/>
      <c r="AG922" s="997"/>
      <c r="AH922" s="997"/>
      <c r="AI922" s="997"/>
      <c r="AJ922" s="997"/>
      <c r="AK922" s="997"/>
      <c r="AL922" s="997"/>
      <c r="AM922" s="997"/>
      <c r="AN922" s="997"/>
      <c r="AO922" s="997"/>
      <c r="AP922" s="997"/>
      <c r="AQ922" s="997"/>
      <c r="AR922" s="997"/>
      <c r="AS922" s="997"/>
      <c r="AT922" s="997"/>
      <c r="AU922" s="997"/>
      <c r="AV922" s="997"/>
      <c r="AW922" s="997"/>
      <c r="AX922" s="997"/>
      <c r="AY922" s="997"/>
      <c r="AZ922" s="997"/>
      <c r="BA922" s="997"/>
      <c r="BB922" s="997"/>
      <c r="BC922" s="997"/>
      <c r="BD922" s="997"/>
      <c r="BE922" s="997"/>
      <c r="BF922" s="997"/>
      <c r="BG922" s="997"/>
      <c r="BH922" s="997"/>
      <c r="BI922" s="997"/>
      <c r="BJ922" s="997"/>
      <c r="BK922" s="997"/>
      <c r="BL922" s="997"/>
    </row>
    <row r="923" spans="1:64">
      <c r="A923" s="1023"/>
      <c r="B923" s="1023"/>
      <c r="C923" s="1849" t="s">
        <v>453</v>
      </c>
      <c r="D923" s="1093">
        <f>'Civil-SOR'!$J$282</f>
        <v>0</v>
      </c>
      <c r="E923" s="1093">
        <f>'Civil-SOR'!$J$282</f>
        <v>0</v>
      </c>
      <c r="F923" s="1093">
        <f>'Civil-SOR'!$J$282</f>
        <v>0</v>
      </c>
      <c r="G923" s="999"/>
      <c r="H923" s="999"/>
      <c r="I923" s="999"/>
      <c r="J923" s="999"/>
      <c r="K923" s="999"/>
      <c r="L923" s="999"/>
      <c r="M923" s="997"/>
      <c r="N923" s="997"/>
      <c r="O923" s="997"/>
      <c r="P923" s="997"/>
      <c r="Q923" s="997"/>
      <c r="R923" s="997"/>
      <c r="S923" s="997"/>
      <c r="T923" s="997"/>
      <c r="U923" s="997"/>
      <c r="V923" s="997"/>
      <c r="W923" s="997"/>
      <c r="X923" s="997"/>
      <c r="Y923" s="997"/>
      <c r="Z923" s="997"/>
      <c r="AA923" s="997"/>
      <c r="AB923" s="997"/>
      <c r="AC923" s="997"/>
      <c r="AD923" s="997"/>
      <c r="AE923" s="997"/>
      <c r="AF923" s="997"/>
      <c r="AG923" s="997"/>
      <c r="AH923" s="997"/>
      <c r="AI923" s="997"/>
      <c r="AJ923" s="997"/>
      <c r="AK923" s="997"/>
      <c r="AL923" s="997"/>
      <c r="AM923" s="997"/>
      <c r="AN923" s="997"/>
      <c r="AO923" s="997"/>
      <c r="AP923" s="997"/>
      <c r="AQ923" s="997"/>
      <c r="AR923" s="997"/>
      <c r="AS923" s="997"/>
      <c r="AT923" s="997"/>
      <c r="AU923" s="997"/>
      <c r="AV923" s="997"/>
      <c r="AW923" s="997"/>
      <c r="AX923" s="997"/>
      <c r="AY923" s="997"/>
      <c r="AZ923" s="997"/>
      <c r="BA923" s="997"/>
      <c r="BB923" s="997"/>
      <c r="BC923" s="997"/>
      <c r="BD923" s="997"/>
      <c r="BE923" s="997"/>
      <c r="BF923" s="997"/>
      <c r="BG923" s="997"/>
      <c r="BH923" s="997"/>
      <c r="BI923" s="997"/>
      <c r="BJ923" s="997"/>
      <c r="BK923" s="997"/>
      <c r="BL923" s="997"/>
    </row>
    <row r="924" spans="1:64">
      <c r="A924" s="1023"/>
      <c r="B924" s="1023"/>
      <c r="C924" s="1849" t="str">
        <f>Input!$C$47</f>
        <v>Add for MA @ 40%</v>
      </c>
      <c r="D924" s="1093">
        <f>D923*Input!$D$47</f>
        <v>0</v>
      </c>
      <c r="E924" s="1093">
        <f>E923*Input!$D$47</f>
        <v>0</v>
      </c>
      <c r="F924" s="1093">
        <f>F923*Input!$D$47</f>
        <v>0</v>
      </c>
      <c r="G924" s="999"/>
      <c r="H924" s="999"/>
      <c r="I924" s="999"/>
      <c r="J924" s="999"/>
      <c r="K924" s="999"/>
      <c r="L924" s="999"/>
      <c r="M924" s="997"/>
      <c r="N924" s="997"/>
      <c r="O924" s="997"/>
      <c r="P924" s="997"/>
      <c r="Q924" s="997"/>
      <c r="R924" s="997"/>
      <c r="S924" s="997"/>
      <c r="T924" s="997"/>
      <c r="U924" s="997"/>
      <c r="V924" s="997"/>
      <c r="W924" s="997"/>
      <c r="X924" s="997"/>
      <c r="Y924" s="997"/>
      <c r="Z924" s="997"/>
      <c r="AA924" s="997"/>
      <c r="AB924" s="997"/>
      <c r="AC924" s="997"/>
      <c r="AD924" s="997"/>
      <c r="AE924" s="997"/>
      <c r="AF924" s="997"/>
      <c r="AG924" s="997"/>
      <c r="AH924" s="997"/>
      <c r="AI924" s="997"/>
      <c r="AJ924" s="997"/>
      <c r="AK924" s="997"/>
      <c r="AL924" s="997"/>
      <c r="AM924" s="997"/>
      <c r="AN924" s="997"/>
      <c r="AO924" s="997"/>
      <c r="AP924" s="997"/>
      <c r="AQ924" s="997"/>
      <c r="AR924" s="997"/>
      <c r="AS924" s="997"/>
      <c r="AT924" s="997"/>
      <c r="AU924" s="997"/>
      <c r="AV924" s="997"/>
      <c r="AW924" s="997"/>
      <c r="AX924" s="997"/>
      <c r="AY924" s="997"/>
      <c r="AZ924" s="997"/>
      <c r="BA924" s="997"/>
      <c r="BB924" s="997"/>
      <c r="BC924" s="997"/>
      <c r="BD924" s="997"/>
      <c r="BE924" s="997"/>
      <c r="BF924" s="997"/>
      <c r="BG924" s="997"/>
      <c r="BH924" s="997"/>
      <c r="BI924" s="997"/>
      <c r="BJ924" s="997"/>
      <c r="BK924" s="997"/>
      <c r="BL924" s="997"/>
    </row>
    <row r="925" spans="1:64">
      <c r="A925" s="1023"/>
      <c r="B925" s="1023"/>
      <c r="C925" s="1849" t="s">
        <v>1239</v>
      </c>
      <c r="D925" s="1093">
        <f>$F$754*$D$905*60%</f>
        <v>372.08520000000004</v>
      </c>
      <c r="E925" s="1093">
        <f>$F$754*$D$905*70%</f>
        <v>434.0994</v>
      </c>
      <c r="F925" s="1093">
        <f>$F$754*$D$905*80%</f>
        <v>496.11360000000008</v>
      </c>
      <c r="G925" s="999"/>
      <c r="H925" s="999"/>
      <c r="I925" s="999"/>
      <c r="J925" s="999"/>
      <c r="K925" s="999"/>
      <c r="L925" s="999"/>
      <c r="M925" s="997"/>
      <c r="N925" s="997"/>
      <c r="O925" s="997"/>
      <c r="P925" s="997"/>
      <c r="Q925" s="997"/>
      <c r="R925" s="997"/>
      <c r="S925" s="997"/>
      <c r="T925" s="997"/>
      <c r="U925" s="997"/>
      <c r="V925" s="997"/>
      <c r="W925" s="997"/>
      <c r="X925" s="997"/>
      <c r="Y925" s="997"/>
      <c r="Z925" s="997"/>
      <c r="AA925" s="997"/>
      <c r="AB925" s="997"/>
      <c r="AC925" s="997"/>
      <c r="AD925" s="997"/>
      <c r="AE925" s="997"/>
      <c r="AF925" s="997"/>
      <c r="AG925" s="997"/>
      <c r="AH925" s="997"/>
      <c r="AI925" s="997"/>
      <c r="AJ925" s="997"/>
      <c r="AK925" s="997"/>
      <c r="AL925" s="997"/>
      <c r="AM925" s="997"/>
      <c r="AN925" s="997"/>
      <c r="AO925" s="997"/>
      <c r="AP925" s="997"/>
      <c r="AQ925" s="997"/>
      <c r="AR925" s="997"/>
      <c r="AS925" s="997"/>
      <c r="AT925" s="997"/>
      <c r="AU925" s="997"/>
      <c r="AV925" s="997"/>
      <c r="AW925" s="997"/>
      <c r="AX925" s="997"/>
      <c r="AY925" s="997"/>
      <c r="AZ925" s="997"/>
      <c r="BA925" s="997"/>
      <c r="BB925" s="997"/>
      <c r="BC925" s="997"/>
      <c r="BD925" s="997"/>
      <c r="BE925" s="997"/>
      <c r="BF925" s="997"/>
      <c r="BG925" s="997"/>
      <c r="BH925" s="997"/>
      <c r="BI925" s="997"/>
      <c r="BJ925" s="997"/>
      <c r="BK925" s="997"/>
      <c r="BL925" s="997"/>
    </row>
    <row r="926" spans="1:64">
      <c r="A926" s="1023"/>
      <c r="B926" s="1023"/>
      <c r="C926" s="1849" t="str">
        <f>Input!$C$47</f>
        <v>Add for MA @ 40%</v>
      </c>
      <c r="D926" s="1093">
        <f>ROUND(D925*Input!$D$47,2)</f>
        <v>148.83000000000001</v>
      </c>
      <c r="E926" s="1093">
        <f>ROUND(E925*Input!$D$47,2)</f>
        <v>173.64</v>
      </c>
      <c r="F926" s="1093">
        <f>ROUND(F925*Input!$D$47,2)</f>
        <v>198.45</v>
      </c>
      <c r="G926" s="999"/>
      <c r="H926" s="999"/>
      <c r="I926" s="999"/>
      <c r="J926" s="999"/>
      <c r="K926" s="999"/>
      <c r="L926" s="999"/>
      <c r="M926" s="997"/>
      <c r="N926" s="997"/>
      <c r="O926" s="997"/>
      <c r="P926" s="997"/>
      <c r="Q926" s="997"/>
      <c r="R926" s="997"/>
      <c r="S926" s="997"/>
      <c r="T926" s="997"/>
      <c r="U926" s="997"/>
      <c r="V926" s="997"/>
      <c r="W926" s="997"/>
      <c r="X926" s="997"/>
      <c r="Y926" s="997"/>
      <c r="Z926" s="997"/>
      <c r="AA926" s="997"/>
      <c r="AB926" s="997"/>
      <c r="AC926" s="997"/>
      <c r="AD926" s="997"/>
      <c r="AE926" s="997"/>
      <c r="AF926" s="997"/>
      <c r="AG926" s="997"/>
      <c r="AH926" s="997"/>
      <c r="AI926" s="997"/>
      <c r="AJ926" s="997"/>
      <c r="AK926" s="997"/>
      <c r="AL926" s="997"/>
      <c r="AM926" s="997"/>
      <c r="AN926" s="997"/>
      <c r="AO926" s="997"/>
      <c r="AP926" s="997"/>
      <c r="AQ926" s="997"/>
      <c r="AR926" s="997"/>
      <c r="AS926" s="997"/>
      <c r="AT926" s="997"/>
      <c r="AU926" s="997"/>
      <c r="AV926" s="997"/>
      <c r="AW926" s="997"/>
      <c r="AX926" s="997"/>
      <c r="AY926" s="997"/>
      <c r="AZ926" s="997"/>
      <c r="BA926" s="997"/>
      <c r="BB926" s="997"/>
      <c r="BC926" s="997"/>
      <c r="BD926" s="997"/>
      <c r="BE926" s="997"/>
      <c r="BF926" s="997"/>
      <c r="BG926" s="997"/>
      <c r="BH926" s="997"/>
      <c r="BI926" s="997"/>
      <c r="BJ926" s="997"/>
      <c r="BK926" s="997"/>
      <c r="BL926" s="997"/>
    </row>
    <row r="927" spans="1:64">
      <c r="A927" s="1023"/>
      <c r="B927" s="1023"/>
      <c r="C927" s="1821" t="s">
        <v>1044</v>
      </c>
      <c r="D927" s="1093">
        <f>SUM(D921:D926)</f>
        <v>3660.7991560000005</v>
      </c>
      <c r="E927" s="1093">
        <f>SUM(E921:E926)</f>
        <v>3747.6233560000005</v>
      </c>
      <c r="F927" s="1093">
        <f>SUM(F921:F926)</f>
        <v>3834.4475560000005</v>
      </c>
      <c r="G927" s="999"/>
      <c r="H927" s="999"/>
      <c r="I927" s="999"/>
      <c r="J927" s="999"/>
      <c r="K927" s="999"/>
      <c r="L927" s="999"/>
      <c r="M927" s="997"/>
      <c r="N927" s="997"/>
      <c r="O927" s="997"/>
      <c r="P927" s="997"/>
      <c r="Q927" s="997"/>
      <c r="R927" s="997"/>
      <c r="S927" s="997"/>
      <c r="T927" s="997"/>
      <c r="U927" s="997"/>
      <c r="V927" s="997"/>
      <c r="W927" s="997"/>
      <c r="X927" s="997"/>
      <c r="Y927" s="997"/>
      <c r="Z927" s="997"/>
      <c r="AA927" s="997"/>
      <c r="AB927" s="997"/>
      <c r="AC927" s="997"/>
      <c r="AD927" s="997"/>
      <c r="AE927" s="997"/>
      <c r="AF927" s="997"/>
      <c r="AG927" s="997"/>
      <c r="AH927" s="997"/>
      <c r="AI927" s="997"/>
      <c r="AJ927" s="997"/>
      <c r="AK927" s="997"/>
      <c r="AL927" s="997"/>
      <c r="AM927" s="997"/>
      <c r="AN927" s="997"/>
      <c r="AO927" s="997"/>
      <c r="AP927" s="997"/>
      <c r="AQ927" s="997"/>
      <c r="AR927" s="997"/>
      <c r="AS927" s="997"/>
      <c r="AT927" s="997"/>
      <c r="AU927" s="997"/>
      <c r="AV927" s="997"/>
      <c r="AW927" s="997"/>
      <c r="AX927" s="997"/>
      <c r="AY927" s="997"/>
      <c r="AZ927" s="997"/>
      <c r="BA927" s="997"/>
      <c r="BB927" s="997"/>
      <c r="BC927" s="997"/>
      <c r="BD927" s="997"/>
      <c r="BE927" s="997"/>
      <c r="BF927" s="997"/>
      <c r="BG927" s="997"/>
      <c r="BH927" s="997"/>
      <c r="BI927" s="997"/>
      <c r="BJ927" s="997"/>
      <c r="BK927" s="997"/>
      <c r="BL927" s="997"/>
    </row>
    <row r="928" spans="1:64">
      <c r="A928" s="1023"/>
      <c r="B928" s="1023"/>
      <c r="C928" s="1849" t="str">
        <f>Input!$C$48</f>
        <v>Overheads &amp; Contractors Profit @ 13.615%</v>
      </c>
      <c r="D928" s="1823">
        <f>ROUND(D927*Input!$D$48,2)</f>
        <v>498.42</v>
      </c>
      <c r="E928" s="1823">
        <f>ROUND(E927*Input!$D$48,2)</f>
        <v>510.24</v>
      </c>
      <c r="F928" s="1823">
        <f>ROUND(F927*Input!$D$48,2)</f>
        <v>522.05999999999995</v>
      </c>
      <c r="G928" s="999"/>
      <c r="H928" s="999"/>
      <c r="I928" s="999"/>
      <c r="J928" s="999"/>
      <c r="K928" s="999"/>
      <c r="L928" s="999"/>
      <c r="M928" s="997"/>
      <c r="N928" s="997"/>
      <c r="O928" s="997"/>
      <c r="P928" s="997"/>
      <c r="Q928" s="997"/>
      <c r="R928" s="997"/>
      <c r="S928" s="997"/>
      <c r="T928" s="997"/>
      <c r="U928" s="997"/>
      <c r="V928" s="997"/>
      <c r="W928" s="997"/>
      <c r="X928" s="997"/>
      <c r="Y928" s="997"/>
      <c r="Z928" s="997"/>
      <c r="AA928" s="997"/>
      <c r="AB928" s="997"/>
      <c r="AC928" s="997"/>
      <c r="AD928" s="997"/>
      <c r="AE928" s="997"/>
      <c r="AF928" s="997"/>
      <c r="AG928" s="997"/>
      <c r="AH928" s="997"/>
      <c r="AI928" s="997"/>
      <c r="AJ928" s="997"/>
      <c r="AK928" s="997"/>
      <c r="AL928" s="997"/>
      <c r="AM928" s="997"/>
      <c r="AN928" s="997"/>
      <c r="AO928" s="997"/>
      <c r="AP928" s="997"/>
      <c r="AQ928" s="997"/>
      <c r="AR928" s="997"/>
      <c r="AS928" s="997"/>
      <c r="AT928" s="997"/>
      <c r="AU928" s="997"/>
      <c r="AV928" s="997"/>
      <c r="AW928" s="997"/>
      <c r="AX928" s="997"/>
      <c r="AY928" s="997"/>
      <c r="AZ928" s="997"/>
      <c r="BA928" s="997"/>
      <c r="BB928" s="997"/>
      <c r="BC928" s="997"/>
      <c r="BD928" s="997"/>
      <c r="BE928" s="997"/>
      <c r="BF928" s="997"/>
      <c r="BG928" s="997"/>
      <c r="BH928" s="997"/>
      <c r="BI928" s="997"/>
      <c r="BJ928" s="997"/>
      <c r="BK928" s="997"/>
      <c r="BL928" s="997"/>
    </row>
    <row r="929" spans="1:64">
      <c r="A929" s="1023"/>
      <c r="B929" s="1023"/>
      <c r="C929" s="1816" t="s">
        <v>1045</v>
      </c>
      <c r="D929" s="1829">
        <f>SUM(D927:D928)</f>
        <v>4159.2191560000001</v>
      </c>
      <c r="E929" s="1829">
        <f>SUM(E927:E928)</f>
        <v>4257.8633560000007</v>
      </c>
      <c r="F929" s="1829">
        <f>SUM(F927:F928)</f>
        <v>4356.5075560000005</v>
      </c>
      <c r="G929" s="999"/>
      <c r="H929" s="999"/>
      <c r="I929" s="999"/>
      <c r="J929" s="999"/>
      <c r="K929" s="999"/>
      <c r="L929" s="999"/>
      <c r="M929" s="997"/>
      <c r="N929" s="997"/>
      <c r="O929" s="997"/>
      <c r="P929" s="997"/>
      <c r="Q929" s="997"/>
      <c r="R929" s="997"/>
      <c r="S929" s="997"/>
      <c r="T929" s="997"/>
      <c r="U929" s="997"/>
      <c r="V929" s="997"/>
      <c r="W929" s="997"/>
      <c r="X929" s="997"/>
      <c r="Y929" s="997"/>
      <c r="Z929" s="997"/>
      <c r="AA929" s="997"/>
      <c r="AB929" s="997"/>
      <c r="AC929" s="997"/>
      <c r="AD929" s="997"/>
      <c r="AE929" s="997"/>
      <c r="AF929" s="997"/>
      <c r="AG929" s="997"/>
      <c r="AH929" s="997"/>
      <c r="AI929" s="997"/>
      <c r="AJ929" s="997"/>
      <c r="AK929" s="997"/>
      <c r="AL929" s="997"/>
      <c r="AM929" s="997"/>
      <c r="AN929" s="997"/>
      <c r="AO929" s="997"/>
      <c r="AP929" s="997"/>
      <c r="AQ929" s="997"/>
      <c r="AR929" s="997"/>
      <c r="AS929" s="997"/>
      <c r="AT929" s="997"/>
      <c r="AU929" s="997"/>
      <c r="AV929" s="997"/>
      <c r="AW929" s="997"/>
      <c r="AX929" s="997"/>
      <c r="AY929" s="997"/>
      <c r="AZ929" s="997"/>
      <c r="BA929" s="997"/>
      <c r="BB929" s="997"/>
      <c r="BC929" s="997"/>
      <c r="BD929" s="997"/>
      <c r="BE929" s="997"/>
      <c r="BF929" s="997"/>
      <c r="BG929" s="997"/>
      <c r="BH929" s="997"/>
      <c r="BI929" s="997"/>
      <c r="BJ929" s="997"/>
      <c r="BK929" s="997"/>
      <c r="BL929" s="997"/>
    </row>
    <row r="930" spans="1:64">
      <c r="A930" s="1023"/>
      <c r="B930" s="1023"/>
      <c r="C930" s="1843" t="s">
        <v>1034</v>
      </c>
      <c r="D930" s="999">
        <f>ROUND(D929,0)</f>
        <v>4159</v>
      </c>
      <c r="E930" s="999">
        <f>ROUND(E929,0)</f>
        <v>4258</v>
      </c>
      <c r="F930" s="999">
        <f>ROUND(F929,0)</f>
        <v>4357</v>
      </c>
      <c r="G930" s="999"/>
      <c r="H930" s="999"/>
      <c r="I930" s="999"/>
      <c r="J930" s="999"/>
      <c r="K930" s="999"/>
      <c r="L930" s="999"/>
      <c r="M930" s="997"/>
      <c r="N930" s="997"/>
      <c r="O930" s="997"/>
      <c r="P930" s="997"/>
      <c r="Q930" s="997"/>
      <c r="R930" s="997"/>
      <c r="S930" s="997"/>
      <c r="T930" s="997"/>
      <c r="U930" s="997"/>
      <c r="V930" s="997"/>
      <c r="W930" s="997"/>
      <c r="X930" s="997"/>
      <c r="Y930" s="997"/>
      <c r="Z930" s="997"/>
      <c r="AA930" s="997"/>
      <c r="AB930" s="997"/>
      <c r="AC930" s="997"/>
      <c r="AD930" s="997"/>
      <c r="AE930" s="997"/>
      <c r="AF930" s="997"/>
      <c r="AG930" s="997"/>
      <c r="AH930" s="997"/>
      <c r="AI930" s="997"/>
      <c r="AJ930" s="997"/>
      <c r="AK930" s="997"/>
      <c r="AL930" s="997"/>
      <c r="AM930" s="997"/>
      <c r="AN930" s="997"/>
      <c r="AO930" s="997"/>
      <c r="AP930" s="997"/>
      <c r="AQ930" s="997"/>
      <c r="AR930" s="997"/>
      <c r="AS930" s="997"/>
      <c r="AT930" s="997"/>
      <c r="AU930" s="997"/>
      <c r="AV930" s="997"/>
      <c r="AW930" s="997"/>
      <c r="AX930" s="997"/>
      <c r="AY930" s="997"/>
      <c r="AZ930" s="997"/>
      <c r="BA930" s="997"/>
      <c r="BB930" s="997"/>
      <c r="BC930" s="997"/>
      <c r="BD930" s="997"/>
      <c r="BE930" s="997"/>
      <c r="BF930" s="997"/>
      <c r="BG930" s="997"/>
      <c r="BH930" s="997"/>
      <c r="BI930" s="997"/>
      <c r="BJ930" s="997"/>
      <c r="BK930" s="997"/>
      <c r="BL930" s="997"/>
    </row>
    <row r="931" spans="1:64">
      <c r="A931" s="1023"/>
      <c r="B931" s="1023"/>
      <c r="C931" s="1118"/>
      <c r="D931" s="999"/>
      <c r="E931" s="999"/>
      <c r="F931" s="999"/>
      <c r="G931" s="999"/>
      <c r="H931" s="999"/>
      <c r="I931" s="999"/>
      <c r="J931" s="999"/>
      <c r="K931" s="999"/>
      <c r="L931" s="999"/>
      <c r="M931" s="997"/>
      <c r="N931" s="997"/>
      <c r="O931" s="997"/>
      <c r="P931" s="997"/>
      <c r="Q931" s="997"/>
      <c r="R931" s="997"/>
      <c r="S931" s="997"/>
      <c r="T931" s="997"/>
      <c r="U931" s="997"/>
      <c r="V931" s="997"/>
      <c r="W931" s="997"/>
      <c r="X931" s="997"/>
      <c r="Y931" s="997"/>
      <c r="Z931" s="997"/>
      <c r="AA931" s="997"/>
      <c r="AB931" s="997"/>
      <c r="AC931" s="997"/>
      <c r="AD931" s="997"/>
      <c r="AE931" s="997"/>
      <c r="AF931" s="997"/>
      <c r="AG931" s="997"/>
      <c r="AH931" s="997"/>
      <c r="AI931" s="997"/>
      <c r="AJ931" s="997"/>
      <c r="AK931" s="997"/>
      <c r="AL931" s="997"/>
      <c r="AM931" s="997"/>
      <c r="AN931" s="997"/>
      <c r="AO931" s="997"/>
      <c r="AP931" s="997"/>
      <c r="AQ931" s="997"/>
      <c r="AR931" s="997"/>
      <c r="AS931" s="997"/>
      <c r="AT931" s="997"/>
      <c r="AU931" s="997"/>
      <c r="AV931" s="997"/>
      <c r="AW931" s="997"/>
      <c r="AX931" s="997"/>
      <c r="AY931" s="997"/>
      <c r="AZ931" s="997"/>
      <c r="BA931" s="997"/>
      <c r="BB931" s="997"/>
      <c r="BC931" s="997"/>
      <c r="BD931" s="997"/>
      <c r="BE931" s="997"/>
      <c r="BF931" s="997"/>
      <c r="BG931" s="997"/>
      <c r="BH931" s="997"/>
      <c r="BI931" s="997"/>
      <c r="BJ931" s="997"/>
      <c r="BK931" s="997"/>
      <c r="BL931" s="997"/>
    </row>
    <row r="932" spans="1:64">
      <c r="A932" s="1823"/>
      <c r="B932" s="1098" t="s">
        <v>1221</v>
      </c>
      <c r="C932" s="1116" t="s">
        <v>1222</v>
      </c>
      <c r="D932" s="1114"/>
      <c r="E932" s="1114"/>
      <c r="F932" s="1114"/>
      <c r="G932" s="1114"/>
      <c r="H932" s="1114"/>
      <c r="I932" s="1011"/>
      <c r="J932" s="1114"/>
      <c r="K932" s="1114"/>
      <c r="L932" s="1011"/>
    </row>
    <row r="933" spans="1:64">
      <c r="A933" s="1823"/>
      <c r="B933" s="1068"/>
      <c r="C933" s="1816" t="s">
        <v>1217</v>
      </c>
      <c r="D933" s="1009" t="s">
        <v>1223</v>
      </c>
      <c r="E933" s="1098" t="s">
        <v>1207</v>
      </c>
      <c r="F933" s="1102" t="s">
        <v>1208</v>
      </c>
      <c r="G933" s="1102" t="s">
        <v>1209</v>
      </c>
      <c r="H933" s="1102" t="s">
        <v>1210</v>
      </c>
      <c r="I933" s="1102" t="s">
        <v>1211</v>
      </c>
      <c r="J933" s="1102"/>
      <c r="K933" s="1102" t="s">
        <v>1213</v>
      </c>
      <c r="L933" s="1102" t="s">
        <v>1214</v>
      </c>
    </row>
    <row r="934" spans="1:64">
      <c r="A934" s="1847"/>
      <c r="B934" s="1847"/>
      <c r="C934" s="1817" t="s">
        <v>1218</v>
      </c>
      <c r="D934" s="1848">
        <f t="shared" ref="D934:L934" si="164">$I$905</f>
        <v>1956.8839560000006</v>
      </c>
      <c r="E934" s="1848">
        <f t="shared" si="164"/>
        <v>1956.8839560000006</v>
      </c>
      <c r="F934" s="1848">
        <f t="shared" si="164"/>
        <v>1956.8839560000006</v>
      </c>
      <c r="G934" s="1848">
        <f t="shared" si="164"/>
        <v>1956.8839560000006</v>
      </c>
      <c r="H934" s="1848">
        <f t="shared" si="164"/>
        <v>1956.8839560000006</v>
      </c>
      <c r="I934" s="1848">
        <f t="shared" si="164"/>
        <v>1956.8839560000006</v>
      </c>
      <c r="J934" s="1848"/>
      <c r="K934" s="1848">
        <f t="shared" si="164"/>
        <v>1956.8839560000006</v>
      </c>
      <c r="L934" s="1848">
        <f t="shared" si="164"/>
        <v>1956.8839560000006</v>
      </c>
      <c r="M934" s="1066"/>
      <c r="N934" s="1066"/>
      <c r="O934" s="1066"/>
      <c r="P934" s="1066"/>
      <c r="Q934" s="1066"/>
      <c r="R934" s="1066"/>
      <c r="S934" s="1066"/>
      <c r="T934" s="1066"/>
      <c r="U934" s="1066"/>
      <c r="V934" s="1066"/>
      <c r="W934" s="1066"/>
      <c r="X934" s="1066"/>
      <c r="Y934" s="1066"/>
      <c r="Z934" s="1066"/>
      <c r="AA934" s="1066"/>
      <c r="AB934" s="1066"/>
      <c r="AC934" s="1066"/>
      <c r="AD934" s="1066"/>
      <c r="AE934" s="1066"/>
      <c r="AF934" s="1066"/>
      <c r="AG934" s="1066"/>
      <c r="AH934" s="1066"/>
      <c r="AI934" s="1066"/>
      <c r="AJ934" s="1066"/>
      <c r="AK934" s="1066"/>
      <c r="AL934" s="1066"/>
      <c r="AM934" s="1066"/>
      <c r="AN934" s="1066"/>
      <c r="AO934" s="1066"/>
      <c r="AP934" s="1066"/>
      <c r="AQ934" s="1066"/>
      <c r="AR934" s="1066"/>
      <c r="AS934" s="1066"/>
      <c r="AT934" s="1066"/>
      <c r="AU934" s="1066"/>
      <c r="AV934" s="1066"/>
      <c r="AW934" s="1066"/>
      <c r="AX934" s="1066"/>
      <c r="AY934" s="1066"/>
      <c r="AZ934" s="1066"/>
      <c r="BA934" s="1066"/>
      <c r="BB934" s="1066"/>
      <c r="BC934" s="1066"/>
      <c r="BD934" s="1066"/>
      <c r="BE934" s="1066"/>
      <c r="BF934" s="1066"/>
      <c r="BG934" s="1066"/>
      <c r="BH934" s="1066"/>
      <c r="BI934" s="1066"/>
      <c r="BJ934" s="1066"/>
      <c r="BK934" s="1066"/>
      <c r="BL934" s="1066"/>
    </row>
    <row r="935" spans="1:64">
      <c r="A935" s="1847"/>
      <c r="B935" s="1847"/>
      <c r="C935" s="1817" t="s">
        <v>1240</v>
      </c>
      <c r="D935" s="1848">
        <f>'Civil-SOR'!$F$282</f>
        <v>1183</v>
      </c>
      <c r="E935" s="1848">
        <f>'Civil-SOR'!$F$282</f>
        <v>1183</v>
      </c>
      <c r="F935" s="1848">
        <f>'Civil-SOR'!$F$282</f>
        <v>1183</v>
      </c>
      <c r="G935" s="1848">
        <f>'Civil-SOR'!$F$282</f>
        <v>1183</v>
      </c>
      <c r="H935" s="1848">
        <f>'Civil-SOR'!$F$282</f>
        <v>1183</v>
      </c>
      <c r="I935" s="1848">
        <f>'Civil-SOR'!$F$282</f>
        <v>1183</v>
      </c>
      <c r="J935" s="1848"/>
      <c r="K935" s="1848">
        <f>'Civil-SOR'!$F$282</f>
        <v>1183</v>
      </c>
      <c r="L935" s="1848">
        <f>'Civil-SOR'!$F$282</f>
        <v>1183</v>
      </c>
      <c r="M935" s="1066"/>
      <c r="N935" s="1066"/>
      <c r="O935" s="1066"/>
      <c r="P935" s="1066"/>
      <c r="Q935" s="1066"/>
      <c r="R935" s="1066"/>
      <c r="S935" s="1066"/>
      <c r="T935" s="1066"/>
      <c r="U935" s="1066"/>
      <c r="V935" s="1066"/>
      <c r="W935" s="1066"/>
      <c r="X935" s="1066"/>
      <c r="Y935" s="1066"/>
      <c r="Z935" s="1066"/>
      <c r="AA935" s="1066"/>
      <c r="AB935" s="1066"/>
      <c r="AC935" s="1066"/>
      <c r="AD935" s="1066"/>
      <c r="AE935" s="1066"/>
      <c r="AF935" s="1066"/>
      <c r="AG935" s="1066"/>
      <c r="AH935" s="1066"/>
      <c r="AI935" s="1066"/>
      <c r="AJ935" s="1066"/>
      <c r="AK935" s="1066"/>
      <c r="AL935" s="1066"/>
      <c r="AM935" s="1066"/>
      <c r="AN935" s="1066"/>
      <c r="AO935" s="1066"/>
      <c r="AP935" s="1066"/>
      <c r="AQ935" s="1066"/>
      <c r="AR935" s="1066"/>
      <c r="AS935" s="1066"/>
      <c r="AT935" s="1066"/>
      <c r="AU935" s="1066"/>
      <c r="AV935" s="1066"/>
      <c r="AW935" s="1066"/>
      <c r="AX935" s="1066"/>
      <c r="AY935" s="1066"/>
      <c r="AZ935" s="1066"/>
      <c r="BA935" s="1066"/>
      <c r="BB935" s="1066"/>
      <c r="BC935" s="1066"/>
      <c r="BD935" s="1066"/>
      <c r="BE935" s="1066"/>
      <c r="BF935" s="1066"/>
      <c r="BG935" s="1066"/>
      <c r="BH935" s="1066"/>
      <c r="BI935" s="1066"/>
      <c r="BJ935" s="1066"/>
      <c r="BK935" s="1066"/>
      <c r="BL935" s="1066"/>
    </row>
    <row r="936" spans="1:64">
      <c r="A936" s="1847"/>
      <c r="B936" s="1847"/>
      <c r="C936" s="1817" t="s">
        <v>453</v>
      </c>
      <c r="D936" s="1848">
        <f>'Civil-SOR'!$H$282</f>
        <v>0</v>
      </c>
      <c r="E936" s="1848">
        <f>'Civil-SOR'!$I$282</f>
        <v>0</v>
      </c>
      <c r="F936" s="1848">
        <f>'Civil-SOR'!$J$282</f>
        <v>0</v>
      </c>
      <c r="G936" s="1848">
        <f>'Civil-SOR'!$K$282</f>
        <v>0</v>
      </c>
      <c r="H936" s="1848">
        <f>'Civil-SOR'!$M$282</f>
        <v>0</v>
      </c>
      <c r="I936" s="1848">
        <f>'Civil-SOR'!$M$282</f>
        <v>0</v>
      </c>
      <c r="J936" s="1848"/>
      <c r="K936" s="1848">
        <f>'Civil-SOR'!$M$282</f>
        <v>0</v>
      </c>
      <c r="L936" s="1848">
        <f>'Civil-SOR'!$M$282</f>
        <v>0</v>
      </c>
      <c r="M936" s="1066"/>
      <c r="N936" s="1066"/>
      <c r="O936" s="1066"/>
      <c r="P936" s="1066"/>
      <c r="Q936" s="1066"/>
      <c r="R936" s="1066"/>
      <c r="S936" s="1066"/>
      <c r="T936" s="1066"/>
      <c r="U936" s="1066"/>
      <c r="V936" s="1066"/>
      <c r="W936" s="1066"/>
      <c r="X936" s="1066"/>
      <c r="Y936" s="1066"/>
      <c r="Z936" s="1066"/>
      <c r="AA936" s="1066"/>
      <c r="AB936" s="1066"/>
      <c r="AC936" s="1066"/>
      <c r="AD936" s="1066"/>
      <c r="AE936" s="1066"/>
      <c r="AF936" s="1066"/>
      <c r="AG936" s="1066"/>
      <c r="AH936" s="1066"/>
      <c r="AI936" s="1066"/>
      <c r="AJ936" s="1066"/>
      <c r="AK936" s="1066"/>
      <c r="AL936" s="1066"/>
      <c r="AM936" s="1066"/>
      <c r="AN936" s="1066"/>
      <c r="AO936" s="1066"/>
      <c r="AP936" s="1066"/>
      <c r="AQ936" s="1066"/>
      <c r="AR936" s="1066"/>
      <c r="AS936" s="1066"/>
      <c r="AT936" s="1066"/>
      <c r="AU936" s="1066"/>
      <c r="AV936" s="1066"/>
      <c r="AW936" s="1066"/>
      <c r="AX936" s="1066"/>
      <c r="AY936" s="1066"/>
      <c r="AZ936" s="1066"/>
      <c r="BA936" s="1066"/>
      <c r="BB936" s="1066"/>
      <c r="BC936" s="1066"/>
      <c r="BD936" s="1066"/>
      <c r="BE936" s="1066"/>
      <c r="BF936" s="1066"/>
      <c r="BG936" s="1066"/>
      <c r="BH936" s="1066"/>
      <c r="BI936" s="1066"/>
      <c r="BJ936" s="1066"/>
      <c r="BK936" s="1066"/>
      <c r="BL936" s="1066"/>
    </row>
    <row r="937" spans="1:64">
      <c r="A937" s="1847"/>
      <c r="B937" s="1847"/>
      <c r="C937" s="1817" t="str">
        <f>Input!$C$47</f>
        <v>Add for MA @ 40%</v>
      </c>
      <c r="D937" s="1848">
        <f>D936*Input!$D$47</f>
        <v>0</v>
      </c>
      <c r="E937" s="1848">
        <f>E936*Input!$D$47</f>
        <v>0</v>
      </c>
      <c r="F937" s="1848">
        <f>F936*Input!$D$47</f>
        <v>0</v>
      </c>
      <c r="G937" s="1848">
        <f>G936*Input!$D$47</f>
        <v>0</v>
      </c>
      <c r="H937" s="1848">
        <f>H936*Input!$D$47</f>
        <v>0</v>
      </c>
      <c r="I937" s="1848">
        <f>I936*Input!$D$47</f>
        <v>0</v>
      </c>
      <c r="J937" s="1848"/>
      <c r="K937" s="1848">
        <f>K936*Input!$D$47</f>
        <v>0</v>
      </c>
      <c r="L937" s="1848">
        <f>L936*Input!$D$47</f>
        <v>0</v>
      </c>
      <c r="M937" s="1066"/>
      <c r="N937" s="1066"/>
      <c r="O937" s="1066"/>
      <c r="P937" s="1066"/>
      <c r="Q937" s="1066"/>
      <c r="R937" s="1066"/>
      <c r="S937" s="1066"/>
      <c r="T937" s="1066"/>
      <c r="U937" s="1066"/>
      <c r="V937" s="1066"/>
      <c r="W937" s="1066"/>
      <c r="X937" s="1066"/>
      <c r="Y937" s="1066"/>
      <c r="Z937" s="1066"/>
      <c r="AA937" s="1066"/>
      <c r="AB937" s="1066"/>
      <c r="AC937" s="1066"/>
      <c r="AD937" s="1066"/>
      <c r="AE937" s="1066"/>
      <c r="AF937" s="1066"/>
      <c r="AG937" s="1066"/>
      <c r="AH937" s="1066"/>
      <c r="AI937" s="1066"/>
      <c r="AJ937" s="1066"/>
      <c r="AK937" s="1066"/>
      <c r="AL937" s="1066"/>
      <c r="AM937" s="1066"/>
      <c r="AN937" s="1066"/>
      <c r="AO937" s="1066"/>
      <c r="AP937" s="1066"/>
      <c r="AQ937" s="1066"/>
      <c r="AR937" s="1066"/>
      <c r="AS937" s="1066"/>
      <c r="AT937" s="1066"/>
      <c r="AU937" s="1066"/>
      <c r="AV937" s="1066"/>
      <c r="AW937" s="1066"/>
      <c r="AX937" s="1066"/>
      <c r="AY937" s="1066"/>
      <c r="AZ937" s="1066"/>
      <c r="BA937" s="1066"/>
      <c r="BB937" s="1066"/>
      <c r="BC937" s="1066"/>
      <c r="BD937" s="1066"/>
      <c r="BE937" s="1066"/>
      <c r="BF937" s="1066"/>
      <c r="BG937" s="1066"/>
      <c r="BH937" s="1066"/>
      <c r="BI937" s="1066"/>
      <c r="BJ937" s="1066"/>
      <c r="BK937" s="1066"/>
      <c r="BL937" s="1066"/>
    </row>
    <row r="938" spans="1:64" ht="25.5">
      <c r="A938" s="1847"/>
      <c r="B938" s="1847"/>
      <c r="C938" s="1817" t="s">
        <v>1241</v>
      </c>
      <c r="D938" s="1848">
        <v>0</v>
      </c>
      <c r="E938" s="1848">
        <f>1.333*D905*'Civil-SOR'!G334</f>
        <v>100.96142000000002</v>
      </c>
      <c r="F938" s="1848">
        <f t="shared" ref="F938:F939" si="165">E938*1.1</f>
        <v>111.05756200000003</v>
      </c>
      <c r="G938" s="1848">
        <f t="shared" ref="G938:G939" si="166">E938*1.2</f>
        <v>121.15370400000002</v>
      </c>
      <c r="H938" s="1848">
        <f t="shared" ref="H938:H939" si="167">E938*1.3</f>
        <v>131.24984600000002</v>
      </c>
      <c r="I938" s="1848">
        <f t="shared" ref="I938:I939" si="168">E938*1.4</f>
        <v>141.34598800000001</v>
      </c>
      <c r="J938" s="1848"/>
      <c r="K938" s="1848">
        <f t="shared" ref="K938:K939" si="169">E938*1.6</f>
        <v>161.53827200000003</v>
      </c>
      <c r="L938" s="1848">
        <f t="shared" ref="L938:L939" si="170">E938*1.7</f>
        <v>171.63441400000002</v>
      </c>
      <c r="M938" s="1066"/>
      <c r="N938" s="1066"/>
      <c r="O938" s="1066"/>
      <c r="P938" s="1066"/>
      <c r="Q938" s="1066"/>
      <c r="R938" s="1066"/>
      <c r="S938" s="1066"/>
      <c r="T938" s="1066"/>
      <c r="U938" s="1066"/>
      <c r="V938" s="1066"/>
      <c r="W938" s="1066"/>
      <c r="X938" s="1066"/>
      <c r="Y938" s="1066"/>
      <c r="Z938" s="1066"/>
      <c r="AA938" s="1066"/>
      <c r="AB938" s="1066"/>
      <c r="AC938" s="1066"/>
      <c r="AD938" s="1066"/>
      <c r="AE938" s="1066"/>
      <c r="AF938" s="1066"/>
      <c r="AG938" s="1066"/>
      <c r="AH938" s="1066"/>
      <c r="AI938" s="1066"/>
      <c r="AJ938" s="1066"/>
      <c r="AK938" s="1066"/>
      <c r="AL938" s="1066"/>
      <c r="AM938" s="1066"/>
      <c r="AN938" s="1066"/>
      <c r="AO938" s="1066"/>
      <c r="AP938" s="1066"/>
      <c r="AQ938" s="1066"/>
      <c r="AR938" s="1066"/>
      <c r="AS938" s="1066"/>
      <c r="AT938" s="1066"/>
      <c r="AU938" s="1066"/>
      <c r="AV938" s="1066"/>
      <c r="AW938" s="1066"/>
      <c r="AX938" s="1066"/>
      <c r="AY938" s="1066"/>
      <c r="AZ938" s="1066"/>
      <c r="BA938" s="1066"/>
      <c r="BB938" s="1066"/>
      <c r="BC938" s="1066"/>
      <c r="BD938" s="1066"/>
      <c r="BE938" s="1066"/>
      <c r="BF938" s="1066"/>
      <c r="BG938" s="1066"/>
      <c r="BH938" s="1066"/>
      <c r="BI938" s="1066"/>
      <c r="BJ938" s="1066"/>
      <c r="BK938" s="1066"/>
      <c r="BL938" s="1066"/>
    </row>
    <row r="939" spans="1:64">
      <c r="A939" s="1847"/>
      <c r="B939" s="1847"/>
      <c r="C939" s="1817" t="s">
        <v>579</v>
      </c>
      <c r="D939" s="1848"/>
      <c r="E939" s="1848">
        <f>1.333*D905*'Civil-SOR'!J334</f>
        <v>96.082639999999998</v>
      </c>
      <c r="F939" s="1848">
        <f t="shared" si="165"/>
        <v>105.690904</v>
      </c>
      <c r="G939" s="1848">
        <f t="shared" si="166"/>
        <v>115.29916799999999</v>
      </c>
      <c r="H939" s="1848">
        <f t="shared" si="167"/>
        <v>124.907432</v>
      </c>
      <c r="I939" s="1848">
        <f t="shared" si="168"/>
        <v>134.51569599999999</v>
      </c>
      <c r="J939" s="1848"/>
      <c r="K939" s="1848">
        <f t="shared" si="169"/>
        <v>153.732224</v>
      </c>
      <c r="L939" s="1848">
        <f t="shared" si="170"/>
        <v>163.34048799999999</v>
      </c>
      <c r="M939" s="1066"/>
      <c r="N939" s="1066"/>
      <c r="O939" s="1066"/>
      <c r="P939" s="1066"/>
      <c r="Q939" s="1066"/>
      <c r="R939" s="1066"/>
      <c r="S939" s="1066"/>
      <c r="T939" s="1066"/>
      <c r="U939" s="1066"/>
      <c r="V939" s="1066"/>
      <c r="W939" s="1066"/>
      <c r="X939" s="1066"/>
      <c r="Y939" s="1066"/>
      <c r="Z939" s="1066"/>
      <c r="AA939" s="1066"/>
      <c r="AB939" s="1066"/>
      <c r="AC939" s="1066"/>
      <c r="AD939" s="1066"/>
      <c r="AE939" s="1066"/>
      <c r="AF939" s="1066"/>
      <c r="AG939" s="1066"/>
      <c r="AH939" s="1066"/>
      <c r="AI939" s="1066"/>
      <c r="AJ939" s="1066"/>
      <c r="AK939" s="1066"/>
      <c r="AL939" s="1066"/>
      <c r="AM939" s="1066"/>
      <c r="AN939" s="1066"/>
      <c r="AO939" s="1066"/>
      <c r="AP939" s="1066"/>
      <c r="AQ939" s="1066"/>
      <c r="AR939" s="1066"/>
      <c r="AS939" s="1066"/>
      <c r="AT939" s="1066"/>
      <c r="AU939" s="1066"/>
      <c r="AV939" s="1066"/>
      <c r="AW939" s="1066"/>
      <c r="AX939" s="1066"/>
      <c r="AY939" s="1066"/>
      <c r="AZ939" s="1066"/>
      <c r="BA939" s="1066"/>
      <c r="BB939" s="1066"/>
      <c r="BC939" s="1066"/>
      <c r="BD939" s="1066"/>
      <c r="BE939" s="1066"/>
      <c r="BF939" s="1066"/>
      <c r="BG939" s="1066"/>
      <c r="BH939" s="1066"/>
      <c r="BI939" s="1066"/>
      <c r="BJ939" s="1066"/>
      <c r="BK939" s="1066"/>
      <c r="BL939" s="1066"/>
    </row>
    <row r="940" spans="1:64">
      <c r="A940" s="1847"/>
      <c r="B940" s="1847"/>
      <c r="C940" s="1817" t="str">
        <f>Input!$C$47</f>
        <v>Add for MA @ 40%</v>
      </c>
      <c r="D940" s="1848">
        <v>0</v>
      </c>
      <c r="E940" s="1848">
        <f>ROUND(E939*Input!$D$47,2)</f>
        <v>38.43</v>
      </c>
      <c r="F940" s="1848">
        <f>ROUND(F939*Input!$D$47,2)</f>
        <v>42.28</v>
      </c>
      <c r="G940" s="1848">
        <f>ROUND(G939*Input!$D$47,2)</f>
        <v>46.12</v>
      </c>
      <c r="H940" s="1848">
        <f>ROUND(H939*Input!$D$47,2)</f>
        <v>49.96</v>
      </c>
      <c r="I940" s="1848">
        <f>ROUND(I939*Input!$D$47,2)</f>
        <v>53.81</v>
      </c>
      <c r="J940" s="1848"/>
      <c r="K940" s="1848">
        <f>ROUND(K939*Input!$D$47,2)</f>
        <v>61.49</v>
      </c>
      <c r="L940" s="1848">
        <f>ROUND(L939*Input!$D$47,2)</f>
        <v>65.34</v>
      </c>
      <c r="M940" s="1066"/>
      <c r="N940" s="1066"/>
      <c r="O940" s="1066"/>
      <c r="P940" s="1066"/>
      <c r="Q940" s="1066"/>
      <c r="R940" s="1066"/>
      <c r="S940" s="1066"/>
      <c r="T940" s="1066"/>
      <c r="U940" s="1066"/>
      <c r="V940" s="1066"/>
      <c r="W940" s="1066"/>
      <c r="X940" s="1066"/>
      <c r="Y940" s="1066"/>
      <c r="Z940" s="1066"/>
      <c r="AA940" s="1066"/>
      <c r="AB940" s="1066"/>
      <c r="AC940" s="1066"/>
      <c r="AD940" s="1066"/>
      <c r="AE940" s="1066"/>
      <c r="AF940" s="1066"/>
      <c r="AG940" s="1066"/>
      <c r="AH940" s="1066"/>
      <c r="AI940" s="1066"/>
      <c r="AJ940" s="1066"/>
      <c r="AK940" s="1066"/>
      <c r="AL940" s="1066"/>
      <c r="AM940" s="1066"/>
      <c r="AN940" s="1066"/>
      <c r="AO940" s="1066"/>
      <c r="AP940" s="1066"/>
      <c r="AQ940" s="1066"/>
      <c r="AR940" s="1066"/>
      <c r="AS940" s="1066"/>
      <c r="AT940" s="1066"/>
      <c r="AU940" s="1066"/>
      <c r="AV940" s="1066"/>
      <c r="AW940" s="1066"/>
      <c r="AX940" s="1066"/>
      <c r="AY940" s="1066"/>
      <c r="AZ940" s="1066"/>
      <c r="BA940" s="1066"/>
      <c r="BB940" s="1066"/>
      <c r="BC940" s="1066"/>
      <c r="BD940" s="1066"/>
      <c r="BE940" s="1066"/>
      <c r="BF940" s="1066"/>
      <c r="BG940" s="1066"/>
      <c r="BH940" s="1066"/>
      <c r="BI940" s="1066"/>
      <c r="BJ940" s="1066"/>
      <c r="BK940" s="1066"/>
      <c r="BL940" s="1066"/>
    </row>
    <row r="941" spans="1:64">
      <c r="A941" s="1847"/>
      <c r="B941" s="1847"/>
      <c r="C941" s="1816" t="s">
        <v>1044</v>
      </c>
      <c r="D941" s="1848">
        <f t="shared" ref="D941:L941" si="171">SUM(D934:D940)</f>
        <v>3139.8839560000006</v>
      </c>
      <c r="E941" s="1848">
        <f t="shared" si="171"/>
        <v>3375.3580160000006</v>
      </c>
      <c r="F941" s="1848">
        <f t="shared" si="171"/>
        <v>3398.9124220000008</v>
      </c>
      <c r="G941" s="1848">
        <f t="shared" si="171"/>
        <v>3422.4568280000003</v>
      </c>
      <c r="H941" s="1848">
        <f t="shared" si="171"/>
        <v>3446.0012340000007</v>
      </c>
      <c r="I941" s="1848">
        <f t="shared" si="171"/>
        <v>3469.5556400000005</v>
      </c>
      <c r="J941" s="1848"/>
      <c r="K941" s="1848">
        <f t="shared" si="171"/>
        <v>3516.6444520000005</v>
      </c>
      <c r="L941" s="1848">
        <f t="shared" si="171"/>
        <v>3540.1988580000007</v>
      </c>
      <c r="M941" s="1066"/>
      <c r="N941" s="1066"/>
      <c r="O941" s="1066"/>
      <c r="P941" s="1066"/>
      <c r="Q941" s="1066"/>
      <c r="R941" s="1066"/>
      <c r="S941" s="1066"/>
      <c r="T941" s="1066"/>
      <c r="U941" s="1066"/>
      <c r="V941" s="1066"/>
      <c r="W941" s="1066"/>
      <c r="X941" s="1066"/>
      <c r="Y941" s="1066"/>
      <c r="Z941" s="1066"/>
      <c r="AA941" s="1066"/>
      <c r="AB941" s="1066"/>
      <c r="AC941" s="1066"/>
      <c r="AD941" s="1066"/>
      <c r="AE941" s="1066"/>
      <c r="AF941" s="1066"/>
      <c r="AG941" s="1066"/>
      <c r="AH941" s="1066"/>
      <c r="AI941" s="1066"/>
      <c r="AJ941" s="1066"/>
      <c r="AK941" s="1066"/>
      <c r="AL941" s="1066"/>
      <c r="AM941" s="1066"/>
      <c r="AN941" s="1066"/>
      <c r="AO941" s="1066"/>
      <c r="AP941" s="1066"/>
      <c r="AQ941" s="1066"/>
      <c r="AR941" s="1066"/>
      <c r="AS941" s="1066"/>
      <c r="AT941" s="1066"/>
      <c r="AU941" s="1066"/>
      <c r="AV941" s="1066"/>
      <c r="AW941" s="1066"/>
      <c r="AX941" s="1066"/>
      <c r="AY941" s="1066"/>
      <c r="AZ941" s="1066"/>
      <c r="BA941" s="1066"/>
      <c r="BB941" s="1066"/>
      <c r="BC941" s="1066"/>
      <c r="BD941" s="1066"/>
      <c r="BE941" s="1066"/>
      <c r="BF941" s="1066"/>
      <c r="BG941" s="1066"/>
      <c r="BH941" s="1066"/>
      <c r="BI941" s="1066"/>
      <c r="BJ941" s="1066"/>
      <c r="BK941" s="1066"/>
      <c r="BL941" s="1066"/>
    </row>
    <row r="942" spans="1:64">
      <c r="A942" s="1847"/>
      <c r="B942" s="1847"/>
      <c r="C942" s="1817" t="str">
        <f>Input!$C$48</f>
        <v>Overheads &amp; Contractors Profit @ 13.615%</v>
      </c>
      <c r="D942" s="1847">
        <f>ROUND(D941*Input!$D$48,2)</f>
        <v>427.5</v>
      </c>
      <c r="E942" s="1847">
        <f>ROUND(E941*Input!$D$48,2)</f>
        <v>459.55</v>
      </c>
      <c r="F942" s="1847">
        <f>ROUND(F941*Input!$D$48,2)</f>
        <v>462.76</v>
      </c>
      <c r="G942" s="1847">
        <f>ROUND(G941*Input!$D$48,2)</f>
        <v>465.97</v>
      </c>
      <c r="H942" s="1847">
        <f>ROUND(H941*Input!$D$48,2)</f>
        <v>469.17</v>
      </c>
      <c r="I942" s="1847">
        <f>ROUND(I941*Input!$D$48,2)</f>
        <v>472.38</v>
      </c>
      <c r="J942" s="1847"/>
      <c r="K942" s="1847">
        <f>ROUND(K941*Input!$D$48,2)</f>
        <v>478.79</v>
      </c>
      <c r="L942" s="1847">
        <f>ROUND(L941*Input!$D$48,2)</f>
        <v>482</v>
      </c>
      <c r="M942" s="1066"/>
      <c r="N942" s="1066"/>
      <c r="O942" s="1066"/>
      <c r="P942" s="1066"/>
      <c r="Q942" s="1066"/>
      <c r="R942" s="1066"/>
      <c r="S942" s="1066"/>
      <c r="T942" s="1066"/>
      <c r="U942" s="1066"/>
      <c r="V942" s="1066"/>
      <c r="W942" s="1066"/>
      <c r="X942" s="1066"/>
      <c r="Y942" s="1066"/>
      <c r="Z942" s="1066"/>
      <c r="AA942" s="1066"/>
      <c r="AB942" s="1066"/>
      <c r="AC942" s="1066"/>
      <c r="AD942" s="1066"/>
      <c r="AE942" s="1066"/>
      <c r="AF942" s="1066"/>
      <c r="AG942" s="1066"/>
      <c r="AH942" s="1066"/>
      <c r="AI942" s="1066"/>
      <c r="AJ942" s="1066"/>
      <c r="AK942" s="1066"/>
      <c r="AL942" s="1066"/>
      <c r="AM942" s="1066"/>
      <c r="AN942" s="1066"/>
      <c r="AO942" s="1066"/>
      <c r="AP942" s="1066"/>
      <c r="AQ942" s="1066"/>
      <c r="AR942" s="1066"/>
      <c r="AS942" s="1066"/>
      <c r="AT942" s="1066"/>
      <c r="AU942" s="1066"/>
      <c r="AV942" s="1066"/>
      <c r="AW942" s="1066"/>
      <c r="AX942" s="1066"/>
      <c r="AY942" s="1066"/>
      <c r="AZ942" s="1066"/>
      <c r="BA942" s="1066"/>
      <c r="BB942" s="1066"/>
      <c r="BC942" s="1066"/>
      <c r="BD942" s="1066"/>
      <c r="BE942" s="1066"/>
      <c r="BF942" s="1066"/>
      <c r="BG942" s="1066"/>
      <c r="BH942" s="1066"/>
      <c r="BI942" s="1066"/>
      <c r="BJ942" s="1066"/>
      <c r="BK942" s="1066"/>
      <c r="BL942" s="1066"/>
    </row>
    <row r="943" spans="1:64">
      <c r="A943" s="1840"/>
      <c r="B943" s="1840"/>
      <c r="C943" s="1838" t="s">
        <v>1045</v>
      </c>
      <c r="D943" s="1017">
        <f t="shared" ref="D943:L943" si="172">SUM(D941:D942)</f>
        <v>3567.3839560000006</v>
      </c>
      <c r="E943" s="1017">
        <f t="shared" si="172"/>
        <v>3834.9080160000008</v>
      </c>
      <c r="F943" s="1017">
        <f t="shared" si="172"/>
        <v>3861.6724220000006</v>
      </c>
      <c r="G943" s="1017">
        <f t="shared" si="172"/>
        <v>3888.4268280000006</v>
      </c>
      <c r="H943" s="1017">
        <f t="shared" si="172"/>
        <v>3915.1712340000008</v>
      </c>
      <c r="I943" s="1017">
        <f t="shared" si="172"/>
        <v>3941.9356400000006</v>
      </c>
      <c r="J943" s="1017"/>
      <c r="K943" s="1017">
        <f t="shared" si="172"/>
        <v>3995.4344520000004</v>
      </c>
      <c r="L943" s="1017">
        <f t="shared" si="172"/>
        <v>4022.1988580000007</v>
      </c>
      <c r="M943" s="1128"/>
      <c r="N943" s="1128"/>
      <c r="O943" s="1128"/>
      <c r="P943" s="1128"/>
      <c r="Q943" s="1128"/>
      <c r="R943" s="1128"/>
      <c r="S943" s="1128"/>
      <c r="T943" s="1128"/>
      <c r="U943" s="1128"/>
      <c r="V943" s="1128"/>
      <c r="W943" s="1128"/>
      <c r="X943" s="1128"/>
      <c r="Y943" s="1128"/>
      <c r="Z943" s="1128"/>
      <c r="AA943" s="1128"/>
      <c r="AB943" s="1128"/>
      <c r="AC943" s="1128"/>
      <c r="AD943" s="1128"/>
      <c r="AE943" s="1128"/>
      <c r="AF943" s="1128"/>
      <c r="AG943" s="1128"/>
      <c r="AH943" s="1128"/>
      <c r="AI943" s="1128"/>
      <c r="AJ943" s="1128"/>
      <c r="AK943" s="1128"/>
      <c r="AL943" s="1128"/>
      <c r="AM943" s="1128"/>
      <c r="AN943" s="1128"/>
      <c r="AO943" s="1128"/>
      <c r="AP943" s="1128"/>
      <c r="AQ943" s="1128"/>
      <c r="AR943" s="1128"/>
      <c r="AS943" s="1128"/>
      <c r="AT943" s="1128"/>
      <c r="AU943" s="1128"/>
      <c r="AV943" s="1128"/>
      <c r="AW943" s="1128"/>
      <c r="AX943" s="1128"/>
      <c r="AY943" s="1128"/>
      <c r="AZ943" s="1128"/>
      <c r="BA943" s="1128"/>
      <c r="BB943" s="1128"/>
      <c r="BC943" s="1128"/>
      <c r="BD943" s="1128"/>
      <c r="BE943" s="1128"/>
      <c r="BF943" s="1128"/>
      <c r="BG943" s="1128"/>
      <c r="BH943" s="1128"/>
      <c r="BI943" s="1128"/>
      <c r="BJ943" s="1128"/>
      <c r="BK943" s="1128"/>
      <c r="BL943" s="1128"/>
    </row>
    <row r="944" spans="1:64">
      <c r="A944" s="1023"/>
      <c r="B944" s="1023"/>
      <c r="C944" s="1118" t="s">
        <v>1034</v>
      </c>
      <c r="D944" s="999">
        <f t="shared" ref="D944:L944" si="173">ROUND(D943,0)</f>
        <v>3567</v>
      </c>
      <c r="E944" s="999">
        <f t="shared" si="173"/>
        <v>3835</v>
      </c>
      <c r="F944" s="999">
        <f t="shared" si="173"/>
        <v>3862</v>
      </c>
      <c r="G944" s="999">
        <f t="shared" si="173"/>
        <v>3888</v>
      </c>
      <c r="H944" s="999">
        <f t="shared" si="173"/>
        <v>3915</v>
      </c>
      <c r="I944" s="999">
        <f t="shared" si="173"/>
        <v>3942</v>
      </c>
      <c r="J944" s="999"/>
      <c r="K944" s="999">
        <f t="shared" si="173"/>
        <v>3995</v>
      </c>
      <c r="L944" s="999">
        <f t="shared" si="173"/>
        <v>4022</v>
      </c>
      <c r="M944" s="997"/>
      <c r="N944" s="997"/>
      <c r="O944" s="997"/>
      <c r="P944" s="997"/>
      <c r="Q944" s="997"/>
      <c r="R944" s="997"/>
      <c r="S944" s="997"/>
      <c r="T944" s="997"/>
      <c r="U944" s="997"/>
      <c r="V944" s="997"/>
      <c r="W944" s="997"/>
      <c r="X944" s="997"/>
      <c r="Y944" s="997"/>
      <c r="Z944" s="997"/>
      <c r="AA944" s="997"/>
      <c r="AB944" s="997"/>
      <c r="AC944" s="997"/>
      <c r="AD944" s="997"/>
      <c r="AE944" s="997"/>
      <c r="AF944" s="997"/>
      <c r="AG944" s="997"/>
      <c r="AH944" s="997"/>
      <c r="AI944" s="997"/>
      <c r="AJ944" s="997"/>
      <c r="AK944" s="997"/>
      <c r="AL944" s="997"/>
      <c r="AM944" s="997"/>
      <c r="AN944" s="997"/>
      <c r="AO944" s="997"/>
      <c r="AP944" s="997"/>
      <c r="AQ944" s="997"/>
      <c r="AR944" s="997"/>
      <c r="AS944" s="997"/>
      <c r="AT944" s="997"/>
      <c r="AU944" s="997"/>
      <c r="AV944" s="997"/>
      <c r="AW944" s="997"/>
      <c r="AX944" s="997"/>
      <c r="AY944" s="997"/>
      <c r="AZ944" s="997"/>
      <c r="BA944" s="997"/>
      <c r="BB944" s="997"/>
      <c r="BC944" s="997"/>
      <c r="BD944" s="997"/>
      <c r="BE944" s="997"/>
      <c r="BF944" s="997"/>
      <c r="BG944" s="997"/>
      <c r="BH944" s="997"/>
      <c r="BI944" s="997"/>
      <c r="BJ944" s="997"/>
      <c r="BK944" s="997"/>
      <c r="BL944" s="997"/>
    </row>
    <row r="945" spans="1:16">
      <c r="A945" s="1823"/>
      <c r="B945" s="1068"/>
      <c r="C945" s="1843"/>
      <c r="D945" s="1114"/>
      <c r="E945" s="1114"/>
      <c r="F945" s="1114"/>
      <c r="G945" s="1114"/>
      <c r="H945" s="1114"/>
      <c r="I945" s="1009"/>
      <c r="J945" s="1846"/>
      <c r="K945" s="1846"/>
      <c r="L945" s="1846"/>
    </row>
    <row r="946" spans="1:16">
      <c r="A946" s="1823"/>
      <c r="B946" s="1068" t="s">
        <v>433</v>
      </c>
      <c r="C946" s="1816" t="s">
        <v>1242</v>
      </c>
      <c r="D946" s="1114"/>
      <c r="E946" s="1114"/>
      <c r="F946" s="1114"/>
      <c r="G946" s="1114"/>
      <c r="H946" s="1114"/>
      <c r="I946" s="1011"/>
      <c r="J946" s="1846"/>
      <c r="K946" s="1846"/>
      <c r="L946" s="1846"/>
    </row>
    <row r="947" spans="1:16">
      <c r="A947" s="1823"/>
      <c r="B947" s="1068"/>
      <c r="C947" s="1817" t="s">
        <v>1235</v>
      </c>
      <c r="D947" s="1127">
        <v>0.3</v>
      </c>
      <c r="E947" s="1125" t="s">
        <v>75</v>
      </c>
      <c r="F947" s="1001">
        <f>$I$762</f>
        <v>9784.419780000002</v>
      </c>
      <c r="G947" s="1034">
        <v>1</v>
      </c>
      <c r="H947" s="1125" t="s">
        <v>75</v>
      </c>
      <c r="I947" s="1011">
        <f>IF(G947="",D947*F947,(D947*F947/G947))</f>
        <v>2935.3259340000004</v>
      </c>
      <c r="J947" s="1846"/>
      <c r="K947" s="1846"/>
      <c r="L947" s="1846"/>
    </row>
    <row r="948" spans="1:16">
      <c r="A948" s="1823"/>
      <c r="B948" s="1068"/>
      <c r="C948" s="1816"/>
      <c r="D948" s="1114"/>
      <c r="E948" s="1114"/>
      <c r="F948" s="1114"/>
      <c r="G948" s="1114"/>
      <c r="H948" s="1114"/>
      <c r="I948" s="1011"/>
      <c r="J948" s="1846"/>
      <c r="K948" s="1846"/>
      <c r="L948" s="1846"/>
    </row>
    <row r="949" spans="1:16">
      <c r="A949" s="1823"/>
      <c r="B949" s="1098" t="s">
        <v>1215</v>
      </c>
      <c r="C949" s="1821" t="s">
        <v>1216</v>
      </c>
      <c r="D949" s="1114"/>
      <c r="E949" s="1114"/>
      <c r="F949" s="1114"/>
      <c r="G949" s="1114"/>
      <c r="H949" s="1114"/>
      <c r="I949" s="1011"/>
      <c r="J949" s="1114"/>
      <c r="K949" s="1114"/>
      <c r="L949" s="1011"/>
    </row>
    <row r="950" spans="1:16">
      <c r="A950" s="1823"/>
      <c r="B950" s="1068"/>
      <c r="C950" s="1816" t="s">
        <v>1217</v>
      </c>
      <c r="D950" s="1009" t="s">
        <v>1223</v>
      </c>
      <c r="E950" s="1098"/>
      <c r="F950" s="1102"/>
      <c r="G950" s="1102"/>
      <c r="H950" s="1102"/>
      <c r="I950" s="1102"/>
      <c r="J950" s="1846"/>
      <c r="K950" s="1846"/>
      <c r="L950" s="1846"/>
    </row>
    <row r="951" spans="1:16">
      <c r="A951" s="1823"/>
      <c r="B951" s="1823"/>
      <c r="C951" s="1849" t="s">
        <v>1218</v>
      </c>
      <c r="D951" s="1093">
        <f>$I$947</f>
        <v>2935.3259340000004</v>
      </c>
      <c r="E951" s="1093"/>
      <c r="F951" s="1093"/>
      <c r="G951" s="1093"/>
      <c r="H951" s="1093"/>
      <c r="I951" s="1093"/>
      <c r="J951" s="1823"/>
      <c r="K951" s="1823"/>
      <c r="L951" s="1823"/>
      <c r="M951" s="1037"/>
      <c r="N951" s="1037"/>
      <c r="O951" s="1037"/>
      <c r="P951" s="1037"/>
    </row>
    <row r="952" spans="1:16">
      <c r="A952" s="1823"/>
      <c r="B952" s="1823"/>
      <c r="C952" s="1849" t="s">
        <v>1182</v>
      </c>
      <c r="D952" s="1093">
        <f>'Civil-SOR'!$F$282</f>
        <v>1183</v>
      </c>
      <c r="E952" s="1093"/>
      <c r="F952" s="1093"/>
      <c r="G952" s="1093"/>
      <c r="H952" s="1093"/>
      <c r="I952" s="1093"/>
      <c r="J952" s="1823"/>
      <c r="K952" s="1823"/>
      <c r="L952" s="1823"/>
      <c r="M952" s="1037"/>
      <c r="N952" s="1037"/>
      <c r="O952" s="1037"/>
      <c r="P952" s="1037"/>
    </row>
    <row r="953" spans="1:16">
      <c r="A953" s="1823"/>
      <c r="B953" s="1823"/>
      <c r="C953" s="1849" t="s">
        <v>453</v>
      </c>
      <c r="D953" s="1093">
        <f>'Civil-SOR'!$H$282</f>
        <v>0</v>
      </c>
      <c r="E953" s="1093"/>
      <c r="F953" s="1093"/>
      <c r="G953" s="1093"/>
      <c r="H953" s="1093"/>
      <c r="I953" s="1093"/>
      <c r="J953" s="1823"/>
      <c r="K953" s="1823"/>
      <c r="L953" s="1823"/>
      <c r="M953" s="1037"/>
      <c r="N953" s="1037"/>
      <c r="O953" s="1037"/>
      <c r="P953" s="1037"/>
    </row>
    <row r="954" spans="1:16">
      <c r="A954" s="1823"/>
      <c r="B954" s="1823"/>
      <c r="C954" s="1849" t="str">
        <f>Input!$C$47</f>
        <v>Add for MA @ 40%</v>
      </c>
      <c r="D954" s="1093">
        <f>D953*Input!$D$47</f>
        <v>0</v>
      </c>
      <c r="E954" s="1093"/>
      <c r="F954" s="1093"/>
      <c r="G954" s="1093"/>
      <c r="H954" s="1093"/>
      <c r="I954" s="1093"/>
      <c r="J954" s="1823"/>
      <c r="K954" s="1823"/>
      <c r="L954" s="1823"/>
      <c r="M954" s="1037"/>
      <c r="N954" s="1037"/>
      <c r="O954" s="1037"/>
      <c r="P954" s="1037"/>
    </row>
    <row r="955" spans="1:16">
      <c r="A955" s="1823"/>
      <c r="B955" s="1823"/>
      <c r="C955" s="1849" t="s">
        <v>1239</v>
      </c>
      <c r="D955" s="1093">
        <v>0</v>
      </c>
      <c r="E955" s="1093"/>
      <c r="F955" s="1093"/>
      <c r="G955" s="1093"/>
      <c r="H955" s="1093"/>
      <c r="I955" s="1093"/>
      <c r="J955" s="1823"/>
      <c r="K955" s="1823"/>
      <c r="L955" s="1823"/>
      <c r="M955" s="1037"/>
      <c r="N955" s="1037"/>
      <c r="O955" s="1037"/>
      <c r="P955" s="1037"/>
    </row>
    <row r="956" spans="1:16">
      <c r="A956" s="1823"/>
      <c r="B956" s="1823"/>
      <c r="C956" s="1849" t="str">
        <f>Input!$C$47</f>
        <v>Add for MA @ 40%</v>
      </c>
      <c r="D956" s="1093">
        <v>0</v>
      </c>
      <c r="E956" s="1093"/>
      <c r="F956" s="1093"/>
      <c r="G956" s="1093"/>
      <c r="H956" s="1093"/>
      <c r="I956" s="1093"/>
      <c r="J956" s="1823"/>
      <c r="K956" s="1823"/>
      <c r="L956" s="1823"/>
      <c r="M956" s="1037"/>
      <c r="N956" s="1037"/>
      <c r="O956" s="1037"/>
      <c r="P956" s="1037"/>
    </row>
    <row r="957" spans="1:16">
      <c r="A957" s="1823"/>
      <c r="B957" s="1823"/>
      <c r="C957" s="1821" t="s">
        <v>1044</v>
      </c>
      <c r="D957" s="1093">
        <f>SUM(D951:D956)</f>
        <v>4118.3259340000004</v>
      </c>
      <c r="E957" s="1093"/>
      <c r="F957" s="1093"/>
      <c r="G957" s="1093"/>
      <c r="H957" s="1093"/>
      <c r="I957" s="1093"/>
      <c r="J957" s="1823"/>
      <c r="K957" s="1823"/>
      <c r="L957" s="1823"/>
      <c r="M957" s="1037"/>
      <c r="N957" s="1037"/>
      <c r="O957" s="1037"/>
      <c r="P957" s="1037"/>
    </row>
    <row r="958" spans="1:16">
      <c r="A958" s="1823"/>
      <c r="B958" s="1823"/>
      <c r="C958" s="1849" t="str">
        <f>Input!$C$48</f>
        <v>Overheads &amp; Contractors Profit @ 13.615%</v>
      </c>
      <c r="D958" s="1823">
        <f>ROUND(D957*Input!$D$48,2)</f>
        <v>560.71</v>
      </c>
      <c r="E958" s="1823"/>
      <c r="F958" s="1823"/>
      <c r="G958" s="1823"/>
      <c r="H958" s="1823"/>
      <c r="I958" s="1823"/>
      <c r="J958" s="1823"/>
      <c r="K958" s="1823"/>
      <c r="L958" s="1823"/>
      <c r="M958" s="1037"/>
      <c r="N958" s="1037"/>
      <c r="O958" s="1037"/>
      <c r="P958" s="1037"/>
    </row>
    <row r="959" spans="1:16">
      <c r="A959" s="1023"/>
      <c r="B959" s="1023"/>
      <c r="C959" s="1816" t="s">
        <v>1045</v>
      </c>
      <c r="D959" s="1117">
        <f>SUM(D957:D958)</f>
        <v>4679.0359340000005</v>
      </c>
      <c r="E959" s="1117"/>
      <c r="F959" s="1829"/>
      <c r="G959" s="1829"/>
      <c r="H959" s="1829"/>
      <c r="I959" s="1829"/>
      <c r="J959" s="996"/>
      <c r="K959" s="996"/>
      <c r="L959" s="996"/>
      <c r="M959" s="997"/>
      <c r="N959" s="997"/>
      <c r="O959" s="997"/>
      <c r="P959" s="997"/>
    </row>
    <row r="960" spans="1:16">
      <c r="A960" s="1023"/>
      <c r="B960" s="1023"/>
      <c r="C960" s="1843" t="s">
        <v>1034</v>
      </c>
      <c r="D960" s="999">
        <f>ROUND(D959,0)</f>
        <v>4679</v>
      </c>
      <c r="E960" s="999"/>
      <c r="F960" s="999"/>
      <c r="G960" s="999"/>
      <c r="H960" s="999"/>
      <c r="I960" s="999"/>
      <c r="J960" s="996"/>
      <c r="K960" s="996"/>
      <c r="L960" s="996"/>
      <c r="M960" s="997"/>
      <c r="N960" s="997"/>
      <c r="O960" s="997"/>
      <c r="P960" s="997"/>
    </row>
    <row r="961" spans="1:16">
      <c r="A961" s="1823"/>
      <c r="B961" s="1068" t="s">
        <v>433</v>
      </c>
      <c r="C961" s="1816" t="s">
        <v>1243</v>
      </c>
      <c r="D961" s="1114"/>
      <c r="E961" s="1114"/>
      <c r="F961" s="1114"/>
      <c r="G961" s="1114"/>
      <c r="H961" s="1114"/>
      <c r="I961" s="1011"/>
      <c r="J961" s="1846"/>
      <c r="K961" s="1846"/>
      <c r="L961" s="1846"/>
    </row>
    <row r="962" spans="1:16">
      <c r="A962" s="1823"/>
      <c r="B962" s="1068"/>
      <c r="C962" s="1817" t="s">
        <v>1235</v>
      </c>
      <c r="D962" s="1127">
        <v>0.32500000000000001</v>
      </c>
      <c r="E962" s="1125" t="s">
        <v>75</v>
      </c>
      <c r="F962" s="1001">
        <f>$I$762</f>
        <v>9784.419780000002</v>
      </c>
      <c r="G962" s="1034">
        <v>1</v>
      </c>
      <c r="H962" s="1125" t="s">
        <v>75</v>
      </c>
      <c r="I962" s="1011">
        <f>IF(G962="",D962*F962,(D962*F962/G962))</f>
        <v>3179.9364285000006</v>
      </c>
      <c r="J962" s="1846"/>
      <c r="K962" s="1846"/>
      <c r="L962" s="1846"/>
    </row>
    <row r="963" spans="1:16">
      <c r="A963" s="1823"/>
      <c r="B963" s="1068"/>
      <c r="C963" s="1816"/>
      <c r="D963" s="1114"/>
      <c r="E963" s="1114"/>
      <c r="F963" s="1114"/>
      <c r="G963" s="1114"/>
      <c r="H963" s="1114"/>
      <c r="I963" s="1011"/>
      <c r="J963" s="1846"/>
      <c r="K963" s="1846"/>
      <c r="L963" s="1846"/>
    </row>
    <row r="964" spans="1:16">
      <c r="A964" s="1823"/>
      <c r="B964" s="1098" t="s">
        <v>1215</v>
      </c>
      <c r="C964" s="1821" t="s">
        <v>1216</v>
      </c>
      <c r="D964" s="1114"/>
      <c r="E964" s="1114"/>
      <c r="F964" s="1114"/>
      <c r="G964" s="1114"/>
      <c r="H964" s="1114"/>
      <c r="I964" s="1011"/>
      <c r="J964" s="1114"/>
      <c r="K964" s="1114"/>
      <c r="L964" s="1011"/>
    </row>
    <row r="965" spans="1:16">
      <c r="A965" s="1823"/>
      <c r="B965" s="1068"/>
      <c r="C965" s="1816" t="s">
        <v>1217</v>
      </c>
      <c r="D965" s="1009" t="s">
        <v>1223</v>
      </c>
      <c r="E965" s="1098"/>
      <c r="F965" s="1102"/>
      <c r="G965" s="1102"/>
      <c r="H965" s="1102"/>
      <c r="I965" s="1102"/>
      <c r="J965" s="1846"/>
      <c r="K965" s="1846"/>
      <c r="L965" s="1846"/>
    </row>
    <row r="966" spans="1:16">
      <c r="A966" s="1823"/>
      <c r="B966" s="1823"/>
      <c r="C966" s="1849" t="s">
        <v>1218</v>
      </c>
      <c r="D966" s="1093">
        <f>$I$962</f>
        <v>3179.9364285000006</v>
      </c>
      <c r="E966" s="1093"/>
      <c r="F966" s="1093"/>
      <c r="G966" s="1093"/>
      <c r="H966" s="1093"/>
      <c r="I966" s="1093"/>
      <c r="J966" s="1823"/>
      <c r="K966" s="1823"/>
      <c r="L966" s="1823"/>
      <c r="M966" s="1037"/>
      <c r="N966" s="1037"/>
      <c r="O966" s="1037"/>
      <c r="P966" s="1037"/>
    </row>
    <row r="967" spans="1:16">
      <c r="A967" s="1823"/>
      <c r="B967" s="1823"/>
      <c r="C967" s="1849" t="s">
        <v>1182</v>
      </c>
      <c r="D967" s="1093">
        <f>'Civil-SOR'!$F$282</f>
        <v>1183</v>
      </c>
      <c r="E967" s="1093"/>
      <c r="F967" s="1093"/>
      <c r="G967" s="1093"/>
      <c r="H967" s="1093"/>
      <c r="I967" s="1093"/>
      <c r="J967" s="1823"/>
      <c r="K967" s="1823"/>
      <c r="L967" s="1823"/>
      <c r="M967" s="1037"/>
      <c r="N967" s="1037"/>
      <c r="O967" s="1037"/>
      <c r="P967" s="1037"/>
    </row>
    <row r="968" spans="1:16">
      <c r="A968" s="1823"/>
      <c r="B968" s="1823"/>
      <c r="C968" s="1849" t="s">
        <v>453</v>
      </c>
      <c r="D968" s="1093">
        <f>'Civil-SOR'!$H$282</f>
        <v>0</v>
      </c>
      <c r="E968" s="1093"/>
      <c r="F968" s="1093"/>
      <c r="G968" s="1093"/>
      <c r="H968" s="1093"/>
      <c r="I968" s="1093"/>
      <c r="J968" s="1823"/>
      <c r="K968" s="1823"/>
      <c r="L968" s="1823"/>
      <c r="M968" s="1037"/>
      <c r="N968" s="1037"/>
      <c r="O968" s="1037"/>
      <c r="P968" s="1037"/>
    </row>
    <row r="969" spans="1:16">
      <c r="A969" s="1823"/>
      <c r="B969" s="1823"/>
      <c r="C969" s="1849" t="str">
        <f>Input!$C$47</f>
        <v>Add for MA @ 40%</v>
      </c>
      <c r="D969" s="1093">
        <f>D968*Input!$D$47</f>
        <v>0</v>
      </c>
      <c r="E969" s="1093"/>
      <c r="F969" s="1093"/>
      <c r="G969" s="1093"/>
      <c r="H969" s="1093"/>
      <c r="I969" s="1093"/>
      <c r="J969" s="1823"/>
      <c r="K969" s="1823"/>
      <c r="L969" s="1823"/>
      <c r="M969" s="1037"/>
      <c r="N969" s="1037"/>
      <c r="O969" s="1037"/>
      <c r="P969" s="1037"/>
    </row>
    <row r="970" spans="1:16">
      <c r="A970" s="1823"/>
      <c r="B970" s="1823"/>
      <c r="C970" s="1849" t="s">
        <v>1239</v>
      </c>
      <c r="D970" s="1093">
        <v>0</v>
      </c>
      <c r="E970" s="1093"/>
      <c r="F970" s="1093"/>
      <c r="G970" s="1093"/>
      <c r="H970" s="1093"/>
      <c r="I970" s="1093"/>
      <c r="J970" s="1823"/>
      <c r="K970" s="1823"/>
      <c r="L970" s="1823"/>
      <c r="M970" s="1037"/>
      <c r="N970" s="1037"/>
      <c r="O970" s="1037"/>
      <c r="P970" s="1037"/>
    </row>
    <row r="971" spans="1:16">
      <c r="A971" s="1823"/>
      <c r="B971" s="1823"/>
      <c r="C971" s="1849" t="str">
        <f>Input!$C$47</f>
        <v>Add for MA @ 40%</v>
      </c>
      <c r="D971" s="1093">
        <v>0</v>
      </c>
      <c r="E971" s="1093"/>
      <c r="F971" s="1093"/>
      <c r="G971" s="1093"/>
      <c r="H971" s="1093"/>
      <c r="I971" s="1093"/>
      <c r="J971" s="1823"/>
      <c r="K971" s="1823"/>
      <c r="L971" s="1823"/>
      <c r="M971" s="1037"/>
      <c r="N971" s="1037"/>
      <c r="O971" s="1037"/>
      <c r="P971" s="1037"/>
    </row>
    <row r="972" spans="1:16">
      <c r="A972" s="1823"/>
      <c r="B972" s="1823"/>
      <c r="C972" s="1821" t="s">
        <v>1044</v>
      </c>
      <c r="D972" s="1093">
        <f>SUM(D966:D971)</f>
        <v>4362.9364285000011</v>
      </c>
      <c r="E972" s="1093"/>
      <c r="F972" s="1093"/>
      <c r="G972" s="1093"/>
      <c r="H972" s="1093"/>
      <c r="I972" s="1093"/>
      <c r="J972" s="1823"/>
      <c r="K972" s="1823"/>
      <c r="L972" s="1823"/>
      <c r="M972" s="1037"/>
      <c r="N972" s="1037"/>
      <c r="O972" s="1037"/>
      <c r="P972" s="1037"/>
    </row>
    <row r="973" spans="1:16">
      <c r="A973" s="1823"/>
      <c r="B973" s="1823"/>
      <c r="C973" s="1849" t="str">
        <f>Input!$C$48</f>
        <v>Overheads &amp; Contractors Profit @ 13.615%</v>
      </c>
      <c r="D973" s="1823">
        <f>ROUND(D972*Input!$D$48,2)</f>
        <v>594.01</v>
      </c>
      <c r="E973" s="1823"/>
      <c r="F973" s="1823"/>
      <c r="G973" s="1823"/>
      <c r="H973" s="1823"/>
      <c r="I973" s="1823"/>
      <c r="J973" s="1823"/>
      <c r="K973" s="1823"/>
      <c r="L973" s="1823"/>
      <c r="M973" s="1037"/>
      <c r="N973" s="1037"/>
      <c r="O973" s="1037"/>
      <c r="P973" s="1037"/>
    </row>
    <row r="974" spans="1:16">
      <c r="A974" s="1023"/>
      <c r="B974" s="1023"/>
      <c r="C974" s="1816" t="s">
        <v>1045</v>
      </c>
      <c r="D974" s="1117">
        <f>SUM(D972:D973)</f>
        <v>4956.9464285000013</v>
      </c>
      <c r="E974" s="1117"/>
      <c r="F974" s="1829"/>
      <c r="G974" s="1829"/>
      <c r="H974" s="1829"/>
      <c r="I974" s="1829"/>
      <c r="J974" s="996"/>
      <c r="K974" s="996"/>
      <c r="L974" s="996"/>
      <c r="M974" s="997"/>
      <c r="N974" s="997"/>
      <c r="O974" s="997"/>
      <c r="P974" s="997"/>
    </row>
    <row r="975" spans="1:16">
      <c r="A975" s="1023"/>
      <c r="B975" s="1023"/>
      <c r="C975" s="1843" t="s">
        <v>1034</v>
      </c>
      <c r="D975" s="999">
        <f>ROUND(D974,0)</f>
        <v>4957</v>
      </c>
      <c r="E975" s="999"/>
      <c r="F975" s="999"/>
      <c r="G975" s="999"/>
      <c r="H975" s="999"/>
      <c r="I975" s="999"/>
      <c r="J975" s="996"/>
      <c r="K975" s="996"/>
      <c r="L975" s="996"/>
      <c r="M975" s="997"/>
      <c r="N975" s="997"/>
      <c r="O975" s="997"/>
      <c r="P975" s="997"/>
    </row>
    <row r="976" spans="1:16">
      <c r="A976" s="1823"/>
      <c r="B976" s="1068" t="s">
        <v>433</v>
      </c>
      <c r="C976" s="1816" t="s">
        <v>1244</v>
      </c>
      <c r="D976" s="1114"/>
      <c r="E976" s="1114"/>
      <c r="F976" s="1114"/>
      <c r="G976" s="1114"/>
      <c r="H976" s="1114"/>
      <c r="I976" s="1011"/>
      <c r="J976" s="1846"/>
      <c r="K976" s="1846"/>
      <c r="L976" s="1846"/>
    </row>
    <row r="977" spans="1:16">
      <c r="A977" s="1823"/>
      <c r="B977" s="1068"/>
      <c r="C977" s="1817" t="s">
        <v>1235</v>
      </c>
      <c r="D977" s="1127">
        <v>0.375</v>
      </c>
      <c r="E977" s="1125" t="s">
        <v>75</v>
      </c>
      <c r="F977" s="1001">
        <f>$I$762</f>
        <v>9784.419780000002</v>
      </c>
      <c r="G977" s="1034">
        <v>1</v>
      </c>
      <c r="H977" s="1125" t="s">
        <v>75</v>
      </c>
      <c r="I977" s="1011">
        <f>IF(G977="",D977*F977,(D977*F977/G977))</f>
        <v>3669.1574175000005</v>
      </c>
      <c r="J977" s="1846"/>
      <c r="K977" s="1846"/>
      <c r="L977" s="1846"/>
    </row>
    <row r="978" spans="1:16">
      <c r="A978" s="1823"/>
      <c r="B978" s="1068"/>
      <c r="C978" s="1816"/>
      <c r="D978" s="1114"/>
      <c r="E978" s="1114"/>
      <c r="F978" s="1114"/>
      <c r="G978" s="1114"/>
      <c r="H978" s="1114"/>
      <c r="I978" s="1011"/>
      <c r="J978" s="1846"/>
      <c r="K978" s="1846"/>
      <c r="L978" s="1846"/>
    </row>
    <row r="979" spans="1:16">
      <c r="A979" s="1823"/>
      <c r="B979" s="1098" t="s">
        <v>1215</v>
      </c>
      <c r="C979" s="1821" t="s">
        <v>1216</v>
      </c>
      <c r="D979" s="1114"/>
      <c r="E979" s="1114"/>
      <c r="F979" s="1114"/>
      <c r="G979" s="1114"/>
      <c r="H979" s="1114"/>
      <c r="I979" s="1011"/>
      <c r="J979" s="1114"/>
      <c r="K979" s="1114"/>
      <c r="L979" s="1011"/>
    </row>
    <row r="980" spans="1:16">
      <c r="A980" s="1823"/>
      <c r="B980" s="1068"/>
      <c r="C980" s="1816" t="s">
        <v>1217</v>
      </c>
      <c r="D980" s="1009" t="s">
        <v>1223</v>
      </c>
      <c r="E980" s="1098"/>
      <c r="F980" s="1102"/>
      <c r="G980" s="1102"/>
      <c r="H980" s="1102"/>
      <c r="I980" s="1102"/>
      <c r="J980" s="1846"/>
      <c r="K980" s="1846"/>
      <c r="L980" s="1846"/>
    </row>
    <row r="981" spans="1:16">
      <c r="A981" s="1823"/>
      <c r="B981" s="1823"/>
      <c r="C981" s="1849" t="s">
        <v>1218</v>
      </c>
      <c r="D981" s="1093">
        <f>$I$977</f>
        <v>3669.1574175000005</v>
      </c>
      <c r="E981" s="1093"/>
      <c r="F981" s="1093"/>
      <c r="G981" s="1093"/>
      <c r="H981" s="1093"/>
      <c r="I981" s="1093"/>
      <c r="J981" s="1823"/>
      <c r="K981" s="1823"/>
      <c r="L981" s="1823"/>
      <c r="M981" s="1037"/>
      <c r="N981" s="1037"/>
      <c r="O981" s="1037"/>
      <c r="P981" s="1037"/>
    </row>
    <row r="982" spans="1:16">
      <c r="A982" s="1823"/>
      <c r="B982" s="1823"/>
      <c r="C982" s="1849" t="s">
        <v>1182</v>
      </c>
      <c r="D982" s="1093">
        <f>'Civil-SOR'!$F$282</f>
        <v>1183</v>
      </c>
      <c r="E982" s="1093"/>
      <c r="F982" s="1093"/>
      <c r="G982" s="1093"/>
      <c r="H982" s="1093"/>
      <c r="I982" s="1093"/>
      <c r="J982" s="1823"/>
      <c r="K982" s="1823"/>
      <c r="L982" s="1823"/>
      <c r="M982" s="1037"/>
      <c r="N982" s="1037"/>
      <c r="O982" s="1037"/>
      <c r="P982" s="1037"/>
    </row>
    <row r="983" spans="1:16">
      <c r="A983" s="1823"/>
      <c r="B983" s="1823"/>
      <c r="C983" s="1849" t="s">
        <v>453</v>
      </c>
      <c r="D983" s="1093">
        <f>'Civil-SOR'!$H$282</f>
        <v>0</v>
      </c>
      <c r="E983" s="1093"/>
      <c r="F983" s="1093"/>
      <c r="G983" s="1093"/>
      <c r="H983" s="1093"/>
      <c r="I983" s="1093"/>
      <c r="J983" s="1823"/>
      <c r="K983" s="1823"/>
      <c r="L983" s="1823"/>
      <c r="M983" s="1037"/>
      <c r="N983" s="1037"/>
      <c r="O983" s="1037"/>
      <c r="P983" s="1037"/>
    </row>
    <row r="984" spans="1:16">
      <c r="A984" s="1823"/>
      <c r="B984" s="1823"/>
      <c r="C984" s="1849" t="str">
        <f>Input!$C$47</f>
        <v>Add for MA @ 40%</v>
      </c>
      <c r="D984" s="1093">
        <f>D983*Input!$D$47</f>
        <v>0</v>
      </c>
      <c r="E984" s="1093"/>
      <c r="F984" s="1093"/>
      <c r="G984" s="1093"/>
      <c r="H984" s="1093"/>
      <c r="I984" s="1093"/>
      <c r="J984" s="1823"/>
      <c r="K984" s="1823"/>
      <c r="L984" s="1823"/>
      <c r="M984" s="1037"/>
      <c r="N984" s="1037"/>
      <c r="O984" s="1037"/>
      <c r="P984" s="1037"/>
    </row>
    <row r="985" spans="1:16">
      <c r="A985" s="1823"/>
      <c r="B985" s="1823"/>
      <c r="C985" s="1849" t="s">
        <v>1239</v>
      </c>
      <c r="D985" s="1093">
        <v>0</v>
      </c>
      <c r="E985" s="1093"/>
      <c r="F985" s="1093"/>
      <c r="G985" s="1093"/>
      <c r="H985" s="1093"/>
      <c r="I985" s="1093"/>
      <c r="J985" s="1823"/>
      <c r="K985" s="1823"/>
      <c r="L985" s="1823"/>
      <c r="M985" s="1037"/>
      <c r="N985" s="1037"/>
      <c r="O985" s="1037"/>
      <c r="P985" s="1037"/>
    </row>
    <row r="986" spans="1:16">
      <c r="A986" s="1823"/>
      <c r="B986" s="1823"/>
      <c r="C986" s="1849" t="str">
        <f>Input!$C$47</f>
        <v>Add for MA @ 40%</v>
      </c>
      <c r="D986" s="1093">
        <v>0</v>
      </c>
      <c r="E986" s="1093"/>
      <c r="F986" s="1093"/>
      <c r="G986" s="1093"/>
      <c r="H986" s="1093"/>
      <c r="I986" s="1093"/>
      <c r="J986" s="1823"/>
      <c r="K986" s="1823"/>
      <c r="L986" s="1823"/>
      <c r="M986" s="1037"/>
      <c r="N986" s="1037"/>
      <c r="O986" s="1037"/>
      <c r="P986" s="1037"/>
    </row>
    <row r="987" spans="1:16">
      <c r="A987" s="1823"/>
      <c r="B987" s="1823"/>
      <c r="C987" s="1821" t="s">
        <v>1044</v>
      </c>
      <c r="D987" s="1093">
        <f>SUM(D981:D986)</f>
        <v>4852.1574175000005</v>
      </c>
      <c r="E987" s="1093"/>
      <c r="F987" s="1093"/>
      <c r="G987" s="1093"/>
      <c r="H987" s="1093"/>
      <c r="I987" s="1093"/>
      <c r="J987" s="1823"/>
      <c r="K987" s="1823"/>
      <c r="L987" s="1823"/>
      <c r="M987" s="1037"/>
      <c r="N987" s="1037"/>
      <c r="O987" s="1037"/>
      <c r="P987" s="1037"/>
    </row>
    <row r="988" spans="1:16">
      <c r="A988" s="1823"/>
      <c r="B988" s="1823"/>
      <c r="C988" s="1849" t="str">
        <f>Input!$C$48</f>
        <v>Overheads &amp; Contractors Profit @ 13.615%</v>
      </c>
      <c r="D988" s="1823">
        <f>ROUND(D987*Input!$D$48,2)</f>
        <v>660.62</v>
      </c>
      <c r="E988" s="1823"/>
      <c r="F988" s="1823"/>
      <c r="G988" s="1823"/>
      <c r="H988" s="1823"/>
      <c r="I988" s="1823"/>
      <c r="J988" s="1823"/>
      <c r="K988" s="1823"/>
      <c r="L988" s="1823"/>
      <c r="M988" s="1037"/>
      <c r="N988" s="1037"/>
      <c r="O988" s="1037"/>
      <c r="P988" s="1037"/>
    </row>
    <row r="989" spans="1:16">
      <c r="A989" s="1023"/>
      <c r="B989" s="1023"/>
      <c r="C989" s="1816" t="s">
        <v>1045</v>
      </c>
      <c r="D989" s="1117">
        <f>SUM(D987:D988)</f>
        <v>5512.7774175000004</v>
      </c>
      <c r="E989" s="1117"/>
      <c r="F989" s="1829"/>
      <c r="G989" s="1829"/>
      <c r="H989" s="1829"/>
      <c r="I989" s="1829"/>
      <c r="J989" s="996"/>
      <c r="K989" s="996"/>
      <c r="L989" s="996"/>
      <c r="M989" s="997"/>
      <c r="N989" s="997"/>
      <c r="O989" s="997"/>
      <c r="P989" s="997"/>
    </row>
    <row r="990" spans="1:16">
      <c r="A990" s="1023"/>
      <c r="B990" s="1023"/>
      <c r="C990" s="1843" t="s">
        <v>1034</v>
      </c>
      <c r="D990" s="999">
        <f>ROUND(D989,0)</f>
        <v>5513</v>
      </c>
      <c r="E990" s="999"/>
      <c r="F990" s="999"/>
      <c r="G990" s="999"/>
      <c r="H990" s="999"/>
      <c r="I990" s="999"/>
      <c r="J990" s="996"/>
      <c r="K990" s="996"/>
      <c r="L990" s="996"/>
      <c r="M990" s="997"/>
      <c r="N990" s="997"/>
      <c r="O990" s="997"/>
      <c r="P990" s="997"/>
    </row>
    <row r="991" spans="1:16">
      <c r="A991" s="1823"/>
      <c r="B991" s="1068" t="s">
        <v>433</v>
      </c>
      <c r="C991" s="1816" t="s">
        <v>1234</v>
      </c>
      <c r="D991" s="1114"/>
      <c r="E991" s="1114"/>
      <c r="F991" s="1114"/>
      <c r="G991" s="1114"/>
      <c r="H991" s="1114"/>
      <c r="I991" s="1011"/>
      <c r="J991" s="1846"/>
      <c r="K991" s="1846"/>
      <c r="L991" s="1846"/>
    </row>
    <row r="992" spans="1:16">
      <c r="A992" s="1823"/>
      <c r="B992" s="1068"/>
      <c r="C992" s="1817" t="s">
        <v>1235</v>
      </c>
      <c r="D992" s="1127">
        <v>0.35</v>
      </c>
      <c r="E992" s="1125" t="s">
        <v>75</v>
      </c>
      <c r="F992" s="1001">
        <f>$I$762</f>
        <v>9784.419780000002</v>
      </c>
      <c r="G992" s="1034">
        <v>1</v>
      </c>
      <c r="H992" s="1125" t="s">
        <v>75</v>
      </c>
      <c r="I992" s="1011">
        <f>IF(G992="",D992*F992,(D992*F992/G992))</f>
        <v>3424.5469230000003</v>
      </c>
      <c r="J992" s="1846"/>
      <c r="K992" s="1846"/>
      <c r="L992" s="1846"/>
    </row>
    <row r="993" spans="1:16">
      <c r="A993" s="1823"/>
      <c r="B993" s="1068"/>
      <c r="C993" s="1816"/>
      <c r="D993" s="1114"/>
      <c r="E993" s="1114"/>
      <c r="F993" s="1114"/>
      <c r="G993" s="1114"/>
      <c r="H993" s="1114"/>
      <c r="I993" s="1011"/>
      <c r="J993" s="1846"/>
      <c r="K993" s="1846"/>
      <c r="L993" s="1846"/>
    </row>
    <row r="994" spans="1:16">
      <c r="A994" s="1823"/>
      <c r="B994" s="1098" t="s">
        <v>1215</v>
      </c>
      <c r="C994" s="1821" t="s">
        <v>1216</v>
      </c>
      <c r="D994" s="1114"/>
      <c r="E994" s="1114"/>
      <c r="F994" s="1114"/>
      <c r="G994" s="1114"/>
      <c r="H994" s="1114"/>
      <c r="I994" s="1011"/>
      <c r="J994" s="1114"/>
      <c r="K994" s="1114"/>
      <c r="L994" s="1011"/>
    </row>
    <row r="995" spans="1:16">
      <c r="A995" s="1823"/>
      <c r="B995" s="1068"/>
      <c r="C995" s="1816" t="s">
        <v>1217</v>
      </c>
      <c r="D995" s="1009" t="s">
        <v>1223</v>
      </c>
      <c r="E995" s="1098" t="s">
        <v>1207</v>
      </c>
      <c r="F995" s="1102" t="s">
        <v>1208</v>
      </c>
      <c r="G995" s="1102" t="s">
        <v>1209</v>
      </c>
      <c r="H995" s="1102" t="s">
        <v>1210</v>
      </c>
      <c r="I995" s="1102" t="s">
        <v>1211</v>
      </c>
      <c r="J995" s="1846"/>
      <c r="K995" s="1846"/>
      <c r="L995" s="1846"/>
    </row>
    <row r="996" spans="1:16">
      <c r="A996" s="1823"/>
      <c r="B996" s="1823"/>
      <c r="C996" s="1849" t="s">
        <v>1218</v>
      </c>
      <c r="D996" s="1093">
        <f t="shared" ref="D996:I996" si="174">$I$992</f>
        <v>3424.5469230000003</v>
      </c>
      <c r="E996" s="1093">
        <f t="shared" si="174"/>
        <v>3424.5469230000003</v>
      </c>
      <c r="F996" s="1093">
        <f t="shared" si="174"/>
        <v>3424.5469230000003</v>
      </c>
      <c r="G996" s="1093">
        <f t="shared" si="174"/>
        <v>3424.5469230000003</v>
      </c>
      <c r="H996" s="1093">
        <f t="shared" si="174"/>
        <v>3424.5469230000003</v>
      </c>
      <c r="I996" s="1093">
        <f t="shared" si="174"/>
        <v>3424.5469230000003</v>
      </c>
      <c r="J996" s="1823"/>
      <c r="K996" s="1823"/>
      <c r="L996" s="1823"/>
      <c r="M996" s="1037"/>
      <c r="N996" s="1037"/>
      <c r="O996" s="1037"/>
      <c r="P996" s="1037"/>
    </row>
    <row r="997" spans="1:16">
      <c r="A997" s="1823"/>
      <c r="B997" s="1823"/>
      <c r="C997" s="1849" t="s">
        <v>1182</v>
      </c>
      <c r="D997" s="1093">
        <f>'Civil-SOR'!$F$282</f>
        <v>1183</v>
      </c>
      <c r="E997" s="1093">
        <f>'Civil-SOR'!$F$282</f>
        <v>1183</v>
      </c>
      <c r="F997" s="1093">
        <f>'Civil-SOR'!$F$282</f>
        <v>1183</v>
      </c>
      <c r="G997" s="1093">
        <f>'Civil-SOR'!$F$282</f>
        <v>1183</v>
      </c>
      <c r="H997" s="1093">
        <f>'Civil-SOR'!$F$282</f>
        <v>1183</v>
      </c>
      <c r="I997" s="1093">
        <f>'Civil-SOR'!$F$282</f>
        <v>1183</v>
      </c>
      <c r="J997" s="1823"/>
      <c r="K997" s="1823"/>
      <c r="L997" s="1823"/>
      <c r="M997" s="1037"/>
      <c r="N997" s="1037"/>
      <c r="O997" s="1037"/>
      <c r="P997" s="1037"/>
    </row>
    <row r="998" spans="1:16">
      <c r="A998" s="1823"/>
      <c r="B998" s="1823"/>
      <c r="C998" s="1849" t="s">
        <v>453</v>
      </c>
      <c r="D998" s="1093">
        <f>'Civil-SOR'!$H$282</f>
        <v>0</v>
      </c>
      <c r="E998" s="1093">
        <f>'Civil-SOR'!$I$282</f>
        <v>0</v>
      </c>
      <c r="F998" s="1093">
        <f>'Civil-SOR'!$J$282</f>
        <v>0</v>
      </c>
      <c r="G998" s="1093">
        <f>'Civil-SOR'!$J$282</f>
        <v>0</v>
      </c>
      <c r="H998" s="1093">
        <f>'Civil-SOR'!$J$282</f>
        <v>0</v>
      </c>
      <c r="I998" s="1093">
        <f>'Civil-SOR'!$J$282</f>
        <v>0</v>
      </c>
      <c r="J998" s="1823"/>
      <c r="K998" s="1823"/>
      <c r="L998" s="1823"/>
      <c r="M998" s="1037"/>
      <c r="N998" s="1037"/>
      <c r="O998" s="1037"/>
      <c r="P998" s="1037"/>
    </row>
    <row r="999" spans="1:16">
      <c r="A999" s="1823"/>
      <c r="B999" s="1823"/>
      <c r="C999" s="1849" t="str">
        <f>Input!$C$47</f>
        <v>Add for MA @ 40%</v>
      </c>
      <c r="D999" s="1093">
        <f>D998*Input!$D$47</f>
        <v>0</v>
      </c>
      <c r="E999" s="1093">
        <f>E998*Input!$D$47</f>
        <v>0</v>
      </c>
      <c r="F999" s="1093">
        <f>F998*Input!$D$47</f>
        <v>0</v>
      </c>
      <c r="G999" s="1093">
        <f>G998*Input!$D$47</f>
        <v>0</v>
      </c>
      <c r="H999" s="1093">
        <f>H998*Input!$D$47</f>
        <v>0</v>
      </c>
      <c r="I999" s="1093">
        <f>I998*Input!$D$47</f>
        <v>0</v>
      </c>
      <c r="J999" s="1823"/>
      <c r="K999" s="1823"/>
      <c r="L999" s="1823"/>
      <c r="M999" s="1037"/>
      <c r="N999" s="1037"/>
      <c r="O999" s="1037"/>
      <c r="P999" s="1037"/>
    </row>
    <row r="1000" spans="1:16">
      <c r="A1000" s="1823"/>
      <c r="B1000" s="1823"/>
      <c r="C1000" s="1849" t="s">
        <v>1239</v>
      </c>
      <c r="D1000" s="1093">
        <v>0</v>
      </c>
      <c r="E1000" s="1093">
        <f>$F$665*$D$905*10%</f>
        <v>62.01420000000001</v>
      </c>
      <c r="F1000" s="1093">
        <f>$F$665*$D$905*20%</f>
        <v>124.02840000000002</v>
      </c>
      <c r="G1000" s="1093">
        <f>$F$665*$D$905*30%</f>
        <v>186.04260000000002</v>
      </c>
      <c r="H1000" s="1093">
        <f>$F$665*$D$905*40%</f>
        <v>248.05680000000004</v>
      </c>
      <c r="I1000" s="1093">
        <f>$F$665*$D$905*50%</f>
        <v>310.07100000000003</v>
      </c>
      <c r="J1000" s="1823"/>
      <c r="K1000" s="1823"/>
      <c r="L1000" s="1823"/>
      <c r="M1000" s="1037"/>
      <c r="N1000" s="1037"/>
      <c r="O1000" s="1037"/>
      <c r="P1000" s="1037"/>
    </row>
    <row r="1001" spans="1:16">
      <c r="A1001" s="1823"/>
      <c r="B1001" s="1823"/>
      <c r="C1001" s="1849" t="str">
        <f>Input!$C$47</f>
        <v>Add for MA @ 40%</v>
      </c>
      <c r="D1001" s="1093">
        <v>0</v>
      </c>
      <c r="E1001" s="1093">
        <f>ROUND(E1000*Input!$D$47,2)</f>
        <v>24.81</v>
      </c>
      <c r="F1001" s="1093">
        <f>ROUND(F1000*Input!$D$47,2)</f>
        <v>49.61</v>
      </c>
      <c r="G1001" s="1093">
        <f>ROUND(G1000*Input!$D$47,2)</f>
        <v>74.42</v>
      </c>
      <c r="H1001" s="1093">
        <f>ROUND(H1000*Input!$D$47,2)</f>
        <v>99.22</v>
      </c>
      <c r="I1001" s="1093">
        <f>ROUND(I1000*Input!$D$47,2)</f>
        <v>124.03</v>
      </c>
      <c r="J1001" s="1823"/>
      <c r="K1001" s="1823"/>
      <c r="L1001" s="1823"/>
      <c r="M1001" s="1037"/>
      <c r="N1001" s="1037"/>
      <c r="O1001" s="1037"/>
      <c r="P1001" s="1037"/>
    </row>
    <row r="1002" spans="1:16">
      <c r="A1002" s="1823"/>
      <c r="B1002" s="1823"/>
      <c r="C1002" s="1821" t="s">
        <v>1044</v>
      </c>
      <c r="D1002" s="1093">
        <f t="shared" ref="D1002:I1002" si="175">SUM(D996:D1001)</f>
        <v>4607.5469229999999</v>
      </c>
      <c r="E1002" s="1093">
        <f t="shared" si="175"/>
        <v>4694.3711229999999</v>
      </c>
      <c r="F1002" s="1093">
        <f t="shared" si="175"/>
        <v>4781.1853229999997</v>
      </c>
      <c r="G1002" s="1093">
        <f t="shared" si="175"/>
        <v>4868.0095229999997</v>
      </c>
      <c r="H1002" s="1093">
        <f t="shared" si="175"/>
        <v>4954.8237230000004</v>
      </c>
      <c r="I1002" s="1093">
        <f t="shared" si="175"/>
        <v>5041.6479229999995</v>
      </c>
      <c r="J1002" s="1823"/>
      <c r="K1002" s="1823"/>
      <c r="L1002" s="1823"/>
      <c r="M1002" s="1037"/>
      <c r="N1002" s="1037"/>
      <c r="O1002" s="1037"/>
      <c r="P1002" s="1037"/>
    </row>
    <row r="1003" spans="1:16">
      <c r="A1003" s="1823"/>
      <c r="B1003" s="1823"/>
      <c r="C1003" s="1849" t="str">
        <f>Input!$C$48</f>
        <v>Overheads &amp; Contractors Profit @ 13.615%</v>
      </c>
      <c r="D1003" s="1823">
        <f>ROUND(D1002*Input!$D$48,2)</f>
        <v>627.32000000000005</v>
      </c>
      <c r="E1003" s="1823">
        <f>ROUND(E1002*Input!$D$48,2)</f>
        <v>639.14</v>
      </c>
      <c r="F1003" s="1823">
        <f>ROUND(F1002*Input!$D$48,2)</f>
        <v>650.96</v>
      </c>
      <c r="G1003" s="1823">
        <f>ROUND(G1002*Input!$D$48,2)</f>
        <v>662.78</v>
      </c>
      <c r="H1003" s="1823">
        <f>ROUND(H1002*Input!$D$48,2)</f>
        <v>674.6</v>
      </c>
      <c r="I1003" s="1823">
        <f>ROUND(I1002*Input!$D$48,2)</f>
        <v>686.42</v>
      </c>
      <c r="J1003" s="1823"/>
      <c r="K1003" s="1823"/>
      <c r="L1003" s="1823"/>
      <c r="M1003" s="1037"/>
      <c r="N1003" s="1037"/>
      <c r="O1003" s="1037"/>
      <c r="P1003" s="1037"/>
    </row>
    <row r="1004" spans="1:16">
      <c r="A1004" s="1023"/>
      <c r="B1004" s="1023"/>
      <c r="C1004" s="1816" t="s">
        <v>1045</v>
      </c>
      <c r="D1004" s="1117">
        <f t="shared" ref="D1004:I1004" si="176">SUM(D1002:D1003)</f>
        <v>5234.8669229999996</v>
      </c>
      <c r="E1004" s="1117">
        <f t="shared" si="176"/>
        <v>5333.5111230000002</v>
      </c>
      <c r="F1004" s="1829">
        <f t="shared" si="176"/>
        <v>5432.1453229999997</v>
      </c>
      <c r="G1004" s="1829">
        <f t="shared" si="176"/>
        <v>5530.7895229999995</v>
      </c>
      <c r="H1004" s="1829">
        <f t="shared" si="176"/>
        <v>5629.4237230000008</v>
      </c>
      <c r="I1004" s="1829">
        <f t="shared" si="176"/>
        <v>5728.0679229999996</v>
      </c>
      <c r="J1004" s="996"/>
      <c r="K1004" s="996"/>
      <c r="L1004" s="996"/>
      <c r="M1004" s="997"/>
      <c r="N1004" s="997"/>
      <c r="O1004" s="997"/>
      <c r="P1004" s="997"/>
    </row>
    <row r="1005" spans="1:16">
      <c r="A1005" s="1023"/>
      <c r="B1005" s="1023"/>
      <c r="C1005" s="1843" t="s">
        <v>1034</v>
      </c>
      <c r="D1005" s="999">
        <f t="shared" ref="D1005:I1005" si="177">ROUND(D1004,0)</f>
        <v>5235</v>
      </c>
      <c r="E1005" s="999">
        <f t="shared" si="177"/>
        <v>5334</v>
      </c>
      <c r="F1005" s="999">
        <f t="shared" si="177"/>
        <v>5432</v>
      </c>
      <c r="G1005" s="999">
        <f t="shared" si="177"/>
        <v>5531</v>
      </c>
      <c r="H1005" s="999">
        <f t="shared" si="177"/>
        <v>5629</v>
      </c>
      <c r="I1005" s="999">
        <f t="shared" si="177"/>
        <v>5728</v>
      </c>
      <c r="J1005" s="996"/>
      <c r="K1005" s="996"/>
      <c r="L1005" s="996"/>
      <c r="M1005" s="997"/>
      <c r="N1005" s="997"/>
      <c r="O1005" s="997"/>
      <c r="P1005" s="997"/>
    </row>
    <row r="1006" spans="1:16">
      <c r="A1006" s="1823"/>
      <c r="B1006" s="1068"/>
      <c r="C1006" s="1129"/>
      <c r="D1006" s="1114"/>
      <c r="E1006" s="1114"/>
      <c r="F1006" s="1114"/>
      <c r="G1006" s="1114"/>
      <c r="H1006" s="1114"/>
      <c r="I1006" s="1009"/>
      <c r="J1006" s="1114"/>
      <c r="K1006" s="1114"/>
      <c r="L1006" s="1009"/>
    </row>
    <row r="1007" spans="1:16">
      <c r="A1007" s="1823"/>
      <c r="B1007" s="1068"/>
      <c r="C1007" s="1816" t="s">
        <v>1245</v>
      </c>
      <c r="D1007" s="1102" t="s">
        <v>1212</v>
      </c>
      <c r="E1007" s="1102" t="s">
        <v>1213</v>
      </c>
      <c r="F1007" s="1102" t="s">
        <v>1214</v>
      </c>
      <c r="G1007" s="1114"/>
      <c r="H1007" s="1114"/>
      <c r="I1007" s="1009"/>
      <c r="J1007" s="1114"/>
      <c r="K1007" s="1114"/>
      <c r="L1007" s="1009"/>
    </row>
    <row r="1008" spans="1:16">
      <c r="A1008" s="1823"/>
      <c r="B1008" s="1068"/>
      <c r="C1008" s="1849" t="s">
        <v>1218</v>
      </c>
      <c r="D1008" s="1093">
        <f>$I$992</f>
        <v>3424.5469230000003</v>
      </c>
      <c r="E1008" s="1093">
        <f>$I$992</f>
        <v>3424.5469230000003</v>
      </c>
      <c r="F1008" s="1093">
        <f>$I$992</f>
        <v>3424.5469230000003</v>
      </c>
      <c r="G1008" s="1114"/>
      <c r="H1008" s="1114"/>
      <c r="I1008" s="1009"/>
      <c r="J1008" s="1114"/>
      <c r="K1008" s="1114"/>
      <c r="L1008" s="1009"/>
    </row>
    <row r="1009" spans="1:64">
      <c r="A1009" s="1823"/>
      <c r="B1009" s="1068"/>
      <c r="C1009" s="1849" t="s">
        <v>1182</v>
      </c>
      <c r="D1009" s="1093">
        <f>'Civil-SOR'!$F$282</f>
        <v>1183</v>
      </c>
      <c r="E1009" s="1093">
        <f>'Civil-SOR'!$F$282</f>
        <v>1183</v>
      </c>
      <c r="F1009" s="1093">
        <f>'Civil-SOR'!$F$282</f>
        <v>1183</v>
      </c>
      <c r="G1009" s="1114"/>
      <c r="H1009" s="1114"/>
      <c r="I1009" s="1009"/>
      <c r="J1009" s="1114"/>
      <c r="K1009" s="1114"/>
      <c r="L1009" s="1009"/>
    </row>
    <row r="1010" spans="1:64">
      <c r="A1010" s="1823"/>
      <c r="B1010" s="1068"/>
      <c r="C1010" s="1849" t="s">
        <v>453</v>
      </c>
      <c r="D1010" s="1093">
        <f>'Civil-SOR'!$J$282</f>
        <v>0</v>
      </c>
      <c r="E1010" s="1093">
        <f>'Civil-SOR'!$J$282</f>
        <v>0</v>
      </c>
      <c r="F1010" s="1093">
        <f>'Civil-SOR'!$J$282</f>
        <v>0</v>
      </c>
      <c r="G1010" s="1114"/>
      <c r="H1010" s="1114"/>
      <c r="I1010" s="1009"/>
      <c r="J1010" s="1114"/>
      <c r="K1010" s="1114"/>
      <c r="L1010" s="1009"/>
    </row>
    <row r="1011" spans="1:64">
      <c r="A1011" s="1823"/>
      <c r="B1011" s="1068"/>
      <c r="C1011" s="1849" t="str">
        <f>Input!$C$47</f>
        <v>Add for MA @ 40%</v>
      </c>
      <c r="D1011" s="1093">
        <f>D1010*Input!$D$47</f>
        <v>0</v>
      </c>
      <c r="E1011" s="1093">
        <f>E1010*Input!$D$47</f>
        <v>0</v>
      </c>
      <c r="F1011" s="1093">
        <f>F1010*Input!$D$47</f>
        <v>0</v>
      </c>
      <c r="G1011" s="1114"/>
      <c r="H1011" s="1114"/>
      <c r="I1011" s="1009"/>
      <c r="J1011" s="1114"/>
      <c r="K1011" s="1114"/>
      <c r="L1011" s="1009"/>
    </row>
    <row r="1012" spans="1:64">
      <c r="A1012" s="1823"/>
      <c r="B1012" s="1068"/>
      <c r="C1012" s="1849" t="s">
        <v>1239</v>
      </c>
      <c r="D1012" s="1093">
        <f>$F$665*$D$905*60%</f>
        <v>372.08520000000004</v>
      </c>
      <c r="E1012" s="1093">
        <f>$F$665*$D$905*70%</f>
        <v>434.0994</v>
      </c>
      <c r="F1012" s="1093">
        <f>$F$665*$D$905*80%</f>
        <v>496.11360000000008</v>
      </c>
      <c r="G1012" s="1114"/>
      <c r="H1012" s="1114"/>
      <c r="I1012" s="1009"/>
      <c r="J1012" s="1114"/>
      <c r="K1012" s="1114"/>
      <c r="L1012" s="1009"/>
    </row>
    <row r="1013" spans="1:64">
      <c r="A1013" s="1823"/>
      <c r="B1013" s="1068"/>
      <c r="C1013" s="1849" t="str">
        <f>Input!$C$47</f>
        <v>Add for MA @ 40%</v>
      </c>
      <c r="D1013" s="1093">
        <f>ROUND(D1012*Input!$D$47,2)</f>
        <v>148.83000000000001</v>
      </c>
      <c r="E1013" s="1093">
        <f>ROUND(E1012*Input!$D$47,2)</f>
        <v>173.64</v>
      </c>
      <c r="F1013" s="1093">
        <f>ROUND(F1012*Input!$D$47,2)</f>
        <v>198.45</v>
      </c>
      <c r="G1013" s="1114"/>
      <c r="H1013" s="1114"/>
      <c r="I1013" s="1009"/>
      <c r="J1013" s="1114"/>
      <c r="K1013" s="1114"/>
      <c r="L1013" s="1009"/>
    </row>
    <row r="1014" spans="1:64">
      <c r="A1014" s="1823"/>
      <c r="B1014" s="1068"/>
      <c r="C1014" s="1821" t="s">
        <v>1044</v>
      </c>
      <c r="D1014" s="1093">
        <f>SUM(D1008:D1013)</f>
        <v>5128.4621230000002</v>
      </c>
      <c r="E1014" s="1093">
        <f>SUM(E1008:E1013)</f>
        <v>5215.2863230000003</v>
      </c>
      <c r="F1014" s="1093">
        <f>SUM(F1008:F1013)</f>
        <v>5302.1105229999994</v>
      </c>
      <c r="G1014" s="1114"/>
      <c r="H1014" s="1114"/>
      <c r="I1014" s="1009"/>
      <c r="J1014" s="1114"/>
      <c r="K1014" s="1114"/>
      <c r="L1014" s="1009"/>
    </row>
    <row r="1015" spans="1:64">
      <c r="A1015" s="1823"/>
      <c r="B1015" s="1068"/>
      <c r="C1015" s="1849" t="str">
        <f>Input!$C$48</f>
        <v>Overheads &amp; Contractors Profit @ 13.615%</v>
      </c>
      <c r="D1015" s="1823">
        <f>ROUND(D1014*Input!$D$48,2)</f>
        <v>698.24</v>
      </c>
      <c r="E1015" s="1823">
        <f>ROUND(E1014*Input!$D$48,2)</f>
        <v>710.06</v>
      </c>
      <c r="F1015" s="1823">
        <f>ROUND(F1014*Input!$D$48,2)</f>
        <v>721.88</v>
      </c>
      <c r="G1015" s="1114"/>
      <c r="H1015" s="1114"/>
      <c r="I1015" s="1009"/>
      <c r="J1015" s="1114"/>
      <c r="K1015" s="1114"/>
      <c r="L1015" s="1009"/>
    </row>
    <row r="1016" spans="1:64">
      <c r="A1016" s="1823"/>
      <c r="B1016" s="1068"/>
      <c r="C1016" s="1816" t="s">
        <v>1045</v>
      </c>
      <c r="D1016" s="1829">
        <f>SUM(D1014:D1015)</f>
        <v>5826.702123</v>
      </c>
      <c r="E1016" s="1829">
        <f>SUM(E1014:E1015)</f>
        <v>5925.3463229999998</v>
      </c>
      <c r="F1016" s="1829">
        <f>SUM(F1014:F1015)</f>
        <v>6023.9905229999995</v>
      </c>
      <c r="G1016" s="1114"/>
      <c r="H1016" s="1114"/>
      <c r="I1016" s="1009"/>
      <c r="J1016" s="1114"/>
      <c r="K1016" s="1114"/>
      <c r="L1016" s="1009"/>
    </row>
    <row r="1017" spans="1:64">
      <c r="A1017" s="1823"/>
      <c r="B1017" s="1068"/>
      <c r="C1017" s="1843" t="s">
        <v>1034</v>
      </c>
      <c r="D1017" s="999">
        <f>ROUND(D1016,0)</f>
        <v>5827</v>
      </c>
      <c r="E1017" s="999">
        <f>ROUND(E1016,0)</f>
        <v>5925</v>
      </c>
      <c r="F1017" s="999">
        <f>ROUND(F1016,0)</f>
        <v>6024</v>
      </c>
      <c r="G1017" s="1114"/>
      <c r="H1017" s="1114"/>
      <c r="I1017" s="1009"/>
      <c r="J1017" s="1114"/>
      <c r="K1017" s="1114"/>
      <c r="L1017" s="1009"/>
    </row>
    <row r="1018" spans="1:64">
      <c r="A1018" s="1823"/>
      <c r="B1018" s="1068"/>
      <c r="C1018" s="1129"/>
      <c r="D1018" s="1114"/>
      <c r="E1018" s="1114"/>
      <c r="F1018" s="1114"/>
      <c r="G1018" s="1114"/>
      <c r="H1018" s="1114"/>
      <c r="I1018" s="1009"/>
      <c r="J1018" s="1114"/>
      <c r="K1018" s="1114"/>
      <c r="L1018" s="1009"/>
    </row>
    <row r="1019" spans="1:64">
      <c r="A1019" s="1823"/>
      <c r="B1019" s="1068"/>
      <c r="C1019" s="1129"/>
      <c r="D1019" s="1114"/>
      <c r="E1019" s="1114"/>
      <c r="F1019" s="1114"/>
      <c r="G1019" s="1114"/>
      <c r="H1019" s="1114"/>
      <c r="I1019" s="1009"/>
      <c r="J1019" s="1114"/>
      <c r="K1019" s="1114"/>
      <c r="L1019" s="1009"/>
    </row>
    <row r="1020" spans="1:64" ht="126.2" customHeight="1">
      <c r="A1020" s="1822">
        <f>1+A743</f>
        <v>16</v>
      </c>
      <c r="B1020" s="1822"/>
      <c r="C1020" s="2036" t="s">
        <v>3673</v>
      </c>
      <c r="D1020" s="2036"/>
      <c r="E1020" s="2036"/>
      <c r="F1020" s="2036"/>
      <c r="G1020" s="2036"/>
      <c r="H1020" s="2036"/>
      <c r="I1020" s="1825"/>
      <c r="J1020" s="1846"/>
      <c r="K1020" s="1846"/>
      <c r="L1020" s="1846"/>
    </row>
    <row r="1021" spans="1:64">
      <c r="A1021" s="1823"/>
      <c r="B1021" s="1068"/>
      <c r="C1021" s="1049" t="s">
        <v>1246</v>
      </c>
      <c r="D1021" s="1846"/>
      <c r="E1021" s="1846"/>
      <c r="F1021" s="1068"/>
      <c r="G1021" s="1105"/>
      <c r="H1021" s="1098"/>
      <c r="I1021" s="1080"/>
      <c r="J1021" s="1846"/>
      <c r="K1021" s="1846"/>
      <c r="L1021" s="1846"/>
    </row>
    <row r="1022" spans="1:64">
      <c r="A1022" s="1823"/>
      <c r="B1022" s="1068"/>
      <c r="C1022" s="1775" t="s">
        <v>1247</v>
      </c>
      <c r="D1022" s="1846"/>
      <c r="E1022" s="1846"/>
      <c r="F1022" s="1068"/>
      <c r="G1022" s="1105"/>
      <c r="H1022" s="1098"/>
      <c r="I1022" s="1080"/>
      <c r="J1022" s="1846"/>
      <c r="K1022" s="1846"/>
      <c r="L1022" s="1846"/>
    </row>
    <row r="1023" spans="1:64">
      <c r="A1023" s="1823"/>
      <c r="B1023" s="1068"/>
      <c r="C1023" s="1821" t="s">
        <v>1139</v>
      </c>
      <c r="D1023" s="1849"/>
      <c r="E1023" s="1849"/>
      <c r="F1023" s="1847"/>
      <c r="G1023" s="1849"/>
      <c r="H1023" s="1817"/>
      <c r="I1023" s="1848"/>
      <c r="J1023" s="1846"/>
      <c r="K1023" s="1846"/>
      <c r="L1023" s="1846"/>
    </row>
    <row r="1024" spans="1:64">
      <c r="A1024" s="1823"/>
      <c r="B1024" s="1823"/>
      <c r="C1024" s="1817" t="s">
        <v>889</v>
      </c>
      <c r="D1024" s="1018">
        <v>380</v>
      </c>
      <c r="E1024" s="1002" t="s">
        <v>1110</v>
      </c>
      <c r="F1024" s="1093">
        <f>LEAD!$N$6</f>
        <v>5200</v>
      </c>
      <c r="G1024" s="1020">
        <v>1000</v>
      </c>
      <c r="H1024" s="1002" t="s">
        <v>1110</v>
      </c>
      <c r="I1024" s="1001">
        <f t="shared" ref="I1024:I1026" si="178">IF(G1024="",D1024*F1024,(D1024*F1024/G1024))</f>
        <v>1976</v>
      </c>
      <c r="J1024" s="1002"/>
      <c r="K1024" s="1002"/>
      <c r="L1024" s="1002"/>
      <c r="M1024" s="1003"/>
      <c r="N1024" s="1003"/>
      <c r="O1024" s="1003"/>
      <c r="P1024" s="1003"/>
      <c r="Q1024" s="1003"/>
      <c r="R1024" s="1003"/>
      <c r="S1024" s="1003"/>
      <c r="T1024" s="1003"/>
      <c r="U1024" s="1003"/>
      <c r="V1024" s="1003"/>
      <c r="W1024" s="1003"/>
      <c r="X1024" s="1003"/>
      <c r="Y1024" s="1003"/>
      <c r="Z1024" s="1003"/>
      <c r="AA1024" s="1003"/>
      <c r="AB1024" s="1003"/>
      <c r="AC1024" s="1003"/>
      <c r="AD1024" s="1003"/>
      <c r="AE1024" s="1003"/>
      <c r="AF1024" s="1003"/>
      <c r="AG1024" s="1003"/>
      <c r="AH1024" s="1003"/>
      <c r="AI1024" s="1003"/>
      <c r="AJ1024" s="1003"/>
      <c r="AK1024" s="1003"/>
      <c r="AL1024" s="1003"/>
      <c r="AM1024" s="1003"/>
      <c r="AN1024" s="1003"/>
      <c r="AO1024" s="1003"/>
      <c r="AP1024" s="1003"/>
      <c r="AQ1024" s="1003"/>
      <c r="AR1024" s="1003"/>
      <c r="AS1024" s="1003"/>
      <c r="AT1024" s="1003"/>
      <c r="AU1024" s="1003"/>
      <c r="AV1024" s="1003"/>
      <c r="AW1024" s="1003"/>
      <c r="AX1024" s="1003"/>
      <c r="AY1024" s="1003"/>
      <c r="AZ1024" s="1003"/>
      <c r="BA1024" s="1003"/>
      <c r="BB1024" s="1003"/>
      <c r="BC1024" s="1003"/>
      <c r="BD1024" s="1003"/>
      <c r="BE1024" s="1003"/>
      <c r="BF1024" s="1003"/>
      <c r="BG1024" s="1003"/>
      <c r="BH1024" s="1003"/>
      <c r="BI1024" s="1003"/>
      <c r="BJ1024" s="1003"/>
      <c r="BK1024" s="1003"/>
      <c r="BL1024" s="1003"/>
    </row>
    <row r="1025" spans="1:64">
      <c r="A1025" s="1823"/>
      <c r="B1025" s="1823"/>
      <c r="C1025" s="1817" t="s">
        <v>1171</v>
      </c>
      <c r="D1025" s="1018">
        <v>0.8</v>
      </c>
      <c r="E1025" s="1002" t="s">
        <v>484</v>
      </c>
      <c r="F1025" s="1001">
        <f>$F$16</f>
        <v>1447.96</v>
      </c>
      <c r="G1025" s="1020">
        <v>1</v>
      </c>
      <c r="H1025" s="1002" t="s">
        <v>484</v>
      </c>
      <c r="I1025" s="1001">
        <f t="shared" si="178"/>
        <v>1158.3680000000002</v>
      </c>
      <c r="J1025" s="1002"/>
      <c r="K1025" s="1002"/>
      <c r="L1025" s="1002"/>
      <c r="M1025" s="1003"/>
      <c r="N1025" s="1003"/>
      <c r="O1025" s="1003"/>
      <c r="P1025" s="1003"/>
      <c r="Q1025" s="1003"/>
      <c r="R1025" s="1003"/>
      <c r="S1025" s="1003"/>
      <c r="T1025" s="1003"/>
      <c r="U1025" s="1003"/>
      <c r="V1025" s="1003"/>
      <c r="W1025" s="1003"/>
      <c r="X1025" s="1003"/>
      <c r="Y1025" s="1003"/>
      <c r="Z1025" s="1003"/>
      <c r="AA1025" s="1003"/>
      <c r="AB1025" s="1003"/>
      <c r="AC1025" s="1003"/>
      <c r="AD1025" s="1003"/>
      <c r="AE1025" s="1003"/>
      <c r="AF1025" s="1003"/>
      <c r="AG1025" s="1003"/>
      <c r="AH1025" s="1003"/>
      <c r="AI1025" s="1003"/>
      <c r="AJ1025" s="1003"/>
      <c r="AK1025" s="1003"/>
      <c r="AL1025" s="1003"/>
      <c r="AM1025" s="1003"/>
      <c r="AN1025" s="1003"/>
      <c r="AO1025" s="1003"/>
      <c r="AP1025" s="1003"/>
      <c r="AQ1025" s="1003"/>
      <c r="AR1025" s="1003"/>
      <c r="AS1025" s="1003"/>
      <c r="AT1025" s="1003"/>
      <c r="AU1025" s="1003"/>
      <c r="AV1025" s="1003"/>
      <c r="AW1025" s="1003"/>
      <c r="AX1025" s="1003"/>
      <c r="AY1025" s="1003"/>
      <c r="AZ1025" s="1003"/>
      <c r="BA1025" s="1003"/>
      <c r="BB1025" s="1003"/>
      <c r="BC1025" s="1003"/>
      <c r="BD1025" s="1003"/>
      <c r="BE1025" s="1003"/>
      <c r="BF1025" s="1003"/>
      <c r="BG1025" s="1003"/>
      <c r="BH1025" s="1003"/>
      <c r="BI1025" s="1003"/>
      <c r="BJ1025" s="1003"/>
      <c r="BK1025" s="1003"/>
      <c r="BL1025" s="1003"/>
    </row>
    <row r="1026" spans="1:64">
      <c r="A1026" s="1823"/>
      <c r="B1026" s="1823"/>
      <c r="C1026" s="1817" t="s">
        <v>1163</v>
      </c>
      <c r="D1026" s="1018">
        <v>0.4</v>
      </c>
      <c r="E1026" s="1002" t="s">
        <v>484</v>
      </c>
      <c r="F1026" s="1093">
        <f>LEAD!$N$12</f>
        <v>2253.91</v>
      </c>
      <c r="G1026" s="1020">
        <v>1</v>
      </c>
      <c r="H1026" s="1002" t="s">
        <v>484</v>
      </c>
      <c r="I1026" s="1001">
        <f t="shared" si="178"/>
        <v>901.56399999999996</v>
      </c>
      <c r="J1026" s="1002"/>
      <c r="K1026" s="1002"/>
      <c r="L1026" s="1002"/>
      <c r="M1026" s="1003"/>
      <c r="N1026" s="1003"/>
      <c r="O1026" s="1003"/>
      <c r="P1026" s="1003"/>
      <c r="Q1026" s="1003"/>
      <c r="R1026" s="1003"/>
      <c r="S1026" s="1003"/>
      <c r="T1026" s="1003"/>
      <c r="U1026" s="1003"/>
      <c r="V1026" s="1003"/>
      <c r="W1026" s="1003"/>
      <c r="X1026" s="1003"/>
      <c r="Y1026" s="1003"/>
      <c r="Z1026" s="1003"/>
      <c r="AA1026" s="1003"/>
      <c r="AB1026" s="1003"/>
      <c r="AC1026" s="1003"/>
      <c r="AD1026" s="1003"/>
      <c r="AE1026" s="1003"/>
      <c r="AF1026" s="1003"/>
      <c r="AG1026" s="1003"/>
      <c r="AH1026" s="1003"/>
      <c r="AI1026" s="1003"/>
      <c r="AJ1026" s="1003"/>
      <c r="AK1026" s="1003"/>
      <c r="AL1026" s="1003"/>
      <c r="AM1026" s="1003"/>
      <c r="AN1026" s="1003"/>
      <c r="AO1026" s="1003"/>
      <c r="AP1026" s="1003"/>
      <c r="AQ1026" s="1003"/>
      <c r="AR1026" s="1003"/>
      <c r="AS1026" s="1003"/>
      <c r="AT1026" s="1003"/>
      <c r="AU1026" s="1003"/>
      <c r="AV1026" s="1003"/>
      <c r="AW1026" s="1003"/>
      <c r="AX1026" s="1003"/>
      <c r="AY1026" s="1003"/>
      <c r="AZ1026" s="1003"/>
      <c r="BA1026" s="1003"/>
      <c r="BB1026" s="1003"/>
      <c r="BC1026" s="1003"/>
      <c r="BD1026" s="1003"/>
      <c r="BE1026" s="1003"/>
      <c r="BF1026" s="1003"/>
      <c r="BG1026" s="1003"/>
      <c r="BH1026" s="1003"/>
      <c r="BI1026" s="1003"/>
      <c r="BJ1026" s="1003"/>
      <c r="BK1026" s="1003"/>
      <c r="BL1026" s="1003"/>
    </row>
    <row r="1027" spans="1:64">
      <c r="A1027" s="1823"/>
      <c r="B1027" s="1823"/>
      <c r="C1027" s="1816" t="s">
        <v>1172</v>
      </c>
      <c r="D1027" s="1002"/>
      <c r="E1027" s="1002"/>
      <c r="F1027" s="1823"/>
      <c r="G1027" s="1002"/>
      <c r="H1027" s="1002"/>
      <c r="I1027" s="1093"/>
      <c r="J1027" s="1002"/>
      <c r="K1027" s="1002"/>
      <c r="L1027" s="1002"/>
      <c r="M1027" s="1003"/>
      <c r="N1027" s="1003"/>
      <c r="O1027" s="1003"/>
      <c r="P1027" s="1003"/>
      <c r="Q1027" s="1003"/>
      <c r="R1027" s="1003"/>
      <c r="S1027" s="1003"/>
      <c r="T1027" s="1003"/>
      <c r="U1027" s="1003"/>
      <c r="V1027" s="1003"/>
      <c r="W1027" s="1003"/>
      <c r="X1027" s="1003"/>
      <c r="Y1027" s="1003"/>
      <c r="Z1027" s="1003"/>
      <c r="AA1027" s="1003"/>
      <c r="AB1027" s="1003"/>
      <c r="AC1027" s="1003"/>
      <c r="AD1027" s="1003"/>
      <c r="AE1027" s="1003"/>
      <c r="AF1027" s="1003"/>
      <c r="AG1027" s="1003"/>
      <c r="AH1027" s="1003"/>
      <c r="AI1027" s="1003"/>
      <c r="AJ1027" s="1003"/>
      <c r="AK1027" s="1003"/>
      <c r="AL1027" s="1003"/>
      <c r="AM1027" s="1003"/>
      <c r="AN1027" s="1003"/>
      <c r="AO1027" s="1003"/>
      <c r="AP1027" s="1003"/>
      <c r="AQ1027" s="1003"/>
      <c r="AR1027" s="1003"/>
      <c r="AS1027" s="1003"/>
      <c r="AT1027" s="1003"/>
      <c r="AU1027" s="1003"/>
      <c r="AV1027" s="1003"/>
      <c r="AW1027" s="1003"/>
      <c r="AX1027" s="1003"/>
      <c r="AY1027" s="1003"/>
      <c r="AZ1027" s="1003"/>
      <c r="BA1027" s="1003"/>
      <c r="BB1027" s="1003"/>
      <c r="BC1027" s="1003"/>
      <c r="BD1027" s="1003"/>
      <c r="BE1027" s="1003"/>
      <c r="BF1027" s="1003"/>
      <c r="BG1027" s="1003"/>
      <c r="BH1027" s="1003"/>
      <c r="BI1027" s="1003"/>
      <c r="BJ1027" s="1003"/>
      <c r="BK1027" s="1003"/>
      <c r="BL1027" s="1003"/>
    </row>
    <row r="1028" spans="1:64">
      <c r="A1028" s="1823"/>
      <c r="B1028" s="1823"/>
      <c r="C1028" s="1817" t="s">
        <v>1173</v>
      </c>
      <c r="D1028" s="1099">
        <v>6.7000000000000004E-2</v>
      </c>
      <c r="E1028" s="1002" t="s">
        <v>955</v>
      </c>
      <c r="F1028" s="1093">
        <f>'Civil-SOR'!$G$293</f>
        <v>580</v>
      </c>
      <c r="G1028" s="1020">
        <v>1</v>
      </c>
      <c r="H1028" s="1002" t="s">
        <v>501</v>
      </c>
      <c r="I1028" s="1001">
        <f t="shared" ref="I1028:I1031" si="179">IF(G1028="",D1028*F1028,(D1028*F1028/G1028))</f>
        <v>38.86</v>
      </c>
      <c r="J1028" s="1002"/>
      <c r="K1028" s="1002"/>
      <c r="L1028" s="1002"/>
      <c r="M1028" s="1003"/>
      <c r="N1028" s="1003"/>
      <c r="O1028" s="1003"/>
      <c r="P1028" s="1003"/>
      <c r="Q1028" s="1003"/>
      <c r="R1028" s="1003"/>
      <c r="S1028" s="1003"/>
      <c r="T1028" s="1003"/>
      <c r="U1028" s="1003"/>
      <c r="V1028" s="1003"/>
      <c r="W1028" s="1003"/>
      <c r="X1028" s="1003"/>
      <c r="Y1028" s="1003"/>
      <c r="Z1028" s="1003"/>
      <c r="AA1028" s="1003"/>
      <c r="AB1028" s="1003"/>
      <c r="AC1028" s="1003"/>
      <c r="AD1028" s="1003"/>
      <c r="AE1028" s="1003"/>
      <c r="AF1028" s="1003"/>
      <c r="AG1028" s="1003"/>
      <c r="AH1028" s="1003"/>
      <c r="AI1028" s="1003"/>
      <c r="AJ1028" s="1003"/>
      <c r="AK1028" s="1003"/>
      <c r="AL1028" s="1003"/>
      <c r="AM1028" s="1003"/>
      <c r="AN1028" s="1003"/>
      <c r="AO1028" s="1003"/>
      <c r="AP1028" s="1003"/>
      <c r="AQ1028" s="1003"/>
      <c r="AR1028" s="1003"/>
      <c r="AS1028" s="1003"/>
      <c r="AT1028" s="1003"/>
      <c r="AU1028" s="1003"/>
      <c r="AV1028" s="1003"/>
      <c r="AW1028" s="1003"/>
      <c r="AX1028" s="1003"/>
      <c r="AY1028" s="1003"/>
      <c r="AZ1028" s="1003"/>
      <c r="BA1028" s="1003"/>
      <c r="BB1028" s="1003"/>
      <c r="BC1028" s="1003"/>
      <c r="BD1028" s="1003"/>
      <c r="BE1028" s="1003"/>
      <c r="BF1028" s="1003"/>
      <c r="BG1028" s="1003"/>
      <c r="BH1028" s="1003"/>
      <c r="BI1028" s="1003"/>
      <c r="BJ1028" s="1003"/>
      <c r="BK1028" s="1003"/>
      <c r="BL1028" s="1003"/>
    </row>
    <row r="1029" spans="1:64">
      <c r="A1029" s="1823"/>
      <c r="B1029" s="1823"/>
      <c r="C1029" s="1817" t="s">
        <v>1174</v>
      </c>
      <c r="D1029" s="1099">
        <v>0.13300000000000001</v>
      </c>
      <c r="E1029" s="1002" t="s">
        <v>955</v>
      </c>
      <c r="F1029" s="1093">
        <f>'Civil-SOR'!$G$302</f>
        <v>550</v>
      </c>
      <c r="G1029" s="1020">
        <v>1</v>
      </c>
      <c r="H1029" s="1002" t="str">
        <f>H1028</f>
        <v>Each</v>
      </c>
      <c r="I1029" s="1001">
        <f t="shared" si="179"/>
        <v>73.150000000000006</v>
      </c>
      <c r="J1029" s="1002"/>
      <c r="K1029" s="1002"/>
      <c r="L1029" s="1002"/>
      <c r="M1029" s="1003"/>
      <c r="N1029" s="1003"/>
      <c r="O1029" s="1003"/>
      <c r="P1029" s="1003"/>
      <c r="Q1029" s="1003"/>
      <c r="R1029" s="1003"/>
      <c r="S1029" s="1003"/>
      <c r="T1029" s="1003"/>
      <c r="U1029" s="1003"/>
      <c r="V1029" s="1003"/>
      <c r="W1029" s="1003"/>
      <c r="X1029" s="1003"/>
      <c r="Y1029" s="1003"/>
      <c r="Z1029" s="1003"/>
      <c r="AA1029" s="1003"/>
      <c r="AB1029" s="1003"/>
      <c r="AC1029" s="1003"/>
      <c r="AD1029" s="1003"/>
      <c r="AE1029" s="1003"/>
      <c r="AF1029" s="1003"/>
      <c r="AG1029" s="1003"/>
      <c r="AH1029" s="1003"/>
      <c r="AI1029" s="1003"/>
      <c r="AJ1029" s="1003"/>
      <c r="AK1029" s="1003"/>
      <c r="AL1029" s="1003"/>
      <c r="AM1029" s="1003"/>
      <c r="AN1029" s="1003"/>
      <c r="AO1029" s="1003"/>
      <c r="AP1029" s="1003"/>
      <c r="AQ1029" s="1003"/>
      <c r="AR1029" s="1003"/>
      <c r="AS1029" s="1003"/>
      <c r="AT1029" s="1003"/>
      <c r="AU1029" s="1003"/>
      <c r="AV1029" s="1003"/>
      <c r="AW1029" s="1003"/>
      <c r="AX1029" s="1003"/>
      <c r="AY1029" s="1003"/>
      <c r="AZ1029" s="1003"/>
      <c r="BA1029" s="1003"/>
      <c r="BB1029" s="1003"/>
      <c r="BC1029" s="1003"/>
      <c r="BD1029" s="1003"/>
      <c r="BE1029" s="1003"/>
      <c r="BF1029" s="1003"/>
      <c r="BG1029" s="1003"/>
      <c r="BH1029" s="1003"/>
      <c r="BI1029" s="1003"/>
      <c r="BJ1029" s="1003"/>
      <c r="BK1029" s="1003"/>
      <c r="BL1029" s="1003"/>
    </row>
    <row r="1030" spans="1:64">
      <c r="A1030" s="1823"/>
      <c r="B1030" s="1823"/>
      <c r="C1030" s="1817" t="s">
        <v>1248</v>
      </c>
      <c r="D1030" s="1099">
        <v>3.077</v>
      </c>
      <c r="E1030" s="1002" t="s">
        <v>955</v>
      </c>
      <c r="F1030" s="1093">
        <f>'Civil-SOR'!$G$307</f>
        <v>520</v>
      </c>
      <c r="G1030" s="1020">
        <v>1</v>
      </c>
      <c r="H1030" s="1002" t="str">
        <f>H1028</f>
        <v>Each</v>
      </c>
      <c r="I1030" s="1001">
        <f t="shared" si="179"/>
        <v>1600.04</v>
      </c>
      <c r="J1030" s="1002"/>
      <c r="K1030" s="1002"/>
      <c r="L1030" s="1002"/>
      <c r="M1030" s="1003"/>
      <c r="N1030" s="1003"/>
      <c r="O1030" s="1003"/>
      <c r="P1030" s="1003"/>
      <c r="Q1030" s="1003"/>
      <c r="R1030" s="1003"/>
      <c r="S1030" s="1003"/>
      <c r="T1030" s="1003"/>
      <c r="U1030" s="1003"/>
      <c r="V1030" s="1003"/>
      <c r="W1030" s="1003"/>
      <c r="X1030" s="1003"/>
      <c r="Y1030" s="1003"/>
      <c r="Z1030" s="1003"/>
      <c r="AA1030" s="1003"/>
      <c r="AB1030" s="1003"/>
      <c r="AC1030" s="1003"/>
      <c r="AD1030" s="1003"/>
      <c r="AE1030" s="1003"/>
      <c r="AF1030" s="1003"/>
      <c r="AG1030" s="1003"/>
      <c r="AH1030" s="1003"/>
      <c r="AI1030" s="1003"/>
      <c r="AJ1030" s="1003"/>
      <c r="AK1030" s="1003"/>
      <c r="AL1030" s="1003"/>
      <c r="AM1030" s="1003"/>
      <c r="AN1030" s="1003"/>
      <c r="AO1030" s="1003"/>
      <c r="AP1030" s="1003"/>
      <c r="AQ1030" s="1003"/>
      <c r="AR1030" s="1003"/>
      <c r="AS1030" s="1003"/>
      <c r="AT1030" s="1003"/>
      <c r="AU1030" s="1003"/>
      <c r="AV1030" s="1003"/>
      <c r="AW1030" s="1003"/>
      <c r="AX1030" s="1003"/>
      <c r="AY1030" s="1003"/>
      <c r="AZ1030" s="1003"/>
      <c r="BA1030" s="1003"/>
      <c r="BB1030" s="1003"/>
      <c r="BC1030" s="1003"/>
      <c r="BD1030" s="1003"/>
      <c r="BE1030" s="1003"/>
      <c r="BF1030" s="1003"/>
      <c r="BG1030" s="1003"/>
      <c r="BH1030" s="1003"/>
      <c r="BI1030" s="1003"/>
      <c r="BJ1030" s="1003"/>
      <c r="BK1030" s="1003"/>
      <c r="BL1030" s="1003"/>
    </row>
    <row r="1031" spans="1:64">
      <c r="A1031" s="1823"/>
      <c r="B1031" s="1823"/>
      <c r="C1031" s="1817" t="str">
        <f>Input!$C$47</f>
        <v>Add for MA @ 40%</v>
      </c>
      <c r="D1031" s="1018">
        <f>Input!$D$47</f>
        <v>0.4</v>
      </c>
      <c r="E1031" s="1002"/>
      <c r="F1031" s="1093">
        <f>SUM(I1028:I1030)</f>
        <v>1712.05</v>
      </c>
      <c r="G1031" s="1020"/>
      <c r="H1031" s="1002"/>
      <c r="I1031" s="1001">
        <f t="shared" si="179"/>
        <v>684.82</v>
      </c>
      <c r="J1031" s="1002"/>
      <c r="K1031" s="1002"/>
      <c r="L1031" s="1002"/>
      <c r="M1031" s="1003"/>
      <c r="N1031" s="1003"/>
      <c r="O1031" s="1003"/>
      <c r="P1031" s="1003"/>
      <c r="Q1031" s="1003"/>
      <c r="R1031" s="1003"/>
      <c r="S1031" s="1003"/>
      <c r="T1031" s="1003"/>
      <c r="U1031" s="1003"/>
      <c r="V1031" s="1003"/>
      <c r="W1031" s="1003"/>
      <c r="X1031" s="1003"/>
      <c r="Y1031" s="1003"/>
      <c r="Z1031" s="1003"/>
      <c r="AA1031" s="1003"/>
      <c r="AB1031" s="1003"/>
      <c r="AC1031" s="1003"/>
      <c r="AD1031" s="1003"/>
      <c r="AE1031" s="1003"/>
      <c r="AF1031" s="1003"/>
      <c r="AG1031" s="1003"/>
      <c r="AH1031" s="1003"/>
      <c r="AI1031" s="1003"/>
      <c r="AJ1031" s="1003"/>
      <c r="AK1031" s="1003"/>
      <c r="AL1031" s="1003"/>
      <c r="AM1031" s="1003"/>
      <c r="AN1031" s="1003"/>
      <c r="AO1031" s="1003"/>
      <c r="AP1031" s="1003"/>
      <c r="AQ1031" s="1003"/>
      <c r="AR1031" s="1003"/>
      <c r="AS1031" s="1003"/>
      <c r="AT1031" s="1003"/>
      <c r="AU1031" s="1003"/>
      <c r="AV1031" s="1003"/>
      <c r="AW1031" s="1003"/>
      <c r="AX1031" s="1003"/>
      <c r="AY1031" s="1003"/>
      <c r="AZ1031" s="1003"/>
      <c r="BA1031" s="1003"/>
      <c r="BB1031" s="1003"/>
      <c r="BC1031" s="1003"/>
      <c r="BD1031" s="1003"/>
      <c r="BE1031" s="1003"/>
      <c r="BF1031" s="1003"/>
      <c r="BG1031" s="1003"/>
      <c r="BH1031" s="1003"/>
      <c r="BI1031" s="1003"/>
      <c r="BJ1031" s="1003"/>
      <c r="BK1031" s="1003"/>
      <c r="BL1031" s="1003"/>
    </row>
    <row r="1032" spans="1:64">
      <c r="A1032" s="1823"/>
      <c r="B1032" s="1823"/>
      <c r="C1032" s="1816" t="s">
        <v>1176</v>
      </c>
      <c r="D1032" s="1018"/>
      <c r="E1032" s="1002"/>
      <c r="F1032" s="1093"/>
      <c r="G1032" s="1020"/>
      <c r="H1032" s="1002"/>
      <c r="I1032" s="1001"/>
      <c r="J1032" s="1002"/>
      <c r="K1032" s="1002"/>
      <c r="L1032" s="1002"/>
      <c r="M1032" s="1003"/>
      <c r="N1032" s="1003"/>
      <c r="O1032" s="1003"/>
      <c r="P1032" s="1003"/>
      <c r="Q1032" s="1003"/>
      <c r="R1032" s="1003"/>
      <c r="S1032" s="1003"/>
      <c r="T1032" s="1003"/>
      <c r="U1032" s="1003"/>
      <c r="V1032" s="1003"/>
      <c r="W1032" s="1003"/>
      <c r="X1032" s="1003"/>
      <c r="Y1032" s="1003"/>
      <c r="Z1032" s="1003"/>
      <c r="AA1032" s="1003"/>
      <c r="AB1032" s="1003"/>
      <c r="AC1032" s="1003"/>
      <c r="AD1032" s="1003"/>
      <c r="AE1032" s="1003"/>
      <c r="AF1032" s="1003"/>
      <c r="AG1032" s="1003"/>
      <c r="AH1032" s="1003"/>
      <c r="AI1032" s="1003"/>
      <c r="AJ1032" s="1003"/>
      <c r="AK1032" s="1003"/>
      <c r="AL1032" s="1003"/>
      <c r="AM1032" s="1003"/>
      <c r="AN1032" s="1003"/>
      <c r="AO1032" s="1003"/>
      <c r="AP1032" s="1003"/>
      <c r="AQ1032" s="1003"/>
      <c r="AR1032" s="1003"/>
      <c r="AS1032" s="1003"/>
      <c r="AT1032" s="1003"/>
      <c r="AU1032" s="1003"/>
      <c r="AV1032" s="1003"/>
      <c r="AW1032" s="1003"/>
      <c r="AX1032" s="1003"/>
      <c r="AY1032" s="1003"/>
      <c r="AZ1032" s="1003"/>
      <c r="BA1032" s="1003"/>
      <c r="BB1032" s="1003"/>
      <c r="BC1032" s="1003"/>
      <c r="BD1032" s="1003"/>
      <c r="BE1032" s="1003"/>
      <c r="BF1032" s="1003"/>
      <c r="BG1032" s="1003"/>
      <c r="BH1032" s="1003"/>
      <c r="BI1032" s="1003"/>
      <c r="BJ1032" s="1003"/>
      <c r="BK1032" s="1003"/>
      <c r="BL1032" s="1003"/>
    </row>
    <row r="1033" spans="1:64" ht="25.5">
      <c r="A1033" s="1823"/>
      <c r="B1033" s="1823"/>
      <c r="C1033" s="1817" t="s">
        <v>582</v>
      </c>
      <c r="D1033" s="1099">
        <v>0.308</v>
      </c>
      <c r="E1033" s="1002" t="s">
        <v>1083</v>
      </c>
      <c r="F1033" s="1093">
        <f>'Civil-SOR'!G330</f>
        <v>192.9</v>
      </c>
      <c r="G1033" s="1020">
        <v>1</v>
      </c>
      <c r="H1033" s="1002" t="s">
        <v>400</v>
      </c>
      <c r="I1033" s="1001">
        <f t="shared" ref="I1033:I1038" si="180">IF(G1033="",D1033*F1033,(D1033*F1033/G1033))</f>
        <v>59.413200000000003</v>
      </c>
      <c r="J1033" s="1002"/>
      <c r="K1033" s="1002"/>
      <c r="L1033" s="1002"/>
      <c r="M1033" s="1003"/>
      <c r="N1033" s="1003"/>
      <c r="O1033" s="1003"/>
      <c r="P1033" s="1003"/>
      <c r="Q1033" s="1003"/>
      <c r="R1033" s="1003"/>
      <c r="S1033" s="1003"/>
      <c r="T1033" s="1003"/>
      <c r="U1033" s="1003"/>
      <c r="V1033" s="1003"/>
      <c r="W1033" s="1003"/>
      <c r="X1033" s="1003"/>
      <c r="Y1033" s="1003"/>
      <c r="Z1033" s="1003"/>
      <c r="AA1033" s="1003"/>
      <c r="AB1033" s="1003"/>
      <c r="AC1033" s="1003"/>
      <c r="AD1033" s="1003"/>
      <c r="AE1033" s="1003"/>
      <c r="AF1033" s="1003"/>
      <c r="AG1033" s="1003"/>
      <c r="AH1033" s="1003"/>
      <c r="AI1033" s="1003"/>
      <c r="AJ1033" s="1003"/>
      <c r="AK1033" s="1003"/>
      <c r="AL1033" s="1003"/>
      <c r="AM1033" s="1003"/>
      <c r="AN1033" s="1003"/>
      <c r="AO1033" s="1003"/>
      <c r="AP1033" s="1003"/>
      <c r="AQ1033" s="1003"/>
      <c r="AR1033" s="1003"/>
      <c r="AS1033" s="1003"/>
      <c r="AT1033" s="1003"/>
      <c r="AU1033" s="1003"/>
      <c r="AV1033" s="1003"/>
      <c r="AW1033" s="1003"/>
      <c r="AX1033" s="1003"/>
      <c r="AY1033" s="1003"/>
      <c r="AZ1033" s="1003"/>
      <c r="BA1033" s="1003"/>
      <c r="BB1033" s="1003"/>
      <c r="BC1033" s="1003"/>
      <c r="BD1033" s="1003"/>
      <c r="BE1033" s="1003"/>
      <c r="BF1033" s="1003"/>
      <c r="BG1033" s="1003"/>
      <c r="BH1033" s="1003"/>
      <c r="BI1033" s="1003"/>
      <c r="BJ1033" s="1003"/>
      <c r="BK1033" s="1003"/>
      <c r="BL1033" s="1003"/>
    </row>
    <row r="1034" spans="1:64">
      <c r="A1034" s="1823"/>
      <c r="B1034" s="1823"/>
      <c r="C1034" s="1817" t="s">
        <v>579</v>
      </c>
      <c r="D1034" s="1099">
        <v>0.308</v>
      </c>
      <c r="E1034" s="1002" t="s">
        <v>1083</v>
      </c>
      <c r="F1034" s="1093">
        <f>'Civil-SOR'!J330</f>
        <v>302.89999999999998</v>
      </c>
      <c r="G1034" s="1020">
        <v>1</v>
      </c>
      <c r="H1034" s="1002" t="s">
        <v>400</v>
      </c>
      <c r="I1034" s="1001">
        <f t="shared" si="180"/>
        <v>93.293199999999999</v>
      </c>
      <c r="J1034" s="1002"/>
      <c r="K1034" s="1002"/>
      <c r="L1034" s="1002"/>
      <c r="M1034" s="1003"/>
      <c r="N1034" s="1003"/>
      <c r="O1034" s="1003"/>
      <c r="P1034" s="1003"/>
      <c r="Q1034" s="1003"/>
      <c r="R1034" s="1003"/>
      <c r="S1034" s="1003"/>
      <c r="T1034" s="1003"/>
      <c r="U1034" s="1003"/>
      <c r="V1034" s="1003"/>
      <c r="W1034" s="1003"/>
      <c r="X1034" s="1003"/>
      <c r="Y1034" s="1003"/>
      <c r="Z1034" s="1003"/>
      <c r="AA1034" s="1003"/>
      <c r="AB1034" s="1003"/>
      <c r="AC1034" s="1003"/>
      <c r="AD1034" s="1003"/>
      <c r="AE1034" s="1003"/>
      <c r="AF1034" s="1003"/>
      <c r="AG1034" s="1003"/>
      <c r="AH1034" s="1003"/>
      <c r="AI1034" s="1003"/>
      <c r="AJ1034" s="1003"/>
      <c r="AK1034" s="1003"/>
      <c r="AL1034" s="1003"/>
      <c r="AM1034" s="1003"/>
      <c r="AN1034" s="1003"/>
      <c r="AO1034" s="1003"/>
      <c r="AP1034" s="1003"/>
      <c r="AQ1034" s="1003"/>
      <c r="AR1034" s="1003"/>
      <c r="AS1034" s="1003"/>
      <c r="AT1034" s="1003"/>
      <c r="AU1034" s="1003"/>
      <c r="AV1034" s="1003"/>
      <c r="AW1034" s="1003"/>
      <c r="AX1034" s="1003"/>
      <c r="AY1034" s="1003"/>
      <c r="AZ1034" s="1003"/>
      <c r="BA1034" s="1003"/>
      <c r="BB1034" s="1003"/>
      <c r="BC1034" s="1003"/>
      <c r="BD1034" s="1003"/>
      <c r="BE1034" s="1003"/>
      <c r="BF1034" s="1003"/>
      <c r="BG1034" s="1003"/>
      <c r="BH1034" s="1003"/>
      <c r="BI1034" s="1003"/>
      <c r="BJ1034" s="1003"/>
      <c r="BK1034" s="1003"/>
      <c r="BL1034" s="1003"/>
    </row>
    <row r="1035" spans="1:64">
      <c r="A1035" s="1823"/>
      <c r="B1035" s="1823"/>
      <c r="C1035" s="1817" t="s">
        <v>1178</v>
      </c>
      <c r="D1035" s="1099">
        <v>0.308</v>
      </c>
      <c r="E1035" s="1002" t="s">
        <v>1083</v>
      </c>
      <c r="F1035" s="1093">
        <f>'Civil-SOR'!$G$332</f>
        <v>36.5</v>
      </c>
      <c r="G1035" s="1020">
        <v>1</v>
      </c>
      <c r="H1035" s="1002" t="s">
        <v>400</v>
      </c>
      <c r="I1035" s="1001">
        <f t="shared" si="180"/>
        <v>11.241999999999999</v>
      </c>
      <c r="J1035" s="1002"/>
      <c r="K1035" s="1002"/>
      <c r="L1035" s="1002"/>
      <c r="M1035" s="1003"/>
      <c r="N1035" s="1003"/>
      <c r="O1035" s="1003"/>
      <c r="P1035" s="1003"/>
      <c r="Q1035" s="1003"/>
      <c r="R1035" s="1003"/>
      <c r="S1035" s="1003"/>
      <c r="T1035" s="1003"/>
      <c r="U1035" s="1003"/>
      <c r="V1035" s="1003"/>
      <c r="W1035" s="1003"/>
      <c r="X1035" s="1003"/>
      <c r="Y1035" s="1003"/>
      <c r="Z1035" s="1003"/>
      <c r="AA1035" s="1003"/>
      <c r="AB1035" s="1003"/>
      <c r="AC1035" s="1003"/>
      <c r="AD1035" s="1003"/>
      <c r="AE1035" s="1003"/>
      <c r="AF1035" s="1003"/>
      <c r="AG1035" s="1003"/>
      <c r="AH1035" s="1003"/>
      <c r="AI1035" s="1003"/>
      <c r="AJ1035" s="1003"/>
      <c r="AK1035" s="1003"/>
      <c r="AL1035" s="1003"/>
      <c r="AM1035" s="1003"/>
      <c r="AN1035" s="1003"/>
      <c r="AO1035" s="1003"/>
      <c r="AP1035" s="1003"/>
      <c r="AQ1035" s="1003"/>
      <c r="AR1035" s="1003"/>
      <c r="AS1035" s="1003"/>
      <c r="AT1035" s="1003"/>
      <c r="AU1035" s="1003"/>
      <c r="AV1035" s="1003"/>
      <c r="AW1035" s="1003"/>
      <c r="AX1035" s="1003"/>
      <c r="AY1035" s="1003"/>
      <c r="AZ1035" s="1003"/>
      <c r="BA1035" s="1003"/>
      <c r="BB1035" s="1003"/>
      <c r="BC1035" s="1003"/>
      <c r="BD1035" s="1003"/>
      <c r="BE1035" s="1003"/>
      <c r="BF1035" s="1003"/>
      <c r="BG1035" s="1003"/>
      <c r="BH1035" s="1003"/>
      <c r="BI1035" s="1003"/>
      <c r="BJ1035" s="1003"/>
      <c r="BK1035" s="1003"/>
      <c r="BL1035" s="1003"/>
    </row>
    <row r="1036" spans="1:64">
      <c r="A1036" s="1823"/>
      <c r="B1036" s="1823"/>
      <c r="C1036" s="1817" t="s">
        <v>579</v>
      </c>
      <c r="D1036" s="1099">
        <v>0.308</v>
      </c>
      <c r="E1036" s="1002" t="s">
        <v>1083</v>
      </c>
      <c r="F1036" s="1093">
        <f>'Civil-SOR'!$J$332</f>
        <v>218</v>
      </c>
      <c r="G1036" s="1020">
        <v>1</v>
      </c>
      <c r="H1036" s="1002" t="s">
        <v>400</v>
      </c>
      <c r="I1036" s="1001">
        <f t="shared" si="180"/>
        <v>67.144000000000005</v>
      </c>
      <c r="J1036" s="1002"/>
      <c r="K1036" s="1002"/>
      <c r="L1036" s="1002"/>
      <c r="M1036" s="1003"/>
      <c r="N1036" s="1003"/>
      <c r="O1036" s="1003"/>
      <c r="P1036" s="1003"/>
      <c r="Q1036" s="1003"/>
      <c r="R1036" s="1003"/>
      <c r="S1036" s="1003"/>
      <c r="T1036" s="1003"/>
      <c r="U1036" s="1003"/>
      <c r="V1036" s="1003"/>
      <c r="W1036" s="1003"/>
      <c r="X1036" s="1003"/>
      <c r="Y1036" s="1003"/>
      <c r="Z1036" s="1003"/>
      <c r="AA1036" s="1003"/>
      <c r="AB1036" s="1003"/>
      <c r="AC1036" s="1003"/>
      <c r="AD1036" s="1003"/>
      <c r="AE1036" s="1003"/>
      <c r="AF1036" s="1003"/>
      <c r="AG1036" s="1003"/>
      <c r="AH1036" s="1003"/>
      <c r="AI1036" s="1003"/>
      <c r="AJ1036" s="1003"/>
      <c r="AK1036" s="1003"/>
      <c r="AL1036" s="1003"/>
      <c r="AM1036" s="1003"/>
      <c r="AN1036" s="1003"/>
      <c r="AO1036" s="1003"/>
      <c r="AP1036" s="1003"/>
      <c r="AQ1036" s="1003"/>
      <c r="AR1036" s="1003"/>
      <c r="AS1036" s="1003"/>
      <c r="AT1036" s="1003"/>
      <c r="AU1036" s="1003"/>
      <c r="AV1036" s="1003"/>
      <c r="AW1036" s="1003"/>
      <c r="AX1036" s="1003"/>
      <c r="AY1036" s="1003"/>
      <c r="AZ1036" s="1003"/>
      <c r="BA1036" s="1003"/>
      <c r="BB1036" s="1003"/>
      <c r="BC1036" s="1003"/>
      <c r="BD1036" s="1003"/>
      <c r="BE1036" s="1003"/>
      <c r="BF1036" s="1003"/>
      <c r="BG1036" s="1003"/>
      <c r="BH1036" s="1003"/>
      <c r="BI1036" s="1003"/>
      <c r="BJ1036" s="1003"/>
      <c r="BK1036" s="1003"/>
      <c r="BL1036" s="1003"/>
    </row>
    <row r="1037" spans="1:64">
      <c r="A1037" s="1823"/>
      <c r="B1037" s="1823"/>
      <c r="C1037" s="1817" t="s">
        <v>1085</v>
      </c>
      <c r="D1037" s="1018">
        <f>Input!$D$47</f>
        <v>0.4</v>
      </c>
      <c r="E1037" s="1002"/>
      <c r="F1037" s="1093">
        <f>$I$1034+$I$1036</f>
        <v>160.43720000000002</v>
      </c>
      <c r="G1037" s="1020"/>
      <c r="H1037" s="1002"/>
      <c r="I1037" s="1001">
        <f t="shared" si="180"/>
        <v>64.174880000000016</v>
      </c>
      <c r="J1037" s="1002"/>
      <c r="K1037" s="1002"/>
      <c r="L1037" s="1002"/>
      <c r="M1037" s="1003"/>
      <c r="N1037" s="1003"/>
      <c r="O1037" s="1003"/>
      <c r="P1037" s="1003"/>
      <c r="Q1037" s="1003"/>
      <c r="R1037" s="1003"/>
      <c r="S1037" s="1003"/>
      <c r="T1037" s="1003"/>
      <c r="U1037" s="1003"/>
      <c r="V1037" s="1003"/>
      <c r="W1037" s="1003"/>
      <c r="X1037" s="1003"/>
      <c r="Y1037" s="1003"/>
      <c r="Z1037" s="1003"/>
      <c r="AA1037" s="1003"/>
      <c r="AB1037" s="1003"/>
      <c r="AC1037" s="1003"/>
      <c r="AD1037" s="1003"/>
      <c r="AE1037" s="1003"/>
      <c r="AF1037" s="1003"/>
      <c r="AG1037" s="1003"/>
      <c r="AH1037" s="1003"/>
      <c r="AI1037" s="1003"/>
      <c r="AJ1037" s="1003"/>
      <c r="AK1037" s="1003"/>
      <c r="AL1037" s="1003"/>
      <c r="AM1037" s="1003"/>
      <c r="AN1037" s="1003"/>
      <c r="AO1037" s="1003"/>
      <c r="AP1037" s="1003"/>
      <c r="AQ1037" s="1003"/>
      <c r="AR1037" s="1003"/>
      <c r="AS1037" s="1003"/>
      <c r="AT1037" s="1003"/>
      <c r="AU1037" s="1003"/>
      <c r="AV1037" s="1003"/>
      <c r="AW1037" s="1003"/>
      <c r="AX1037" s="1003"/>
      <c r="AY1037" s="1003"/>
      <c r="AZ1037" s="1003"/>
      <c r="BA1037" s="1003"/>
      <c r="BB1037" s="1003"/>
      <c r="BC1037" s="1003"/>
      <c r="BD1037" s="1003"/>
      <c r="BE1037" s="1003"/>
      <c r="BF1037" s="1003"/>
      <c r="BG1037" s="1003"/>
      <c r="BH1037" s="1003"/>
      <c r="BI1037" s="1003"/>
      <c r="BJ1037" s="1003"/>
      <c r="BK1037" s="1003"/>
      <c r="BL1037" s="1003"/>
    </row>
    <row r="1038" spans="1:64">
      <c r="A1038" s="1823"/>
      <c r="B1038" s="1823"/>
      <c r="C1038" s="1817" t="s">
        <v>1179</v>
      </c>
      <c r="D1038" s="1000">
        <v>1.2</v>
      </c>
      <c r="E1038" s="1044" t="s">
        <v>1143</v>
      </c>
      <c r="F1038" s="1001">
        <f>Input!$D$53</f>
        <v>108</v>
      </c>
      <c r="G1038" s="1015">
        <v>1</v>
      </c>
      <c r="H1038" s="1085" t="str">
        <f>IF(E1038="","",IF(E1038="No.","Each",IF(E1038="Nos.","Each",E1038)))</f>
        <v>kl</v>
      </c>
      <c r="I1038" s="1001">
        <f t="shared" si="180"/>
        <v>129.6</v>
      </c>
      <c r="J1038" s="1002"/>
      <c r="K1038" s="1002"/>
      <c r="L1038" s="1002"/>
      <c r="M1038" s="1003"/>
      <c r="N1038" s="1003"/>
      <c r="O1038" s="1003"/>
      <c r="P1038" s="1003"/>
      <c r="Q1038" s="1003"/>
      <c r="R1038" s="1003"/>
      <c r="S1038" s="1003"/>
      <c r="T1038" s="1003"/>
      <c r="U1038" s="1003"/>
      <c r="V1038" s="1003"/>
      <c r="W1038" s="1003"/>
      <c r="X1038" s="1003"/>
      <c r="Y1038" s="1003"/>
      <c r="Z1038" s="1003"/>
      <c r="AA1038" s="1003"/>
      <c r="AB1038" s="1003"/>
      <c r="AC1038" s="1003"/>
      <c r="AD1038" s="1003"/>
      <c r="AE1038" s="1003"/>
      <c r="AF1038" s="1003"/>
      <c r="AG1038" s="1003"/>
      <c r="AH1038" s="1003"/>
      <c r="AI1038" s="1003"/>
      <c r="AJ1038" s="1003"/>
      <c r="AK1038" s="1003"/>
      <c r="AL1038" s="1003"/>
      <c r="AM1038" s="1003"/>
      <c r="AN1038" s="1003"/>
      <c r="AO1038" s="1003"/>
      <c r="AP1038" s="1003"/>
      <c r="AQ1038" s="1003"/>
      <c r="AR1038" s="1003"/>
      <c r="AS1038" s="1003"/>
      <c r="AT1038" s="1003"/>
      <c r="AU1038" s="1003"/>
      <c r="AV1038" s="1003"/>
      <c r="AW1038" s="1003"/>
      <c r="AX1038" s="1003"/>
      <c r="AY1038" s="1003"/>
      <c r="AZ1038" s="1003"/>
      <c r="BA1038" s="1003"/>
      <c r="BB1038" s="1003"/>
      <c r="BC1038" s="1003"/>
      <c r="BD1038" s="1003"/>
      <c r="BE1038" s="1003"/>
      <c r="BF1038" s="1003"/>
      <c r="BG1038" s="1003"/>
      <c r="BH1038" s="1003"/>
      <c r="BI1038" s="1003"/>
      <c r="BJ1038" s="1003"/>
      <c r="BK1038" s="1003"/>
      <c r="BL1038" s="1003"/>
    </row>
    <row r="1039" spans="1:64">
      <c r="A1039" s="1023"/>
      <c r="B1039" s="1023"/>
      <c r="C1039" s="1088" t="s">
        <v>1032</v>
      </c>
      <c r="D1039" s="996"/>
      <c r="E1039" s="996"/>
      <c r="F1039" s="1023"/>
      <c r="G1039" s="1100"/>
      <c r="H1039" s="996"/>
      <c r="I1039" s="1834">
        <f>SUM(I1024:I1038)</f>
        <v>6857.6692800000001</v>
      </c>
      <c r="J1039" s="996"/>
      <c r="K1039" s="996"/>
      <c r="L1039" s="996"/>
      <c r="M1039" s="997"/>
      <c r="N1039" s="997"/>
      <c r="O1039" s="997"/>
      <c r="P1039" s="997"/>
      <c r="Q1039" s="997"/>
      <c r="R1039" s="997"/>
      <c r="S1039" s="997"/>
      <c r="T1039" s="997"/>
      <c r="U1039" s="997"/>
      <c r="V1039" s="997"/>
      <c r="W1039" s="997"/>
      <c r="X1039" s="997"/>
      <c r="Y1039" s="997"/>
      <c r="Z1039" s="997"/>
      <c r="AA1039" s="997"/>
      <c r="AB1039" s="997"/>
      <c r="AC1039" s="997"/>
      <c r="AD1039" s="997"/>
      <c r="AE1039" s="997"/>
      <c r="AF1039" s="997"/>
      <c r="AG1039" s="997"/>
      <c r="AH1039" s="997"/>
      <c r="AI1039" s="997"/>
      <c r="AJ1039" s="997"/>
      <c r="AK1039" s="997"/>
      <c r="AL1039" s="997"/>
      <c r="AM1039" s="997"/>
      <c r="AN1039" s="997"/>
      <c r="AO1039" s="997"/>
      <c r="AP1039" s="997"/>
      <c r="AQ1039" s="997"/>
      <c r="AR1039" s="997"/>
      <c r="AS1039" s="997"/>
      <c r="AT1039" s="997"/>
      <c r="AU1039" s="997"/>
      <c r="AV1039" s="997"/>
      <c r="AW1039" s="997"/>
      <c r="AX1039" s="997"/>
      <c r="AY1039" s="997"/>
      <c r="AZ1039" s="997"/>
      <c r="BA1039" s="997"/>
      <c r="BB1039" s="997"/>
      <c r="BC1039" s="997"/>
      <c r="BD1039" s="997"/>
      <c r="BE1039" s="997"/>
      <c r="BF1039" s="997"/>
      <c r="BG1039" s="997"/>
      <c r="BH1039" s="997"/>
      <c r="BI1039" s="997"/>
      <c r="BJ1039" s="997"/>
      <c r="BK1039" s="997"/>
      <c r="BL1039" s="997"/>
    </row>
    <row r="1040" spans="1:64">
      <c r="A1040" s="1823"/>
      <c r="B1040" s="1068"/>
      <c r="C1040" s="1846"/>
      <c r="D1040" s="1846"/>
      <c r="E1040" s="1846"/>
      <c r="F1040" s="1068"/>
      <c r="G1040" s="1846"/>
      <c r="H1040" s="1846"/>
      <c r="I1040" s="1021"/>
      <c r="J1040" s="1846"/>
      <c r="K1040" s="1846"/>
      <c r="L1040" s="1846"/>
    </row>
    <row r="1041" spans="1:12">
      <c r="A1041" s="1823"/>
      <c r="B1041" s="1098" t="s">
        <v>294</v>
      </c>
      <c r="C1041" s="1130" t="s">
        <v>1249</v>
      </c>
      <c r="D1041" s="1114"/>
      <c r="E1041" s="1114"/>
      <c r="F1041" s="1114"/>
      <c r="G1041" s="1114"/>
      <c r="H1041" s="1114"/>
      <c r="I1041" s="1009"/>
      <c r="J1041" s="1114"/>
      <c r="K1041" s="1114"/>
      <c r="L1041" s="1009"/>
    </row>
    <row r="1042" spans="1:12">
      <c r="A1042" s="1823"/>
      <c r="B1042" s="1068"/>
      <c r="C1042" s="1821" t="s">
        <v>1250</v>
      </c>
      <c r="D1042" s="1114"/>
      <c r="E1042" s="1114"/>
      <c r="F1042" s="1114"/>
      <c r="G1042" s="1114"/>
      <c r="H1042" s="1114"/>
      <c r="I1042" s="1009"/>
      <c r="J1042" s="1114"/>
      <c r="K1042" s="1114"/>
      <c r="L1042" s="1009"/>
    </row>
    <row r="1043" spans="1:12">
      <c r="A1043" s="1823"/>
      <c r="B1043" s="1098" t="s">
        <v>1215</v>
      </c>
      <c r="C1043" s="1821" t="s">
        <v>1251</v>
      </c>
      <c r="D1043" s="1846"/>
      <c r="E1043" s="1846"/>
      <c r="F1043" s="1068"/>
      <c r="G1043" s="1105"/>
      <c r="H1043" s="1846"/>
      <c r="I1043" s="1080"/>
      <c r="J1043" s="1114"/>
      <c r="K1043" s="1114"/>
      <c r="L1043" s="1009"/>
    </row>
    <row r="1044" spans="1:12">
      <c r="A1044" s="1823"/>
      <c r="B1044" s="1068"/>
      <c r="C1044" s="1816" t="s">
        <v>1217</v>
      </c>
      <c r="D1044" s="1009" t="s">
        <v>1223</v>
      </c>
      <c r="E1044" s="1098" t="s">
        <v>1207</v>
      </c>
      <c r="F1044" s="1102" t="s">
        <v>1208</v>
      </c>
      <c r="G1044" s="1102" t="s">
        <v>1209</v>
      </c>
      <c r="H1044" s="1102" t="s">
        <v>1210</v>
      </c>
      <c r="I1044" s="1102" t="s">
        <v>1211</v>
      </c>
      <c r="J1044" s="1114"/>
      <c r="K1044" s="1114"/>
      <c r="L1044" s="1009"/>
    </row>
    <row r="1045" spans="1:12">
      <c r="A1045" s="1823"/>
      <c r="B1045" s="1847"/>
      <c r="C1045" s="1817" t="s">
        <v>1218</v>
      </c>
      <c r="D1045" s="1848">
        <f t="shared" ref="D1045:I1045" si="181">$I$1039</f>
        <v>6857.6692800000001</v>
      </c>
      <c r="E1045" s="1848">
        <f t="shared" si="181"/>
        <v>6857.6692800000001</v>
      </c>
      <c r="F1045" s="1848">
        <f t="shared" si="181"/>
        <v>6857.6692800000001</v>
      </c>
      <c r="G1045" s="1848">
        <f t="shared" si="181"/>
        <v>6857.6692800000001</v>
      </c>
      <c r="H1045" s="1848">
        <f t="shared" si="181"/>
        <v>6857.6692800000001</v>
      </c>
      <c r="I1045" s="1848">
        <f t="shared" si="181"/>
        <v>6857.6692800000001</v>
      </c>
      <c r="J1045" s="1114"/>
      <c r="K1045" s="1114"/>
      <c r="L1045" s="1009"/>
    </row>
    <row r="1046" spans="1:12">
      <c r="A1046" s="1823"/>
      <c r="B1046" s="1847"/>
      <c r="C1046" s="1817" t="s">
        <v>1182</v>
      </c>
      <c r="D1046" s="1848">
        <f>'Civil-SOR'!$F$268</f>
        <v>2349</v>
      </c>
      <c r="E1046" s="1848">
        <f>'Civil-SOR'!$F$268</f>
        <v>2349</v>
      </c>
      <c r="F1046" s="1848">
        <f>+E1046</f>
        <v>2349</v>
      </c>
      <c r="G1046" s="1848">
        <f>+F1046</f>
        <v>2349</v>
      </c>
      <c r="H1046" s="1848">
        <f>+G1046</f>
        <v>2349</v>
      </c>
      <c r="I1046" s="1848">
        <f>+H1046</f>
        <v>2349</v>
      </c>
      <c r="J1046" s="1114"/>
      <c r="K1046" s="1114"/>
      <c r="L1046" s="1009"/>
    </row>
    <row r="1047" spans="1:12">
      <c r="A1047" s="1823"/>
      <c r="B1047" s="1847"/>
      <c r="C1047" s="1817" t="s">
        <v>1252</v>
      </c>
      <c r="D1047" s="1062">
        <f>'Civil-SOR'!$G$268</f>
        <v>2291</v>
      </c>
      <c r="E1047" s="1062">
        <f>'Civil-SOR'!$H$268</f>
        <v>2520</v>
      </c>
      <c r="F1047" s="1062">
        <f>'Civil-SOR'!$I$268</f>
        <v>2749</v>
      </c>
      <c r="G1047" s="1062">
        <f>'Civil-SOR'!$J$268</f>
        <v>2978</v>
      </c>
      <c r="H1047" s="1062">
        <f>'Civil-SOR'!$K$268</f>
        <v>3207</v>
      </c>
      <c r="I1047" s="1062">
        <f>'Civil-SOR'!$L$268</f>
        <v>3437</v>
      </c>
      <c r="J1047" s="1114"/>
      <c r="K1047" s="1114"/>
      <c r="L1047" s="1009"/>
    </row>
    <row r="1048" spans="1:12">
      <c r="A1048" s="1823"/>
      <c r="B1048" s="1847"/>
      <c r="C1048" s="1817" t="str">
        <f>Input!$C$47</f>
        <v>Add for MA @ 40%</v>
      </c>
      <c r="D1048" s="1848">
        <f>D1047*Input!$D$47</f>
        <v>916.40000000000009</v>
      </c>
      <c r="E1048" s="1848">
        <f>E1047*Input!$D$47</f>
        <v>1008</v>
      </c>
      <c r="F1048" s="1848">
        <f>F1047*Input!$D$47</f>
        <v>1099.6000000000001</v>
      </c>
      <c r="G1048" s="1848">
        <f>G1047*Input!$D$47</f>
        <v>1191.2</v>
      </c>
      <c r="H1048" s="1848">
        <f>H1047*Input!$D$47</f>
        <v>1282.8000000000002</v>
      </c>
      <c r="I1048" s="1848">
        <f>I1047*Input!$D$47</f>
        <v>1374.8000000000002</v>
      </c>
      <c r="J1048" s="1114"/>
      <c r="K1048" s="1114"/>
      <c r="L1048" s="1009"/>
    </row>
    <row r="1049" spans="1:12">
      <c r="A1049" s="1823"/>
      <c r="B1049" s="1847"/>
      <c r="C1049" s="1817" t="s">
        <v>1253</v>
      </c>
      <c r="D1049" s="1848"/>
      <c r="E1049" s="1848">
        <f>$F$1031*0.1</f>
        <v>171.20500000000001</v>
      </c>
      <c r="F1049" s="1848">
        <f>$F$1031*0.2</f>
        <v>342.41</v>
      </c>
      <c r="G1049" s="1848">
        <f>$F$1031*0.3</f>
        <v>513.61500000000001</v>
      </c>
      <c r="H1049" s="1848">
        <f>$F$1031*0.4</f>
        <v>684.82</v>
      </c>
      <c r="I1049" s="1848">
        <f>$F$1031*0.5</f>
        <v>856.02499999999998</v>
      </c>
      <c r="J1049" s="1114"/>
      <c r="K1049" s="1114"/>
      <c r="L1049" s="1009"/>
    </row>
    <row r="1050" spans="1:12">
      <c r="A1050" s="1823"/>
      <c r="B1050" s="1847"/>
      <c r="C1050" s="1817" t="str">
        <f>Input!$C$47</f>
        <v>Add for MA @ 40%</v>
      </c>
      <c r="D1050" s="1848">
        <f>D1049*Input!$D$47</f>
        <v>0</v>
      </c>
      <c r="E1050" s="1848">
        <f>E1049*Input!$D$47</f>
        <v>68.482000000000014</v>
      </c>
      <c r="F1050" s="1848">
        <f>F1049*Input!$D$47</f>
        <v>136.96400000000003</v>
      </c>
      <c r="G1050" s="1848">
        <f>G1049*Input!$D$47</f>
        <v>205.44600000000003</v>
      </c>
      <c r="H1050" s="1848">
        <f>H1049*Input!$D$47</f>
        <v>273.92800000000005</v>
      </c>
      <c r="I1050" s="1848">
        <f>I1049*Input!$D$47</f>
        <v>342.41</v>
      </c>
      <c r="J1050" s="1114"/>
      <c r="K1050" s="1114"/>
      <c r="L1050" s="1009"/>
    </row>
    <row r="1051" spans="1:12">
      <c r="A1051" s="1823"/>
      <c r="B1051" s="1847"/>
      <c r="C1051" s="1816" t="s">
        <v>1167</v>
      </c>
      <c r="D1051" s="1848">
        <f t="shared" ref="D1051:I1051" si="182">SUM(D1045:D1050)</f>
        <v>12414.06928</v>
      </c>
      <c r="E1051" s="1848">
        <f t="shared" si="182"/>
        <v>12974.35628</v>
      </c>
      <c r="F1051" s="1848">
        <f t="shared" si="182"/>
        <v>13534.64328</v>
      </c>
      <c r="G1051" s="1848">
        <f t="shared" si="182"/>
        <v>14094.93028</v>
      </c>
      <c r="H1051" s="1848">
        <f t="shared" si="182"/>
        <v>14655.217280000001</v>
      </c>
      <c r="I1051" s="1848">
        <f t="shared" si="182"/>
        <v>15216.904280000001</v>
      </c>
      <c r="J1051" s="1114"/>
      <c r="K1051" s="1114"/>
      <c r="L1051" s="1009"/>
    </row>
    <row r="1052" spans="1:12">
      <c r="A1052" s="1823"/>
      <c r="B1052" s="1847"/>
      <c r="C1052" s="1817" t="str">
        <f>Input!$C$48</f>
        <v>Overheads &amp; Contractors Profit @ 13.615%</v>
      </c>
      <c r="D1052" s="1847">
        <f>ROUND(D1051*Input!$D$48,2)</f>
        <v>1690.18</v>
      </c>
      <c r="E1052" s="1847">
        <f>ROUND(E1051*Input!$D$48,2)</f>
        <v>1766.46</v>
      </c>
      <c r="F1052" s="1847">
        <f>ROUND(F1051*Input!$D$48,2)</f>
        <v>1842.74</v>
      </c>
      <c r="G1052" s="1847">
        <f>ROUND(G1051*Input!$D$48,2)</f>
        <v>1919.02</v>
      </c>
      <c r="H1052" s="1847">
        <f>ROUND(H1051*Input!$D$48,2)</f>
        <v>1995.31</v>
      </c>
      <c r="I1052" s="1847">
        <f>ROUND(I1051*Input!$D$48,2)</f>
        <v>2071.7800000000002</v>
      </c>
      <c r="J1052" s="1114"/>
      <c r="K1052" s="1114"/>
      <c r="L1052" s="1009"/>
    </row>
    <row r="1053" spans="1:12">
      <c r="A1053" s="1823"/>
      <c r="B1053" s="1023"/>
      <c r="C1053" s="1816" t="s">
        <v>1032</v>
      </c>
      <c r="D1053" s="1829">
        <f t="shared" ref="D1053:I1053" si="183">SUM(D1051:D1052)</f>
        <v>14104.24928</v>
      </c>
      <c r="E1053" s="1829">
        <f t="shared" si="183"/>
        <v>14740.816279999999</v>
      </c>
      <c r="F1053" s="1829">
        <f t="shared" si="183"/>
        <v>15377.38328</v>
      </c>
      <c r="G1053" s="1829">
        <f t="shared" si="183"/>
        <v>16013.950280000001</v>
      </c>
      <c r="H1053" s="1829">
        <f t="shared" si="183"/>
        <v>16650.527280000002</v>
      </c>
      <c r="I1053" s="1829">
        <f t="shared" si="183"/>
        <v>17288.684280000001</v>
      </c>
      <c r="J1053" s="1114"/>
      <c r="K1053" s="1114"/>
      <c r="L1053" s="1009"/>
    </row>
    <row r="1054" spans="1:12">
      <c r="A1054" s="1823"/>
      <c r="B1054" s="1023"/>
      <c r="C1054" s="1843" t="s">
        <v>1034</v>
      </c>
      <c r="D1054" s="999">
        <f t="shared" ref="D1054:I1054" si="184">ROUND(D1053,0)</f>
        <v>14104</v>
      </c>
      <c r="E1054" s="999">
        <f t="shared" si="184"/>
        <v>14741</v>
      </c>
      <c r="F1054" s="999">
        <f t="shared" si="184"/>
        <v>15377</v>
      </c>
      <c r="G1054" s="999">
        <f t="shared" si="184"/>
        <v>16014</v>
      </c>
      <c r="H1054" s="999">
        <f t="shared" si="184"/>
        <v>16651</v>
      </c>
      <c r="I1054" s="999">
        <f t="shared" si="184"/>
        <v>17289</v>
      </c>
      <c r="J1054" s="1114"/>
      <c r="K1054" s="1114"/>
      <c r="L1054" s="1009"/>
    </row>
    <row r="1055" spans="1:12">
      <c r="A1055" s="1823"/>
      <c r="B1055" s="1068"/>
      <c r="C1055" s="1129"/>
      <c r="D1055" s="1114"/>
      <c r="E1055" s="1114"/>
      <c r="F1055" s="1114"/>
      <c r="G1055" s="1114"/>
      <c r="H1055" s="1114"/>
      <c r="I1055" s="1009"/>
      <c r="J1055" s="1114"/>
      <c r="K1055" s="1114"/>
      <c r="L1055" s="1009"/>
    </row>
    <row r="1056" spans="1:12">
      <c r="A1056" s="1823"/>
      <c r="B1056" s="1098" t="s">
        <v>1221</v>
      </c>
      <c r="C1056" s="1821" t="s">
        <v>1222</v>
      </c>
      <c r="D1056" s="1846"/>
      <c r="E1056" s="1846"/>
      <c r="F1056" s="1068"/>
      <c r="G1056" s="1105"/>
      <c r="H1056" s="1846"/>
      <c r="I1056" s="1080"/>
      <c r="J1056" s="1114"/>
      <c r="K1056" s="1114"/>
      <c r="L1056" s="1009"/>
    </row>
    <row r="1057" spans="1:12">
      <c r="A1057" s="1823"/>
      <c r="B1057" s="1068"/>
      <c r="C1057" s="1816" t="s">
        <v>1217</v>
      </c>
      <c r="D1057" s="1009" t="s">
        <v>1223</v>
      </c>
      <c r="E1057" s="1098" t="s">
        <v>1207</v>
      </c>
      <c r="F1057" s="1102" t="s">
        <v>1208</v>
      </c>
      <c r="G1057" s="1102" t="s">
        <v>1209</v>
      </c>
      <c r="H1057" s="1102" t="s">
        <v>1210</v>
      </c>
      <c r="I1057" s="1102" t="s">
        <v>1211</v>
      </c>
      <c r="J1057" s="1114"/>
      <c r="K1057" s="1114"/>
      <c r="L1057" s="1009"/>
    </row>
    <row r="1058" spans="1:12">
      <c r="A1058" s="1823"/>
      <c r="B1058" s="1847"/>
      <c r="C1058" s="1817" t="s">
        <v>1218</v>
      </c>
      <c r="D1058" s="1848">
        <f t="shared" ref="D1058:I1058" si="185">$I$1039</f>
        <v>6857.6692800000001</v>
      </c>
      <c r="E1058" s="1848">
        <f t="shared" si="185"/>
        <v>6857.6692800000001</v>
      </c>
      <c r="F1058" s="1848">
        <f t="shared" si="185"/>
        <v>6857.6692800000001</v>
      </c>
      <c r="G1058" s="1848">
        <f t="shared" si="185"/>
        <v>6857.6692800000001</v>
      </c>
      <c r="H1058" s="1848">
        <f t="shared" si="185"/>
        <v>6857.6692800000001</v>
      </c>
      <c r="I1058" s="1848">
        <f t="shared" si="185"/>
        <v>6857.6692800000001</v>
      </c>
      <c r="J1058" s="1114"/>
      <c r="K1058" s="1114"/>
      <c r="L1058" s="1009"/>
    </row>
    <row r="1059" spans="1:12">
      <c r="A1059" s="1823"/>
      <c r="B1059" s="1847"/>
      <c r="C1059" s="1817" t="s">
        <v>1182</v>
      </c>
      <c r="D1059" s="1848">
        <f>'Civil-SOR'!$F$268</f>
        <v>2349</v>
      </c>
      <c r="E1059" s="1848">
        <f>'Civil-SOR'!$F$268</f>
        <v>2349</v>
      </c>
      <c r="F1059" s="1848">
        <f>+E1059</f>
        <v>2349</v>
      </c>
      <c r="G1059" s="1848">
        <f>+F1059</f>
        <v>2349</v>
      </c>
      <c r="H1059" s="1848">
        <f>+G1059</f>
        <v>2349</v>
      </c>
      <c r="I1059" s="1848">
        <f>+H1059</f>
        <v>2349</v>
      </c>
      <c r="J1059" s="1114"/>
      <c r="K1059" s="1114"/>
      <c r="L1059" s="1009"/>
    </row>
    <row r="1060" spans="1:12">
      <c r="A1060" s="1823"/>
      <c r="B1060" s="1847"/>
      <c r="C1060" s="1817" t="s">
        <v>1252</v>
      </c>
      <c r="D1060" s="1062">
        <f>'Civil-SOR'!$G$268</f>
        <v>2291</v>
      </c>
      <c r="E1060" s="1062">
        <f>'Civil-SOR'!$H$268</f>
        <v>2520</v>
      </c>
      <c r="F1060" s="1062">
        <f>'Civil-SOR'!$I$268</f>
        <v>2749</v>
      </c>
      <c r="G1060" s="1062">
        <f>'Civil-SOR'!$J$268</f>
        <v>2978</v>
      </c>
      <c r="H1060" s="1062">
        <f>'Civil-SOR'!$K$268</f>
        <v>3207</v>
      </c>
      <c r="I1060" s="1062">
        <f>'Civil-SOR'!$L$268</f>
        <v>3437</v>
      </c>
      <c r="J1060" s="1114"/>
      <c r="K1060" s="1114"/>
      <c r="L1060" s="1009"/>
    </row>
    <row r="1061" spans="1:12">
      <c r="A1061" s="1823"/>
      <c r="B1061" s="1847"/>
      <c r="C1061" s="1817" t="str">
        <f>Input!$C$47</f>
        <v>Add for MA @ 40%</v>
      </c>
      <c r="D1061" s="1848">
        <f>D1060*Input!$D$47</f>
        <v>916.40000000000009</v>
      </c>
      <c r="E1061" s="1848">
        <f>E1060*Input!$D$47</f>
        <v>1008</v>
      </c>
      <c r="F1061" s="1848">
        <f>F1060*Input!$D$47</f>
        <v>1099.6000000000001</v>
      </c>
      <c r="G1061" s="1848">
        <f>G1060*Input!$D$47</f>
        <v>1191.2</v>
      </c>
      <c r="H1061" s="1848">
        <f>H1060*Input!$D$47</f>
        <v>1282.8000000000002</v>
      </c>
      <c r="I1061" s="1848">
        <f>I1060*Input!$D$47</f>
        <v>1374.8000000000002</v>
      </c>
      <c r="J1061" s="1114"/>
      <c r="K1061" s="1114"/>
      <c r="L1061" s="1009"/>
    </row>
    <row r="1062" spans="1:12" ht="25.5">
      <c r="A1062" s="1823"/>
      <c r="B1062" s="1847"/>
      <c r="C1062" s="1817" t="s">
        <v>1254</v>
      </c>
      <c r="D1062" s="1848">
        <v>0</v>
      </c>
      <c r="E1062" s="1848">
        <f>0.267*'Civil-SOR'!$G$334</f>
        <v>101.11290000000002</v>
      </c>
      <c r="F1062" s="1848">
        <f t="shared" ref="F1062:F1063" si="186">E1062*1.1</f>
        <v>111.22419000000004</v>
      </c>
      <c r="G1062" s="1848">
        <f t="shared" ref="G1062:G1063" si="187">E1062*1.2</f>
        <v>121.33548000000002</v>
      </c>
      <c r="H1062" s="1848">
        <f t="shared" ref="H1062:H1063" si="188">E1062*1.3</f>
        <v>131.44677000000004</v>
      </c>
      <c r="I1062" s="1848">
        <f t="shared" ref="I1062:I1063" si="189">E1062*1.4</f>
        <v>141.55806000000001</v>
      </c>
      <c r="J1062" s="1114"/>
      <c r="K1062" s="1114"/>
      <c r="L1062" s="1009"/>
    </row>
    <row r="1063" spans="1:12">
      <c r="A1063" s="1823"/>
      <c r="B1063" s="1847"/>
      <c r="C1063" s="1817" t="s">
        <v>579</v>
      </c>
      <c r="D1063" s="1848">
        <v>0</v>
      </c>
      <c r="E1063" s="1848">
        <f>0.267*'Civil-SOR'!$J$334</f>
        <v>96.226799999999997</v>
      </c>
      <c r="F1063" s="1848">
        <f t="shared" si="186"/>
        <v>105.84948</v>
      </c>
      <c r="G1063" s="1848">
        <f t="shared" si="187"/>
        <v>115.47215999999999</v>
      </c>
      <c r="H1063" s="1848">
        <f t="shared" si="188"/>
        <v>125.09484</v>
      </c>
      <c r="I1063" s="1848">
        <f t="shared" si="189"/>
        <v>134.71751999999998</v>
      </c>
      <c r="J1063" s="1114"/>
      <c r="K1063" s="1114"/>
      <c r="L1063" s="1009"/>
    </row>
    <row r="1064" spans="1:12">
      <c r="A1064" s="1823"/>
      <c r="B1064" s="1847"/>
      <c r="C1064" s="1817" t="str">
        <f>Input!$C$47</f>
        <v>Add for MA @ 40%</v>
      </c>
      <c r="D1064" s="1848">
        <f>D1063*Input!$D$47</f>
        <v>0</v>
      </c>
      <c r="E1064" s="1848">
        <f>E1063*Input!$D$47</f>
        <v>38.490720000000003</v>
      </c>
      <c r="F1064" s="1848">
        <f>F1063*Input!$D$47</f>
        <v>42.339792000000003</v>
      </c>
      <c r="G1064" s="1848">
        <f>G1063*Input!$D$47</f>
        <v>46.188863999999995</v>
      </c>
      <c r="H1064" s="1848">
        <f>H1063*Input!$D$47</f>
        <v>50.037936000000002</v>
      </c>
      <c r="I1064" s="1848">
        <f>I1063*Input!$D$47</f>
        <v>53.887007999999994</v>
      </c>
      <c r="J1064" s="1114"/>
      <c r="K1064" s="1114"/>
      <c r="L1064" s="1009"/>
    </row>
    <row r="1065" spans="1:12">
      <c r="A1065" s="1823"/>
      <c r="B1065" s="1847"/>
      <c r="C1065" s="1816" t="s">
        <v>1167</v>
      </c>
      <c r="D1065" s="1848">
        <f t="shared" ref="D1065:I1065" si="190">SUM(D1058:D1064)</f>
        <v>12414.06928</v>
      </c>
      <c r="E1065" s="1848">
        <f t="shared" si="190"/>
        <v>12970.4997</v>
      </c>
      <c r="F1065" s="1848">
        <f t="shared" si="190"/>
        <v>13314.682742000003</v>
      </c>
      <c r="G1065" s="1848">
        <f t="shared" si="190"/>
        <v>13658.865784</v>
      </c>
      <c r="H1065" s="1848">
        <f t="shared" si="190"/>
        <v>14003.048826000002</v>
      </c>
      <c r="I1065" s="1848">
        <f t="shared" si="190"/>
        <v>14348.631868</v>
      </c>
      <c r="J1065" s="1114"/>
      <c r="K1065" s="1114"/>
      <c r="L1065" s="1009"/>
    </row>
    <row r="1066" spans="1:12">
      <c r="A1066" s="1823"/>
      <c r="B1066" s="1847"/>
      <c r="C1066" s="1817" t="str">
        <f>Input!$C$48</f>
        <v>Overheads &amp; Contractors Profit @ 13.615%</v>
      </c>
      <c r="D1066" s="1847">
        <f>ROUND(D1065*Input!$D$48,2)</f>
        <v>1690.18</v>
      </c>
      <c r="E1066" s="1847">
        <f>ROUND(E1065*Input!$D$48,2)</f>
        <v>1765.93</v>
      </c>
      <c r="F1066" s="1847">
        <f>ROUND(F1065*Input!$D$48,2)</f>
        <v>1812.79</v>
      </c>
      <c r="G1066" s="1847">
        <f>ROUND(G1065*Input!$D$48,2)</f>
        <v>1859.65</v>
      </c>
      <c r="H1066" s="1847">
        <f>ROUND(H1065*Input!$D$48,2)</f>
        <v>1906.52</v>
      </c>
      <c r="I1066" s="1847">
        <f>ROUND(I1065*Input!$D$48,2)</f>
        <v>1953.57</v>
      </c>
      <c r="J1066" s="1114"/>
      <c r="K1066" s="1114"/>
      <c r="L1066" s="1009"/>
    </row>
    <row r="1067" spans="1:12">
      <c r="A1067" s="1823"/>
      <c r="B1067" s="1023"/>
      <c r="C1067" s="1816" t="s">
        <v>1032</v>
      </c>
      <c r="D1067" s="1829">
        <f t="shared" ref="D1067:I1067" si="191">SUM(D1065:D1066)</f>
        <v>14104.24928</v>
      </c>
      <c r="E1067" s="1829">
        <f t="shared" si="191"/>
        <v>14736.429700000001</v>
      </c>
      <c r="F1067" s="1829">
        <f t="shared" si="191"/>
        <v>15127.472742000002</v>
      </c>
      <c r="G1067" s="1829">
        <f t="shared" si="191"/>
        <v>15518.515783999999</v>
      </c>
      <c r="H1067" s="1829">
        <f t="shared" si="191"/>
        <v>15909.568826000002</v>
      </c>
      <c r="I1067" s="1829">
        <f t="shared" si="191"/>
        <v>16302.201868</v>
      </c>
      <c r="J1067" s="1114"/>
      <c r="K1067" s="1114"/>
      <c r="L1067" s="1009"/>
    </row>
    <row r="1068" spans="1:12">
      <c r="A1068" s="1823"/>
      <c r="B1068" s="1023"/>
      <c r="C1068" s="1843" t="s">
        <v>1034</v>
      </c>
      <c r="D1068" s="999">
        <f t="shared" ref="D1068:I1068" si="192">ROUND(D1067,0)</f>
        <v>14104</v>
      </c>
      <c r="E1068" s="999">
        <f t="shared" si="192"/>
        <v>14736</v>
      </c>
      <c r="F1068" s="999">
        <f t="shared" si="192"/>
        <v>15127</v>
      </c>
      <c r="G1068" s="999">
        <f t="shared" si="192"/>
        <v>15519</v>
      </c>
      <c r="H1068" s="999">
        <f t="shared" si="192"/>
        <v>15910</v>
      </c>
      <c r="I1068" s="999">
        <f t="shared" si="192"/>
        <v>16302</v>
      </c>
      <c r="J1068" s="1114"/>
      <c r="K1068" s="1114"/>
      <c r="L1068" s="1009"/>
    </row>
    <row r="1069" spans="1:12">
      <c r="A1069" s="1823"/>
      <c r="B1069" s="1068"/>
      <c r="C1069" s="1129"/>
      <c r="D1069" s="1114"/>
      <c r="E1069" s="1114"/>
      <c r="F1069" s="1114"/>
      <c r="G1069" s="1114"/>
      <c r="H1069" s="1114"/>
      <c r="I1069" s="1009"/>
      <c r="J1069" s="1114"/>
      <c r="K1069" s="1114"/>
      <c r="L1069" s="1009"/>
    </row>
    <row r="1070" spans="1:12">
      <c r="A1070" s="1823"/>
      <c r="B1070" s="1068"/>
      <c r="C1070" s="1821" t="s">
        <v>1255</v>
      </c>
      <c r="D1070" s="1114"/>
      <c r="E1070" s="1114"/>
      <c r="F1070" s="1114"/>
      <c r="G1070" s="1114"/>
      <c r="H1070" s="1114"/>
      <c r="I1070" s="1009"/>
      <c r="J1070" s="1114"/>
      <c r="K1070" s="1114"/>
      <c r="L1070" s="1009"/>
    </row>
    <row r="1071" spans="1:12">
      <c r="A1071" s="1823"/>
      <c r="B1071" s="1098" t="s">
        <v>1215</v>
      </c>
      <c r="C1071" s="1821" t="s">
        <v>1251</v>
      </c>
      <c r="D1071" s="1846"/>
      <c r="E1071" s="1846"/>
      <c r="F1071" s="1068"/>
      <c r="G1071" s="1105"/>
      <c r="H1071" s="1846"/>
      <c r="I1071" s="1080"/>
      <c r="J1071" s="1114"/>
      <c r="K1071" s="1114"/>
      <c r="L1071" s="1009"/>
    </row>
    <row r="1072" spans="1:12">
      <c r="A1072" s="1823"/>
      <c r="B1072" s="1068"/>
      <c r="C1072" s="1816" t="s">
        <v>1217</v>
      </c>
      <c r="D1072" s="1009" t="s">
        <v>1223</v>
      </c>
      <c r="E1072" s="1098" t="s">
        <v>1207</v>
      </c>
      <c r="F1072" s="1102" t="s">
        <v>1208</v>
      </c>
      <c r="G1072" s="1102" t="s">
        <v>1209</v>
      </c>
      <c r="H1072" s="1102" t="s">
        <v>1210</v>
      </c>
      <c r="I1072" s="1102" t="s">
        <v>1211</v>
      </c>
      <c r="J1072" s="1114"/>
      <c r="K1072" s="1114"/>
      <c r="L1072" s="1009"/>
    </row>
    <row r="1073" spans="1:64">
      <c r="A1073" s="1823"/>
      <c r="B1073" s="1847"/>
      <c r="C1073" s="1817" t="s">
        <v>1218</v>
      </c>
      <c r="D1073" s="1848">
        <f t="shared" ref="D1073:I1073" si="193">$I$1039</f>
        <v>6857.6692800000001</v>
      </c>
      <c r="E1073" s="1848">
        <f t="shared" si="193"/>
        <v>6857.6692800000001</v>
      </c>
      <c r="F1073" s="1848">
        <f t="shared" si="193"/>
        <v>6857.6692800000001</v>
      </c>
      <c r="G1073" s="1848">
        <f t="shared" si="193"/>
        <v>6857.6692800000001</v>
      </c>
      <c r="H1073" s="1848">
        <f t="shared" si="193"/>
        <v>6857.6692800000001</v>
      </c>
      <c r="I1073" s="1848">
        <f t="shared" si="193"/>
        <v>6857.6692800000001</v>
      </c>
      <c r="J1073" s="1114"/>
      <c r="K1073" s="1114"/>
      <c r="L1073" s="1009"/>
    </row>
    <row r="1074" spans="1:64">
      <c r="A1074" s="1823"/>
      <c r="B1074" s="1847"/>
      <c r="C1074" s="1817" t="s">
        <v>1182</v>
      </c>
      <c r="D1074" s="1848">
        <f>'Civil-SOR'!$F$268+('Civil-SOR'!$F$268*16.66%)</f>
        <v>2740.3433999999997</v>
      </c>
      <c r="E1074" s="1848">
        <f>'Civil-SOR'!$F$268+('Civil-SOR'!$F$268*16.66%)</f>
        <v>2740.3433999999997</v>
      </c>
      <c r="F1074" s="1848">
        <f>'Civil-SOR'!$F$268+('Civil-SOR'!$F$268*16.66%)</f>
        <v>2740.3433999999997</v>
      </c>
      <c r="G1074" s="1848">
        <f>'Civil-SOR'!$F$268+('Civil-SOR'!$F$268*16.66%)</f>
        <v>2740.3433999999997</v>
      </c>
      <c r="H1074" s="1848">
        <f>'Civil-SOR'!$F$268+('Civil-SOR'!$F$268*16.66%)</f>
        <v>2740.3433999999997</v>
      </c>
      <c r="I1074" s="1848">
        <f>'Civil-SOR'!$F$268+('Civil-SOR'!$F$268*16.66%)</f>
        <v>2740.3433999999997</v>
      </c>
      <c r="J1074" s="1114"/>
      <c r="K1074" s="1114"/>
      <c r="L1074" s="1009"/>
    </row>
    <row r="1075" spans="1:64">
      <c r="A1075" s="1823"/>
      <c r="B1075" s="1847"/>
      <c r="C1075" s="1817" t="s">
        <v>1252</v>
      </c>
      <c r="D1075" s="1062">
        <f>'Civil-SOR'!$G$268+('Civil-SOR'!$G$268*16.66%)</f>
        <v>2672.6806000000001</v>
      </c>
      <c r="E1075" s="1062">
        <f>'Civil-SOR'!$H$268+('Civil-SOR'!$H$268*16.66%)</f>
        <v>2939.8319999999999</v>
      </c>
      <c r="F1075" s="1062">
        <f>'Civil-SOR'!$I$268+('Civil-SOR'!$I$268*16.66%)</f>
        <v>3206.9834000000001</v>
      </c>
      <c r="G1075" s="1062">
        <f>'Civil-SOR'!$J$268+('Civil-SOR'!$J$268*16.66%)</f>
        <v>3474.1347999999998</v>
      </c>
      <c r="H1075" s="1062">
        <f>'Civil-SOR'!$K$268+('Civil-SOR'!$K$268*16.66%)</f>
        <v>3741.2862</v>
      </c>
      <c r="I1075" s="1062">
        <f>'Civil-SOR'!$L$268+('Civil-SOR'!$L$268*16.66%)</f>
        <v>4009.6041999999998</v>
      </c>
      <c r="J1075" s="1114"/>
      <c r="K1075" s="1114"/>
      <c r="L1075" s="1009"/>
    </row>
    <row r="1076" spans="1:64">
      <c r="A1076" s="1823"/>
      <c r="B1076" s="1847"/>
      <c r="C1076" s="1817" t="str">
        <f>Input!$C$47</f>
        <v>Add for MA @ 40%</v>
      </c>
      <c r="D1076" s="1848">
        <f>D1075*Input!$D$47</f>
        <v>1069.0722400000002</v>
      </c>
      <c r="E1076" s="1848">
        <f>E1075*Input!$D$47</f>
        <v>1175.9328</v>
      </c>
      <c r="F1076" s="1848">
        <f>F1075*Input!$D$47</f>
        <v>1282.7933600000001</v>
      </c>
      <c r="G1076" s="1848">
        <f>G1075*Input!$D$47</f>
        <v>1389.65392</v>
      </c>
      <c r="H1076" s="1848">
        <f>H1075*Input!$D$47</f>
        <v>1496.51448</v>
      </c>
      <c r="I1076" s="1848">
        <f>I1075*Input!$D$47</f>
        <v>1603.84168</v>
      </c>
      <c r="J1076" s="1114"/>
      <c r="K1076" s="1114"/>
      <c r="L1076" s="1009"/>
    </row>
    <row r="1077" spans="1:64">
      <c r="A1077" s="1823"/>
      <c r="B1077" s="1847"/>
      <c r="C1077" s="1817" t="s">
        <v>1253</v>
      </c>
      <c r="D1077" s="1848"/>
      <c r="E1077" s="1848">
        <f>$F$1031*0.1</f>
        <v>171.20500000000001</v>
      </c>
      <c r="F1077" s="1848">
        <f>$F$1031*0.2</f>
        <v>342.41</v>
      </c>
      <c r="G1077" s="1848">
        <f>$F$1031*0.3</f>
        <v>513.61500000000001</v>
      </c>
      <c r="H1077" s="1848">
        <f>$F$1031*0.4</f>
        <v>684.82</v>
      </c>
      <c r="I1077" s="1848">
        <f>$F$1031*0.5</f>
        <v>856.02499999999998</v>
      </c>
      <c r="J1077" s="1114"/>
      <c r="K1077" s="1114"/>
      <c r="L1077" s="1009"/>
    </row>
    <row r="1078" spans="1:64">
      <c r="A1078" s="1823"/>
      <c r="B1078" s="1847"/>
      <c r="C1078" s="1817" t="str">
        <f>Input!$C$47</f>
        <v>Add for MA @ 40%</v>
      </c>
      <c r="D1078" s="1848">
        <f>D1077*Input!$D$47</f>
        <v>0</v>
      </c>
      <c r="E1078" s="1848">
        <f>E1077*Input!$D$47</f>
        <v>68.482000000000014</v>
      </c>
      <c r="F1078" s="1848">
        <f>F1077*Input!$D$47</f>
        <v>136.96400000000003</v>
      </c>
      <c r="G1078" s="1848">
        <f>G1077*Input!$D$47</f>
        <v>205.44600000000003</v>
      </c>
      <c r="H1078" s="1848">
        <f>H1077*Input!$D$47</f>
        <v>273.92800000000005</v>
      </c>
      <c r="I1078" s="1848">
        <f>I1077*Input!$D$47</f>
        <v>342.41</v>
      </c>
      <c r="J1078" s="1114"/>
      <c r="K1078" s="1114"/>
      <c r="L1078" s="1009"/>
    </row>
    <row r="1079" spans="1:64">
      <c r="A1079" s="1823"/>
      <c r="B1079" s="1847"/>
      <c r="C1079" s="1816" t="s">
        <v>1167</v>
      </c>
      <c r="D1079" s="1848">
        <f t="shared" ref="D1079:I1079" si="194">SUM(D1073:D1078)</f>
        <v>13339.765519999999</v>
      </c>
      <c r="E1079" s="1848">
        <f t="shared" si="194"/>
        <v>13953.464480000001</v>
      </c>
      <c r="F1079" s="1848">
        <f t="shared" si="194"/>
        <v>14567.16344</v>
      </c>
      <c r="G1079" s="1848">
        <f t="shared" si="194"/>
        <v>15180.8624</v>
      </c>
      <c r="H1079" s="1848">
        <f t="shared" si="194"/>
        <v>15794.56136</v>
      </c>
      <c r="I1079" s="1848">
        <f t="shared" si="194"/>
        <v>16409.89356</v>
      </c>
      <c r="J1079" s="1114"/>
      <c r="K1079" s="1114"/>
      <c r="L1079" s="1009"/>
    </row>
    <row r="1080" spans="1:64">
      <c r="A1080" s="1823"/>
      <c r="B1080" s="1847"/>
      <c r="C1080" s="1817" t="str">
        <f>Input!$C$48</f>
        <v>Overheads &amp; Contractors Profit @ 13.615%</v>
      </c>
      <c r="D1080" s="1847">
        <f>ROUND(D1079*Input!$D$48,2)</f>
        <v>1816.21</v>
      </c>
      <c r="E1080" s="1847">
        <f>ROUND(E1079*Input!$D$48,2)</f>
        <v>1899.76</v>
      </c>
      <c r="F1080" s="1847">
        <f>ROUND(F1079*Input!$D$48,2)</f>
        <v>1983.32</v>
      </c>
      <c r="G1080" s="1847">
        <f>ROUND(G1079*Input!$D$48,2)</f>
        <v>2066.87</v>
      </c>
      <c r="H1080" s="1847">
        <f>ROUND(H1079*Input!$D$48,2)</f>
        <v>2150.4299999999998</v>
      </c>
      <c r="I1080" s="1847">
        <f>ROUND(I1079*Input!$D$48,2)</f>
        <v>2234.21</v>
      </c>
      <c r="J1080" s="1114"/>
      <c r="K1080" s="1114"/>
      <c r="L1080" s="1009"/>
    </row>
    <row r="1081" spans="1:64">
      <c r="A1081" s="1823"/>
      <c r="B1081" s="1023"/>
      <c r="C1081" s="1816" t="s">
        <v>1032</v>
      </c>
      <c r="D1081" s="1829">
        <f t="shared" ref="D1081:I1081" si="195">SUM(D1079:D1080)</f>
        <v>15155.97552</v>
      </c>
      <c r="E1081" s="1829">
        <f t="shared" si="195"/>
        <v>15853.224480000001</v>
      </c>
      <c r="F1081" s="1829">
        <f t="shared" si="195"/>
        <v>16550.48344</v>
      </c>
      <c r="G1081" s="1829">
        <f t="shared" si="195"/>
        <v>17247.732400000001</v>
      </c>
      <c r="H1081" s="1829">
        <f t="shared" si="195"/>
        <v>17944.99136</v>
      </c>
      <c r="I1081" s="1829">
        <f t="shared" si="195"/>
        <v>18644.10356</v>
      </c>
      <c r="J1081" s="1114"/>
      <c r="K1081" s="1114"/>
      <c r="L1081" s="1009"/>
    </row>
    <row r="1082" spans="1:64">
      <c r="A1082" s="1823"/>
      <c r="B1082" s="1023"/>
      <c r="C1082" s="1843" t="s">
        <v>1034</v>
      </c>
      <c r="D1082" s="999">
        <f t="shared" ref="D1082:I1082" si="196">ROUND(D1081,0)</f>
        <v>15156</v>
      </c>
      <c r="E1082" s="999">
        <f t="shared" si="196"/>
        <v>15853</v>
      </c>
      <c r="F1082" s="999">
        <f t="shared" si="196"/>
        <v>16550</v>
      </c>
      <c r="G1082" s="999">
        <f t="shared" si="196"/>
        <v>17248</v>
      </c>
      <c r="H1082" s="999">
        <f t="shared" si="196"/>
        <v>17945</v>
      </c>
      <c r="I1082" s="999">
        <f t="shared" si="196"/>
        <v>18644</v>
      </c>
      <c r="J1082" s="1114"/>
      <c r="K1082" s="1114"/>
      <c r="L1082" s="1009"/>
    </row>
    <row r="1083" spans="1:64">
      <c r="A1083" s="1823"/>
      <c r="B1083" s="1068"/>
      <c r="C1083" s="1821"/>
      <c r="D1083" s="1114"/>
      <c r="E1083" s="1114"/>
      <c r="F1083" s="1114"/>
      <c r="G1083" s="1114"/>
      <c r="H1083" s="1114"/>
      <c r="I1083" s="1009"/>
      <c r="J1083" s="1114"/>
      <c r="K1083" s="1114"/>
      <c r="L1083" s="1009"/>
    </row>
    <row r="1084" spans="1:64">
      <c r="A1084" s="1823"/>
      <c r="B1084" s="1098" t="s">
        <v>1221</v>
      </c>
      <c r="C1084" s="1821" t="s">
        <v>1222</v>
      </c>
      <c r="D1084" s="1846"/>
      <c r="E1084" s="1846"/>
      <c r="F1084" s="1068"/>
      <c r="G1084" s="1105"/>
      <c r="H1084" s="1846"/>
      <c r="I1084" s="1080"/>
      <c r="J1084" s="1114"/>
      <c r="K1084" s="1114"/>
      <c r="L1084" s="1009"/>
    </row>
    <row r="1085" spans="1:64">
      <c r="A1085" s="1823"/>
      <c r="B1085" s="1068"/>
      <c r="C1085" s="1816" t="s">
        <v>1217</v>
      </c>
      <c r="D1085" s="1009" t="s">
        <v>1223</v>
      </c>
      <c r="E1085" s="1098" t="s">
        <v>1207</v>
      </c>
      <c r="F1085" s="1102" t="s">
        <v>1208</v>
      </c>
      <c r="G1085" s="1102" t="s">
        <v>1209</v>
      </c>
      <c r="H1085" s="1102" t="s">
        <v>1210</v>
      </c>
      <c r="I1085" s="1102" t="s">
        <v>1211</v>
      </c>
      <c r="J1085" s="1114"/>
      <c r="K1085" s="1114"/>
      <c r="L1085" s="1009"/>
      <c r="Q1085" s="1003"/>
      <c r="R1085" s="1003"/>
      <c r="S1085" s="1003"/>
      <c r="T1085" s="1003"/>
      <c r="U1085" s="1003"/>
      <c r="V1085" s="1003"/>
      <c r="W1085" s="1003"/>
      <c r="X1085" s="1003"/>
      <c r="Y1085" s="1003"/>
      <c r="Z1085" s="1003"/>
      <c r="AA1085" s="1003"/>
      <c r="AB1085" s="1003"/>
      <c r="AC1085" s="1003"/>
      <c r="AD1085" s="1003"/>
      <c r="AE1085" s="1003"/>
      <c r="AF1085" s="1003"/>
      <c r="AG1085" s="1003"/>
      <c r="AH1085" s="1003"/>
      <c r="AI1085" s="1003"/>
      <c r="AJ1085" s="1003"/>
      <c r="AK1085" s="1003"/>
      <c r="AL1085" s="1003"/>
      <c r="AM1085" s="1003"/>
      <c r="AN1085" s="1003"/>
      <c r="AO1085" s="1003"/>
      <c r="AP1085" s="1003"/>
      <c r="AQ1085" s="1003"/>
      <c r="AR1085" s="1003"/>
      <c r="AS1085" s="1003"/>
      <c r="AT1085" s="1003"/>
      <c r="AU1085" s="1003"/>
      <c r="AV1085" s="1003"/>
      <c r="AW1085" s="1003"/>
      <c r="AX1085" s="1003"/>
      <c r="AY1085" s="1003"/>
      <c r="AZ1085" s="1003"/>
      <c r="BA1085" s="1003"/>
      <c r="BB1085" s="1003"/>
      <c r="BC1085" s="1003"/>
      <c r="BD1085" s="1003"/>
      <c r="BE1085" s="1003"/>
      <c r="BF1085" s="1003"/>
      <c r="BG1085" s="1003"/>
      <c r="BH1085" s="1003"/>
      <c r="BI1085" s="1003"/>
      <c r="BJ1085" s="1003"/>
      <c r="BK1085" s="1003"/>
      <c r="BL1085" s="1003"/>
    </row>
    <row r="1086" spans="1:64">
      <c r="A1086" s="1847"/>
      <c r="B1086" s="1847"/>
      <c r="C1086" s="1817" t="s">
        <v>1218</v>
      </c>
      <c r="D1086" s="1848">
        <f t="shared" ref="D1086:I1086" si="197">$I$1039</f>
        <v>6857.6692800000001</v>
      </c>
      <c r="E1086" s="1848">
        <f t="shared" si="197"/>
        <v>6857.6692800000001</v>
      </c>
      <c r="F1086" s="1848">
        <f t="shared" si="197"/>
        <v>6857.6692800000001</v>
      </c>
      <c r="G1086" s="1848">
        <f t="shared" si="197"/>
        <v>6857.6692800000001</v>
      </c>
      <c r="H1086" s="1848">
        <f t="shared" si="197"/>
        <v>6857.6692800000001</v>
      </c>
      <c r="I1086" s="1848">
        <f t="shared" si="197"/>
        <v>6857.6692800000001</v>
      </c>
      <c r="J1086" s="1114"/>
      <c r="K1086" s="1114"/>
      <c r="L1086" s="1009"/>
      <c r="Q1086" s="1003"/>
      <c r="R1086" s="1003"/>
      <c r="S1086" s="1003"/>
      <c r="T1086" s="1003"/>
      <c r="U1086" s="1003"/>
      <c r="V1086" s="1003"/>
      <c r="W1086" s="1003"/>
      <c r="X1086" s="1003"/>
      <c r="Y1086" s="1003"/>
      <c r="Z1086" s="1003"/>
      <c r="AA1086" s="1003"/>
      <c r="AB1086" s="1003"/>
      <c r="AC1086" s="1003"/>
      <c r="AD1086" s="1003"/>
      <c r="AE1086" s="1003"/>
      <c r="AF1086" s="1003"/>
      <c r="AG1086" s="1003"/>
      <c r="AH1086" s="1003"/>
      <c r="AI1086" s="1003"/>
      <c r="AJ1086" s="1003"/>
      <c r="AK1086" s="1003"/>
      <c r="AL1086" s="1003"/>
      <c r="AM1086" s="1003"/>
      <c r="AN1086" s="1003"/>
      <c r="AO1086" s="1003"/>
      <c r="AP1086" s="1003"/>
      <c r="AQ1086" s="1003"/>
      <c r="AR1086" s="1003"/>
      <c r="AS1086" s="1003"/>
      <c r="AT1086" s="1003"/>
      <c r="AU1086" s="1003"/>
      <c r="AV1086" s="1003"/>
      <c r="AW1086" s="1003"/>
      <c r="AX1086" s="1003"/>
      <c r="AY1086" s="1003"/>
      <c r="AZ1086" s="1003"/>
      <c r="BA1086" s="1003"/>
      <c r="BB1086" s="1003"/>
      <c r="BC1086" s="1003"/>
      <c r="BD1086" s="1003"/>
      <c r="BE1086" s="1003"/>
      <c r="BF1086" s="1003"/>
      <c r="BG1086" s="1003"/>
      <c r="BH1086" s="1003"/>
      <c r="BI1086" s="1003"/>
      <c r="BJ1086" s="1003"/>
      <c r="BK1086" s="1003"/>
      <c r="BL1086" s="1003"/>
    </row>
    <row r="1087" spans="1:64">
      <c r="A1087" s="1847"/>
      <c r="B1087" s="1847"/>
      <c r="C1087" s="1817" t="s">
        <v>1182</v>
      </c>
      <c r="D1087" s="1848">
        <f>'Civil-SOR'!$F$268+('Civil-SOR'!$F$268*16.66%)</f>
        <v>2740.3433999999997</v>
      </c>
      <c r="E1087" s="1848">
        <f>'Civil-SOR'!$F$268+('Civil-SOR'!$F$268*16.66%)</f>
        <v>2740.3433999999997</v>
      </c>
      <c r="F1087" s="1848">
        <f>'Civil-SOR'!$F$268+('Civil-SOR'!$F$268*16.66%)</f>
        <v>2740.3433999999997</v>
      </c>
      <c r="G1087" s="1848">
        <f>'Civil-SOR'!$F$268+('Civil-SOR'!$F$268*16.66%)</f>
        <v>2740.3433999999997</v>
      </c>
      <c r="H1087" s="1848">
        <f>'Civil-SOR'!$F$268+('Civil-SOR'!$F$268*16.66%)</f>
        <v>2740.3433999999997</v>
      </c>
      <c r="I1087" s="1848">
        <f>'Civil-SOR'!$F$268+('Civil-SOR'!$F$268*16.66%)</f>
        <v>2740.3433999999997</v>
      </c>
      <c r="J1087" s="1114"/>
      <c r="K1087" s="1114"/>
      <c r="L1087" s="1009"/>
      <c r="Q1087" s="1003"/>
      <c r="R1087" s="1003"/>
      <c r="S1087" s="1003"/>
      <c r="T1087" s="1003"/>
      <c r="U1087" s="1003"/>
      <c r="V1087" s="1003"/>
      <c r="W1087" s="1003"/>
      <c r="X1087" s="1003"/>
      <c r="Y1087" s="1003"/>
      <c r="Z1087" s="1003"/>
      <c r="AA1087" s="1003"/>
      <c r="AB1087" s="1003"/>
      <c r="AC1087" s="1003"/>
      <c r="AD1087" s="1003"/>
      <c r="AE1087" s="1003"/>
      <c r="AF1087" s="1003"/>
      <c r="AG1087" s="1003"/>
      <c r="AH1087" s="1003"/>
      <c r="AI1087" s="1003"/>
      <c r="AJ1087" s="1003"/>
      <c r="AK1087" s="1003"/>
      <c r="AL1087" s="1003"/>
      <c r="AM1087" s="1003"/>
      <c r="AN1087" s="1003"/>
      <c r="AO1087" s="1003"/>
      <c r="AP1087" s="1003"/>
      <c r="AQ1087" s="1003"/>
      <c r="AR1087" s="1003"/>
      <c r="AS1087" s="1003"/>
      <c r="AT1087" s="1003"/>
      <c r="AU1087" s="1003"/>
      <c r="AV1087" s="1003"/>
      <c r="AW1087" s="1003"/>
      <c r="AX1087" s="1003"/>
      <c r="AY1087" s="1003"/>
      <c r="AZ1087" s="1003"/>
      <c r="BA1087" s="1003"/>
      <c r="BB1087" s="1003"/>
      <c r="BC1087" s="1003"/>
      <c r="BD1087" s="1003"/>
      <c r="BE1087" s="1003"/>
      <c r="BF1087" s="1003"/>
      <c r="BG1087" s="1003"/>
      <c r="BH1087" s="1003"/>
      <c r="BI1087" s="1003"/>
      <c r="BJ1087" s="1003"/>
      <c r="BK1087" s="1003"/>
      <c r="BL1087" s="1003"/>
    </row>
    <row r="1088" spans="1:64">
      <c r="A1088" s="1847"/>
      <c r="B1088" s="1847"/>
      <c r="C1088" s="1817" t="s">
        <v>1252</v>
      </c>
      <c r="D1088" s="1062">
        <f>'Civil-SOR'!$G$268+('Civil-SOR'!$G$268*16.66%)</f>
        <v>2672.6806000000001</v>
      </c>
      <c r="E1088" s="1062">
        <f>'Civil-SOR'!$H$268+('Civil-SOR'!$H$268*16.66%)</f>
        <v>2939.8319999999999</v>
      </c>
      <c r="F1088" s="1062">
        <f>'Civil-SOR'!$I$268+('Civil-SOR'!$I$268*16.66%)</f>
        <v>3206.9834000000001</v>
      </c>
      <c r="G1088" s="1062">
        <f>'Civil-SOR'!$J$268+('Civil-SOR'!$J$268*16.66%)</f>
        <v>3474.1347999999998</v>
      </c>
      <c r="H1088" s="1062">
        <f>'Civil-SOR'!$K$268+('Civil-SOR'!$K$268*16.66%)</f>
        <v>3741.2862</v>
      </c>
      <c r="I1088" s="1062">
        <f>'Civil-SOR'!$L$268+('Civil-SOR'!$L$268*16.66%)</f>
        <v>4009.6041999999998</v>
      </c>
      <c r="J1088" s="1114"/>
      <c r="K1088" s="1114"/>
      <c r="L1088" s="1009"/>
      <c r="Q1088" s="1003"/>
      <c r="R1088" s="1003"/>
      <c r="S1088" s="1003"/>
      <c r="T1088" s="1003"/>
      <c r="U1088" s="1003"/>
      <c r="V1088" s="1003"/>
      <c r="W1088" s="1003"/>
      <c r="X1088" s="1003"/>
      <c r="Y1088" s="1003"/>
      <c r="Z1088" s="1003"/>
      <c r="AA1088" s="1003"/>
      <c r="AB1088" s="1003"/>
      <c r="AC1088" s="1003"/>
      <c r="AD1088" s="1003"/>
      <c r="AE1088" s="1003"/>
      <c r="AF1088" s="1003"/>
      <c r="AG1088" s="1003"/>
      <c r="AH1088" s="1003"/>
      <c r="AI1088" s="1003"/>
      <c r="AJ1088" s="1003"/>
      <c r="AK1088" s="1003"/>
      <c r="AL1088" s="1003"/>
      <c r="AM1088" s="1003"/>
      <c r="AN1088" s="1003"/>
      <c r="AO1088" s="1003"/>
      <c r="AP1088" s="1003"/>
      <c r="AQ1088" s="1003"/>
      <c r="AR1088" s="1003"/>
      <c r="AS1088" s="1003"/>
      <c r="AT1088" s="1003"/>
      <c r="AU1088" s="1003"/>
      <c r="AV1088" s="1003"/>
      <c r="AW1088" s="1003"/>
      <c r="AX1088" s="1003"/>
      <c r="AY1088" s="1003"/>
      <c r="AZ1088" s="1003"/>
      <c r="BA1088" s="1003"/>
      <c r="BB1088" s="1003"/>
      <c r="BC1088" s="1003"/>
      <c r="BD1088" s="1003"/>
      <c r="BE1088" s="1003"/>
      <c r="BF1088" s="1003"/>
      <c r="BG1088" s="1003"/>
      <c r="BH1088" s="1003"/>
      <c r="BI1088" s="1003"/>
      <c r="BJ1088" s="1003"/>
      <c r="BK1088" s="1003"/>
      <c r="BL1088" s="1003"/>
    </row>
    <row r="1089" spans="1:64">
      <c r="A1089" s="1847"/>
      <c r="B1089" s="1847"/>
      <c r="C1089" s="1817" t="str">
        <f>Input!$C$47</f>
        <v>Add for MA @ 40%</v>
      </c>
      <c r="D1089" s="1848">
        <f>D1088*Input!$D$47</f>
        <v>1069.0722400000002</v>
      </c>
      <c r="E1089" s="1848">
        <f>E1088*Input!$D$47</f>
        <v>1175.9328</v>
      </c>
      <c r="F1089" s="1848">
        <f>F1088*Input!$D$47</f>
        <v>1282.7933600000001</v>
      </c>
      <c r="G1089" s="1848">
        <f>G1088*Input!$D$47</f>
        <v>1389.65392</v>
      </c>
      <c r="H1089" s="1848">
        <f>H1088*Input!$D$47</f>
        <v>1496.51448</v>
      </c>
      <c r="I1089" s="1848">
        <f>I1088*Input!$D$47</f>
        <v>1603.84168</v>
      </c>
      <c r="J1089" s="1114"/>
      <c r="K1089" s="1114"/>
      <c r="L1089" s="1009"/>
      <c r="Q1089" s="1003"/>
      <c r="R1089" s="1003"/>
      <c r="S1089" s="1003"/>
      <c r="T1089" s="1003"/>
      <c r="U1089" s="1003"/>
      <c r="V1089" s="1003"/>
      <c r="W1089" s="1003"/>
      <c r="X1089" s="1003"/>
      <c r="Y1089" s="1003"/>
      <c r="Z1089" s="1003"/>
      <c r="AA1089" s="1003"/>
      <c r="AB1089" s="1003"/>
      <c r="AC1089" s="1003"/>
      <c r="AD1089" s="1003"/>
      <c r="AE1089" s="1003"/>
      <c r="AF1089" s="1003"/>
      <c r="AG1089" s="1003"/>
      <c r="AH1089" s="1003"/>
      <c r="AI1089" s="1003"/>
      <c r="AJ1089" s="1003"/>
      <c r="AK1089" s="1003"/>
      <c r="AL1089" s="1003"/>
      <c r="AM1089" s="1003"/>
      <c r="AN1089" s="1003"/>
      <c r="AO1089" s="1003"/>
      <c r="AP1089" s="1003"/>
      <c r="AQ1089" s="1003"/>
      <c r="AR1089" s="1003"/>
      <c r="AS1089" s="1003"/>
      <c r="AT1089" s="1003"/>
      <c r="AU1089" s="1003"/>
      <c r="AV1089" s="1003"/>
      <c r="AW1089" s="1003"/>
      <c r="AX1089" s="1003"/>
      <c r="AY1089" s="1003"/>
      <c r="AZ1089" s="1003"/>
      <c r="BA1089" s="1003"/>
      <c r="BB1089" s="1003"/>
      <c r="BC1089" s="1003"/>
      <c r="BD1089" s="1003"/>
      <c r="BE1089" s="1003"/>
      <c r="BF1089" s="1003"/>
      <c r="BG1089" s="1003"/>
      <c r="BH1089" s="1003"/>
      <c r="BI1089" s="1003"/>
      <c r="BJ1089" s="1003"/>
      <c r="BK1089" s="1003"/>
      <c r="BL1089" s="1003"/>
    </row>
    <row r="1090" spans="1:64" ht="25.5">
      <c r="A1090" s="1847"/>
      <c r="B1090" s="1847"/>
      <c r="C1090" s="1817" t="s">
        <v>1254</v>
      </c>
      <c r="D1090" s="1848">
        <v>0</v>
      </c>
      <c r="E1090" s="1848">
        <f>0.267*'Civil-SOR'!$G$334</f>
        <v>101.11290000000002</v>
      </c>
      <c r="F1090" s="1848">
        <f t="shared" ref="F1090:F1091" si="198">E1090*1.1</f>
        <v>111.22419000000004</v>
      </c>
      <c r="G1090" s="1848">
        <f t="shared" ref="G1090:G1091" si="199">E1090*1.2</f>
        <v>121.33548000000002</v>
      </c>
      <c r="H1090" s="1848">
        <f t="shared" ref="H1090:H1091" si="200">E1090*1.3</f>
        <v>131.44677000000004</v>
      </c>
      <c r="I1090" s="1848">
        <f t="shared" ref="I1090:I1091" si="201">E1090*1.4</f>
        <v>141.55806000000001</v>
      </c>
      <c r="J1090" s="1114"/>
      <c r="K1090" s="1114"/>
      <c r="L1090" s="1009"/>
      <c r="Q1090" s="1003"/>
      <c r="R1090" s="1003"/>
      <c r="S1090" s="1003"/>
      <c r="T1090" s="1003"/>
      <c r="U1090" s="1003"/>
      <c r="V1090" s="1003"/>
      <c r="W1090" s="1003"/>
      <c r="X1090" s="1003"/>
      <c r="Y1090" s="1003"/>
      <c r="Z1090" s="1003"/>
      <c r="AA1090" s="1003"/>
      <c r="AB1090" s="1003"/>
      <c r="AC1090" s="1003"/>
      <c r="AD1090" s="1003"/>
      <c r="AE1090" s="1003"/>
      <c r="AF1090" s="1003"/>
      <c r="AG1090" s="1003"/>
      <c r="AH1090" s="1003"/>
      <c r="AI1090" s="1003"/>
      <c r="AJ1090" s="1003"/>
      <c r="AK1090" s="1003"/>
      <c r="AL1090" s="1003"/>
      <c r="AM1090" s="1003"/>
      <c r="AN1090" s="1003"/>
      <c r="AO1090" s="1003"/>
      <c r="AP1090" s="1003"/>
      <c r="AQ1090" s="1003"/>
      <c r="AR1090" s="1003"/>
      <c r="AS1090" s="1003"/>
      <c r="AT1090" s="1003"/>
      <c r="AU1090" s="1003"/>
      <c r="AV1090" s="1003"/>
      <c r="AW1090" s="1003"/>
      <c r="AX1090" s="1003"/>
      <c r="AY1090" s="1003"/>
      <c r="AZ1090" s="1003"/>
      <c r="BA1090" s="1003"/>
      <c r="BB1090" s="1003"/>
      <c r="BC1090" s="1003"/>
      <c r="BD1090" s="1003"/>
      <c r="BE1090" s="1003"/>
      <c r="BF1090" s="1003"/>
      <c r="BG1090" s="1003"/>
      <c r="BH1090" s="1003"/>
      <c r="BI1090" s="1003"/>
      <c r="BJ1090" s="1003"/>
      <c r="BK1090" s="1003"/>
      <c r="BL1090" s="1003"/>
    </row>
    <row r="1091" spans="1:64">
      <c r="A1091" s="1847"/>
      <c r="B1091" s="1847"/>
      <c r="C1091" s="1817" t="s">
        <v>579</v>
      </c>
      <c r="D1091" s="1848"/>
      <c r="E1091" s="1848">
        <f>0.267*'Civil-SOR'!$J$334</f>
        <v>96.226799999999997</v>
      </c>
      <c r="F1091" s="1848">
        <f t="shared" si="198"/>
        <v>105.84948</v>
      </c>
      <c r="G1091" s="1848">
        <f t="shared" si="199"/>
        <v>115.47215999999999</v>
      </c>
      <c r="H1091" s="1848">
        <f t="shared" si="200"/>
        <v>125.09484</v>
      </c>
      <c r="I1091" s="1848">
        <f t="shared" si="201"/>
        <v>134.71751999999998</v>
      </c>
      <c r="J1091" s="1114"/>
      <c r="K1091" s="1114"/>
      <c r="L1091" s="1009"/>
      <c r="Q1091" s="1003"/>
      <c r="R1091" s="1003"/>
      <c r="S1091" s="1003"/>
      <c r="T1091" s="1003"/>
      <c r="U1091" s="1003"/>
      <c r="V1091" s="1003"/>
      <c r="W1091" s="1003"/>
      <c r="X1091" s="1003"/>
      <c r="Y1091" s="1003"/>
      <c r="Z1091" s="1003"/>
      <c r="AA1091" s="1003"/>
      <c r="AB1091" s="1003"/>
      <c r="AC1091" s="1003"/>
      <c r="AD1091" s="1003"/>
      <c r="AE1091" s="1003"/>
      <c r="AF1091" s="1003"/>
      <c r="AG1091" s="1003"/>
      <c r="AH1091" s="1003"/>
      <c r="AI1091" s="1003"/>
      <c r="AJ1091" s="1003"/>
      <c r="AK1091" s="1003"/>
      <c r="AL1091" s="1003"/>
      <c r="AM1091" s="1003"/>
      <c r="AN1091" s="1003"/>
      <c r="AO1091" s="1003"/>
      <c r="AP1091" s="1003"/>
      <c r="AQ1091" s="1003"/>
      <c r="AR1091" s="1003"/>
      <c r="AS1091" s="1003"/>
      <c r="AT1091" s="1003"/>
      <c r="AU1091" s="1003"/>
      <c r="AV1091" s="1003"/>
      <c r="AW1091" s="1003"/>
      <c r="AX1091" s="1003"/>
      <c r="AY1091" s="1003"/>
      <c r="AZ1091" s="1003"/>
      <c r="BA1091" s="1003"/>
      <c r="BB1091" s="1003"/>
      <c r="BC1091" s="1003"/>
      <c r="BD1091" s="1003"/>
      <c r="BE1091" s="1003"/>
      <c r="BF1091" s="1003"/>
      <c r="BG1091" s="1003"/>
      <c r="BH1091" s="1003"/>
      <c r="BI1091" s="1003"/>
      <c r="BJ1091" s="1003"/>
      <c r="BK1091" s="1003"/>
      <c r="BL1091" s="1003"/>
    </row>
    <row r="1092" spans="1:64">
      <c r="A1092" s="1847"/>
      <c r="B1092" s="1847"/>
      <c r="C1092" s="1817" t="str">
        <f>Input!$C$47</f>
        <v>Add for MA @ 40%</v>
      </c>
      <c r="D1092" s="1848">
        <f>D1090*Input!D47</f>
        <v>0</v>
      </c>
      <c r="E1092" s="1848">
        <f>E1091*Input!$D$47</f>
        <v>38.490720000000003</v>
      </c>
      <c r="F1092" s="1848">
        <f>F1091*Input!$D$47</f>
        <v>42.339792000000003</v>
      </c>
      <c r="G1092" s="1848">
        <f>G1091*Input!$D$47</f>
        <v>46.188863999999995</v>
      </c>
      <c r="H1092" s="1848">
        <f>H1091*Input!$D$47</f>
        <v>50.037936000000002</v>
      </c>
      <c r="I1092" s="1848">
        <f>I1091*Input!$D$47</f>
        <v>53.887007999999994</v>
      </c>
      <c r="J1092" s="1114"/>
      <c r="K1092" s="1114"/>
      <c r="L1092" s="1009"/>
      <c r="Q1092" s="1003"/>
      <c r="R1092" s="1003"/>
      <c r="S1092" s="1003"/>
      <c r="T1092" s="1003"/>
      <c r="U1092" s="1003"/>
      <c r="V1092" s="1003"/>
      <c r="W1092" s="1003"/>
      <c r="X1092" s="1003"/>
      <c r="Y1092" s="1003"/>
      <c r="Z1092" s="1003"/>
      <c r="AA1092" s="1003"/>
      <c r="AB1092" s="1003"/>
      <c r="AC1092" s="1003"/>
      <c r="AD1092" s="1003"/>
      <c r="AE1092" s="1003"/>
      <c r="AF1092" s="1003"/>
      <c r="AG1092" s="1003"/>
      <c r="AH1092" s="1003"/>
      <c r="AI1092" s="1003"/>
      <c r="AJ1092" s="1003"/>
      <c r="AK1092" s="1003"/>
      <c r="AL1092" s="1003"/>
      <c r="AM1092" s="1003"/>
      <c r="AN1092" s="1003"/>
      <c r="AO1092" s="1003"/>
      <c r="AP1092" s="1003"/>
      <c r="AQ1092" s="1003"/>
      <c r="AR1092" s="1003"/>
      <c r="AS1092" s="1003"/>
      <c r="AT1092" s="1003"/>
      <c r="AU1092" s="1003"/>
      <c r="AV1092" s="1003"/>
      <c r="AW1092" s="1003"/>
      <c r="AX1092" s="1003"/>
      <c r="AY1092" s="1003"/>
      <c r="AZ1092" s="1003"/>
      <c r="BA1092" s="1003"/>
      <c r="BB1092" s="1003"/>
      <c r="BC1092" s="1003"/>
      <c r="BD1092" s="1003"/>
      <c r="BE1092" s="1003"/>
      <c r="BF1092" s="1003"/>
      <c r="BG1092" s="1003"/>
      <c r="BH1092" s="1003"/>
      <c r="BI1092" s="1003"/>
      <c r="BJ1092" s="1003"/>
      <c r="BK1092" s="1003"/>
      <c r="BL1092" s="1003"/>
    </row>
    <row r="1093" spans="1:64">
      <c r="A1093" s="1847"/>
      <c r="B1093" s="1847"/>
      <c r="C1093" s="1816" t="s">
        <v>1167</v>
      </c>
      <c r="D1093" s="1848">
        <f t="shared" ref="D1093:I1093" si="202">SUM(D1086:D1092)</f>
        <v>13339.765519999999</v>
      </c>
      <c r="E1093" s="1848">
        <f t="shared" si="202"/>
        <v>13949.607900000001</v>
      </c>
      <c r="F1093" s="1848">
        <f t="shared" si="202"/>
        <v>14347.202902000003</v>
      </c>
      <c r="G1093" s="1848">
        <f t="shared" si="202"/>
        <v>14744.797903999999</v>
      </c>
      <c r="H1093" s="1848">
        <f t="shared" si="202"/>
        <v>15142.392906000001</v>
      </c>
      <c r="I1093" s="1848">
        <f t="shared" si="202"/>
        <v>15541.621147999998</v>
      </c>
      <c r="J1093" s="1114"/>
      <c r="K1093" s="1114"/>
      <c r="L1093" s="1009"/>
      <c r="Q1093" s="997"/>
      <c r="R1093" s="997"/>
      <c r="S1093" s="997"/>
      <c r="T1093" s="997"/>
      <c r="U1093" s="997"/>
      <c r="V1093" s="997"/>
      <c r="W1093" s="997"/>
      <c r="X1093" s="997"/>
      <c r="Y1093" s="997"/>
      <c r="Z1093" s="997"/>
      <c r="AA1093" s="997"/>
      <c r="AB1093" s="997"/>
      <c r="AC1093" s="997"/>
      <c r="AD1093" s="997"/>
      <c r="AE1093" s="997"/>
      <c r="AF1093" s="997"/>
      <c r="AG1093" s="997"/>
      <c r="AH1093" s="997"/>
      <c r="AI1093" s="997"/>
      <c r="AJ1093" s="997"/>
      <c r="AK1093" s="997"/>
      <c r="AL1093" s="997"/>
      <c r="AM1093" s="997"/>
      <c r="AN1093" s="997"/>
      <c r="AO1093" s="997"/>
      <c r="AP1093" s="997"/>
      <c r="AQ1093" s="997"/>
      <c r="AR1093" s="997"/>
      <c r="AS1093" s="997"/>
      <c r="AT1093" s="997"/>
      <c r="AU1093" s="997"/>
      <c r="AV1093" s="997"/>
      <c r="AW1093" s="997"/>
      <c r="AX1093" s="997"/>
      <c r="AY1093" s="997"/>
      <c r="AZ1093" s="997"/>
      <c r="BA1093" s="997"/>
      <c r="BB1093" s="997"/>
      <c r="BC1093" s="997"/>
      <c r="BD1093" s="997"/>
      <c r="BE1093" s="997"/>
      <c r="BF1093" s="997"/>
      <c r="BG1093" s="997"/>
      <c r="BH1093" s="997"/>
      <c r="BI1093" s="997"/>
      <c r="BJ1093" s="997"/>
      <c r="BK1093" s="997"/>
      <c r="BL1093" s="997"/>
    </row>
    <row r="1094" spans="1:64">
      <c r="A1094" s="1847"/>
      <c r="B1094" s="1847"/>
      <c r="C1094" s="1817" t="str">
        <f>Input!$C$48</f>
        <v>Overheads &amp; Contractors Profit @ 13.615%</v>
      </c>
      <c r="D1094" s="1847">
        <f>ROUND(D1093*Input!$D$48,2)</f>
        <v>1816.21</v>
      </c>
      <c r="E1094" s="1847">
        <f>ROUND(E1093*Input!$D$48,2)</f>
        <v>1899.24</v>
      </c>
      <c r="F1094" s="1847">
        <f>ROUND(F1093*Input!$D$48,2)</f>
        <v>1953.37</v>
      </c>
      <c r="G1094" s="1847">
        <f>ROUND(G1093*Input!$D$48,2)</f>
        <v>2007.5</v>
      </c>
      <c r="H1094" s="1847">
        <f>ROUND(H1093*Input!$D$48,2)</f>
        <v>2061.64</v>
      </c>
      <c r="I1094" s="1847">
        <f>ROUND(I1093*Input!$D$48,2)</f>
        <v>2115.9899999999998</v>
      </c>
      <c r="J1094" s="1114"/>
      <c r="K1094" s="1114"/>
      <c r="L1094" s="1009"/>
      <c r="Q1094" s="997"/>
      <c r="R1094" s="997"/>
      <c r="S1094" s="997"/>
      <c r="T1094" s="997"/>
      <c r="U1094" s="997"/>
      <c r="V1094" s="997"/>
      <c r="W1094" s="997"/>
      <c r="X1094" s="997"/>
      <c r="Y1094" s="997"/>
      <c r="Z1094" s="997"/>
      <c r="AA1094" s="997"/>
      <c r="AB1094" s="997"/>
      <c r="AC1094" s="997"/>
      <c r="AD1094" s="997"/>
      <c r="AE1094" s="997"/>
      <c r="AF1094" s="997"/>
      <c r="AG1094" s="997"/>
      <c r="AH1094" s="997"/>
      <c r="AI1094" s="997"/>
      <c r="AJ1094" s="997"/>
      <c r="AK1094" s="997"/>
      <c r="AL1094" s="997"/>
      <c r="AM1094" s="997"/>
      <c r="AN1094" s="997"/>
      <c r="AO1094" s="997"/>
      <c r="AP1094" s="997"/>
      <c r="AQ1094" s="997"/>
      <c r="AR1094" s="997"/>
      <c r="AS1094" s="997"/>
      <c r="AT1094" s="997"/>
      <c r="AU1094" s="997"/>
      <c r="AV1094" s="997"/>
      <c r="AW1094" s="997"/>
      <c r="AX1094" s="997"/>
      <c r="AY1094" s="997"/>
      <c r="AZ1094" s="997"/>
      <c r="BA1094" s="997"/>
      <c r="BB1094" s="997"/>
      <c r="BC1094" s="997"/>
      <c r="BD1094" s="997"/>
      <c r="BE1094" s="997"/>
      <c r="BF1094" s="997"/>
      <c r="BG1094" s="997"/>
      <c r="BH1094" s="997"/>
      <c r="BI1094" s="997"/>
      <c r="BJ1094" s="997"/>
      <c r="BK1094" s="997"/>
      <c r="BL1094" s="997"/>
    </row>
    <row r="1095" spans="1:64">
      <c r="A1095" s="1023"/>
      <c r="B1095" s="1023"/>
      <c r="C1095" s="1816" t="s">
        <v>1032</v>
      </c>
      <c r="D1095" s="1829">
        <f t="shared" ref="D1095:I1095" si="203">SUM(D1093:D1094)</f>
        <v>15155.97552</v>
      </c>
      <c r="E1095" s="1829">
        <f t="shared" si="203"/>
        <v>15848.847900000001</v>
      </c>
      <c r="F1095" s="1829">
        <f t="shared" si="203"/>
        <v>16300.572902000004</v>
      </c>
      <c r="G1095" s="1829">
        <f t="shared" si="203"/>
        <v>16752.297903999999</v>
      </c>
      <c r="H1095" s="1829">
        <f t="shared" si="203"/>
        <v>17204.032906</v>
      </c>
      <c r="I1095" s="1829">
        <f t="shared" si="203"/>
        <v>17657.611147999996</v>
      </c>
      <c r="J1095" s="1114"/>
      <c r="K1095" s="1114"/>
      <c r="L1095" s="1009"/>
    </row>
    <row r="1096" spans="1:64">
      <c r="A1096" s="1023"/>
      <c r="B1096" s="1023"/>
      <c r="C1096" s="1843" t="s">
        <v>1034</v>
      </c>
      <c r="D1096" s="999">
        <f t="shared" ref="D1096:I1096" si="204">ROUND(D1095,0)</f>
        <v>15156</v>
      </c>
      <c r="E1096" s="999">
        <f t="shared" si="204"/>
        <v>15849</v>
      </c>
      <c r="F1096" s="999">
        <f t="shared" si="204"/>
        <v>16301</v>
      </c>
      <c r="G1096" s="999">
        <f t="shared" si="204"/>
        <v>16752</v>
      </c>
      <c r="H1096" s="999">
        <f t="shared" si="204"/>
        <v>17204</v>
      </c>
      <c r="I1096" s="999">
        <f t="shared" si="204"/>
        <v>17658</v>
      </c>
      <c r="J1096" s="1114"/>
      <c r="K1096" s="1114"/>
      <c r="L1096" s="1009"/>
    </row>
    <row r="1097" spans="1:64">
      <c r="A1097" s="1023"/>
      <c r="B1097" s="1023"/>
      <c r="C1097" s="1843"/>
      <c r="D1097" s="999"/>
      <c r="E1097" s="999"/>
      <c r="F1097" s="999"/>
      <c r="G1097" s="999"/>
      <c r="H1097" s="999"/>
      <c r="I1097" s="999"/>
      <c r="J1097" s="1114"/>
      <c r="K1097" s="1114"/>
      <c r="L1097" s="1009"/>
    </row>
    <row r="1098" spans="1:64">
      <c r="A1098" s="1823"/>
      <c r="B1098" s="1068"/>
      <c r="C1098" s="1821" t="s">
        <v>1255</v>
      </c>
      <c r="D1098" s="1102" t="s">
        <v>1212</v>
      </c>
      <c r="E1098" s="1102" t="s">
        <v>1213</v>
      </c>
      <c r="F1098" s="1102" t="s">
        <v>1214</v>
      </c>
      <c r="G1098" s="1114"/>
      <c r="H1098" s="1114"/>
      <c r="I1098" s="1009"/>
      <c r="J1098" s="1114"/>
      <c r="K1098" s="1114"/>
      <c r="L1098" s="1009"/>
    </row>
    <row r="1099" spans="1:64">
      <c r="A1099" s="1823"/>
      <c r="B1099" s="1068"/>
      <c r="C1099" s="1817" t="s">
        <v>1218</v>
      </c>
      <c r="D1099" s="1848">
        <f>$I$1039</f>
        <v>6857.6692800000001</v>
      </c>
      <c r="E1099" s="1848">
        <f>$I$1039</f>
        <v>6857.6692800000001</v>
      </c>
      <c r="F1099" s="1848">
        <f>$I$1039</f>
        <v>6857.6692800000001</v>
      </c>
      <c r="G1099" s="1114"/>
      <c r="H1099" s="1114"/>
      <c r="I1099" s="1009"/>
      <c r="J1099" s="1114"/>
      <c r="K1099" s="1114"/>
      <c r="L1099" s="1009"/>
      <c r="Q1099" s="1003"/>
      <c r="R1099" s="1003"/>
      <c r="S1099" s="1003"/>
      <c r="T1099" s="1003"/>
      <c r="U1099" s="1003"/>
      <c r="V1099" s="1003"/>
      <c r="W1099" s="1003"/>
      <c r="X1099" s="1003"/>
      <c r="Y1099" s="1003"/>
      <c r="Z1099" s="1003"/>
      <c r="AA1099" s="1003"/>
      <c r="AB1099" s="1003"/>
      <c r="AC1099" s="1003"/>
      <c r="AD1099" s="1003"/>
      <c r="AE1099" s="1003"/>
      <c r="AF1099" s="1003"/>
      <c r="AG1099" s="1003"/>
      <c r="AH1099" s="1003"/>
      <c r="AI1099" s="1003"/>
      <c r="AJ1099" s="1003"/>
      <c r="AK1099" s="1003"/>
      <c r="AL1099" s="1003"/>
      <c r="AM1099" s="1003"/>
      <c r="AN1099" s="1003"/>
      <c r="AO1099" s="1003"/>
      <c r="AP1099" s="1003"/>
      <c r="AQ1099" s="1003"/>
      <c r="AR1099" s="1003"/>
      <c r="AS1099" s="1003"/>
      <c r="AT1099" s="1003"/>
      <c r="AU1099" s="1003"/>
      <c r="AV1099" s="1003"/>
      <c r="AW1099" s="1003"/>
      <c r="AX1099" s="1003"/>
      <c r="AY1099" s="1003"/>
      <c r="AZ1099" s="1003"/>
      <c r="BA1099" s="1003"/>
      <c r="BB1099" s="1003"/>
      <c r="BC1099" s="1003"/>
      <c r="BD1099" s="1003"/>
      <c r="BE1099" s="1003"/>
      <c r="BF1099" s="1003"/>
      <c r="BG1099" s="1003"/>
      <c r="BH1099" s="1003"/>
      <c r="BI1099" s="1003"/>
      <c r="BJ1099" s="1003"/>
      <c r="BK1099" s="1003"/>
      <c r="BL1099" s="1003"/>
    </row>
    <row r="1100" spans="1:64">
      <c r="A1100" s="1823"/>
      <c r="B1100" s="1068"/>
      <c r="C1100" s="1817" t="s">
        <v>1182</v>
      </c>
      <c r="D1100" s="1848">
        <f>'Civil-SOR'!$F$268+('Civil-SOR'!$F$268*16.66%)</f>
        <v>2740.3433999999997</v>
      </c>
      <c r="E1100" s="1848">
        <f>'Civil-SOR'!$F$268+('Civil-SOR'!$F$268*16.66%)</f>
        <v>2740.3433999999997</v>
      </c>
      <c r="F1100" s="1848">
        <f>'Civil-SOR'!$F$268+('Civil-SOR'!$F$268*16.66%)</f>
        <v>2740.3433999999997</v>
      </c>
      <c r="G1100" s="1114"/>
      <c r="H1100" s="1114"/>
      <c r="I1100" s="1009"/>
      <c r="J1100" s="1114"/>
      <c r="K1100" s="1114"/>
      <c r="L1100" s="1009"/>
      <c r="Q1100" s="1003"/>
      <c r="R1100" s="1003"/>
      <c r="S1100" s="1003"/>
      <c r="T1100" s="1003"/>
      <c r="U1100" s="1003"/>
      <c r="V1100" s="1003"/>
      <c r="W1100" s="1003"/>
      <c r="X1100" s="1003"/>
      <c r="Y1100" s="1003"/>
      <c r="Z1100" s="1003"/>
      <c r="AA1100" s="1003"/>
      <c r="AB1100" s="1003"/>
      <c r="AC1100" s="1003"/>
      <c r="AD1100" s="1003"/>
      <c r="AE1100" s="1003"/>
      <c r="AF1100" s="1003"/>
      <c r="AG1100" s="1003"/>
      <c r="AH1100" s="1003"/>
      <c r="AI1100" s="1003"/>
      <c r="AJ1100" s="1003"/>
      <c r="AK1100" s="1003"/>
      <c r="AL1100" s="1003"/>
      <c r="AM1100" s="1003"/>
      <c r="AN1100" s="1003"/>
      <c r="AO1100" s="1003"/>
      <c r="AP1100" s="1003"/>
      <c r="AQ1100" s="1003"/>
      <c r="AR1100" s="1003"/>
      <c r="AS1100" s="1003"/>
      <c r="AT1100" s="1003"/>
      <c r="AU1100" s="1003"/>
      <c r="AV1100" s="1003"/>
      <c r="AW1100" s="1003"/>
      <c r="AX1100" s="1003"/>
      <c r="AY1100" s="1003"/>
      <c r="AZ1100" s="1003"/>
      <c r="BA1100" s="1003"/>
      <c r="BB1100" s="1003"/>
      <c r="BC1100" s="1003"/>
      <c r="BD1100" s="1003"/>
      <c r="BE1100" s="1003"/>
      <c r="BF1100" s="1003"/>
      <c r="BG1100" s="1003"/>
      <c r="BH1100" s="1003"/>
      <c r="BI1100" s="1003"/>
      <c r="BJ1100" s="1003"/>
      <c r="BK1100" s="1003"/>
      <c r="BL1100" s="1003"/>
    </row>
    <row r="1101" spans="1:64">
      <c r="A1101" s="1823"/>
      <c r="B1101" s="1068"/>
      <c r="C1101" s="1817" t="s">
        <v>1252</v>
      </c>
      <c r="D1101" s="1062">
        <f>'Civil-SOR'!$M$268+('Civil-SOR'!$M$268*16.66%)</f>
        <v>4276.7556000000004</v>
      </c>
      <c r="E1101" s="1062">
        <f>'Civil-SOR'!$N$268+('Civil-SOR'!$N$268*16.66%)</f>
        <v>4543.9070000000002</v>
      </c>
      <c r="F1101" s="1062">
        <f>'Civil-SOR'!$O$268+('Civil-SOR'!$O$268*16.66%)</f>
        <v>4811.0583999999999</v>
      </c>
      <c r="G1101" s="1114"/>
      <c r="H1101" s="1114"/>
      <c r="I1101" s="1009"/>
      <c r="J1101" s="1114"/>
      <c r="K1101" s="1114"/>
      <c r="L1101" s="1009"/>
      <c r="Q1101" s="1003"/>
      <c r="R1101" s="1003"/>
      <c r="S1101" s="1003"/>
      <c r="T1101" s="1003"/>
      <c r="U1101" s="1003"/>
      <c r="V1101" s="1003"/>
      <c r="W1101" s="1003"/>
      <c r="X1101" s="1003"/>
      <c r="Y1101" s="1003"/>
      <c r="Z1101" s="1003"/>
      <c r="AA1101" s="1003"/>
      <c r="AB1101" s="1003"/>
      <c r="AC1101" s="1003"/>
      <c r="AD1101" s="1003"/>
      <c r="AE1101" s="1003"/>
      <c r="AF1101" s="1003"/>
      <c r="AG1101" s="1003"/>
      <c r="AH1101" s="1003"/>
      <c r="AI1101" s="1003"/>
      <c r="AJ1101" s="1003"/>
      <c r="AK1101" s="1003"/>
      <c r="AL1101" s="1003"/>
      <c r="AM1101" s="1003"/>
      <c r="AN1101" s="1003"/>
      <c r="AO1101" s="1003"/>
      <c r="AP1101" s="1003"/>
      <c r="AQ1101" s="1003"/>
      <c r="AR1101" s="1003"/>
      <c r="AS1101" s="1003"/>
      <c r="AT1101" s="1003"/>
      <c r="AU1101" s="1003"/>
      <c r="AV1101" s="1003"/>
      <c r="AW1101" s="1003"/>
      <c r="AX1101" s="1003"/>
      <c r="AY1101" s="1003"/>
      <c r="AZ1101" s="1003"/>
      <c r="BA1101" s="1003"/>
      <c r="BB1101" s="1003"/>
      <c r="BC1101" s="1003"/>
      <c r="BD1101" s="1003"/>
      <c r="BE1101" s="1003"/>
      <c r="BF1101" s="1003"/>
      <c r="BG1101" s="1003"/>
      <c r="BH1101" s="1003"/>
      <c r="BI1101" s="1003"/>
      <c r="BJ1101" s="1003"/>
      <c r="BK1101" s="1003"/>
      <c r="BL1101" s="1003"/>
    </row>
    <row r="1102" spans="1:64">
      <c r="A1102" s="1823"/>
      <c r="B1102" s="1068"/>
      <c r="C1102" s="1817" t="str">
        <f>Input!$C$47</f>
        <v>Add for MA @ 40%</v>
      </c>
      <c r="D1102" s="1848">
        <f>D1101*Input!$D$47</f>
        <v>1710.7022400000003</v>
      </c>
      <c r="E1102" s="1848">
        <f>E1101*Input!$D$47</f>
        <v>1817.5628000000002</v>
      </c>
      <c r="F1102" s="1848">
        <f>F1101*Input!$D$47</f>
        <v>1924.42336</v>
      </c>
      <c r="G1102" s="1114"/>
      <c r="H1102" s="1114"/>
      <c r="I1102" s="1009"/>
      <c r="J1102" s="1114"/>
      <c r="K1102" s="1114"/>
      <c r="L1102" s="1009"/>
      <c r="Q1102" s="1003"/>
      <c r="R1102" s="1003"/>
      <c r="S1102" s="1003"/>
      <c r="T1102" s="1003"/>
      <c r="U1102" s="1003"/>
      <c r="V1102" s="1003"/>
      <c r="W1102" s="1003"/>
      <c r="X1102" s="1003"/>
      <c r="Y1102" s="1003"/>
      <c r="Z1102" s="1003"/>
      <c r="AA1102" s="1003"/>
      <c r="AB1102" s="1003"/>
      <c r="AC1102" s="1003"/>
      <c r="AD1102" s="1003"/>
      <c r="AE1102" s="1003"/>
      <c r="AF1102" s="1003"/>
      <c r="AG1102" s="1003"/>
      <c r="AH1102" s="1003"/>
      <c r="AI1102" s="1003"/>
      <c r="AJ1102" s="1003"/>
      <c r="AK1102" s="1003"/>
      <c r="AL1102" s="1003"/>
      <c r="AM1102" s="1003"/>
      <c r="AN1102" s="1003"/>
      <c r="AO1102" s="1003"/>
      <c r="AP1102" s="1003"/>
      <c r="AQ1102" s="1003"/>
      <c r="AR1102" s="1003"/>
      <c r="AS1102" s="1003"/>
      <c r="AT1102" s="1003"/>
      <c r="AU1102" s="1003"/>
      <c r="AV1102" s="1003"/>
      <c r="AW1102" s="1003"/>
      <c r="AX1102" s="1003"/>
      <c r="AY1102" s="1003"/>
      <c r="AZ1102" s="1003"/>
      <c r="BA1102" s="1003"/>
      <c r="BB1102" s="1003"/>
      <c r="BC1102" s="1003"/>
      <c r="BD1102" s="1003"/>
      <c r="BE1102" s="1003"/>
      <c r="BF1102" s="1003"/>
      <c r="BG1102" s="1003"/>
      <c r="BH1102" s="1003"/>
      <c r="BI1102" s="1003"/>
      <c r="BJ1102" s="1003"/>
      <c r="BK1102" s="1003"/>
      <c r="BL1102" s="1003"/>
    </row>
    <row r="1103" spans="1:64" ht="25.5">
      <c r="A1103" s="1823"/>
      <c r="B1103" s="1068"/>
      <c r="C1103" s="1817" t="s">
        <v>1254</v>
      </c>
      <c r="D1103" s="1848">
        <f t="shared" ref="D1103:D1104" si="205">E1090*1.5</f>
        <v>151.66935000000004</v>
      </c>
      <c r="E1103" s="1848">
        <f t="shared" ref="E1103:E1104" si="206">E1090*1.6</f>
        <v>161.78064000000006</v>
      </c>
      <c r="F1103" s="1848">
        <f t="shared" ref="F1103:F1104" si="207">E1090*1.7</f>
        <v>171.89193000000003</v>
      </c>
      <c r="G1103" s="1114"/>
      <c r="H1103" s="1114"/>
      <c r="I1103" s="1009"/>
      <c r="J1103" s="1114"/>
      <c r="K1103" s="1114"/>
      <c r="L1103" s="1009"/>
      <c r="Q1103" s="1003"/>
      <c r="R1103" s="1003"/>
      <c r="S1103" s="1003"/>
      <c r="T1103" s="1003"/>
      <c r="U1103" s="1003"/>
      <c r="V1103" s="1003"/>
      <c r="W1103" s="1003"/>
      <c r="X1103" s="1003"/>
      <c r="Y1103" s="1003"/>
      <c r="Z1103" s="1003"/>
      <c r="AA1103" s="1003"/>
      <c r="AB1103" s="1003"/>
      <c r="AC1103" s="1003"/>
      <c r="AD1103" s="1003"/>
      <c r="AE1103" s="1003"/>
      <c r="AF1103" s="1003"/>
      <c r="AG1103" s="1003"/>
      <c r="AH1103" s="1003"/>
      <c r="AI1103" s="1003"/>
      <c r="AJ1103" s="1003"/>
      <c r="AK1103" s="1003"/>
      <c r="AL1103" s="1003"/>
      <c r="AM1103" s="1003"/>
      <c r="AN1103" s="1003"/>
      <c r="AO1103" s="1003"/>
      <c r="AP1103" s="1003"/>
      <c r="AQ1103" s="1003"/>
      <c r="AR1103" s="1003"/>
      <c r="AS1103" s="1003"/>
      <c r="AT1103" s="1003"/>
      <c r="AU1103" s="1003"/>
      <c r="AV1103" s="1003"/>
      <c r="AW1103" s="1003"/>
      <c r="AX1103" s="1003"/>
      <c r="AY1103" s="1003"/>
      <c r="AZ1103" s="1003"/>
      <c r="BA1103" s="1003"/>
      <c r="BB1103" s="1003"/>
      <c r="BC1103" s="1003"/>
      <c r="BD1103" s="1003"/>
      <c r="BE1103" s="1003"/>
      <c r="BF1103" s="1003"/>
      <c r="BG1103" s="1003"/>
      <c r="BH1103" s="1003"/>
      <c r="BI1103" s="1003"/>
      <c r="BJ1103" s="1003"/>
      <c r="BK1103" s="1003"/>
      <c r="BL1103" s="1003"/>
    </row>
    <row r="1104" spans="1:64">
      <c r="A1104" s="1823"/>
      <c r="B1104" s="1068"/>
      <c r="C1104" s="1817" t="s">
        <v>579</v>
      </c>
      <c r="D1104" s="1848">
        <f t="shared" si="205"/>
        <v>144.34019999999998</v>
      </c>
      <c r="E1104" s="1848">
        <f t="shared" si="206"/>
        <v>153.96288000000001</v>
      </c>
      <c r="F1104" s="1848">
        <f t="shared" si="207"/>
        <v>163.58555999999999</v>
      </c>
      <c r="G1104" s="1114"/>
      <c r="H1104" s="1114"/>
      <c r="I1104" s="1009"/>
      <c r="J1104" s="1114"/>
      <c r="K1104" s="1114"/>
      <c r="L1104" s="1009"/>
      <c r="Q1104" s="1003"/>
      <c r="R1104" s="1003"/>
      <c r="S1104" s="1003"/>
      <c r="T1104" s="1003"/>
      <c r="U1104" s="1003"/>
      <c r="V1104" s="1003"/>
      <c r="W1104" s="1003"/>
      <c r="X1104" s="1003"/>
      <c r="Y1104" s="1003"/>
      <c r="Z1104" s="1003"/>
      <c r="AA1104" s="1003"/>
      <c r="AB1104" s="1003"/>
      <c r="AC1104" s="1003"/>
      <c r="AD1104" s="1003"/>
      <c r="AE1104" s="1003"/>
      <c r="AF1104" s="1003"/>
      <c r="AG1104" s="1003"/>
      <c r="AH1104" s="1003"/>
      <c r="AI1104" s="1003"/>
      <c r="AJ1104" s="1003"/>
      <c r="AK1104" s="1003"/>
      <c r="AL1104" s="1003"/>
      <c r="AM1104" s="1003"/>
      <c r="AN1104" s="1003"/>
      <c r="AO1104" s="1003"/>
      <c r="AP1104" s="1003"/>
      <c r="AQ1104" s="1003"/>
      <c r="AR1104" s="1003"/>
      <c r="AS1104" s="1003"/>
      <c r="AT1104" s="1003"/>
      <c r="AU1104" s="1003"/>
      <c r="AV1104" s="1003"/>
      <c r="AW1104" s="1003"/>
      <c r="AX1104" s="1003"/>
      <c r="AY1104" s="1003"/>
      <c r="AZ1104" s="1003"/>
      <c r="BA1104" s="1003"/>
      <c r="BB1104" s="1003"/>
      <c r="BC1104" s="1003"/>
      <c r="BD1104" s="1003"/>
      <c r="BE1104" s="1003"/>
      <c r="BF1104" s="1003"/>
      <c r="BG1104" s="1003"/>
      <c r="BH1104" s="1003"/>
      <c r="BI1104" s="1003"/>
      <c r="BJ1104" s="1003"/>
      <c r="BK1104" s="1003"/>
      <c r="BL1104" s="1003"/>
    </row>
    <row r="1105" spans="1:64">
      <c r="A1105" s="1823"/>
      <c r="B1105" s="1068"/>
      <c r="C1105" s="1817" t="str">
        <f>Input!$C$47</f>
        <v>Add for MA @ 40%</v>
      </c>
      <c r="D1105" s="1848">
        <f>D1104*Input!$D$47</f>
        <v>57.736079999999994</v>
      </c>
      <c r="E1105" s="1848">
        <f>E1104*Input!$D$47</f>
        <v>61.585152000000008</v>
      </c>
      <c r="F1105" s="1848">
        <f>F1104*Input!$D$47</f>
        <v>65.434224</v>
      </c>
      <c r="G1105" s="1114"/>
      <c r="H1105" s="1114"/>
      <c r="I1105" s="1009"/>
      <c r="J1105" s="1114"/>
      <c r="K1105" s="1114"/>
      <c r="L1105" s="1009"/>
      <c r="Q1105" s="1003"/>
      <c r="R1105" s="1003"/>
      <c r="S1105" s="1003"/>
      <c r="T1105" s="1003"/>
      <c r="U1105" s="1003"/>
      <c r="V1105" s="1003"/>
      <c r="W1105" s="1003"/>
      <c r="X1105" s="1003"/>
      <c r="Y1105" s="1003"/>
      <c r="Z1105" s="1003"/>
      <c r="AA1105" s="1003"/>
      <c r="AB1105" s="1003"/>
      <c r="AC1105" s="1003"/>
      <c r="AD1105" s="1003"/>
      <c r="AE1105" s="1003"/>
      <c r="AF1105" s="1003"/>
      <c r="AG1105" s="1003"/>
      <c r="AH1105" s="1003"/>
      <c r="AI1105" s="1003"/>
      <c r="AJ1105" s="1003"/>
      <c r="AK1105" s="1003"/>
      <c r="AL1105" s="1003"/>
      <c r="AM1105" s="1003"/>
      <c r="AN1105" s="1003"/>
      <c r="AO1105" s="1003"/>
      <c r="AP1105" s="1003"/>
      <c r="AQ1105" s="1003"/>
      <c r="AR1105" s="1003"/>
      <c r="AS1105" s="1003"/>
      <c r="AT1105" s="1003"/>
      <c r="AU1105" s="1003"/>
      <c r="AV1105" s="1003"/>
      <c r="AW1105" s="1003"/>
      <c r="AX1105" s="1003"/>
      <c r="AY1105" s="1003"/>
      <c r="AZ1105" s="1003"/>
      <c r="BA1105" s="1003"/>
      <c r="BB1105" s="1003"/>
      <c r="BC1105" s="1003"/>
      <c r="BD1105" s="1003"/>
      <c r="BE1105" s="1003"/>
      <c r="BF1105" s="1003"/>
      <c r="BG1105" s="1003"/>
      <c r="BH1105" s="1003"/>
      <c r="BI1105" s="1003"/>
      <c r="BJ1105" s="1003"/>
      <c r="BK1105" s="1003"/>
      <c r="BL1105" s="1003"/>
    </row>
    <row r="1106" spans="1:64">
      <c r="A1106" s="1823"/>
      <c r="B1106" s="1068"/>
      <c r="C1106" s="1816" t="s">
        <v>1167</v>
      </c>
      <c r="D1106" s="1848">
        <f>SUM(D1099:D1105)</f>
        <v>15939.216150000002</v>
      </c>
      <c r="E1106" s="1848">
        <f>SUM(E1099:E1105)</f>
        <v>16336.811151999998</v>
      </c>
      <c r="F1106" s="1848">
        <f>SUM(F1099:F1105)</f>
        <v>16734.406154</v>
      </c>
      <c r="G1106" s="1114"/>
      <c r="H1106" s="1114"/>
      <c r="I1106" s="1009"/>
      <c r="J1106" s="1114"/>
      <c r="K1106" s="1114"/>
      <c r="L1106" s="1009"/>
      <c r="Q1106" s="1003"/>
      <c r="R1106" s="1003"/>
      <c r="S1106" s="1003"/>
      <c r="T1106" s="1003"/>
      <c r="U1106" s="1003"/>
      <c r="V1106" s="1003"/>
      <c r="W1106" s="1003"/>
      <c r="X1106" s="1003"/>
      <c r="Y1106" s="1003"/>
      <c r="Z1106" s="1003"/>
      <c r="AA1106" s="1003"/>
      <c r="AB1106" s="1003"/>
      <c r="AC1106" s="1003"/>
      <c r="AD1106" s="1003"/>
      <c r="AE1106" s="1003"/>
      <c r="AF1106" s="1003"/>
      <c r="AG1106" s="1003"/>
      <c r="AH1106" s="1003"/>
      <c r="AI1106" s="1003"/>
      <c r="AJ1106" s="1003"/>
      <c r="AK1106" s="1003"/>
      <c r="AL1106" s="1003"/>
      <c r="AM1106" s="1003"/>
      <c r="AN1106" s="1003"/>
      <c r="AO1106" s="1003"/>
      <c r="AP1106" s="1003"/>
      <c r="AQ1106" s="1003"/>
      <c r="AR1106" s="1003"/>
      <c r="AS1106" s="1003"/>
      <c r="AT1106" s="1003"/>
      <c r="AU1106" s="1003"/>
      <c r="AV1106" s="1003"/>
      <c r="AW1106" s="1003"/>
      <c r="AX1106" s="1003"/>
      <c r="AY1106" s="1003"/>
      <c r="AZ1106" s="1003"/>
      <c r="BA1106" s="1003"/>
      <c r="BB1106" s="1003"/>
      <c r="BC1106" s="1003"/>
      <c r="BD1106" s="1003"/>
      <c r="BE1106" s="1003"/>
      <c r="BF1106" s="1003"/>
      <c r="BG1106" s="1003"/>
      <c r="BH1106" s="1003"/>
      <c r="BI1106" s="1003"/>
      <c r="BJ1106" s="1003"/>
      <c r="BK1106" s="1003"/>
      <c r="BL1106" s="1003"/>
    </row>
    <row r="1107" spans="1:64">
      <c r="A1107" s="1823"/>
      <c r="B1107" s="1068"/>
      <c r="C1107" s="1817" t="str">
        <f>Input!$C$48</f>
        <v>Overheads &amp; Contractors Profit @ 13.615%</v>
      </c>
      <c r="D1107" s="1847">
        <f>ROUND(D1106*Input!$D$48,2)</f>
        <v>2170.12</v>
      </c>
      <c r="E1107" s="1847">
        <f>ROUND(E1106*Input!$D$48,2)</f>
        <v>2224.2600000000002</v>
      </c>
      <c r="F1107" s="1847">
        <f>ROUND(F1106*Input!$D$48,2)</f>
        <v>2278.39</v>
      </c>
      <c r="G1107" s="1114"/>
      <c r="H1107" s="1114"/>
      <c r="I1107" s="1009"/>
      <c r="J1107" s="1114"/>
      <c r="K1107" s="1114"/>
      <c r="L1107" s="1009"/>
      <c r="Q1107" s="997"/>
      <c r="R1107" s="997"/>
      <c r="S1107" s="997"/>
      <c r="T1107" s="997"/>
      <c r="U1107" s="997"/>
      <c r="V1107" s="997"/>
      <c r="W1107" s="997"/>
      <c r="X1107" s="997"/>
      <c r="Y1107" s="997"/>
      <c r="Z1107" s="997"/>
      <c r="AA1107" s="997"/>
      <c r="AB1107" s="997"/>
      <c r="AC1107" s="997"/>
      <c r="AD1107" s="997"/>
      <c r="AE1107" s="997"/>
      <c r="AF1107" s="997"/>
      <c r="AG1107" s="997"/>
      <c r="AH1107" s="997"/>
      <c r="AI1107" s="997"/>
      <c r="AJ1107" s="997"/>
      <c r="AK1107" s="997"/>
      <c r="AL1107" s="997"/>
      <c r="AM1107" s="997"/>
      <c r="AN1107" s="997"/>
      <c r="AO1107" s="997"/>
      <c r="AP1107" s="997"/>
      <c r="AQ1107" s="997"/>
      <c r="AR1107" s="997"/>
      <c r="AS1107" s="997"/>
      <c r="AT1107" s="997"/>
      <c r="AU1107" s="997"/>
      <c r="AV1107" s="997"/>
      <c r="AW1107" s="997"/>
      <c r="AX1107" s="997"/>
      <c r="AY1107" s="997"/>
      <c r="AZ1107" s="997"/>
      <c r="BA1107" s="997"/>
      <c r="BB1107" s="997"/>
      <c r="BC1107" s="997"/>
      <c r="BD1107" s="997"/>
      <c r="BE1107" s="997"/>
      <c r="BF1107" s="997"/>
      <c r="BG1107" s="997"/>
      <c r="BH1107" s="997"/>
      <c r="BI1107" s="997"/>
      <c r="BJ1107" s="997"/>
      <c r="BK1107" s="997"/>
      <c r="BL1107" s="997"/>
    </row>
    <row r="1108" spans="1:64">
      <c r="A1108" s="1823"/>
      <c r="B1108" s="1068"/>
      <c r="C1108" s="1816" t="s">
        <v>1032</v>
      </c>
      <c r="D1108" s="1829">
        <f>SUM(D1106:D1107)</f>
        <v>18109.336150000003</v>
      </c>
      <c r="E1108" s="1829">
        <f>SUM(E1106:E1107)</f>
        <v>18561.071151999997</v>
      </c>
      <c r="F1108" s="1829">
        <f>SUM(F1106:F1107)</f>
        <v>19012.796154</v>
      </c>
      <c r="G1108" s="1114"/>
      <c r="H1108" s="1114"/>
      <c r="I1108" s="1009"/>
      <c r="J1108" s="1114"/>
      <c r="K1108" s="1114"/>
      <c r="L1108" s="1009"/>
      <c r="Q1108" s="997"/>
      <c r="R1108" s="997"/>
      <c r="S1108" s="997"/>
      <c r="T1108" s="997"/>
      <c r="U1108" s="997"/>
      <c r="V1108" s="997"/>
      <c r="W1108" s="997"/>
      <c r="X1108" s="997"/>
      <c r="Y1108" s="997"/>
      <c r="Z1108" s="997"/>
      <c r="AA1108" s="997"/>
      <c r="AB1108" s="997"/>
      <c r="AC1108" s="997"/>
      <c r="AD1108" s="997"/>
      <c r="AE1108" s="997"/>
      <c r="AF1108" s="997"/>
      <c r="AG1108" s="997"/>
      <c r="AH1108" s="997"/>
      <c r="AI1108" s="997"/>
      <c r="AJ1108" s="997"/>
      <c r="AK1108" s="997"/>
      <c r="AL1108" s="997"/>
      <c r="AM1108" s="997"/>
      <c r="AN1108" s="997"/>
      <c r="AO1108" s="997"/>
      <c r="AP1108" s="997"/>
      <c r="AQ1108" s="997"/>
      <c r="AR1108" s="997"/>
      <c r="AS1108" s="997"/>
      <c r="AT1108" s="997"/>
      <c r="AU1108" s="997"/>
      <c r="AV1108" s="997"/>
      <c r="AW1108" s="997"/>
      <c r="AX1108" s="997"/>
      <c r="AY1108" s="997"/>
      <c r="AZ1108" s="997"/>
      <c r="BA1108" s="997"/>
      <c r="BB1108" s="997"/>
      <c r="BC1108" s="997"/>
      <c r="BD1108" s="997"/>
      <c r="BE1108" s="997"/>
      <c r="BF1108" s="997"/>
      <c r="BG1108" s="997"/>
      <c r="BH1108" s="997"/>
      <c r="BI1108" s="997"/>
      <c r="BJ1108" s="997"/>
      <c r="BK1108" s="997"/>
      <c r="BL1108" s="997"/>
    </row>
    <row r="1109" spans="1:64">
      <c r="A1109" s="1823"/>
      <c r="B1109" s="1068"/>
      <c r="C1109" s="1843" t="s">
        <v>1034</v>
      </c>
      <c r="D1109" s="999">
        <f>ROUND(D1108,0)</f>
        <v>18109</v>
      </c>
      <c r="E1109" s="999">
        <f>ROUND(E1108,0)</f>
        <v>18561</v>
      </c>
      <c r="F1109" s="999">
        <f>ROUND(F1108,0)</f>
        <v>19013</v>
      </c>
      <c r="G1109" s="1114"/>
      <c r="H1109" s="1114"/>
      <c r="I1109" s="1009"/>
      <c r="J1109" s="1114"/>
      <c r="K1109" s="1114"/>
      <c r="L1109" s="1009"/>
    </row>
    <row r="1110" spans="1:64">
      <c r="A1110" s="1023"/>
      <c r="B1110" s="1023"/>
      <c r="C1110" s="1843"/>
      <c r="D1110" s="999"/>
      <c r="E1110" s="999"/>
      <c r="F1110" s="999"/>
      <c r="G1110" s="999"/>
      <c r="H1110" s="999"/>
      <c r="I1110" s="999"/>
      <c r="J1110" s="1114"/>
      <c r="K1110" s="1114"/>
      <c r="L1110" s="1009"/>
    </row>
    <row r="1111" spans="1:64">
      <c r="A1111" s="1823"/>
      <c r="B1111" s="1068"/>
      <c r="C1111" s="1821" t="s">
        <v>1256</v>
      </c>
      <c r="D1111" s="1114"/>
      <c r="E1111" s="1114"/>
      <c r="F1111" s="1114"/>
      <c r="G1111" s="1114"/>
      <c r="H1111" s="1114"/>
      <c r="I1111" s="1009"/>
      <c r="J1111" s="1114"/>
      <c r="K1111" s="1114"/>
      <c r="L1111" s="1009"/>
    </row>
    <row r="1112" spans="1:64">
      <c r="A1112" s="1823"/>
      <c r="B1112" s="1098" t="s">
        <v>1215</v>
      </c>
      <c r="C1112" s="1821" t="s">
        <v>1222</v>
      </c>
      <c r="D1112" s="1846"/>
      <c r="E1112" s="1846"/>
      <c r="F1112" s="1068"/>
      <c r="G1112" s="1105"/>
      <c r="H1112" s="1846"/>
      <c r="I1112" s="1080"/>
      <c r="J1112" s="1114"/>
      <c r="K1112" s="1114"/>
      <c r="L1112" s="1009"/>
    </row>
    <row r="1113" spans="1:64">
      <c r="A1113" s="1823"/>
      <c r="B1113" s="1068"/>
      <c r="C1113" s="1816" t="s">
        <v>1217</v>
      </c>
      <c r="D1113" s="1009" t="s">
        <v>1223</v>
      </c>
      <c r="E1113" s="1098" t="s">
        <v>1207</v>
      </c>
      <c r="F1113" s="1102"/>
      <c r="G1113" s="1102"/>
      <c r="H1113" s="1102"/>
      <c r="I1113" s="1102"/>
      <c r="J1113" s="1114"/>
      <c r="K1113" s="1114"/>
      <c r="L1113" s="1009"/>
    </row>
    <row r="1114" spans="1:64">
      <c r="A1114" s="1847"/>
      <c r="B1114" s="1847"/>
      <c r="C1114" s="1817" t="s">
        <v>1218</v>
      </c>
      <c r="D1114" s="1848">
        <f>$I$1039</f>
        <v>6857.6692800000001</v>
      </c>
      <c r="E1114" s="1848">
        <f>$I$1039</f>
        <v>6857.6692800000001</v>
      </c>
      <c r="F1114" s="1848"/>
      <c r="G1114" s="1848"/>
      <c r="H1114" s="1848"/>
      <c r="I1114" s="1848"/>
      <c r="J1114" s="1114"/>
      <c r="K1114" s="1114"/>
      <c r="L1114" s="1009"/>
      <c r="Q1114" s="1003"/>
      <c r="R1114" s="1003"/>
      <c r="S1114" s="1003"/>
      <c r="T1114" s="1003"/>
      <c r="U1114" s="1003"/>
      <c r="V1114" s="1003"/>
      <c r="W1114" s="1003"/>
      <c r="X1114" s="1003"/>
      <c r="Y1114" s="1003"/>
      <c r="Z1114" s="1003"/>
      <c r="AA1114" s="1003"/>
      <c r="AB1114" s="1003"/>
      <c r="AC1114" s="1003"/>
      <c r="AD1114" s="1003"/>
      <c r="AE1114" s="1003"/>
      <c r="AF1114" s="1003"/>
      <c r="AG1114" s="1003"/>
      <c r="AH1114" s="1003"/>
      <c r="AI1114" s="1003"/>
      <c r="AJ1114" s="1003"/>
      <c r="AK1114" s="1003"/>
      <c r="AL1114" s="1003"/>
      <c r="AM1114" s="1003"/>
      <c r="AN1114" s="1003"/>
      <c r="AO1114" s="1003"/>
      <c r="AP1114" s="1003"/>
      <c r="AQ1114" s="1003"/>
      <c r="AR1114" s="1003"/>
      <c r="AS1114" s="1003"/>
      <c r="AT1114" s="1003"/>
      <c r="AU1114" s="1003"/>
      <c r="AV1114" s="1003"/>
      <c r="AW1114" s="1003"/>
      <c r="AX1114" s="1003"/>
      <c r="AY1114" s="1003"/>
      <c r="AZ1114" s="1003"/>
      <c r="BA1114" s="1003"/>
      <c r="BB1114" s="1003"/>
      <c r="BC1114" s="1003"/>
      <c r="BD1114" s="1003"/>
      <c r="BE1114" s="1003"/>
      <c r="BF1114" s="1003"/>
      <c r="BG1114" s="1003"/>
      <c r="BH1114" s="1003"/>
      <c r="BI1114" s="1003"/>
      <c r="BJ1114" s="1003"/>
      <c r="BK1114" s="1003"/>
      <c r="BL1114" s="1003"/>
    </row>
    <row r="1115" spans="1:64">
      <c r="A1115" s="1847"/>
      <c r="B1115" s="1847"/>
      <c r="C1115" s="1817" t="s">
        <v>1182</v>
      </c>
      <c r="D1115" s="1848">
        <f>'Civil-SOR'!$F$268+('Civil-SOR'!$F$268*33.332%)</f>
        <v>3131.9686799999999</v>
      </c>
      <c r="E1115" s="1848">
        <f>'Civil-SOR'!$F$268+('Civil-SOR'!$F$268*33.332%)</f>
        <v>3131.9686799999999</v>
      </c>
      <c r="F1115" s="1848"/>
      <c r="G1115" s="1848"/>
      <c r="H1115" s="1848"/>
      <c r="I1115" s="1848"/>
      <c r="J1115" s="1846"/>
      <c r="K1115" s="1846"/>
      <c r="L1115" s="1846"/>
    </row>
    <row r="1116" spans="1:64">
      <c r="A1116" s="1847"/>
      <c r="B1116" s="1847"/>
      <c r="C1116" s="1817" t="s">
        <v>1252</v>
      </c>
      <c r="D1116" s="1062">
        <f>'Civil-SOR'!$G$268+('Civil-SOR'!$G$268*33.332%)</f>
        <v>3054.6361200000001</v>
      </c>
      <c r="E1116" s="1062">
        <f>'Civil-SOR'!$H$268+('Civil-SOR'!$H$268*33.332%)</f>
        <v>3359.9664000000002</v>
      </c>
      <c r="F1116" s="1062"/>
      <c r="G1116" s="1062"/>
      <c r="H1116" s="1062"/>
      <c r="I1116" s="1062"/>
      <c r="J1116" s="1846"/>
      <c r="K1116" s="1846"/>
      <c r="L1116" s="1846"/>
    </row>
    <row r="1117" spans="1:64">
      <c r="A1117" s="1847"/>
      <c r="B1117" s="1847"/>
      <c r="C1117" s="1817" t="str">
        <f>Input!$C$47</f>
        <v>Add for MA @ 40%</v>
      </c>
      <c r="D1117" s="1848">
        <f>D1116*Input!$D$47</f>
        <v>1221.854448</v>
      </c>
      <c r="E1117" s="1848">
        <f>E1116*Input!$D$47</f>
        <v>1343.9865600000003</v>
      </c>
      <c r="F1117" s="1848"/>
      <c r="G1117" s="1848"/>
      <c r="H1117" s="1848"/>
      <c r="I1117" s="1848"/>
      <c r="J1117" s="1846"/>
      <c r="K1117" s="1846"/>
      <c r="L1117" s="1846"/>
    </row>
    <row r="1118" spans="1:64" ht="25.5">
      <c r="A1118" s="1847"/>
      <c r="B1118" s="1847"/>
      <c r="C1118" s="1817" t="s">
        <v>1254</v>
      </c>
      <c r="D1118" s="1848">
        <v>0</v>
      </c>
      <c r="E1118" s="1848">
        <f>0.267*'Civil-SOR'!$G$334</f>
        <v>101.11290000000002</v>
      </c>
      <c r="F1118" s="1848"/>
      <c r="G1118" s="1848"/>
      <c r="H1118" s="1848"/>
      <c r="I1118" s="1848"/>
      <c r="J1118" s="1846"/>
      <c r="K1118" s="1846"/>
      <c r="L1118" s="1846"/>
    </row>
    <row r="1119" spans="1:64">
      <c r="A1119" s="1847"/>
      <c r="B1119" s="1847"/>
      <c r="C1119" s="1817" t="s">
        <v>579</v>
      </c>
      <c r="D1119" s="1848"/>
      <c r="E1119" s="1848">
        <f>0.267*'Civil-SOR'!$J$334</f>
        <v>96.226799999999997</v>
      </c>
      <c r="F1119" s="1848"/>
      <c r="G1119" s="1848"/>
      <c r="H1119" s="1848"/>
      <c r="I1119" s="1848"/>
      <c r="J1119" s="1846"/>
      <c r="K1119" s="1846"/>
      <c r="L1119" s="1846"/>
    </row>
    <row r="1120" spans="1:64">
      <c r="A1120" s="1847"/>
      <c r="B1120" s="1847"/>
      <c r="C1120" s="1817" t="str">
        <f>Input!$C$47</f>
        <v>Add for MA @ 40%</v>
      </c>
      <c r="D1120" s="1848">
        <f>D1118*Input!D75</f>
        <v>0</v>
      </c>
      <c r="E1120" s="1848">
        <f>E1119*Input!$D$47</f>
        <v>38.490720000000003</v>
      </c>
      <c r="F1120" s="1848"/>
      <c r="G1120" s="1848"/>
      <c r="H1120" s="1848"/>
      <c r="I1120" s="1848"/>
      <c r="J1120" s="1846"/>
      <c r="K1120" s="1846"/>
      <c r="L1120" s="1846"/>
    </row>
    <row r="1121" spans="1:64">
      <c r="A1121" s="1847"/>
      <c r="B1121" s="1847"/>
      <c r="C1121" s="1816" t="s">
        <v>1167</v>
      </c>
      <c r="D1121" s="1848">
        <f>SUM(D1114:D1120)</f>
        <v>14266.128527999999</v>
      </c>
      <c r="E1121" s="1848">
        <f>SUM(E1114:E1120)</f>
        <v>14929.421340000003</v>
      </c>
      <c r="F1121" s="1848"/>
      <c r="G1121" s="1848"/>
      <c r="H1121" s="1848"/>
      <c r="I1121" s="1848"/>
      <c r="J1121" s="1846"/>
      <c r="K1121" s="1846"/>
      <c r="L1121" s="1846"/>
      <c r="Q1121" s="997"/>
      <c r="R1121" s="997"/>
      <c r="S1121" s="997"/>
      <c r="T1121" s="997"/>
      <c r="U1121" s="997"/>
      <c r="V1121" s="997"/>
      <c r="W1121" s="997"/>
      <c r="X1121" s="997"/>
      <c r="Y1121" s="997"/>
      <c r="Z1121" s="997"/>
      <c r="AA1121" s="997"/>
      <c r="AB1121" s="997"/>
      <c r="AC1121" s="997"/>
      <c r="AD1121" s="997"/>
      <c r="AE1121" s="997"/>
      <c r="AF1121" s="997"/>
      <c r="AG1121" s="997"/>
      <c r="AH1121" s="997"/>
      <c r="AI1121" s="997"/>
      <c r="AJ1121" s="997"/>
      <c r="AK1121" s="997"/>
      <c r="AL1121" s="997"/>
      <c r="AM1121" s="997"/>
      <c r="AN1121" s="997"/>
      <c r="AO1121" s="997"/>
      <c r="AP1121" s="997"/>
      <c r="AQ1121" s="997"/>
      <c r="AR1121" s="997"/>
      <c r="AS1121" s="997"/>
      <c r="AT1121" s="997"/>
      <c r="AU1121" s="997"/>
      <c r="AV1121" s="997"/>
      <c r="AW1121" s="997"/>
      <c r="AX1121" s="997"/>
      <c r="AY1121" s="997"/>
      <c r="AZ1121" s="997"/>
      <c r="BA1121" s="997"/>
      <c r="BB1121" s="997"/>
      <c r="BC1121" s="997"/>
      <c r="BD1121" s="997"/>
      <c r="BE1121" s="997"/>
      <c r="BF1121" s="997"/>
      <c r="BG1121" s="997"/>
      <c r="BH1121" s="997"/>
      <c r="BI1121" s="997"/>
      <c r="BJ1121" s="997"/>
      <c r="BK1121" s="997"/>
      <c r="BL1121" s="997"/>
    </row>
    <row r="1122" spans="1:64">
      <c r="A1122" s="1847"/>
      <c r="B1122" s="1847"/>
      <c r="C1122" s="1817" t="str">
        <f>Input!$C$48</f>
        <v>Overheads &amp; Contractors Profit @ 13.615%</v>
      </c>
      <c r="D1122" s="1847">
        <f>ROUND(D1121*Input!$D$48,2)</f>
        <v>1942.33</v>
      </c>
      <c r="E1122" s="1847">
        <f>ROUND(E1121*Input!$D$48,2)</f>
        <v>2032.64</v>
      </c>
      <c r="F1122" s="1847"/>
      <c r="G1122" s="1847"/>
      <c r="H1122" s="1847"/>
      <c r="I1122" s="1847"/>
      <c r="J1122" s="1846"/>
      <c r="K1122" s="1846"/>
      <c r="L1122" s="1846"/>
      <c r="Q1122" s="1024"/>
      <c r="R1122" s="1024"/>
      <c r="S1122" s="1024"/>
      <c r="T1122" s="1024"/>
      <c r="U1122" s="1024"/>
      <c r="V1122" s="1024"/>
      <c r="W1122" s="1024"/>
      <c r="X1122" s="1024"/>
      <c r="Y1122" s="1024"/>
      <c r="Z1122" s="1024"/>
      <c r="AA1122" s="1024"/>
      <c r="AB1122" s="1024"/>
      <c r="AC1122" s="1024"/>
      <c r="AD1122" s="1024"/>
      <c r="AE1122" s="1024"/>
      <c r="AF1122" s="1024"/>
      <c r="AG1122" s="1024"/>
      <c r="AH1122" s="1024"/>
      <c r="AI1122" s="1024"/>
      <c r="AJ1122" s="1024"/>
      <c r="AK1122" s="1024"/>
      <c r="AL1122" s="1024"/>
      <c r="AM1122" s="1024"/>
      <c r="AN1122" s="1024"/>
      <c r="AO1122" s="1024"/>
      <c r="AP1122" s="1024"/>
      <c r="AQ1122" s="1024"/>
      <c r="AR1122" s="1024"/>
      <c r="AS1122" s="1024"/>
      <c r="AT1122" s="1024"/>
      <c r="AU1122" s="1024"/>
      <c r="AV1122" s="1024"/>
      <c r="AW1122" s="1024"/>
      <c r="AX1122" s="1024"/>
      <c r="AY1122" s="1024"/>
      <c r="AZ1122" s="1024"/>
      <c r="BA1122" s="1024"/>
      <c r="BB1122" s="1024"/>
      <c r="BC1122" s="1024"/>
      <c r="BD1122" s="1024"/>
      <c r="BE1122" s="1024"/>
      <c r="BF1122" s="1024"/>
      <c r="BG1122" s="1024"/>
      <c r="BH1122" s="1024"/>
      <c r="BI1122" s="1024"/>
      <c r="BJ1122" s="1024"/>
      <c r="BK1122" s="1024"/>
      <c r="BL1122" s="1024"/>
    </row>
    <row r="1123" spans="1:64">
      <c r="A1123" s="1023"/>
      <c r="B1123" s="1023"/>
      <c r="C1123" s="1816" t="s">
        <v>1032</v>
      </c>
      <c r="D1123" s="1829">
        <f>SUM(D1121:D1122)</f>
        <v>16208.458527999999</v>
      </c>
      <c r="E1123" s="1829">
        <f>SUM(E1121:E1122)</f>
        <v>16962.061340000004</v>
      </c>
      <c r="F1123" s="1829"/>
      <c r="G1123" s="1829"/>
      <c r="H1123" s="1829"/>
      <c r="I1123" s="1829"/>
      <c r="J1123" s="1846"/>
      <c r="K1123" s="1846"/>
      <c r="L1123" s="1846"/>
    </row>
    <row r="1124" spans="1:64">
      <c r="A1124" s="1023"/>
      <c r="B1124" s="1023"/>
      <c r="C1124" s="1843" t="s">
        <v>1034</v>
      </c>
      <c r="D1124" s="999">
        <f>ROUND(D1123,0)</f>
        <v>16208</v>
      </c>
      <c r="E1124" s="999">
        <f>ROUND(E1123,0)</f>
        <v>16962</v>
      </c>
      <c r="F1124" s="999"/>
      <c r="G1124" s="999"/>
      <c r="H1124" s="999"/>
      <c r="I1124" s="999"/>
      <c r="J1124" s="1846"/>
      <c r="K1124" s="1846"/>
      <c r="L1124" s="1846"/>
    </row>
    <row r="1125" spans="1:64">
      <c r="A1125" s="1823"/>
      <c r="B1125" s="1068"/>
      <c r="C1125" s="1130"/>
      <c r="D1125" s="1114"/>
      <c r="E1125" s="1114"/>
      <c r="F1125" s="1114"/>
      <c r="G1125" s="1114"/>
      <c r="H1125" s="1114"/>
      <c r="I1125" s="1009"/>
      <c r="J1125" s="1114"/>
      <c r="K1125" s="1114"/>
      <c r="L1125" s="1009"/>
    </row>
    <row r="1126" spans="1:64">
      <c r="A1126" s="1823"/>
      <c r="B1126" s="1068"/>
      <c r="C1126" s="1821" t="s">
        <v>1257</v>
      </c>
      <c r="D1126" s="1114"/>
      <c r="E1126" s="1114"/>
      <c r="F1126" s="1114"/>
      <c r="G1126" s="1114"/>
      <c r="H1126" s="1114"/>
      <c r="I1126" s="1009"/>
      <c r="J1126" s="1114"/>
      <c r="K1126" s="1114"/>
      <c r="L1126" s="1009"/>
    </row>
    <row r="1127" spans="1:64">
      <c r="A1127" s="1823"/>
      <c r="B1127" s="1098" t="s">
        <v>1215</v>
      </c>
      <c r="C1127" s="1821" t="s">
        <v>1222</v>
      </c>
      <c r="D1127" s="1846"/>
      <c r="E1127" s="1114"/>
      <c r="F1127" s="1114"/>
      <c r="G1127" s="1114"/>
      <c r="H1127" s="1114"/>
      <c r="I1127" s="1009"/>
      <c r="J1127" s="1114"/>
      <c r="K1127" s="1114"/>
      <c r="L1127" s="1009"/>
      <c r="Q1127" s="1003"/>
      <c r="R1127" s="1003"/>
      <c r="S1127" s="1003"/>
      <c r="T1127" s="1003"/>
      <c r="U1127" s="1003"/>
      <c r="V1127" s="1003"/>
      <c r="W1127" s="1003"/>
      <c r="X1127" s="1003"/>
      <c r="Y1127" s="1003"/>
      <c r="Z1127" s="1003"/>
      <c r="AA1127" s="1003"/>
      <c r="AB1127" s="1003"/>
      <c r="AC1127" s="1003"/>
      <c r="AD1127" s="1003"/>
      <c r="AE1127" s="1003"/>
      <c r="AF1127" s="1003"/>
      <c r="AG1127" s="1003"/>
      <c r="AH1127" s="1003"/>
      <c r="AI1127" s="1003"/>
      <c r="AJ1127" s="1003"/>
      <c r="AK1127" s="1003"/>
      <c r="AL1127" s="1003"/>
      <c r="AM1127" s="1003"/>
      <c r="AN1127" s="1003"/>
      <c r="AO1127" s="1003"/>
      <c r="AP1127" s="1003"/>
      <c r="AQ1127" s="1003"/>
      <c r="AR1127" s="1003"/>
      <c r="AS1127" s="1003"/>
      <c r="AT1127" s="1003"/>
      <c r="AU1127" s="1003"/>
      <c r="AV1127" s="1003"/>
      <c r="AW1127" s="1003"/>
      <c r="AX1127" s="1003"/>
      <c r="AY1127" s="1003"/>
      <c r="AZ1127" s="1003"/>
      <c r="BA1127" s="1003"/>
      <c r="BB1127" s="1003"/>
      <c r="BC1127" s="1003"/>
      <c r="BD1127" s="1003"/>
      <c r="BE1127" s="1003"/>
      <c r="BF1127" s="1003"/>
      <c r="BG1127" s="1003"/>
      <c r="BH1127" s="1003"/>
      <c r="BI1127" s="1003"/>
      <c r="BJ1127" s="1003"/>
      <c r="BK1127" s="1003"/>
      <c r="BL1127" s="1003"/>
    </row>
    <row r="1128" spans="1:64">
      <c r="A1128" s="1823"/>
      <c r="B1128" s="1068"/>
      <c r="C1128" s="1816" t="s">
        <v>1217</v>
      </c>
      <c r="D1128" s="1009" t="s">
        <v>1223</v>
      </c>
      <c r="E1128" s="1114"/>
      <c r="F1128" s="1114"/>
      <c r="G1128" s="1114"/>
      <c r="H1128" s="1114"/>
      <c r="I1128" s="1009"/>
      <c r="J1128" s="1114"/>
      <c r="K1128" s="1114"/>
      <c r="L1128" s="1009"/>
      <c r="Q1128" s="1003"/>
      <c r="R1128" s="1003"/>
      <c r="S1128" s="1003"/>
      <c r="T1128" s="1003"/>
      <c r="U1128" s="1003"/>
      <c r="V1128" s="1003"/>
      <c r="W1128" s="1003"/>
      <c r="X1128" s="1003"/>
      <c r="Y1128" s="1003"/>
      <c r="Z1128" s="1003"/>
      <c r="AA1128" s="1003"/>
      <c r="AB1128" s="1003"/>
      <c r="AC1128" s="1003"/>
      <c r="AD1128" s="1003"/>
      <c r="AE1128" s="1003"/>
      <c r="AF1128" s="1003"/>
      <c r="AG1128" s="1003"/>
      <c r="AH1128" s="1003"/>
      <c r="AI1128" s="1003"/>
      <c r="AJ1128" s="1003"/>
      <c r="AK1128" s="1003"/>
      <c r="AL1128" s="1003"/>
      <c r="AM1128" s="1003"/>
      <c r="AN1128" s="1003"/>
      <c r="AO1128" s="1003"/>
      <c r="AP1128" s="1003"/>
      <c r="AQ1128" s="1003"/>
      <c r="AR1128" s="1003"/>
      <c r="AS1128" s="1003"/>
      <c r="AT1128" s="1003"/>
      <c r="AU1128" s="1003"/>
      <c r="AV1128" s="1003"/>
      <c r="AW1128" s="1003"/>
      <c r="AX1128" s="1003"/>
      <c r="AY1128" s="1003"/>
      <c r="AZ1128" s="1003"/>
      <c r="BA1128" s="1003"/>
      <c r="BB1128" s="1003"/>
      <c r="BC1128" s="1003"/>
      <c r="BD1128" s="1003"/>
      <c r="BE1128" s="1003"/>
      <c r="BF1128" s="1003"/>
      <c r="BG1128" s="1003"/>
      <c r="BH1128" s="1003"/>
      <c r="BI1128" s="1003"/>
      <c r="BJ1128" s="1003"/>
      <c r="BK1128" s="1003"/>
      <c r="BL1128" s="1003"/>
    </row>
    <row r="1129" spans="1:64">
      <c r="A1129" s="1823"/>
      <c r="B1129" s="1847"/>
      <c r="C1129" s="1817" t="s">
        <v>1218</v>
      </c>
      <c r="D1129" s="1848">
        <f>$I$1039</f>
        <v>6857.6692800000001</v>
      </c>
      <c r="E1129" s="1114"/>
      <c r="F1129" s="1114"/>
      <c r="G1129" s="1131"/>
      <c r="H1129" s="1009"/>
      <c r="I1129" s="1009"/>
      <c r="J1129" s="1114"/>
      <c r="K1129" s="1114"/>
      <c r="L1129" s="1009"/>
      <c r="Q1129" s="1003"/>
      <c r="R1129" s="1003"/>
      <c r="S1129" s="1003"/>
      <c r="T1129" s="1003"/>
      <c r="U1129" s="1003"/>
      <c r="V1129" s="1003"/>
      <c r="W1129" s="1003"/>
      <c r="X1129" s="1003"/>
      <c r="Y1129" s="1003"/>
      <c r="Z1129" s="1003"/>
      <c r="AA1129" s="1003"/>
      <c r="AB1129" s="1003"/>
      <c r="AC1129" s="1003"/>
      <c r="AD1129" s="1003"/>
      <c r="AE1129" s="1003"/>
      <c r="AF1129" s="1003"/>
      <c r="AG1129" s="1003"/>
      <c r="AH1129" s="1003"/>
      <c r="AI1129" s="1003"/>
      <c r="AJ1129" s="1003"/>
      <c r="AK1129" s="1003"/>
      <c r="AL1129" s="1003"/>
      <c r="AM1129" s="1003"/>
      <c r="AN1129" s="1003"/>
      <c r="AO1129" s="1003"/>
      <c r="AP1129" s="1003"/>
      <c r="AQ1129" s="1003"/>
      <c r="AR1129" s="1003"/>
      <c r="AS1129" s="1003"/>
      <c r="AT1129" s="1003"/>
      <c r="AU1129" s="1003"/>
      <c r="AV1129" s="1003"/>
      <c r="AW1129" s="1003"/>
      <c r="AX1129" s="1003"/>
      <c r="AY1129" s="1003"/>
      <c r="AZ1129" s="1003"/>
      <c r="BA1129" s="1003"/>
      <c r="BB1129" s="1003"/>
      <c r="BC1129" s="1003"/>
      <c r="BD1129" s="1003"/>
      <c r="BE1129" s="1003"/>
      <c r="BF1129" s="1003"/>
      <c r="BG1129" s="1003"/>
      <c r="BH1129" s="1003"/>
      <c r="BI1129" s="1003"/>
      <c r="BJ1129" s="1003"/>
      <c r="BK1129" s="1003"/>
      <c r="BL1129" s="1003"/>
    </row>
    <row r="1130" spans="1:64">
      <c r="A1130" s="1823"/>
      <c r="B1130" s="1847"/>
      <c r="C1130" s="1817" t="s">
        <v>1182</v>
      </c>
      <c r="D1130" s="1848">
        <f>'Civil-SOR'!$F$268+('Civil-SOR'!$F$268*116.6%)</f>
        <v>5087.9339999999993</v>
      </c>
      <c r="E1130" s="1114"/>
      <c r="F1130" s="1131"/>
      <c r="G1130" s="1131"/>
      <c r="H1130" s="1131"/>
      <c r="I1130" s="1131"/>
      <c r="J1130" s="1131"/>
      <c r="K1130" s="1131"/>
      <c r="L1130" s="1009"/>
      <c r="Q1130" s="1003"/>
      <c r="R1130" s="1003"/>
      <c r="S1130" s="1003"/>
      <c r="T1130" s="1003"/>
      <c r="U1130" s="1003"/>
      <c r="V1130" s="1003"/>
      <c r="W1130" s="1003"/>
      <c r="X1130" s="1003"/>
      <c r="Y1130" s="1003"/>
      <c r="Z1130" s="1003"/>
      <c r="AA1130" s="1003"/>
      <c r="AB1130" s="1003"/>
      <c r="AC1130" s="1003"/>
      <c r="AD1130" s="1003"/>
      <c r="AE1130" s="1003"/>
      <c r="AF1130" s="1003"/>
      <c r="AG1130" s="1003"/>
      <c r="AH1130" s="1003"/>
      <c r="AI1130" s="1003"/>
      <c r="AJ1130" s="1003"/>
      <c r="AK1130" s="1003"/>
      <c r="AL1130" s="1003"/>
      <c r="AM1130" s="1003"/>
      <c r="AN1130" s="1003"/>
      <c r="AO1130" s="1003"/>
      <c r="AP1130" s="1003"/>
      <c r="AQ1130" s="1003"/>
      <c r="AR1130" s="1003"/>
      <c r="AS1130" s="1003"/>
      <c r="AT1130" s="1003"/>
      <c r="AU1130" s="1003"/>
      <c r="AV1130" s="1003"/>
      <c r="AW1130" s="1003"/>
      <c r="AX1130" s="1003"/>
      <c r="AY1130" s="1003"/>
      <c r="AZ1130" s="1003"/>
      <c r="BA1130" s="1003"/>
      <c r="BB1130" s="1003"/>
      <c r="BC1130" s="1003"/>
      <c r="BD1130" s="1003"/>
      <c r="BE1130" s="1003"/>
      <c r="BF1130" s="1003"/>
      <c r="BG1130" s="1003"/>
      <c r="BH1130" s="1003"/>
      <c r="BI1130" s="1003"/>
      <c r="BJ1130" s="1003"/>
      <c r="BK1130" s="1003"/>
      <c r="BL1130" s="1003"/>
    </row>
    <row r="1131" spans="1:64">
      <c r="A1131" s="1823"/>
      <c r="B1131" s="1847"/>
      <c r="C1131" s="1817" t="s">
        <v>1252</v>
      </c>
      <c r="D1131" s="1062">
        <f>'Civil-SOR'!$G$268+('Civil-SOR'!$G$268*116.96%)</f>
        <v>4970.5535999999993</v>
      </c>
      <c r="E1131" s="1131"/>
      <c r="F1131" s="1131"/>
      <c r="G1131" s="1131"/>
      <c r="H1131" s="1131"/>
      <c r="I1131" s="1009"/>
      <c r="J1131" s="1114"/>
      <c r="K1131" s="1114"/>
      <c r="L1131" s="1009"/>
      <c r="Q1131" s="1003"/>
      <c r="R1131" s="1003"/>
      <c r="S1131" s="1003"/>
      <c r="T1131" s="1003"/>
      <c r="U1131" s="1003"/>
      <c r="V1131" s="1003"/>
      <c r="W1131" s="1003"/>
      <c r="X1131" s="1003"/>
      <c r="Y1131" s="1003"/>
      <c r="Z1131" s="1003"/>
      <c r="AA1131" s="1003"/>
      <c r="AB1131" s="1003"/>
      <c r="AC1131" s="1003"/>
      <c r="AD1131" s="1003"/>
      <c r="AE1131" s="1003"/>
      <c r="AF1131" s="1003"/>
      <c r="AG1131" s="1003"/>
      <c r="AH1131" s="1003"/>
      <c r="AI1131" s="1003"/>
      <c r="AJ1131" s="1003"/>
      <c r="AK1131" s="1003"/>
      <c r="AL1131" s="1003"/>
      <c r="AM1131" s="1003"/>
      <c r="AN1131" s="1003"/>
      <c r="AO1131" s="1003"/>
      <c r="AP1131" s="1003"/>
      <c r="AQ1131" s="1003"/>
      <c r="AR1131" s="1003"/>
      <c r="AS1131" s="1003"/>
      <c r="AT1131" s="1003"/>
      <c r="AU1131" s="1003"/>
      <c r="AV1131" s="1003"/>
      <c r="AW1131" s="1003"/>
      <c r="AX1131" s="1003"/>
      <c r="AY1131" s="1003"/>
      <c r="AZ1131" s="1003"/>
      <c r="BA1131" s="1003"/>
      <c r="BB1131" s="1003"/>
      <c r="BC1131" s="1003"/>
      <c r="BD1131" s="1003"/>
      <c r="BE1131" s="1003"/>
      <c r="BF1131" s="1003"/>
      <c r="BG1131" s="1003"/>
      <c r="BH1131" s="1003"/>
      <c r="BI1131" s="1003"/>
      <c r="BJ1131" s="1003"/>
      <c r="BK1131" s="1003"/>
      <c r="BL1131" s="1003"/>
    </row>
    <row r="1132" spans="1:64">
      <c r="A1132" s="1823"/>
      <c r="B1132" s="1847"/>
      <c r="C1132" s="1817" t="str">
        <f>Input!$C$47</f>
        <v>Add for MA @ 40%</v>
      </c>
      <c r="D1132" s="1848">
        <f>D1131*Input!$D$47</f>
        <v>1988.2214399999998</v>
      </c>
      <c r="E1132" s="1114"/>
      <c r="F1132" s="1131"/>
      <c r="G1132" s="1131"/>
      <c r="H1132" s="1131"/>
      <c r="I1132" s="1009"/>
      <c r="J1132" s="1114"/>
      <c r="K1132" s="1114"/>
      <c r="L1132" s="1009"/>
      <c r="Q1132" s="1003"/>
      <c r="R1132" s="1003"/>
      <c r="S1132" s="1003"/>
      <c r="T1132" s="1003"/>
      <c r="U1132" s="1003"/>
      <c r="V1132" s="1003"/>
      <c r="W1132" s="1003"/>
      <c r="X1132" s="1003"/>
      <c r="Y1132" s="1003"/>
      <c r="Z1132" s="1003"/>
      <c r="AA1132" s="1003"/>
      <c r="AB1132" s="1003"/>
      <c r="AC1132" s="1003"/>
      <c r="AD1132" s="1003"/>
      <c r="AE1132" s="1003"/>
      <c r="AF1132" s="1003"/>
      <c r="AG1132" s="1003"/>
      <c r="AH1132" s="1003"/>
      <c r="AI1132" s="1003"/>
      <c r="AJ1132" s="1003"/>
      <c r="AK1132" s="1003"/>
      <c r="AL1132" s="1003"/>
      <c r="AM1132" s="1003"/>
      <c r="AN1132" s="1003"/>
      <c r="AO1132" s="1003"/>
      <c r="AP1132" s="1003"/>
      <c r="AQ1132" s="1003"/>
      <c r="AR1132" s="1003"/>
      <c r="AS1132" s="1003"/>
      <c r="AT1132" s="1003"/>
      <c r="AU1132" s="1003"/>
      <c r="AV1132" s="1003"/>
      <c r="AW1132" s="1003"/>
      <c r="AX1132" s="1003"/>
      <c r="AY1132" s="1003"/>
      <c r="AZ1132" s="1003"/>
      <c r="BA1132" s="1003"/>
      <c r="BB1132" s="1003"/>
      <c r="BC1132" s="1003"/>
      <c r="BD1132" s="1003"/>
      <c r="BE1132" s="1003"/>
      <c r="BF1132" s="1003"/>
      <c r="BG1132" s="1003"/>
      <c r="BH1132" s="1003"/>
      <c r="BI1132" s="1003"/>
      <c r="BJ1132" s="1003"/>
      <c r="BK1132" s="1003"/>
      <c r="BL1132" s="1003"/>
    </row>
    <row r="1133" spans="1:64" ht="25.5">
      <c r="A1133" s="1823"/>
      <c r="B1133" s="1847"/>
      <c r="C1133" s="1817" t="s">
        <v>1254</v>
      </c>
      <c r="D1133" s="1848">
        <f>0.267*'Civil-SOR'!$G$334</f>
        <v>101.11290000000002</v>
      </c>
      <c r="E1133" s="1114"/>
      <c r="F1133" s="1131"/>
      <c r="G1133" s="1131"/>
      <c r="H1133" s="1131"/>
      <c r="I1133" s="1009"/>
      <c r="J1133" s="1114"/>
      <c r="K1133" s="1114"/>
      <c r="L1133" s="1009"/>
      <c r="Q1133" s="997"/>
      <c r="R1133" s="997"/>
      <c r="S1133" s="997"/>
      <c r="T1133" s="997"/>
      <c r="U1133" s="997"/>
      <c r="V1133" s="997"/>
      <c r="W1133" s="997"/>
      <c r="X1133" s="997"/>
      <c r="Y1133" s="997"/>
      <c r="Z1133" s="997"/>
      <c r="AA1133" s="997"/>
      <c r="AB1133" s="997"/>
      <c r="AC1133" s="997"/>
      <c r="AD1133" s="997"/>
      <c r="AE1133" s="997"/>
      <c r="AF1133" s="997"/>
      <c r="AG1133" s="997"/>
      <c r="AH1133" s="997"/>
      <c r="AI1133" s="997"/>
      <c r="AJ1133" s="997"/>
      <c r="AK1133" s="997"/>
      <c r="AL1133" s="997"/>
      <c r="AM1133" s="997"/>
      <c r="AN1133" s="997"/>
      <c r="AO1133" s="997"/>
      <c r="AP1133" s="997"/>
      <c r="AQ1133" s="997"/>
      <c r="AR1133" s="997"/>
      <c r="AS1133" s="997"/>
      <c r="AT1133" s="997"/>
      <c r="AU1133" s="997"/>
      <c r="AV1133" s="997"/>
      <c r="AW1133" s="997"/>
      <c r="AX1133" s="997"/>
      <c r="AY1133" s="997"/>
      <c r="AZ1133" s="997"/>
      <c r="BA1133" s="997"/>
      <c r="BB1133" s="997"/>
      <c r="BC1133" s="997"/>
      <c r="BD1133" s="997"/>
      <c r="BE1133" s="997"/>
      <c r="BF1133" s="997"/>
      <c r="BG1133" s="997"/>
      <c r="BH1133" s="997"/>
      <c r="BI1133" s="997"/>
      <c r="BJ1133" s="997"/>
      <c r="BK1133" s="997"/>
      <c r="BL1133" s="997"/>
    </row>
    <row r="1134" spans="1:64">
      <c r="A1134" s="1823"/>
      <c r="B1134" s="1847"/>
      <c r="C1134" s="1817" t="s">
        <v>579</v>
      </c>
      <c r="D1134" s="1848">
        <f>0.267*'Civil-SOR'!$J$334</f>
        <v>96.226799999999997</v>
      </c>
      <c r="E1134" s="1114"/>
      <c r="F1134" s="1131"/>
      <c r="G1134" s="1131"/>
      <c r="H1134" s="1131"/>
      <c r="I1134" s="1009"/>
      <c r="J1134" s="1114"/>
      <c r="K1134" s="1114"/>
      <c r="L1134" s="1009"/>
      <c r="Q1134" s="1003"/>
      <c r="R1134" s="1003"/>
      <c r="S1134" s="1003"/>
      <c r="T1134" s="1003"/>
      <c r="U1134" s="1003"/>
      <c r="V1134" s="1003"/>
      <c r="W1134" s="1003"/>
      <c r="X1134" s="1003"/>
      <c r="Y1134" s="1003"/>
      <c r="Z1134" s="1003"/>
      <c r="AA1134" s="1003"/>
      <c r="AB1134" s="1003"/>
      <c r="AC1134" s="1003"/>
      <c r="AD1134" s="1003"/>
      <c r="AE1134" s="1003"/>
      <c r="AF1134" s="1003"/>
      <c r="AG1134" s="1003"/>
      <c r="AH1134" s="1003"/>
      <c r="AI1134" s="1003"/>
      <c r="AJ1134" s="1003"/>
      <c r="AK1134" s="1003"/>
      <c r="AL1134" s="1003"/>
      <c r="AM1134" s="1003"/>
      <c r="AN1134" s="1003"/>
      <c r="AO1134" s="1003"/>
      <c r="AP1134" s="1003"/>
      <c r="AQ1134" s="1003"/>
      <c r="AR1134" s="1003"/>
      <c r="AS1134" s="1003"/>
      <c r="AT1134" s="1003"/>
      <c r="AU1134" s="1003"/>
      <c r="AV1134" s="1003"/>
      <c r="AW1134" s="1003"/>
      <c r="AX1134" s="1003"/>
      <c r="AY1134" s="1003"/>
      <c r="AZ1134" s="1003"/>
      <c r="BA1134" s="1003"/>
      <c r="BB1134" s="1003"/>
      <c r="BC1134" s="1003"/>
      <c r="BD1134" s="1003"/>
      <c r="BE1134" s="1003"/>
      <c r="BF1134" s="1003"/>
      <c r="BG1134" s="1003"/>
      <c r="BH1134" s="1003"/>
      <c r="BI1134" s="1003"/>
      <c r="BJ1134" s="1003"/>
      <c r="BK1134" s="1003"/>
      <c r="BL1134" s="1003"/>
    </row>
    <row r="1135" spans="1:64">
      <c r="A1135" s="1823"/>
      <c r="B1135" s="1847"/>
      <c r="C1135" s="1817" t="str">
        <f>Input!$C$47</f>
        <v>Add for MA @ 40%</v>
      </c>
      <c r="D1135" s="1848">
        <f>D1134*Input!$D$47</f>
        <v>38.490720000000003</v>
      </c>
      <c r="E1135" s="1114"/>
      <c r="F1135" s="1131"/>
      <c r="G1135" s="1131"/>
      <c r="H1135" s="1131"/>
      <c r="I1135" s="1009"/>
      <c r="J1135" s="1114"/>
      <c r="K1135" s="1114"/>
      <c r="L1135" s="1009"/>
    </row>
    <row r="1136" spans="1:64">
      <c r="A1136" s="1823"/>
      <c r="B1136" s="1847"/>
      <c r="C1136" s="1816" t="s">
        <v>1167</v>
      </c>
      <c r="D1136" s="1848">
        <f>SUM(D1129:D1135)</f>
        <v>19140.208740000002</v>
      </c>
      <c r="E1136" s="1114"/>
      <c r="F1136" s="1131"/>
      <c r="G1136" s="1131"/>
      <c r="H1136" s="1131"/>
      <c r="I1136" s="1009"/>
      <c r="J1136" s="1114"/>
      <c r="K1136" s="1114"/>
      <c r="L1136" s="1009"/>
      <c r="Q1136" s="1024"/>
      <c r="R1136" s="1024"/>
      <c r="S1136" s="1024"/>
      <c r="T1136" s="1024"/>
      <c r="U1136" s="1024"/>
      <c r="V1136" s="1024"/>
      <c r="W1136" s="1024"/>
      <c r="X1136" s="1024"/>
      <c r="Y1136" s="1024"/>
      <c r="Z1136" s="1024"/>
      <c r="AA1136" s="1024"/>
      <c r="AB1136" s="1024"/>
      <c r="AC1136" s="1024"/>
      <c r="AD1136" s="1024"/>
      <c r="AE1136" s="1024"/>
      <c r="AF1136" s="1024"/>
      <c r="AG1136" s="1024"/>
      <c r="AH1136" s="1024"/>
      <c r="AI1136" s="1024"/>
      <c r="AJ1136" s="1024"/>
      <c r="AK1136" s="1024"/>
      <c r="AL1136" s="1024"/>
      <c r="AM1136" s="1024"/>
      <c r="AN1136" s="1024"/>
      <c r="AO1136" s="1024"/>
      <c r="AP1136" s="1024"/>
      <c r="AQ1136" s="1024"/>
      <c r="AR1136" s="1024"/>
      <c r="AS1136" s="1024"/>
      <c r="AT1136" s="1024"/>
      <c r="AU1136" s="1024"/>
      <c r="AV1136" s="1024"/>
      <c r="AW1136" s="1024"/>
      <c r="AX1136" s="1024"/>
      <c r="AY1136" s="1024"/>
      <c r="AZ1136" s="1024"/>
      <c r="BA1136" s="1024"/>
      <c r="BB1136" s="1024"/>
      <c r="BC1136" s="1024"/>
      <c r="BD1136" s="1024"/>
      <c r="BE1136" s="1024"/>
      <c r="BF1136" s="1024"/>
      <c r="BG1136" s="1024"/>
      <c r="BH1136" s="1024"/>
      <c r="BI1136" s="1024"/>
      <c r="BJ1136" s="1024"/>
      <c r="BK1136" s="1024"/>
      <c r="BL1136" s="1024"/>
    </row>
    <row r="1137" spans="1:64">
      <c r="A1137" s="1823"/>
      <c r="B1137" s="1847"/>
      <c r="C1137" s="1817" t="str">
        <f>Input!$C$48</f>
        <v>Overheads &amp; Contractors Profit @ 13.615%</v>
      </c>
      <c r="D1137" s="1847">
        <f>ROUND(D1136*Input!$D$48,2)</f>
        <v>2605.94</v>
      </c>
      <c r="E1137" s="1114"/>
      <c r="F1137" s="1131"/>
      <c r="G1137" s="1114"/>
      <c r="H1137" s="1114"/>
      <c r="I1137" s="1009"/>
      <c r="J1137" s="1114"/>
      <c r="K1137" s="1114"/>
      <c r="L1137" s="1009"/>
      <c r="Q1137" s="1024"/>
      <c r="R1137" s="1024"/>
      <c r="S1137" s="1024"/>
      <c r="T1137" s="1024"/>
      <c r="U1137" s="1024"/>
      <c r="V1137" s="1024"/>
      <c r="W1137" s="1024"/>
      <c r="X1137" s="1024"/>
      <c r="Y1137" s="1024"/>
      <c r="Z1137" s="1024"/>
      <c r="AA1137" s="1024"/>
      <c r="AB1137" s="1024"/>
      <c r="AC1137" s="1024"/>
      <c r="AD1137" s="1024"/>
      <c r="AE1137" s="1024"/>
      <c r="AF1137" s="1024"/>
      <c r="AG1137" s="1024"/>
      <c r="AH1137" s="1024"/>
      <c r="AI1137" s="1024"/>
      <c r="AJ1137" s="1024"/>
      <c r="AK1137" s="1024"/>
      <c r="AL1137" s="1024"/>
      <c r="AM1137" s="1024"/>
      <c r="AN1137" s="1024"/>
      <c r="AO1137" s="1024"/>
      <c r="AP1137" s="1024"/>
      <c r="AQ1137" s="1024"/>
      <c r="AR1137" s="1024"/>
      <c r="AS1137" s="1024"/>
      <c r="AT1137" s="1024"/>
      <c r="AU1137" s="1024"/>
      <c r="AV1137" s="1024"/>
      <c r="AW1137" s="1024"/>
      <c r="AX1137" s="1024"/>
      <c r="AY1137" s="1024"/>
      <c r="AZ1137" s="1024"/>
      <c r="BA1137" s="1024"/>
      <c r="BB1137" s="1024"/>
      <c r="BC1137" s="1024"/>
      <c r="BD1137" s="1024"/>
      <c r="BE1137" s="1024"/>
      <c r="BF1137" s="1024"/>
      <c r="BG1137" s="1024"/>
      <c r="BH1137" s="1024"/>
      <c r="BI1137" s="1024"/>
      <c r="BJ1137" s="1024"/>
      <c r="BK1137" s="1024"/>
      <c r="BL1137" s="1024"/>
    </row>
    <row r="1138" spans="1:64">
      <c r="A1138" s="1823"/>
      <c r="B1138" s="1023"/>
      <c r="C1138" s="1816" t="s">
        <v>1032</v>
      </c>
      <c r="D1138" s="1829">
        <f>SUM(D1136:D1137)</f>
        <v>21746.148740000001</v>
      </c>
      <c r="E1138" s="1114"/>
      <c r="F1138" s="1114"/>
      <c r="G1138" s="1114"/>
      <c r="H1138" s="1114"/>
      <c r="I1138" s="1009"/>
      <c r="J1138" s="1114"/>
      <c r="K1138" s="1114"/>
      <c r="L1138" s="1009"/>
    </row>
    <row r="1139" spans="1:64">
      <c r="A1139" s="1823"/>
      <c r="B1139" s="1023"/>
      <c r="C1139" s="1843" t="s">
        <v>1034</v>
      </c>
      <c r="D1139" s="999">
        <f>ROUND(D1138,0)</f>
        <v>21746</v>
      </c>
      <c r="E1139" s="1114"/>
      <c r="F1139" s="1114"/>
      <c r="G1139" s="1114"/>
      <c r="H1139" s="1114"/>
      <c r="I1139" s="1009"/>
      <c r="J1139" s="1114"/>
      <c r="K1139" s="1114"/>
      <c r="L1139" s="1009"/>
    </row>
    <row r="1140" spans="1:64">
      <c r="A1140" s="1823"/>
      <c r="B1140" s="1068"/>
      <c r="C1140" s="1129"/>
      <c r="D1140" s="1114"/>
      <c r="E1140" s="1114"/>
      <c r="F1140" s="1114"/>
      <c r="G1140" s="1114"/>
      <c r="H1140" s="1114"/>
      <c r="I1140" s="1009"/>
      <c r="J1140" s="1114"/>
      <c r="K1140" s="1114"/>
      <c r="L1140" s="1009"/>
    </row>
    <row r="1141" spans="1:64">
      <c r="A1141" s="1823"/>
      <c r="B1141" s="1068"/>
      <c r="C1141" s="1129"/>
      <c r="D1141" s="1114"/>
      <c r="E1141" s="1114"/>
      <c r="F1141" s="1114"/>
      <c r="G1141" s="1114"/>
      <c r="H1141" s="1114"/>
      <c r="I1141" s="1009"/>
      <c r="J1141" s="1114"/>
      <c r="K1141" s="1114"/>
      <c r="L1141" s="1009"/>
    </row>
    <row r="1142" spans="1:64" ht="25.5">
      <c r="A1142" s="1823"/>
      <c r="B1142" s="1098" t="s">
        <v>297</v>
      </c>
      <c r="C1142" s="1821" t="s">
        <v>1258</v>
      </c>
      <c r="D1142" s="1846"/>
      <c r="E1142" s="1846"/>
      <c r="F1142" s="1068"/>
      <c r="G1142" s="1105"/>
      <c r="H1142" s="1098"/>
      <c r="I1142" s="1080"/>
      <c r="J1142" s="1114"/>
      <c r="K1142" s="1114"/>
      <c r="L1142" s="1009"/>
    </row>
    <row r="1143" spans="1:64">
      <c r="A1143" s="1823"/>
      <c r="B1143" s="1098"/>
      <c r="C1143" s="1817" t="s">
        <v>1181</v>
      </c>
      <c r="D1143" s="1132">
        <v>0.125</v>
      </c>
      <c r="E1143" s="1846" t="s">
        <v>484</v>
      </c>
      <c r="F1143" s="1021">
        <f>$I$1039</f>
        <v>6857.6692800000001</v>
      </c>
      <c r="G1143" s="1105">
        <v>1</v>
      </c>
      <c r="H1143" s="1846" t="s">
        <v>484</v>
      </c>
      <c r="I1143" s="1011">
        <f>IF(G1143="",D1143*F1143,(D1143*F1143/G1143))</f>
        <v>857.20866000000001</v>
      </c>
      <c r="J1143" s="1114"/>
      <c r="K1143" s="1114"/>
      <c r="L1143" s="1009"/>
      <c r="Q1143" s="1003"/>
      <c r="R1143" s="1003"/>
      <c r="S1143" s="1003"/>
      <c r="T1143" s="1003"/>
      <c r="U1143" s="1003"/>
      <c r="V1143" s="1003"/>
      <c r="W1143" s="1003"/>
      <c r="X1143" s="1003"/>
      <c r="Y1143" s="1003"/>
      <c r="Z1143" s="1003"/>
      <c r="AA1143" s="1003"/>
      <c r="AB1143" s="1003"/>
      <c r="AC1143" s="1003"/>
      <c r="AD1143" s="1003"/>
      <c r="AE1143" s="1003"/>
      <c r="AF1143" s="1003"/>
      <c r="AG1143" s="1003"/>
      <c r="AH1143" s="1003"/>
      <c r="AI1143" s="1003"/>
      <c r="AJ1143" s="1003"/>
      <c r="AK1143" s="1003"/>
      <c r="AL1143" s="1003"/>
      <c r="AM1143" s="1003"/>
      <c r="AN1143" s="1003"/>
      <c r="AO1143" s="1003"/>
      <c r="AP1143" s="1003"/>
      <c r="AQ1143" s="1003"/>
      <c r="AR1143" s="1003"/>
      <c r="AS1143" s="1003"/>
      <c r="AT1143" s="1003"/>
      <c r="AU1143" s="1003"/>
      <c r="AV1143" s="1003"/>
      <c r="AW1143" s="1003"/>
      <c r="AX1143" s="1003"/>
      <c r="AY1143" s="1003"/>
      <c r="AZ1143" s="1003"/>
      <c r="BA1143" s="1003"/>
      <c r="BB1143" s="1003"/>
      <c r="BC1143" s="1003"/>
      <c r="BD1143" s="1003"/>
      <c r="BE1143" s="1003"/>
      <c r="BF1143" s="1003"/>
      <c r="BG1143" s="1003"/>
      <c r="BH1143" s="1003"/>
      <c r="BI1143" s="1003"/>
      <c r="BJ1143" s="1003"/>
      <c r="BK1143" s="1003"/>
      <c r="BL1143" s="1003"/>
    </row>
    <row r="1144" spans="1:64" ht="25.5">
      <c r="A1144" s="1823"/>
      <c r="B1144" s="1831" t="s">
        <v>1215</v>
      </c>
      <c r="C1144" s="1819" t="s">
        <v>1259</v>
      </c>
      <c r="D1144" s="1846"/>
      <c r="E1144" s="1846"/>
      <c r="F1144" s="1068"/>
      <c r="G1144" s="1105"/>
      <c r="H1144" s="1846"/>
      <c r="I1144" s="1080"/>
      <c r="J1144" s="1114"/>
      <c r="K1144" s="1114"/>
      <c r="L1144" s="1009"/>
      <c r="Q1144" s="1003"/>
      <c r="R1144" s="1003"/>
      <c r="S1144" s="1003"/>
      <c r="T1144" s="1003"/>
      <c r="U1144" s="1003"/>
      <c r="V1144" s="1003"/>
      <c r="W1144" s="1003"/>
      <c r="X1144" s="1003"/>
      <c r="Y1144" s="1003"/>
      <c r="Z1144" s="1003"/>
      <c r="AA1144" s="1003"/>
      <c r="AB1144" s="1003"/>
      <c r="AC1144" s="1003"/>
      <c r="AD1144" s="1003"/>
      <c r="AE1144" s="1003"/>
      <c r="AF1144" s="1003"/>
      <c r="AG1144" s="1003"/>
      <c r="AH1144" s="1003"/>
      <c r="AI1144" s="1003"/>
      <c r="AJ1144" s="1003"/>
      <c r="AK1144" s="1003"/>
      <c r="AL1144" s="1003"/>
      <c r="AM1144" s="1003"/>
      <c r="AN1144" s="1003"/>
      <c r="AO1144" s="1003"/>
      <c r="AP1144" s="1003"/>
      <c r="AQ1144" s="1003"/>
      <c r="AR1144" s="1003"/>
      <c r="AS1144" s="1003"/>
      <c r="AT1144" s="1003"/>
      <c r="AU1144" s="1003"/>
      <c r="AV1144" s="1003"/>
      <c r="AW1144" s="1003"/>
      <c r="AX1144" s="1003"/>
      <c r="AY1144" s="1003"/>
      <c r="AZ1144" s="1003"/>
      <c r="BA1144" s="1003"/>
      <c r="BB1144" s="1003"/>
      <c r="BC1144" s="1003"/>
      <c r="BD1144" s="1003"/>
      <c r="BE1144" s="1003"/>
      <c r="BF1144" s="1003"/>
      <c r="BG1144" s="1003"/>
      <c r="BH1144" s="1003"/>
      <c r="BI1144" s="1003"/>
      <c r="BJ1144" s="1003"/>
      <c r="BK1144" s="1003"/>
      <c r="BL1144" s="1003"/>
    </row>
    <row r="1145" spans="1:64">
      <c r="A1145" s="1823"/>
      <c r="B1145" s="1847"/>
      <c r="C1145" s="1816" t="s">
        <v>1217</v>
      </c>
      <c r="D1145" s="1065" t="s">
        <v>1223</v>
      </c>
      <c r="E1145" s="1839" t="s">
        <v>1207</v>
      </c>
      <c r="F1145" s="1040" t="s">
        <v>1208</v>
      </c>
      <c r="G1145" s="1040" t="s">
        <v>1209</v>
      </c>
      <c r="H1145" s="1040" t="s">
        <v>1210</v>
      </c>
      <c r="I1145" s="1040" t="s">
        <v>1211</v>
      </c>
      <c r="J1145" s="1114"/>
      <c r="K1145" s="1114"/>
      <c r="L1145" s="1009"/>
      <c r="Q1145" s="1003"/>
      <c r="R1145" s="1003"/>
      <c r="S1145" s="1003"/>
      <c r="T1145" s="1003"/>
      <c r="U1145" s="1003"/>
      <c r="V1145" s="1003"/>
      <c r="W1145" s="1003"/>
      <c r="X1145" s="1003"/>
      <c r="Y1145" s="1003"/>
      <c r="Z1145" s="1003"/>
      <c r="AA1145" s="1003"/>
      <c r="AB1145" s="1003"/>
      <c r="AC1145" s="1003"/>
      <c r="AD1145" s="1003"/>
      <c r="AE1145" s="1003"/>
      <c r="AF1145" s="1003"/>
      <c r="AG1145" s="1003"/>
      <c r="AH1145" s="1003"/>
      <c r="AI1145" s="1003"/>
      <c r="AJ1145" s="1003"/>
      <c r="AK1145" s="1003"/>
      <c r="AL1145" s="1003"/>
      <c r="AM1145" s="1003"/>
      <c r="AN1145" s="1003"/>
      <c r="AO1145" s="1003"/>
      <c r="AP1145" s="1003"/>
      <c r="AQ1145" s="1003"/>
      <c r="AR1145" s="1003"/>
      <c r="AS1145" s="1003"/>
      <c r="AT1145" s="1003"/>
      <c r="AU1145" s="1003"/>
      <c r="AV1145" s="1003"/>
      <c r="AW1145" s="1003"/>
      <c r="AX1145" s="1003"/>
      <c r="AY1145" s="1003"/>
      <c r="AZ1145" s="1003"/>
      <c r="BA1145" s="1003"/>
      <c r="BB1145" s="1003"/>
      <c r="BC1145" s="1003"/>
      <c r="BD1145" s="1003"/>
      <c r="BE1145" s="1003"/>
      <c r="BF1145" s="1003"/>
      <c r="BG1145" s="1003"/>
      <c r="BH1145" s="1003"/>
      <c r="BI1145" s="1003"/>
      <c r="BJ1145" s="1003"/>
      <c r="BK1145" s="1003"/>
      <c r="BL1145" s="1003"/>
    </row>
    <row r="1146" spans="1:64">
      <c r="A1146" s="1823"/>
      <c r="B1146" s="1847"/>
      <c r="C1146" s="1817" t="s">
        <v>1218</v>
      </c>
      <c r="D1146" s="1848">
        <f>I1143</f>
        <v>857.20866000000001</v>
      </c>
      <c r="E1146" s="1848">
        <f t="shared" ref="E1146:I1146" si="208">$I$1472</f>
        <v>868.20272000000011</v>
      </c>
      <c r="F1146" s="1848">
        <f t="shared" si="208"/>
        <v>868.20272000000011</v>
      </c>
      <c r="G1146" s="1848">
        <f t="shared" si="208"/>
        <v>868.20272000000011</v>
      </c>
      <c r="H1146" s="1848">
        <f t="shared" si="208"/>
        <v>868.20272000000011</v>
      </c>
      <c r="I1146" s="1848">
        <f t="shared" si="208"/>
        <v>868.20272000000011</v>
      </c>
      <c r="J1146" s="1114"/>
      <c r="K1146" s="1114"/>
      <c r="L1146" s="1009"/>
      <c r="Q1146" s="1003"/>
      <c r="R1146" s="1003"/>
      <c r="S1146" s="1003"/>
      <c r="T1146" s="1003"/>
      <c r="U1146" s="1003"/>
      <c r="V1146" s="1003"/>
      <c r="W1146" s="1003"/>
      <c r="X1146" s="1003"/>
      <c r="Y1146" s="1003"/>
      <c r="Z1146" s="1003"/>
      <c r="AA1146" s="1003"/>
      <c r="AB1146" s="1003"/>
      <c r="AC1146" s="1003"/>
      <c r="AD1146" s="1003"/>
      <c r="AE1146" s="1003"/>
      <c r="AF1146" s="1003"/>
      <c r="AG1146" s="1003"/>
      <c r="AH1146" s="1003"/>
      <c r="AI1146" s="1003"/>
      <c r="AJ1146" s="1003"/>
      <c r="AK1146" s="1003"/>
      <c r="AL1146" s="1003"/>
      <c r="AM1146" s="1003"/>
      <c r="AN1146" s="1003"/>
      <c r="AO1146" s="1003"/>
      <c r="AP1146" s="1003"/>
      <c r="AQ1146" s="1003"/>
      <c r="AR1146" s="1003"/>
      <c r="AS1146" s="1003"/>
      <c r="AT1146" s="1003"/>
      <c r="AU1146" s="1003"/>
      <c r="AV1146" s="1003"/>
      <c r="AW1146" s="1003"/>
      <c r="AX1146" s="1003"/>
      <c r="AY1146" s="1003"/>
      <c r="AZ1146" s="1003"/>
      <c r="BA1146" s="1003"/>
      <c r="BB1146" s="1003"/>
      <c r="BC1146" s="1003"/>
      <c r="BD1146" s="1003"/>
      <c r="BE1146" s="1003"/>
      <c r="BF1146" s="1003"/>
      <c r="BG1146" s="1003"/>
      <c r="BH1146" s="1003"/>
      <c r="BI1146" s="1003"/>
      <c r="BJ1146" s="1003"/>
      <c r="BK1146" s="1003"/>
      <c r="BL1146" s="1003"/>
    </row>
    <row r="1147" spans="1:64">
      <c r="A1147" s="1823"/>
      <c r="B1147" s="1847"/>
      <c r="C1147" s="1817" t="s">
        <v>1182</v>
      </c>
      <c r="D1147" s="1848">
        <f>'Civil-SOR'!$F$269</f>
        <v>266</v>
      </c>
      <c r="E1147" s="1848">
        <f>+D1147</f>
        <v>266</v>
      </c>
      <c r="F1147" s="1848">
        <f>+E1147</f>
        <v>266</v>
      </c>
      <c r="G1147" s="1848">
        <f>+F1147</f>
        <v>266</v>
      </c>
      <c r="H1147" s="1848">
        <f>+G1147</f>
        <v>266</v>
      </c>
      <c r="I1147" s="1848">
        <f>+H1147</f>
        <v>266</v>
      </c>
      <c r="J1147" s="1114"/>
      <c r="K1147" s="1114"/>
      <c r="L1147" s="1009"/>
      <c r="Q1147" s="1003"/>
      <c r="R1147" s="1003"/>
      <c r="S1147" s="1003"/>
      <c r="T1147" s="1003"/>
      <c r="U1147" s="1003"/>
      <c r="V1147" s="1003"/>
      <c r="W1147" s="1003"/>
      <c r="X1147" s="1003"/>
      <c r="Y1147" s="1003"/>
      <c r="Z1147" s="1003"/>
      <c r="AA1147" s="1003"/>
      <c r="AB1147" s="1003"/>
      <c r="AC1147" s="1003"/>
      <c r="AD1147" s="1003"/>
      <c r="AE1147" s="1003"/>
      <c r="AF1147" s="1003"/>
      <c r="AG1147" s="1003"/>
      <c r="AH1147" s="1003"/>
      <c r="AI1147" s="1003"/>
      <c r="AJ1147" s="1003"/>
      <c r="AK1147" s="1003"/>
      <c r="AL1147" s="1003"/>
      <c r="AM1147" s="1003"/>
      <c r="AN1147" s="1003"/>
      <c r="AO1147" s="1003"/>
      <c r="AP1147" s="1003"/>
      <c r="AQ1147" s="1003"/>
      <c r="AR1147" s="1003"/>
      <c r="AS1147" s="1003"/>
      <c r="AT1147" s="1003"/>
      <c r="AU1147" s="1003"/>
      <c r="AV1147" s="1003"/>
      <c r="AW1147" s="1003"/>
      <c r="AX1147" s="1003"/>
      <c r="AY1147" s="1003"/>
      <c r="AZ1147" s="1003"/>
      <c r="BA1147" s="1003"/>
      <c r="BB1147" s="1003"/>
      <c r="BC1147" s="1003"/>
      <c r="BD1147" s="1003"/>
      <c r="BE1147" s="1003"/>
      <c r="BF1147" s="1003"/>
      <c r="BG1147" s="1003"/>
      <c r="BH1147" s="1003"/>
      <c r="BI1147" s="1003"/>
      <c r="BJ1147" s="1003"/>
      <c r="BK1147" s="1003"/>
      <c r="BL1147" s="1003"/>
    </row>
    <row r="1148" spans="1:64">
      <c r="A1148" s="1823"/>
      <c r="B1148" s="1847"/>
      <c r="C1148" s="1817" t="s">
        <v>1260</v>
      </c>
      <c r="D1148" s="1062">
        <f>'Civil-SOR'!$G$269</f>
        <v>260</v>
      </c>
      <c r="E1148" s="1062">
        <f>'Civil-SOR'!$H$269</f>
        <v>286</v>
      </c>
      <c r="F1148" s="1062">
        <f>'Civil-SOR'!$I$269+('Civil-SOR'!$I$269*16.66%)</f>
        <v>363.97919999999999</v>
      </c>
      <c r="G1148" s="1062">
        <f>'Civil-SOR'!$J$269</f>
        <v>338</v>
      </c>
      <c r="H1148" s="1062">
        <f>'Civil-SOR'!$K$269</f>
        <v>364</v>
      </c>
      <c r="I1148" s="1062">
        <f>'Civil-SOR'!$L$269</f>
        <v>390</v>
      </c>
      <c r="J1148" s="1114"/>
      <c r="K1148" s="1114"/>
      <c r="L1148" s="1009"/>
      <c r="Q1148" s="1003"/>
      <c r="R1148" s="1003"/>
      <c r="S1148" s="1003"/>
      <c r="T1148" s="1003"/>
      <c r="U1148" s="1003"/>
      <c r="V1148" s="1003"/>
      <c r="W1148" s="1003"/>
      <c r="X1148" s="1003"/>
      <c r="Y1148" s="1003"/>
      <c r="Z1148" s="1003"/>
      <c r="AA1148" s="1003"/>
      <c r="AB1148" s="1003"/>
      <c r="AC1148" s="1003"/>
      <c r="AD1148" s="1003"/>
      <c r="AE1148" s="1003"/>
      <c r="AF1148" s="1003"/>
      <c r="AG1148" s="1003"/>
      <c r="AH1148" s="1003"/>
      <c r="AI1148" s="1003"/>
      <c r="AJ1148" s="1003"/>
      <c r="AK1148" s="1003"/>
      <c r="AL1148" s="1003"/>
      <c r="AM1148" s="1003"/>
      <c r="AN1148" s="1003"/>
      <c r="AO1148" s="1003"/>
      <c r="AP1148" s="1003"/>
      <c r="AQ1148" s="1003"/>
      <c r="AR1148" s="1003"/>
      <c r="AS1148" s="1003"/>
      <c r="AT1148" s="1003"/>
      <c r="AU1148" s="1003"/>
      <c r="AV1148" s="1003"/>
      <c r="AW1148" s="1003"/>
      <c r="AX1148" s="1003"/>
      <c r="AY1148" s="1003"/>
      <c r="AZ1148" s="1003"/>
      <c r="BA1148" s="1003"/>
      <c r="BB1148" s="1003"/>
      <c r="BC1148" s="1003"/>
      <c r="BD1148" s="1003"/>
      <c r="BE1148" s="1003"/>
      <c r="BF1148" s="1003"/>
      <c r="BG1148" s="1003"/>
      <c r="BH1148" s="1003"/>
      <c r="BI1148" s="1003"/>
      <c r="BJ1148" s="1003"/>
      <c r="BK1148" s="1003"/>
      <c r="BL1148" s="1003"/>
    </row>
    <row r="1149" spans="1:64">
      <c r="A1149" s="1823"/>
      <c r="B1149" s="1847"/>
      <c r="C1149" s="1817" t="str">
        <f>Input!$C$47</f>
        <v>Add for MA @ 40%</v>
      </c>
      <c r="D1149" s="1848">
        <f>D1148*Input!$D$47</f>
        <v>104</v>
      </c>
      <c r="E1149" s="1848">
        <f>E1148*Input!$D$47</f>
        <v>114.4</v>
      </c>
      <c r="F1149" s="1848">
        <f>F1148*Input!$D$47</f>
        <v>145.59168</v>
      </c>
      <c r="G1149" s="1848">
        <f>G1148*Input!$D$47</f>
        <v>135.20000000000002</v>
      </c>
      <c r="H1149" s="1848">
        <f>H1148*Input!$D$47</f>
        <v>145.6</v>
      </c>
      <c r="I1149" s="1848">
        <f>I1148*Input!$D$47</f>
        <v>156</v>
      </c>
      <c r="J1149" s="1114"/>
      <c r="K1149" s="1114"/>
      <c r="L1149" s="1009"/>
      <c r="Q1149" s="1003"/>
      <c r="R1149" s="1003"/>
      <c r="S1149" s="1003"/>
      <c r="T1149" s="1003"/>
      <c r="U1149" s="1003"/>
      <c r="V1149" s="1003"/>
      <c r="W1149" s="1003"/>
      <c r="X1149" s="1003"/>
      <c r="Y1149" s="1003"/>
      <c r="Z1149" s="1003"/>
      <c r="AA1149" s="1003"/>
      <c r="AB1149" s="1003"/>
      <c r="AC1149" s="1003"/>
      <c r="AD1149" s="1003"/>
      <c r="AE1149" s="1003"/>
      <c r="AF1149" s="1003"/>
      <c r="AG1149" s="1003"/>
      <c r="AH1149" s="1003"/>
      <c r="AI1149" s="1003"/>
      <c r="AJ1149" s="1003"/>
      <c r="AK1149" s="1003"/>
      <c r="AL1149" s="1003"/>
      <c r="AM1149" s="1003"/>
      <c r="AN1149" s="1003"/>
      <c r="AO1149" s="1003"/>
      <c r="AP1149" s="1003"/>
      <c r="AQ1149" s="1003"/>
      <c r="AR1149" s="1003"/>
      <c r="AS1149" s="1003"/>
      <c r="AT1149" s="1003"/>
      <c r="AU1149" s="1003"/>
      <c r="AV1149" s="1003"/>
      <c r="AW1149" s="1003"/>
      <c r="AX1149" s="1003"/>
      <c r="AY1149" s="1003"/>
      <c r="AZ1149" s="1003"/>
      <c r="BA1149" s="1003"/>
      <c r="BB1149" s="1003"/>
      <c r="BC1149" s="1003"/>
      <c r="BD1149" s="1003"/>
      <c r="BE1149" s="1003"/>
      <c r="BF1149" s="1003"/>
      <c r="BG1149" s="1003"/>
      <c r="BH1149" s="1003"/>
      <c r="BI1149" s="1003"/>
      <c r="BJ1149" s="1003"/>
      <c r="BK1149" s="1003"/>
      <c r="BL1149" s="1003"/>
    </row>
    <row r="1150" spans="1:64">
      <c r="A1150" s="1823"/>
      <c r="B1150" s="1847"/>
      <c r="C1150" s="1817" t="s">
        <v>1251</v>
      </c>
      <c r="D1150" s="1848"/>
      <c r="E1150" s="1848">
        <f>$F$1031*0.1*$D$1143</f>
        <v>21.400625000000002</v>
      </c>
      <c r="F1150" s="1848">
        <f>$F$1031*0.2*$D$1143</f>
        <v>42.801250000000003</v>
      </c>
      <c r="G1150" s="1848">
        <f>$F$1031*0.3*$D$1143</f>
        <v>64.201875000000001</v>
      </c>
      <c r="H1150" s="1848">
        <f>$F$1031*0.4*$D$1143</f>
        <v>85.602500000000006</v>
      </c>
      <c r="I1150" s="1848">
        <f>$F$1031*0.5*$D$1143</f>
        <v>107.003125</v>
      </c>
      <c r="J1150" s="1114"/>
      <c r="K1150" s="1114"/>
      <c r="L1150" s="1009"/>
      <c r="Q1150" s="1003"/>
      <c r="R1150" s="1003"/>
      <c r="S1150" s="1003"/>
      <c r="T1150" s="1003"/>
      <c r="U1150" s="1003"/>
      <c r="V1150" s="1003"/>
      <c r="W1150" s="1003"/>
      <c r="X1150" s="1003"/>
      <c r="Y1150" s="1003"/>
      <c r="Z1150" s="1003"/>
      <c r="AA1150" s="1003"/>
      <c r="AB1150" s="1003"/>
      <c r="AC1150" s="1003"/>
      <c r="AD1150" s="1003"/>
      <c r="AE1150" s="1003"/>
      <c r="AF1150" s="1003"/>
      <c r="AG1150" s="1003"/>
      <c r="AH1150" s="1003"/>
      <c r="AI1150" s="1003"/>
      <c r="AJ1150" s="1003"/>
      <c r="AK1150" s="1003"/>
      <c r="AL1150" s="1003"/>
      <c r="AM1150" s="1003"/>
      <c r="AN1150" s="1003"/>
      <c r="AO1150" s="1003"/>
      <c r="AP1150" s="1003"/>
      <c r="AQ1150" s="1003"/>
      <c r="AR1150" s="1003"/>
      <c r="AS1150" s="1003"/>
      <c r="AT1150" s="1003"/>
      <c r="AU1150" s="1003"/>
      <c r="AV1150" s="1003"/>
      <c r="AW1150" s="1003"/>
      <c r="AX1150" s="1003"/>
      <c r="AY1150" s="1003"/>
      <c r="AZ1150" s="1003"/>
      <c r="BA1150" s="1003"/>
      <c r="BB1150" s="1003"/>
      <c r="BC1150" s="1003"/>
      <c r="BD1150" s="1003"/>
      <c r="BE1150" s="1003"/>
      <c r="BF1150" s="1003"/>
      <c r="BG1150" s="1003"/>
      <c r="BH1150" s="1003"/>
      <c r="BI1150" s="1003"/>
      <c r="BJ1150" s="1003"/>
      <c r="BK1150" s="1003"/>
      <c r="BL1150" s="1003"/>
    </row>
    <row r="1151" spans="1:64">
      <c r="A1151" s="1823"/>
      <c r="B1151" s="1847"/>
      <c r="C1151" s="1817" t="str">
        <f>Input!$C$47</f>
        <v>Add for MA @ 40%</v>
      </c>
      <c r="D1151" s="1848">
        <f>D1150*Input!$D$47</f>
        <v>0</v>
      </c>
      <c r="E1151" s="1848">
        <f>E1150*Input!$D$47</f>
        <v>8.5602500000000017</v>
      </c>
      <c r="F1151" s="1848">
        <f>F1150*Input!$D$47</f>
        <v>17.120500000000003</v>
      </c>
      <c r="G1151" s="1848">
        <f>G1150*Input!$D$47</f>
        <v>25.680750000000003</v>
      </c>
      <c r="H1151" s="1848">
        <f>H1150*Input!$D$47</f>
        <v>34.241000000000007</v>
      </c>
      <c r="I1151" s="1848">
        <f>I1150*Input!$D$47</f>
        <v>42.801250000000003</v>
      </c>
      <c r="J1151" s="1114"/>
      <c r="K1151" s="1114"/>
      <c r="L1151" s="1009"/>
      <c r="Q1151" s="1003"/>
      <c r="R1151" s="1003"/>
      <c r="S1151" s="1003"/>
      <c r="T1151" s="1003"/>
      <c r="U1151" s="1003"/>
      <c r="V1151" s="1003"/>
      <c r="W1151" s="1003"/>
      <c r="X1151" s="1003"/>
      <c r="Y1151" s="1003"/>
      <c r="Z1151" s="1003"/>
      <c r="AA1151" s="1003"/>
      <c r="AB1151" s="1003"/>
      <c r="AC1151" s="1003"/>
      <c r="AD1151" s="1003"/>
      <c r="AE1151" s="1003"/>
      <c r="AF1151" s="1003"/>
      <c r="AG1151" s="1003"/>
      <c r="AH1151" s="1003"/>
      <c r="AI1151" s="1003"/>
      <c r="AJ1151" s="1003"/>
      <c r="AK1151" s="1003"/>
      <c r="AL1151" s="1003"/>
      <c r="AM1151" s="1003"/>
      <c r="AN1151" s="1003"/>
      <c r="AO1151" s="1003"/>
      <c r="AP1151" s="1003"/>
      <c r="AQ1151" s="1003"/>
      <c r="AR1151" s="1003"/>
      <c r="AS1151" s="1003"/>
      <c r="AT1151" s="1003"/>
      <c r="AU1151" s="1003"/>
      <c r="AV1151" s="1003"/>
      <c r="AW1151" s="1003"/>
      <c r="AX1151" s="1003"/>
      <c r="AY1151" s="1003"/>
      <c r="AZ1151" s="1003"/>
      <c r="BA1151" s="1003"/>
      <c r="BB1151" s="1003"/>
      <c r="BC1151" s="1003"/>
      <c r="BD1151" s="1003"/>
      <c r="BE1151" s="1003"/>
      <c r="BF1151" s="1003"/>
      <c r="BG1151" s="1003"/>
      <c r="BH1151" s="1003"/>
      <c r="BI1151" s="1003"/>
      <c r="BJ1151" s="1003"/>
      <c r="BK1151" s="1003"/>
      <c r="BL1151" s="1003"/>
    </row>
    <row r="1152" spans="1:64">
      <c r="A1152" s="1823"/>
      <c r="B1152" s="1847"/>
      <c r="C1152" s="1816" t="s">
        <v>1045</v>
      </c>
      <c r="D1152" s="1848">
        <f t="shared" ref="D1152:I1152" si="209">SUM(D1146:D1151)</f>
        <v>1487.20866</v>
      </c>
      <c r="E1152" s="1848">
        <f t="shared" si="209"/>
        <v>1564.5635950000003</v>
      </c>
      <c r="F1152" s="1848">
        <f t="shared" si="209"/>
        <v>1703.6953500000002</v>
      </c>
      <c r="G1152" s="1848">
        <f t="shared" si="209"/>
        <v>1697.2853450000002</v>
      </c>
      <c r="H1152" s="1848">
        <f t="shared" si="209"/>
        <v>1763.6462200000001</v>
      </c>
      <c r="I1152" s="1848">
        <f t="shared" si="209"/>
        <v>1830.0070950000002</v>
      </c>
      <c r="J1152" s="1114"/>
      <c r="K1152" s="1114"/>
      <c r="L1152" s="1009"/>
      <c r="Q1152" s="1003"/>
      <c r="R1152" s="1003"/>
      <c r="S1152" s="1003"/>
      <c r="T1152" s="1003"/>
      <c r="U1152" s="1003"/>
      <c r="V1152" s="1003"/>
      <c r="W1152" s="1003"/>
      <c r="X1152" s="1003"/>
      <c r="Y1152" s="1003"/>
      <c r="Z1152" s="1003"/>
      <c r="AA1152" s="1003"/>
      <c r="AB1152" s="1003"/>
      <c r="AC1152" s="1003"/>
      <c r="AD1152" s="1003"/>
      <c r="AE1152" s="1003"/>
      <c r="AF1152" s="1003"/>
      <c r="AG1152" s="1003"/>
      <c r="AH1152" s="1003"/>
      <c r="AI1152" s="1003"/>
      <c r="AJ1152" s="1003"/>
      <c r="AK1152" s="1003"/>
      <c r="AL1152" s="1003"/>
      <c r="AM1152" s="1003"/>
      <c r="AN1152" s="1003"/>
      <c r="AO1152" s="1003"/>
      <c r="AP1152" s="1003"/>
      <c r="AQ1152" s="1003"/>
      <c r="AR1152" s="1003"/>
      <c r="AS1152" s="1003"/>
      <c r="AT1152" s="1003"/>
      <c r="AU1152" s="1003"/>
      <c r="AV1152" s="1003"/>
      <c r="AW1152" s="1003"/>
      <c r="AX1152" s="1003"/>
      <c r="AY1152" s="1003"/>
      <c r="AZ1152" s="1003"/>
      <c r="BA1152" s="1003"/>
      <c r="BB1152" s="1003"/>
      <c r="BC1152" s="1003"/>
      <c r="BD1152" s="1003"/>
      <c r="BE1152" s="1003"/>
      <c r="BF1152" s="1003"/>
      <c r="BG1152" s="1003"/>
      <c r="BH1152" s="1003"/>
      <c r="BI1152" s="1003"/>
      <c r="BJ1152" s="1003"/>
      <c r="BK1152" s="1003"/>
      <c r="BL1152" s="1003"/>
    </row>
    <row r="1153" spans="1:64">
      <c r="A1153" s="1823"/>
      <c r="B1153" s="1847"/>
      <c r="C1153" s="1817" t="str">
        <f>Input!$C$48</f>
        <v>Overheads &amp; Contractors Profit @ 13.615%</v>
      </c>
      <c r="D1153" s="1847">
        <f>ROUND(D1152*Input!$D$48,2)</f>
        <v>202.48</v>
      </c>
      <c r="E1153" s="1847">
        <f>ROUND(E1152*Input!$D$48,2)</f>
        <v>213.02</v>
      </c>
      <c r="F1153" s="1847">
        <f>ROUND(F1152*Input!$D$48,2)</f>
        <v>231.96</v>
      </c>
      <c r="G1153" s="1847">
        <f>ROUND(G1152*Input!$D$48,2)</f>
        <v>231.09</v>
      </c>
      <c r="H1153" s="1847">
        <f>ROUND(H1152*Input!$D$48,2)</f>
        <v>240.12</v>
      </c>
      <c r="I1153" s="1847">
        <f>ROUND(I1152*Input!$D$48,2)</f>
        <v>249.16</v>
      </c>
      <c r="J1153" s="1114"/>
      <c r="K1153" s="1114"/>
      <c r="L1153" s="1009"/>
      <c r="Q1153" s="1003"/>
      <c r="R1153" s="1003"/>
      <c r="S1153" s="1003"/>
      <c r="T1153" s="1003"/>
      <c r="U1153" s="1003"/>
      <c r="V1153" s="1003"/>
      <c r="W1153" s="1003"/>
      <c r="X1153" s="1003"/>
      <c r="Y1153" s="1003"/>
      <c r="Z1153" s="1003"/>
      <c r="AA1153" s="1003"/>
      <c r="AB1153" s="1003"/>
      <c r="AC1153" s="1003"/>
      <c r="AD1153" s="1003"/>
      <c r="AE1153" s="1003"/>
      <c r="AF1153" s="1003"/>
      <c r="AG1153" s="1003"/>
      <c r="AH1153" s="1003"/>
      <c r="AI1153" s="1003"/>
      <c r="AJ1153" s="1003"/>
      <c r="AK1153" s="1003"/>
      <c r="AL1153" s="1003"/>
      <c r="AM1153" s="1003"/>
      <c r="AN1153" s="1003"/>
      <c r="AO1153" s="1003"/>
      <c r="AP1153" s="1003"/>
      <c r="AQ1153" s="1003"/>
      <c r="AR1153" s="1003"/>
      <c r="AS1153" s="1003"/>
      <c r="AT1153" s="1003"/>
      <c r="AU1153" s="1003"/>
      <c r="AV1153" s="1003"/>
      <c r="AW1153" s="1003"/>
      <c r="AX1153" s="1003"/>
      <c r="AY1153" s="1003"/>
      <c r="AZ1153" s="1003"/>
      <c r="BA1153" s="1003"/>
      <c r="BB1153" s="1003"/>
      <c r="BC1153" s="1003"/>
      <c r="BD1153" s="1003"/>
      <c r="BE1153" s="1003"/>
      <c r="BF1153" s="1003"/>
      <c r="BG1153" s="1003"/>
      <c r="BH1153" s="1003"/>
      <c r="BI1153" s="1003"/>
      <c r="BJ1153" s="1003"/>
      <c r="BK1153" s="1003"/>
      <c r="BL1153" s="1003"/>
    </row>
    <row r="1154" spans="1:64">
      <c r="A1154" s="1823"/>
      <c r="B1154" s="1023"/>
      <c r="C1154" s="1816" t="s">
        <v>1045</v>
      </c>
      <c r="D1154" s="1829">
        <f t="shared" ref="D1154:I1154" si="210">SUM(D1152:D1153)</f>
        <v>1689.68866</v>
      </c>
      <c r="E1154" s="1829">
        <f t="shared" si="210"/>
        <v>1777.5835950000003</v>
      </c>
      <c r="F1154" s="1829">
        <f t="shared" si="210"/>
        <v>1935.6553500000002</v>
      </c>
      <c r="G1154" s="1829">
        <f t="shared" si="210"/>
        <v>1928.3753450000002</v>
      </c>
      <c r="H1154" s="1829">
        <f t="shared" si="210"/>
        <v>2003.76622</v>
      </c>
      <c r="I1154" s="1829">
        <f t="shared" si="210"/>
        <v>2079.1670950000002</v>
      </c>
      <c r="J1154" s="1114"/>
      <c r="K1154" s="1114"/>
      <c r="L1154" s="1009"/>
      <c r="Q1154" s="1003"/>
      <c r="R1154" s="1003"/>
      <c r="S1154" s="1003"/>
      <c r="T1154" s="1003"/>
      <c r="U1154" s="1003"/>
      <c r="V1154" s="1003"/>
      <c r="W1154" s="1003"/>
      <c r="X1154" s="1003"/>
      <c r="Y1154" s="1003"/>
      <c r="Z1154" s="1003"/>
      <c r="AA1154" s="1003"/>
      <c r="AB1154" s="1003"/>
      <c r="AC1154" s="1003"/>
      <c r="AD1154" s="1003"/>
      <c r="AE1154" s="1003"/>
      <c r="AF1154" s="1003"/>
      <c r="AG1154" s="1003"/>
      <c r="AH1154" s="1003"/>
      <c r="AI1154" s="1003"/>
      <c r="AJ1154" s="1003"/>
      <c r="AK1154" s="1003"/>
      <c r="AL1154" s="1003"/>
      <c r="AM1154" s="1003"/>
      <c r="AN1154" s="1003"/>
      <c r="AO1154" s="1003"/>
      <c r="AP1154" s="1003"/>
      <c r="AQ1154" s="1003"/>
      <c r="AR1154" s="1003"/>
      <c r="AS1154" s="1003"/>
      <c r="AT1154" s="1003"/>
      <c r="AU1154" s="1003"/>
      <c r="AV1154" s="1003"/>
      <c r="AW1154" s="1003"/>
      <c r="AX1154" s="1003"/>
      <c r="AY1154" s="1003"/>
      <c r="AZ1154" s="1003"/>
      <c r="BA1154" s="1003"/>
      <c r="BB1154" s="1003"/>
      <c r="BC1154" s="1003"/>
      <c r="BD1154" s="1003"/>
      <c r="BE1154" s="1003"/>
      <c r="BF1154" s="1003"/>
      <c r="BG1154" s="1003"/>
      <c r="BH1154" s="1003"/>
      <c r="BI1154" s="1003"/>
      <c r="BJ1154" s="1003"/>
      <c r="BK1154" s="1003"/>
      <c r="BL1154" s="1003"/>
    </row>
    <row r="1155" spans="1:64">
      <c r="A1155" s="1823"/>
      <c r="B1155" s="1023"/>
      <c r="C1155" s="1843" t="s">
        <v>1034</v>
      </c>
      <c r="D1155" s="999">
        <f t="shared" ref="D1155:I1155" si="211">ROUND(D1154,0)</f>
        <v>1690</v>
      </c>
      <c r="E1155" s="999">
        <f t="shared" si="211"/>
        <v>1778</v>
      </c>
      <c r="F1155" s="999">
        <f t="shared" si="211"/>
        <v>1936</v>
      </c>
      <c r="G1155" s="999">
        <f t="shared" si="211"/>
        <v>1928</v>
      </c>
      <c r="H1155" s="999">
        <f t="shared" si="211"/>
        <v>2004</v>
      </c>
      <c r="I1155" s="999">
        <f t="shared" si="211"/>
        <v>2079</v>
      </c>
      <c r="J1155" s="1114"/>
      <c r="K1155" s="1114"/>
      <c r="L1155" s="1009"/>
      <c r="Q1155" s="1003"/>
      <c r="R1155" s="1003"/>
      <c r="S1155" s="1003"/>
      <c r="T1155" s="1003"/>
      <c r="U1155" s="1003"/>
      <c r="V1155" s="1003"/>
      <c r="W1155" s="1003"/>
      <c r="X1155" s="1003"/>
      <c r="Y1155" s="1003"/>
      <c r="Z1155" s="1003"/>
      <c r="AA1155" s="1003"/>
      <c r="AB1155" s="1003"/>
      <c r="AC1155" s="1003"/>
      <c r="AD1155" s="1003"/>
      <c r="AE1155" s="1003"/>
      <c r="AF1155" s="1003"/>
      <c r="AG1155" s="1003"/>
      <c r="AH1155" s="1003"/>
      <c r="AI1155" s="1003"/>
      <c r="AJ1155" s="1003"/>
      <c r="AK1155" s="1003"/>
      <c r="AL1155" s="1003"/>
      <c r="AM1155" s="1003"/>
      <c r="AN1155" s="1003"/>
      <c r="AO1155" s="1003"/>
      <c r="AP1155" s="1003"/>
      <c r="AQ1155" s="1003"/>
      <c r="AR1155" s="1003"/>
      <c r="AS1155" s="1003"/>
      <c r="AT1155" s="1003"/>
      <c r="AU1155" s="1003"/>
      <c r="AV1155" s="1003"/>
      <c r="AW1155" s="1003"/>
      <c r="AX1155" s="1003"/>
      <c r="AY1155" s="1003"/>
      <c r="AZ1155" s="1003"/>
      <c r="BA1155" s="1003"/>
      <c r="BB1155" s="1003"/>
      <c r="BC1155" s="1003"/>
      <c r="BD1155" s="1003"/>
      <c r="BE1155" s="1003"/>
      <c r="BF1155" s="1003"/>
      <c r="BG1155" s="1003"/>
      <c r="BH1155" s="1003"/>
      <c r="BI1155" s="1003"/>
      <c r="BJ1155" s="1003"/>
      <c r="BK1155" s="1003"/>
      <c r="BL1155" s="1003"/>
    </row>
    <row r="1156" spans="1:64">
      <c r="A1156" s="1823"/>
      <c r="B1156" s="1068"/>
      <c r="C1156" s="1129"/>
      <c r="D1156" s="1114"/>
      <c r="E1156" s="1114"/>
      <c r="F1156" s="1114"/>
      <c r="G1156" s="1114"/>
      <c r="H1156" s="1114"/>
      <c r="I1156" s="1009"/>
      <c r="J1156" s="1114"/>
      <c r="K1156" s="1114"/>
      <c r="L1156" s="1009"/>
      <c r="Q1156" s="1003"/>
      <c r="R1156" s="1003"/>
      <c r="S1156" s="1003"/>
      <c r="T1156" s="1003"/>
      <c r="U1156" s="1003"/>
      <c r="V1156" s="1003"/>
      <c r="W1156" s="1003"/>
      <c r="X1156" s="1003"/>
      <c r="Y1156" s="1003"/>
      <c r="Z1156" s="1003"/>
      <c r="AA1156" s="1003"/>
      <c r="AB1156" s="1003"/>
      <c r="AC1156" s="1003"/>
      <c r="AD1156" s="1003"/>
      <c r="AE1156" s="1003"/>
      <c r="AF1156" s="1003"/>
      <c r="AG1156" s="1003"/>
      <c r="AH1156" s="1003"/>
      <c r="AI1156" s="1003"/>
      <c r="AJ1156" s="1003"/>
      <c r="AK1156" s="1003"/>
      <c r="AL1156" s="1003"/>
      <c r="AM1156" s="1003"/>
      <c r="AN1156" s="1003"/>
      <c r="AO1156" s="1003"/>
      <c r="AP1156" s="1003"/>
      <c r="AQ1156" s="1003"/>
      <c r="AR1156" s="1003"/>
      <c r="AS1156" s="1003"/>
      <c r="AT1156" s="1003"/>
      <c r="AU1156" s="1003"/>
      <c r="AV1156" s="1003"/>
      <c r="AW1156" s="1003"/>
      <c r="AX1156" s="1003"/>
      <c r="AY1156" s="1003"/>
      <c r="AZ1156" s="1003"/>
      <c r="BA1156" s="1003"/>
      <c r="BB1156" s="1003"/>
      <c r="BC1156" s="1003"/>
      <c r="BD1156" s="1003"/>
      <c r="BE1156" s="1003"/>
      <c r="BF1156" s="1003"/>
      <c r="BG1156" s="1003"/>
      <c r="BH1156" s="1003"/>
      <c r="BI1156" s="1003"/>
      <c r="BJ1156" s="1003"/>
      <c r="BK1156" s="1003"/>
      <c r="BL1156" s="1003"/>
    </row>
    <row r="1157" spans="1:64" ht="25.5">
      <c r="A1157" s="1823"/>
      <c r="B1157" s="1831" t="s">
        <v>1221</v>
      </c>
      <c r="C1157" s="1819" t="s">
        <v>1261</v>
      </c>
      <c r="D1157" s="1846"/>
      <c r="E1157" s="1846"/>
      <c r="F1157" s="1068"/>
      <c r="G1157" s="1105"/>
      <c r="H1157" s="1846"/>
      <c r="I1157" s="1080"/>
      <c r="J1157" s="1114"/>
      <c r="K1157" s="1114"/>
      <c r="L1157" s="1009"/>
      <c r="Q1157" s="1003"/>
      <c r="R1157" s="1003"/>
      <c r="S1157" s="1003"/>
      <c r="T1157" s="1003"/>
      <c r="U1157" s="1003"/>
      <c r="V1157" s="1003"/>
      <c r="W1157" s="1003"/>
      <c r="X1157" s="1003"/>
      <c r="Y1157" s="1003"/>
      <c r="Z1157" s="1003"/>
      <c r="AA1157" s="1003"/>
      <c r="AB1157" s="1003"/>
      <c r="AC1157" s="1003"/>
      <c r="AD1157" s="1003"/>
      <c r="AE1157" s="1003"/>
      <c r="AF1157" s="1003"/>
      <c r="AG1157" s="1003"/>
      <c r="AH1157" s="1003"/>
      <c r="AI1157" s="1003"/>
      <c r="AJ1157" s="1003"/>
      <c r="AK1157" s="1003"/>
      <c r="AL1157" s="1003"/>
      <c r="AM1157" s="1003"/>
      <c r="AN1157" s="1003"/>
      <c r="AO1157" s="1003"/>
      <c r="AP1157" s="1003"/>
      <c r="AQ1157" s="1003"/>
      <c r="AR1157" s="1003"/>
      <c r="AS1157" s="1003"/>
      <c r="AT1157" s="1003"/>
      <c r="AU1157" s="1003"/>
      <c r="AV1157" s="1003"/>
      <c r="AW1157" s="1003"/>
      <c r="AX1157" s="1003"/>
      <c r="AY1157" s="1003"/>
      <c r="AZ1157" s="1003"/>
      <c r="BA1157" s="1003"/>
      <c r="BB1157" s="1003"/>
      <c r="BC1157" s="1003"/>
      <c r="BD1157" s="1003"/>
      <c r="BE1157" s="1003"/>
      <c r="BF1157" s="1003"/>
      <c r="BG1157" s="1003"/>
      <c r="BH1157" s="1003"/>
      <c r="BI1157" s="1003"/>
      <c r="BJ1157" s="1003"/>
      <c r="BK1157" s="1003"/>
      <c r="BL1157" s="1003"/>
    </row>
    <row r="1158" spans="1:64">
      <c r="A1158" s="1823"/>
      <c r="B1158" s="1847"/>
      <c r="C1158" s="1816" t="s">
        <v>1217</v>
      </c>
      <c r="D1158" s="1065" t="s">
        <v>1223</v>
      </c>
      <c r="E1158" s="1839" t="s">
        <v>1207</v>
      </c>
      <c r="F1158" s="1040" t="s">
        <v>1208</v>
      </c>
      <c r="G1158" s="1040" t="s">
        <v>1209</v>
      </c>
      <c r="H1158" s="1040" t="s">
        <v>1210</v>
      </c>
      <c r="I1158" s="1040" t="s">
        <v>1211</v>
      </c>
      <c r="J1158" s="1114"/>
      <c r="K1158" s="1114"/>
      <c r="L1158" s="1009"/>
      <c r="Q1158" s="1003"/>
      <c r="R1158" s="1003"/>
      <c r="S1158" s="1003"/>
      <c r="T1158" s="1003"/>
      <c r="U1158" s="1003"/>
      <c r="V1158" s="1003"/>
      <c r="W1158" s="1003"/>
      <c r="X1158" s="1003"/>
      <c r="Y1158" s="1003"/>
      <c r="Z1158" s="1003"/>
      <c r="AA1158" s="1003"/>
      <c r="AB1158" s="1003"/>
      <c r="AC1158" s="1003"/>
      <c r="AD1158" s="1003"/>
      <c r="AE1158" s="1003"/>
      <c r="AF1158" s="1003"/>
      <c r="AG1158" s="1003"/>
      <c r="AH1158" s="1003"/>
      <c r="AI1158" s="1003"/>
      <c r="AJ1158" s="1003"/>
      <c r="AK1158" s="1003"/>
      <c r="AL1158" s="1003"/>
      <c r="AM1158" s="1003"/>
      <c r="AN1158" s="1003"/>
      <c r="AO1158" s="1003"/>
      <c r="AP1158" s="1003"/>
      <c r="AQ1158" s="1003"/>
      <c r="AR1158" s="1003"/>
      <c r="AS1158" s="1003"/>
      <c r="AT1158" s="1003"/>
      <c r="AU1158" s="1003"/>
      <c r="AV1158" s="1003"/>
      <c r="AW1158" s="1003"/>
      <c r="AX1158" s="1003"/>
      <c r="AY1158" s="1003"/>
      <c r="AZ1158" s="1003"/>
      <c r="BA1158" s="1003"/>
      <c r="BB1158" s="1003"/>
      <c r="BC1158" s="1003"/>
      <c r="BD1158" s="1003"/>
      <c r="BE1158" s="1003"/>
      <c r="BF1158" s="1003"/>
      <c r="BG1158" s="1003"/>
      <c r="BH1158" s="1003"/>
      <c r="BI1158" s="1003"/>
      <c r="BJ1158" s="1003"/>
      <c r="BK1158" s="1003"/>
      <c r="BL1158" s="1003"/>
    </row>
    <row r="1159" spans="1:64">
      <c r="A1159" s="1823"/>
      <c r="B1159" s="1847"/>
      <c r="C1159" s="1817" t="s">
        <v>1218</v>
      </c>
      <c r="D1159" s="1848">
        <f t="shared" ref="D1159:I1159" si="212">$I$1472</f>
        <v>868.20272000000011</v>
      </c>
      <c r="E1159" s="1848">
        <f t="shared" si="212"/>
        <v>868.20272000000011</v>
      </c>
      <c r="F1159" s="1848">
        <f t="shared" si="212"/>
        <v>868.20272000000011</v>
      </c>
      <c r="G1159" s="1848">
        <f t="shared" si="212"/>
        <v>868.20272000000011</v>
      </c>
      <c r="H1159" s="1848">
        <f t="shared" si="212"/>
        <v>868.20272000000011</v>
      </c>
      <c r="I1159" s="1848">
        <f t="shared" si="212"/>
        <v>868.20272000000011</v>
      </c>
      <c r="J1159" s="1114"/>
      <c r="K1159" s="1114"/>
      <c r="L1159" s="1009"/>
      <c r="Q1159" s="1003"/>
      <c r="R1159" s="1003"/>
      <c r="S1159" s="1003"/>
      <c r="T1159" s="1003"/>
      <c r="U1159" s="1003"/>
      <c r="V1159" s="1003"/>
      <c r="W1159" s="1003"/>
      <c r="X1159" s="1003"/>
      <c r="Y1159" s="1003"/>
      <c r="Z1159" s="1003"/>
      <c r="AA1159" s="1003"/>
      <c r="AB1159" s="1003"/>
      <c r="AC1159" s="1003"/>
      <c r="AD1159" s="1003"/>
      <c r="AE1159" s="1003"/>
      <c r="AF1159" s="1003"/>
      <c r="AG1159" s="1003"/>
      <c r="AH1159" s="1003"/>
      <c r="AI1159" s="1003"/>
      <c r="AJ1159" s="1003"/>
      <c r="AK1159" s="1003"/>
      <c r="AL1159" s="1003"/>
      <c r="AM1159" s="1003"/>
      <c r="AN1159" s="1003"/>
      <c r="AO1159" s="1003"/>
      <c r="AP1159" s="1003"/>
      <c r="AQ1159" s="1003"/>
      <c r="AR1159" s="1003"/>
      <c r="AS1159" s="1003"/>
      <c r="AT1159" s="1003"/>
      <c r="AU1159" s="1003"/>
      <c r="AV1159" s="1003"/>
      <c r="AW1159" s="1003"/>
      <c r="AX1159" s="1003"/>
      <c r="AY1159" s="1003"/>
      <c r="AZ1159" s="1003"/>
      <c r="BA1159" s="1003"/>
      <c r="BB1159" s="1003"/>
      <c r="BC1159" s="1003"/>
      <c r="BD1159" s="1003"/>
      <c r="BE1159" s="1003"/>
      <c r="BF1159" s="1003"/>
      <c r="BG1159" s="1003"/>
      <c r="BH1159" s="1003"/>
      <c r="BI1159" s="1003"/>
      <c r="BJ1159" s="1003"/>
      <c r="BK1159" s="1003"/>
      <c r="BL1159" s="1003"/>
    </row>
    <row r="1160" spans="1:64">
      <c r="A1160" s="1823"/>
      <c r="B1160" s="1847"/>
      <c r="C1160" s="1817" t="s">
        <v>1182</v>
      </c>
      <c r="D1160" s="1848">
        <f>'Civil-SOR'!$F$269</f>
        <v>266</v>
      </c>
      <c r="E1160" s="1848">
        <f>+D1160</f>
        <v>266</v>
      </c>
      <c r="F1160" s="1848">
        <f>+E1160</f>
        <v>266</v>
      </c>
      <c r="G1160" s="1848">
        <f>+F1160</f>
        <v>266</v>
      </c>
      <c r="H1160" s="1848">
        <f>+G1160</f>
        <v>266</v>
      </c>
      <c r="I1160" s="1848">
        <f>+H1160</f>
        <v>266</v>
      </c>
      <c r="J1160" s="1114"/>
      <c r="K1160" s="1114"/>
      <c r="L1160" s="1009"/>
      <c r="Q1160" s="1003"/>
      <c r="R1160" s="1003"/>
      <c r="S1160" s="1003"/>
      <c r="T1160" s="1003"/>
      <c r="U1160" s="1003"/>
      <c r="V1160" s="1003"/>
      <c r="W1160" s="1003"/>
      <c r="X1160" s="1003"/>
      <c r="Y1160" s="1003"/>
      <c r="Z1160" s="1003"/>
      <c r="AA1160" s="1003"/>
      <c r="AB1160" s="1003"/>
      <c r="AC1160" s="1003"/>
      <c r="AD1160" s="1003"/>
      <c r="AE1160" s="1003"/>
      <c r="AF1160" s="1003"/>
      <c r="AG1160" s="1003"/>
      <c r="AH1160" s="1003"/>
      <c r="AI1160" s="1003"/>
      <c r="AJ1160" s="1003"/>
      <c r="AK1160" s="1003"/>
      <c r="AL1160" s="1003"/>
      <c r="AM1160" s="1003"/>
      <c r="AN1160" s="1003"/>
      <c r="AO1160" s="1003"/>
      <c r="AP1160" s="1003"/>
      <c r="AQ1160" s="1003"/>
      <c r="AR1160" s="1003"/>
      <c r="AS1160" s="1003"/>
      <c r="AT1160" s="1003"/>
      <c r="AU1160" s="1003"/>
      <c r="AV1160" s="1003"/>
      <c r="AW1160" s="1003"/>
      <c r="AX1160" s="1003"/>
      <c r="AY1160" s="1003"/>
      <c r="AZ1160" s="1003"/>
      <c r="BA1160" s="1003"/>
      <c r="BB1160" s="1003"/>
      <c r="BC1160" s="1003"/>
      <c r="BD1160" s="1003"/>
      <c r="BE1160" s="1003"/>
      <c r="BF1160" s="1003"/>
      <c r="BG1160" s="1003"/>
      <c r="BH1160" s="1003"/>
      <c r="BI1160" s="1003"/>
      <c r="BJ1160" s="1003"/>
      <c r="BK1160" s="1003"/>
      <c r="BL1160" s="1003"/>
    </row>
    <row r="1161" spans="1:64">
      <c r="A1161" s="1823"/>
      <c r="B1161" s="1847"/>
      <c r="C1161" s="1817" t="s">
        <v>1260</v>
      </c>
      <c r="D1161" s="1062">
        <f>'Civil-SOR'!$G$269</f>
        <v>260</v>
      </c>
      <c r="E1161" s="1062">
        <f>'Civil-SOR'!$H$269</f>
        <v>286</v>
      </c>
      <c r="F1161" s="1062">
        <f>'Civil-SOR'!$I$269+('Civil-SOR'!$I$269*16.66%)</f>
        <v>363.97919999999999</v>
      </c>
      <c r="G1161" s="1062">
        <f>'Civil-SOR'!$J$269</f>
        <v>338</v>
      </c>
      <c r="H1161" s="1062">
        <f>'Civil-SOR'!$K$269</f>
        <v>364</v>
      </c>
      <c r="I1161" s="1062">
        <f>'Civil-SOR'!$L$269</f>
        <v>390</v>
      </c>
      <c r="J1161" s="1114"/>
      <c r="K1161" s="1114"/>
      <c r="L1161" s="1009"/>
      <c r="Q1161" s="1003"/>
      <c r="R1161" s="1003"/>
      <c r="S1161" s="1003"/>
      <c r="T1161" s="1003"/>
      <c r="U1161" s="1003"/>
      <c r="V1161" s="1003"/>
      <c r="W1161" s="1003"/>
      <c r="X1161" s="1003"/>
      <c r="Y1161" s="1003"/>
      <c r="Z1161" s="1003"/>
      <c r="AA1161" s="1003"/>
      <c r="AB1161" s="1003"/>
      <c r="AC1161" s="1003"/>
      <c r="AD1161" s="1003"/>
      <c r="AE1161" s="1003"/>
      <c r="AF1161" s="1003"/>
      <c r="AG1161" s="1003"/>
      <c r="AH1161" s="1003"/>
      <c r="AI1161" s="1003"/>
      <c r="AJ1161" s="1003"/>
      <c r="AK1161" s="1003"/>
      <c r="AL1161" s="1003"/>
      <c r="AM1161" s="1003"/>
      <c r="AN1161" s="1003"/>
      <c r="AO1161" s="1003"/>
      <c r="AP1161" s="1003"/>
      <c r="AQ1161" s="1003"/>
      <c r="AR1161" s="1003"/>
      <c r="AS1161" s="1003"/>
      <c r="AT1161" s="1003"/>
      <c r="AU1161" s="1003"/>
      <c r="AV1161" s="1003"/>
      <c r="AW1161" s="1003"/>
      <c r="AX1161" s="1003"/>
      <c r="AY1161" s="1003"/>
      <c r="AZ1161" s="1003"/>
      <c r="BA1161" s="1003"/>
      <c r="BB1161" s="1003"/>
      <c r="BC1161" s="1003"/>
      <c r="BD1161" s="1003"/>
      <c r="BE1161" s="1003"/>
      <c r="BF1161" s="1003"/>
      <c r="BG1161" s="1003"/>
      <c r="BH1161" s="1003"/>
      <c r="BI1161" s="1003"/>
      <c r="BJ1161" s="1003"/>
      <c r="BK1161" s="1003"/>
      <c r="BL1161" s="1003"/>
    </row>
    <row r="1162" spans="1:64">
      <c r="A1162" s="1823"/>
      <c r="B1162" s="1847"/>
      <c r="C1162" s="1817" t="str">
        <f>Input!$C$47</f>
        <v>Add for MA @ 40%</v>
      </c>
      <c r="D1162" s="1848">
        <f>D1161*Input!$D$47</f>
        <v>104</v>
      </c>
      <c r="E1162" s="1848">
        <f>E1161*Input!$D$47</f>
        <v>114.4</v>
      </c>
      <c r="F1162" s="1848">
        <f>F1161*Input!$D$47</f>
        <v>145.59168</v>
      </c>
      <c r="G1162" s="1848">
        <f>G1161*Input!$D$47</f>
        <v>135.20000000000002</v>
      </c>
      <c r="H1162" s="1848">
        <f>H1161*Input!$D$47</f>
        <v>145.6</v>
      </c>
      <c r="I1162" s="1848">
        <f>I1161*Input!$D$47</f>
        <v>156</v>
      </c>
      <c r="J1162" s="1114"/>
      <c r="K1162" s="1114"/>
      <c r="L1162" s="1009"/>
      <c r="Q1162" s="1003"/>
      <c r="R1162" s="1003"/>
      <c r="S1162" s="1003"/>
      <c r="T1162" s="1003"/>
      <c r="U1162" s="1003"/>
      <c r="V1162" s="1003"/>
      <c r="W1162" s="1003"/>
      <c r="X1162" s="1003"/>
      <c r="Y1162" s="1003"/>
      <c r="Z1162" s="1003"/>
      <c r="AA1162" s="1003"/>
      <c r="AB1162" s="1003"/>
      <c r="AC1162" s="1003"/>
      <c r="AD1162" s="1003"/>
      <c r="AE1162" s="1003"/>
      <c r="AF1162" s="1003"/>
      <c r="AG1162" s="1003"/>
      <c r="AH1162" s="1003"/>
      <c r="AI1162" s="1003"/>
      <c r="AJ1162" s="1003"/>
      <c r="AK1162" s="1003"/>
      <c r="AL1162" s="1003"/>
      <c r="AM1162" s="1003"/>
      <c r="AN1162" s="1003"/>
      <c r="AO1162" s="1003"/>
      <c r="AP1162" s="1003"/>
      <c r="AQ1162" s="1003"/>
      <c r="AR1162" s="1003"/>
      <c r="AS1162" s="1003"/>
      <c r="AT1162" s="1003"/>
      <c r="AU1162" s="1003"/>
      <c r="AV1162" s="1003"/>
      <c r="AW1162" s="1003"/>
      <c r="AX1162" s="1003"/>
      <c r="AY1162" s="1003"/>
      <c r="AZ1162" s="1003"/>
      <c r="BA1162" s="1003"/>
      <c r="BB1162" s="1003"/>
      <c r="BC1162" s="1003"/>
      <c r="BD1162" s="1003"/>
      <c r="BE1162" s="1003"/>
      <c r="BF1162" s="1003"/>
      <c r="BG1162" s="1003"/>
      <c r="BH1162" s="1003"/>
      <c r="BI1162" s="1003"/>
      <c r="BJ1162" s="1003"/>
      <c r="BK1162" s="1003"/>
      <c r="BL1162" s="1003"/>
    </row>
    <row r="1163" spans="1:64" ht="25.5">
      <c r="A1163" s="1823"/>
      <c r="B1163" s="1847"/>
      <c r="C1163" s="1817" t="s">
        <v>1254</v>
      </c>
      <c r="D1163" s="1848">
        <v>0</v>
      </c>
      <c r="E1163" s="1848">
        <f>0.267*$D$1143*'Civil-SOR'!$G$334</f>
        <v>12.639112500000003</v>
      </c>
      <c r="F1163" s="1848">
        <f t="shared" ref="F1163:F1164" si="213">E1163*1.1</f>
        <v>13.903023750000004</v>
      </c>
      <c r="G1163" s="1848">
        <f t="shared" ref="G1163:G1164" si="214">E1163*1.2</f>
        <v>15.166935000000002</v>
      </c>
      <c r="H1163" s="1848">
        <f t="shared" ref="H1163:H1164" si="215">E1163*1.3</f>
        <v>16.430846250000005</v>
      </c>
      <c r="I1163" s="1848">
        <f t="shared" ref="I1163:I1164" si="216">E1163*1.4</f>
        <v>17.694757500000001</v>
      </c>
      <c r="J1163" s="1114"/>
      <c r="K1163" s="1114"/>
      <c r="L1163" s="1009"/>
      <c r="Q1163" s="1003"/>
      <c r="R1163" s="1003"/>
      <c r="S1163" s="1003"/>
      <c r="T1163" s="1003"/>
      <c r="U1163" s="1003"/>
      <c r="V1163" s="1003"/>
      <c r="W1163" s="1003"/>
      <c r="X1163" s="1003"/>
      <c r="Y1163" s="1003"/>
      <c r="Z1163" s="1003"/>
      <c r="AA1163" s="1003"/>
      <c r="AB1163" s="1003"/>
      <c r="AC1163" s="1003"/>
      <c r="AD1163" s="1003"/>
      <c r="AE1163" s="1003"/>
      <c r="AF1163" s="1003"/>
      <c r="AG1163" s="1003"/>
      <c r="AH1163" s="1003"/>
      <c r="AI1163" s="1003"/>
      <c r="AJ1163" s="1003"/>
      <c r="AK1163" s="1003"/>
      <c r="AL1163" s="1003"/>
      <c r="AM1163" s="1003"/>
      <c r="AN1163" s="1003"/>
      <c r="AO1163" s="1003"/>
      <c r="AP1163" s="1003"/>
      <c r="AQ1163" s="1003"/>
      <c r="AR1163" s="1003"/>
      <c r="AS1163" s="1003"/>
      <c r="AT1163" s="1003"/>
      <c r="AU1163" s="1003"/>
      <c r="AV1163" s="1003"/>
      <c r="AW1163" s="1003"/>
      <c r="AX1163" s="1003"/>
      <c r="AY1163" s="1003"/>
      <c r="AZ1163" s="1003"/>
      <c r="BA1163" s="1003"/>
      <c r="BB1163" s="1003"/>
      <c r="BC1163" s="1003"/>
      <c r="BD1163" s="1003"/>
      <c r="BE1163" s="1003"/>
      <c r="BF1163" s="1003"/>
      <c r="BG1163" s="1003"/>
      <c r="BH1163" s="1003"/>
      <c r="BI1163" s="1003"/>
      <c r="BJ1163" s="1003"/>
      <c r="BK1163" s="1003"/>
      <c r="BL1163" s="1003"/>
    </row>
    <row r="1164" spans="1:64">
      <c r="A1164" s="1823"/>
      <c r="B1164" s="1847"/>
      <c r="C1164" s="1817" t="s">
        <v>579</v>
      </c>
      <c r="D1164" s="1848"/>
      <c r="E1164" s="1848">
        <f>0.267*$D$1143*'Civil-SOR'!$J$334</f>
        <v>12.02835</v>
      </c>
      <c r="F1164" s="1848">
        <f t="shared" si="213"/>
        <v>13.231185</v>
      </c>
      <c r="G1164" s="1848">
        <f t="shared" si="214"/>
        <v>14.434019999999999</v>
      </c>
      <c r="H1164" s="1848">
        <f t="shared" si="215"/>
        <v>15.636855000000001</v>
      </c>
      <c r="I1164" s="1848">
        <f t="shared" si="216"/>
        <v>16.839689999999997</v>
      </c>
      <c r="J1164" s="1114"/>
      <c r="K1164" s="1114"/>
      <c r="L1164" s="1009"/>
      <c r="Q1164" s="1003"/>
      <c r="R1164" s="1003"/>
      <c r="S1164" s="1003"/>
      <c r="T1164" s="1003"/>
      <c r="U1164" s="1003"/>
      <c r="V1164" s="1003"/>
      <c r="W1164" s="1003"/>
      <c r="X1164" s="1003"/>
      <c r="Y1164" s="1003"/>
      <c r="Z1164" s="1003"/>
      <c r="AA1164" s="1003"/>
      <c r="AB1164" s="1003"/>
      <c r="AC1164" s="1003"/>
      <c r="AD1164" s="1003"/>
      <c r="AE1164" s="1003"/>
      <c r="AF1164" s="1003"/>
      <c r="AG1164" s="1003"/>
      <c r="AH1164" s="1003"/>
      <c r="AI1164" s="1003"/>
      <c r="AJ1164" s="1003"/>
      <c r="AK1164" s="1003"/>
      <c r="AL1164" s="1003"/>
      <c r="AM1164" s="1003"/>
      <c r="AN1164" s="1003"/>
      <c r="AO1164" s="1003"/>
      <c r="AP1164" s="1003"/>
      <c r="AQ1164" s="1003"/>
      <c r="AR1164" s="1003"/>
      <c r="AS1164" s="1003"/>
      <c r="AT1164" s="1003"/>
      <c r="AU1164" s="1003"/>
      <c r="AV1164" s="1003"/>
      <c r="AW1164" s="1003"/>
      <c r="AX1164" s="1003"/>
      <c r="AY1164" s="1003"/>
      <c r="AZ1164" s="1003"/>
      <c r="BA1164" s="1003"/>
      <c r="BB1164" s="1003"/>
      <c r="BC1164" s="1003"/>
      <c r="BD1164" s="1003"/>
      <c r="BE1164" s="1003"/>
      <c r="BF1164" s="1003"/>
      <c r="BG1164" s="1003"/>
      <c r="BH1164" s="1003"/>
      <c r="BI1164" s="1003"/>
      <c r="BJ1164" s="1003"/>
      <c r="BK1164" s="1003"/>
      <c r="BL1164" s="1003"/>
    </row>
    <row r="1165" spans="1:64">
      <c r="A1165" s="1823"/>
      <c r="B1165" s="1847"/>
      <c r="C1165" s="1817" t="str">
        <f>Input!$C$47</f>
        <v>Add for MA @ 40%</v>
      </c>
      <c r="D1165" s="1848">
        <f>D1164*Input!$D$47</f>
        <v>0</v>
      </c>
      <c r="E1165" s="1848">
        <f>E1164*Input!$D$47</f>
        <v>4.8113400000000004</v>
      </c>
      <c r="F1165" s="1848">
        <f>F1164*Input!$D$47</f>
        <v>5.2924740000000003</v>
      </c>
      <c r="G1165" s="1848">
        <f>G1164*Input!$D$47</f>
        <v>5.7736079999999994</v>
      </c>
      <c r="H1165" s="1848">
        <f>H1164*Input!$D$47</f>
        <v>6.2547420000000002</v>
      </c>
      <c r="I1165" s="1848">
        <f>I1164*Input!$D$47</f>
        <v>6.7358759999999993</v>
      </c>
      <c r="J1165" s="1114"/>
      <c r="K1165" s="1114"/>
      <c r="L1165" s="1009"/>
      <c r="Q1165" s="1003"/>
      <c r="R1165" s="1003"/>
      <c r="S1165" s="1003"/>
      <c r="T1165" s="1003"/>
      <c r="U1165" s="1003"/>
      <c r="V1165" s="1003"/>
      <c r="W1165" s="1003"/>
      <c r="X1165" s="1003"/>
      <c r="Y1165" s="1003"/>
      <c r="Z1165" s="1003"/>
      <c r="AA1165" s="1003"/>
      <c r="AB1165" s="1003"/>
      <c r="AC1165" s="1003"/>
      <c r="AD1165" s="1003"/>
      <c r="AE1165" s="1003"/>
      <c r="AF1165" s="1003"/>
      <c r="AG1165" s="1003"/>
      <c r="AH1165" s="1003"/>
      <c r="AI1165" s="1003"/>
      <c r="AJ1165" s="1003"/>
      <c r="AK1165" s="1003"/>
      <c r="AL1165" s="1003"/>
      <c r="AM1165" s="1003"/>
      <c r="AN1165" s="1003"/>
      <c r="AO1165" s="1003"/>
      <c r="AP1165" s="1003"/>
      <c r="AQ1165" s="1003"/>
      <c r="AR1165" s="1003"/>
      <c r="AS1165" s="1003"/>
      <c r="AT1165" s="1003"/>
      <c r="AU1165" s="1003"/>
      <c r="AV1165" s="1003"/>
      <c r="AW1165" s="1003"/>
      <c r="AX1165" s="1003"/>
      <c r="AY1165" s="1003"/>
      <c r="AZ1165" s="1003"/>
      <c r="BA1165" s="1003"/>
      <c r="BB1165" s="1003"/>
      <c r="BC1165" s="1003"/>
      <c r="BD1165" s="1003"/>
      <c r="BE1165" s="1003"/>
      <c r="BF1165" s="1003"/>
      <c r="BG1165" s="1003"/>
      <c r="BH1165" s="1003"/>
      <c r="BI1165" s="1003"/>
      <c r="BJ1165" s="1003"/>
      <c r="BK1165" s="1003"/>
      <c r="BL1165" s="1003"/>
    </row>
    <row r="1166" spans="1:64">
      <c r="A1166" s="1823"/>
      <c r="B1166" s="1847"/>
      <c r="C1166" s="1816" t="s">
        <v>1045</v>
      </c>
      <c r="D1166" s="1848">
        <f t="shared" ref="D1166:I1166" si="217">SUM(D1159:D1165)</f>
        <v>1498.2027200000002</v>
      </c>
      <c r="E1166" s="1848">
        <f t="shared" si="217"/>
        <v>1564.0815225000003</v>
      </c>
      <c r="F1166" s="1848">
        <f t="shared" si="217"/>
        <v>1676.2002827500005</v>
      </c>
      <c r="G1166" s="1848">
        <f t="shared" si="217"/>
        <v>1642.7772830000001</v>
      </c>
      <c r="H1166" s="1848">
        <f t="shared" si="217"/>
        <v>1682.1251632500002</v>
      </c>
      <c r="I1166" s="1848">
        <f t="shared" si="217"/>
        <v>1721.4730435000001</v>
      </c>
      <c r="J1166" s="1114"/>
      <c r="K1166" s="1114"/>
      <c r="L1166" s="1009"/>
      <c r="Q1166" s="1003"/>
      <c r="R1166" s="1003"/>
      <c r="S1166" s="1003"/>
      <c r="T1166" s="1003"/>
      <c r="U1166" s="1003"/>
      <c r="V1166" s="1003"/>
      <c r="W1166" s="1003"/>
      <c r="X1166" s="1003"/>
      <c r="Y1166" s="1003"/>
      <c r="Z1166" s="1003"/>
      <c r="AA1166" s="1003"/>
      <c r="AB1166" s="1003"/>
      <c r="AC1166" s="1003"/>
      <c r="AD1166" s="1003"/>
      <c r="AE1166" s="1003"/>
      <c r="AF1166" s="1003"/>
      <c r="AG1166" s="1003"/>
      <c r="AH1166" s="1003"/>
      <c r="AI1166" s="1003"/>
      <c r="AJ1166" s="1003"/>
      <c r="AK1166" s="1003"/>
      <c r="AL1166" s="1003"/>
      <c r="AM1166" s="1003"/>
      <c r="AN1166" s="1003"/>
      <c r="AO1166" s="1003"/>
      <c r="AP1166" s="1003"/>
      <c r="AQ1166" s="1003"/>
      <c r="AR1166" s="1003"/>
      <c r="AS1166" s="1003"/>
      <c r="AT1166" s="1003"/>
      <c r="AU1166" s="1003"/>
      <c r="AV1166" s="1003"/>
      <c r="AW1166" s="1003"/>
      <c r="AX1166" s="1003"/>
      <c r="AY1166" s="1003"/>
      <c r="AZ1166" s="1003"/>
      <c r="BA1166" s="1003"/>
      <c r="BB1166" s="1003"/>
      <c r="BC1166" s="1003"/>
      <c r="BD1166" s="1003"/>
      <c r="BE1166" s="1003"/>
      <c r="BF1166" s="1003"/>
      <c r="BG1166" s="1003"/>
      <c r="BH1166" s="1003"/>
      <c r="BI1166" s="1003"/>
      <c r="BJ1166" s="1003"/>
      <c r="BK1166" s="1003"/>
      <c r="BL1166" s="1003"/>
    </row>
    <row r="1167" spans="1:64">
      <c r="A1167" s="1823"/>
      <c r="B1167" s="1847"/>
      <c r="C1167" s="1817" t="str">
        <f>Input!$C$48</f>
        <v>Overheads &amp; Contractors Profit @ 13.615%</v>
      </c>
      <c r="D1167" s="1847">
        <f>ROUND(D1166*Input!$D$48,2)</f>
        <v>203.98</v>
      </c>
      <c r="E1167" s="1847">
        <f>ROUND(E1166*Input!$D$48,2)</f>
        <v>212.95</v>
      </c>
      <c r="F1167" s="1847">
        <f>ROUND(F1166*Input!$D$48,2)</f>
        <v>228.21</v>
      </c>
      <c r="G1167" s="1847">
        <f>ROUND(G1166*Input!$D$48,2)</f>
        <v>223.66</v>
      </c>
      <c r="H1167" s="1847">
        <f>ROUND(H1166*Input!$D$48,2)</f>
        <v>229.02</v>
      </c>
      <c r="I1167" s="1847">
        <f>ROUND(I1166*Input!$D$48,2)</f>
        <v>234.38</v>
      </c>
      <c r="J1167" s="1114"/>
      <c r="K1167" s="1114"/>
      <c r="L1167" s="1009"/>
      <c r="Q1167" s="1003"/>
      <c r="R1167" s="1003"/>
      <c r="S1167" s="1003"/>
      <c r="T1167" s="1003"/>
      <c r="U1167" s="1003"/>
      <c r="V1167" s="1003"/>
      <c r="W1167" s="1003"/>
      <c r="X1167" s="1003"/>
      <c r="Y1167" s="1003"/>
      <c r="Z1167" s="1003"/>
      <c r="AA1167" s="1003"/>
      <c r="AB1167" s="1003"/>
      <c r="AC1167" s="1003"/>
      <c r="AD1167" s="1003"/>
      <c r="AE1167" s="1003"/>
      <c r="AF1167" s="1003"/>
      <c r="AG1167" s="1003"/>
      <c r="AH1167" s="1003"/>
      <c r="AI1167" s="1003"/>
      <c r="AJ1167" s="1003"/>
      <c r="AK1167" s="1003"/>
      <c r="AL1167" s="1003"/>
      <c r="AM1167" s="1003"/>
      <c r="AN1167" s="1003"/>
      <c r="AO1167" s="1003"/>
      <c r="AP1167" s="1003"/>
      <c r="AQ1167" s="1003"/>
      <c r="AR1167" s="1003"/>
      <c r="AS1167" s="1003"/>
      <c r="AT1167" s="1003"/>
      <c r="AU1167" s="1003"/>
      <c r="AV1167" s="1003"/>
      <c r="AW1167" s="1003"/>
      <c r="AX1167" s="1003"/>
      <c r="AY1167" s="1003"/>
      <c r="AZ1167" s="1003"/>
      <c r="BA1167" s="1003"/>
      <c r="BB1167" s="1003"/>
      <c r="BC1167" s="1003"/>
      <c r="BD1167" s="1003"/>
      <c r="BE1167" s="1003"/>
      <c r="BF1167" s="1003"/>
      <c r="BG1167" s="1003"/>
      <c r="BH1167" s="1003"/>
      <c r="BI1167" s="1003"/>
      <c r="BJ1167" s="1003"/>
      <c r="BK1167" s="1003"/>
      <c r="BL1167" s="1003"/>
    </row>
    <row r="1168" spans="1:64">
      <c r="A1168" s="1823"/>
      <c r="B1168" s="1023"/>
      <c r="C1168" s="1816" t="s">
        <v>1045</v>
      </c>
      <c r="D1168" s="1829">
        <f t="shared" ref="D1168:I1168" si="218">SUM(D1166:D1167)</f>
        <v>1702.1827200000002</v>
      </c>
      <c r="E1168" s="1829">
        <f t="shared" si="218"/>
        <v>1777.0315225000004</v>
      </c>
      <c r="F1168" s="1829">
        <f t="shared" si="218"/>
        <v>1904.4102827500005</v>
      </c>
      <c r="G1168" s="1829">
        <f t="shared" si="218"/>
        <v>1866.4372830000002</v>
      </c>
      <c r="H1168" s="1829">
        <f t="shared" si="218"/>
        <v>1911.1451632500002</v>
      </c>
      <c r="I1168" s="1829">
        <f t="shared" si="218"/>
        <v>1955.8530435000002</v>
      </c>
      <c r="J1168" s="1114"/>
      <c r="K1168" s="1114"/>
      <c r="L1168" s="1009"/>
      <c r="Q1168" s="1003"/>
      <c r="R1168" s="1003"/>
      <c r="S1168" s="1003"/>
      <c r="T1168" s="1003"/>
      <c r="U1168" s="1003"/>
      <c r="V1168" s="1003"/>
      <c r="W1168" s="1003"/>
      <c r="X1168" s="1003"/>
      <c r="Y1168" s="1003"/>
      <c r="Z1168" s="1003"/>
      <c r="AA1168" s="1003"/>
      <c r="AB1168" s="1003"/>
      <c r="AC1168" s="1003"/>
      <c r="AD1168" s="1003"/>
      <c r="AE1168" s="1003"/>
      <c r="AF1168" s="1003"/>
      <c r="AG1168" s="1003"/>
      <c r="AH1168" s="1003"/>
      <c r="AI1168" s="1003"/>
      <c r="AJ1168" s="1003"/>
      <c r="AK1168" s="1003"/>
      <c r="AL1168" s="1003"/>
      <c r="AM1168" s="1003"/>
      <c r="AN1168" s="1003"/>
      <c r="AO1168" s="1003"/>
      <c r="AP1168" s="1003"/>
      <c r="AQ1168" s="1003"/>
      <c r="AR1168" s="1003"/>
      <c r="AS1168" s="1003"/>
      <c r="AT1168" s="1003"/>
      <c r="AU1168" s="1003"/>
      <c r="AV1168" s="1003"/>
      <c r="AW1168" s="1003"/>
      <c r="AX1168" s="1003"/>
      <c r="AY1168" s="1003"/>
      <c r="AZ1168" s="1003"/>
      <c r="BA1168" s="1003"/>
      <c r="BB1168" s="1003"/>
      <c r="BC1168" s="1003"/>
      <c r="BD1168" s="1003"/>
      <c r="BE1168" s="1003"/>
      <c r="BF1168" s="1003"/>
      <c r="BG1168" s="1003"/>
      <c r="BH1168" s="1003"/>
      <c r="BI1168" s="1003"/>
      <c r="BJ1168" s="1003"/>
      <c r="BK1168" s="1003"/>
      <c r="BL1168" s="1003"/>
    </row>
    <row r="1169" spans="1:64">
      <c r="A1169" s="1823"/>
      <c r="B1169" s="1023"/>
      <c r="C1169" s="1843" t="s">
        <v>1034</v>
      </c>
      <c r="D1169" s="999">
        <f t="shared" ref="D1169:I1169" si="219">ROUND(D1168,0)</f>
        <v>1702</v>
      </c>
      <c r="E1169" s="999">
        <f t="shared" si="219"/>
        <v>1777</v>
      </c>
      <c r="F1169" s="999">
        <f t="shared" si="219"/>
        <v>1904</v>
      </c>
      <c r="G1169" s="999">
        <f t="shared" si="219"/>
        <v>1866</v>
      </c>
      <c r="H1169" s="999">
        <f t="shared" si="219"/>
        <v>1911</v>
      </c>
      <c r="I1169" s="999">
        <f t="shared" si="219"/>
        <v>1956</v>
      </c>
      <c r="J1169" s="1114"/>
      <c r="K1169" s="1114"/>
      <c r="L1169" s="1009"/>
      <c r="Q1169" s="1003"/>
      <c r="R1169" s="1003"/>
      <c r="S1169" s="1003"/>
      <c r="T1169" s="1003"/>
      <c r="U1169" s="1003"/>
      <c r="V1169" s="1003"/>
      <c r="W1169" s="1003"/>
      <c r="X1169" s="1003"/>
      <c r="Y1169" s="1003"/>
      <c r="Z1169" s="1003"/>
      <c r="AA1169" s="1003"/>
      <c r="AB1169" s="1003"/>
      <c r="AC1169" s="1003"/>
      <c r="AD1169" s="1003"/>
      <c r="AE1169" s="1003"/>
      <c r="AF1169" s="1003"/>
      <c r="AG1169" s="1003"/>
      <c r="AH1169" s="1003"/>
      <c r="AI1169" s="1003"/>
      <c r="AJ1169" s="1003"/>
      <c r="AK1169" s="1003"/>
      <c r="AL1169" s="1003"/>
      <c r="AM1169" s="1003"/>
      <c r="AN1169" s="1003"/>
      <c r="AO1169" s="1003"/>
      <c r="AP1169" s="1003"/>
      <c r="AQ1169" s="1003"/>
      <c r="AR1169" s="1003"/>
      <c r="AS1169" s="1003"/>
      <c r="AT1169" s="1003"/>
      <c r="AU1169" s="1003"/>
      <c r="AV1169" s="1003"/>
      <c r="AW1169" s="1003"/>
      <c r="AX1169" s="1003"/>
      <c r="AY1169" s="1003"/>
      <c r="AZ1169" s="1003"/>
      <c r="BA1169" s="1003"/>
      <c r="BB1169" s="1003"/>
      <c r="BC1169" s="1003"/>
      <c r="BD1169" s="1003"/>
      <c r="BE1169" s="1003"/>
      <c r="BF1169" s="1003"/>
      <c r="BG1169" s="1003"/>
      <c r="BH1169" s="1003"/>
      <c r="BI1169" s="1003"/>
      <c r="BJ1169" s="1003"/>
      <c r="BK1169" s="1003"/>
      <c r="BL1169" s="1003"/>
    </row>
    <row r="1170" spans="1:64">
      <c r="A1170" s="1823"/>
      <c r="B1170" s="1068"/>
      <c r="C1170" s="1129"/>
      <c r="D1170" s="1114"/>
      <c r="E1170" s="1114"/>
      <c r="F1170" s="1114"/>
      <c r="G1170" s="1114"/>
      <c r="H1170" s="1114"/>
      <c r="I1170" s="1009"/>
      <c r="J1170" s="1114"/>
      <c r="K1170" s="1114"/>
      <c r="L1170" s="1009"/>
      <c r="Q1170" s="1003"/>
      <c r="R1170" s="1003"/>
      <c r="S1170" s="1003"/>
      <c r="T1170" s="1003"/>
      <c r="U1170" s="1003"/>
      <c r="V1170" s="1003"/>
      <c r="W1170" s="1003"/>
      <c r="X1170" s="1003"/>
      <c r="Y1170" s="1003"/>
      <c r="Z1170" s="1003"/>
      <c r="AA1170" s="1003"/>
      <c r="AB1170" s="1003"/>
      <c r="AC1170" s="1003"/>
      <c r="AD1170" s="1003"/>
      <c r="AE1170" s="1003"/>
      <c r="AF1170" s="1003"/>
      <c r="AG1170" s="1003"/>
      <c r="AH1170" s="1003"/>
      <c r="AI1170" s="1003"/>
      <c r="AJ1170" s="1003"/>
      <c r="AK1170" s="1003"/>
      <c r="AL1170" s="1003"/>
      <c r="AM1170" s="1003"/>
      <c r="AN1170" s="1003"/>
      <c r="AO1170" s="1003"/>
      <c r="AP1170" s="1003"/>
      <c r="AQ1170" s="1003"/>
      <c r="AR1170" s="1003"/>
      <c r="AS1170" s="1003"/>
      <c r="AT1170" s="1003"/>
      <c r="AU1170" s="1003"/>
      <c r="AV1170" s="1003"/>
      <c r="AW1170" s="1003"/>
      <c r="AX1170" s="1003"/>
      <c r="AY1170" s="1003"/>
      <c r="AZ1170" s="1003"/>
      <c r="BA1170" s="1003"/>
      <c r="BB1170" s="1003"/>
      <c r="BC1170" s="1003"/>
      <c r="BD1170" s="1003"/>
      <c r="BE1170" s="1003"/>
      <c r="BF1170" s="1003"/>
      <c r="BG1170" s="1003"/>
      <c r="BH1170" s="1003"/>
      <c r="BI1170" s="1003"/>
      <c r="BJ1170" s="1003"/>
      <c r="BK1170" s="1003"/>
      <c r="BL1170" s="1003"/>
    </row>
    <row r="1171" spans="1:64" ht="25.5">
      <c r="A1171" s="1823"/>
      <c r="B1171" s="1831" t="s">
        <v>1262</v>
      </c>
      <c r="C1171" s="1819" t="s">
        <v>1263</v>
      </c>
      <c r="D1171" s="1846"/>
      <c r="E1171" s="1846"/>
      <c r="F1171" s="1068"/>
      <c r="G1171" s="1105"/>
      <c r="H1171" s="1846"/>
      <c r="I1171" s="1080"/>
      <c r="J1171" s="1114"/>
      <c r="K1171" s="1114"/>
      <c r="L1171" s="1009"/>
      <c r="Q1171" s="1003"/>
      <c r="R1171" s="1003"/>
      <c r="S1171" s="1003"/>
      <c r="T1171" s="1003"/>
      <c r="U1171" s="1003"/>
      <c r="V1171" s="1003"/>
      <c r="W1171" s="1003"/>
      <c r="X1171" s="1003"/>
      <c r="Y1171" s="1003"/>
      <c r="Z1171" s="1003"/>
      <c r="AA1171" s="1003"/>
      <c r="AB1171" s="1003"/>
      <c r="AC1171" s="1003"/>
      <c r="AD1171" s="1003"/>
      <c r="AE1171" s="1003"/>
      <c r="AF1171" s="1003"/>
      <c r="AG1171" s="1003"/>
      <c r="AH1171" s="1003"/>
      <c r="AI1171" s="1003"/>
      <c r="AJ1171" s="1003"/>
      <c r="AK1171" s="1003"/>
      <c r="AL1171" s="1003"/>
      <c r="AM1171" s="1003"/>
      <c r="AN1171" s="1003"/>
      <c r="AO1171" s="1003"/>
      <c r="AP1171" s="1003"/>
      <c r="AQ1171" s="1003"/>
      <c r="AR1171" s="1003"/>
      <c r="AS1171" s="1003"/>
      <c r="AT1171" s="1003"/>
      <c r="AU1171" s="1003"/>
      <c r="AV1171" s="1003"/>
      <c r="AW1171" s="1003"/>
      <c r="AX1171" s="1003"/>
      <c r="AY1171" s="1003"/>
      <c r="AZ1171" s="1003"/>
      <c r="BA1171" s="1003"/>
      <c r="BB1171" s="1003"/>
      <c r="BC1171" s="1003"/>
      <c r="BD1171" s="1003"/>
      <c r="BE1171" s="1003"/>
      <c r="BF1171" s="1003"/>
      <c r="BG1171" s="1003"/>
      <c r="BH1171" s="1003"/>
      <c r="BI1171" s="1003"/>
      <c r="BJ1171" s="1003"/>
      <c r="BK1171" s="1003"/>
      <c r="BL1171" s="1003"/>
    </row>
    <row r="1172" spans="1:64">
      <c r="A1172" s="1847"/>
      <c r="B1172" s="1847"/>
      <c r="C1172" s="1816" t="s">
        <v>1217</v>
      </c>
      <c r="D1172" s="1065" t="s">
        <v>1223</v>
      </c>
      <c r="E1172" s="1839" t="s">
        <v>1207</v>
      </c>
      <c r="F1172" s="1040" t="s">
        <v>1208</v>
      </c>
      <c r="G1172" s="1040" t="s">
        <v>1209</v>
      </c>
      <c r="H1172" s="1040" t="s">
        <v>1210</v>
      </c>
      <c r="I1172" s="1040" t="s">
        <v>1211</v>
      </c>
      <c r="J1172" s="1114"/>
      <c r="K1172" s="1114"/>
      <c r="L1172" s="1009"/>
      <c r="Q1172" s="1003"/>
      <c r="R1172" s="1003"/>
      <c r="S1172" s="1003"/>
      <c r="T1172" s="1003"/>
      <c r="U1172" s="1003"/>
      <c r="V1172" s="1003"/>
      <c r="W1172" s="1003"/>
      <c r="X1172" s="1003"/>
      <c r="Y1172" s="1003"/>
      <c r="Z1172" s="1003"/>
      <c r="AA1172" s="1003"/>
      <c r="AB1172" s="1003"/>
      <c r="AC1172" s="1003"/>
      <c r="AD1172" s="1003"/>
      <c r="AE1172" s="1003"/>
      <c r="AF1172" s="1003"/>
      <c r="AG1172" s="1003"/>
      <c r="AH1172" s="1003"/>
      <c r="AI1172" s="1003"/>
      <c r="AJ1172" s="1003"/>
      <c r="AK1172" s="1003"/>
      <c r="AL1172" s="1003"/>
      <c r="AM1172" s="1003"/>
      <c r="AN1172" s="1003"/>
      <c r="AO1172" s="1003"/>
      <c r="AP1172" s="1003"/>
      <c r="AQ1172" s="1003"/>
      <c r="AR1172" s="1003"/>
      <c r="AS1172" s="1003"/>
      <c r="AT1172" s="1003"/>
      <c r="AU1172" s="1003"/>
      <c r="AV1172" s="1003"/>
      <c r="AW1172" s="1003"/>
      <c r="AX1172" s="1003"/>
      <c r="AY1172" s="1003"/>
      <c r="AZ1172" s="1003"/>
      <c r="BA1172" s="1003"/>
      <c r="BB1172" s="1003"/>
      <c r="BC1172" s="1003"/>
      <c r="BD1172" s="1003"/>
      <c r="BE1172" s="1003"/>
      <c r="BF1172" s="1003"/>
      <c r="BG1172" s="1003"/>
      <c r="BH1172" s="1003"/>
      <c r="BI1172" s="1003"/>
      <c r="BJ1172" s="1003"/>
      <c r="BK1172" s="1003"/>
      <c r="BL1172" s="1003"/>
    </row>
    <row r="1173" spans="1:64">
      <c r="A1173" s="1847"/>
      <c r="B1173" s="1847"/>
      <c r="C1173" s="1817" t="s">
        <v>1218</v>
      </c>
      <c r="D1173" s="1848">
        <f t="shared" ref="D1173:I1173" si="220">$I$1472</f>
        <v>868.20272000000011</v>
      </c>
      <c r="E1173" s="1848">
        <f t="shared" si="220"/>
        <v>868.20272000000011</v>
      </c>
      <c r="F1173" s="1848">
        <f t="shared" si="220"/>
        <v>868.20272000000011</v>
      </c>
      <c r="G1173" s="1848">
        <f t="shared" si="220"/>
        <v>868.20272000000011</v>
      </c>
      <c r="H1173" s="1848">
        <f t="shared" si="220"/>
        <v>868.20272000000011</v>
      </c>
      <c r="I1173" s="1848">
        <f t="shared" si="220"/>
        <v>868.20272000000011</v>
      </c>
      <c r="J1173" s="1114"/>
      <c r="K1173" s="1114"/>
      <c r="L1173" s="1009"/>
      <c r="Q1173" s="1003"/>
      <c r="R1173" s="1003"/>
      <c r="S1173" s="1003"/>
      <c r="T1173" s="1003"/>
      <c r="U1173" s="1003"/>
      <c r="V1173" s="1003"/>
      <c r="W1173" s="1003"/>
      <c r="X1173" s="1003"/>
      <c r="Y1173" s="1003"/>
      <c r="Z1173" s="1003"/>
      <c r="AA1173" s="1003"/>
      <c r="AB1173" s="1003"/>
      <c r="AC1173" s="1003"/>
      <c r="AD1173" s="1003"/>
      <c r="AE1173" s="1003"/>
      <c r="AF1173" s="1003"/>
      <c r="AG1173" s="1003"/>
      <c r="AH1173" s="1003"/>
      <c r="AI1173" s="1003"/>
      <c r="AJ1173" s="1003"/>
      <c r="AK1173" s="1003"/>
      <c r="AL1173" s="1003"/>
      <c r="AM1173" s="1003"/>
      <c r="AN1173" s="1003"/>
      <c r="AO1173" s="1003"/>
      <c r="AP1173" s="1003"/>
      <c r="AQ1173" s="1003"/>
      <c r="AR1173" s="1003"/>
      <c r="AS1173" s="1003"/>
      <c r="AT1173" s="1003"/>
      <c r="AU1173" s="1003"/>
      <c r="AV1173" s="1003"/>
      <c r="AW1173" s="1003"/>
      <c r="AX1173" s="1003"/>
      <c r="AY1173" s="1003"/>
      <c r="AZ1173" s="1003"/>
      <c r="BA1173" s="1003"/>
      <c r="BB1173" s="1003"/>
      <c r="BC1173" s="1003"/>
      <c r="BD1173" s="1003"/>
      <c r="BE1173" s="1003"/>
      <c r="BF1173" s="1003"/>
      <c r="BG1173" s="1003"/>
      <c r="BH1173" s="1003"/>
      <c r="BI1173" s="1003"/>
      <c r="BJ1173" s="1003"/>
      <c r="BK1173" s="1003"/>
      <c r="BL1173" s="1003"/>
    </row>
    <row r="1174" spans="1:64">
      <c r="A1174" s="1847"/>
      <c r="B1174" s="1847"/>
      <c r="C1174" s="1817" t="s">
        <v>1182</v>
      </c>
      <c r="D1174" s="1848">
        <f>'Civil-SOR'!$F$269+('Civil-SOR'!$F$269*16.66%)</f>
        <v>310.31560000000002</v>
      </c>
      <c r="E1174" s="1848">
        <f>'Civil-SOR'!$F$269+('Civil-SOR'!$F$269*16.66%)</f>
        <v>310.31560000000002</v>
      </c>
      <c r="F1174" s="1848">
        <f>'Civil-SOR'!$F$269+('Civil-SOR'!$F$269*16.66%)</f>
        <v>310.31560000000002</v>
      </c>
      <c r="G1174" s="1848">
        <f>'Civil-SOR'!$F$269+('Civil-SOR'!$F$269*16.66%)</f>
        <v>310.31560000000002</v>
      </c>
      <c r="H1174" s="1848">
        <f>'Civil-SOR'!$F$269+('Civil-SOR'!$F$269*16.66%)</f>
        <v>310.31560000000002</v>
      </c>
      <c r="I1174" s="1848">
        <f>'Civil-SOR'!$F$269+('Civil-SOR'!$F$269*16.66%)</f>
        <v>310.31560000000002</v>
      </c>
      <c r="J1174" s="1114"/>
      <c r="K1174" s="1114"/>
      <c r="L1174" s="1009"/>
      <c r="Q1174" s="1003"/>
      <c r="R1174" s="1003"/>
      <c r="S1174" s="1003"/>
      <c r="T1174" s="1003"/>
      <c r="U1174" s="1003"/>
      <c r="V1174" s="1003"/>
      <c r="W1174" s="1003"/>
      <c r="X1174" s="1003"/>
      <c r="Y1174" s="1003"/>
      <c r="Z1174" s="1003"/>
      <c r="AA1174" s="1003"/>
      <c r="AB1174" s="1003"/>
      <c r="AC1174" s="1003"/>
      <c r="AD1174" s="1003"/>
      <c r="AE1174" s="1003"/>
      <c r="AF1174" s="1003"/>
      <c r="AG1174" s="1003"/>
      <c r="AH1174" s="1003"/>
      <c r="AI1174" s="1003"/>
      <c r="AJ1174" s="1003"/>
      <c r="AK1174" s="1003"/>
      <c r="AL1174" s="1003"/>
      <c r="AM1174" s="1003"/>
      <c r="AN1174" s="1003"/>
      <c r="AO1174" s="1003"/>
      <c r="AP1174" s="1003"/>
      <c r="AQ1174" s="1003"/>
      <c r="AR1174" s="1003"/>
      <c r="AS1174" s="1003"/>
      <c r="AT1174" s="1003"/>
      <c r="AU1174" s="1003"/>
      <c r="AV1174" s="1003"/>
      <c r="AW1174" s="1003"/>
      <c r="AX1174" s="1003"/>
      <c r="AY1174" s="1003"/>
      <c r="AZ1174" s="1003"/>
      <c r="BA1174" s="1003"/>
      <c r="BB1174" s="1003"/>
      <c r="BC1174" s="1003"/>
      <c r="BD1174" s="1003"/>
      <c r="BE1174" s="1003"/>
      <c r="BF1174" s="1003"/>
      <c r="BG1174" s="1003"/>
      <c r="BH1174" s="1003"/>
      <c r="BI1174" s="1003"/>
      <c r="BJ1174" s="1003"/>
      <c r="BK1174" s="1003"/>
      <c r="BL1174" s="1003"/>
    </row>
    <row r="1175" spans="1:64">
      <c r="A1175" s="1847"/>
      <c r="B1175" s="1847"/>
      <c r="C1175" s="1817" t="s">
        <v>1260</v>
      </c>
      <c r="D1175" s="1062">
        <f>'Civil-SOR'!$G$269+('Civil-SOR'!$G$269*16.66%)</f>
        <v>303.31600000000003</v>
      </c>
      <c r="E1175" s="1062">
        <f>'Civil-SOR'!$H$269+('Civil-SOR'!$H$269*16.66%)</f>
        <v>333.64760000000001</v>
      </c>
      <c r="F1175" s="1062">
        <f>'Civil-SOR'!$I$269+('Civil-SOR'!$I$269*16.66%)</f>
        <v>363.97919999999999</v>
      </c>
      <c r="G1175" s="1062">
        <f>'Civil-SOR'!$J$269+('Civil-SOR'!$J$269*16.66%)</f>
        <v>394.31079999999997</v>
      </c>
      <c r="H1175" s="1062">
        <f>'Civil-SOR'!$K$269+('Civil-SOR'!$K$269*16.66%)</f>
        <v>424.64240000000001</v>
      </c>
      <c r="I1175" s="1062">
        <f>'Civil-SOR'!$L$269+('Civil-SOR'!$L$269*16.66%)</f>
        <v>454.97399999999999</v>
      </c>
      <c r="J1175" s="1114"/>
      <c r="K1175" s="1114"/>
      <c r="L1175" s="1009"/>
      <c r="Q1175" s="997"/>
      <c r="R1175" s="997"/>
      <c r="S1175" s="997"/>
      <c r="T1175" s="997"/>
      <c r="U1175" s="997"/>
      <c r="V1175" s="997"/>
      <c r="W1175" s="997"/>
      <c r="X1175" s="997"/>
      <c r="Y1175" s="997"/>
      <c r="Z1175" s="997"/>
      <c r="AA1175" s="997"/>
      <c r="AB1175" s="997"/>
      <c r="AC1175" s="997"/>
      <c r="AD1175" s="997"/>
      <c r="AE1175" s="997"/>
      <c r="AF1175" s="997"/>
      <c r="AG1175" s="997"/>
      <c r="AH1175" s="997"/>
      <c r="AI1175" s="997"/>
      <c r="AJ1175" s="997"/>
      <c r="AK1175" s="997"/>
      <c r="AL1175" s="997"/>
      <c r="AM1175" s="997"/>
      <c r="AN1175" s="997"/>
      <c r="AO1175" s="997"/>
      <c r="AP1175" s="997"/>
      <c r="AQ1175" s="997"/>
      <c r="AR1175" s="997"/>
      <c r="AS1175" s="997"/>
      <c r="AT1175" s="997"/>
      <c r="AU1175" s="997"/>
      <c r="AV1175" s="997"/>
      <c r="AW1175" s="997"/>
      <c r="AX1175" s="997"/>
      <c r="AY1175" s="997"/>
      <c r="AZ1175" s="997"/>
      <c r="BA1175" s="997"/>
      <c r="BB1175" s="997"/>
      <c r="BC1175" s="997"/>
      <c r="BD1175" s="997"/>
      <c r="BE1175" s="997"/>
      <c r="BF1175" s="997"/>
      <c r="BG1175" s="997"/>
      <c r="BH1175" s="997"/>
      <c r="BI1175" s="997"/>
      <c r="BJ1175" s="997"/>
      <c r="BK1175" s="997"/>
      <c r="BL1175" s="997"/>
    </row>
    <row r="1176" spans="1:64">
      <c r="A1176" s="1847"/>
      <c r="B1176" s="1847"/>
      <c r="C1176" s="1817" t="str">
        <f>Input!$C$47</f>
        <v>Add for MA @ 40%</v>
      </c>
      <c r="D1176" s="1848">
        <f>D1175*Input!$D$47</f>
        <v>121.32640000000002</v>
      </c>
      <c r="E1176" s="1848">
        <f>E1175*Input!$D$47</f>
        <v>133.45904000000002</v>
      </c>
      <c r="F1176" s="1848">
        <f>F1175*Input!$D$47</f>
        <v>145.59168</v>
      </c>
      <c r="G1176" s="1848">
        <f>G1175*Input!$D$47</f>
        <v>157.72432000000001</v>
      </c>
      <c r="H1176" s="1848">
        <f>H1175*Input!$D$47</f>
        <v>169.85696000000002</v>
      </c>
      <c r="I1176" s="1848">
        <f>I1175*Input!$D$47</f>
        <v>181.9896</v>
      </c>
      <c r="J1176" s="1114"/>
      <c r="K1176" s="1114"/>
      <c r="L1176" s="1009"/>
      <c r="Q1176" s="1003"/>
      <c r="R1176" s="1003"/>
      <c r="S1176" s="1003"/>
      <c r="T1176" s="1003"/>
      <c r="U1176" s="1003"/>
      <c r="V1176" s="1003"/>
      <c r="W1176" s="1003"/>
      <c r="X1176" s="1003"/>
      <c r="Y1176" s="1003"/>
      <c r="Z1176" s="1003"/>
      <c r="AA1176" s="1003"/>
      <c r="AB1176" s="1003"/>
      <c r="AC1176" s="1003"/>
      <c r="AD1176" s="1003"/>
      <c r="AE1176" s="1003"/>
      <c r="AF1176" s="1003"/>
      <c r="AG1176" s="1003"/>
      <c r="AH1176" s="1003"/>
      <c r="AI1176" s="1003"/>
      <c r="AJ1176" s="1003"/>
      <c r="AK1176" s="1003"/>
      <c r="AL1176" s="1003"/>
      <c r="AM1176" s="1003"/>
      <c r="AN1176" s="1003"/>
      <c r="AO1176" s="1003"/>
      <c r="AP1176" s="1003"/>
      <c r="AQ1176" s="1003"/>
      <c r="AR1176" s="1003"/>
      <c r="AS1176" s="1003"/>
      <c r="AT1176" s="1003"/>
      <c r="AU1176" s="1003"/>
      <c r="AV1176" s="1003"/>
      <c r="AW1176" s="1003"/>
      <c r="AX1176" s="1003"/>
      <c r="AY1176" s="1003"/>
      <c r="AZ1176" s="1003"/>
      <c r="BA1176" s="1003"/>
      <c r="BB1176" s="1003"/>
      <c r="BC1176" s="1003"/>
      <c r="BD1176" s="1003"/>
      <c r="BE1176" s="1003"/>
      <c r="BF1176" s="1003"/>
      <c r="BG1176" s="1003"/>
      <c r="BH1176" s="1003"/>
      <c r="BI1176" s="1003"/>
      <c r="BJ1176" s="1003"/>
      <c r="BK1176" s="1003"/>
      <c r="BL1176" s="1003"/>
    </row>
    <row r="1177" spans="1:64" ht="25.5">
      <c r="A1177" s="1847"/>
      <c r="B1177" s="1847"/>
      <c r="C1177" s="1817" t="s">
        <v>1254</v>
      </c>
      <c r="D1177" s="1848">
        <v>0</v>
      </c>
      <c r="E1177" s="1848">
        <f>0.267*$D$1143*'Civil-SOR'!$G$334</f>
        <v>12.639112500000003</v>
      </c>
      <c r="F1177" s="1848">
        <f t="shared" ref="F1177:F1178" si="221">E1177*1.1</f>
        <v>13.903023750000004</v>
      </c>
      <c r="G1177" s="1848">
        <f t="shared" ref="G1177:G1178" si="222">E1177*1.2</f>
        <v>15.166935000000002</v>
      </c>
      <c r="H1177" s="1848">
        <f t="shared" ref="H1177:H1178" si="223">E1177*1.3</f>
        <v>16.430846250000005</v>
      </c>
      <c r="I1177" s="1848">
        <f t="shared" ref="I1177:I1178" si="224">E1177*1.4</f>
        <v>17.694757500000001</v>
      </c>
      <c r="J1177" s="1114"/>
      <c r="K1177" s="1114"/>
      <c r="L1177" s="1009"/>
    </row>
    <row r="1178" spans="1:64">
      <c r="A1178" s="1847"/>
      <c r="B1178" s="1847"/>
      <c r="C1178" s="1817" t="s">
        <v>579</v>
      </c>
      <c r="D1178" s="1848"/>
      <c r="E1178" s="1848">
        <f>0.267*$D$1143*'Civil-SOR'!$J$334</f>
        <v>12.02835</v>
      </c>
      <c r="F1178" s="1848">
        <f t="shared" si="221"/>
        <v>13.231185</v>
      </c>
      <c r="G1178" s="1848">
        <f t="shared" si="222"/>
        <v>14.434019999999999</v>
      </c>
      <c r="H1178" s="1848">
        <f t="shared" si="223"/>
        <v>15.636855000000001</v>
      </c>
      <c r="I1178" s="1848">
        <f t="shared" si="224"/>
        <v>16.839689999999997</v>
      </c>
      <c r="J1178" s="1114"/>
      <c r="K1178" s="1114"/>
      <c r="L1178" s="1009"/>
      <c r="Q1178" s="1024"/>
      <c r="R1178" s="1024"/>
      <c r="S1178" s="1024"/>
      <c r="T1178" s="1024"/>
      <c r="U1178" s="1024"/>
      <c r="V1178" s="1024"/>
      <c r="W1178" s="1024"/>
      <c r="X1178" s="1024"/>
      <c r="Y1178" s="1024"/>
      <c r="Z1178" s="1024"/>
      <c r="AA1178" s="1024"/>
      <c r="AB1178" s="1024"/>
      <c r="AC1178" s="1024"/>
      <c r="AD1178" s="1024"/>
      <c r="AE1178" s="1024"/>
      <c r="AF1178" s="1024"/>
      <c r="AG1178" s="1024"/>
      <c r="AH1178" s="1024"/>
      <c r="AI1178" s="1024"/>
      <c r="AJ1178" s="1024"/>
      <c r="AK1178" s="1024"/>
      <c r="AL1178" s="1024"/>
      <c r="AM1178" s="1024"/>
      <c r="AN1178" s="1024"/>
      <c r="AO1178" s="1024"/>
      <c r="AP1178" s="1024"/>
      <c r="AQ1178" s="1024"/>
      <c r="AR1178" s="1024"/>
      <c r="AS1178" s="1024"/>
      <c r="AT1178" s="1024"/>
      <c r="AU1178" s="1024"/>
      <c r="AV1178" s="1024"/>
      <c r="AW1178" s="1024"/>
      <c r="AX1178" s="1024"/>
      <c r="AY1178" s="1024"/>
      <c r="AZ1178" s="1024"/>
      <c r="BA1178" s="1024"/>
      <c r="BB1178" s="1024"/>
      <c r="BC1178" s="1024"/>
      <c r="BD1178" s="1024"/>
      <c r="BE1178" s="1024"/>
      <c r="BF1178" s="1024"/>
      <c r="BG1178" s="1024"/>
      <c r="BH1178" s="1024"/>
      <c r="BI1178" s="1024"/>
      <c r="BJ1178" s="1024"/>
      <c r="BK1178" s="1024"/>
      <c r="BL1178" s="1024"/>
    </row>
    <row r="1179" spans="1:64">
      <c r="A1179" s="1847"/>
      <c r="B1179" s="1847"/>
      <c r="C1179" s="1817" t="str">
        <f>Input!$C$47</f>
        <v>Add for MA @ 40%</v>
      </c>
      <c r="D1179" s="1848">
        <f>D1178*Input!$D$47</f>
        <v>0</v>
      </c>
      <c r="E1179" s="1848">
        <f>E1178*Input!$D$47</f>
        <v>4.8113400000000004</v>
      </c>
      <c r="F1179" s="1848">
        <f>F1178*Input!$D$47</f>
        <v>5.2924740000000003</v>
      </c>
      <c r="G1179" s="1848">
        <f>G1178*Input!$D$47</f>
        <v>5.7736079999999994</v>
      </c>
      <c r="H1179" s="1848">
        <f>H1178*Input!$D$47</f>
        <v>6.2547420000000002</v>
      </c>
      <c r="I1179" s="1848">
        <f>I1178*Input!$D$47</f>
        <v>6.7358759999999993</v>
      </c>
      <c r="J1179" s="1114"/>
      <c r="K1179" s="1114"/>
      <c r="L1179" s="1009"/>
    </row>
    <row r="1180" spans="1:64">
      <c r="A1180" s="1847"/>
      <c r="B1180" s="1847"/>
      <c r="C1180" s="1816" t="s">
        <v>1045</v>
      </c>
      <c r="D1180" s="1848">
        <f t="shared" ref="D1180:I1180" si="225">SUM(D1173:D1179)</f>
        <v>1603.1607200000001</v>
      </c>
      <c r="E1180" s="1848">
        <f t="shared" si="225"/>
        <v>1675.1037625000001</v>
      </c>
      <c r="F1180" s="1848">
        <f t="shared" si="225"/>
        <v>1720.5158827500004</v>
      </c>
      <c r="G1180" s="1848">
        <f t="shared" si="225"/>
        <v>1765.928003</v>
      </c>
      <c r="H1180" s="1848">
        <f t="shared" si="225"/>
        <v>1811.3401232500003</v>
      </c>
      <c r="I1180" s="1848">
        <f t="shared" si="225"/>
        <v>1856.7522435000001</v>
      </c>
      <c r="J1180" s="1114"/>
      <c r="K1180" s="1114"/>
      <c r="L1180" s="1009"/>
    </row>
    <row r="1181" spans="1:64">
      <c r="A1181" s="1847"/>
      <c r="B1181" s="1847"/>
      <c r="C1181" s="1817" t="str">
        <f>Input!$C$48</f>
        <v>Overheads &amp; Contractors Profit @ 13.615%</v>
      </c>
      <c r="D1181" s="1847">
        <f>ROUND(D1180*Input!$D$48,2)</f>
        <v>218.27</v>
      </c>
      <c r="E1181" s="1847">
        <f>ROUND(E1180*Input!$D$48,2)</f>
        <v>228.07</v>
      </c>
      <c r="F1181" s="1847">
        <f>ROUND(F1180*Input!$D$48,2)</f>
        <v>234.25</v>
      </c>
      <c r="G1181" s="1847">
        <f>ROUND(G1180*Input!$D$48,2)</f>
        <v>240.43</v>
      </c>
      <c r="H1181" s="1847">
        <f>ROUND(H1180*Input!$D$48,2)</f>
        <v>246.61</v>
      </c>
      <c r="I1181" s="1847">
        <f>ROUND(I1180*Input!$D$48,2)</f>
        <v>252.8</v>
      </c>
      <c r="J1181" s="1114"/>
      <c r="K1181" s="1114"/>
      <c r="L1181" s="1009"/>
      <c r="Q1181" s="1066"/>
      <c r="R1181" s="1066"/>
      <c r="S1181" s="1066"/>
      <c r="T1181" s="1066"/>
      <c r="U1181" s="1066"/>
      <c r="V1181" s="1066"/>
      <c r="W1181" s="1066"/>
      <c r="X1181" s="1066"/>
      <c r="Y1181" s="1066"/>
      <c r="Z1181" s="1066"/>
      <c r="AA1181" s="1066"/>
      <c r="AB1181" s="1066"/>
      <c r="AC1181" s="1066"/>
      <c r="AD1181" s="1066"/>
      <c r="AE1181" s="1066"/>
      <c r="AF1181" s="1066"/>
      <c r="AG1181" s="1066"/>
      <c r="AH1181" s="1066"/>
      <c r="AI1181" s="1066"/>
      <c r="AJ1181" s="1066"/>
      <c r="AK1181" s="1066"/>
      <c r="AL1181" s="1066"/>
      <c r="AM1181" s="1066"/>
      <c r="AN1181" s="1066"/>
      <c r="AO1181" s="1066"/>
      <c r="AP1181" s="1066"/>
      <c r="AQ1181" s="1066"/>
      <c r="AR1181" s="1066"/>
      <c r="AS1181" s="1066"/>
      <c r="AT1181" s="1066"/>
      <c r="AU1181" s="1066"/>
      <c r="AV1181" s="1066"/>
      <c r="AW1181" s="1066"/>
      <c r="AX1181" s="1066"/>
      <c r="AY1181" s="1066"/>
      <c r="AZ1181" s="1066"/>
      <c r="BA1181" s="1066"/>
      <c r="BB1181" s="1066"/>
      <c r="BC1181" s="1066"/>
      <c r="BD1181" s="1066"/>
      <c r="BE1181" s="1066"/>
      <c r="BF1181" s="1066"/>
      <c r="BG1181" s="1066"/>
      <c r="BH1181" s="1066"/>
      <c r="BI1181" s="1066"/>
      <c r="BJ1181" s="1066"/>
      <c r="BK1181" s="1066"/>
      <c r="BL1181" s="1066"/>
    </row>
    <row r="1182" spans="1:64">
      <c r="A1182" s="1023"/>
      <c r="B1182" s="1023"/>
      <c r="C1182" s="1816" t="s">
        <v>1045</v>
      </c>
      <c r="D1182" s="1829">
        <f t="shared" ref="D1182:I1182" si="226">SUM(D1180:D1181)</f>
        <v>1821.4307200000001</v>
      </c>
      <c r="E1182" s="1829">
        <f t="shared" si="226"/>
        <v>1903.1737625000001</v>
      </c>
      <c r="F1182" s="1829">
        <f t="shared" si="226"/>
        <v>1954.7658827500004</v>
      </c>
      <c r="G1182" s="1829">
        <f t="shared" si="226"/>
        <v>2006.3580030000001</v>
      </c>
      <c r="H1182" s="1829">
        <f t="shared" si="226"/>
        <v>2057.9501232500002</v>
      </c>
      <c r="I1182" s="1829">
        <f t="shared" si="226"/>
        <v>2109.5522435000003</v>
      </c>
      <c r="J1182" s="1114"/>
      <c r="K1182" s="1114"/>
      <c r="L1182" s="1009"/>
      <c r="Q1182" s="1066"/>
      <c r="R1182" s="1066"/>
      <c r="S1182" s="1066"/>
      <c r="T1182" s="1066"/>
      <c r="U1182" s="1066"/>
      <c r="V1182" s="1066"/>
      <c r="W1182" s="1066"/>
      <c r="X1182" s="1066"/>
      <c r="Y1182" s="1066"/>
      <c r="Z1182" s="1066"/>
      <c r="AA1182" s="1066"/>
      <c r="AB1182" s="1066"/>
      <c r="AC1182" s="1066"/>
      <c r="AD1182" s="1066"/>
      <c r="AE1182" s="1066"/>
      <c r="AF1182" s="1066"/>
      <c r="AG1182" s="1066"/>
      <c r="AH1182" s="1066"/>
      <c r="AI1182" s="1066"/>
      <c r="AJ1182" s="1066"/>
      <c r="AK1182" s="1066"/>
      <c r="AL1182" s="1066"/>
      <c r="AM1182" s="1066"/>
      <c r="AN1182" s="1066"/>
      <c r="AO1182" s="1066"/>
      <c r="AP1182" s="1066"/>
      <c r="AQ1182" s="1066"/>
      <c r="AR1182" s="1066"/>
      <c r="AS1182" s="1066"/>
      <c r="AT1182" s="1066"/>
      <c r="AU1182" s="1066"/>
      <c r="AV1182" s="1066"/>
      <c r="AW1182" s="1066"/>
      <c r="AX1182" s="1066"/>
      <c r="AY1182" s="1066"/>
      <c r="AZ1182" s="1066"/>
      <c r="BA1182" s="1066"/>
      <c r="BB1182" s="1066"/>
      <c r="BC1182" s="1066"/>
      <c r="BD1182" s="1066"/>
      <c r="BE1182" s="1066"/>
      <c r="BF1182" s="1066"/>
      <c r="BG1182" s="1066"/>
      <c r="BH1182" s="1066"/>
      <c r="BI1182" s="1066"/>
      <c r="BJ1182" s="1066"/>
      <c r="BK1182" s="1066"/>
      <c r="BL1182" s="1066"/>
    </row>
    <row r="1183" spans="1:64">
      <c r="A1183" s="1023"/>
      <c r="B1183" s="1023"/>
      <c r="C1183" s="1843" t="s">
        <v>1034</v>
      </c>
      <c r="D1183" s="999">
        <f t="shared" ref="D1183:I1183" si="227">ROUND(D1182,0)</f>
        <v>1821</v>
      </c>
      <c r="E1183" s="999">
        <f t="shared" si="227"/>
        <v>1903</v>
      </c>
      <c r="F1183" s="999">
        <f t="shared" si="227"/>
        <v>1955</v>
      </c>
      <c r="G1183" s="999">
        <f t="shared" si="227"/>
        <v>2006</v>
      </c>
      <c r="H1183" s="999">
        <f t="shared" si="227"/>
        <v>2058</v>
      </c>
      <c r="I1183" s="999">
        <f t="shared" si="227"/>
        <v>2110</v>
      </c>
      <c r="J1183" s="1114"/>
      <c r="K1183" s="1114"/>
      <c r="L1183" s="1009"/>
      <c r="Q1183" s="1066"/>
      <c r="R1183" s="1066"/>
      <c r="S1183" s="1066"/>
      <c r="T1183" s="1066"/>
      <c r="U1183" s="1066"/>
      <c r="V1183" s="1066"/>
      <c r="W1183" s="1066"/>
      <c r="X1183" s="1066"/>
      <c r="Y1183" s="1066"/>
      <c r="Z1183" s="1066"/>
      <c r="AA1183" s="1066"/>
      <c r="AB1183" s="1066"/>
      <c r="AC1183" s="1066"/>
      <c r="AD1183" s="1066"/>
      <c r="AE1183" s="1066"/>
      <c r="AF1183" s="1066"/>
      <c r="AG1183" s="1066"/>
      <c r="AH1183" s="1066"/>
      <c r="AI1183" s="1066"/>
      <c r="AJ1183" s="1066"/>
      <c r="AK1183" s="1066"/>
      <c r="AL1183" s="1066"/>
      <c r="AM1183" s="1066"/>
      <c r="AN1183" s="1066"/>
      <c r="AO1183" s="1066"/>
      <c r="AP1183" s="1066"/>
      <c r="AQ1183" s="1066"/>
      <c r="AR1183" s="1066"/>
      <c r="AS1183" s="1066"/>
      <c r="AT1183" s="1066"/>
      <c r="AU1183" s="1066"/>
      <c r="AV1183" s="1066"/>
      <c r="AW1183" s="1066"/>
      <c r="AX1183" s="1066"/>
      <c r="AY1183" s="1066"/>
      <c r="AZ1183" s="1066"/>
      <c r="BA1183" s="1066"/>
      <c r="BB1183" s="1066"/>
      <c r="BC1183" s="1066"/>
      <c r="BD1183" s="1066"/>
      <c r="BE1183" s="1066"/>
      <c r="BF1183" s="1066"/>
      <c r="BG1183" s="1066"/>
      <c r="BH1183" s="1066"/>
      <c r="BI1183" s="1066"/>
      <c r="BJ1183" s="1066"/>
      <c r="BK1183" s="1066"/>
      <c r="BL1183" s="1066"/>
    </row>
    <row r="1184" spans="1:64">
      <c r="A1184" s="1823"/>
      <c r="B1184" s="1068"/>
      <c r="C1184" s="1129"/>
      <c r="D1184" s="1114"/>
      <c r="E1184" s="1114"/>
      <c r="F1184" s="1114"/>
      <c r="G1184" s="1114"/>
      <c r="H1184" s="1114"/>
      <c r="I1184" s="1009"/>
      <c r="J1184" s="1114"/>
      <c r="K1184" s="1114"/>
      <c r="L1184" s="1009"/>
      <c r="Q1184" s="1066"/>
      <c r="R1184" s="1066"/>
      <c r="S1184" s="1066"/>
      <c r="T1184" s="1066"/>
      <c r="U1184" s="1066"/>
      <c r="V1184" s="1066"/>
      <c r="W1184" s="1066"/>
      <c r="X1184" s="1066"/>
      <c r="Y1184" s="1066"/>
      <c r="Z1184" s="1066"/>
      <c r="AA1184" s="1066"/>
      <c r="AB1184" s="1066"/>
      <c r="AC1184" s="1066"/>
      <c r="AD1184" s="1066"/>
      <c r="AE1184" s="1066"/>
      <c r="AF1184" s="1066"/>
      <c r="AG1184" s="1066"/>
      <c r="AH1184" s="1066"/>
      <c r="AI1184" s="1066"/>
      <c r="AJ1184" s="1066"/>
      <c r="AK1184" s="1066"/>
      <c r="AL1184" s="1066"/>
      <c r="AM1184" s="1066"/>
      <c r="AN1184" s="1066"/>
      <c r="AO1184" s="1066"/>
      <c r="AP1184" s="1066"/>
      <c r="AQ1184" s="1066"/>
      <c r="AR1184" s="1066"/>
      <c r="AS1184" s="1066"/>
      <c r="AT1184" s="1066"/>
      <c r="AU1184" s="1066"/>
      <c r="AV1184" s="1066"/>
      <c r="AW1184" s="1066"/>
      <c r="AX1184" s="1066"/>
      <c r="AY1184" s="1066"/>
      <c r="AZ1184" s="1066"/>
      <c r="BA1184" s="1066"/>
      <c r="BB1184" s="1066"/>
      <c r="BC1184" s="1066"/>
      <c r="BD1184" s="1066"/>
      <c r="BE1184" s="1066"/>
      <c r="BF1184" s="1066"/>
      <c r="BG1184" s="1066"/>
      <c r="BH1184" s="1066"/>
      <c r="BI1184" s="1066"/>
      <c r="BJ1184" s="1066"/>
      <c r="BK1184" s="1066"/>
      <c r="BL1184" s="1066"/>
    </row>
    <row r="1185" spans="1:64" ht="25.5">
      <c r="A1185" s="1823"/>
      <c r="B1185" s="1068"/>
      <c r="C1185" s="1821" t="s">
        <v>1264</v>
      </c>
      <c r="D1185" s="1102" t="s">
        <v>1212</v>
      </c>
      <c r="E1185" s="1102" t="s">
        <v>1213</v>
      </c>
      <c r="F1185" s="1102" t="s">
        <v>1214</v>
      </c>
      <c r="G1185" s="1114"/>
      <c r="H1185" s="1114"/>
      <c r="I1185" s="1009"/>
      <c r="J1185" s="1114"/>
      <c r="K1185" s="1114"/>
      <c r="L1185" s="1009"/>
      <c r="Q1185" s="1066"/>
      <c r="R1185" s="1066"/>
      <c r="S1185" s="1066"/>
      <c r="T1185" s="1066"/>
      <c r="U1185" s="1066"/>
      <c r="V1185" s="1066"/>
      <c r="W1185" s="1066"/>
      <c r="X1185" s="1066"/>
      <c r="Y1185" s="1066"/>
      <c r="Z1185" s="1066"/>
      <c r="AA1185" s="1066"/>
      <c r="AB1185" s="1066"/>
      <c r="AC1185" s="1066"/>
      <c r="AD1185" s="1066"/>
      <c r="AE1185" s="1066"/>
      <c r="AF1185" s="1066"/>
      <c r="AG1185" s="1066"/>
      <c r="AH1185" s="1066"/>
      <c r="AI1185" s="1066"/>
      <c r="AJ1185" s="1066"/>
      <c r="AK1185" s="1066"/>
      <c r="AL1185" s="1066"/>
      <c r="AM1185" s="1066"/>
      <c r="AN1185" s="1066"/>
      <c r="AO1185" s="1066"/>
      <c r="AP1185" s="1066"/>
      <c r="AQ1185" s="1066"/>
      <c r="AR1185" s="1066"/>
      <c r="AS1185" s="1066"/>
      <c r="AT1185" s="1066"/>
      <c r="AU1185" s="1066"/>
      <c r="AV1185" s="1066"/>
      <c r="AW1185" s="1066"/>
      <c r="AX1185" s="1066"/>
      <c r="AY1185" s="1066"/>
      <c r="AZ1185" s="1066"/>
      <c r="BA1185" s="1066"/>
      <c r="BB1185" s="1066"/>
      <c r="BC1185" s="1066"/>
      <c r="BD1185" s="1066"/>
      <c r="BE1185" s="1066"/>
      <c r="BF1185" s="1066"/>
      <c r="BG1185" s="1066"/>
      <c r="BH1185" s="1066"/>
      <c r="BI1185" s="1066"/>
      <c r="BJ1185" s="1066"/>
      <c r="BK1185" s="1066"/>
      <c r="BL1185" s="1066"/>
    </row>
    <row r="1186" spans="1:64">
      <c r="A1186" s="1823"/>
      <c r="B1186" s="1068"/>
      <c r="C1186" s="1817" t="s">
        <v>1218</v>
      </c>
      <c r="D1186" s="1848">
        <f>$I$1472</f>
        <v>868.20272000000011</v>
      </c>
      <c r="E1186" s="1848">
        <f>$I$1472</f>
        <v>868.20272000000011</v>
      </c>
      <c r="F1186" s="1848">
        <f>$I$1472</f>
        <v>868.20272000000011</v>
      </c>
      <c r="G1186" s="1114"/>
      <c r="H1186" s="1114"/>
      <c r="I1186" s="1009"/>
      <c r="J1186" s="1114"/>
      <c r="K1186" s="1114"/>
      <c r="L1186" s="1009"/>
      <c r="Q1186" s="1066"/>
      <c r="R1186" s="1066"/>
      <c r="S1186" s="1066"/>
      <c r="T1186" s="1066"/>
      <c r="U1186" s="1066"/>
      <c r="V1186" s="1066"/>
      <c r="W1186" s="1066"/>
      <c r="X1186" s="1066"/>
      <c r="Y1186" s="1066"/>
      <c r="Z1186" s="1066"/>
      <c r="AA1186" s="1066"/>
      <c r="AB1186" s="1066"/>
      <c r="AC1186" s="1066"/>
      <c r="AD1186" s="1066"/>
      <c r="AE1186" s="1066"/>
      <c r="AF1186" s="1066"/>
      <c r="AG1186" s="1066"/>
      <c r="AH1186" s="1066"/>
      <c r="AI1186" s="1066"/>
      <c r="AJ1186" s="1066"/>
      <c r="AK1186" s="1066"/>
      <c r="AL1186" s="1066"/>
      <c r="AM1186" s="1066"/>
      <c r="AN1186" s="1066"/>
      <c r="AO1186" s="1066"/>
      <c r="AP1186" s="1066"/>
      <c r="AQ1186" s="1066"/>
      <c r="AR1186" s="1066"/>
      <c r="AS1186" s="1066"/>
      <c r="AT1186" s="1066"/>
      <c r="AU1186" s="1066"/>
      <c r="AV1186" s="1066"/>
      <c r="AW1186" s="1066"/>
      <c r="AX1186" s="1066"/>
      <c r="AY1186" s="1066"/>
      <c r="AZ1186" s="1066"/>
      <c r="BA1186" s="1066"/>
      <c r="BB1186" s="1066"/>
      <c r="BC1186" s="1066"/>
      <c r="BD1186" s="1066"/>
      <c r="BE1186" s="1066"/>
      <c r="BF1186" s="1066"/>
      <c r="BG1186" s="1066"/>
      <c r="BH1186" s="1066"/>
      <c r="BI1186" s="1066"/>
      <c r="BJ1186" s="1066"/>
      <c r="BK1186" s="1066"/>
      <c r="BL1186" s="1066"/>
    </row>
    <row r="1187" spans="1:64">
      <c r="A1187" s="1823"/>
      <c r="B1187" s="1068"/>
      <c r="C1187" s="1817" t="s">
        <v>1182</v>
      </c>
      <c r="D1187" s="1848">
        <f>'Civil-SOR'!$F$269+('Civil-SOR'!$F$269*16.66%)</f>
        <v>310.31560000000002</v>
      </c>
      <c r="E1187" s="1848">
        <f>'Civil-SOR'!$F$269+('Civil-SOR'!$F$269*16.66%)</f>
        <v>310.31560000000002</v>
      </c>
      <c r="F1187" s="1848">
        <f>'Civil-SOR'!$F$269+('Civil-SOR'!$F$269*16.66%)</f>
        <v>310.31560000000002</v>
      </c>
      <c r="G1187" s="1114"/>
      <c r="H1187" s="1114"/>
      <c r="I1187" s="1009"/>
      <c r="J1187" s="1114"/>
      <c r="K1187" s="1114"/>
      <c r="L1187" s="1009"/>
      <c r="Q1187" s="1066"/>
      <c r="R1187" s="1066"/>
      <c r="S1187" s="1066"/>
      <c r="T1187" s="1066"/>
      <c r="U1187" s="1066"/>
      <c r="V1187" s="1066"/>
      <c r="W1187" s="1066"/>
      <c r="X1187" s="1066"/>
      <c r="Y1187" s="1066"/>
      <c r="Z1187" s="1066"/>
      <c r="AA1187" s="1066"/>
      <c r="AB1187" s="1066"/>
      <c r="AC1187" s="1066"/>
      <c r="AD1187" s="1066"/>
      <c r="AE1187" s="1066"/>
      <c r="AF1187" s="1066"/>
      <c r="AG1187" s="1066"/>
      <c r="AH1187" s="1066"/>
      <c r="AI1187" s="1066"/>
      <c r="AJ1187" s="1066"/>
      <c r="AK1187" s="1066"/>
      <c r="AL1187" s="1066"/>
      <c r="AM1187" s="1066"/>
      <c r="AN1187" s="1066"/>
      <c r="AO1187" s="1066"/>
      <c r="AP1187" s="1066"/>
      <c r="AQ1187" s="1066"/>
      <c r="AR1187" s="1066"/>
      <c r="AS1187" s="1066"/>
      <c r="AT1187" s="1066"/>
      <c r="AU1187" s="1066"/>
      <c r="AV1187" s="1066"/>
      <c r="AW1187" s="1066"/>
      <c r="AX1187" s="1066"/>
      <c r="AY1187" s="1066"/>
      <c r="AZ1187" s="1066"/>
      <c r="BA1187" s="1066"/>
      <c r="BB1187" s="1066"/>
      <c r="BC1187" s="1066"/>
      <c r="BD1187" s="1066"/>
      <c r="BE1187" s="1066"/>
      <c r="BF1187" s="1066"/>
      <c r="BG1187" s="1066"/>
      <c r="BH1187" s="1066"/>
      <c r="BI1187" s="1066"/>
      <c r="BJ1187" s="1066"/>
      <c r="BK1187" s="1066"/>
      <c r="BL1187" s="1066"/>
    </row>
    <row r="1188" spans="1:64">
      <c r="A1188" s="1823"/>
      <c r="B1188" s="1068"/>
      <c r="C1188" s="1817" t="s">
        <v>1260</v>
      </c>
      <c r="D1188" s="1062">
        <f>'Civil-SOR'!$M$269+('Civil-SOR'!$M$269*16.66%)</f>
        <v>485.30560000000003</v>
      </c>
      <c r="E1188" s="1062">
        <f>'Civil-SOR'!$N$269+('Civil-SOR'!$N$269*16.66%)</f>
        <v>515.63720000000001</v>
      </c>
      <c r="F1188" s="1062">
        <f>'Civil-SOR'!$O$269+('Civil-SOR'!$O$269*16.66%)</f>
        <v>545.96879999999999</v>
      </c>
      <c r="G1188" s="1114"/>
      <c r="H1188" s="1114"/>
      <c r="I1188" s="1009"/>
      <c r="J1188" s="1114"/>
      <c r="K1188" s="1114"/>
      <c r="L1188" s="1009"/>
      <c r="Q1188" s="1066"/>
      <c r="R1188" s="1066"/>
      <c r="S1188" s="1066"/>
      <c r="T1188" s="1066"/>
      <c r="U1188" s="1066"/>
      <c r="V1188" s="1066"/>
      <c r="W1188" s="1066"/>
      <c r="X1188" s="1066"/>
      <c r="Y1188" s="1066"/>
      <c r="Z1188" s="1066"/>
      <c r="AA1188" s="1066"/>
      <c r="AB1188" s="1066"/>
      <c r="AC1188" s="1066"/>
      <c r="AD1188" s="1066"/>
      <c r="AE1188" s="1066"/>
      <c r="AF1188" s="1066"/>
      <c r="AG1188" s="1066"/>
      <c r="AH1188" s="1066"/>
      <c r="AI1188" s="1066"/>
      <c r="AJ1188" s="1066"/>
      <c r="AK1188" s="1066"/>
      <c r="AL1188" s="1066"/>
      <c r="AM1188" s="1066"/>
      <c r="AN1188" s="1066"/>
      <c r="AO1188" s="1066"/>
      <c r="AP1188" s="1066"/>
      <c r="AQ1188" s="1066"/>
      <c r="AR1188" s="1066"/>
      <c r="AS1188" s="1066"/>
      <c r="AT1188" s="1066"/>
      <c r="AU1188" s="1066"/>
      <c r="AV1188" s="1066"/>
      <c r="AW1188" s="1066"/>
      <c r="AX1188" s="1066"/>
      <c r="AY1188" s="1066"/>
      <c r="AZ1188" s="1066"/>
      <c r="BA1188" s="1066"/>
      <c r="BB1188" s="1066"/>
      <c r="BC1188" s="1066"/>
      <c r="BD1188" s="1066"/>
      <c r="BE1188" s="1066"/>
      <c r="BF1188" s="1066"/>
      <c r="BG1188" s="1066"/>
      <c r="BH1188" s="1066"/>
      <c r="BI1188" s="1066"/>
      <c r="BJ1188" s="1066"/>
      <c r="BK1188" s="1066"/>
      <c r="BL1188" s="1066"/>
    </row>
    <row r="1189" spans="1:64">
      <c r="A1189" s="1823"/>
      <c r="B1189" s="1068"/>
      <c r="C1189" s="1817" t="str">
        <f>Input!$C$47</f>
        <v>Add for MA @ 40%</v>
      </c>
      <c r="D1189" s="1848">
        <f>D1188*Input!$D$47</f>
        <v>194.12224000000003</v>
      </c>
      <c r="E1189" s="1848">
        <f>E1188*Input!$D$47</f>
        <v>206.25488000000001</v>
      </c>
      <c r="F1189" s="1848">
        <f>F1188*Input!$D$47</f>
        <v>218.38751999999999</v>
      </c>
      <c r="G1189" s="1114"/>
      <c r="H1189" s="1114"/>
      <c r="I1189" s="1009"/>
      <c r="J1189" s="1114"/>
      <c r="K1189" s="1114"/>
      <c r="L1189" s="1009"/>
      <c r="Q1189" s="1066"/>
      <c r="R1189" s="1066"/>
      <c r="S1189" s="1066"/>
      <c r="T1189" s="1066"/>
      <c r="U1189" s="1066"/>
      <c r="V1189" s="1066"/>
      <c r="W1189" s="1066"/>
      <c r="X1189" s="1066"/>
      <c r="Y1189" s="1066"/>
      <c r="Z1189" s="1066"/>
      <c r="AA1189" s="1066"/>
      <c r="AB1189" s="1066"/>
      <c r="AC1189" s="1066"/>
      <c r="AD1189" s="1066"/>
      <c r="AE1189" s="1066"/>
      <c r="AF1189" s="1066"/>
      <c r="AG1189" s="1066"/>
      <c r="AH1189" s="1066"/>
      <c r="AI1189" s="1066"/>
      <c r="AJ1189" s="1066"/>
      <c r="AK1189" s="1066"/>
      <c r="AL1189" s="1066"/>
      <c r="AM1189" s="1066"/>
      <c r="AN1189" s="1066"/>
      <c r="AO1189" s="1066"/>
      <c r="AP1189" s="1066"/>
      <c r="AQ1189" s="1066"/>
      <c r="AR1189" s="1066"/>
      <c r="AS1189" s="1066"/>
      <c r="AT1189" s="1066"/>
      <c r="AU1189" s="1066"/>
      <c r="AV1189" s="1066"/>
      <c r="AW1189" s="1066"/>
      <c r="AX1189" s="1066"/>
      <c r="AY1189" s="1066"/>
      <c r="AZ1189" s="1066"/>
      <c r="BA1189" s="1066"/>
      <c r="BB1189" s="1066"/>
      <c r="BC1189" s="1066"/>
      <c r="BD1189" s="1066"/>
      <c r="BE1189" s="1066"/>
      <c r="BF1189" s="1066"/>
      <c r="BG1189" s="1066"/>
      <c r="BH1189" s="1066"/>
      <c r="BI1189" s="1066"/>
      <c r="BJ1189" s="1066"/>
      <c r="BK1189" s="1066"/>
      <c r="BL1189" s="1066"/>
    </row>
    <row r="1190" spans="1:64" ht="25.5">
      <c r="A1190" s="1823"/>
      <c r="B1190" s="1068"/>
      <c r="C1190" s="1817" t="s">
        <v>1254</v>
      </c>
      <c r="D1190" s="1848">
        <f t="shared" ref="D1190:D1191" si="228">E1177*1.5</f>
        <v>18.958668750000005</v>
      </c>
      <c r="E1190" s="1848">
        <f t="shared" ref="E1190:E1191" si="229">E1177*1.6</f>
        <v>20.222580000000008</v>
      </c>
      <c r="F1190" s="1848">
        <f t="shared" ref="F1190:F1191" si="230">E1177*1.7</f>
        <v>21.486491250000004</v>
      </c>
      <c r="G1190" s="1114"/>
      <c r="H1190" s="1114"/>
      <c r="I1190" s="1009"/>
      <c r="J1190" s="1114"/>
      <c r="K1190" s="1114"/>
      <c r="L1190" s="1009"/>
      <c r="Q1190" s="1066"/>
      <c r="R1190" s="1066"/>
      <c r="S1190" s="1066"/>
      <c r="T1190" s="1066"/>
      <c r="U1190" s="1066"/>
      <c r="V1190" s="1066"/>
      <c r="W1190" s="1066"/>
      <c r="X1190" s="1066"/>
      <c r="Y1190" s="1066"/>
      <c r="Z1190" s="1066"/>
      <c r="AA1190" s="1066"/>
      <c r="AB1190" s="1066"/>
      <c r="AC1190" s="1066"/>
      <c r="AD1190" s="1066"/>
      <c r="AE1190" s="1066"/>
      <c r="AF1190" s="1066"/>
      <c r="AG1190" s="1066"/>
      <c r="AH1190" s="1066"/>
      <c r="AI1190" s="1066"/>
      <c r="AJ1190" s="1066"/>
      <c r="AK1190" s="1066"/>
      <c r="AL1190" s="1066"/>
      <c r="AM1190" s="1066"/>
      <c r="AN1190" s="1066"/>
      <c r="AO1190" s="1066"/>
      <c r="AP1190" s="1066"/>
      <c r="AQ1190" s="1066"/>
      <c r="AR1190" s="1066"/>
      <c r="AS1190" s="1066"/>
      <c r="AT1190" s="1066"/>
      <c r="AU1190" s="1066"/>
      <c r="AV1190" s="1066"/>
      <c r="AW1190" s="1066"/>
      <c r="AX1190" s="1066"/>
      <c r="AY1190" s="1066"/>
      <c r="AZ1190" s="1066"/>
      <c r="BA1190" s="1066"/>
      <c r="BB1190" s="1066"/>
      <c r="BC1190" s="1066"/>
      <c r="BD1190" s="1066"/>
      <c r="BE1190" s="1066"/>
      <c r="BF1190" s="1066"/>
      <c r="BG1190" s="1066"/>
      <c r="BH1190" s="1066"/>
      <c r="BI1190" s="1066"/>
      <c r="BJ1190" s="1066"/>
      <c r="BK1190" s="1066"/>
      <c r="BL1190" s="1066"/>
    </row>
    <row r="1191" spans="1:64">
      <c r="A1191" s="1823"/>
      <c r="B1191" s="1068"/>
      <c r="C1191" s="1817" t="s">
        <v>579</v>
      </c>
      <c r="D1191" s="1848">
        <f t="shared" si="228"/>
        <v>18.042524999999998</v>
      </c>
      <c r="E1191" s="1848">
        <f t="shared" si="229"/>
        <v>19.245360000000002</v>
      </c>
      <c r="F1191" s="1848">
        <f t="shared" si="230"/>
        <v>20.448194999999998</v>
      </c>
      <c r="G1191" s="1114"/>
      <c r="H1191" s="1114"/>
      <c r="I1191" s="1009"/>
      <c r="J1191" s="1114"/>
      <c r="K1191" s="1114"/>
      <c r="L1191" s="1009"/>
      <c r="Q1191" s="997"/>
      <c r="R1191" s="997"/>
      <c r="S1191" s="997"/>
      <c r="T1191" s="997"/>
      <c r="U1191" s="997"/>
      <c r="V1191" s="997"/>
      <c r="W1191" s="997"/>
      <c r="X1191" s="997"/>
      <c r="Y1191" s="997"/>
      <c r="Z1191" s="997"/>
      <c r="AA1191" s="997"/>
      <c r="AB1191" s="997"/>
      <c r="AC1191" s="997"/>
      <c r="AD1191" s="997"/>
      <c r="AE1191" s="997"/>
      <c r="AF1191" s="997"/>
      <c r="AG1191" s="997"/>
      <c r="AH1191" s="997"/>
      <c r="AI1191" s="997"/>
      <c r="AJ1191" s="997"/>
      <c r="AK1191" s="997"/>
      <c r="AL1191" s="997"/>
      <c r="AM1191" s="997"/>
      <c r="AN1191" s="997"/>
      <c r="AO1191" s="997"/>
      <c r="AP1191" s="997"/>
      <c r="AQ1191" s="997"/>
      <c r="AR1191" s="997"/>
      <c r="AS1191" s="997"/>
      <c r="AT1191" s="997"/>
      <c r="AU1191" s="997"/>
      <c r="AV1191" s="997"/>
      <c r="AW1191" s="997"/>
      <c r="AX1191" s="997"/>
      <c r="AY1191" s="997"/>
      <c r="AZ1191" s="997"/>
      <c r="BA1191" s="997"/>
      <c r="BB1191" s="997"/>
      <c r="BC1191" s="997"/>
      <c r="BD1191" s="997"/>
      <c r="BE1191" s="997"/>
      <c r="BF1191" s="997"/>
      <c r="BG1191" s="997"/>
      <c r="BH1191" s="997"/>
      <c r="BI1191" s="997"/>
      <c r="BJ1191" s="997"/>
      <c r="BK1191" s="997"/>
      <c r="BL1191" s="997"/>
    </row>
    <row r="1192" spans="1:64">
      <c r="A1192" s="1823"/>
      <c r="B1192" s="1068"/>
      <c r="C1192" s="1817" t="str">
        <f>Input!$C$47</f>
        <v>Add for MA @ 40%</v>
      </c>
      <c r="D1192" s="1848">
        <f>D1191*Input!$D$47</f>
        <v>7.2170099999999993</v>
      </c>
      <c r="E1192" s="1848">
        <f>E1191*Input!$D$47</f>
        <v>7.698144000000001</v>
      </c>
      <c r="F1192" s="1848">
        <f>F1191*Input!$D$47</f>
        <v>8.179278</v>
      </c>
      <c r="G1192" s="1114"/>
      <c r="H1192" s="1114"/>
      <c r="I1192" s="1009"/>
      <c r="J1192" s="1114"/>
      <c r="K1192" s="1114"/>
      <c r="L1192" s="1009"/>
      <c r="Q1192" s="997"/>
      <c r="R1192" s="997"/>
      <c r="S1192" s="997"/>
      <c r="T1192" s="997"/>
      <c r="U1192" s="997"/>
      <c r="V1192" s="997"/>
      <c r="W1192" s="997"/>
      <c r="X1192" s="997"/>
      <c r="Y1192" s="997"/>
      <c r="Z1192" s="997"/>
      <c r="AA1192" s="997"/>
      <c r="AB1192" s="997"/>
      <c r="AC1192" s="997"/>
      <c r="AD1192" s="997"/>
      <c r="AE1192" s="997"/>
      <c r="AF1192" s="997"/>
      <c r="AG1192" s="997"/>
      <c r="AH1192" s="997"/>
      <c r="AI1192" s="997"/>
      <c r="AJ1192" s="997"/>
      <c r="AK1192" s="997"/>
      <c r="AL1192" s="997"/>
      <c r="AM1192" s="997"/>
      <c r="AN1192" s="997"/>
      <c r="AO1192" s="997"/>
      <c r="AP1192" s="997"/>
      <c r="AQ1192" s="997"/>
      <c r="AR1192" s="997"/>
      <c r="AS1192" s="997"/>
      <c r="AT1192" s="997"/>
      <c r="AU1192" s="997"/>
      <c r="AV1192" s="997"/>
      <c r="AW1192" s="997"/>
      <c r="AX1192" s="997"/>
      <c r="AY1192" s="997"/>
      <c r="AZ1192" s="997"/>
      <c r="BA1192" s="997"/>
      <c r="BB1192" s="997"/>
      <c r="BC1192" s="997"/>
      <c r="BD1192" s="997"/>
      <c r="BE1192" s="997"/>
      <c r="BF1192" s="997"/>
      <c r="BG1192" s="997"/>
      <c r="BH1192" s="997"/>
      <c r="BI1192" s="997"/>
      <c r="BJ1192" s="997"/>
      <c r="BK1192" s="997"/>
      <c r="BL1192" s="997"/>
    </row>
    <row r="1193" spans="1:64">
      <c r="A1193" s="1823"/>
      <c r="B1193" s="1068"/>
      <c r="C1193" s="1816" t="s">
        <v>1045</v>
      </c>
      <c r="D1193" s="1848">
        <f>SUM(D1186:D1192)</f>
        <v>1902.1643637500006</v>
      </c>
      <c r="E1193" s="1848">
        <f>SUM(E1186:E1192)</f>
        <v>1947.5764840000002</v>
      </c>
      <c r="F1193" s="1848">
        <f>SUM(F1186:F1192)</f>
        <v>1992.9886042500002</v>
      </c>
      <c r="G1193" s="1114"/>
      <c r="H1193" s="1114"/>
      <c r="I1193" s="1009"/>
      <c r="J1193" s="1114"/>
      <c r="K1193" s="1114"/>
      <c r="L1193" s="1009"/>
    </row>
    <row r="1194" spans="1:64">
      <c r="A1194" s="1823"/>
      <c r="B1194" s="1068"/>
      <c r="C1194" s="1817" t="str">
        <f>Input!$C$48</f>
        <v>Overheads &amp; Contractors Profit @ 13.615%</v>
      </c>
      <c r="D1194" s="1847">
        <f>ROUND(D1193*Input!$D$48,2)</f>
        <v>258.98</v>
      </c>
      <c r="E1194" s="1847">
        <f>ROUND(E1193*Input!$D$48,2)</f>
        <v>265.16000000000003</v>
      </c>
      <c r="F1194" s="1847">
        <f>ROUND(F1193*Input!$D$48,2)</f>
        <v>271.35000000000002</v>
      </c>
      <c r="G1194" s="1114"/>
      <c r="H1194" s="1114"/>
      <c r="I1194" s="1009"/>
      <c r="J1194" s="1114"/>
      <c r="K1194" s="1114"/>
      <c r="L1194" s="1009"/>
    </row>
    <row r="1195" spans="1:64">
      <c r="A1195" s="1823"/>
      <c r="B1195" s="1068"/>
      <c r="C1195" s="1816" t="s">
        <v>1045</v>
      </c>
      <c r="D1195" s="1829">
        <f>SUM(D1193:D1194)</f>
        <v>2161.1443637500006</v>
      </c>
      <c r="E1195" s="1829">
        <f>SUM(E1193:E1194)</f>
        <v>2212.736484</v>
      </c>
      <c r="F1195" s="1829">
        <f>SUM(F1193:F1194)</f>
        <v>2264.3386042500001</v>
      </c>
      <c r="G1195" s="1114"/>
      <c r="H1195" s="1114"/>
      <c r="I1195" s="1009"/>
      <c r="J1195" s="1114"/>
      <c r="K1195" s="1114"/>
      <c r="L1195" s="1009"/>
    </row>
    <row r="1196" spans="1:64">
      <c r="A1196" s="1823"/>
      <c r="B1196" s="1068"/>
      <c r="C1196" s="1843" t="s">
        <v>1034</v>
      </c>
      <c r="D1196" s="999">
        <f>ROUND(D1195,0)</f>
        <v>2161</v>
      </c>
      <c r="E1196" s="999">
        <f>ROUND(E1195,0)</f>
        <v>2213</v>
      </c>
      <c r="F1196" s="999">
        <f>ROUND(F1195,0)</f>
        <v>2264</v>
      </c>
      <c r="G1196" s="1114"/>
      <c r="H1196" s="1114"/>
      <c r="I1196" s="1009"/>
      <c r="J1196" s="1114"/>
      <c r="K1196" s="1114"/>
      <c r="L1196" s="1009"/>
    </row>
    <row r="1197" spans="1:64">
      <c r="A1197" s="1823"/>
      <c r="B1197" s="1068"/>
      <c r="C1197" s="1843"/>
      <c r="D1197" s="999"/>
      <c r="E1197" s="999"/>
      <c r="F1197" s="999"/>
      <c r="G1197" s="1114"/>
      <c r="H1197" s="1114"/>
      <c r="I1197" s="1009"/>
      <c r="J1197" s="1114"/>
      <c r="K1197" s="1114"/>
      <c r="L1197" s="1009"/>
    </row>
    <row r="1198" spans="1:64">
      <c r="A1198" s="1823"/>
      <c r="B1198" s="1098" t="s">
        <v>430</v>
      </c>
      <c r="C1198" s="1821" t="s">
        <v>1265</v>
      </c>
      <c r="D1198" s="1846"/>
      <c r="E1198" s="1846"/>
      <c r="F1198" s="1068"/>
      <c r="G1198" s="1105"/>
      <c r="H1198" s="1098"/>
      <c r="I1198" s="1080"/>
      <c r="J1198" s="1846"/>
      <c r="K1198" s="1846"/>
      <c r="L1198" s="1846"/>
    </row>
    <row r="1199" spans="1:64">
      <c r="A1199" s="1823"/>
      <c r="B1199" s="1068"/>
      <c r="C1199" s="1817" t="s">
        <v>1181</v>
      </c>
      <c r="D1199" s="1096">
        <v>0.15</v>
      </c>
      <c r="E1199" s="1846" t="s">
        <v>484</v>
      </c>
      <c r="F1199" s="1021">
        <f>$I$1039</f>
        <v>6857.6692800000001</v>
      </c>
      <c r="G1199" s="1105">
        <v>1</v>
      </c>
      <c r="H1199" s="1846" t="s">
        <v>484</v>
      </c>
      <c r="I1199" s="1011">
        <f>IF(G1199="",D1199*F1199,(D1199*F1199/G1199))</f>
        <v>1028.650392</v>
      </c>
      <c r="J1199" s="1846"/>
      <c r="K1199" s="1846"/>
      <c r="L1199" s="1846"/>
    </row>
    <row r="1200" spans="1:64">
      <c r="A1200" s="1823"/>
      <c r="B1200" s="1068"/>
      <c r="C1200" s="1817"/>
      <c r="D1200" s="1096"/>
      <c r="E1200" s="1846"/>
      <c r="F1200" s="1021"/>
      <c r="G1200" s="1105"/>
      <c r="H1200" s="1846"/>
      <c r="I1200" s="1011"/>
      <c r="J1200" s="1846"/>
      <c r="K1200" s="1846"/>
      <c r="L1200" s="1846"/>
    </row>
    <row r="1201" spans="1:12" ht="14.65" customHeight="1">
      <c r="A1201" s="1823"/>
      <c r="B1201" s="1068"/>
      <c r="C1201" s="2045" t="s">
        <v>1266</v>
      </c>
      <c r="D1201" s="2045"/>
      <c r="E1201" s="2045"/>
      <c r="F1201" s="1114"/>
      <c r="G1201" s="1133"/>
      <c r="H1201" s="1114"/>
      <c r="I1201" s="1009"/>
      <c r="J1201" s="1846"/>
      <c r="K1201" s="1846"/>
      <c r="L1201" s="1846"/>
    </row>
    <row r="1202" spans="1:12">
      <c r="A1202" s="1823"/>
      <c r="B1202" s="1831" t="s">
        <v>1215</v>
      </c>
      <c r="C1202" s="1819" t="s">
        <v>1251</v>
      </c>
      <c r="D1202" s="1846"/>
      <c r="E1202" s="1846"/>
      <c r="F1202" s="1068"/>
      <c r="G1202" s="1105"/>
      <c r="H1202" s="1846"/>
      <c r="I1202" s="1080"/>
      <c r="J1202" s="1846"/>
      <c r="K1202" s="1846"/>
      <c r="L1202" s="1846"/>
    </row>
    <row r="1203" spans="1:12">
      <c r="A1203" s="1823"/>
      <c r="B1203" s="1847"/>
      <c r="C1203" s="1816" t="s">
        <v>1217</v>
      </c>
      <c r="D1203" s="1065" t="s">
        <v>1223</v>
      </c>
      <c r="E1203" s="1839" t="s">
        <v>1207</v>
      </c>
      <c r="F1203" s="1040" t="s">
        <v>1208</v>
      </c>
      <c r="G1203" s="1040" t="s">
        <v>1209</v>
      </c>
      <c r="H1203" s="1040" t="s">
        <v>1210</v>
      </c>
      <c r="I1203" s="1040" t="s">
        <v>1211</v>
      </c>
      <c r="J1203" s="1846"/>
      <c r="K1203" s="1846"/>
      <c r="L1203" s="1846"/>
    </row>
    <row r="1204" spans="1:12">
      <c r="A1204" s="1823"/>
      <c r="B1204" s="1847"/>
      <c r="C1204" s="1817" t="s">
        <v>1218</v>
      </c>
      <c r="D1204" s="1848">
        <f t="shared" ref="D1204:I1204" si="231">+$I$1199</f>
        <v>1028.650392</v>
      </c>
      <c r="E1204" s="1848">
        <f t="shared" si="231"/>
        <v>1028.650392</v>
      </c>
      <c r="F1204" s="1848">
        <f t="shared" si="231"/>
        <v>1028.650392</v>
      </c>
      <c r="G1204" s="1848">
        <f t="shared" si="231"/>
        <v>1028.650392</v>
      </c>
      <c r="H1204" s="1848">
        <f t="shared" si="231"/>
        <v>1028.650392</v>
      </c>
      <c r="I1204" s="1848">
        <f t="shared" si="231"/>
        <v>1028.650392</v>
      </c>
      <c r="J1204" s="1846"/>
      <c r="K1204" s="1846"/>
      <c r="L1204" s="1846"/>
    </row>
    <row r="1205" spans="1:12">
      <c r="A1205" s="1823"/>
      <c r="B1205" s="1847"/>
      <c r="C1205" s="1817" t="s">
        <v>1182</v>
      </c>
      <c r="D1205" s="1093">
        <f>'Civil-SOR'!$F$269</f>
        <v>266</v>
      </c>
      <c r="E1205" s="1093">
        <f>'Civil-SOR'!$F$269</f>
        <v>266</v>
      </c>
      <c r="F1205" s="1093">
        <f>'Civil-SOR'!$F$269</f>
        <v>266</v>
      </c>
      <c r="G1205" s="1093">
        <f>'Civil-SOR'!$F$269</f>
        <v>266</v>
      </c>
      <c r="H1205" s="1093">
        <f>'Civil-SOR'!$F$269</f>
        <v>266</v>
      </c>
      <c r="I1205" s="1093">
        <f>'Civil-SOR'!$F$269</f>
        <v>266</v>
      </c>
      <c r="J1205" s="1846"/>
      <c r="K1205" s="1846"/>
      <c r="L1205" s="1846"/>
    </row>
    <row r="1206" spans="1:12">
      <c r="A1206" s="1823"/>
      <c r="B1206" s="1847"/>
      <c r="C1206" s="1817" t="s">
        <v>1260</v>
      </c>
      <c r="D1206" s="1001">
        <f>'Civil-SOR'!$G$269</f>
        <v>260</v>
      </c>
      <c r="E1206" s="1001">
        <f>'Civil-SOR'!$H$269</f>
        <v>286</v>
      </c>
      <c r="F1206" s="1001">
        <f>'Civil-SOR'!$I$269</f>
        <v>312</v>
      </c>
      <c r="G1206" s="1001">
        <f>'Civil-SOR'!$J$269</f>
        <v>338</v>
      </c>
      <c r="H1206" s="1001">
        <f>'Civil-SOR'!$K$269</f>
        <v>364</v>
      </c>
      <c r="I1206" s="1001">
        <f>'Civil-SOR'!$L$269</f>
        <v>390</v>
      </c>
      <c r="J1206" s="1846"/>
      <c r="K1206" s="1846"/>
      <c r="L1206" s="1846"/>
    </row>
    <row r="1207" spans="1:12">
      <c r="A1207" s="1823"/>
      <c r="B1207" s="1847"/>
      <c r="C1207" s="1817" t="str">
        <f>Input!$C$47</f>
        <v>Add for MA @ 40%</v>
      </c>
      <c r="D1207" s="1848">
        <f>D1206*Input!$D$47</f>
        <v>104</v>
      </c>
      <c r="E1207" s="1848">
        <f>E1206*Input!$D$47</f>
        <v>114.4</v>
      </c>
      <c r="F1207" s="1848">
        <f>F1206*Input!$D$47</f>
        <v>124.80000000000001</v>
      </c>
      <c r="G1207" s="1848">
        <f>G1206*Input!$D$47</f>
        <v>135.20000000000002</v>
      </c>
      <c r="H1207" s="1848">
        <f>H1206*Input!$D$47</f>
        <v>145.6</v>
      </c>
      <c r="I1207" s="1848">
        <f>I1206*Input!$D$47</f>
        <v>156</v>
      </c>
      <c r="J1207" s="1846"/>
      <c r="K1207" s="1846"/>
      <c r="L1207" s="1846"/>
    </row>
    <row r="1208" spans="1:12">
      <c r="A1208" s="1823"/>
      <c r="B1208" s="1847"/>
      <c r="C1208" s="1817" t="s">
        <v>1251</v>
      </c>
      <c r="D1208" s="1848"/>
      <c r="E1208" s="1848">
        <f>$F$1031*0.1*$D$1199</f>
        <v>25.68075</v>
      </c>
      <c r="F1208" s="1848">
        <f>$F$1031*0.2*$D$1199</f>
        <v>51.361499999999999</v>
      </c>
      <c r="G1208" s="1848">
        <f>$F$1031*0.3*$D$1199</f>
        <v>77.042249999999996</v>
      </c>
      <c r="H1208" s="1848">
        <f>$F$1031*0.4*$D$1199</f>
        <v>102.723</v>
      </c>
      <c r="I1208" s="1848">
        <f>$F$1031*0.5*$D$1199</f>
        <v>128.40375</v>
      </c>
      <c r="J1208" s="1846"/>
      <c r="K1208" s="1846"/>
      <c r="L1208" s="1846"/>
    </row>
    <row r="1209" spans="1:12">
      <c r="A1209" s="1823"/>
      <c r="B1209" s="1847"/>
      <c r="C1209" s="1817" t="str">
        <f>Input!$C$47</f>
        <v>Add for MA @ 40%</v>
      </c>
      <c r="D1209" s="1848">
        <f>D1208*Input!$D$47</f>
        <v>0</v>
      </c>
      <c r="E1209" s="1848">
        <f>E1208*Input!$D$47</f>
        <v>10.272300000000001</v>
      </c>
      <c r="F1209" s="1848">
        <f>F1208*Input!$D$47</f>
        <v>20.544600000000003</v>
      </c>
      <c r="G1209" s="1848">
        <f>G1208*Input!$D$47</f>
        <v>30.8169</v>
      </c>
      <c r="H1209" s="1848">
        <f>H1208*Input!$D$47</f>
        <v>41.089200000000005</v>
      </c>
      <c r="I1209" s="1848">
        <f>I1208*Input!$D$47</f>
        <v>51.361500000000007</v>
      </c>
      <c r="J1209" s="1846"/>
      <c r="K1209" s="1846"/>
      <c r="L1209" s="1846"/>
    </row>
    <row r="1210" spans="1:12">
      <c r="A1210" s="1823"/>
      <c r="B1210" s="1847"/>
      <c r="C1210" s="1816" t="s">
        <v>1045</v>
      </c>
      <c r="D1210" s="1848">
        <f t="shared" ref="D1210:I1210" si="232">SUM(D1204:D1209)</f>
        <v>1658.650392</v>
      </c>
      <c r="E1210" s="1848">
        <f t="shared" si="232"/>
        <v>1731.0034420000002</v>
      </c>
      <c r="F1210" s="1848">
        <f t="shared" si="232"/>
        <v>1803.3564919999999</v>
      </c>
      <c r="G1210" s="1848">
        <f t="shared" si="232"/>
        <v>1875.7095420000001</v>
      </c>
      <c r="H1210" s="1848">
        <f t="shared" si="232"/>
        <v>1948.0625919999998</v>
      </c>
      <c r="I1210" s="1848">
        <f t="shared" si="232"/>
        <v>2020.4156419999999</v>
      </c>
      <c r="J1210" s="1846"/>
      <c r="K1210" s="1846"/>
      <c r="L1210" s="1846"/>
    </row>
    <row r="1211" spans="1:12">
      <c r="A1211" s="1823"/>
      <c r="B1211" s="1847"/>
      <c r="C1211" s="1817" t="str">
        <f>Input!$C$48</f>
        <v>Overheads &amp; Contractors Profit @ 13.615%</v>
      </c>
      <c r="D1211" s="1847">
        <f>ROUND(D1210*Input!$D$48,2)</f>
        <v>225.83</v>
      </c>
      <c r="E1211" s="1847">
        <f>ROUND(E1210*Input!$D$48,2)</f>
        <v>235.68</v>
      </c>
      <c r="F1211" s="1847">
        <f>ROUND(F1210*Input!$D$48,2)</f>
        <v>245.53</v>
      </c>
      <c r="G1211" s="1847">
        <f>ROUND(G1210*Input!$D$48,2)</f>
        <v>255.38</v>
      </c>
      <c r="H1211" s="1847">
        <f>ROUND(H1210*Input!$D$48,2)</f>
        <v>265.23</v>
      </c>
      <c r="I1211" s="1847">
        <f>ROUND(I1210*Input!$D$48,2)</f>
        <v>275.08</v>
      </c>
      <c r="J1211" s="1846"/>
      <c r="K1211" s="1846"/>
      <c r="L1211" s="1846"/>
    </row>
    <row r="1212" spans="1:12">
      <c r="A1212" s="1823"/>
      <c r="B1212" s="1023"/>
      <c r="C1212" s="1816" t="s">
        <v>1045</v>
      </c>
      <c r="D1212" s="1829">
        <f t="shared" ref="D1212:I1212" si="233">SUM(D1210:D1211)</f>
        <v>1884.4803919999999</v>
      </c>
      <c r="E1212" s="1829">
        <f t="shared" si="233"/>
        <v>1966.6834420000002</v>
      </c>
      <c r="F1212" s="1829">
        <f t="shared" si="233"/>
        <v>2048.8864920000001</v>
      </c>
      <c r="G1212" s="1829">
        <f t="shared" si="233"/>
        <v>2131.0895420000002</v>
      </c>
      <c r="H1212" s="1829">
        <f t="shared" si="233"/>
        <v>2213.2925919999998</v>
      </c>
      <c r="I1212" s="1829">
        <f t="shared" si="233"/>
        <v>2295.4956419999999</v>
      </c>
      <c r="J1212" s="1846"/>
      <c r="K1212" s="1846"/>
      <c r="L1212" s="1846"/>
    </row>
    <row r="1213" spans="1:12">
      <c r="A1213" s="1823"/>
      <c r="B1213" s="1023"/>
      <c r="C1213" s="1843" t="s">
        <v>1034</v>
      </c>
      <c r="D1213" s="999">
        <f t="shared" ref="D1213:I1213" si="234">ROUND(D1212,0)</f>
        <v>1884</v>
      </c>
      <c r="E1213" s="999">
        <f t="shared" si="234"/>
        <v>1967</v>
      </c>
      <c r="F1213" s="999">
        <f t="shared" si="234"/>
        <v>2049</v>
      </c>
      <c r="G1213" s="999">
        <f t="shared" si="234"/>
        <v>2131</v>
      </c>
      <c r="H1213" s="999">
        <f t="shared" si="234"/>
        <v>2213</v>
      </c>
      <c r="I1213" s="999">
        <f t="shared" si="234"/>
        <v>2295</v>
      </c>
      <c r="J1213" s="1846"/>
      <c r="K1213" s="1846"/>
      <c r="L1213" s="1846"/>
    </row>
    <row r="1214" spans="1:12">
      <c r="A1214" s="1823"/>
      <c r="B1214" s="1068"/>
      <c r="C1214" s="1817"/>
      <c r="D1214" s="1096"/>
      <c r="E1214" s="1846"/>
      <c r="F1214" s="1021"/>
      <c r="G1214" s="1105"/>
      <c r="H1214" s="1846"/>
      <c r="I1214" s="1011"/>
      <c r="J1214" s="1846"/>
      <c r="K1214" s="1846"/>
      <c r="L1214" s="1846"/>
    </row>
    <row r="1215" spans="1:12" ht="14.65" customHeight="1">
      <c r="A1215" s="1823"/>
      <c r="B1215" s="1068"/>
      <c r="C1215" s="2045" t="s">
        <v>1267</v>
      </c>
      <c r="D1215" s="2045"/>
      <c r="E1215" s="2045"/>
      <c r="F1215" s="1114"/>
      <c r="G1215" s="1133"/>
      <c r="H1215" s="1114"/>
      <c r="I1215" s="1009"/>
      <c r="J1215" s="1846"/>
      <c r="K1215" s="1846"/>
      <c r="L1215" s="1846"/>
    </row>
    <row r="1216" spans="1:12">
      <c r="A1216" s="1823"/>
      <c r="B1216" s="1098" t="s">
        <v>1221</v>
      </c>
      <c r="C1216" s="1821" t="s">
        <v>1222</v>
      </c>
      <c r="D1216" s="1846"/>
      <c r="E1216" s="1846"/>
      <c r="F1216" s="1068"/>
      <c r="G1216" s="1105"/>
      <c r="H1216" s="1846"/>
      <c r="I1216" s="1080"/>
      <c r="J1216" s="1846"/>
      <c r="K1216" s="1846"/>
      <c r="L1216" s="1846"/>
    </row>
    <row r="1217" spans="1:12">
      <c r="A1217" s="1823"/>
      <c r="B1217" s="1068"/>
      <c r="C1217" s="1816" t="s">
        <v>1217</v>
      </c>
      <c r="D1217" s="1098" t="s">
        <v>1268</v>
      </c>
      <c r="E1217" s="1098" t="s">
        <v>1207</v>
      </c>
      <c r="F1217" s="1102" t="s">
        <v>1208</v>
      </c>
      <c r="G1217" s="1102" t="s">
        <v>1209</v>
      </c>
      <c r="H1217" s="1102" t="s">
        <v>1210</v>
      </c>
      <c r="I1217" s="1102" t="s">
        <v>1211</v>
      </c>
      <c r="J1217" s="1846"/>
      <c r="K1217" s="1846"/>
      <c r="L1217" s="1846"/>
    </row>
    <row r="1218" spans="1:12">
      <c r="A1218" s="1823"/>
      <c r="B1218" s="1823"/>
      <c r="C1218" s="1817" t="s">
        <v>1218</v>
      </c>
      <c r="D1218" s="1093">
        <f t="shared" ref="D1218:I1218" si="235">+$I$1199</f>
        <v>1028.650392</v>
      </c>
      <c r="E1218" s="1093">
        <f t="shared" si="235"/>
        <v>1028.650392</v>
      </c>
      <c r="F1218" s="1093">
        <f t="shared" si="235"/>
        <v>1028.650392</v>
      </c>
      <c r="G1218" s="1093">
        <f t="shared" si="235"/>
        <v>1028.650392</v>
      </c>
      <c r="H1218" s="1093">
        <f t="shared" si="235"/>
        <v>1028.650392</v>
      </c>
      <c r="I1218" s="1093">
        <f t="shared" si="235"/>
        <v>1028.650392</v>
      </c>
      <c r="J1218" s="1846"/>
      <c r="K1218" s="1846"/>
      <c r="L1218" s="1846"/>
    </row>
    <row r="1219" spans="1:12">
      <c r="A1219" s="1823"/>
      <c r="B1219" s="1823"/>
      <c r="C1219" s="1817" t="s">
        <v>1182</v>
      </c>
      <c r="D1219" s="1093">
        <f>'Civil-SOR'!$F$269</f>
        <v>266</v>
      </c>
      <c r="E1219" s="1093">
        <f>'Civil-SOR'!$F$269</f>
        <v>266</v>
      </c>
      <c r="F1219" s="1093">
        <f>'Civil-SOR'!$F$269</f>
        <v>266</v>
      </c>
      <c r="G1219" s="1093">
        <f>'Civil-SOR'!$F$269</f>
        <v>266</v>
      </c>
      <c r="H1219" s="1093">
        <f>'Civil-SOR'!$F$269</f>
        <v>266</v>
      </c>
      <c r="I1219" s="1093">
        <f>'Civil-SOR'!$F$269</f>
        <v>266</v>
      </c>
      <c r="J1219" s="1846"/>
      <c r="K1219" s="1846"/>
      <c r="L1219" s="1846"/>
    </row>
    <row r="1220" spans="1:12">
      <c r="A1220" s="1823"/>
      <c r="B1220" s="1823"/>
      <c r="C1220" s="1817" t="s">
        <v>1269</v>
      </c>
      <c r="D1220" s="1001">
        <f>'Civil-SOR'!$G$269</f>
        <v>260</v>
      </c>
      <c r="E1220" s="1001">
        <f>'Civil-SOR'!$H$269</f>
        <v>286</v>
      </c>
      <c r="F1220" s="1001">
        <f>'Civil-SOR'!$I$269</f>
        <v>312</v>
      </c>
      <c r="G1220" s="1001">
        <f>'Civil-SOR'!$J$269</f>
        <v>338</v>
      </c>
      <c r="H1220" s="1001">
        <f>'Civil-SOR'!$K$269</f>
        <v>364</v>
      </c>
      <c r="I1220" s="1001">
        <f>'Civil-SOR'!$L$269</f>
        <v>390</v>
      </c>
      <c r="J1220" s="1846"/>
      <c r="K1220" s="1846"/>
      <c r="L1220" s="1846"/>
    </row>
    <row r="1221" spans="1:12">
      <c r="A1221" s="1823"/>
      <c r="B1221" s="1823"/>
      <c r="C1221" s="1817" t="str">
        <f>Input!$C$47</f>
        <v>Add for MA @ 40%</v>
      </c>
      <c r="D1221" s="1093">
        <f>D1220*Input!$D$47</f>
        <v>104</v>
      </c>
      <c r="E1221" s="1093">
        <f>E1220*Input!$D$47</f>
        <v>114.4</v>
      </c>
      <c r="F1221" s="1093">
        <f>F1220*Input!$D$47</f>
        <v>124.80000000000001</v>
      </c>
      <c r="G1221" s="1093">
        <f>G1220*Input!$D$47</f>
        <v>135.20000000000002</v>
      </c>
      <c r="H1221" s="1093">
        <f>H1220*Input!$D$47</f>
        <v>145.6</v>
      </c>
      <c r="I1221" s="1093">
        <f>I1220*Input!$D$47</f>
        <v>156</v>
      </c>
      <c r="J1221" s="1846"/>
      <c r="K1221" s="1846"/>
      <c r="L1221" s="1846"/>
    </row>
    <row r="1222" spans="1:12" ht="25.5">
      <c r="A1222" s="1823"/>
      <c r="B1222" s="1823"/>
      <c r="C1222" s="1817" t="s">
        <v>1270</v>
      </c>
      <c r="D1222" s="1093">
        <v>0</v>
      </c>
      <c r="E1222" s="1093">
        <f>0.267*$D$1199*'Civil-SOR'!$G$334</f>
        <v>15.166935000000002</v>
      </c>
      <c r="F1222" s="1093">
        <f t="shared" ref="F1222:F1223" si="236">E1222*1.1</f>
        <v>16.683628500000005</v>
      </c>
      <c r="G1222" s="1093">
        <f t="shared" ref="G1222:G1223" si="237">E1222*1.2</f>
        <v>18.200322000000003</v>
      </c>
      <c r="H1222" s="1093">
        <f t="shared" ref="H1222:H1223" si="238">E1222*1.3</f>
        <v>19.717015500000002</v>
      </c>
      <c r="I1222" s="1093">
        <f t="shared" ref="I1222:I1223" si="239">E1222*1.4</f>
        <v>21.233709000000001</v>
      </c>
      <c r="J1222" s="1846"/>
      <c r="K1222" s="1846"/>
      <c r="L1222" s="1846"/>
    </row>
    <row r="1223" spans="1:12">
      <c r="A1223" s="1823"/>
      <c r="B1223" s="1823"/>
      <c r="C1223" s="1817" t="s">
        <v>579</v>
      </c>
      <c r="D1223" s="1093">
        <v>0</v>
      </c>
      <c r="E1223" s="1093">
        <f>0.267*$D$1199*'Civil-SOR'!$J$334</f>
        <v>14.43402</v>
      </c>
      <c r="F1223" s="1093">
        <f t="shared" si="236"/>
        <v>15.877422000000001</v>
      </c>
      <c r="G1223" s="1093">
        <f t="shared" si="237"/>
        <v>17.320823999999998</v>
      </c>
      <c r="H1223" s="1093">
        <f t="shared" si="238"/>
        <v>18.764226000000001</v>
      </c>
      <c r="I1223" s="1093">
        <f t="shared" si="239"/>
        <v>20.207628</v>
      </c>
      <c r="J1223" s="1846"/>
      <c r="K1223" s="1846"/>
      <c r="L1223" s="1846"/>
    </row>
    <row r="1224" spans="1:12">
      <c r="A1224" s="1823"/>
      <c r="B1224" s="1823"/>
      <c r="C1224" s="1817" t="str">
        <f>Input!$C$47</f>
        <v>Add for MA @ 40%</v>
      </c>
      <c r="D1224" s="1848">
        <f>D1223*Input!$D$47</f>
        <v>0</v>
      </c>
      <c r="E1224" s="1093">
        <f>E1223*Input!$D$47</f>
        <v>5.7736080000000003</v>
      </c>
      <c r="F1224" s="1093">
        <f>F1223*Input!$D$47</f>
        <v>6.3509688000000004</v>
      </c>
      <c r="G1224" s="1093">
        <f>G1223*Input!$D$47</f>
        <v>6.9283295999999996</v>
      </c>
      <c r="H1224" s="1093">
        <f>H1223*Input!$D$47</f>
        <v>7.5056904000000007</v>
      </c>
      <c r="I1224" s="1093">
        <f>I1223*Input!$D$47</f>
        <v>8.0830511999999999</v>
      </c>
      <c r="J1224" s="1846"/>
      <c r="K1224" s="1846"/>
      <c r="L1224" s="1846"/>
    </row>
    <row r="1225" spans="1:12">
      <c r="A1225" s="1823"/>
      <c r="B1225" s="1023"/>
      <c r="C1225" s="1816" t="s">
        <v>1045</v>
      </c>
      <c r="D1225" s="1829">
        <f t="shared" ref="D1225:I1225" si="240">SUM(D1218:D1224)</f>
        <v>1658.650392</v>
      </c>
      <c r="E1225" s="1829">
        <f t="shared" si="240"/>
        <v>1730.424955</v>
      </c>
      <c r="F1225" s="1829">
        <f t="shared" si="240"/>
        <v>1770.3624112999998</v>
      </c>
      <c r="G1225" s="1829">
        <f t="shared" si="240"/>
        <v>1810.2998676</v>
      </c>
      <c r="H1225" s="1829">
        <f t="shared" si="240"/>
        <v>1850.2373238999999</v>
      </c>
      <c r="I1225" s="1829">
        <f t="shared" si="240"/>
        <v>1890.1747802000002</v>
      </c>
      <c r="J1225" s="1846"/>
      <c r="K1225" s="1846"/>
      <c r="L1225" s="1846"/>
    </row>
    <row r="1226" spans="1:12">
      <c r="A1226" s="1823"/>
      <c r="B1226" s="1823"/>
      <c r="C1226" s="1817" t="str">
        <f>Input!$C$48</f>
        <v>Overheads &amp; Contractors Profit @ 13.615%</v>
      </c>
      <c r="D1226" s="1823">
        <f>ROUND(D1225*Input!$D$48,2)</f>
        <v>225.83</v>
      </c>
      <c r="E1226" s="1823">
        <f>ROUND(E1225*Input!$D$48,2)</f>
        <v>235.6</v>
      </c>
      <c r="F1226" s="1823">
        <f>ROUND(F1225*Input!$D$48,2)</f>
        <v>241.03</v>
      </c>
      <c r="G1226" s="1823">
        <f>ROUND(G1225*Input!$D$48,2)</f>
        <v>246.47</v>
      </c>
      <c r="H1226" s="1823">
        <f>ROUND(H1225*Input!$D$48,2)</f>
        <v>251.91</v>
      </c>
      <c r="I1226" s="1823">
        <f>ROUND(I1225*Input!$D$48,2)</f>
        <v>257.35000000000002</v>
      </c>
      <c r="J1226" s="1846"/>
      <c r="K1226" s="1846"/>
      <c r="L1226" s="1846"/>
    </row>
    <row r="1227" spans="1:12">
      <c r="A1227" s="1823"/>
      <c r="B1227" s="1023"/>
      <c r="C1227" s="1816" t="s">
        <v>1045</v>
      </c>
      <c r="D1227" s="1834">
        <f t="shared" ref="D1227:I1227" si="241">ROUND(SUM(D1225:D1226),0)</f>
        <v>1884</v>
      </c>
      <c r="E1227" s="1834">
        <f t="shared" si="241"/>
        <v>1966</v>
      </c>
      <c r="F1227" s="1834">
        <f t="shared" si="241"/>
        <v>2011</v>
      </c>
      <c r="G1227" s="1834">
        <f t="shared" si="241"/>
        <v>2057</v>
      </c>
      <c r="H1227" s="1834">
        <f t="shared" si="241"/>
        <v>2102</v>
      </c>
      <c r="I1227" s="1834">
        <f t="shared" si="241"/>
        <v>2148</v>
      </c>
      <c r="J1227" s="1846"/>
      <c r="K1227" s="1846"/>
      <c r="L1227" s="1846"/>
    </row>
    <row r="1228" spans="1:12">
      <c r="A1228" s="1823"/>
      <c r="B1228" s="1068"/>
      <c r="C1228" s="1817"/>
      <c r="D1228" s="1096"/>
      <c r="E1228" s="1846"/>
      <c r="F1228" s="1021"/>
      <c r="G1228" s="1105"/>
      <c r="H1228" s="1846"/>
      <c r="I1228" s="1011"/>
      <c r="J1228" s="1846"/>
      <c r="K1228" s="1846"/>
      <c r="L1228" s="1846"/>
    </row>
    <row r="1229" spans="1:12" ht="12.75" customHeight="1">
      <c r="A1229" s="1823"/>
      <c r="B1229" s="1068"/>
      <c r="C1229" s="2045" t="s">
        <v>1271</v>
      </c>
      <c r="D1229" s="2045"/>
      <c r="E1229" s="2045"/>
      <c r="F1229" s="1114"/>
      <c r="G1229" s="1133"/>
      <c r="H1229" s="1114"/>
      <c r="I1229" s="1009"/>
      <c r="J1229" s="1846"/>
      <c r="K1229" s="1846"/>
      <c r="L1229" s="1846"/>
    </row>
    <row r="1230" spans="1:12">
      <c r="A1230" s="1823"/>
      <c r="B1230" s="1831" t="s">
        <v>1262</v>
      </c>
      <c r="C1230" s="1819" t="s">
        <v>1251</v>
      </c>
      <c r="D1230" s="1846"/>
      <c r="E1230" s="1846"/>
      <c r="F1230" s="1068"/>
      <c r="G1230" s="1105"/>
      <c r="H1230" s="1846"/>
      <c r="I1230" s="1080"/>
      <c r="J1230" s="1846"/>
      <c r="K1230" s="1846"/>
      <c r="L1230" s="1846"/>
    </row>
    <row r="1231" spans="1:12">
      <c r="A1231" s="1823"/>
      <c r="B1231" s="1847"/>
      <c r="C1231" s="1816" t="s">
        <v>1217</v>
      </c>
      <c r="D1231" s="1065" t="s">
        <v>1223</v>
      </c>
      <c r="E1231" s="1839" t="s">
        <v>1207</v>
      </c>
      <c r="F1231" s="1040" t="s">
        <v>1208</v>
      </c>
      <c r="G1231" s="1040" t="s">
        <v>1209</v>
      </c>
      <c r="H1231" s="1040" t="s">
        <v>1210</v>
      </c>
      <c r="I1231" s="1040" t="s">
        <v>1211</v>
      </c>
      <c r="J1231" s="1846"/>
      <c r="K1231" s="1846"/>
      <c r="L1231" s="1846"/>
    </row>
    <row r="1232" spans="1:12">
      <c r="A1232" s="1823"/>
      <c r="B1232" s="1847"/>
      <c r="C1232" s="1817" t="s">
        <v>1218</v>
      </c>
      <c r="D1232" s="1848">
        <f t="shared" ref="D1232:I1232" si="242">+$I$1199</f>
        <v>1028.650392</v>
      </c>
      <c r="E1232" s="1848">
        <f t="shared" si="242"/>
        <v>1028.650392</v>
      </c>
      <c r="F1232" s="1848">
        <f t="shared" si="242"/>
        <v>1028.650392</v>
      </c>
      <c r="G1232" s="1848">
        <f t="shared" si="242"/>
        <v>1028.650392</v>
      </c>
      <c r="H1232" s="1848">
        <f t="shared" si="242"/>
        <v>1028.650392</v>
      </c>
      <c r="I1232" s="1848">
        <f t="shared" si="242"/>
        <v>1028.650392</v>
      </c>
      <c r="J1232" s="1846"/>
      <c r="K1232" s="1846"/>
      <c r="L1232" s="1846"/>
    </row>
    <row r="1233" spans="1:64">
      <c r="A1233" s="1823"/>
      <c r="B1233" s="1847"/>
      <c r="C1233" s="1817" t="s">
        <v>1182</v>
      </c>
      <c r="D1233" s="1093">
        <f>'Civil-SOR'!$F$269+('Civil-SOR'!$F$269*16.66%)</f>
        <v>310.31560000000002</v>
      </c>
      <c r="E1233" s="1093">
        <f>'Civil-SOR'!$F$269+('Civil-SOR'!$F$269*16.66%)</f>
        <v>310.31560000000002</v>
      </c>
      <c r="F1233" s="1093">
        <f>'Civil-SOR'!$F$269+('Civil-SOR'!$F$269*16.66%)</f>
        <v>310.31560000000002</v>
      </c>
      <c r="G1233" s="1093">
        <f>'Civil-SOR'!$F$269+('Civil-SOR'!$F$269*16.66%)</f>
        <v>310.31560000000002</v>
      </c>
      <c r="H1233" s="1093">
        <f>'Civil-SOR'!$F$269+('Civil-SOR'!$F$269*16.66%)</f>
        <v>310.31560000000002</v>
      </c>
      <c r="I1233" s="1093">
        <f>'Civil-SOR'!$F$269+('Civil-SOR'!$F$269*16.66%)</f>
        <v>310.31560000000002</v>
      </c>
      <c r="J1233" s="1846"/>
      <c r="K1233" s="1846"/>
      <c r="L1233" s="1846"/>
    </row>
    <row r="1234" spans="1:64">
      <c r="A1234" s="1823"/>
      <c r="B1234" s="1847"/>
      <c r="C1234" s="1817" t="s">
        <v>1260</v>
      </c>
      <c r="D1234" s="1001">
        <f>'Civil-SOR'!$G$269+('Civil-SOR'!$G$269*16.66%)</f>
        <v>303.31600000000003</v>
      </c>
      <c r="E1234" s="1001">
        <f>'Civil-SOR'!$H$269+('Civil-SOR'!$H$269*16.66%)</f>
        <v>333.64760000000001</v>
      </c>
      <c r="F1234" s="1001">
        <f>'Civil-SOR'!$I$269+('Civil-SOR'!$I$269*16.66%)</f>
        <v>363.97919999999999</v>
      </c>
      <c r="G1234" s="1001">
        <f>'Civil-SOR'!$J$269+('Civil-SOR'!$J$269*16.66%)</f>
        <v>394.31079999999997</v>
      </c>
      <c r="H1234" s="1001">
        <f>'Civil-SOR'!$K$269+('Civil-SOR'!$K$269*16.66%)</f>
        <v>424.64240000000001</v>
      </c>
      <c r="I1234" s="1001">
        <f>'Civil-SOR'!$L$269+('Civil-SOR'!$L$269*16.66%)</f>
        <v>454.97399999999999</v>
      </c>
      <c r="J1234" s="1846"/>
      <c r="K1234" s="1846"/>
      <c r="L1234" s="1846"/>
    </row>
    <row r="1235" spans="1:64">
      <c r="A1235" s="1823"/>
      <c r="B1235" s="1847"/>
      <c r="C1235" s="1817" t="str">
        <f>Input!$C$47</f>
        <v>Add for MA @ 40%</v>
      </c>
      <c r="D1235" s="1848">
        <f>D1234*Input!$D$47</f>
        <v>121.32640000000002</v>
      </c>
      <c r="E1235" s="1848">
        <f>E1234*Input!$D$47</f>
        <v>133.45904000000002</v>
      </c>
      <c r="F1235" s="1848">
        <f>F1234*Input!$D$47</f>
        <v>145.59168</v>
      </c>
      <c r="G1235" s="1848">
        <f>G1234*Input!$D$47</f>
        <v>157.72432000000001</v>
      </c>
      <c r="H1235" s="1848">
        <f>H1234*Input!$D$47</f>
        <v>169.85696000000002</v>
      </c>
      <c r="I1235" s="1848">
        <f>I1234*Input!$D$47</f>
        <v>181.9896</v>
      </c>
      <c r="J1235" s="1846"/>
      <c r="K1235" s="1846"/>
      <c r="L1235" s="1846"/>
    </row>
    <row r="1236" spans="1:64">
      <c r="A1236" s="1823"/>
      <c r="B1236" s="1847"/>
      <c r="C1236" s="1817" t="s">
        <v>1251</v>
      </c>
      <c r="D1236" s="1848"/>
      <c r="E1236" s="1848">
        <f>$F$1031*0.1*$D$1199</f>
        <v>25.68075</v>
      </c>
      <c r="F1236" s="1848">
        <f>$F$1031*0.2*$D$1199</f>
        <v>51.361499999999999</v>
      </c>
      <c r="G1236" s="1848">
        <f>$F$1031*0.3*$D$1199</f>
        <v>77.042249999999996</v>
      </c>
      <c r="H1236" s="1848">
        <f>$F$1031*0.4*$D$1199</f>
        <v>102.723</v>
      </c>
      <c r="I1236" s="1848">
        <f>$F$1031*0.5*$D$1199</f>
        <v>128.40375</v>
      </c>
      <c r="J1236" s="1846"/>
      <c r="K1236" s="1846"/>
      <c r="L1236" s="1846"/>
    </row>
    <row r="1237" spans="1:64">
      <c r="A1237" s="1823"/>
      <c r="B1237" s="1847"/>
      <c r="C1237" s="1817" t="str">
        <f>Input!$C$47</f>
        <v>Add for MA @ 40%</v>
      </c>
      <c r="D1237" s="1848">
        <f>D1236*Input!$D$47</f>
        <v>0</v>
      </c>
      <c r="E1237" s="1848">
        <f>E1236*Input!$D$47</f>
        <v>10.272300000000001</v>
      </c>
      <c r="F1237" s="1848">
        <f>F1236*Input!$D$47</f>
        <v>20.544600000000003</v>
      </c>
      <c r="G1237" s="1848">
        <f>G1236*Input!$D$47</f>
        <v>30.8169</v>
      </c>
      <c r="H1237" s="1848">
        <f>H1236*Input!$D$47</f>
        <v>41.089200000000005</v>
      </c>
      <c r="I1237" s="1848">
        <f>I1236*Input!$D$47</f>
        <v>51.361500000000007</v>
      </c>
      <c r="J1237" s="1846"/>
      <c r="K1237" s="1846"/>
      <c r="L1237" s="1846"/>
    </row>
    <row r="1238" spans="1:64">
      <c r="A1238" s="1823"/>
      <c r="B1238" s="1847"/>
      <c r="C1238" s="1816" t="s">
        <v>1045</v>
      </c>
      <c r="D1238" s="1848">
        <f t="shared" ref="D1238:I1238" si="243">SUM(D1232:D1237)</f>
        <v>1763.6083919999999</v>
      </c>
      <c r="E1238" s="1848">
        <f t="shared" si="243"/>
        <v>1842.025682</v>
      </c>
      <c r="F1238" s="1848">
        <f t="shared" si="243"/>
        <v>1920.4429719999998</v>
      </c>
      <c r="G1238" s="1848">
        <f t="shared" si="243"/>
        <v>1998.8602619999999</v>
      </c>
      <c r="H1238" s="1848">
        <f t="shared" si="243"/>
        <v>2077.277552</v>
      </c>
      <c r="I1238" s="1848">
        <f t="shared" si="243"/>
        <v>2155.6948419999999</v>
      </c>
      <c r="J1238" s="1846"/>
      <c r="K1238" s="1846"/>
      <c r="L1238" s="1846"/>
    </row>
    <row r="1239" spans="1:64">
      <c r="A1239" s="1823"/>
      <c r="B1239" s="1847"/>
      <c r="C1239" s="1817" t="str">
        <f>Input!$C$48</f>
        <v>Overheads &amp; Contractors Profit @ 13.615%</v>
      </c>
      <c r="D1239" s="1847">
        <f>ROUND(D1238*Input!$D$48,2)</f>
        <v>240.12</v>
      </c>
      <c r="E1239" s="1847">
        <f>ROUND(E1238*Input!$D$48,2)</f>
        <v>250.79</v>
      </c>
      <c r="F1239" s="1847">
        <f>ROUND(F1238*Input!$D$48,2)</f>
        <v>261.47000000000003</v>
      </c>
      <c r="G1239" s="1847">
        <f>ROUND(G1238*Input!$D$48,2)</f>
        <v>272.14</v>
      </c>
      <c r="H1239" s="1847">
        <f>ROUND(H1238*Input!$D$48,2)</f>
        <v>282.82</v>
      </c>
      <c r="I1239" s="1847">
        <f>ROUND(I1238*Input!$D$48,2)</f>
        <v>293.5</v>
      </c>
      <c r="J1239" s="1846"/>
      <c r="K1239" s="1846"/>
      <c r="L1239" s="1846"/>
    </row>
    <row r="1240" spans="1:64">
      <c r="A1240" s="1823"/>
      <c r="B1240" s="1023"/>
      <c r="C1240" s="1816" t="s">
        <v>1045</v>
      </c>
      <c r="D1240" s="1829">
        <f t="shared" ref="D1240:I1240" si="244">SUM(D1238:D1239)</f>
        <v>2003.728392</v>
      </c>
      <c r="E1240" s="1829">
        <f t="shared" si="244"/>
        <v>2092.8156819999999</v>
      </c>
      <c r="F1240" s="1829">
        <f t="shared" si="244"/>
        <v>2181.9129720000001</v>
      </c>
      <c r="G1240" s="1829">
        <f t="shared" si="244"/>
        <v>2271.000262</v>
      </c>
      <c r="H1240" s="1829">
        <f t="shared" si="244"/>
        <v>2360.0975520000002</v>
      </c>
      <c r="I1240" s="1829">
        <f t="shared" si="244"/>
        <v>2449.1948419999999</v>
      </c>
      <c r="J1240" s="1846"/>
      <c r="K1240" s="1846"/>
      <c r="L1240" s="1846"/>
    </row>
    <row r="1241" spans="1:64">
      <c r="A1241" s="1823"/>
      <c r="B1241" s="1023"/>
      <c r="C1241" s="1843" t="s">
        <v>1034</v>
      </c>
      <c r="D1241" s="999">
        <f t="shared" ref="D1241:I1241" si="245">ROUND(D1240,0)</f>
        <v>2004</v>
      </c>
      <c r="E1241" s="999">
        <f t="shared" si="245"/>
        <v>2093</v>
      </c>
      <c r="F1241" s="999">
        <f t="shared" si="245"/>
        <v>2182</v>
      </c>
      <c r="G1241" s="999">
        <f t="shared" si="245"/>
        <v>2271</v>
      </c>
      <c r="H1241" s="999">
        <f t="shared" si="245"/>
        <v>2360</v>
      </c>
      <c r="I1241" s="999">
        <f t="shared" si="245"/>
        <v>2449</v>
      </c>
      <c r="J1241" s="1846"/>
      <c r="K1241" s="1846"/>
      <c r="L1241" s="1846"/>
    </row>
    <row r="1242" spans="1:64">
      <c r="A1242" s="1823"/>
      <c r="B1242" s="1068"/>
      <c r="C1242" s="1817"/>
      <c r="D1242" s="1096"/>
      <c r="E1242" s="1846"/>
      <c r="F1242" s="1021"/>
      <c r="G1242" s="1105"/>
      <c r="H1242" s="1846"/>
      <c r="I1242" s="1011"/>
      <c r="J1242" s="1846"/>
      <c r="K1242" s="1846"/>
      <c r="L1242" s="1846"/>
    </row>
    <row r="1243" spans="1:64" ht="12.75" customHeight="1">
      <c r="A1243" s="1823"/>
      <c r="B1243" s="1068"/>
      <c r="C1243" s="2045" t="s">
        <v>1272</v>
      </c>
      <c r="D1243" s="2045"/>
      <c r="E1243" s="2045"/>
      <c r="F1243" s="1114"/>
      <c r="G1243" s="1133"/>
      <c r="H1243" s="1114"/>
      <c r="I1243" s="1009"/>
      <c r="J1243" s="1846"/>
      <c r="K1243" s="1846"/>
      <c r="L1243" s="1846"/>
    </row>
    <row r="1244" spans="1:64">
      <c r="A1244" s="1823"/>
      <c r="B1244" s="1098" t="s">
        <v>1215</v>
      </c>
      <c r="C1244" s="1821" t="s">
        <v>1222</v>
      </c>
      <c r="D1244" s="1846"/>
      <c r="E1244" s="1846"/>
      <c r="F1244" s="1068"/>
      <c r="G1244" s="1105"/>
      <c r="H1244" s="1846"/>
      <c r="I1244" s="1080"/>
      <c r="J1244" s="1846"/>
      <c r="K1244" s="1846"/>
      <c r="L1244" s="1846"/>
      <c r="Q1244" s="1066"/>
      <c r="R1244" s="1066"/>
      <c r="S1244" s="1066"/>
      <c r="T1244" s="1066"/>
      <c r="U1244" s="1066"/>
      <c r="V1244" s="1066"/>
      <c r="W1244" s="1066"/>
      <c r="X1244" s="1066"/>
      <c r="Y1244" s="1066"/>
      <c r="Z1244" s="1066"/>
      <c r="AA1244" s="1066"/>
      <c r="AB1244" s="1066"/>
      <c r="AC1244" s="1066"/>
      <c r="AD1244" s="1066"/>
      <c r="AE1244" s="1066"/>
      <c r="AF1244" s="1066"/>
      <c r="AG1244" s="1066"/>
      <c r="AH1244" s="1066"/>
      <c r="AI1244" s="1066"/>
      <c r="AJ1244" s="1066"/>
      <c r="AK1244" s="1066"/>
      <c r="AL1244" s="1066"/>
      <c r="AM1244" s="1066"/>
      <c r="AN1244" s="1066"/>
      <c r="AO1244" s="1066"/>
      <c r="AP1244" s="1066"/>
      <c r="AQ1244" s="1066"/>
      <c r="AR1244" s="1066"/>
      <c r="AS1244" s="1066"/>
      <c r="AT1244" s="1066"/>
      <c r="AU1244" s="1066"/>
      <c r="AV1244" s="1066"/>
      <c r="AW1244" s="1066"/>
      <c r="AX1244" s="1066"/>
      <c r="AY1244" s="1066"/>
      <c r="AZ1244" s="1066"/>
      <c r="BA1244" s="1066"/>
      <c r="BB1244" s="1066"/>
      <c r="BC1244" s="1066"/>
      <c r="BD1244" s="1066"/>
      <c r="BE1244" s="1066"/>
      <c r="BF1244" s="1066"/>
      <c r="BG1244" s="1066"/>
      <c r="BH1244" s="1066"/>
      <c r="BI1244" s="1066"/>
      <c r="BJ1244" s="1066"/>
      <c r="BK1244" s="1066"/>
      <c r="BL1244" s="1066"/>
    </row>
    <row r="1245" spans="1:64">
      <c r="A1245" s="1823"/>
      <c r="B1245" s="1068"/>
      <c r="C1245" s="1816" t="s">
        <v>1217</v>
      </c>
      <c r="D1245" s="1098" t="s">
        <v>1268</v>
      </c>
      <c r="E1245" s="1098" t="s">
        <v>1207</v>
      </c>
      <c r="F1245" s="1102" t="s">
        <v>1208</v>
      </c>
      <c r="G1245" s="1102" t="s">
        <v>1209</v>
      </c>
      <c r="H1245" s="1102" t="s">
        <v>1210</v>
      </c>
      <c r="I1245" s="1102" t="s">
        <v>1211</v>
      </c>
      <c r="J1245" s="1846"/>
      <c r="K1245" s="1846"/>
      <c r="L1245" s="1846"/>
      <c r="Q1245" s="1066"/>
      <c r="R1245" s="1066"/>
      <c r="S1245" s="1066"/>
      <c r="T1245" s="1066"/>
      <c r="U1245" s="1066"/>
      <c r="V1245" s="1066"/>
      <c r="W1245" s="1066"/>
      <c r="X1245" s="1066"/>
      <c r="Y1245" s="1066"/>
      <c r="Z1245" s="1066"/>
      <c r="AA1245" s="1066"/>
      <c r="AB1245" s="1066"/>
      <c r="AC1245" s="1066"/>
      <c r="AD1245" s="1066"/>
      <c r="AE1245" s="1066"/>
      <c r="AF1245" s="1066"/>
      <c r="AG1245" s="1066"/>
      <c r="AH1245" s="1066"/>
      <c r="AI1245" s="1066"/>
      <c r="AJ1245" s="1066"/>
      <c r="AK1245" s="1066"/>
      <c r="AL1245" s="1066"/>
      <c r="AM1245" s="1066"/>
      <c r="AN1245" s="1066"/>
      <c r="AO1245" s="1066"/>
      <c r="AP1245" s="1066"/>
      <c r="AQ1245" s="1066"/>
      <c r="AR1245" s="1066"/>
      <c r="AS1245" s="1066"/>
      <c r="AT1245" s="1066"/>
      <c r="AU1245" s="1066"/>
      <c r="AV1245" s="1066"/>
      <c r="AW1245" s="1066"/>
      <c r="AX1245" s="1066"/>
      <c r="AY1245" s="1066"/>
      <c r="AZ1245" s="1066"/>
      <c r="BA1245" s="1066"/>
      <c r="BB1245" s="1066"/>
      <c r="BC1245" s="1066"/>
      <c r="BD1245" s="1066"/>
      <c r="BE1245" s="1066"/>
      <c r="BF1245" s="1066"/>
      <c r="BG1245" s="1066"/>
      <c r="BH1245" s="1066"/>
      <c r="BI1245" s="1066"/>
      <c r="BJ1245" s="1066"/>
      <c r="BK1245" s="1066"/>
      <c r="BL1245" s="1066"/>
    </row>
    <row r="1246" spans="1:64">
      <c r="A1246" s="1823"/>
      <c r="B1246" s="1823"/>
      <c r="C1246" s="1817" t="s">
        <v>1218</v>
      </c>
      <c r="D1246" s="1848">
        <f t="shared" ref="D1246:I1246" si="246">+$I$1199</f>
        <v>1028.650392</v>
      </c>
      <c r="E1246" s="1848">
        <f t="shared" si="246"/>
        <v>1028.650392</v>
      </c>
      <c r="F1246" s="1848">
        <f t="shared" si="246"/>
        <v>1028.650392</v>
      </c>
      <c r="G1246" s="1848">
        <f t="shared" si="246"/>
        <v>1028.650392</v>
      </c>
      <c r="H1246" s="1848">
        <f t="shared" si="246"/>
        <v>1028.650392</v>
      </c>
      <c r="I1246" s="1848">
        <f t="shared" si="246"/>
        <v>1028.650392</v>
      </c>
      <c r="J1246" s="1846"/>
      <c r="K1246" s="1846"/>
      <c r="L1246" s="1846"/>
      <c r="Q1246" s="1066"/>
      <c r="R1246" s="1066"/>
      <c r="S1246" s="1066"/>
      <c r="T1246" s="1066"/>
      <c r="U1246" s="1066"/>
      <c r="V1246" s="1066"/>
      <c r="W1246" s="1066"/>
      <c r="X1246" s="1066"/>
      <c r="Y1246" s="1066"/>
      <c r="Z1246" s="1066"/>
      <c r="AA1246" s="1066"/>
      <c r="AB1246" s="1066"/>
      <c r="AC1246" s="1066"/>
      <c r="AD1246" s="1066"/>
      <c r="AE1246" s="1066"/>
      <c r="AF1246" s="1066"/>
      <c r="AG1246" s="1066"/>
      <c r="AH1246" s="1066"/>
      <c r="AI1246" s="1066"/>
      <c r="AJ1246" s="1066"/>
      <c r="AK1246" s="1066"/>
      <c r="AL1246" s="1066"/>
      <c r="AM1246" s="1066"/>
      <c r="AN1246" s="1066"/>
      <c r="AO1246" s="1066"/>
      <c r="AP1246" s="1066"/>
      <c r="AQ1246" s="1066"/>
      <c r="AR1246" s="1066"/>
      <c r="AS1246" s="1066"/>
      <c r="AT1246" s="1066"/>
      <c r="AU1246" s="1066"/>
      <c r="AV1246" s="1066"/>
      <c r="AW1246" s="1066"/>
      <c r="AX1246" s="1066"/>
      <c r="AY1246" s="1066"/>
      <c r="AZ1246" s="1066"/>
      <c r="BA1246" s="1066"/>
      <c r="BB1246" s="1066"/>
      <c r="BC1246" s="1066"/>
      <c r="BD1246" s="1066"/>
      <c r="BE1246" s="1066"/>
      <c r="BF1246" s="1066"/>
      <c r="BG1246" s="1066"/>
      <c r="BH1246" s="1066"/>
      <c r="BI1246" s="1066"/>
      <c r="BJ1246" s="1066"/>
      <c r="BK1246" s="1066"/>
      <c r="BL1246" s="1066"/>
    </row>
    <row r="1247" spans="1:64">
      <c r="A1247" s="1823"/>
      <c r="B1247" s="1823"/>
      <c r="C1247" s="1817" t="s">
        <v>1182</v>
      </c>
      <c r="D1247" s="1093">
        <f>'Civil-SOR'!$F$269+('Civil-SOR'!$F$269*16.66%)</f>
        <v>310.31560000000002</v>
      </c>
      <c r="E1247" s="1093">
        <f>'Civil-SOR'!$F$269+('Civil-SOR'!$F$269*16.66%)</f>
        <v>310.31560000000002</v>
      </c>
      <c r="F1247" s="1093">
        <f>'Civil-SOR'!$F$269+('Civil-SOR'!$F$269*16.66%)</f>
        <v>310.31560000000002</v>
      </c>
      <c r="G1247" s="1093">
        <f>'Civil-SOR'!$F$269+('Civil-SOR'!$F$269*16.66%)</f>
        <v>310.31560000000002</v>
      </c>
      <c r="H1247" s="1093">
        <f>'Civil-SOR'!$F$269+('Civil-SOR'!$F$269*16.66%)</f>
        <v>310.31560000000002</v>
      </c>
      <c r="I1247" s="1093">
        <f>'Civil-SOR'!$F$269+('Civil-SOR'!$F$269*16.66%)</f>
        <v>310.31560000000002</v>
      </c>
      <c r="J1247" s="1846"/>
      <c r="K1247" s="1846"/>
      <c r="L1247" s="1846"/>
      <c r="Q1247" s="1066"/>
      <c r="R1247" s="1066"/>
      <c r="S1247" s="1066"/>
      <c r="T1247" s="1066"/>
      <c r="U1247" s="1066"/>
      <c r="V1247" s="1066"/>
      <c r="W1247" s="1066"/>
      <c r="X1247" s="1066"/>
      <c r="Y1247" s="1066"/>
      <c r="Z1247" s="1066"/>
      <c r="AA1247" s="1066"/>
      <c r="AB1247" s="1066"/>
      <c r="AC1247" s="1066"/>
      <c r="AD1247" s="1066"/>
      <c r="AE1247" s="1066"/>
      <c r="AF1247" s="1066"/>
      <c r="AG1247" s="1066"/>
      <c r="AH1247" s="1066"/>
      <c r="AI1247" s="1066"/>
      <c r="AJ1247" s="1066"/>
      <c r="AK1247" s="1066"/>
      <c r="AL1247" s="1066"/>
      <c r="AM1247" s="1066"/>
      <c r="AN1247" s="1066"/>
      <c r="AO1247" s="1066"/>
      <c r="AP1247" s="1066"/>
      <c r="AQ1247" s="1066"/>
      <c r="AR1247" s="1066"/>
      <c r="AS1247" s="1066"/>
      <c r="AT1247" s="1066"/>
      <c r="AU1247" s="1066"/>
      <c r="AV1247" s="1066"/>
      <c r="AW1247" s="1066"/>
      <c r="AX1247" s="1066"/>
      <c r="AY1247" s="1066"/>
      <c r="AZ1247" s="1066"/>
      <c r="BA1247" s="1066"/>
      <c r="BB1247" s="1066"/>
      <c r="BC1247" s="1066"/>
      <c r="BD1247" s="1066"/>
      <c r="BE1247" s="1066"/>
      <c r="BF1247" s="1066"/>
      <c r="BG1247" s="1066"/>
      <c r="BH1247" s="1066"/>
      <c r="BI1247" s="1066"/>
      <c r="BJ1247" s="1066"/>
      <c r="BK1247" s="1066"/>
      <c r="BL1247" s="1066"/>
    </row>
    <row r="1248" spans="1:64">
      <c r="A1248" s="1823"/>
      <c r="B1248" s="1823"/>
      <c r="C1248" s="1817" t="s">
        <v>1269</v>
      </c>
      <c r="D1248" s="1001">
        <f>'Civil-SOR'!$G$269+('Civil-SOR'!$G$269*16.66%)</f>
        <v>303.31600000000003</v>
      </c>
      <c r="E1248" s="1001">
        <f>'Civil-SOR'!$H$269+('Civil-SOR'!$H$269*16.66%)</f>
        <v>333.64760000000001</v>
      </c>
      <c r="F1248" s="1001">
        <f>'Civil-SOR'!$I$269+('Civil-SOR'!$I$269*16.66%)</f>
        <v>363.97919999999999</v>
      </c>
      <c r="G1248" s="1001">
        <f>'Civil-SOR'!$J$269+('Civil-SOR'!$J$269*16.66%)</f>
        <v>394.31079999999997</v>
      </c>
      <c r="H1248" s="1001">
        <f>'Civil-SOR'!$K$269+('Civil-SOR'!$K$269*16.66%)</f>
        <v>424.64240000000001</v>
      </c>
      <c r="I1248" s="1001">
        <f>'Civil-SOR'!$L$269+('Civil-SOR'!$L$269*16.66%)</f>
        <v>454.97399999999999</v>
      </c>
      <c r="J1248" s="1846"/>
      <c r="K1248" s="1846"/>
      <c r="L1248" s="1846"/>
      <c r="Q1248" s="1066"/>
      <c r="R1248" s="1066"/>
      <c r="S1248" s="1066"/>
      <c r="T1248" s="1066"/>
      <c r="U1248" s="1066"/>
      <c r="V1248" s="1066"/>
      <c r="W1248" s="1066"/>
      <c r="X1248" s="1066"/>
      <c r="Y1248" s="1066"/>
      <c r="Z1248" s="1066"/>
      <c r="AA1248" s="1066"/>
      <c r="AB1248" s="1066"/>
      <c r="AC1248" s="1066"/>
      <c r="AD1248" s="1066"/>
      <c r="AE1248" s="1066"/>
      <c r="AF1248" s="1066"/>
      <c r="AG1248" s="1066"/>
      <c r="AH1248" s="1066"/>
      <c r="AI1248" s="1066"/>
      <c r="AJ1248" s="1066"/>
      <c r="AK1248" s="1066"/>
      <c r="AL1248" s="1066"/>
      <c r="AM1248" s="1066"/>
      <c r="AN1248" s="1066"/>
      <c r="AO1248" s="1066"/>
      <c r="AP1248" s="1066"/>
      <c r="AQ1248" s="1066"/>
      <c r="AR1248" s="1066"/>
      <c r="AS1248" s="1066"/>
      <c r="AT1248" s="1066"/>
      <c r="AU1248" s="1066"/>
      <c r="AV1248" s="1066"/>
      <c r="AW1248" s="1066"/>
      <c r="AX1248" s="1066"/>
      <c r="AY1248" s="1066"/>
      <c r="AZ1248" s="1066"/>
      <c r="BA1248" s="1066"/>
      <c r="BB1248" s="1066"/>
      <c r="BC1248" s="1066"/>
      <c r="BD1248" s="1066"/>
      <c r="BE1248" s="1066"/>
      <c r="BF1248" s="1066"/>
      <c r="BG1248" s="1066"/>
      <c r="BH1248" s="1066"/>
      <c r="BI1248" s="1066"/>
      <c r="BJ1248" s="1066"/>
      <c r="BK1248" s="1066"/>
      <c r="BL1248" s="1066"/>
    </row>
    <row r="1249" spans="1:64">
      <c r="A1249" s="1823"/>
      <c r="B1249" s="1823"/>
      <c r="C1249" s="1817" t="str">
        <f>Input!$C$47</f>
        <v>Add for MA @ 40%</v>
      </c>
      <c r="D1249" s="1093">
        <f>D1248*Input!$D$47</f>
        <v>121.32640000000002</v>
      </c>
      <c r="E1249" s="1093">
        <f>E1248*Input!$D$47</f>
        <v>133.45904000000002</v>
      </c>
      <c r="F1249" s="1093">
        <f>F1248*Input!$D$47</f>
        <v>145.59168</v>
      </c>
      <c r="G1249" s="1093">
        <f>G1248*Input!$D$47</f>
        <v>157.72432000000001</v>
      </c>
      <c r="H1249" s="1093">
        <f>H1248*Input!$D$47</f>
        <v>169.85696000000002</v>
      </c>
      <c r="I1249" s="1093">
        <f>I1248*Input!$D$47</f>
        <v>181.9896</v>
      </c>
      <c r="J1249" s="1846"/>
      <c r="K1249" s="1846"/>
      <c r="L1249" s="1846"/>
      <c r="Q1249" s="1066"/>
      <c r="R1249" s="1066"/>
      <c r="S1249" s="1066"/>
      <c r="T1249" s="1066"/>
      <c r="U1249" s="1066"/>
      <c r="V1249" s="1066"/>
      <c r="W1249" s="1066"/>
      <c r="X1249" s="1066"/>
      <c r="Y1249" s="1066"/>
      <c r="Z1249" s="1066"/>
      <c r="AA1249" s="1066"/>
      <c r="AB1249" s="1066"/>
      <c r="AC1249" s="1066"/>
      <c r="AD1249" s="1066"/>
      <c r="AE1249" s="1066"/>
      <c r="AF1249" s="1066"/>
      <c r="AG1249" s="1066"/>
      <c r="AH1249" s="1066"/>
      <c r="AI1249" s="1066"/>
      <c r="AJ1249" s="1066"/>
      <c r="AK1249" s="1066"/>
      <c r="AL1249" s="1066"/>
      <c r="AM1249" s="1066"/>
      <c r="AN1249" s="1066"/>
      <c r="AO1249" s="1066"/>
      <c r="AP1249" s="1066"/>
      <c r="AQ1249" s="1066"/>
      <c r="AR1249" s="1066"/>
      <c r="AS1249" s="1066"/>
      <c r="AT1249" s="1066"/>
      <c r="AU1249" s="1066"/>
      <c r="AV1249" s="1066"/>
      <c r="AW1249" s="1066"/>
      <c r="AX1249" s="1066"/>
      <c r="AY1249" s="1066"/>
      <c r="AZ1249" s="1066"/>
      <c r="BA1249" s="1066"/>
      <c r="BB1249" s="1066"/>
      <c r="BC1249" s="1066"/>
      <c r="BD1249" s="1066"/>
      <c r="BE1249" s="1066"/>
      <c r="BF1249" s="1066"/>
      <c r="BG1249" s="1066"/>
      <c r="BH1249" s="1066"/>
      <c r="BI1249" s="1066"/>
      <c r="BJ1249" s="1066"/>
      <c r="BK1249" s="1066"/>
      <c r="BL1249" s="1066"/>
    </row>
    <row r="1250" spans="1:64" ht="25.5">
      <c r="A1250" s="1823"/>
      <c r="B1250" s="1823"/>
      <c r="C1250" s="1817" t="s">
        <v>1270</v>
      </c>
      <c r="D1250" s="1093">
        <v>0</v>
      </c>
      <c r="E1250" s="1093">
        <f>0.267*$D$1199*'Civil-SOR'!$G$334</f>
        <v>15.166935000000002</v>
      </c>
      <c r="F1250" s="1093">
        <f t="shared" ref="F1250:F1251" si="247">E1250*1.1</f>
        <v>16.683628500000005</v>
      </c>
      <c r="G1250" s="1093">
        <f t="shared" ref="G1250:G1251" si="248">E1250*1.2</f>
        <v>18.200322000000003</v>
      </c>
      <c r="H1250" s="1093">
        <f t="shared" ref="H1250:H1251" si="249">E1250*1.3</f>
        <v>19.717015500000002</v>
      </c>
      <c r="I1250" s="1093">
        <f t="shared" ref="I1250:I1251" si="250">E1250*1.4</f>
        <v>21.233709000000001</v>
      </c>
      <c r="J1250" s="1846"/>
      <c r="K1250" s="1846"/>
      <c r="L1250" s="1846"/>
      <c r="Q1250" s="1066"/>
      <c r="R1250" s="1066"/>
      <c r="S1250" s="1066"/>
      <c r="T1250" s="1066"/>
      <c r="U1250" s="1066"/>
      <c r="V1250" s="1066"/>
      <c r="W1250" s="1066"/>
      <c r="X1250" s="1066"/>
      <c r="Y1250" s="1066"/>
      <c r="Z1250" s="1066"/>
      <c r="AA1250" s="1066"/>
      <c r="AB1250" s="1066"/>
      <c r="AC1250" s="1066"/>
      <c r="AD1250" s="1066"/>
      <c r="AE1250" s="1066"/>
      <c r="AF1250" s="1066"/>
      <c r="AG1250" s="1066"/>
      <c r="AH1250" s="1066"/>
      <c r="AI1250" s="1066"/>
      <c r="AJ1250" s="1066"/>
      <c r="AK1250" s="1066"/>
      <c r="AL1250" s="1066"/>
      <c r="AM1250" s="1066"/>
      <c r="AN1250" s="1066"/>
      <c r="AO1250" s="1066"/>
      <c r="AP1250" s="1066"/>
      <c r="AQ1250" s="1066"/>
      <c r="AR1250" s="1066"/>
      <c r="AS1250" s="1066"/>
      <c r="AT1250" s="1066"/>
      <c r="AU1250" s="1066"/>
      <c r="AV1250" s="1066"/>
      <c r="AW1250" s="1066"/>
      <c r="AX1250" s="1066"/>
      <c r="AY1250" s="1066"/>
      <c r="AZ1250" s="1066"/>
      <c r="BA1250" s="1066"/>
      <c r="BB1250" s="1066"/>
      <c r="BC1250" s="1066"/>
      <c r="BD1250" s="1066"/>
      <c r="BE1250" s="1066"/>
      <c r="BF1250" s="1066"/>
      <c r="BG1250" s="1066"/>
      <c r="BH1250" s="1066"/>
      <c r="BI1250" s="1066"/>
      <c r="BJ1250" s="1066"/>
      <c r="BK1250" s="1066"/>
      <c r="BL1250" s="1066"/>
    </row>
    <row r="1251" spans="1:64">
      <c r="A1251" s="1823"/>
      <c r="B1251" s="1823"/>
      <c r="C1251" s="1817" t="s">
        <v>579</v>
      </c>
      <c r="D1251" s="1093">
        <v>0</v>
      </c>
      <c r="E1251" s="1093">
        <f>0.267*$D$1199*'Civil-SOR'!$J$334</f>
        <v>14.43402</v>
      </c>
      <c r="F1251" s="1093">
        <f t="shared" si="247"/>
        <v>15.877422000000001</v>
      </c>
      <c r="G1251" s="1093">
        <f t="shared" si="248"/>
        <v>17.320823999999998</v>
      </c>
      <c r="H1251" s="1093">
        <f t="shared" si="249"/>
        <v>18.764226000000001</v>
      </c>
      <c r="I1251" s="1093">
        <f t="shared" si="250"/>
        <v>20.207628</v>
      </c>
      <c r="J1251" s="1846"/>
      <c r="K1251" s="1846"/>
      <c r="L1251" s="1846"/>
      <c r="Q1251" s="1066"/>
      <c r="R1251" s="1066"/>
      <c r="S1251" s="1066"/>
      <c r="T1251" s="1066"/>
      <c r="U1251" s="1066"/>
      <c r="V1251" s="1066"/>
      <c r="W1251" s="1066"/>
      <c r="X1251" s="1066"/>
      <c r="Y1251" s="1066"/>
      <c r="Z1251" s="1066"/>
      <c r="AA1251" s="1066"/>
      <c r="AB1251" s="1066"/>
      <c r="AC1251" s="1066"/>
      <c r="AD1251" s="1066"/>
      <c r="AE1251" s="1066"/>
      <c r="AF1251" s="1066"/>
      <c r="AG1251" s="1066"/>
      <c r="AH1251" s="1066"/>
      <c r="AI1251" s="1066"/>
      <c r="AJ1251" s="1066"/>
      <c r="AK1251" s="1066"/>
      <c r="AL1251" s="1066"/>
      <c r="AM1251" s="1066"/>
      <c r="AN1251" s="1066"/>
      <c r="AO1251" s="1066"/>
      <c r="AP1251" s="1066"/>
      <c r="AQ1251" s="1066"/>
      <c r="AR1251" s="1066"/>
      <c r="AS1251" s="1066"/>
      <c r="AT1251" s="1066"/>
      <c r="AU1251" s="1066"/>
      <c r="AV1251" s="1066"/>
      <c r="AW1251" s="1066"/>
      <c r="AX1251" s="1066"/>
      <c r="AY1251" s="1066"/>
      <c r="AZ1251" s="1066"/>
      <c r="BA1251" s="1066"/>
      <c r="BB1251" s="1066"/>
      <c r="BC1251" s="1066"/>
      <c r="BD1251" s="1066"/>
      <c r="BE1251" s="1066"/>
      <c r="BF1251" s="1066"/>
      <c r="BG1251" s="1066"/>
      <c r="BH1251" s="1066"/>
      <c r="BI1251" s="1066"/>
      <c r="BJ1251" s="1066"/>
      <c r="BK1251" s="1066"/>
      <c r="BL1251" s="1066"/>
    </row>
    <row r="1252" spans="1:64">
      <c r="A1252" s="1823"/>
      <c r="B1252" s="1823"/>
      <c r="C1252" s="1817" t="str">
        <f>Input!$C$47</f>
        <v>Add for MA @ 40%</v>
      </c>
      <c r="D1252" s="1848">
        <f>D1251*Input!$D$47</f>
        <v>0</v>
      </c>
      <c r="E1252" s="1093">
        <f>E1251*Input!$D$47</f>
        <v>5.7736080000000003</v>
      </c>
      <c r="F1252" s="1093">
        <f>F1251*Input!$D$47</f>
        <v>6.3509688000000004</v>
      </c>
      <c r="G1252" s="1093">
        <f>G1251*Input!$D$47</f>
        <v>6.9283295999999996</v>
      </c>
      <c r="H1252" s="1093">
        <f>H1251*Input!$D$47</f>
        <v>7.5056904000000007</v>
      </c>
      <c r="I1252" s="1093">
        <f>I1251*Input!$D$47</f>
        <v>8.0830511999999999</v>
      </c>
      <c r="J1252" s="1846"/>
      <c r="K1252" s="1846"/>
      <c r="L1252" s="1846"/>
      <c r="Q1252" s="1006"/>
      <c r="R1252" s="1006"/>
      <c r="S1252" s="1006"/>
      <c r="T1252" s="1006"/>
      <c r="U1252" s="1006"/>
      <c r="V1252" s="1006"/>
      <c r="W1252" s="1006"/>
      <c r="X1252" s="1006"/>
      <c r="Y1252" s="1006"/>
      <c r="Z1252" s="1006"/>
      <c r="AA1252" s="1006"/>
      <c r="AB1252" s="1006"/>
      <c r="AC1252" s="1006"/>
      <c r="AD1252" s="1006"/>
      <c r="AE1252" s="1006"/>
      <c r="AF1252" s="1006"/>
      <c r="AG1252" s="1006"/>
      <c r="AH1252" s="1006"/>
      <c r="AI1252" s="1006"/>
      <c r="AJ1252" s="1006"/>
      <c r="AK1252" s="1006"/>
      <c r="AL1252" s="1006"/>
      <c r="AM1252" s="1006"/>
      <c r="AN1252" s="1006"/>
      <c r="AO1252" s="1006"/>
      <c r="AP1252" s="1006"/>
      <c r="AQ1252" s="1006"/>
      <c r="AR1252" s="1006"/>
      <c r="AS1252" s="1006"/>
      <c r="AT1252" s="1006"/>
      <c r="AU1252" s="1006"/>
      <c r="AV1252" s="1006"/>
      <c r="AW1252" s="1006"/>
      <c r="AX1252" s="1006"/>
      <c r="AY1252" s="1006"/>
      <c r="AZ1252" s="1006"/>
      <c r="BA1252" s="1006"/>
      <c r="BB1252" s="1006"/>
      <c r="BC1252" s="1006"/>
      <c r="BD1252" s="1006"/>
      <c r="BE1252" s="1006"/>
      <c r="BF1252" s="1006"/>
      <c r="BG1252" s="1006"/>
      <c r="BH1252" s="1006"/>
      <c r="BI1252" s="1006"/>
      <c r="BJ1252" s="1006"/>
      <c r="BK1252" s="1006"/>
      <c r="BL1252" s="1006"/>
    </row>
    <row r="1253" spans="1:64">
      <c r="A1253" s="1023"/>
      <c r="B1253" s="1023"/>
      <c r="C1253" s="1816" t="s">
        <v>1045</v>
      </c>
      <c r="D1253" s="1829">
        <f t="shared" ref="D1253:I1253" si="251">SUM(D1246:D1252)</f>
        <v>1763.6083919999999</v>
      </c>
      <c r="E1253" s="1829">
        <f t="shared" si="251"/>
        <v>1841.4471949999997</v>
      </c>
      <c r="F1253" s="1829">
        <f t="shared" si="251"/>
        <v>1887.4488912999998</v>
      </c>
      <c r="G1253" s="1829">
        <f t="shared" si="251"/>
        <v>1933.4505875999998</v>
      </c>
      <c r="H1253" s="1829">
        <f t="shared" si="251"/>
        <v>1979.4522839000001</v>
      </c>
      <c r="I1253" s="1829">
        <f t="shared" si="251"/>
        <v>2025.4539802000002</v>
      </c>
      <c r="J1253" s="1846"/>
      <c r="K1253" s="1846"/>
      <c r="L1253" s="1846"/>
      <c r="Q1253" s="997"/>
      <c r="R1253" s="997"/>
      <c r="S1253" s="997"/>
      <c r="T1253" s="997"/>
      <c r="U1253" s="997"/>
      <c r="V1253" s="997"/>
      <c r="W1253" s="997"/>
      <c r="X1253" s="997"/>
      <c r="Y1253" s="997"/>
      <c r="Z1253" s="997"/>
      <c r="AA1253" s="997"/>
      <c r="AB1253" s="997"/>
      <c r="AC1253" s="997"/>
      <c r="AD1253" s="997"/>
      <c r="AE1253" s="997"/>
      <c r="AF1253" s="997"/>
      <c r="AG1253" s="997"/>
      <c r="AH1253" s="997"/>
      <c r="AI1253" s="997"/>
      <c r="AJ1253" s="997"/>
      <c r="AK1253" s="997"/>
      <c r="AL1253" s="997"/>
      <c r="AM1253" s="997"/>
      <c r="AN1253" s="997"/>
      <c r="AO1253" s="997"/>
      <c r="AP1253" s="997"/>
      <c r="AQ1253" s="997"/>
      <c r="AR1253" s="997"/>
      <c r="AS1253" s="997"/>
      <c r="AT1253" s="997"/>
      <c r="AU1253" s="997"/>
      <c r="AV1253" s="997"/>
      <c r="AW1253" s="997"/>
      <c r="AX1253" s="997"/>
      <c r="AY1253" s="997"/>
      <c r="AZ1253" s="997"/>
      <c r="BA1253" s="997"/>
      <c r="BB1253" s="997"/>
      <c r="BC1253" s="997"/>
      <c r="BD1253" s="997"/>
      <c r="BE1253" s="997"/>
      <c r="BF1253" s="997"/>
      <c r="BG1253" s="997"/>
      <c r="BH1253" s="997"/>
      <c r="BI1253" s="997"/>
      <c r="BJ1253" s="997"/>
      <c r="BK1253" s="997"/>
      <c r="BL1253" s="997"/>
    </row>
    <row r="1254" spans="1:64">
      <c r="A1254" s="1823"/>
      <c r="B1254" s="1823"/>
      <c r="C1254" s="1817" t="str">
        <f>Input!$C$48</f>
        <v>Overheads &amp; Contractors Profit @ 13.615%</v>
      </c>
      <c r="D1254" s="1823">
        <f>ROUND(D1253*Input!$D$48,2)</f>
        <v>240.12</v>
      </c>
      <c r="E1254" s="1823">
        <f>ROUND(E1253*Input!$D$48,2)</f>
        <v>250.71</v>
      </c>
      <c r="F1254" s="1823">
        <f>ROUND(F1253*Input!$D$48,2)</f>
        <v>256.98</v>
      </c>
      <c r="G1254" s="1823">
        <f>ROUND(G1253*Input!$D$48,2)</f>
        <v>263.24</v>
      </c>
      <c r="H1254" s="1823">
        <f>ROUND(H1253*Input!$D$48,2)</f>
        <v>269.5</v>
      </c>
      <c r="I1254" s="1823">
        <f>ROUND(I1253*Input!$D$48,2)</f>
        <v>275.77</v>
      </c>
      <c r="J1254" s="1846"/>
      <c r="K1254" s="1846"/>
      <c r="L1254" s="1846"/>
    </row>
    <row r="1255" spans="1:64">
      <c r="A1255" s="1023"/>
      <c r="B1255" s="1023"/>
      <c r="C1255" s="1816" t="s">
        <v>1045</v>
      </c>
      <c r="D1255" s="1834">
        <f t="shared" ref="D1255:I1255" si="252">ROUND(SUM(D1253:D1254),0)</f>
        <v>2004</v>
      </c>
      <c r="E1255" s="1834">
        <f t="shared" si="252"/>
        <v>2092</v>
      </c>
      <c r="F1255" s="1834">
        <f t="shared" si="252"/>
        <v>2144</v>
      </c>
      <c r="G1255" s="1834">
        <f t="shared" si="252"/>
        <v>2197</v>
      </c>
      <c r="H1255" s="1834">
        <f t="shared" si="252"/>
        <v>2249</v>
      </c>
      <c r="I1255" s="1834">
        <f t="shared" si="252"/>
        <v>2301</v>
      </c>
      <c r="J1255" s="1846"/>
      <c r="K1255" s="1846"/>
      <c r="L1255" s="1846"/>
    </row>
    <row r="1256" spans="1:64">
      <c r="A1256" s="1023"/>
      <c r="B1256" s="1023"/>
      <c r="C1256" s="1843"/>
      <c r="D1256" s="999"/>
      <c r="E1256" s="999"/>
      <c r="F1256" s="999"/>
      <c r="G1256" s="999"/>
      <c r="H1256" s="999"/>
      <c r="I1256" s="999"/>
      <c r="J1256" s="1846"/>
      <c r="K1256" s="1846"/>
      <c r="L1256" s="1846"/>
    </row>
    <row r="1257" spans="1:64" ht="12.75" customHeight="1">
      <c r="A1257" s="1823"/>
      <c r="B1257" s="1068"/>
      <c r="C1257" s="2045" t="s">
        <v>1273</v>
      </c>
      <c r="D1257" s="2045"/>
      <c r="E1257" s="2045"/>
      <c r="F1257" s="1114"/>
      <c r="G1257" s="1133"/>
      <c r="H1257" s="1114"/>
      <c r="I1257" s="1009"/>
      <c r="J1257" s="1846"/>
      <c r="K1257" s="1846"/>
      <c r="L1257" s="1846"/>
    </row>
    <row r="1258" spans="1:64">
      <c r="A1258" s="1823"/>
      <c r="B1258" s="1098" t="s">
        <v>1215</v>
      </c>
      <c r="C1258" s="1821" t="s">
        <v>1222</v>
      </c>
      <c r="D1258" s="1846"/>
      <c r="E1258" s="1846"/>
      <c r="F1258" s="1068"/>
      <c r="G1258" s="1105"/>
      <c r="H1258" s="1846"/>
      <c r="I1258" s="1080"/>
      <c r="J1258" s="1846"/>
      <c r="K1258" s="1846"/>
      <c r="L1258" s="1846"/>
    </row>
    <row r="1259" spans="1:64">
      <c r="A1259" s="1823"/>
      <c r="B1259" s="1068"/>
      <c r="C1259" s="1816" t="s">
        <v>1217</v>
      </c>
      <c r="D1259" s="1098" t="s">
        <v>1268</v>
      </c>
      <c r="E1259" s="1098" t="s">
        <v>1207</v>
      </c>
      <c r="F1259" s="1102" t="s">
        <v>1208</v>
      </c>
      <c r="G1259" s="1102" t="s">
        <v>1209</v>
      </c>
      <c r="H1259" s="1102"/>
      <c r="I1259" s="1102"/>
      <c r="J1259" s="1846"/>
      <c r="K1259" s="1846"/>
      <c r="L1259" s="1846"/>
    </row>
    <row r="1260" spans="1:64">
      <c r="A1260" s="1823"/>
      <c r="B1260" s="1823"/>
      <c r="C1260" s="1817" t="s">
        <v>1218</v>
      </c>
      <c r="D1260" s="1848">
        <f>+$I$1199</f>
        <v>1028.650392</v>
      </c>
      <c r="E1260" s="1848">
        <f>+$I$1199</f>
        <v>1028.650392</v>
      </c>
      <c r="F1260" s="1848">
        <f>+$I$1199</f>
        <v>1028.650392</v>
      </c>
      <c r="G1260" s="1848">
        <f>+$I$1199</f>
        <v>1028.650392</v>
      </c>
      <c r="H1260" s="1093"/>
      <c r="I1260" s="1093"/>
      <c r="J1260" s="1846"/>
      <c r="K1260" s="1846"/>
      <c r="L1260" s="1846"/>
    </row>
    <row r="1261" spans="1:64">
      <c r="A1261" s="1823"/>
      <c r="B1261" s="1823"/>
      <c r="C1261" s="1817" t="s">
        <v>1182</v>
      </c>
      <c r="D1261" s="1093">
        <f>'Civil-SOR'!$F$269+('Civil-SOR'!$F$269*32.32%)</f>
        <v>351.97120000000001</v>
      </c>
      <c r="E1261" s="1093">
        <f>'Civil-SOR'!$F$269+('Civil-SOR'!$F$269*33.32%)</f>
        <v>354.63119999999998</v>
      </c>
      <c r="F1261" s="1093">
        <f>'Civil-SOR'!$F$269+('Civil-SOR'!$F$269*33.32%)</f>
        <v>354.63119999999998</v>
      </c>
      <c r="G1261" s="1093">
        <f>'Civil-SOR'!$F$269+('Civil-SOR'!$F$269*33.32%)</f>
        <v>354.63119999999998</v>
      </c>
      <c r="H1261" s="1093"/>
      <c r="I1261" s="1093"/>
      <c r="J1261" s="1846"/>
      <c r="K1261" s="1846"/>
      <c r="L1261" s="1846"/>
    </row>
    <row r="1262" spans="1:64">
      <c r="A1262" s="1823"/>
      <c r="B1262" s="1823"/>
      <c r="C1262" s="1817" t="s">
        <v>1269</v>
      </c>
      <c r="D1262" s="1001">
        <f>'Civil-SOR'!$G$269+('Civil-SOR'!$G$269*33.32%)</f>
        <v>346.63200000000001</v>
      </c>
      <c r="E1262" s="1001">
        <f>'Civil-SOR'!$H$269+('Civil-SOR'!$H$269*33.32%)</f>
        <v>381.29520000000002</v>
      </c>
      <c r="F1262" s="1001">
        <f>'Civil-SOR'!$I$269+('Civil-SOR'!$I$269*33.32%)</f>
        <v>415.95839999999998</v>
      </c>
      <c r="G1262" s="1001">
        <f>'Civil-SOR'!$J$269+('Civil-SOR'!$J$269*33.32%)</f>
        <v>450.6216</v>
      </c>
      <c r="H1262" s="1001"/>
      <c r="I1262" s="1001"/>
      <c r="J1262" s="1846"/>
      <c r="K1262" s="1846"/>
      <c r="L1262" s="1846"/>
    </row>
    <row r="1263" spans="1:64">
      <c r="A1263" s="1823"/>
      <c r="B1263" s="1823"/>
      <c r="C1263" s="1817" t="str">
        <f>Input!$C$47</f>
        <v>Add for MA @ 40%</v>
      </c>
      <c r="D1263" s="1093">
        <f>D1262*Input!$D$47</f>
        <v>138.65280000000001</v>
      </c>
      <c r="E1263" s="1093">
        <f>E1262*Input!$D$47</f>
        <v>152.51808000000003</v>
      </c>
      <c r="F1263" s="1093">
        <f>F1262*Input!$D$47</f>
        <v>166.38336000000001</v>
      </c>
      <c r="G1263" s="1093">
        <f>G1262*Input!$D$47</f>
        <v>180.24864000000002</v>
      </c>
      <c r="H1263" s="1093"/>
      <c r="I1263" s="1093"/>
      <c r="J1263" s="1846"/>
      <c r="K1263" s="1846"/>
      <c r="L1263" s="1846"/>
    </row>
    <row r="1264" spans="1:64" ht="25.5">
      <c r="A1264" s="1823"/>
      <c r="B1264" s="1823"/>
      <c r="C1264" s="1817" t="s">
        <v>1270</v>
      </c>
      <c r="D1264" s="1093">
        <v>0</v>
      </c>
      <c r="E1264" s="1093">
        <f>0.267*$D$1199*'Civil-SOR'!$G$334</f>
        <v>15.166935000000002</v>
      </c>
      <c r="F1264" s="1093">
        <f t="shared" ref="F1264:F1265" si="253">E1264*1.1</f>
        <v>16.683628500000005</v>
      </c>
      <c r="G1264" s="1093">
        <f t="shared" ref="G1264:G1265" si="254">E1264*1.2</f>
        <v>18.200322000000003</v>
      </c>
      <c r="H1264" s="1093"/>
      <c r="I1264" s="1093"/>
      <c r="J1264" s="1846"/>
      <c r="K1264" s="1846"/>
      <c r="L1264" s="1846"/>
    </row>
    <row r="1265" spans="1:12">
      <c r="A1265" s="1823"/>
      <c r="B1265" s="1823"/>
      <c r="C1265" s="1817" t="s">
        <v>579</v>
      </c>
      <c r="D1265" s="1093">
        <v>0</v>
      </c>
      <c r="E1265" s="1093">
        <f>0.267*$D$1199*'Civil-SOR'!$J$334</f>
        <v>14.43402</v>
      </c>
      <c r="F1265" s="1093">
        <f t="shared" si="253"/>
        <v>15.877422000000001</v>
      </c>
      <c r="G1265" s="1093">
        <f t="shared" si="254"/>
        <v>17.320823999999998</v>
      </c>
      <c r="H1265" s="1093"/>
      <c r="I1265" s="1093"/>
      <c r="J1265" s="1846"/>
      <c r="K1265" s="1846"/>
      <c r="L1265" s="1846"/>
    </row>
    <row r="1266" spans="1:12">
      <c r="A1266" s="1823"/>
      <c r="B1266" s="1823"/>
      <c r="C1266" s="1817" t="str">
        <f>Input!$C$47</f>
        <v>Add for MA @ 40%</v>
      </c>
      <c r="D1266" s="1848">
        <f>D1265*Input!$D$47</f>
        <v>0</v>
      </c>
      <c r="E1266" s="1093">
        <f>E1265*Input!$D$47</f>
        <v>5.7736080000000003</v>
      </c>
      <c r="F1266" s="1093">
        <f>F1265*Input!$D$47</f>
        <v>6.3509688000000004</v>
      </c>
      <c r="G1266" s="1093">
        <f>G1265*Input!$D$47</f>
        <v>6.9283295999999996</v>
      </c>
      <c r="H1266" s="1093"/>
      <c r="I1266" s="1093"/>
      <c r="J1266" s="1846"/>
      <c r="K1266" s="1846"/>
      <c r="L1266" s="1846"/>
    </row>
    <row r="1267" spans="1:12">
      <c r="A1267" s="1023"/>
      <c r="B1267" s="1023"/>
      <c r="C1267" s="1816" t="s">
        <v>1045</v>
      </c>
      <c r="D1267" s="1829">
        <f>SUM(D1260:D1266)</f>
        <v>1865.9063920000001</v>
      </c>
      <c r="E1267" s="1829">
        <f>SUM(E1260:E1266)</f>
        <v>1952.469435</v>
      </c>
      <c r="F1267" s="1829">
        <f>SUM(F1260:F1266)</f>
        <v>2004.5353713</v>
      </c>
      <c r="G1267" s="1829">
        <f>SUM(G1260:G1266)</f>
        <v>2056.6013075999999</v>
      </c>
      <c r="H1267" s="1829"/>
      <c r="I1267" s="1829"/>
      <c r="J1267" s="1846"/>
      <c r="K1267" s="1846"/>
      <c r="L1267" s="1846"/>
    </row>
    <row r="1268" spans="1:12">
      <c r="A1268" s="1823"/>
      <c r="B1268" s="1823"/>
      <c r="C1268" s="1817" t="str">
        <f>Input!$C$48</f>
        <v>Overheads &amp; Contractors Profit @ 13.615%</v>
      </c>
      <c r="D1268" s="1823">
        <f>ROUND(D1267*Input!$D$48,2)</f>
        <v>254.04</v>
      </c>
      <c r="E1268" s="1823">
        <f>ROUND(E1267*Input!$D$48,2)</f>
        <v>265.83</v>
      </c>
      <c r="F1268" s="1823">
        <f>ROUND(F1267*Input!$D$48,2)</f>
        <v>272.92</v>
      </c>
      <c r="G1268" s="1823">
        <f>ROUND(G1267*Input!$D$48,2)</f>
        <v>280.01</v>
      </c>
      <c r="H1268" s="1823"/>
      <c r="I1268" s="1823"/>
      <c r="J1268" s="1846"/>
      <c r="K1268" s="1846"/>
      <c r="L1268" s="1846"/>
    </row>
    <row r="1269" spans="1:12">
      <c r="A1269" s="1023"/>
      <c r="B1269" s="1023"/>
      <c r="C1269" s="1816" t="s">
        <v>1045</v>
      </c>
      <c r="D1269" s="1829">
        <f>SUM(D1267:D1268)</f>
        <v>2119.9463920000003</v>
      </c>
      <c r="E1269" s="1829">
        <f>SUM(E1267:E1268)</f>
        <v>2218.2994349999999</v>
      </c>
      <c r="F1269" s="1829">
        <f>SUM(F1267:F1268)</f>
        <v>2277.4553713</v>
      </c>
      <c r="G1269" s="1829">
        <f>SUM(G1267:G1268)</f>
        <v>2336.6113076000001</v>
      </c>
      <c r="H1269" s="1829"/>
      <c r="I1269" s="1829"/>
      <c r="J1269" s="1846"/>
      <c r="K1269" s="1846"/>
      <c r="L1269" s="1846"/>
    </row>
    <row r="1270" spans="1:12">
      <c r="A1270" s="1023"/>
      <c r="B1270" s="1023"/>
      <c r="C1270" s="1843" t="s">
        <v>1034</v>
      </c>
      <c r="D1270" s="999">
        <f>ROUND(D1269,0)</f>
        <v>2120</v>
      </c>
      <c r="E1270" s="999">
        <f>ROUND(E1269,0)</f>
        <v>2218</v>
      </c>
      <c r="F1270" s="999">
        <f>ROUND(F1269,0)</f>
        <v>2277</v>
      </c>
      <c r="G1270" s="999">
        <f>ROUND(G1269,0)</f>
        <v>2337</v>
      </c>
      <c r="H1270" s="999"/>
      <c r="I1270" s="999"/>
      <c r="J1270" s="1846"/>
      <c r="K1270" s="1846"/>
      <c r="L1270" s="1846"/>
    </row>
    <row r="1271" spans="1:12">
      <c r="A1271" s="1823"/>
      <c r="B1271" s="1098" t="s">
        <v>433</v>
      </c>
      <c r="C1271" s="1821" t="s">
        <v>1274</v>
      </c>
      <c r="D1271" s="1846"/>
      <c r="E1271" s="1846"/>
      <c r="F1271" s="1068"/>
      <c r="G1271" s="1105"/>
      <c r="H1271" s="1098"/>
      <c r="I1271" s="1080"/>
      <c r="J1271" s="1846"/>
      <c r="K1271" s="1846"/>
      <c r="L1271" s="1846"/>
    </row>
    <row r="1272" spans="1:12">
      <c r="A1272" s="1823"/>
      <c r="B1272" s="1068"/>
      <c r="C1272" s="1817" t="s">
        <v>1181</v>
      </c>
      <c r="D1272" s="1132">
        <v>0.17499999999999999</v>
      </c>
      <c r="E1272" s="1846" t="s">
        <v>484</v>
      </c>
      <c r="F1272" s="1021">
        <f>$I$1039</f>
        <v>6857.6692800000001</v>
      </c>
      <c r="G1272" s="1105">
        <v>1</v>
      </c>
      <c r="H1272" s="1846" t="s">
        <v>484</v>
      </c>
      <c r="I1272" s="1011">
        <f>IF(G1272="",D1272*F1272,(D1272*F1272/G1272))</f>
        <v>1200.092124</v>
      </c>
      <c r="J1272" s="1846"/>
      <c r="K1272" s="1846"/>
      <c r="L1272" s="1846"/>
    </row>
    <row r="1273" spans="1:12">
      <c r="A1273" s="1823"/>
      <c r="B1273" s="1068"/>
      <c r="C1273" s="1817"/>
      <c r="D1273" s="1096"/>
      <c r="E1273" s="1846"/>
      <c r="F1273" s="1021"/>
      <c r="G1273" s="1105"/>
      <c r="H1273" s="1846"/>
      <c r="I1273" s="1011"/>
      <c r="J1273" s="1846"/>
      <c r="K1273" s="1846"/>
      <c r="L1273" s="1846"/>
    </row>
    <row r="1274" spans="1:12" ht="25.5">
      <c r="A1274" s="1823"/>
      <c r="B1274" s="1098" t="s">
        <v>1215</v>
      </c>
      <c r="C1274" s="1821" t="s">
        <v>1259</v>
      </c>
      <c r="D1274" s="1846"/>
      <c r="E1274" s="1846"/>
      <c r="F1274" s="1068"/>
      <c r="G1274" s="1105"/>
      <c r="H1274" s="1846"/>
      <c r="I1274" s="1080"/>
      <c r="J1274" s="1846"/>
      <c r="K1274" s="1846"/>
      <c r="L1274" s="1846"/>
    </row>
    <row r="1275" spans="1:12">
      <c r="A1275" s="1823"/>
      <c r="B1275" s="1068"/>
      <c r="C1275" s="1816" t="s">
        <v>1217</v>
      </c>
      <c r="D1275" s="1098" t="s">
        <v>1268</v>
      </c>
      <c r="E1275" s="1098" t="s">
        <v>1207</v>
      </c>
      <c r="F1275" s="1102" t="s">
        <v>1208</v>
      </c>
      <c r="G1275" s="1102" t="s">
        <v>1209</v>
      </c>
      <c r="H1275" s="1102" t="s">
        <v>1210</v>
      </c>
      <c r="I1275" s="1102" t="s">
        <v>1211</v>
      </c>
      <c r="J1275" s="1846"/>
      <c r="K1275" s="1846"/>
      <c r="L1275" s="1846"/>
    </row>
    <row r="1276" spans="1:12">
      <c r="A1276" s="1823"/>
      <c r="B1276" s="1823"/>
      <c r="C1276" s="1817" t="s">
        <v>1218</v>
      </c>
      <c r="D1276" s="1093">
        <f t="shared" ref="D1276:I1276" si="255">$I$1272</f>
        <v>1200.092124</v>
      </c>
      <c r="E1276" s="1093">
        <f t="shared" si="255"/>
        <v>1200.092124</v>
      </c>
      <c r="F1276" s="1093">
        <f t="shared" si="255"/>
        <v>1200.092124</v>
      </c>
      <c r="G1276" s="1093">
        <f t="shared" si="255"/>
        <v>1200.092124</v>
      </c>
      <c r="H1276" s="1093">
        <f t="shared" si="255"/>
        <v>1200.092124</v>
      </c>
      <c r="I1276" s="1093">
        <f t="shared" si="255"/>
        <v>1200.092124</v>
      </c>
      <c r="J1276" s="1846"/>
      <c r="K1276" s="1846"/>
      <c r="L1276" s="1846"/>
    </row>
    <row r="1277" spans="1:12">
      <c r="A1277" s="1823"/>
      <c r="B1277" s="1823"/>
      <c r="C1277" s="1817" t="s">
        <v>1182</v>
      </c>
      <c r="D1277" s="1093">
        <f>'Civil-SOR'!$F$270</f>
        <v>274</v>
      </c>
      <c r="E1277" s="1093">
        <f>'Civil-SOR'!$F$270</f>
        <v>274</v>
      </c>
      <c r="F1277" s="1093">
        <f>'Civil-SOR'!$F$270</f>
        <v>274</v>
      </c>
      <c r="G1277" s="1093">
        <f>'Civil-SOR'!$F$270</f>
        <v>274</v>
      </c>
      <c r="H1277" s="1093">
        <f>'Civil-SOR'!$F$270</f>
        <v>274</v>
      </c>
      <c r="I1277" s="1093">
        <f>'Civil-SOR'!$F$270</f>
        <v>274</v>
      </c>
      <c r="J1277" s="1846"/>
      <c r="K1277" s="1846"/>
      <c r="L1277" s="1846"/>
    </row>
    <row r="1278" spans="1:12">
      <c r="A1278" s="1823"/>
      <c r="B1278" s="1823"/>
      <c r="C1278" s="1817" t="s">
        <v>1269</v>
      </c>
      <c r="D1278" s="1001">
        <f>'Civil-SOR'!$G$270</f>
        <v>267</v>
      </c>
      <c r="E1278" s="1001">
        <f>'Civil-SOR'!$H$270</f>
        <v>294</v>
      </c>
      <c r="F1278" s="1001">
        <f>'Civil-SOR'!$I$270</f>
        <v>320</v>
      </c>
      <c r="G1278" s="1001">
        <f>'Civil-SOR'!$J$270</f>
        <v>347</v>
      </c>
      <c r="H1278" s="1001">
        <f>'Civil-SOR'!$K$270</f>
        <v>374</v>
      </c>
      <c r="I1278" s="1001">
        <f>'Civil-SOR'!$L$270</f>
        <v>401</v>
      </c>
      <c r="J1278" s="1846"/>
      <c r="K1278" s="1846"/>
      <c r="L1278" s="1846"/>
    </row>
    <row r="1279" spans="1:12">
      <c r="A1279" s="1823"/>
      <c r="B1279" s="1823"/>
      <c r="C1279" s="1817" t="str">
        <f>Input!$C$47</f>
        <v>Add for MA @ 40%</v>
      </c>
      <c r="D1279" s="1093">
        <f>D1278*Input!$D$47</f>
        <v>106.80000000000001</v>
      </c>
      <c r="E1279" s="1093">
        <f>E1278*Input!$D$47</f>
        <v>117.60000000000001</v>
      </c>
      <c r="F1279" s="1093">
        <f>F1278*Input!$D$47</f>
        <v>128</v>
      </c>
      <c r="G1279" s="1093">
        <f>G1278*Input!$D$47</f>
        <v>138.80000000000001</v>
      </c>
      <c r="H1279" s="1093">
        <f>H1278*Input!$D$47</f>
        <v>149.6</v>
      </c>
      <c r="I1279" s="1093">
        <f>I1278*Input!$D$47</f>
        <v>160.4</v>
      </c>
      <c r="J1279" s="1846"/>
      <c r="K1279" s="1846"/>
      <c r="L1279" s="1846"/>
    </row>
    <row r="1280" spans="1:12">
      <c r="A1280" s="1823"/>
      <c r="B1280" s="1823"/>
      <c r="C1280" s="1817" t="s">
        <v>1253</v>
      </c>
      <c r="D1280" s="1093">
        <v>0</v>
      </c>
      <c r="E1280" s="1093">
        <f>$D$1272*$F$1031*0.1</f>
        <v>29.960875000000001</v>
      </c>
      <c r="F1280" s="1093">
        <f>$D$1272*$F$1031*0.2</f>
        <v>59.921750000000003</v>
      </c>
      <c r="G1280" s="1093">
        <f>$D$1272*$F$1031*0.3</f>
        <v>89.88262499999999</v>
      </c>
      <c r="H1280" s="1093">
        <f>$D$1272*$F$1031*0.4</f>
        <v>119.84350000000001</v>
      </c>
      <c r="I1280" s="1093">
        <f>$D$1272*$F$1031*0.5</f>
        <v>149.80437499999999</v>
      </c>
      <c r="J1280" s="1846"/>
      <c r="K1280" s="1846"/>
      <c r="L1280" s="1846"/>
    </row>
    <row r="1281" spans="1:12">
      <c r="A1281" s="1823"/>
      <c r="B1281" s="1823"/>
      <c r="C1281" s="1817" t="str">
        <f>Input!$C$47</f>
        <v>Add for MA @ 40%</v>
      </c>
      <c r="D1281" s="1848">
        <f>D1280*Input!$D$47</f>
        <v>0</v>
      </c>
      <c r="E1281" s="1093">
        <f>E1280*Input!$D$47</f>
        <v>11.984350000000001</v>
      </c>
      <c r="F1281" s="1093">
        <f>F1280*Input!$D$47</f>
        <v>23.968700000000002</v>
      </c>
      <c r="G1281" s="1093">
        <f>G1280*Input!$D$47</f>
        <v>35.953049999999998</v>
      </c>
      <c r="H1281" s="1093">
        <f>H1280*Input!$D$47</f>
        <v>47.937400000000004</v>
      </c>
      <c r="I1281" s="1093">
        <f>I1280*Input!$D$47</f>
        <v>59.921750000000003</v>
      </c>
      <c r="J1281" s="1846"/>
      <c r="K1281" s="1846"/>
      <c r="L1281" s="1846"/>
    </row>
    <row r="1282" spans="1:12">
      <c r="A1282" s="1823"/>
      <c r="B1282" s="1023"/>
      <c r="C1282" s="1816" t="s">
        <v>1045</v>
      </c>
      <c r="D1282" s="1829">
        <f t="shared" ref="D1282:I1282" si="256">SUM(D1276:D1281)</f>
        <v>1847.892124</v>
      </c>
      <c r="E1282" s="1829">
        <f t="shared" si="256"/>
        <v>1927.6373489999999</v>
      </c>
      <c r="F1282" s="1829">
        <f t="shared" si="256"/>
        <v>2005.9825739999999</v>
      </c>
      <c r="G1282" s="1829">
        <f t="shared" si="256"/>
        <v>2085.7277990000002</v>
      </c>
      <c r="H1282" s="1829">
        <f t="shared" si="256"/>
        <v>2165.4730239999999</v>
      </c>
      <c r="I1282" s="1829">
        <f t="shared" si="256"/>
        <v>2245.218249</v>
      </c>
      <c r="J1282" s="1846"/>
      <c r="K1282" s="1846"/>
      <c r="L1282" s="1846"/>
    </row>
    <row r="1283" spans="1:12">
      <c r="A1283" s="1823"/>
      <c r="B1283" s="1823"/>
      <c r="C1283" s="1817" t="str">
        <f>Input!$C$48</f>
        <v>Overheads &amp; Contractors Profit @ 13.615%</v>
      </c>
      <c r="D1283" s="1823">
        <f>ROUND(D1282*Input!$D$48,2)</f>
        <v>251.59</v>
      </c>
      <c r="E1283" s="1823">
        <f>ROUND(E1282*Input!$D$48,2)</f>
        <v>262.45</v>
      </c>
      <c r="F1283" s="1823">
        <f>ROUND(F1282*Input!$D$48,2)</f>
        <v>273.11</v>
      </c>
      <c r="G1283" s="1823">
        <f>ROUND(G1282*Input!$D$48,2)</f>
        <v>283.97000000000003</v>
      </c>
      <c r="H1283" s="1823">
        <f>ROUND(H1282*Input!$D$48,2)</f>
        <v>294.83</v>
      </c>
      <c r="I1283" s="1823">
        <f>ROUND(I1282*Input!$D$48,2)</f>
        <v>305.69</v>
      </c>
      <c r="J1283" s="1846"/>
      <c r="K1283" s="1846"/>
      <c r="L1283" s="1846"/>
    </row>
    <row r="1284" spans="1:12">
      <c r="A1284" s="1823"/>
      <c r="B1284" s="1023"/>
      <c r="C1284" s="1816" t="s">
        <v>1045</v>
      </c>
      <c r="D1284" s="1829">
        <f t="shared" ref="D1284:I1284" si="257">SUM(D1282:D1283)</f>
        <v>2099.4821240000001</v>
      </c>
      <c r="E1284" s="1829">
        <f t="shared" si="257"/>
        <v>2190.0873489999999</v>
      </c>
      <c r="F1284" s="1829">
        <f t="shared" si="257"/>
        <v>2279.0925739999998</v>
      </c>
      <c r="G1284" s="1829">
        <f t="shared" si="257"/>
        <v>2369.6977990000005</v>
      </c>
      <c r="H1284" s="1829">
        <f t="shared" si="257"/>
        <v>2460.3030239999998</v>
      </c>
      <c r="I1284" s="1829">
        <f t="shared" si="257"/>
        <v>2550.9082490000001</v>
      </c>
      <c r="J1284" s="1846"/>
      <c r="K1284" s="1846"/>
      <c r="L1284" s="1846"/>
    </row>
    <row r="1285" spans="1:12">
      <c r="A1285" s="1823"/>
      <c r="B1285" s="1023"/>
      <c r="C1285" s="1843" t="s">
        <v>1034</v>
      </c>
      <c r="D1285" s="999">
        <f t="shared" ref="D1285:I1285" si="258">ROUND(D1284,0)</f>
        <v>2099</v>
      </c>
      <c r="E1285" s="999">
        <f t="shared" si="258"/>
        <v>2190</v>
      </c>
      <c r="F1285" s="999">
        <f t="shared" si="258"/>
        <v>2279</v>
      </c>
      <c r="G1285" s="999">
        <f t="shared" si="258"/>
        <v>2370</v>
      </c>
      <c r="H1285" s="999">
        <f t="shared" si="258"/>
        <v>2460</v>
      </c>
      <c r="I1285" s="999">
        <f t="shared" si="258"/>
        <v>2551</v>
      </c>
      <c r="J1285" s="1846"/>
      <c r="K1285" s="1846"/>
      <c r="L1285" s="1846"/>
    </row>
    <row r="1286" spans="1:12">
      <c r="A1286" s="1823"/>
      <c r="B1286" s="1068"/>
      <c r="C1286" s="1817"/>
      <c r="D1286" s="1096"/>
      <c r="E1286" s="1846"/>
      <c r="F1286" s="1021"/>
      <c r="G1286" s="1105"/>
      <c r="H1286" s="1846"/>
      <c r="I1286" s="1011"/>
      <c r="J1286" s="1846"/>
      <c r="K1286" s="1846"/>
      <c r="L1286" s="1846"/>
    </row>
    <row r="1287" spans="1:12" ht="14.65" customHeight="1">
      <c r="A1287" s="1823"/>
      <c r="B1287" s="1068"/>
      <c r="C1287" s="2045" t="s">
        <v>1267</v>
      </c>
      <c r="D1287" s="2045"/>
      <c r="E1287" s="2045"/>
      <c r="F1287" s="1114"/>
      <c r="G1287" s="1133"/>
      <c r="H1287" s="1114"/>
      <c r="I1287" s="1009"/>
      <c r="J1287" s="1846"/>
      <c r="K1287" s="1846"/>
      <c r="L1287" s="1846"/>
    </row>
    <row r="1288" spans="1:12">
      <c r="A1288" s="1823"/>
      <c r="B1288" s="1098" t="s">
        <v>1221</v>
      </c>
      <c r="C1288" s="1821" t="s">
        <v>1222</v>
      </c>
      <c r="D1288" s="1846"/>
      <c r="E1288" s="1846"/>
      <c r="F1288" s="1068"/>
      <c r="G1288" s="1105"/>
      <c r="H1288" s="1846"/>
      <c r="I1288" s="1080"/>
      <c r="J1288" s="1846"/>
      <c r="K1288" s="1846"/>
      <c r="L1288" s="1846"/>
    </row>
    <row r="1289" spans="1:12">
      <c r="A1289" s="1823"/>
      <c r="B1289" s="1068"/>
      <c r="C1289" s="1816" t="s">
        <v>1217</v>
      </c>
      <c r="D1289" s="1098" t="s">
        <v>1268</v>
      </c>
      <c r="E1289" s="1098" t="s">
        <v>1207</v>
      </c>
      <c r="F1289" s="1102" t="s">
        <v>1208</v>
      </c>
      <c r="G1289" s="1102" t="s">
        <v>1209</v>
      </c>
      <c r="H1289" s="1102" t="s">
        <v>1210</v>
      </c>
      <c r="I1289" s="1102" t="s">
        <v>1211</v>
      </c>
      <c r="J1289" s="1846"/>
      <c r="K1289" s="1846"/>
      <c r="L1289" s="1846"/>
    </row>
    <row r="1290" spans="1:12">
      <c r="A1290" s="1823"/>
      <c r="B1290" s="1823"/>
      <c r="C1290" s="1817" t="s">
        <v>1218</v>
      </c>
      <c r="D1290" s="1093">
        <f t="shared" ref="D1290:I1290" si="259">$I$1272</f>
        <v>1200.092124</v>
      </c>
      <c r="E1290" s="1093">
        <f t="shared" si="259"/>
        <v>1200.092124</v>
      </c>
      <c r="F1290" s="1093">
        <f t="shared" si="259"/>
        <v>1200.092124</v>
      </c>
      <c r="G1290" s="1093">
        <f t="shared" si="259"/>
        <v>1200.092124</v>
      </c>
      <c r="H1290" s="1093">
        <f t="shared" si="259"/>
        <v>1200.092124</v>
      </c>
      <c r="I1290" s="1093">
        <f t="shared" si="259"/>
        <v>1200.092124</v>
      </c>
      <c r="J1290" s="1846"/>
      <c r="K1290" s="1846"/>
      <c r="L1290" s="1846"/>
    </row>
    <row r="1291" spans="1:12">
      <c r="A1291" s="1823"/>
      <c r="B1291" s="1823"/>
      <c r="C1291" s="1817" t="s">
        <v>1182</v>
      </c>
      <c r="D1291" s="1093">
        <f>'Civil-SOR'!$F$270</f>
        <v>274</v>
      </c>
      <c r="E1291" s="1093">
        <f>'Civil-SOR'!$F$270</f>
        <v>274</v>
      </c>
      <c r="F1291" s="1093">
        <f>'Civil-SOR'!$F$270</f>
        <v>274</v>
      </c>
      <c r="G1291" s="1093">
        <f>'Civil-SOR'!$F$270</f>
        <v>274</v>
      </c>
      <c r="H1291" s="1093">
        <f>'Civil-SOR'!$F$270</f>
        <v>274</v>
      </c>
      <c r="I1291" s="1093">
        <f>'Civil-SOR'!$F$270</f>
        <v>274</v>
      </c>
      <c r="J1291" s="1846"/>
      <c r="K1291" s="1846"/>
      <c r="L1291" s="1846"/>
    </row>
    <row r="1292" spans="1:12">
      <c r="A1292" s="1823"/>
      <c r="B1292" s="1823"/>
      <c r="C1292" s="1817" t="s">
        <v>1269</v>
      </c>
      <c r="D1292" s="1001">
        <f>'Civil-SOR'!$G$270</f>
        <v>267</v>
      </c>
      <c r="E1292" s="1001">
        <f>'Civil-SOR'!$H$270</f>
        <v>294</v>
      </c>
      <c r="F1292" s="1001">
        <f>'Civil-SOR'!$I$270</f>
        <v>320</v>
      </c>
      <c r="G1292" s="1001">
        <f>'Civil-SOR'!$J$270</f>
        <v>347</v>
      </c>
      <c r="H1292" s="1001">
        <f>'Civil-SOR'!$K$270</f>
        <v>374</v>
      </c>
      <c r="I1292" s="1001">
        <f>'Civil-SOR'!$L$270</f>
        <v>401</v>
      </c>
      <c r="J1292" s="1846"/>
      <c r="K1292" s="1846"/>
      <c r="L1292" s="1846"/>
    </row>
    <row r="1293" spans="1:12">
      <c r="A1293" s="1823"/>
      <c r="B1293" s="1823"/>
      <c r="C1293" s="1817" t="str">
        <f>Input!$C$47</f>
        <v>Add for MA @ 40%</v>
      </c>
      <c r="D1293" s="1093">
        <f>D1292*Input!$D$47</f>
        <v>106.80000000000001</v>
      </c>
      <c r="E1293" s="1093">
        <f>E1292*Input!$D$47</f>
        <v>117.60000000000001</v>
      </c>
      <c r="F1293" s="1093">
        <f>F1292*Input!$D$47</f>
        <v>128</v>
      </c>
      <c r="G1293" s="1093">
        <f>G1292*Input!$D$47</f>
        <v>138.80000000000001</v>
      </c>
      <c r="H1293" s="1093">
        <f>H1292*Input!$D$47</f>
        <v>149.6</v>
      </c>
      <c r="I1293" s="1093">
        <f>I1292*Input!$D$47</f>
        <v>160.4</v>
      </c>
      <c r="J1293" s="1846"/>
      <c r="K1293" s="1846"/>
      <c r="L1293" s="1846"/>
    </row>
    <row r="1294" spans="1:12" ht="25.5">
      <c r="A1294" s="1823"/>
      <c r="B1294" s="1823"/>
      <c r="C1294" s="1817" t="s">
        <v>1270</v>
      </c>
      <c r="D1294" s="1093">
        <v>0</v>
      </c>
      <c r="E1294" s="1093">
        <f>0.267*$D$1272*'Civil-SOR'!$G$334</f>
        <v>17.694757500000001</v>
      </c>
      <c r="F1294" s="1093">
        <f t="shared" ref="F1294:F1295" si="260">E1294*1.1</f>
        <v>19.464233250000003</v>
      </c>
      <c r="G1294" s="1093">
        <f t="shared" ref="G1294:G1295" si="261">E1294*1.2</f>
        <v>21.233709000000001</v>
      </c>
      <c r="H1294" s="1093">
        <f t="shared" ref="H1294:H1295" si="262">E1294*1.3</f>
        <v>23.003184750000003</v>
      </c>
      <c r="I1294" s="1093">
        <f t="shared" ref="I1294:I1295" si="263">E1294*1.4</f>
        <v>24.772660500000001</v>
      </c>
      <c r="J1294" s="1846"/>
      <c r="K1294" s="1846"/>
      <c r="L1294" s="1846"/>
    </row>
    <row r="1295" spans="1:12">
      <c r="A1295" s="1823"/>
      <c r="B1295" s="1823"/>
      <c r="C1295" s="1817" t="s">
        <v>579</v>
      </c>
      <c r="D1295" s="1093">
        <v>0</v>
      </c>
      <c r="E1295" s="1093">
        <f>0.267*$D$1272*'Civil-SOR'!$J$334</f>
        <v>16.839690000000001</v>
      </c>
      <c r="F1295" s="1093">
        <f t="shared" si="260"/>
        <v>18.523659000000002</v>
      </c>
      <c r="G1295" s="1093">
        <f t="shared" si="261"/>
        <v>20.207628</v>
      </c>
      <c r="H1295" s="1093">
        <f t="shared" si="262"/>
        <v>21.891597000000001</v>
      </c>
      <c r="I1295" s="1093">
        <f t="shared" si="263"/>
        <v>23.575565999999998</v>
      </c>
      <c r="J1295" s="1846"/>
      <c r="K1295" s="1846"/>
      <c r="L1295" s="1846"/>
    </row>
    <row r="1296" spans="1:12">
      <c r="A1296" s="1823"/>
      <c r="B1296" s="1823"/>
      <c r="C1296" s="1817" t="str">
        <f>Input!$C$47</f>
        <v>Add for MA @ 40%</v>
      </c>
      <c r="D1296" s="1848">
        <f>D1295*Input!$D$47</f>
        <v>0</v>
      </c>
      <c r="E1296" s="1093">
        <f>E1295*Input!$D$47</f>
        <v>6.7358760000000011</v>
      </c>
      <c r="F1296" s="1093">
        <f>F1295*Input!$D$47</f>
        <v>7.4094636000000014</v>
      </c>
      <c r="G1296" s="1093">
        <f>G1295*Input!$D$47</f>
        <v>8.0830511999999999</v>
      </c>
      <c r="H1296" s="1093">
        <f>H1295*Input!$D$47</f>
        <v>8.7566388000000011</v>
      </c>
      <c r="I1296" s="1093">
        <f>I1295*Input!$D$47</f>
        <v>9.4302264000000005</v>
      </c>
      <c r="J1296" s="1846"/>
      <c r="K1296" s="1846"/>
      <c r="L1296" s="1846"/>
    </row>
    <row r="1297" spans="1:12">
      <c r="A1297" s="1823"/>
      <c r="B1297" s="1023"/>
      <c r="C1297" s="1816" t="s">
        <v>1045</v>
      </c>
      <c r="D1297" s="1829">
        <f t="shared" ref="D1297:I1297" si="264">SUM(D1290:D1296)</f>
        <v>1847.892124</v>
      </c>
      <c r="E1297" s="1829">
        <f t="shared" si="264"/>
        <v>1926.9624474999998</v>
      </c>
      <c r="F1297" s="1829">
        <f t="shared" si="264"/>
        <v>1967.48947985</v>
      </c>
      <c r="G1297" s="1829">
        <f t="shared" si="264"/>
        <v>2009.4165122000002</v>
      </c>
      <c r="H1297" s="1829">
        <f t="shared" si="264"/>
        <v>2051.3435445499999</v>
      </c>
      <c r="I1297" s="1829">
        <f t="shared" si="264"/>
        <v>2093.2705768999999</v>
      </c>
      <c r="J1297" s="1846"/>
      <c r="K1297" s="1846"/>
      <c r="L1297" s="1846"/>
    </row>
    <row r="1298" spans="1:12">
      <c r="A1298" s="1823"/>
      <c r="B1298" s="1823"/>
      <c r="C1298" s="1817" t="str">
        <f>Input!$C$48</f>
        <v>Overheads &amp; Contractors Profit @ 13.615%</v>
      </c>
      <c r="D1298" s="1823">
        <f>ROUND(D1297*Input!$D$48,2)</f>
        <v>251.59</v>
      </c>
      <c r="E1298" s="1823">
        <f>ROUND(E1297*Input!$D$48,2)</f>
        <v>262.36</v>
      </c>
      <c r="F1298" s="1823">
        <f>ROUND(F1297*Input!$D$48,2)</f>
        <v>267.87</v>
      </c>
      <c r="G1298" s="1823">
        <f>ROUND(G1297*Input!$D$48,2)</f>
        <v>273.58</v>
      </c>
      <c r="H1298" s="1823">
        <f>ROUND(H1297*Input!$D$48,2)</f>
        <v>279.29000000000002</v>
      </c>
      <c r="I1298" s="1823">
        <f>ROUND(I1297*Input!$D$48,2)</f>
        <v>285</v>
      </c>
      <c r="J1298" s="1846"/>
      <c r="K1298" s="1846"/>
      <c r="L1298" s="1846"/>
    </row>
    <row r="1299" spans="1:12">
      <c r="A1299" s="1823"/>
      <c r="B1299" s="1023"/>
      <c r="C1299" s="1816" t="s">
        <v>1045</v>
      </c>
      <c r="D1299" s="1829">
        <f t="shared" ref="D1299:I1299" si="265">SUM(D1297:D1298)</f>
        <v>2099.4821240000001</v>
      </c>
      <c r="E1299" s="1829">
        <f t="shared" si="265"/>
        <v>2189.3224474999997</v>
      </c>
      <c r="F1299" s="1829">
        <f t="shared" si="265"/>
        <v>2235.3594798499998</v>
      </c>
      <c r="G1299" s="1829">
        <f t="shared" si="265"/>
        <v>2282.9965122000003</v>
      </c>
      <c r="H1299" s="1829">
        <f t="shared" si="265"/>
        <v>2330.6335445499999</v>
      </c>
      <c r="I1299" s="1829">
        <f t="shared" si="265"/>
        <v>2378.2705768999999</v>
      </c>
      <c r="J1299" s="1846"/>
      <c r="K1299" s="1846"/>
      <c r="L1299" s="1846"/>
    </row>
    <row r="1300" spans="1:12">
      <c r="A1300" s="1823"/>
      <c r="B1300" s="1023"/>
      <c r="C1300" s="1843" t="s">
        <v>1034</v>
      </c>
      <c r="D1300" s="999">
        <f t="shared" ref="D1300:I1300" si="266">ROUND(D1299,0)</f>
        <v>2099</v>
      </c>
      <c r="E1300" s="999">
        <f t="shared" si="266"/>
        <v>2189</v>
      </c>
      <c r="F1300" s="999">
        <f t="shared" si="266"/>
        <v>2235</v>
      </c>
      <c r="G1300" s="999">
        <f t="shared" si="266"/>
        <v>2283</v>
      </c>
      <c r="H1300" s="999">
        <f t="shared" si="266"/>
        <v>2331</v>
      </c>
      <c r="I1300" s="999">
        <f t="shared" si="266"/>
        <v>2378</v>
      </c>
      <c r="J1300" s="1846"/>
      <c r="K1300" s="1846"/>
      <c r="L1300" s="1846"/>
    </row>
    <row r="1301" spans="1:12">
      <c r="A1301" s="1823"/>
      <c r="B1301" s="1068"/>
      <c r="C1301" s="1817"/>
      <c r="D1301" s="1096"/>
      <c r="E1301" s="1846"/>
      <c r="F1301" s="1021"/>
      <c r="G1301" s="1105"/>
      <c r="H1301" s="1846"/>
      <c r="I1301" s="1011"/>
      <c r="J1301" s="1846"/>
      <c r="K1301" s="1846"/>
      <c r="L1301" s="1846"/>
    </row>
    <row r="1302" spans="1:12" ht="25.5">
      <c r="A1302" s="1823"/>
      <c r="B1302" s="1098" t="s">
        <v>1221</v>
      </c>
      <c r="C1302" s="1821" t="s">
        <v>1275</v>
      </c>
      <c r="D1302" s="1846"/>
      <c r="E1302" s="1846"/>
      <c r="F1302" s="1068"/>
      <c r="G1302" s="1105"/>
      <c r="H1302" s="1846"/>
      <c r="I1302" s="1080"/>
      <c r="J1302" s="1846"/>
      <c r="K1302" s="1846"/>
      <c r="L1302" s="1846"/>
    </row>
    <row r="1303" spans="1:12">
      <c r="A1303" s="1823"/>
      <c r="B1303" s="1068"/>
      <c r="C1303" s="1816" t="s">
        <v>1217</v>
      </c>
      <c r="D1303" s="1098" t="s">
        <v>1268</v>
      </c>
      <c r="E1303" s="1098" t="s">
        <v>1207</v>
      </c>
      <c r="F1303" s="1102" t="s">
        <v>1208</v>
      </c>
      <c r="G1303" s="1102" t="s">
        <v>1209</v>
      </c>
      <c r="H1303" s="1102" t="s">
        <v>1210</v>
      </c>
      <c r="I1303" s="1102" t="s">
        <v>1211</v>
      </c>
      <c r="J1303" s="1846"/>
      <c r="K1303" s="1846"/>
      <c r="L1303" s="1846"/>
    </row>
    <row r="1304" spans="1:12">
      <c r="A1304" s="1823"/>
      <c r="B1304" s="1823"/>
      <c r="C1304" s="1817" t="s">
        <v>1218</v>
      </c>
      <c r="D1304" s="1093">
        <f t="shared" ref="D1304:I1304" si="267">$I$1272</f>
        <v>1200.092124</v>
      </c>
      <c r="E1304" s="1093">
        <f t="shared" si="267"/>
        <v>1200.092124</v>
      </c>
      <c r="F1304" s="1093">
        <f t="shared" si="267"/>
        <v>1200.092124</v>
      </c>
      <c r="G1304" s="1093">
        <f t="shared" si="267"/>
        <v>1200.092124</v>
      </c>
      <c r="H1304" s="1093">
        <f t="shared" si="267"/>
        <v>1200.092124</v>
      </c>
      <c r="I1304" s="1093">
        <f t="shared" si="267"/>
        <v>1200.092124</v>
      </c>
      <c r="J1304" s="1846"/>
      <c r="K1304" s="1846"/>
      <c r="L1304" s="1846"/>
    </row>
    <row r="1305" spans="1:12">
      <c r="A1305" s="1823"/>
      <c r="B1305" s="1823"/>
      <c r="C1305" s="1817" t="s">
        <v>1182</v>
      </c>
      <c r="D1305" s="1093">
        <f>'Civil-SOR'!$F$270+('Civil-SOR'!$F$270*16.66%)</f>
        <v>319.64839999999998</v>
      </c>
      <c r="E1305" s="1093">
        <f>'Civil-SOR'!$F$270+('Civil-SOR'!$F$270*16.66%)</f>
        <v>319.64839999999998</v>
      </c>
      <c r="F1305" s="1093">
        <f>'Civil-SOR'!$F$270+('Civil-SOR'!$F$270*16.66%)</f>
        <v>319.64839999999998</v>
      </c>
      <c r="G1305" s="1093">
        <f>'Civil-SOR'!$F$270+('Civil-SOR'!$F$270*16.66%)</f>
        <v>319.64839999999998</v>
      </c>
      <c r="H1305" s="1093">
        <f>'Civil-SOR'!$F$270+('Civil-SOR'!$F$270*16.66%)</f>
        <v>319.64839999999998</v>
      </c>
      <c r="I1305" s="1093">
        <f>'Civil-SOR'!$F$270+('Civil-SOR'!$F$270*16.66%)</f>
        <v>319.64839999999998</v>
      </c>
      <c r="J1305" s="1846"/>
      <c r="K1305" s="1846"/>
      <c r="L1305" s="1846"/>
    </row>
    <row r="1306" spans="1:12">
      <c r="A1306" s="1823"/>
      <c r="B1306" s="1823"/>
      <c r="C1306" s="1817" t="s">
        <v>1269</v>
      </c>
      <c r="D1306" s="1001">
        <f>'Civil-SOR'!$G$270+('Civil-SOR'!$G$270*16.66%)</f>
        <v>311.48219999999998</v>
      </c>
      <c r="E1306" s="1001">
        <f>'Civil-SOR'!$H$270+('Civil-SOR'!$H$270*16.66%)</f>
        <v>342.98039999999997</v>
      </c>
      <c r="F1306" s="1001">
        <f>'Civil-SOR'!$I$270+('Civil-SOR'!$I$270*16.66%)</f>
        <v>373.31200000000001</v>
      </c>
      <c r="G1306" s="1001">
        <f>'Civil-SOR'!$J$270+('Civil-SOR'!$J$270*16.66%)</f>
        <v>404.81020000000001</v>
      </c>
      <c r="H1306" s="1001">
        <f>'Civil-SOR'!$K$270+('Civil-SOR'!$K$270*16.66%)</f>
        <v>436.30840000000001</v>
      </c>
      <c r="I1306" s="1001">
        <f>'Civil-SOR'!$L$270+('Civil-SOR'!$L$270*16.66%)</f>
        <v>467.8066</v>
      </c>
      <c r="J1306" s="1846"/>
      <c r="K1306" s="1846"/>
      <c r="L1306" s="1846"/>
    </row>
    <row r="1307" spans="1:12">
      <c r="A1307" s="1823"/>
      <c r="B1307" s="1823"/>
      <c r="C1307" s="1817" t="str">
        <f>Input!$C$47</f>
        <v>Add for MA @ 40%</v>
      </c>
      <c r="D1307" s="1093">
        <f>D1306*Input!$D$47</f>
        <v>124.59287999999999</v>
      </c>
      <c r="E1307" s="1093">
        <f>E1306*Input!$D$47</f>
        <v>137.19216</v>
      </c>
      <c r="F1307" s="1093">
        <f>F1306*Input!$D$47</f>
        <v>149.32480000000001</v>
      </c>
      <c r="G1307" s="1093">
        <f>G1306*Input!$D$47</f>
        <v>161.92408</v>
      </c>
      <c r="H1307" s="1093">
        <f>H1306*Input!$D$47</f>
        <v>174.52336000000003</v>
      </c>
      <c r="I1307" s="1093">
        <f>I1306*Input!$D$47</f>
        <v>187.12264000000002</v>
      </c>
      <c r="J1307" s="1846"/>
      <c r="K1307" s="1846"/>
      <c r="L1307" s="1846"/>
    </row>
    <row r="1308" spans="1:12">
      <c r="A1308" s="1823"/>
      <c r="B1308" s="1823"/>
      <c r="C1308" s="1817" t="s">
        <v>1253</v>
      </c>
      <c r="D1308" s="1093">
        <v>0</v>
      </c>
      <c r="E1308" s="1093">
        <f>$D$1272*$F$1031*0.1</f>
        <v>29.960875000000001</v>
      </c>
      <c r="F1308" s="1093">
        <f>$D$1272*$F$1031*0.2</f>
        <v>59.921750000000003</v>
      </c>
      <c r="G1308" s="1093">
        <f>$D$1272*$F$1031*0.3</f>
        <v>89.88262499999999</v>
      </c>
      <c r="H1308" s="1093">
        <f>$D$1272*$F$1031*0.4</f>
        <v>119.84350000000001</v>
      </c>
      <c r="I1308" s="1093">
        <f>$D$1272*$F$1031*0.5</f>
        <v>149.80437499999999</v>
      </c>
      <c r="J1308" s="1846"/>
      <c r="K1308" s="1846"/>
      <c r="L1308" s="1846"/>
    </row>
    <row r="1309" spans="1:12">
      <c r="A1309" s="1823"/>
      <c r="B1309" s="1823"/>
      <c r="C1309" s="1817" t="str">
        <f>Input!$C$47</f>
        <v>Add for MA @ 40%</v>
      </c>
      <c r="D1309" s="1848">
        <f>D1308*Input!$D$47</f>
        <v>0</v>
      </c>
      <c r="E1309" s="1093">
        <f>E1308*Input!$D$47</f>
        <v>11.984350000000001</v>
      </c>
      <c r="F1309" s="1093">
        <f>F1308*Input!$D$47</f>
        <v>23.968700000000002</v>
      </c>
      <c r="G1309" s="1093">
        <f>G1308*Input!$D$47</f>
        <v>35.953049999999998</v>
      </c>
      <c r="H1309" s="1093">
        <f>H1308*Input!$D$47</f>
        <v>47.937400000000004</v>
      </c>
      <c r="I1309" s="1093">
        <f>I1308*Input!$D$47</f>
        <v>59.921750000000003</v>
      </c>
      <c r="J1309" s="1846"/>
      <c r="K1309" s="1846"/>
      <c r="L1309" s="1846"/>
    </row>
    <row r="1310" spans="1:12">
      <c r="A1310" s="1823"/>
      <c r="B1310" s="1023"/>
      <c r="C1310" s="1816" t="s">
        <v>1045</v>
      </c>
      <c r="D1310" s="1829">
        <f t="shared" ref="D1310:I1310" si="268">SUM(D1304:D1309)</f>
        <v>1955.8156039999999</v>
      </c>
      <c r="E1310" s="1829">
        <f t="shared" si="268"/>
        <v>2041.858309</v>
      </c>
      <c r="F1310" s="1829">
        <f t="shared" si="268"/>
        <v>2126.2677740000004</v>
      </c>
      <c r="G1310" s="1829">
        <f t="shared" si="268"/>
        <v>2212.3104790000007</v>
      </c>
      <c r="H1310" s="1829">
        <f t="shared" si="268"/>
        <v>2298.3531840000001</v>
      </c>
      <c r="I1310" s="1829">
        <f t="shared" si="268"/>
        <v>2384.3958890000004</v>
      </c>
      <c r="J1310" s="1846"/>
      <c r="K1310" s="1846"/>
      <c r="L1310" s="1846"/>
    </row>
    <row r="1311" spans="1:12">
      <c r="A1311" s="1823"/>
      <c r="B1311" s="1823"/>
      <c r="C1311" s="1817" t="str">
        <f>Input!$C$48</f>
        <v>Overheads &amp; Contractors Profit @ 13.615%</v>
      </c>
      <c r="D1311" s="1823">
        <f>ROUND(D1310*Input!$D$48,2)</f>
        <v>266.27999999999997</v>
      </c>
      <c r="E1311" s="1823">
        <f>ROUND(E1310*Input!$D$48,2)</f>
        <v>278</v>
      </c>
      <c r="F1311" s="1823">
        <f>ROUND(F1310*Input!$D$48,2)</f>
        <v>289.49</v>
      </c>
      <c r="G1311" s="1823">
        <f>ROUND(G1310*Input!$D$48,2)</f>
        <v>301.20999999999998</v>
      </c>
      <c r="H1311" s="1823">
        <f>ROUND(H1310*Input!$D$48,2)</f>
        <v>312.92</v>
      </c>
      <c r="I1311" s="1823">
        <f>ROUND(I1310*Input!$D$48,2)</f>
        <v>324.64</v>
      </c>
      <c r="J1311" s="1846"/>
      <c r="K1311" s="1846"/>
      <c r="L1311" s="1846"/>
    </row>
    <row r="1312" spans="1:12">
      <c r="A1312" s="1823"/>
      <c r="B1312" s="1023"/>
      <c r="C1312" s="1816" t="s">
        <v>1045</v>
      </c>
      <c r="D1312" s="1829">
        <f t="shared" ref="D1312:I1312" si="269">SUM(D1310:D1311)</f>
        <v>2222.0956040000001</v>
      </c>
      <c r="E1312" s="1829">
        <f t="shared" si="269"/>
        <v>2319.8583090000002</v>
      </c>
      <c r="F1312" s="1829">
        <f t="shared" si="269"/>
        <v>2415.7577740000006</v>
      </c>
      <c r="G1312" s="1829">
        <f t="shared" si="269"/>
        <v>2513.5204790000007</v>
      </c>
      <c r="H1312" s="1829">
        <f t="shared" si="269"/>
        <v>2611.2731840000001</v>
      </c>
      <c r="I1312" s="1829">
        <f t="shared" si="269"/>
        <v>2709.0358890000002</v>
      </c>
      <c r="J1312" s="1846"/>
      <c r="K1312" s="1846"/>
      <c r="L1312" s="1846"/>
    </row>
    <row r="1313" spans="1:12">
      <c r="A1313" s="1823"/>
      <c r="B1313" s="1023"/>
      <c r="C1313" s="1843" t="s">
        <v>1034</v>
      </c>
      <c r="D1313" s="999">
        <f t="shared" ref="D1313:I1313" si="270">ROUND(D1312,0)</f>
        <v>2222</v>
      </c>
      <c r="E1313" s="999">
        <f t="shared" si="270"/>
        <v>2320</v>
      </c>
      <c r="F1313" s="999">
        <f t="shared" si="270"/>
        <v>2416</v>
      </c>
      <c r="G1313" s="999">
        <f t="shared" si="270"/>
        <v>2514</v>
      </c>
      <c r="H1313" s="999">
        <f t="shared" si="270"/>
        <v>2611</v>
      </c>
      <c r="I1313" s="999">
        <f t="shared" si="270"/>
        <v>2709</v>
      </c>
      <c r="J1313" s="1846"/>
      <c r="K1313" s="1846"/>
      <c r="L1313" s="1846"/>
    </row>
    <row r="1314" spans="1:12">
      <c r="A1314" s="1823"/>
      <c r="B1314" s="1068"/>
      <c r="C1314" s="1817"/>
      <c r="D1314" s="1096"/>
      <c r="E1314" s="1846"/>
      <c r="F1314" s="1021"/>
      <c r="G1314" s="1105"/>
      <c r="H1314" s="1846"/>
      <c r="I1314" s="1011"/>
      <c r="J1314" s="1846"/>
      <c r="K1314" s="1846"/>
      <c r="L1314" s="1846"/>
    </row>
    <row r="1315" spans="1:12" ht="12.75" customHeight="1">
      <c r="A1315" s="1823"/>
      <c r="B1315" s="1068"/>
      <c r="C1315" s="2045" t="s">
        <v>1272</v>
      </c>
      <c r="D1315" s="2045"/>
      <c r="E1315" s="2045"/>
      <c r="F1315" s="1114"/>
      <c r="G1315" s="1133"/>
      <c r="H1315" s="1114"/>
      <c r="I1315" s="1009"/>
      <c r="J1315" s="1846"/>
      <c r="K1315" s="1846"/>
      <c r="L1315" s="1846"/>
    </row>
    <row r="1316" spans="1:12">
      <c r="A1316" s="1823"/>
      <c r="B1316" s="1098" t="s">
        <v>1221</v>
      </c>
      <c r="C1316" s="1821" t="s">
        <v>1222</v>
      </c>
      <c r="D1316" s="1846"/>
      <c r="E1316" s="1846"/>
      <c r="F1316" s="1068"/>
      <c r="G1316" s="1105"/>
      <c r="H1316" s="1846"/>
      <c r="I1316" s="1080"/>
      <c r="J1316" s="1846"/>
      <c r="K1316" s="1846"/>
      <c r="L1316" s="1846"/>
    </row>
    <row r="1317" spans="1:12">
      <c r="A1317" s="1823"/>
      <c r="B1317" s="1068"/>
      <c r="C1317" s="1816" t="s">
        <v>1217</v>
      </c>
      <c r="D1317" s="1098" t="s">
        <v>1268</v>
      </c>
      <c r="E1317" s="1098" t="s">
        <v>1207</v>
      </c>
      <c r="F1317" s="1102" t="s">
        <v>1208</v>
      </c>
      <c r="G1317" s="1102" t="s">
        <v>1209</v>
      </c>
      <c r="H1317" s="1102" t="s">
        <v>1210</v>
      </c>
      <c r="I1317" s="1102" t="s">
        <v>1211</v>
      </c>
      <c r="J1317" s="1846"/>
      <c r="K1317" s="1846"/>
      <c r="L1317" s="1846"/>
    </row>
    <row r="1318" spans="1:12">
      <c r="A1318" s="1823"/>
      <c r="B1318" s="1823"/>
      <c r="C1318" s="1817" t="s">
        <v>1218</v>
      </c>
      <c r="D1318" s="1093">
        <f t="shared" ref="D1318:I1318" si="271">$I$1272</f>
        <v>1200.092124</v>
      </c>
      <c r="E1318" s="1093">
        <f t="shared" si="271"/>
        <v>1200.092124</v>
      </c>
      <c r="F1318" s="1093">
        <f t="shared" si="271"/>
        <v>1200.092124</v>
      </c>
      <c r="G1318" s="1093">
        <f t="shared" si="271"/>
        <v>1200.092124</v>
      </c>
      <c r="H1318" s="1093">
        <f t="shared" si="271"/>
        <v>1200.092124</v>
      </c>
      <c r="I1318" s="1093">
        <f t="shared" si="271"/>
        <v>1200.092124</v>
      </c>
      <c r="J1318" s="1846"/>
      <c r="K1318" s="1846"/>
      <c r="L1318" s="1846"/>
    </row>
    <row r="1319" spans="1:12">
      <c r="A1319" s="1823"/>
      <c r="B1319" s="1823"/>
      <c r="C1319" s="1817" t="s">
        <v>1182</v>
      </c>
      <c r="D1319" s="1093">
        <f>'Civil-SOR'!$F$270+('Civil-SOR'!$F$270*16.66%)</f>
        <v>319.64839999999998</v>
      </c>
      <c r="E1319" s="1093">
        <f>'Civil-SOR'!$F$270+('Civil-SOR'!$F$270*16.66%)</f>
        <v>319.64839999999998</v>
      </c>
      <c r="F1319" s="1093">
        <f>'Civil-SOR'!$F$270+('Civil-SOR'!$F$270*16.66%)</f>
        <v>319.64839999999998</v>
      </c>
      <c r="G1319" s="1093">
        <f>'Civil-SOR'!$F$270+('Civil-SOR'!$F$270*16.66%)</f>
        <v>319.64839999999998</v>
      </c>
      <c r="H1319" s="1093">
        <f>'Civil-SOR'!$F$270+('Civil-SOR'!$F$270*16.66%)</f>
        <v>319.64839999999998</v>
      </c>
      <c r="I1319" s="1093">
        <f>'Civil-SOR'!$F$270+('Civil-SOR'!$F$270*16.66%)</f>
        <v>319.64839999999998</v>
      </c>
      <c r="J1319" s="1846"/>
      <c r="K1319" s="1846"/>
      <c r="L1319" s="1846"/>
    </row>
    <row r="1320" spans="1:12">
      <c r="A1320" s="1823"/>
      <c r="B1320" s="1823"/>
      <c r="C1320" s="1817" t="s">
        <v>1269</v>
      </c>
      <c r="D1320" s="1001">
        <f>'Civil-SOR'!$G$270+('Civil-SOR'!$G$270*16.66%)</f>
        <v>311.48219999999998</v>
      </c>
      <c r="E1320" s="1001">
        <f>'Civil-SOR'!$H$270+('Civil-SOR'!$H$270*16.66%)</f>
        <v>342.98039999999997</v>
      </c>
      <c r="F1320" s="1001">
        <f>'Civil-SOR'!$I$270+('Civil-SOR'!$I$270*16.66%)</f>
        <v>373.31200000000001</v>
      </c>
      <c r="G1320" s="1001">
        <f>'Civil-SOR'!$J$270+('Civil-SOR'!$J$270*16.66%)</f>
        <v>404.81020000000001</v>
      </c>
      <c r="H1320" s="1001">
        <f>'Civil-SOR'!$K$270+('Civil-SOR'!$K$270*16.66%)</f>
        <v>436.30840000000001</v>
      </c>
      <c r="I1320" s="1001">
        <f>'Civil-SOR'!$L$270+('Civil-SOR'!$L$270*16.66%)</f>
        <v>467.8066</v>
      </c>
      <c r="J1320" s="1846"/>
      <c r="K1320" s="1846"/>
      <c r="L1320" s="1846"/>
    </row>
    <row r="1321" spans="1:12">
      <c r="A1321" s="1823"/>
      <c r="B1321" s="1823"/>
      <c r="C1321" s="1817" t="str">
        <f>Input!$C$47</f>
        <v>Add for MA @ 40%</v>
      </c>
      <c r="D1321" s="1093">
        <f>D1320*Input!$D$47</f>
        <v>124.59287999999999</v>
      </c>
      <c r="E1321" s="1093">
        <f>E1320*Input!$D$47</f>
        <v>137.19216</v>
      </c>
      <c r="F1321" s="1093">
        <f>F1320*Input!$D$47</f>
        <v>149.32480000000001</v>
      </c>
      <c r="G1321" s="1093">
        <f>G1320*Input!$D$47</f>
        <v>161.92408</v>
      </c>
      <c r="H1321" s="1093">
        <f>H1320*Input!$D$47</f>
        <v>174.52336000000003</v>
      </c>
      <c r="I1321" s="1093">
        <f>I1320*Input!$D$47</f>
        <v>187.12264000000002</v>
      </c>
      <c r="J1321" s="1846"/>
      <c r="K1321" s="1846"/>
      <c r="L1321" s="1846"/>
    </row>
    <row r="1322" spans="1:12" ht="25.5">
      <c r="A1322" s="1823"/>
      <c r="B1322" s="1823"/>
      <c r="C1322" s="1817" t="s">
        <v>1270</v>
      </c>
      <c r="D1322" s="1093">
        <v>0</v>
      </c>
      <c r="E1322" s="1093">
        <f>0.267*$D$1272*'Civil-SOR'!$G$334</f>
        <v>17.694757500000001</v>
      </c>
      <c r="F1322" s="1093">
        <f t="shared" ref="F1322:F1323" si="272">E1322*1.1</f>
        <v>19.464233250000003</v>
      </c>
      <c r="G1322" s="1093">
        <f t="shared" ref="G1322:G1323" si="273">E1322*1.2</f>
        <v>21.233709000000001</v>
      </c>
      <c r="H1322" s="1093">
        <f t="shared" ref="H1322:H1323" si="274">E1322*1.3</f>
        <v>23.003184750000003</v>
      </c>
      <c r="I1322" s="1093">
        <f t="shared" ref="I1322:I1323" si="275">E1322*1.4</f>
        <v>24.772660500000001</v>
      </c>
      <c r="J1322" s="1846"/>
      <c r="K1322" s="1846"/>
      <c r="L1322" s="1846"/>
    </row>
    <row r="1323" spans="1:12">
      <c r="A1323" s="1823"/>
      <c r="B1323" s="1823"/>
      <c r="C1323" s="1817" t="s">
        <v>579</v>
      </c>
      <c r="D1323" s="1093">
        <v>0</v>
      </c>
      <c r="E1323" s="1093">
        <f>0.267*$D$1272*'Civil-SOR'!$J$334</f>
        <v>16.839690000000001</v>
      </c>
      <c r="F1323" s="1093">
        <f t="shared" si="272"/>
        <v>18.523659000000002</v>
      </c>
      <c r="G1323" s="1093">
        <f t="shared" si="273"/>
        <v>20.207628</v>
      </c>
      <c r="H1323" s="1093">
        <f t="shared" si="274"/>
        <v>21.891597000000001</v>
      </c>
      <c r="I1323" s="1093">
        <f t="shared" si="275"/>
        <v>23.575565999999998</v>
      </c>
      <c r="J1323" s="1846"/>
      <c r="K1323" s="1846"/>
      <c r="L1323" s="1846"/>
    </row>
    <row r="1324" spans="1:12">
      <c r="A1324" s="1823"/>
      <c r="B1324" s="1823"/>
      <c r="C1324" s="1817" t="str">
        <f>Input!$C$47</f>
        <v>Add for MA @ 40%</v>
      </c>
      <c r="D1324" s="1848">
        <f>D1323*Input!$D$47</f>
        <v>0</v>
      </c>
      <c r="E1324" s="1093">
        <f>E1323*Input!$D$47</f>
        <v>6.7358760000000011</v>
      </c>
      <c r="F1324" s="1093">
        <f>F1323*Input!$D$47</f>
        <v>7.4094636000000014</v>
      </c>
      <c r="G1324" s="1093">
        <f>G1323*Input!$D$47</f>
        <v>8.0830511999999999</v>
      </c>
      <c r="H1324" s="1093">
        <f>H1323*Input!$D$47</f>
        <v>8.7566388000000011</v>
      </c>
      <c r="I1324" s="1093">
        <f>I1323*Input!$D$47</f>
        <v>9.4302264000000005</v>
      </c>
      <c r="J1324" s="1846"/>
      <c r="K1324" s="1846"/>
      <c r="L1324" s="1846"/>
    </row>
    <row r="1325" spans="1:12">
      <c r="A1325" s="1023"/>
      <c r="B1325" s="1023"/>
      <c r="C1325" s="1816" t="s">
        <v>1045</v>
      </c>
      <c r="D1325" s="1829">
        <f t="shared" ref="D1325:I1325" si="276">SUM(D1318:D1324)</f>
        <v>1955.8156039999999</v>
      </c>
      <c r="E1325" s="1829">
        <f t="shared" si="276"/>
        <v>2041.1834074999999</v>
      </c>
      <c r="F1325" s="1829">
        <f t="shared" si="276"/>
        <v>2087.7746798500002</v>
      </c>
      <c r="G1325" s="1829">
        <f t="shared" si="276"/>
        <v>2135.9991922000008</v>
      </c>
      <c r="H1325" s="1829">
        <f t="shared" si="276"/>
        <v>2184.2237045500001</v>
      </c>
      <c r="I1325" s="1829">
        <f t="shared" si="276"/>
        <v>2232.4482168999998</v>
      </c>
      <c r="J1325" s="1846"/>
      <c r="K1325" s="1846"/>
      <c r="L1325" s="1846"/>
    </row>
    <row r="1326" spans="1:12">
      <c r="A1326" s="1823"/>
      <c r="B1326" s="1823"/>
      <c r="C1326" s="1817" t="str">
        <f>Input!$C$48</f>
        <v>Overheads &amp; Contractors Profit @ 13.615%</v>
      </c>
      <c r="D1326" s="1823">
        <f>ROUND(D1325*Input!$D$48,2)</f>
        <v>266.27999999999997</v>
      </c>
      <c r="E1326" s="1823">
        <f>ROUND(E1325*Input!$D$48,2)</f>
        <v>277.91000000000003</v>
      </c>
      <c r="F1326" s="1823">
        <f>ROUND(F1325*Input!$D$48,2)</f>
        <v>284.25</v>
      </c>
      <c r="G1326" s="1823">
        <f>ROUND(G1325*Input!$D$48,2)</f>
        <v>290.82</v>
      </c>
      <c r="H1326" s="1823">
        <f>ROUND(H1325*Input!$D$48,2)</f>
        <v>297.38</v>
      </c>
      <c r="I1326" s="1823">
        <f>ROUND(I1325*Input!$D$48,2)</f>
        <v>303.95</v>
      </c>
      <c r="J1326" s="1846"/>
      <c r="K1326" s="1846"/>
      <c r="L1326" s="1846"/>
    </row>
    <row r="1327" spans="1:12">
      <c r="A1327" s="1023"/>
      <c r="B1327" s="1023"/>
      <c r="C1327" s="1816" t="s">
        <v>1045</v>
      </c>
      <c r="D1327" s="1829">
        <f t="shared" ref="D1327:I1327" si="277">SUM(D1325:D1326)</f>
        <v>2222.0956040000001</v>
      </c>
      <c r="E1327" s="1829">
        <f t="shared" si="277"/>
        <v>2319.0934075</v>
      </c>
      <c r="F1327" s="1829">
        <f t="shared" si="277"/>
        <v>2372.0246798500002</v>
      </c>
      <c r="G1327" s="1829">
        <f t="shared" si="277"/>
        <v>2426.819192200001</v>
      </c>
      <c r="H1327" s="1829">
        <f t="shared" si="277"/>
        <v>2481.6037045500002</v>
      </c>
      <c r="I1327" s="1829">
        <f t="shared" si="277"/>
        <v>2536.3982168999996</v>
      </c>
      <c r="J1327" s="1846"/>
      <c r="K1327" s="1846"/>
      <c r="L1327" s="1846"/>
    </row>
    <row r="1328" spans="1:12">
      <c r="A1328" s="1023"/>
      <c r="B1328" s="1023"/>
      <c r="C1328" s="1843" t="s">
        <v>1034</v>
      </c>
      <c r="D1328" s="999">
        <f t="shared" ref="D1328:I1328" si="278">ROUND(D1327,0)</f>
        <v>2222</v>
      </c>
      <c r="E1328" s="999">
        <f t="shared" si="278"/>
        <v>2319</v>
      </c>
      <c r="F1328" s="999">
        <f t="shared" si="278"/>
        <v>2372</v>
      </c>
      <c r="G1328" s="999">
        <f t="shared" si="278"/>
        <v>2427</v>
      </c>
      <c r="H1328" s="999">
        <f t="shared" si="278"/>
        <v>2482</v>
      </c>
      <c r="I1328" s="999">
        <f t="shared" si="278"/>
        <v>2536</v>
      </c>
      <c r="J1328" s="1846"/>
      <c r="K1328" s="1846"/>
      <c r="L1328" s="1846"/>
    </row>
    <row r="1329" spans="1:15">
      <c r="A1329" s="1023"/>
      <c r="B1329" s="1023"/>
      <c r="C1329" s="1843"/>
      <c r="D1329" s="999"/>
      <c r="E1329" s="999"/>
      <c r="F1329" s="999"/>
      <c r="G1329" s="999"/>
      <c r="H1329" s="999"/>
      <c r="I1329" s="999"/>
      <c r="J1329" s="999"/>
      <c r="K1329" s="999"/>
      <c r="L1329" s="999"/>
    </row>
    <row r="1330" spans="1:15">
      <c r="A1330" s="1823"/>
      <c r="B1330" s="1098" t="s">
        <v>436</v>
      </c>
      <c r="C1330" s="1821" t="s">
        <v>1276</v>
      </c>
      <c r="D1330" s="1846"/>
      <c r="E1330" s="1846"/>
      <c r="F1330" s="1068"/>
      <c r="G1330" s="1105"/>
      <c r="H1330" s="1098"/>
      <c r="I1330" s="1080"/>
      <c r="J1330" s="1846"/>
      <c r="K1330" s="1846"/>
      <c r="L1330" s="1846"/>
    </row>
    <row r="1331" spans="1:15">
      <c r="A1331" s="1823"/>
      <c r="B1331" s="1068"/>
      <c r="C1331" s="1817" t="s">
        <v>1181</v>
      </c>
      <c r="D1331" s="1132">
        <v>0.2</v>
      </c>
      <c r="E1331" s="1846" t="s">
        <v>484</v>
      </c>
      <c r="F1331" s="1021">
        <f>$I$1425</f>
        <v>6945.6217600000009</v>
      </c>
      <c r="G1331" s="1105">
        <v>1</v>
      </c>
      <c r="H1331" s="1846" t="s">
        <v>484</v>
      </c>
      <c r="I1331" s="1011">
        <f>IF(G1331="",D1331*F1331,(D1331*F1331/G1331))</f>
        <v>1389.1243520000003</v>
      </c>
      <c r="J1331" s="1846"/>
      <c r="K1331" s="1846"/>
      <c r="L1331" s="1846"/>
    </row>
    <row r="1332" spans="1:15">
      <c r="A1332" s="1823"/>
      <c r="B1332" s="1068"/>
      <c r="C1332" s="1817"/>
      <c r="D1332" s="1846"/>
      <c r="E1332" s="1846"/>
      <c r="F1332" s="1068"/>
      <c r="G1332" s="1105"/>
      <c r="H1332" s="1846"/>
      <c r="I1332" s="1080"/>
      <c r="J1332" s="1846"/>
      <c r="K1332" s="1846"/>
      <c r="L1332" s="1846"/>
    </row>
    <row r="1333" spans="1:15" ht="14.65" customHeight="1">
      <c r="A1333" s="1847"/>
      <c r="B1333" s="1847"/>
      <c r="C1333" s="2045" t="s">
        <v>1277</v>
      </c>
      <c r="D1333" s="2045"/>
      <c r="E1333" s="2045"/>
      <c r="F1333" s="2045"/>
      <c r="G1333" s="1078"/>
      <c r="H1333" s="1022"/>
      <c r="I1333" s="1035"/>
      <c r="J1333" s="1078"/>
      <c r="K1333" s="1022"/>
      <c r="L1333" s="1035"/>
    </row>
    <row r="1334" spans="1:15" ht="25.5">
      <c r="A1334" s="1839"/>
      <c r="B1334" s="1839" t="s">
        <v>1215</v>
      </c>
      <c r="C1334" s="1816" t="s">
        <v>1217</v>
      </c>
      <c r="D1334" s="1065" t="s">
        <v>1223</v>
      </c>
      <c r="E1334" s="1839" t="s">
        <v>1207</v>
      </c>
      <c r="F1334" s="1040" t="s">
        <v>1208</v>
      </c>
      <c r="G1334" s="1040" t="s">
        <v>1209</v>
      </c>
      <c r="H1334" s="1839" t="s">
        <v>1210</v>
      </c>
      <c r="I1334" s="1839" t="s">
        <v>1211</v>
      </c>
      <c r="J1334" s="1102"/>
      <c r="K1334" s="1102" t="s">
        <v>1213</v>
      </c>
      <c r="L1334" s="1102" t="s">
        <v>1214</v>
      </c>
    </row>
    <row r="1335" spans="1:15">
      <c r="A1335" s="1847"/>
      <c r="B1335" s="1847"/>
      <c r="C1335" s="1817" t="s">
        <v>1218</v>
      </c>
      <c r="D1335" s="1848">
        <f t="shared" ref="D1335:L1335" si="279">+$I$1331</f>
        <v>1389.1243520000003</v>
      </c>
      <c r="E1335" s="1848">
        <f t="shared" si="279"/>
        <v>1389.1243520000003</v>
      </c>
      <c r="F1335" s="1848">
        <f t="shared" si="279"/>
        <v>1389.1243520000003</v>
      </c>
      <c r="G1335" s="1848">
        <f t="shared" si="279"/>
        <v>1389.1243520000003</v>
      </c>
      <c r="H1335" s="1848">
        <f t="shared" si="279"/>
        <v>1389.1243520000003</v>
      </c>
      <c r="I1335" s="1848">
        <f t="shared" si="279"/>
        <v>1389.1243520000003</v>
      </c>
      <c r="J1335" s="1848"/>
      <c r="K1335" s="1848">
        <f t="shared" si="279"/>
        <v>1389.1243520000003</v>
      </c>
      <c r="L1335" s="1848">
        <f t="shared" si="279"/>
        <v>1389.1243520000003</v>
      </c>
    </row>
    <row r="1336" spans="1:15">
      <c r="A1336" s="1847"/>
      <c r="B1336" s="1847"/>
      <c r="C1336" s="1817" t="s">
        <v>1182</v>
      </c>
      <c r="D1336" s="1848">
        <f>'Civil-SOR'!$F$270</f>
        <v>274</v>
      </c>
      <c r="E1336" s="1848">
        <f>'Civil-SOR'!$F$270</f>
        <v>274</v>
      </c>
      <c r="F1336" s="1848">
        <f>'Civil-SOR'!$F$270</f>
        <v>274</v>
      </c>
      <c r="G1336" s="1848">
        <f>'Civil-SOR'!$F$270</f>
        <v>274</v>
      </c>
      <c r="H1336" s="1848">
        <f>'Civil-SOR'!$F$270</f>
        <v>274</v>
      </c>
      <c r="I1336" s="1848">
        <f>'Civil-SOR'!$F$270</f>
        <v>274</v>
      </c>
      <c r="J1336" s="1848"/>
      <c r="K1336" s="1848">
        <f>'Civil-SOR'!$F$270</f>
        <v>274</v>
      </c>
      <c r="L1336" s="1848">
        <f>'Civil-SOR'!$F$270</f>
        <v>274</v>
      </c>
    </row>
    <row r="1337" spans="1:15">
      <c r="A1337" s="1847"/>
      <c r="B1337" s="1847"/>
      <c r="C1337" s="1817" t="s">
        <v>1252</v>
      </c>
      <c r="D1337" s="1062">
        <f>'Civil-SOR'!$G$270</f>
        <v>267</v>
      </c>
      <c r="E1337" s="1062">
        <f>'Civil-SOR'!$H$270</f>
        <v>294</v>
      </c>
      <c r="F1337" s="1062">
        <f>'Civil-SOR'!$I$270</f>
        <v>320</v>
      </c>
      <c r="G1337" s="1062">
        <f>'Civil-SOR'!$J$270</f>
        <v>347</v>
      </c>
      <c r="H1337" s="1062">
        <f>'Civil-SOR'!$K$270</f>
        <v>374</v>
      </c>
      <c r="I1337" s="1062">
        <f>'Civil-SOR'!$L$270</f>
        <v>401</v>
      </c>
      <c r="J1337" s="1062"/>
      <c r="K1337" s="1062">
        <f>'Civil-SOR'!$N$270</f>
        <v>454</v>
      </c>
      <c r="L1337" s="1062">
        <f>'Civil-SOR'!$O$270</f>
        <v>481</v>
      </c>
    </row>
    <row r="1338" spans="1:15">
      <c r="A1338" s="1847"/>
      <c r="B1338" s="1847"/>
      <c r="C1338" s="1817" t="str">
        <f>Input!$C$47</f>
        <v>Add for MA @ 40%</v>
      </c>
      <c r="D1338" s="1848">
        <f>D1337*Input!$D$47</f>
        <v>106.80000000000001</v>
      </c>
      <c r="E1338" s="1848">
        <f>E1337*Input!$D$47</f>
        <v>117.60000000000001</v>
      </c>
      <c r="F1338" s="1848">
        <f>F1337*Input!$D$47</f>
        <v>128</v>
      </c>
      <c r="G1338" s="1848">
        <f>G1337*Input!$D$47</f>
        <v>138.80000000000001</v>
      </c>
      <c r="H1338" s="1848">
        <f>H1337*Input!$D$47</f>
        <v>149.6</v>
      </c>
      <c r="I1338" s="1848">
        <f>I1337*Input!$D$47</f>
        <v>160.4</v>
      </c>
      <c r="J1338" s="1848"/>
      <c r="K1338" s="1848">
        <f>K1337*Input!$D$47</f>
        <v>181.60000000000002</v>
      </c>
      <c r="L1338" s="1848">
        <f>L1337*Input!$D$47</f>
        <v>192.4</v>
      </c>
    </row>
    <row r="1339" spans="1:15">
      <c r="A1339" s="1847"/>
      <c r="B1339" s="1847"/>
      <c r="C1339" s="1817" t="s">
        <v>1239</v>
      </c>
      <c r="D1339" s="1848">
        <v>0</v>
      </c>
      <c r="E1339" s="1848">
        <f>$F$1417*D1331*10%</f>
        <v>34.241000000000007</v>
      </c>
      <c r="F1339" s="1848">
        <f>$F$1417*D1331*20%</f>
        <v>68.482000000000014</v>
      </c>
      <c r="G1339" s="1848">
        <f>$F$1417*D1331*30%</f>
        <v>102.723</v>
      </c>
      <c r="H1339" s="1848">
        <f>$F$1417*D1331*40%</f>
        <v>136.96400000000003</v>
      </c>
      <c r="I1339" s="1848">
        <f>$F$1417*D1331*50%</f>
        <v>171.20500000000001</v>
      </c>
      <c r="J1339" s="1848"/>
      <c r="K1339" s="1848">
        <f>$F$1417*D1331*70%</f>
        <v>239.68700000000001</v>
      </c>
      <c r="L1339" s="1848">
        <f>$F$1417*D1331*80%</f>
        <v>273.92800000000005</v>
      </c>
    </row>
    <row r="1340" spans="1:15">
      <c r="A1340" s="1847"/>
      <c r="B1340" s="1847"/>
      <c r="C1340" s="1817" t="str">
        <f>Input!$C$47</f>
        <v>Add for MA @ 40%</v>
      </c>
      <c r="D1340" s="1848">
        <f>D1339*Input!D443</f>
        <v>0</v>
      </c>
      <c r="E1340" s="1848">
        <f>E1339*Input!$D$47</f>
        <v>13.696400000000004</v>
      </c>
      <c r="F1340" s="1848">
        <f>F1339*Input!$D$47</f>
        <v>27.392800000000008</v>
      </c>
      <c r="G1340" s="1848">
        <f>G1339*Input!$D$47</f>
        <v>41.089200000000005</v>
      </c>
      <c r="H1340" s="1848">
        <f>H1339*Input!$D$47</f>
        <v>54.785600000000017</v>
      </c>
      <c r="I1340" s="1848">
        <f>I1339*Input!$D$47</f>
        <v>68.482000000000014</v>
      </c>
      <c r="J1340" s="1848"/>
      <c r="K1340" s="1848">
        <f>K1339*Input!$D$47</f>
        <v>95.874800000000008</v>
      </c>
      <c r="L1340" s="1848">
        <f>L1339*Input!$D$47</f>
        <v>109.57120000000003</v>
      </c>
    </row>
    <row r="1341" spans="1:15">
      <c r="A1341" s="1847"/>
      <c r="B1341" s="1847"/>
      <c r="C1341" s="1816" t="s">
        <v>1045</v>
      </c>
      <c r="D1341" s="1848">
        <f t="shared" ref="D1341:L1341" si="280">SUM(D1335:D1340)</f>
        <v>2036.9243520000002</v>
      </c>
      <c r="E1341" s="1848">
        <f t="shared" si="280"/>
        <v>2122.661752</v>
      </c>
      <c r="F1341" s="1848">
        <f t="shared" si="280"/>
        <v>2206.9991520000003</v>
      </c>
      <c r="G1341" s="1848">
        <f t="shared" si="280"/>
        <v>2292.7365520000003</v>
      </c>
      <c r="H1341" s="1848">
        <f t="shared" si="280"/>
        <v>2378.4739520000003</v>
      </c>
      <c r="I1341" s="1848">
        <f t="shared" si="280"/>
        <v>2464.2113520000003</v>
      </c>
      <c r="J1341" s="1848"/>
      <c r="K1341" s="1848">
        <f t="shared" si="280"/>
        <v>2634.2861520000001</v>
      </c>
      <c r="L1341" s="1848">
        <f t="shared" si="280"/>
        <v>2720.0235520000001</v>
      </c>
    </row>
    <row r="1342" spans="1:15">
      <c r="A1342" s="1847"/>
      <c r="B1342" s="1847"/>
      <c r="C1342" s="1817" t="str">
        <f>Input!$C$48</f>
        <v>Overheads &amp; Contractors Profit @ 13.615%</v>
      </c>
      <c r="D1342" s="1847">
        <f>ROUND(D1341*Input!$D$48,2)</f>
        <v>277.33</v>
      </c>
      <c r="E1342" s="1847">
        <f>ROUND(E1341*Input!$D$48,2)</f>
        <v>289</v>
      </c>
      <c r="F1342" s="1847">
        <f>ROUND(F1341*Input!$D$48,2)</f>
        <v>300.48</v>
      </c>
      <c r="G1342" s="1847">
        <f>ROUND(G1341*Input!$D$48,2)</f>
        <v>312.16000000000003</v>
      </c>
      <c r="H1342" s="1847">
        <f>ROUND(H1341*Input!$D$48,2)</f>
        <v>323.83</v>
      </c>
      <c r="I1342" s="1847">
        <f>ROUND(I1341*Input!$D$48,2)</f>
        <v>335.5</v>
      </c>
      <c r="J1342" s="1847"/>
      <c r="K1342" s="1847">
        <f>ROUND(K1341*Input!$D$48,2)</f>
        <v>358.66</v>
      </c>
      <c r="L1342" s="1847">
        <f>ROUND(L1341*Input!$D$48,2)</f>
        <v>370.33</v>
      </c>
    </row>
    <row r="1343" spans="1:15">
      <c r="A1343" s="1005"/>
      <c r="B1343" s="1005"/>
      <c r="C1343" s="1078" t="s">
        <v>1045</v>
      </c>
      <c r="D1343" s="1017">
        <f t="shared" ref="D1343:L1343" si="281">SUM(D1341:D1342)</f>
        <v>2314.2543520000004</v>
      </c>
      <c r="E1343" s="1017">
        <f t="shared" si="281"/>
        <v>2411.661752</v>
      </c>
      <c r="F1343" s="1017">
        <f t="shared" si="281"/>
        <v>2507.4791520000003</v>
      </c>
      <c r="G1343" s="1017">
        <f t="shared" si="281"/>
        <v>2604.8965520000002</v>
      </c>
      <c r="H1343" s="1017">
        <f t="shared" si="281"/>
        <v>2702.3039520000002</v>
      </c>
      <c r="I1343" s="1017">
        <f t="shared" si="281"/>
        <v>2799.7113520000003</v>
      </c>
      <c r="J1343" s="1017"/>
      <c r="K1343" s="1017">
        <f t="shared" si="281"/>
        <v>2992.946152</v>
      </c>
      <c r="L1343" s="1017">
        <f t="shared" si="281"/>
        <v>3090.353552</v>
      </c>
      <c r="M1343" s="997"/>
      <c r="N1343" s="997"/>
      <c r="O1343" s="997"/>
    </row>
    <row r="1344" spans="1:15">
      <c r="A1344" s="1840"/>
      <c r="B1344" s="1840"/>
      <c r="C1344" s="1843" t="s">
        <v>1034</v>
      </c>
      <c r="D1344" s="1134">
        <f t="shared" ref="D1344:L1344" si="282">ROUND(D1343,0)</f>
        <v>2314</v>
      </c>
      <c r="E1344" s="1134">
        <f t="shared" si="282"/>
        <v>2412</v>
      </c>
      <c r="F1344" s="1134">
        <f t="shared" si="282"/>
        <v>2507</v>
      </c>
      <c r="G1344" s="1134">
        <f t="shared" si="282"/>
        <v>2605</v>
      </c>
      <c r="H1344" s="1134">
        <f t="shared" si="282"/>
        <v>2702</v>
      </c>
      <c r="I1344" s="1134">
        <f t="shared" si="282"/>
        <v>2800</v>
      </c>
      <c r="J1344" s="1134"/>
      <c r="K1344" s="1134">
        <f t="shared" si="282"/>
        <v>2993</v>
      </c>
      <c r="L1344" s="1134">
        <f t="shared" si="282"/>
        <v>3090</v>
      </c>
      <c r="M1344" s="997"/>
      <c r="N1344" s="997"/>
      <c r="O1344" s="997"/>
    </row>
    <row r="1345" spans="1:15">
      <c r="A1345" s="1823"/>
      <c r="B1345" s="1068"/>
      <c r="C1345" s="1129"/>
      <c r="D1345" s="1114"/>
      <c r="E1345" s="1114"/>
      <c r="F1345" s="1114"/>
      <c r="G1345" s="1114"/>
      <c r="H1345" s="1114"/>
      <c r="I1345" s="1009"/>
      <c r="J1345" s="1846"/>
      <c r="K1345" s="1846"/>
      <c r="L1345" s="1846"/>
    </row>
    <row r="1346" spans="1:15">
      <c r="A1346" s="1823"/>
      <c r="B1346" s="1098" t="s">
        <v>1221</v>
      </c>
      <c r="C1346" s="1821" t="s">
        <v>1222</v>
      </c>
      <c r="D1346" s="1846"/>
      <c r="E1346" s="1846"/>
      <c r="F1346" s="1068"/>
      <c r="G1346" s="1105"/>
      <c r="H1346" s="1846"/>
      <c r="I1346" s="1080"/>
      <c r="J1346" s="1846"/>
      <c r="K1346" s="1846"/>
      <c r="L1346" s="1846"/>
    </row>
    <row r="1347" spans="1:15">
      <c r="A1347" s="1823"/>
      <c r="B1347" s="1068"/>
      <c r="C1347" s="1816" t="s">
        <v>1217</v>
      </c>
      <c r="D1347" s="1009" t="s">
        <v>1223</v>
      </c>
      <c r="E1347" s="1098" t="s">
        <v>1207</v>
      </c>
      <c r="F1347" s="1102" t="s">
        <v>1208</v>
      </c>
      <c r="G1347" s="1102" t="s">
        <v>1209</v>
      </c>
      <c r="H1347" s="1098" t="s">
        <v>1210</v>
      </c>
      <c r="I1347" s="1098" t="s">
        <v>1211</v>
      </c>
      <c r="J1347" s="1098"/>
      <c r="K1347" s="1846"/>
      <c r="L1347" s="1846"/>
    </row>
    <row r="1348" spans="1:15">
      <c r="A1348" s="1823"/>
      <c r="B1348" s="1068"/>
      <c r="C1348" s="1817" t="s">
        <v>1218</v>
      </c>
      <c r="D1348" s="1093">
        <f t="shared" ref="D1348:I1348" si="283">$I$1331</f>
        <v>1389.1243520000003</v>
      </c>
      <c r="E1348" s="1093">
        <f t="shared" si="283"/>
        <v>1389.1243520000003</v>
      </c>
      <c r="F1348" s="1093">
        <f t="shared" si="283"/>
        <v>1389.1243520000003</v>
      </c>
      <c r="G1348" s="1093">
        <f t="shared" si="283"/>
        <v>1389.1243520000003</v>
      </c>
      <c r="H1348" s="1093">
        <f t="shared" si="283"/>
        <v>1389.1243520000003</v>
      </c>
      <c r="I1348" s="1093">
        <f t="shared" si="283"/>
        <v>1389.1243520000003</v>
      </c>
      <c r="J1348" s="1093"/>
      <c r="K1348" s="1846"/>
      <c r="L1348" s="1846"/>
    </row>
    <row r="1349" spans="1:15">
      <c r="A1349" s="1823"/>
      <c r="B1349" s="1068"/>
      <c r="C1349" s="1817" t="s">
        <v>1182</v>
      </c>
      <c r="D1349" s="1093">
        <f>'Civil-SOR'!$F$270</f>
        <v>274</v>
      </c>
      <c r="E1349" s="1093">
        <f>'Civil-SOR'!$F$270</f>
        <v>274</v>
      </c>
      <c r="F1349" s="1093">
        <f>'Civil-SOR'!$F$270</f>
        <v>274</v>
      </c>
      <c r="G1349" s="1093">
        <f>'Civil-SOR'!$F$270</f>
        <v>274</v>
      </c>
      <c r="H1349" s="1093">
        <f>'Civil-SOR'!$F$270</f>
        <v>274</v>
      </c>
      <c r="I1349" s="1093">
        <f>'Civil-SOR'!$F$270</f>
        <v>274</v>
      </c>
      <c r="J1349" s="1093"/>
      <c r="K1349" s="1846"/>
      <c r="L1349" s="1846"/>
    </row>
    <row r="1350" spans="1:15">
      <c r="A1350" s="1823"/>
      <c r="B1350" s="1068"/>
      <c r="C1350" s="1817" t="s">
        <v>1252</v>
      </c>
      <c r="D1350" s="1001">
        <f>'Civil-SOR'!$G$270</f>
        <v>267</v>
      </c>
      <c r="E1350" s="1001">
        <f>'Civil-SOR'!$H$270</f>
        <v>294</v>
      </c>
      <c r="F1350" s="1001">
        <f>'Civil-SOR'!$I$270</f>
        <v>320</v>
      </c>
      <c r="G1350" s="1001">
        <f>'Civil-SOR'!$J$270</f>
        <v>347</v>
      </c>
      <c r="H1350" s="1001">
        <f>'Civil-SOR'!$K$270</f>
        <v>374</v>
      </c>
      <c r="I1350" s="1001">
        <f>'Civil-SOR'!$L$270</f>
        <v>401</v>
      </c>
      <c r="J1350" s="1001"/>
      <c r="K1350" s="1846"/>
      <c r="L1350" s="1846"/>
    </row>
    <row r="1351" spans="1:15">
      <c r="A1351" s="1823"/>
      <c r="B1351" s="1068"/>
      <c r="C1351" s="1817" t="str">
        <f>Input!$C$47</f>
        <v>Add for MA @ 40%</v>
      </c>
      <c r="D1351" s="1093">
        <f>D1350*Input!$D$47</f>
        <v>106.80000000000001</v>
      </c>
      <c r="E1351" s="1093">
        <f>E1350*Input!$D$47</f>
        <v>117.60000000000001</v>
      </c>
      <c r="F1351" s="1093">
        <f>F1350*Input!$D$47</f>
        <v>128</v>
      </c>
      <c r="G1351" s="1093">
        <f>G1350*Input!$D$47</f>
        <v>138.80000000000001</v>
      </c>
      <c r="H1351" s="1093">
        <f>H1350*Input!$D$47</f>
        <v>149.6</v>
      </c>
      <c r="I1351" s="1093">
        <f>I1350*Input!$D$47</f>
        <v>160.4</v>
      </c>
      <c r="J1351" s="1093"/>
      <c r="K1351" s="1846"/>
      <c r="L1351" s="1846"/>
    </row>
    <row r="1352" spans="1:15" ht="25.5">
      <c r="A1352" s="1823"/>
      <c r="B1352" s="1068"/>
      <c r="C1352" s="1817" t="s">
        <v>1254</v>
      </c>
      <c r="D1352" s="1093">
        <v>0</v>
      </c>
      <c r="E1352" s="1093">
        <f>0.267*$D$1331*'Civil-SOR'!$G$334</f>
        <v>20.222580000000004</v>
      </c>
      <c r="F1352" s="1093">
        <f t="shared" ref="F1352:F1353" si="284">E1352*1.1</f>
        <v>22.244838000000005</v>
      </c>
      <c r="G1352" s="1093">
        <f t="shared" ref="G1352:G1353" si="285">E1352*1.2</f>
        <v>24.267096000000006</v>
      </c>
      <c r="H1352" s="1093">
        <f t="shared" ref="H1352:H1353" si="286">E1352*1.3</f>
        <v>26.289354000000007</v>
      </c>
      <c r="I1352" s="1093">
        <f t="shared" ref="I1352:I1353" si="287">E1352*1.4</f>
        <v>28.311612000000004</v>
      </c>
      <c r="J1352" s="1093"/>
      <c r="K1352" s="1846"/>
      <c r="L1352" s="1846"/>
    </row>
    <row r="1353" spans="1:15">
      <c r="A1353" s="1823"/>
      <c r="B1353" s="1068"/>
      <c r="C1353" s="1817" t="s">
        <v>579</v>
      </c>
      <c r="D1353" s="1093"/>
      <c r="E1353" s="1093">
        <f>0.267*$D$1331*'Civil-SOR'!$J$334</f>
        <v>19.245360000000002</v>
      </c>
      <c r="F1353" s="1093">
        <f t="shared" si="284"/>
        <v>21.169896000000005</v>
      </c>
      <c r="G1353" s="1093">
        <f t="shared" si="285"/>
        <v>23.094432000000001</v>
      </c>
      <c r="H1353" s="1093">
        <f t="shared" si="286"/>
        <v>25.018968000000005</v>
      </c>
      <c r="I1353" s="1093">
        <f t="shared" si="287"/>
        <v>26.943504000000001</v>
      </c>
      <c r="J1353" s="1093"/>
      <c r="K1353" s="1846"/>
      <c r="L1353" s="1846"/>
    </row>
    <row r="1354" spans="1:15">
      <c r="A1354" s="1823"/>
      <c r="B1354" s="1068"/>
      <c r="C1354" s="1817" t="str">
        <f>Input!$C$47</f>
        <v>Add for MA @ 40%</v>
      </c>
      <c r="D1354" s="1093">
        <f>D1352*Input!D456</f>
        <v>0</v>
      </c>
      <c r="E1354" s="1093">
        <f>E1353*Input!$D$47</f>
        <v>7.698144000000001</v>
      </c>
      <c r="F1354" s="1093">
        <f>F1353*Input!$D$47</f>
        <v>8.4679584000000023</v>
      </c>
      <c r="G1354" s="1093">
        <f>G1353*Input!$D$47</f>
        <v>9.2377728000000001</v>
      </c>
      <c r="H1354" s="1093">
        <f>H1353*Input!$D$47</f>
        <v>10.007587200000003</v>
      </c>
      <c r="I1354" s="1093">
        <f>I1353*Input!$D$47</f>
        <v>10.777401600000001</v>
      </c>
      <c r="J1354" s="1093"/>
      <c r="K1354" s="1846"/>
      <c r="L1354" s="1846"/>
    </row>
    <row r="1355" spans="1:15">
      <c r="A1355" s="1823"/>
      <c r="B1355" s="1068"/>
      <c r="C1355" s="1816" t="s">
        <v>1045</v>
      </c>
      <c r="D1355" s="1093">
        <f t="shared" ref="D1355:I1355" si="288">SUM(D1348:D1354)</f>
        <v>2036.9243520000002</v>
      </c>
      <c r="E1355" s="1093">
        <f t="shared" si="288"/>
        <v>2121.8904360000001</v>
      </c>
      <c r="F1355" s="1093">
        <f t="shared" si="288"/>
        <v>2163.0070444000003</v>
      </c>
      <c r="G1355" s="1093">
        <f t="shared" si="288"/>
        <v>2205.5236528000005</v>
      </c>
      <c r="H1355" s="1093">
        <f t="shared" si="288"/>
        <v>2248.0402612000003</v>
      </c>
      <c r="I1355" s="1093">
        <f t="shared" si="288"/>
        <v>2290.5568696</v>
      </c>
      <c r="J1355" s="1093"/>
      <c r="K1355" s="1846"/>
      <c r="L1355" s="1846"/>
    </row>
    <row r="1356" spans="1:15">
      <c r="A1356" s="1823"/>
      <c r="B1356" s="1068"/>
      <c r="C1356" s="1817" t="str">
        <f>Input!$C$48</f>
        <v>Overheads &amp; Contractors Profit @ 13.615%</v>
      </c>
      <c r="D1356" s="1823">
        <f>ROUND(D1355*Input!$D$48,2)</f>
        <v>277.33</v>
      </c>
      <c r="E1356" s="1823">
        <f>ROUND(E1355*Input!$D$48,2)</f>
        <v>288.89999999999998</v>
      </c>
      <c r="F1356" s="1823">
        <f>ROUND(F1355*Input!$D$48,2)</f>
        <v>294.49</v>
      </c>
      <c r="G1356" s="1823">
        <f>ROUND(G1355*Input!$D$48,2)</f>
        <v>300.27999999999997</v>
      </c>
      <c r="H1356" s="1823">
        <f>ROUND(H1355*Input!$D$48,2)</f>
        <v>306.07</v>
      </c>
      <c r="I1356" s="1823">
        <f>ROUND(I1355*Input!$D$48,2)</f>
        <v>311.86</v>
      </c>
      <c r="J1356" s="1823"/>
      <c r="K1356" s="1846"/>
      <c r="L1356" s="1846"/>
    </row>
    <row r="1357" spans="1:15">
      <c r="A1357" s="1023"/>
      <c r="B1357" s="1023"/>
      <c r="C1357" s="1816" t="s">
        <v>1045</v>
      </c>
      <c r="D1357" s="1829">
        <f t="shared" ref="D1357:I1357" si="289">SUM(D1355:D1356)</f>
        <v>2314.2543520000004</v>
      </c>
      <c r="E1357" s="1829">
        <f t="shared" si="289"/>
        <v>2410.7904360000002</v>
      </c>
      <c r="F1357" s="1829">
        <f t="shared" si="289"/>
        <v>2457.4970444</v>
      </c>
      <c r="G1357" s="1829">
        <f t="shared" si="289"/>
        <v>2505.8036528000002</v>
      </c>
      <c r="H1357" s="1829">
        <f t="shared" si="289"/>
        <v>2554.1102612000004</v>
      </c>
      <c r="I1357" s="1829">
        <f t="shared" si="289"/>
        <v>2602.4168696000002</v>
      </c>
      <c r="J1357" s="1829"/>
      <c r="K1357" s="996"/>
      <c r="L1357" s="996"/>
      <c r="M1357" s="997"/>
      <c r="N1357" s="997"/>
      <c r="O1357" s="997"/>
    </row>
    <row r="1358" spans="1:15">
      <c r="A1358" s="1023"/>
      <c r="B1358" s="1023"/>
      <c r="C1358" s="1843" t="s">
        <v>1034</v>
      </c>
      <c r="D1358" s="999">
        <f t="shared" ref="D1358:I1358" si="290">ROUND(D1357,0)</f>
        <v>2314</v>
      </c>
      <c r="E1358" s="999">
        <f t="shared" si="290"/>
        <v>2411</v>
      </c>
      <c r="F1358" s="999">
        <f t="shared" si="290"/>
        <v>2457</v>
      </c>
      <c r="G1358" s="999">
        <f t="shared" si="290"/>
        <v>2506</v>
      </c>
      <c r="H1358" s="999">
        <f t="shared" si="290"/>
        <v>2554</v>
      </c>
      <c r="I1358" s="999">
        <f t="shared" si="290"/>
        <v>2602</v>
      </c>
      <c r="J1358" s="999"/>
      <c r="K1358" s="996"/>
      <c r="L1358" s="996"/>
      <c r="M1358" s="997"/>
      <c r="N1358" s="997"/>
      <c r="O1358" s="997"/>
    </row>
    <row r="1359" spans="1:15">
      <c r="A1359" s="1023"/>
      <c r="B1359" s="1023"/>
      <c r="C1359" s="1843"/>
      <c r="D1359" s="999"/>
      <c r="E1359" s="999"/>
      <c r="F1359" s="999"/>
      <c r="G1359" s="999"/>
      <c r="H1359" s="999"/>
      <c r="I1359" s="999"/>
      <c r="J1359" s="999"/>
      <c r="K1359" s="996"/>
      <c r="L1359" s="996"/>
      <c r="M1359" s="997"/>
      <c r="N1359" s="997"/>
      <c r="O1359" s="997"/>
    </row>
    <row r="1360" spans="1:15" ht="14.65" customHeight="1">
      <c r="A1360" s="1023"/>
      <c r="B1360" s="1847"/>
      <c r="C1360" s="2045" t="s">
        <v>1278</v>
      </c>
      <c r="D1360" s="2045"/>
      <c r="E1360" s="2045"/>
      <c r="F1360" s="2045"/>
      <c r="G1360" s="1078"/>
      <c r="H1360" s="1022"/>
      <c r="I1360" s="1035"/>
      <c r="J1360" s="1078"/>
      <c r="K1360" s="1022"/>
      <c r="L1360" s="1035"/>
    </row>
    <row r="1361" spans="1:15" ht="25.5">
      <c r="A1361" s="1023"/>
      <c r="B1361" s="1839" t="s">
        <v>1215</v>
      </c>
      <c r="C1361" s="1816" t="s">
        <v>1217</v>
      </c>
      <c r="D1361" s="1065" t="s">
        <v>1223</v>
      </c>
      <c r="E1361" s="1839" t="s">
        <v>1207</v>
      </c>
      <c r="F1361" s="1040" t="s">
        <v>1208</v>
      </c>
      <c r="G1361" s="1040" t="s">
        <v>1209</v>
      </c>
      <c r="H1361" s="1839" t="s">
        <v>1210</v>
      </c>
      <c r="I1361" s="1839" t="s">
        <v>1211</v>
      </c>
      <c r="J1361" s="1102"/>
      <c r="K1361" s="1022"/>
      <c r="L1361" s="1035"/>
    </row>
    <row r="1362" spans="1:15">
      <c r="A1362" s="1023"/>
      <c r="B1362" s="1023"/>
      <c r="C1362" s="1817" t="s">
        <v>1218</v>
      </c>
      <c r="D1362" s="1093">
        <f t="shared" ref="D1362:I1362" si="291">$I$1331</f>
        <v>1389.1243520000003</v>
      </c>
      <c r="E1362" s="1093">
        <f t="shared" si="291"/>
        <v>1389.1243520000003</v>
      </c>
      <c r="F1362" s="1093">
        <f t="shared" si="291"/>
        <v>1389.1243520000003</v>
      </c>
      <c r="G1362" s="1093">
        <f t="shared" si="291"/>
        <v>1389.1243520000003</v>
      </c>
      <c r="H1362" s="1093">
        <f t="shared" si="291"/>
        <v>1389.1243520000003</v>
      </c>
      <c r="I1362" s="1093">
        <f t="shared" si="291"/>
        <v>1389.1243520000003</v>
      </c>
      <c r="J1362" s="1093"/>
      <c r="K1362" s="1022"/>
      <c r="L1362" s="1035"/>
      <c r="N1362" s="997"/>
      <c r="O1362" s="997"/>
    </row>
    <row r="1363" spans="1:15">
      <c r="A1363" s="1023"/>
      <c r="B1363" s="1023"/>
      <c r="C1363" s="1817" t="s">
        <v>1182</v>
      </c>
      <c r="D1363" s="1093">
        <f>'Civil-SOR'!$F$270*1.1666</f>
        <v>319.64840000000004</v>
      </c>
      <c r="E1363" s="1093">
        <f>'Civil-SOR'!$F$270*1.1666</f>
        <v>319.64840000000004</v>
      </c>
      <c r="F1363" s="1093">
        <f>'Civil-SOR'!$F$270*1.1666</f>
        <v>319.64840000000004</v>
      </c>
      <c r="G1363" s="1093">
        <f>'Civil-SOR'!$F$270*1.1666</f>
        <v>319.64840000000004</v>
      </c>
      <c r="H1363" s="1093">
        <f>'Civil-SOR'!$F$270*1.1666</f>
        <v>319.64840000000004</v>
      </c>
      <c r="I1363" s="1093">
        <f>'Civil-SOR'!$F$270*1.1666</f>
        <v>319.64840000000004</v>
      </c>
      <c r="J1363" s="1093"/>
      <c r="K1363" s="1846"/>
      <c r="L1363" s="1846"/>
      <c r="N1363" s="997"/>
      <c r="O1363" s="997"/>
    </row>
    <row r="1364" spans="1:15">
      <c r="A1364" s="1023"/>
      <c r="B1364" s="1023"/>
      <c r="C1364" s="1817" t="s">
        <v>1252</v>
      </c>
      <c r="D1364" s="1001">
        <f>'Civil-SOR'!$G$270*1.1666</f>
        <v>311.48220000000003</v>
      </c>
      <c r="E1364" s="1001">
        <f>'Civil-SOR'!$H$270*1.1666</f>
        <v>342.98040000000003</v>
      </c>
      <c r="F1364" s="1001">
        <f>'Civil-SOR'!$I$270*1.1666</f>
        <v>373.31200000000001</v>
      </c>
      <c r="G1364" s="1001">
        <f>'Civil-SOR'!$J$270*1.1666</f>
        <v>404.81020000000001</v>
      </c>
      <c r="H1364" s="1001">
        <f>'Civil-SOR'!$K$270*1.1666</f>
        <v>436.30840000000001</v>
      </c>
      <c r="I1364" s="1001">
        <f>'Civil-SOR'!$L$270*1.1666</f>
        <v>467.80660000000006</v>
      </c>
      <c r="J1364" s="1001"/>
      <c r="K1364" s="1846"/>
      <c r="L1364" s="1846"/>
      <c r="N1364" s="997"/>
      <c r="O1364" s="997"/>
    </row>
    <row r="1365" spans="1:15">
      <c r="A1365" s="1023"/>
      <c r="B1365" s="1023"/>
      <c r="C1365" s="1817" t="str">
        <f>Input!$C$47</f>
        <v>Add for MA @ 40%</v>
      </c>
      <c r="D1365" s="1093">
        <f>D1364*Input!$D$47</f>
        <v>124.59288000000002</v>
      </c>
      <c r="E1365" s="1093">
        <f>E1364*Input!$D$47</f>
        <v>137.19216000000003</v>
      </c>
      <c r="F1365" s="1093">
        <f>F1364*Input!$D$47</f>
        <v>149.32480000000001</v>
      </c>
      <c r="G1365" s="1093">
        <f>G1364*Input!$D$47</f>
        <v>161.92408</v>
      </c>
      <c r="H1365" s="1093">
        <f>H1364*Input!$D$47</f>
        <v>174.52336000000003</v>
      </c>
      <c r="I1365" s="1093">
        <f>I1364*Input!$D$47</f>
        <v>187.12264000000005</v>
      </c>
      <c r="J1365" s="1093"/>
      <c r="K1365" s="1846"/>
      <c r="L1365" s="1846"/>
      <c r="N1365" s="997"/>
      <c r="O1365" s="997"/>
    </row>
    <row r="1366" spans="1:15" ht="25.5">
      <c r="A1366" s="1023"/>
      <c r="B1366" s="1023"/>
      <c r="C1366" s="1817" t="s">
        <v>1254</v>
      </c>
      <c r="D1366" s="1093">
        <v>0</v>
      </c>
      <c r="E1366" s="1093">
        <f>0.267*$D$1331*'Civil-SOR'!$G$334</f>
        <v>20.222580000000004</v>
      </c>
      <c r="F1366" s="1093">
        <f t="shared" ref="F1366:F1367" si="292">E1366*1.1</f>
        <v>22.244838000000005</v>
      </c>
      <c r="G1366" s="1093">
        <f t="shared" ref="G1366:G1367" si="293">E1366*1.2</f>
        <v>24.267096000000006</v>
      </c>
      <c r="H1366" s="1093">
        <f t="shared" ref="H1366:H1367" si="294">E1366*1.3</f>
        <v>26.289354000000007</v>
      </c>
      <c r="I1366" s="1093">
        <f t="shared" ref="I1366:I1367" si="295">E1366*1.4</f>
        <v>28.311612000000004</v>
      </c>
      <c r="J1366" s="1093"/>
      <c r="K1366" s="1846"/>
      <c r="L1366" s="1846"/>
      <c r="N1366" s="997"/>
      <c r="O1366" s="997"/>
    </row>
    <row r="1367" spans="1:15">
      <c r="A1367" s="1023"/>
      <c r="B1367" s="1023"/>
      <c r="C1367" s="1817" t="s">
        <v>579</v>
      </c>
      <c r="D1367" s="1093"/>
      <c r="E1367" s="1093">
        <f>0.267*$D$1331*'Civil-SOR'!$J$334</f>
        <v>19.245360000000002</v>
      </c>
      <c r="F1367" s="1093">
        <f t="shared" si="292"/>
        <v>21.169896000000005</v>
      </c>
      <c r="G1367" s="1093">
        <f t="shared" si="293"/>
        <v>23.094432000000001</v>
      </c>
      <c r="H1367" s="1093">
        <f t="shared" si="294"/>
        <v>25.018968000000005</v>
      </c>
      <c r="I1367" s="1093">
        <f t="shared" si="295"/>
        <v>26.943504000000001</v>
      </c>
      <c r="J1367" s="1093"/>
      <c r="K1367" s="1846"/>
      <c r="L1367" s="1846"/>
      <c r="N1367" s="997"/>
      <c r="O1367" s="997"/>
    </row>
    <row r="1368" spans="1:15">
      <c r="A1368" s="1023"/>
      <c r="B1368" s="1023"/>
      <c r="C1368" s="1817" t="str">
        <f>Input!$C$47</f>
        <v>Add for MA @ 40%</v>
      </c>
      <c r="D1368" s="1093">
        <f>D1366*Input!D471</f>
        <v>0</v>
      </c>
      <c r="E1368" s="1093">
        <f>E1367*Input!$D$47</f>
        <v>7.698144000000001</v>
      </c>
      <c r="F1368" s="1093">
        <f>F1367*Input!$D$47</f>
        <v>8.4679584000000023</v>
      </c>
      <c r="G1368" s="1093">
        <f>G1367*Input!$D$47</f>
        <v>9.2377728000000001</v>
      </c>
      <c r="H1368" s="1093">
        <f>H1367*Input!$D$47</f>
        <v>10.007587200000003</v>
      </c>
      <c r="I1368" s="1093">
        <f>I1367*Input!$D$47</f>
        <v>10.777401600000001</v>
      </c>
      <c r="J1368" s="1093"/>
      <c r="K1368" s="1846"/>
      <c r="L1368" s="1846"/>
      <c r="N1368" s="997"/>
      <c r="O1368" s="997"/>
    </row>
    <row r="1369" spans="1:15">
      <c r="A1369" s="1023"/>
      <c r="B1369" s="1023"/>
      <c r="C1369" s="1816" t="s">
        <v>1045</v>
      </c>
      <c r="D1369" s="1093">
        <f t="shared" ref="D1369:I1369" si="296">SUM(D1362:D1368)</f>
        <v>2144.8478320000004</v>
      </c>
      <c r="E1369" s="1093">
        <f t="shared" si="296"/>
        <v>2236.1113960000002</v>
      </c>
      <c r="F1369" s="1093">
        <f t="shared" si="296"/>
        <v>2283.2922444000001</v>
      </c>
      <c r="G1369" s="1093">
        <f t="shared" si="296"/>
        <v>2332.1063328000005</v>
      </c>
      <c r="H1369" s="1093">
        <f t="shared" si="296"/>
        <v>2380.9204212000004</v>
      </c>
      <c r="I1369" s="1093">
        <f t="shared" si="296"/>
        <v>2429.7345095999999</v>
      </c>
      <c r="J1369" s="1093"/>
      <c r="K1369" s="1846"/>
      <c r="L1369" s="1846"/>
      <c r="N1369" s="997"/>
      <c r="O1369" s="997"/>
    </row>
    <row r="1370" spans="1:15">
      <c r="A1370" s="1023"/>
      <c r="B1370" s="1023"/>
      <c r="C1370" s="1817" t="str">
        <f>Input!$C$48</f>
        <v>Overheads &amp; Contractors Profit @ 13.615%</v>
      </c>
      <c r="D1370" s="1823">
        <f>ROUND(D1369*Input!$D$48,2)</f>
        <v>292.02</v>
      </c>
      <c r="E1370" s="1823">
        <f>ROUND(E1369*Input!$D$48,2)</f>
        <v>304.45</v>
      </c>
      <c r="F1370" s="1823">
        <f>ROUND(F1369*Input!$D$48,2)</f>
        <v>310.87</v>
      </c>
      <c r="G1370" s="1823">
        <f>ROUND(G1369*Input!$D$48,2)</f>
        <v>317.52</v>
      </c>
      <c r="H1370" s="1823">
        <f>ROUND(H1369*Input!$D$48,2)</f>
        <v>324.16000000000003</v>
      </c>
      <c r="I1370" s="1823">
        <f>ROUND(I1369*Input!$D$48,2)</f>
        <v>330.81</v>
      </c>
      <c r="J1370" s="1823"/>
      <c r="K1370" s="1846"/>
      <c r="L1370" s="1846"/>
      <c r="N1370" s="997"/>
      <c r="O1370" s="997"/>
    </row>
    <row r="1371" spans="1:15">
      <c r="A1371" s="1023"/>
      <c r="B1371" s="1023"/>
      <c r="C1371" s="1816" t="s">
        <v>1045</v>
      </c>
      <c r="D1371" s="1829">
        <f t="shared" ref="D1371:I1371" si="297">SUM(D1369:D1370)</f>
        <v>2436.8678320000004</v>
      </c>
      <c r="E1371" s="1829">
        <f t="shared" si="297"/>
        <v>2540.5613960000001</v>
      </c>
      <c r="F1371" s="1829">
        <f t="shared" si="297"/>
        <v>2594.1622444</v>
      </c>
      <c r="G1371" s="1829">
        <f t="shared" si="297"/>
        <v>2649.6263328000005</v>
      </c>
      <c r="H1371" s="1829">
        <f t="shared" si="297"/>
        <v>2705.0804212000003</v>
      </c>
      <c r="I1371" s="1829">
        <f t="shared" si="297"/>
        <v>2760.5445095999999</v>
      </c>
      <c r="J1371" s="1829"/>
      <c r="K1371" s="996"/>
      <c r="L1371" s="996"/>
      <c r="M1371" s="997"/>
      <c r="N1371" s="997"/>
      <c r="O1371" s="997"/>
    </row>
    <row r="1372" spans="1:15">
      <c r="A1372" s="1023"/>
      <c r="B1372" s="1023"/>
      <c r="C1372" s="1843" t="s">
        <v>1034</v>
      </c>
      <c r="D1372" s="999">
        <f t="shared" ref="D1372:I1372" si="298">ROUND(D1371,0)</f>
        <v>2437</v>
      </c>
      <c r="E1372" s="999">
        <f t="shared" si="298"/>
        <v>2541</v>
      </c>
      <c r="F1372" s="999">
        <f t="shared" si="298"/>
        <v>2594</v>
      </c>
      <c r="G1372" s="999">
        <f t="shared" si="298"/>
        <v>2650</v>
      </c>
      <c r="H1372" s="999">
        <f t="shared" si="298"/>
        <v>2705</v>
      </c>
      <c r="I1372" s="999">
        <f t="shared" si="298"/>
        <v>2761</v>
      </c>
      <c r="J1372" s="999"/>
      <c r="K1372" s="996"/>
      <c r="L1372" s="996"/>
      <c r="M1372" s="997"/>
      <c r="N1372" s="997"/>
      <c r="O1372" s="997"/>
    </row>
    <row r="1373" spans="1:15">
      <c r="A1373" s="1023"/>
      <c r="B1373" s="1023"/>
      <c r="C1373" s="1843"/>
      <c r="D1373" s="999"/>
      <c r="E1373" s="999"/>
      <c r="F1373" s="999"/>
      <c r="G1373" s="999"/>
      <c r="H1373" s="999"/>
      <c r="I1373" s="999"/>
      <c r="J1373" s="999"/>
      <c r="K1373" s="996"/>
      <c r="L1373" s="996"/>
      <c r="M1373" s="997"/>
      <c r="N1373" s="997"/>
      <c r="O1373" s="997"/>
    </row>
    <row r="1374" spans="1:15">
      <c r="A1374" s="1823"/>
      <c r="B1374" s="1098" t="s">
        <v>442</v>
      </c>
      <c r="C1374" s="1821" t="s">
        <v>1279</v>
      </c>
      <c r="D1374" s="1846"/>
      <c r="E1374" s="1846"/>
      <c r="F1374" s="1068"/>
      <c r="G1374" s="1105"/>
      <c r="H1374" s="1098"/>
      <c r="I1374" s="1080"/>
      <c r="J1374" s="1846"/>
      <c r="K1374" s="1846"/>
      <c r="L1374" s="1846"/>
    </row>
    <row r="1375" spans="1:15">
      <c r="A1375" s="1823"/>
      <c r="B1375" s="1068"/>
      <c r="C1375" s="1817" t="s">
        <v>1181</v>
      </c>
      <c r="D1375" s="1132">
        <v>0.22500000000000001</v>
      </c>
      <c r="E1375" s="1846" t="s">
        <v>484</v>
      </c>
      <c r="F1375" s="1021">
        <f>$I$1425</f>
        <v>6945.6217600000009</v>
      </c>
      <c r="G1375" s="1105">
        <v>1</v>
      </c>
      <c r="H1375" s="1846" t="s">
        <v>484</v>
      </c>
      <c r="I1375" s="1011">
        <f>IF(G1375="",D1375*F1375,(D1375*F1375/G1375))</f>
        <v>1562.7648960000001</v>
      </c>
      <c r="J1375" s="1846"/>
      <c r="K1375" s="1846"/>
      <c r="L1375" s="1846"/>
    </row>
    <row r="1376" spans="1:15">
      <c r="A1376" s="1023"/>
      <c r="B1376" s="1023"/>
      <c r="C1376" s="1843"/>
      <c r="D1376" s="999"/>
      <c r="E1376" s="999"/>
      <c r="F1376" s="999"/>
      <c r="G1376" s="999"/>
      <c r="H1376" s="999"/>
      <c r="I1376" s="999"/>
      <c r="J1376" s="999"/>
      <c r="K1376" s="999"/>
      <c r="L1376" s="999"/>
      <c r="M1376" s="997"/>
      <c r="N1376" s="997"/>
      <c r="O1376" s="997"/>
    </row>
    <row r="1377" spans="1:15">
      <c r="A1377" s="1823"/>
      <c r="B1377" s="1098" t="s">
        <v>1221</v>
      </c>
      <c r="C1377" s="1821" t="s">
        <v>1222</v>
      </c>
      <c r="D1377" s="1846"/>
      <c r="E1377" s="1846"/>
      <c r="F1377" s="1068"/>
      <c r="G1377" s="1105"/>
      <c r="H1377" s="1846"/>
      <c r="I1377" s="1080"/>
      <c r="J1377" s="1105"/>
      <c r="K1377" s="1846"/>
      <c r="L1377" s="1080"/>
    </row>
    <row r="1378" spans="1:15">
      <c r="A1378" s="1823"/>
      <c r="B1378" s="1068"/>
      <c r="C1378" s="1816" t="s">
        <v>1217</v>
      </c>
      <c r="D1378" s="1009" t="s">
        <v>1223</v>
      </c>
      <c r="E1378" s="1098" t="s">
        <v>1207</v>
      </c>
      <c r="F1378" s="1102" t="s">
        <v>1208</v>
      </c>
      <c r="G1378" s="1102" t="s">
        <v>1209</v>
      </c>
      <c r="H1378" s="1102" t="s">
        <v>1210</v>
      </c>
      <c r="I1378" s="1102" t="s">
        <v>1211</v>
      </c>
      <c r="J1378" s="1846"/>
      <c r="K1378" s="1846"/>
      <c r="L1378" s="1846"/>
    </row>
    <row r="1379" spans="1:15">
      <c r="A1379" s="1823"/>
      <c r="B1379" s="1068"/>
      <c r="C1379" s="1817" t="s">
        <v>1218</v>
      </c>
      <c r="D1379" s="1093">
        <f t="shared" ref="D1379:I1379" si="299">$I$1375</f>
        <v>1562.7648960000001</v>
      </c>
      <c r="E1379" s="1093">
        <f t="shared" si="299"/>
        <v>1562.7648960000001</v>
      </c>
      <c r="F1379" s="1093">
        <f t="shared" si="299"/>
        <v>1562.7648960000001</v>
      </c>
      <c r="G1379" s="1093">
        <f t="shared" si="299"/>
        <v>1562.7648960000001</v>
      </c>
      <c r="H1379" s="1093">
        <f t="shared" si="299"/>
        <v>1562.7648960000001</v>
      </c>
      <c r="I1379" s="1093">
        <f t="shared" si="299"/>
        <v>1562.7648960000001</v>
      </c>
      <c r="J1379" s="1846"/>
      <c r="K1379" s="1846"/>
      <c r="L1379" s="1846"/>
    </row>
    <row r="1380" spans="1:15">
      <c r="A1380" s="1823"/>
      <c r="B1380" s="1068"/>
      <c r="C1380" s="1817" t="s">
        <v>1182</v>
      </c>
      <c r="D1380" s="1093">
        <f>'Civil-SOR'!$F$270</f>
        <v>274</v>
      </c>
      <c r="E1380" s="1093">
        <f>'Civil-SOR'!$F$270</f>
        <v>274</v>
      </c>
      <c r="F1380" s="1093">
        <f>'Civil-SOR'!$F$270</f>
        <v>274</v>
      </c>
      <c r="G1380" s="1093">
        <f>'Civil-SOR'!$F$270</f>
        <v>274</v>
      </c>
      <c r="H1380" s="1093">
        <f>'Civil-SOR'!$F$270</f>
        <v>274</v>
      </c>
      <c r="I1380" s="1093">
        <f>'Civil-SOR'!$F$270</f>
        <v>274</v>
      </c>
      <c r="J1380" s="1846"/>
      <c r="K1380" s="1846"/>
      <c r="L1380" s="1846"/>
    </row>
    <row r="1381" spans="1:15">
      <c r="A1381" s="1823"/>
      <c r="B1381" s="1068"/>
      <c r="C1381" s="1817" t="s">
        <v>1252</v>
      </c>
      <c r="D1381" s="1001">
        <f>'Civil-SOR'!$G$270</f>
        <v>267</v>
      </c>
      <c r="E1381" s="1001">
        <f>'Civil-SOR'!$H$270</f>
        <v>294</v>
      </c>
      <c r="F1381" s="1001">
        <f>'Civil-SOR'!$I$270</f>
        <v>320</v>
      </c>
      <c r="G1381" s="1001">
        <f>'Civil-SOR'!$J$270</f>
        <v>347</v>
      </c>
      <c r="H1381" s="1001">
        <f>'Civil-SOR'!$K$270</f>
        <v>374</v>
      </c>
      <c r="I1381" s="1001">
        <f>'Civil-SOR'!$L$270</f>
        <v>401</v>
      </c>
      <c r="J1381" s="1846"/>
      <c r="K1381" s="1846"/>
      <c r="L1381" s="1846"/>
    </row>
    <row r="1382" spans="1:15">
      <c r="A1382" s="1823"/>
      <c r="B1382" s="1068"/>
      <c r="C1382" s="1817" t="str">
        <f>Input!$C$47</f>
        <v>Add for MA @ 40%</v>
      </c>
      <c r="D1382" s="1093">
        <f>D1381*Input!$D$47</f>
        <v>106.80000000000001</v>
      </c>
      <c r="E1382" s="1093">
        <f>E1381*Input!$D$47</f>
        <v>117.60000000000001</v>
      </c>
      <c r="F1382" s="1093">
        <f>F1381*Input!$D$47</f>
        <v>128</v>
      </c>
      <c r="G1382" s="1093">
        <f>G1381*Input!$D$47</f>
        <v>138.80000000000001</v>
      </c>
      <c r="H1382" s="1093">
        <f>H1381*Input!$D$47</f>
        <v>149.6</v>
      </c>
      <c r="I1382" s="1093">
        <f>I1381*Input!$D$47</f>
        <v>160.4</v>
      </c>
      <c r="J1382" s="1846"/>
      <c r="K1382" s="1846"/>
      <c r="L1382" s="1846"/>
    </row>
    <row r="1383" spans="1:15" ht="25.5">
      <c r="A1383" s="1823"/>
      <c r="B1383" s="1068"/>
      <c r="C1383" s="1817" t="s">
        <v>1254</v>
      </c>
      <c r="D1383" s="1093">
        <v>0</v>
      </c>
      <c r="E1383" s="1093">
        <f>0.267*$D$1375*'Civil-SOR'!$G$334</f>
        <v>22.750402500000003</v>
      </c>
      <c r="F1383" s="1093">
        <f t="shared" ref="F1383:F1384" si="300">E1383*1.1</f>
        <v>25.025442750000007</v>
      </c>
      <c r="G1383" s="1093">
        <f t="shared" ref="G1383:G1384" si="301">E1383*1.2</f>
        <v>27.300483000000003</v>
      </c>
      <c r="H1383" s="1093">
        <f t="shared" ref="H1383:H1384" si="302">F1383*1.2</f>
        <v>30.030531300000007</v>
      </c>
      <c r="I1383" s="1093">
        <f t="shared" ref="I1383:I1384" si="303">G1383*1.2</f>
        <v>32.7605796</v>
      </c>
      <c r="J1383" s="1846"/>
      <c r="K1383" s="1846"/>
      <c r="L1383" s="1846"/>
    </row>
    <row r="1384" spans="1:15">
      <c r="A1384" s="1823"/>
      <c r="B1384" s="1068"/>
      <c r="C1384" s="1817" t="s">
        <v>579</v>
      </c>
      <c r="D1384" s="1093"/>
      <c r="E1384" s="1093">
        <f>0.267*D1375*'Civil-SOR'!$J$334</f>
        <v>21.651029999999999</v>
      </c>
      <c r="F1384" s="1093">
        <f t="shared" si="300"/>
        <v>23.816133000000001</v>
      </c>
      <c r="G1384" s="1093">
        <f t="shared" si="301"/>
        <v>25.981235999999999</v>
      </c>
      <c r="H1384" s="1093">
        <f t="shared" si="302"/>
        <v>28.5793596</v>
      </c>
      <c r="I1384" s="1093">
        <f t="shared" si="303"/>
        <v>31.177483199999998</v>
      </c>
      <c r="J1384" s="1846"/>
      <c r="K1384" s="1846"/>
      <c r="L1384" s="1846"/>
    </row>
    <row r="1385" spans="1:15">
      <c r="A1385" s="1823"/>
      <c r="B1385" s="1068"/>
      <c r="C1385" s="1817" t="str">
        <f>Input!$C$47</f>
        <v>Add for MA @ 40%</v>
      </c>
      <c r="D1385" s="1093">
        <f>D1383*Input!D442</f>
        <v>0</v>
      </c>
      <c r="E1385" s="1093">
        <f>E1384*Input!$D$47</f>
        <v>8.6604119999999991</v>
      </c>
      <c r="F1385" s="1093">
        <f>F1384*Input!$D$47</f>
        <v>9.5264532000000006</v>
      </c>
      <c r="G1385" s="1093">
        <f>G1384*Input!$D$47</f>
        <v>10.3924944</v>
      </c>
      <c r="H1385" s="1093">
        <f>H1384*Input!$D$47</f>
        <v>11.431743840000001</v>
      </c>
      <c r="I1385" s="1093">
        <f>I1384*Input!$D$47</f>
        <v>12.47099328</v>
      </c>
      <c r="J1385" s="1846"/>
      <c r="K1385" s="1846"/>
      <c r="L1385" s="1846"/>
    </row>
    <row r="1386" spans="1:15">
      <c r="A1386" s="1823"/>
      <c r="B1386" s="1068"/>
      <c r="C1386" s="1816" t="s">
        <v>1045</v>
      </c>
      <c r="D1386" s="1093">
        <f t="shared" ref="D1386:I1386" si="304">SUM(D1379:D1385)</f>
        <v>2210.5648960000003</v>
      </c>
      <c r="E1386" s="1093">
        <f t="shared" si="304"/>
        <v>2301.4267405000001</v>
      </c>
      <c r="F1386" s="1093">
        <f t="shared" si="304"/>
        <v>2343.13292495</v>
      </c>
      <c r="G1386" s="1093">
        <f t="shared" si="304"/>
        <v>2386.2391094000004</v>
      </c>
      <c r="H1386" s="1093">
        <f t="shared" si="304"/>
        <v>2430.4065307399997</v>
      </c>
      <c r="I1386" s="1093">
        <f t="shared" si="304"/>
        <v>2474.5739520800003</v>
      </c>
      <c r="J1386" s="1846"/>
      <c r="K1386" s="1846"/>
      <c r="L1386" s="1846"/>
    </row>
    <row r="1387" spans="1:15">
      <c r="A1387" s="1823"/>
      <c r="B1387" s="1068"/>
      <c r="C1387" s="1817" t="str">
        <f>Input!$C$48</f>
        <v>Overheads &amp; Contractors Profit @ 13.615%</v>
      </c>
      <c r="D1387" s="1823">
        <f>ROUND(D1386*Input!$D$48,2)</f>
        <v>300.97000000000003</v>
      </c>
      <c r="E1387" s="1823">
        <f>ROUND(E1386*Input!$D$48,2)</f>
        <v>313.33999999999997</v>
      </c>
      <c r="F1387" s="1823">
        <f>ROUND(F1386*Input!$D$48,2)</f>
        <v>319.02</v>
      </c>
      <c r="G1387" s="1823">
        <f>ROUND(G1386*Input!$D$48,2)</f>
        <v>324.89</v>
      </c>
      <c r="H1387" s="1823">
        <f>ROUND(H1386*Input!$D$48,2)</f>
        <v>330.9</v>
      </c>
      <c r="I1387" s="1823">
        <f>ROUND(I1386*Input!$D$48,2)</f>
        <v>336.91</v>
      </c>
      <c r="J1387" s="1846"/>
      <c r="K1387" s="1846"/>
      <c r="L1387" s="1846"/>
    </row>
    <row r="1388" spans="1:15">
      <c r="A1388" s="1023"/>
      <c r="B1388" s="1023"/>
      <c r="C1388" s="1816" t="s">
        <v>1045</v>
      </c>
      <c r="D1388" s="1829">
        <f t="shared" ref="D1388:I1388" si="305">SUM(D1386:D1387)</f>
        <v>2511.5348960000001</v>
      </c>
      <c r="E1388" s="1829">
        <f t="shared" si="305"/>
        <v>2614.7667405000002</v>
      </c>
      <c r="F1388" s="1829">
        <f t="shared" si="305"/>
        <v>2662.1529249499999</v>
      </c>
      <c r="G1388" s="1829">
        <f t="shared" si="305"/>
        <v>2711.1291094000003</v>
      </c>
      <c r="H1388" s="1829">
        <f t="shared" si="305"/>
        <v>2761.3065307399997</v>
      </c>
      <c r="I1388" s="1829">
        <f t="shared" si="305"/>
        <v>2811.4839520800001</v>
      </c>
      <c r="J1388" s="996"/>
      <c r="K1388" s="996"/>
      <c r="L1388" s="996"/>
      <c r="M1388" s="997"/>
      <c r="N1388" s="997"/>
      <c r="O1388" s="997"/>
    </row>
    <row r="1389" spans="1:15">
      <c r="A1389" s="1023"/>
      <c r="B1389" s="1023"/>
      <c r="C1389" s="1843" t="s">
        <v>1034</v>
      </c>
      <c r="D1389" s="999">
        <f t="shared" ref="D1389:I1389" si="306">ROUND(D1388,0)</f>
        <v>2512</v>
      </c>
      <c r="E1389" s="999">
        <f t="shared" si="306"/>
        <v>2615</v>
      </c>
      <c r="F1389" s="999">
        <f t="shared" si="306"/>
        <v>2662</v>
      </c>
      <c r="G1389" s="999">
        <f t="shared" si="306"/>
        <v>2711</v>
      </c>
      <c r="H1389" s="999">
        <f t="shared" si="306"/>
        <v>2761</v>
      </c>
      <c r="I1389" s="999">
        <f t="shared" si="306"/>
        <v>2811</v>
      </c>
      <c r="J1389" s="996"/>
      <c r="K1389" s="996"/>
      <c r="L1389" s="996"/>
      <c r="M1389" s="997"/>
      <c r="N1389" s="997"/>
      <c r="O1389" s="997"/>
    </row>
    <row r="1390" spans="1:15">
      <c r="A1390" s="1023"/>
      <c r="B1390" s="1023"/>
      <c r="C1390" s="1843"/>
      <c r="D1390" s="999"/>
      <c r="E1390" s="999"/>
      <c r="F1390" s="999"/>
      <c r="G1390" s="999"/>
      <c r="H1390" s="999"/>
      <c r="I1390" s="999"/>
      <c r="J1390" s="996"/>
      <c r="K1390" s="996"/>
      <c r="L1390" s="996"/>
      <c r="M1390" s="997"/>
      <c r="N1390" s="997"/>
      <c r="O1390" s="997"/>
    </row>
    <row r="1391" spans="1:15" ht="25.5">
      <c r="A1391" s="1823"/>
      <c r="B1391" s="1068"/>
      <c r="C1391" s="1129" t="s">
        <v>1280</v>
      </c>
      <c r="D1391" s="1114"/>
      <c r="E1391" s="1114"/>
      <c r="F1391" s="1114"/>
      <c r="G1391" s="1114"/>
      <c r="H1391" s="1114"/>
      <c r="I1391" s="1009"/>
      <c r="J1391" s="1846"/>
      <c r="K1391" s="1846"/>
      <c r="L1391" s="1846"/>
    </row>
    <row r="1392" spans="1:15">
      <c r="A1392" s="1823"/>
      <c r="B1392" s="1098" t="s">
        <v>1221</v>
      </c>
      <c r="C1392" s="1821" t="s">
        <v>1222</v>
      </c>
      <c r="D1392" s="1846"/>
      <c r="E1392" s="1846"/>
      <c r="F1392" s="1068"/>
      <c r="G1392" s="1105"/>
      <c r="H1392" s="1846"/>
      <c r="I1392" s="1080"/>
      <c r="J1392" s="1105"/>
      <c r="K1392" s="1846"/>
      <c r="L1392" s="1080"/>
    </row>
    <row r="1393" spans="1:12">
      <c r="A1393" s="1823"/>
      <c r="B1393" s="1068"/>
      <c r="C1393" s="1816" t="s">
        <v>1217</v>
      </c>
      <c r="D1393" s="1009" t="s">
        <v>1223</v>
      </c>
      <c r="E1393" s="1098" t="s">
        <v>1207</v>
      </c>
      <c r="F1393" s="1102" t="s">
        <v>1208</v>
      </c>
      <c r="G1393" s="1102" t="s">
        <v>1209</v>
      </c>
      <c r="H1393" s="1098" t="s">
        <v>1210</v>
      </c>
      <c r="I1393" s="1098" t="s">
        <v>1211</v>
      </c>
      <c r="J1393" s="1102"/>
      <c r="K1393" s="1102" t="s">
        <v>1213</v>
      </c>
      <c r="L1393" s="1102" t="s">
        <v>1214</v>
      </c>
    </row>
    <row r="1394" spans="1:12">
      <c r="A1394" s="1823"/>
      <c r="B1394" s="1068"/>
      <c r="C1394" s="1817" t="s">
        <v>1218</v>
      </c>
      <c r="D1394" s="1093">
        <f t="shared" ref="D1394:L1394" si="307">$I$1375</f>
        <v>1562.7648960000001</v>
      </c>
      <c r="E1394" s="1093">
        <f t="shared" si="307"/>
        <v>1562.7648960000001</v>
      </c>
      <c r="F1394" s="1093">
        <f t="shared" si="307"/>
        <v>1562.7648960000001</v>
      </c>
      <c r="G1394" s="1093">
        <f t="shared" si="307"/>
        <v>1562.7648960000001</v>
      </c>
      <c r="H1394" s="1093">
        <f t="shared" si="307"/>
        <v>1562.7648960000001</v>
      </c>
      <c r="I1394" s="1093">
        <f t="shared" si="307"/>
        <v>1562.7648960000001</v>
      </c>
      <c r="J1394" s="1093"/>
      <c r="K1394" s="1093">
        <f t="shared" si="307"/>
        <v>1562.7648960000001</v>
      </c>
      <c r="L1394" s="1093">
        <f t="shared" si="307"/>
        <v>1562.7648960000001</v>
      </c>
    </row>
    <row r="1395" spans="1:12">
      <c r="A1395" s="1823"/>
      <c r="B1395" s="1068"/>
      <c r="C1395" s="1817" t="s">
        <v>1182</v>
      </c>
      <c r="D1395" s="1093">
        <f>'Civil-SOR'!$F$270*1.1666</f>
        <v>319.64840000000004</v>
      </c>
      <c r="E1395" s="1093">
        <f>'Civil-SOR'!$F$270*1.1666</f>
        <v>319.64840000000004</v>
      </c>
      <c r="F1395" s="1093">
        <f>'Civil-SOR'!$F$270*1.1666</f>
        <v>319.64840000000004</v>
      </c>
      <c r="G1395" s="1093">
        <f>'Civil-SOR'!$F$270*1.1666</f>
        <v>319.64840000000004</v>
      </c>
      <c r="H1395" s="1093">
        <f>'Civil-SOR'!$F$270*1.1666</f>
        <v>319.64840000000004</v>
      </c>
      <c r="I1395" s="1093">
        <f>'Civil-SOR'!$F$270*1.1666</f>
        <v>319.64840000000004</v>
      </c>
      <c r="J1395" s="1093"/>
      <c r="K1395" s="1093">
        <f>'Civil-SOR'!$F$270*1.1666</f>
        <v>319.64840000000004</v>
      </c>
      <c r="L1395" s="1093">
        <f>'Civil-SOR'!$F$270*1.1666</f>
        <v>319.64840000000004</v>
      </c>
    </row>
    <row r="1396" spans="1:12">
      <c r="A1396" s="1823"/>
      <c r="B1396" s="1068"/>
      <c r="C1396" s="1817" t="s">
        <v>1252</v>
      </c>
      <c r="D1396" s="1001">
        <f>'Civil-SOR'!$G$270*1.1666</f>
        <v>311.48220000000003</v>
      </c>
      <c r="E1396" s="1001">
        <f>'Civil-SOR'!$H$270*1.1666</f>
        <v>342.98040000000003</v>
      </c>
      <c r="F1396" s="1001">
        <f>'Civil-SOR'!$I$270*1.1666</f>
        <v>373.31200000000001</v>
      </c>
      <c r="G1396" s="1001">
        <f>'Civil-SOR'!$J$270*1.1666</f>
        <v>404.81020000000001</v>
      </c>
      <c r="H1396" s="1001">
        <f>'Civil-SOR'!$K$270*1.1666</f>
        <v>436.30840000000001</v>
      </c>
      <c r="I1396" s="1001">
        <f>'Civil-SOR'!$L$270*1.1666</f>
        <v>467.80660000000006</v>
      </c>
      <c r="J1396" s="1001"/>
      <c r="K1396" s="1001">
        <f>'Civil-SOR'!$N$270*1.1666</f>
        <v>529.63639999999998</v>
      </c>
      <c r="L1396" s="1001">
        <f>'Civil-SOR'!$O$270*1.1666</f>
        <v>561.13460000000009</v>
      </c>
    </row>
    <row r="1397" spans="1:12">
      <c r="A1397" s="1823"/>
      <c r="B1397" s="1068"/>
      <c r="C1397" s="1817" t="str">
        <f>Input!$C$47</f>
        <v>Add for MA @ 40%</v>
      </c>
      <c r="D1397" s="1093">
        <f>D1396*Input!$D$47</f>
        <v>124.59288000000002</v>
      </c>
      <c r="E1397" s="1093">
        <f>E1396*Input!$D$47</f>
        <v>137.19216000000003</v>
      </c>
      <c r="F1397" s="1093">
        <f>F1396*Input!$D$47</f>
        <v>149.32480000000001</v>
      </c>
      <c r="G1397" s="1093">
        <f>G1396*Input!$D$47</f>
        <v>161.92408</v>
      </c>
      <c r="H1397" s="1093">
        <f>H1396*Input!$D$47</f>
        <v>174.52336000000003</v>
      </c>
      <c r="I1397" s="1093">
        <f>I1396*Input!$D$47</f>
        <v>187.12264000000005</v>
      </c>
      <c r="J1397" s="1093"/>
      <c r="K1397" s="1093">
        <f>K1396*Input!$D$47</f>
        <v>211.85455999999999</v>
      </c>
      <c r="L1397" s="1093">
        <f>L1396*Input!$D$47</f>
        <v>224.45384000000004</v>
      </c>
    </row>
    <row r="1398" spans="1:12" ht="25.5">
      <c r="A1398" s="1823"/>
      <c r="B1398" s="1068"/>
      <c r="C1398" s="1817" t="s">
        <v>1254</v>
      </c>
      <c r="D1398" s="1093">
        <v>0</v>
      </c>
      <c r="E1398" s="1093">
        <f>0.267*$D$1375*'Civil-SOR'!$G$334</f>
        <v>22.750402500000003</v>
      </c>
      <c r="F1398" s="1093">
        <f t="shared" ref="F1398:F1399" si="308">E1398*1.1</f>
        <v>25.025442750000007</v>
      </c>
      <c r="G1398" s="1093">
        <f t="shared" ref="G1398:G1399" si="309">E1398*1.2</f>
        <v>27.300483000000003</v>
      </c>
      <c r="H1398" s="1093">
        <f t="shared" ref="H1398:H1399" si="310">E1398*1.3</f>
        <v>29.575523250000007</v>
      </c>
      <c r="I1398" s="1093">
        <f t="shared" ref="I1398:I1399" si="311">E1398*1.4</f>
        <v>31.850563500000003</v>
      </c>
      <c r="J1398" s="1093"/>
      <c r="K1398" s="1093">
        <f t="shared" ref="K1398:K1399" si="312">E1398*1.6</f>
        <v>36.400644000000007</v>
      </c>
      <c r="L1398" s="1093">
        <f t="shared" ref="L1398:L1399" si="313">E1398*1.7</f>
        <v>38.675684250000003</v>
      </c>
    </row>
    <row r="1399" spans="1:12">
      <c r="A1399" s="1823"/>
      <c r="B1399" s="1068"/>
      <c r="C1399" s="1817" t="s">
        <v>579</v>
      </c>
      <c r="D1399" s="1093"/>
      <c r="E1399" s="1093">
        <f>0.267*D1375*'Civil-SOR'!$J$334</f>
        <v>21.651029999999999</v>
      </c>
      <c r="F1399" s="1093">
        <f t="shared" si="308"/>
        <v>23.816133000000001</v>
      </c>
      <c r="G1399" s="1093">
        <f t="shared" si="309"/>
        <v>25.981235999999999</v>
      </c>
      <c r="H1399" s="1093">
        <f t="shared" si="310"/>
        <v>28.146338999999998</v>
      </c>
      <c r="I1399" s="1093">
        <f t="shared" si="311"/>
        <v>30.311441999999996</v>
      </c>
      <c r="J1399" s="1093"/>
      <c r="K1399" s="1093">
        <f t="shared" si="312"/>
        <v>34.641647999999996</v>
      </c>
      <c r="L1399" s="1093">
        <f t="shared" si="313"/>
        <v>36.806750999999998</v>
      </c>
    </row>
    <row r="1400" spans="1:12">
      <c r="A1400" s="1823"/>
      <c r="B1400" s="1068"/>
      <c r="C1400" s="1817" t="str">
        <f>Input!$C$47</f>
        <v>Add for MA @ 40%</v>
      </c>
      <c r="D1400" s="1093">
        <f>D1398*Input!D427</f>
        <v>0</v>
      </c>
      <c r="E1400" s="1093">
        <f>E1399*Input!$D$47</f>
        <v>8.6604119999999991</v>
      </c>
      <c r="F1400" s="1093">
        <f>F1399*Input!$D$47</f>
        <v>9.5264532000000006</v>
      </c>
      <c r="G1400" s="1093">
        <f>G1399*Input!$D$47</f>
        <v>10.3924944</v>
      </c>
      <c r="H1400" s="1093">
        <f>H1399*Input!$D$47</f>
        <v>11.2585356</v>
      </c>
      <c r="I1400" s="1093">
        <f>I1399*Input!$D$47</f>
        <v>12.1245768</v>
      </c>
      <c r="J1400" s="1093"/>
      <c r="K1400" s="1093">
        <f>K1399*Input!$D$47</f>
        <v>13.856659199999999</v>
      </c>
      <c r="L1400" s="1093">
        <f>L1399*Input!$D$47</f>
        <v>14.722700400000001</v>
      </c>
    </row>
    <row r="1401" spans="1:12">
      <c r="A1401" s="1823"/>
      <c r="B1401" s="1068"/>
      <c r="C1401" s="1816" t="s">
        <v>1045</v>
      </c>
      <c r="D1401" s="1093">
        <f t="shared" ref="D1401:L1401" si="314">SUM(D1394:D1400)</f>
        <v>2318.4883760000002</v>
      </c>
      <c r="E1401" s="1093">
        <f t="shared" si="314"/>
        <v>2415.6477005000002</v>
      </c>
      <c r="F1401" s="1093">
        <f t="shared" si="314"/>
        <v>2463.4181249499998</v>
      </c>
      <c r="G1401" s="1093">
        <f t="shared" si="314"/>
        <v>2512.8217894000004</v>
      </c>
      <c r="H1401" s="1093">
        <f t="shared" si="314"/>
        <v>2562.2254538500001</v>
      </c>
      <c r="I1401" s="1093">
        <f t="shared" si="314"/>
        <v>2611.6291183000003</v>
      </c>
      <c r="J1401" s="1093"/>
      <c r="K1401" s="1093">
        <f t="shared" si="314"/>
        <v>2708.8032071999996</v>
      </c>
      <c r="L1401" s="1093">
        <f t="shared" si="314"/>
        <v>2758.2068716500003</v>
      </c>
    </row>
    <row r="1402" spans="1:12">
      <c r="A1402" s="1823"/>
      <c r="B1402" s="1068"/>
      <c r="C1402" s="1817" t="str">
        <f>Input!$C$48</f>
        <v>Overheads &amp; Contractors Profit @ 13.615%</v>
      </c>
      <c r="D1402" s="1823">
        <f>ROUND(D1401*Input!$D$48,2)</f>
        <v>315.66000000000003</v>
      </c>
      <c r="E1402" s="1823">
        <f>ROUND(E1401*Input!$D$48,2)</f>
        <v>328.89</v>
      </c>
      <c r="F1402" s="1823">
        <f>ROUND(F1401*Input!$D$48,2)</f>
        <v>335.39</v>
      </c>
      <c r="G1402" s="1823">
        <f>ROUND(G1401*Input!$D$48,2)</f>
        <v>342.12</v>
      </c>
      <c r="H1402" s="1823">
        <f>ROUND(H1401*Input!$D$48,2)</f>
        <v>348.85</v>
      </c>
      <c r="I1402" s="1823">
        <f>ROUND(I1401*Input!$D$48,2)</f>
        <v>355.57</v>
      </c>
      <c r="J1402" s="1823"/>
      <c r="K1402" s="1823">
        <f>ROUND(K1401*Input!$D$48,2)</f>
        <v>368.8</v>
      </c>
      <c r="L1402" s="1823">
        <f>ROUND(L1401*Input!$D$48,2)</f>
        <v>375.53</v>
      </c>
    </row>
    <row r="1403" spans="1:12">
      <c r="A1403" s="1023"/>
      <c r="B1403" s="1023"/>
      <c r="C1403" s="1816" t="s">
        <v>1045</v>
      </c>
      <c r="D1403" s="1829">
        <f t="shared" ref="D1403:L1403" si="315">SUM(D1401:D1402)</f>
        <v>2634.1483760000001</v>
      </c>
      <c r="E1403" s="1829">
        <f t="shared" si="315"/>
        <v>2744.5377005</v>
      </c>
      <c r="F1403" s="1829">
        <f t="shared" si="315"/>
        <v>2798.8081249499996</v>
      </c>
      <c r="G1403" s="1829">
        <f t="shared" si="315"/>
        <v>2854.9417894000003</v>
      </c>
      <c r="H1403" s="1829">
        <f t="shared" si="315"/>
        <v>2911.07545385</v>
      </c>
      <c r="I1403" s="1829">
        <f t="shared" si="315"/>
        <v>2967.1991183000005</v>
      </c>
      <c r="J1403" s="1829"/>
      <c r="K1403" s="1829">
        <f t="shared" si="315"/>
        <v>3077.6032071999998</v>
      </c>
      <c r="L1403" s="1829">
        <f t="shared" si="315"/>
        <v>3133.7368716500005</v>
      </c>
    </row>
    <row r="1404" spans="1:12">
      <c r="A1404" s="1023"/>
      <c r="B1404" s="1023"/>
      <c r="C1404" s="1843" t="s">
        <v>1034</v>
      </c>
      <c r="D1404" s="999">
        <f t="shared" ref="D1404:L1404" si="316">ROUND(D1403,0)</f>
        <v>2634</v>
      </c>
      <c r="E1404" s="999">
        <f t="shared" si="316"/>
        <v>2745</v>
      </c>
      <c r="F1404" s="999">
        <f t="shared" si="316"/>
        <v>2799</v>
      </c>
      <c r="G1404" s="999">
        <f t="shared" si="316"/>
        <v>2855</v>
      </c>
      <c r="H1404" s="999">
        <f t="shared" si="316"/>
        <v>2911</v>
      </c>
      <c r="I1404" s="999">
        <f t="shared" si="316"/>
        <v>2967</v>
      </c>
      <c r="J1404" s="999"/>
      <c r="K1404" s="999">
        <f t="shared" si="316"/>
        <v>3078</v>
      </c>
      <c r="L1404" s="999">
        <f t="shared" si="316"/>
        <v>3134</v>
      </c>
    </row>
    <row r="1405" spans="1:12">
      <c r="A1405" s="1023"/>
      <c r="B1405" s="1023"/>
      <c r="C1405" s="1843"/>
      <c r="D1405" s="999"/>
      <c r="E1405" s="999"/>
      <c r="F1405" s="999"/>
      <c r="G1405" s="999"/>
      <c r="H1405" s="999"/>
      <c r="I1405" s="999"/>
      <c r="J1405" s="999"/>
      <c r="K1405" s="999"/>
      <c r="L1405" s="999"/>
    </row>
    <row r="1406" spans="1:12" ht="92.45" customHeight="1">
      <c r="A1406" s="1822">
        <f>1+A1020</f>
        <v>17</v>
      </c>
      <c r="B1406" s="1822"/>
      <c r="C1406" s="2036" t="s">
        <v>3403</v>
      </c>
      <c r="D1406" s="2036"/>
      <c r="E1406" s="2036"/>
      <c r="F1406" s="2036"/>
      <c r="G1406" s="2036"/>
      <c r="H1406" s="2036"/>
      <c r="I1406" s="2036"/>
      <c r="J1406" s="1846"/>
      <c r="K1406" s="1846"/>
      <c r="L1406" s="1846"/>
    </row>
    <row r="1407" spans="1:12">
      <c r="A1407" s="1823"/>
      <c r="B1407" s="1068"/>
      <c r="C1407" s="1078" t="s">
        <v>1246</v>
      </c>
      <c r="D1407" s="1846"/>
      <c r="E1407" s="1846"/>
      <c r="F1407" s="1068"/>
      <c r="G1407" s="1105"/>
      <c r="H1407" s="1098"/>
      <c r="I1407" s="1080"/>
      <c r="J1407" s="1846"/>
      <c r="K1407" s="1846"/>
      <c r="L1407" s="1846"/>
    </row>
    <row r="1408" spans="1:12">
      <c r="A1408" s="1823"/>
      <c r="B1408" s="1068"/>
      <c r="C1408" s="1819" t="s">
        <v>1247</v>
      </c>
      <c r="D1408" s="1846"/>
      <c r="E1408" s="1846"/>
      <c r="F1408" s="1068"/>
      <c r="G1408" s="1105"/>
      <c r="H1408" s="1098"/>
      <c r="I1408" s="1080"/>
      <c r="J1408" s="1846"/>
      <c r="K1408" s="1846"/>
      <c r="L1408" s="1846"/>
    </row>
    <row r="1409" spans="1:16">
      <c r="A1409" s="1823"/>
      <c r="B1409" s="1068"/>
      <c r="C1409" s="1821" t="s">
        <v>1139</v>
      </c>
      <c r="D1409" s="1849"/>
      <c r="E1409" s="1849"/>
      <c r="F1409" s="1847"/>
      <c r="G1409" s="1849"/>
      <c r="H1409" s="1817"/>
      <c r="I1409" s="1848"/>
      <c r="J1409" s="1846"/>
      <c r="K1409" s="1846"/>
      <c r="L1409" s="1846"/>
    </row>
    <row r="1410" spans="1:16">
      <c r="A1410" s="1823"/>
      <c r="B1410" s="1823"/>
      <c r="C1410" s="1817" t="s">
        <v>889</v>
      </c>
      <c r="D1410" s="1018">
        <v>380</v>
      </c>
      <c r="E1410" s="1002" t="s">
        <v>1110</v>
      </c>
      <c r="F1410" s="1093">
        <f>LEAD!$N$6</f>
        <v>5200</v>
      </c>
      <c r="G1410" s="1020">
        <v>1000</v>
      </c>
      <c r="H1410" s="1002" t="s">
        <v>1110</v>
      </c>
      <c r="I1410" s="1001">
        <f t="shared" ref="I1410:I1412" si="317">IF(G1410="",D1410*F1410,(D1410*F1410/G1410))</f>
        <v>1976</v>
      </c>
      <c r="J1410" s="1002"/>
      <c r="K1410" s="1002"/>
      <c r="L1410" s="1002"/>
      <c r="M1410" s="1003"/>
      <c r="N1410" s="1003"/>
      <c r="O1410" s="1003"/>
      <c r="P1410" s="1003"/>
    </row>
    <row r="1411" spans="1:16">
      <c r="A1411" s="1823"/>
      <c r="B1411" s="1823"/>
      <c r="C1411" s="1817" t="s">
        <v>1171</v>
      </c>
      <c r="D1411" s="1018">
        <v>0.8</v>
      </c>
      <c r="E1411" s="1002" t="s">
        <v>484</v>
      </c>
      <c r="F1411" s="1001">
        <f>$F$16</f>
        <v>1447.96</v>
      </c>
      <c r="G1411" s="1020">
        <v>1</v>
      </c>
      <c r="H1411" s="1002" t="s">
        <v>484</v>
      </c>
      <c r="I1411" s="1001">
        <f t="shared" si="317"/>
        <v>1158.3680000000002</v>
      </c>
      <c r="J1411" s="1002"/>
      <c r="K1411" s="1002"/>
      <c r="L1411" s="1002"/>
      <c r="M1411" s="1003"/>
      <c r="N1411" s="1003"/>
      <c r="O1411" s="1003"/>
      <c r="P1411" s="1003"/>
    </row>
    <row r="1412" spans="1:16">
      <c r="A1412" s="1823"/>
      <c r="B1412" s="1823"/>
      <c r="C1412" s="1817" t="s">
        <v>1163</v>
      </c>
      <c r="D1412" s="1018">
        <v>0.4</v>
      </c>
      <c r="E1412" s="1002" t="s">
        <v>484</v>
      </c>
      <c r="F1412" s="1093">
        <f>LEAD!$N$12</f>
        <v>2253.91</v>
      </c>
      <c r="G1412" s="1020">
        <v>1</v>
      </c>
      <c r="H1412" s="1002" t="s">
        <v>484</v>
      </c>
      <c r="I1412" s="1001">
        <f t="shared" si="317"/>
        <v>901.56399999999996</v>
      </c>
      <c r="J1412" s="1002"/>
      <c r="K1412" s="1002"/>
      <c r="L1412" s="1002"/>
      <c r="M1412" s="1003"/>
      <c r="N1412" s="1003"/>
      <c r="O1412" s="1003"/>
      <c r="P1412" s="1003"/>
    </row>
    <row r="1413" spans="1:16">
      <c r="A1413" s="1823"/>
      <c r="B1413" s="1823"/>
      <c r="C1413" s="1816" t="s">
        <v>1172</v>
      </c>
      <c r="D1413" s="1002"/>
      <c r="E1413" s="1002"/>
      <c r="F1413" s="1823"/>
      <c r="G1413" s="1002"/>
      <c r="H1413" s="1002"/>
      <c r="I1413" s="1093"/>
      <c r="J1413" s="1002"/>
      <c r="K1413" s="1002"/>
      <c r="L1413" s="1002"/>
      <c r="M1413" s="1003"/>
      <c r="N1413" s="1003"/>
      <c r="O1413" s="1003"/>
      <c r="P1413" s="1003"/>
    </row>
    <row r="1414" spans="1:16">
      <c r="A1414" s="1823"/>
      <c r="B1414" s="1823"/>
      <c r="C1414" s="1817" t="s">
        <v>1173</v>
      </c>
      <c r="D1414" s="1099">
        <v>6.7000000000000004E-2</v>
      </c>
      <c r="E1414" s="1002" t="s">
        <v>955</v>
      </c>
      <c r="F1414" s="1093">
        <f>'Civil-SOR'!$G$293</f>
        <v>580</v>
      </c>
      <c r="G1414" s="1020">
        <v>1</v>
      </c>
      <c r="H1414" s="1002" t="s">
        <v>501</v>
      </c>
      <c r="I1414" s="1001">
        <f t="shared" ref="I1414:I1417" si="318">IF(G1414="",D1414*F1414,(D1414*F1414/G1414))</f>
        <v>38.86</v>
      </c>
      <c r="J1414" s="1002"/>
      <c r="K1414" s="1002"/>
      <c r="L1414" s="1002"/>
      <c r="M1414" s="1003"/>
      <c r="N1414" s="1003"/>
      <c r="O1414" s="1003"/>
      <c r="P1414" s="1003"/>
    </row>
    <row r="1415" spans="1:16">
      <c r="A1415" s="1823"/>
      <c r="B1415" s="1823"/>
      <c r="C1415" s="1817" t="s">
        <v>1174</v>
      </c>
      <c r="D1415" s="1099">
        <v>0.13300000000000001</v>
      </c>
      <c r="E1415" s="1002" t="s">
        <v>955</v>
      </c>
      <c r="F1415" s="1093">
        <f>'Civil-SOR'!$G$302</f>
        <v>550</v>
      </c>
      <c r="G1415" s="1020">
        <v>1</v>
      </c>
      <c r="H1415" s="1002" t="str">
        <f>H1414</f>
        <v>Each</v>
      </c>
      <c r="I1415" s="1001">
        <f t="shared" si="318"/>
        <v>73.150000000000006</v>
      </c>
      <c r="J1415" s="1002"/>
      <c r="K1415" s="1002"/>
      <c r="L1415" s="1002"/>
      <c r="M1415" s="1003"/>
      <c r="N1415" s="1003"/>
      <c r="O1415" s="1003"/>
      <c r="P1415" s="1003"/>
    </row>
    <row r="1416" spans="1:16">
      <c r="A1416" s="1823"/>
      <c r="B1416" s="1823"/>
      <c r="C1416" s="1817" t="s">
        <v>1248</v>
      </c>
      <c r="D1416" s="1099">
        <v>3.077</v>
      </c>
      <c r="E1416" s="1002" t="s">
        <v>955</v>
      </c>
      <c r="F1416" s="1093">
        <f>'Civil-SOR'!$G$307</f>
        <v>520</v>
      </c>
      <c r="G1416" s="1020">
        <v>1</v>
      </c>
      <c r="H1416" s="1002" t="str">
        <f>H1414</f>
        <v>Each</v>
      </c>
      <c r="I1416" s="1001">
        <f t="shared" si="318"/>
        <v>1600.04</v>
      </c>
      <c r="J1416" s="1002"/>
      <c r="K1416" s="1002"/>
      <c r="L1416" s="1002"/>
      <c r="M1416" s="1003"/>
      <c r="N1416" s="1003"/>
      <c r="O1416" s="1003"/>
      <c r="P1416" s="1003"/>
    </row>
    <row r="1417" spans="1:16">
      <c r="A1417" s="1823"/>
      <c r="B1417" s="1823"/>
      <c r="C1417" s="1817" t="str">
        <f>Input!$C$47</f>
        <v>Add for MA @ 40%</v>
      </c>
      <c r="D1417" s="1018">
        <f>Input!$D$47</f>
        <v>0.4</v>
      </c>
      <c r="E1417" s="1002"/>
      <c r="F1417" s="1093">
        <f>SUM(I1414:I1416)</f>
        <v>1712.05</v>
      </c>
      <c r="G1417" s="1020"/>
      <c r="H1417" s="1002"/>
      <c r="I1417" s="1001">
        <f t="shared" si="318"/>
        <v>684.82</v>
      </c>
      <c r="J1417" s="1002"/>
      <c r="K1417" s="1002"/>
      <c r="L1417" s="1002"/>
      <c r="M1417" s="1003"/>
      <c r="N1417" s="1003"/>
      <c r="O1417" s="1003"/>
      <c r="P1417" s="1003"/>
    </row>
    <row r="1418" spans="1:16">
      <c r="A1418" s="1823"/>
      <c r="B1418" s="1823"/>
      <c r="C1418" s="1816" t="s">
        <v>1176</v>
      </c>
      <c r="D1418" s="1018"/>
      <c r="E1418" s="1002"/>
      <c r="F1418" s="1093"/>
      <c r="G1418" s="1020"/>
      <c r="H1418" s="1002"/>
      <c r="I1418" s="1001"/>
      <c r="J1418" s="1002"/>
      <c r="K1418" s="1002"/>
      <c r="L1418" s="1002"/>
      <c r="M1418" s="1003"/>
      <c r="N1418" s="1003"/>
      <c r="O1418" s="1003"/>
      <c r="P1418" s="1003"/>
    </row>
    <row r="1419" spans="1:16">
      <c r="A1419" s="1823"/>
      <c r="B1419" s="1823"/>
      <c r="C1419" s="1817" t="s">
        <v>1177</v>
      </c>
      <c r="D1419" s="1099">
        <v>0.308</v>
      </c>
      <c r="E1419" s="1002" t="s">
        <v>1083</v>
      </c>
      <c r="F1419" s="1093">
        <f>'Civil-SOR'!$G$329</f>
        <v>265.79999999999995</v>
      </c>
      <c r="G1419" s="1020">
        <v>1</v>
      </c>
      <c r="H1419" s="1002" t="s">
        <v>400</v>
      </c>
      <c r="I1419" s="1001">
        <f t="shared" ref="I1419:I1424" si="319">IF(G1419="",D1419*F1419,(D1419*F1419/G1419))</f>
        <v>81.866399999999985</v>
      </c>
      <c r="J1419" s="1002"/>
      <c r="K1419" s="1002"/>
      <c r="L1419" s="1002"/>
      <c r="M1419" s="1003"/>
      <c r="N1419" s="1003"/>
      <c r="O1419" s="1003"/>
      <c r="P1419" s="1003"/>
    </row>
    <row r="1420" spans="1:16">
      <c r="A1420" s="1823"/>
      <c r="B1420" s="1823"/>
      <c r="C1420" s="1817" t="s">
        <v>579</v>
      </c>
      <c r="D1420" s="1099">
        <v>0.308</v>
      </c>
      <c r="E1420" s="1002" t="s">
        <v>1083</v>
      </c>
      <c r="F1420" s="1093">
        <f>'Civil-SOR'!$J$329</f>
        <v>454.8</v>
      </c>
      <c r="G1420" s="1020">
        <v>1</v>
      </c>
      <c r="H1420" s="1002" t="s">
        <v>400</v>
      </c>
      <c r="I1420" s="1001">
        <f t="shared" si="319"/>
        <v>140.07839999999999</v>
      </c>
      <c r="J1420" s="1002"/>
      <c r="K1420" s="1002"/>
      <c r="L1420" s="1002"/>
      <c r="M1420" s="1003"/>
      <c r="N1420" s="1003"/>
      <c r="O1420" s="1003"/>
      <c r="P1420" s="1003"/>
    </row>
    <row r="1421" spans="1:16">
      <c r="A1421" s="1823"/>
      <c r="B1421" s="1823"/>
      <c r="C1421" s="1817" t="s">
        <v>1178</v>
      </c>
      <c r="D1421" s="1099">
        <v>0.308</v>
      </c>
      <c r="E1421" s="1002" t="s">
        <v>1083</v>
      </c>
      <c r="F1421" s="1093">
        <f>'Civil-SOR'!$G$332</f>
        <v>36.5</v>
      </c>
      <c r="G1421" s="1020">
        <v>1</v>
      </c>
      <c r="H1421" s="1002" t="s">
        <v>400</v>
      </c>
      <c r="I1421" s="1001">
        <f t="shared" si="319"/>
        <v>11.241999999999999</v>
      </c>
      <c r="J1421" s="1002"/>
      <c r="K1421" s="1002"/>
      <c r="L1421" s="1002"/>
      <c r="M1421" s="1003"/>
      <c r="N1421" s="1003"/>
      <c r="O1421" s="1003"/>
      <c r="P1421" s="1003"/>
    </row>
    <row r="1422" spans="1:16">
      <c r="A1422" s="1823"/>
      <c r="B1422" s="1823"/>
      <c r="C1422" s="1817" t="s">
        <v>579</v>
      </c>
      <c r="D1422" s="1099">
        <v>0.308</v>
      </c>
      <c r="E1422" s="1002" t="s">
        <v>1083</v>
      </c>
      <c r="F1422" s="1093">
        <f>'Civil-SOR'!$J$332</f>
        <v>218</v>
      </c>
      <c r="G1422" s="1020">
        <v>1</v>
      </c>
      <c r="H1422" s="1002" t="s">
        <v>400</v>
      </c>
      <c r="I1422" s="1001">
        <f t="shared" si="319"/>
        <v>67.144000000000005</v>
      </c>
      <c r="J1422" s="1002"/>
      <c r="K1422" s="1002"/>
      <c r="L1422" s="1002"/>
      <c r="M1422" s="1003"/>
      <c r="N1422" s="1003"/>
      <c r="O1422" s="1003"/>
      <c r="P1422" s="1003"/>
    </row>
    <row r="1423" spans="1:16">
      <c r="A1423" s="1823"/>
      <c r="B1423" s="1823"/>
      <c r="C1423" s="1817" t="s">
        <v>1085</v>
      </c>
      <c r="D1423" s="1018">
        <f>Input!$D$47</f>
        <v>0.4</v>
      </c>
      <c r="E1423" s="1002"/>
      <c r="F1423" s="1093">
        <f>$I$1420+$I$1422</f>
        <v>207.22239999999999</v>
      </c>
      <c r="G1423" s="1020"/>
      <c r="H1423" s="1002"/>
      <c r="I1423" s="1001">
        <f t="shared" si="319"/>
        <v>82.888959999999997</v>
      </c>
      <c r="J1423" s="1002"/>
      <c r="K1423" s="1002"/>
      <c r="L1423" s="1002"/>
      <c r="M1423" s="1003"/>
      <c r="N1423" s="1003"/>
      <c r="O1423" s="1003"/>
      <c r="P1423" s="1003"/>
    </row>
    <row r="1424" spans="1:16">
      <c r="A1424" s="1823"/>
      <c r="B1424" s="1823"/>
      <c r="C1424" s="1817" t="s">
        <v>1179</v>
      </c>
      <c r="D1424" s="1000">
        <v>1.2</v>
      </c>
      <c r="E1424" s="1044" t="s">
        <v>1143</v>
      </c>
      <c r="F1424" s="1001">
        <f>Input!$D$53</f>
        <v>108</v>
      </c>
      <c r="G1424" s="1015">
        <v>1</v>
      </c>
      <c r="H1424" s="1085" t="str">
        <f>IF(E1424="","",IF(E1424="No.","Each",IF(E1424="Nos.","Each",E1424)))</f>
        <v>kl</v>
      </c>
      <c r="I1424" s="1001">
        <f t="shared" si="319"/>
        <v>129.6</v>
      </c>
      <c r="J1424" s="1002"/>
      <c r="K1424" s="1002"/>
      <c r="L1424" s="1002"/>
      <c r="M1424" s="1003"/>
      <c r="N1424" s="1003"/>
      <c r="O1424" s="1003"/>
      <c r="P1424" s="1003"/>
    </row>
    <row r="1425" spans="1:16">
      <c r="A1425" s="1023"/>
      <c r="B1425" s="1023"/>
      <c r="C1425" s="1816" t="s">
        <v>1032</v>
      </c>
      <c r="D1425" s="996"/>
      <c r="E1425" s="996"/>
      <c r="F1425" s="1023"/>
      <c r="G1425" s="1100"/>
      <c r="H1425" s="996"/>
      <c r="I1425" s="1834">
        <f>SUM(I1410:I1424)</f>
        <v>6945.6217600000009</v>
      </c>
      <c r="J1425" s="996"/>
      <c r="K1425" s="996"/>
      <c r="L1425" s="996"/>
      <c r="M1425" s="997"/>
      <c r="N1425" s="997"/>
      <c r="O1425" s="997"/>
      <c r="P1425" s="997"/>
    </row>
    <row r="1426" spans="1:16">
      <c r="A1426" s="1823"/>
      <c r="B1426" s="1068"/>
      <c r="C1426" s="1022"/>
      <c r="D1426" s="1846"/>
      <c r="E1426" s="1846"/>
      <c r="F1426" s="1068"/>
      <c r="G1426" s="1846"/>
      <c r="H1426" s="1846"/>
      <c r="I1426" s="1021"/>
      <c r="J1426" s="1846"/>
      <c r="K1426" s="1846"/>
      <c r="L1426" s="1846"/>
    </row>
    <row r="1427" spans="1:16">
      <c r="A1427" s="1823"/>
      <c r="B1427" s="1068" t="s">
        <v>294</v>
      </c>
      <c r="C1427" s="1130" t="s">
        <v>1249</v>
      </c>
      <c r="D1427" s="1846"/>
      <c r="E1427" s="1846"/>
      <c r="F1427" s="1068"/>
      <c r="G1427" s="1105"/>
      <c r="H1427" s="1846"/>
      <c r="I1427" s="1080"/>
      <c r="J1427" s="1105"/>
      <c r="K1427" s="1846"/>
      <c r="L1427" s="1080"/>
    </row>
    <row r="1428" spans="1:16">
      <c r="A1428" s="1823"/>
      <c r="B1428" s="1068"/>
      <c r="C1428" s="1821" t="s">
        <v>1281</v>
      </c>
      <c r="D1428" s="1846"/>
      <c r="E1428" s="1846"/>
      <c r="F1428" s="1068"/>
      <c r="G1428" s="1105"/>
      <c r="H1428" s="1846"/>
      <c r="I1428" s="1080"/>
      <c r="J1428" s="1105"/>
      <c r="K1428" s="1846"/>
      <c r="L1428" s="1080"/>
    </row>
    <row r="1429" spans="1:16">
      <c r="A1429" s="1823"/>
      <c r="B1429" s="1068" t="s">
        <v>1215</v>
      </c>
      <c r="C1429" s="1821" t="s">
        <v>1216</v>
      </c>
      <c r="D1429" s="1846"/>
      <c r="E1429" s="1846"/>
      <c r="F1429" s="1068"/>
      <c r="G1429" s="1105"/>
      <c r="H1429" s="1846"/>
      <c r="I1429" s="1080"/>
      <c r="J1429" s="1105"/>
      <c r="K1429" s="1846"/>
      <c r="L1429" s="1080"/>
    </row>
    <row r="1430" spans="1:16">
      <c r="A1430" s="1823"/>
      <c r="B1430" s="1068"/>
      <c r="C1430" s="1816" t="s">
        <v>1217</v>
      </c>
      <c r="D1430" s="1009" t="s">
        <v>1223</v>
      </c>
      <c r="E1430" s="1098" t="s">
        <v>1207</v>
      </c>
      <c r="F1430" s="1102" t="s">
        <v>1208</v>
      </c>
      <c r="G1430" s="1102" t="s">
        <v>1209</v>
      </c>
      <c r="H1430" s="1102" t="s">
        <v>1210</v>
      </c>
      <c r="I1430" s="1102" t="s">
        <v>1211</v>
      </c>
      <c r="J1430" s="1102"/>
      <c r="K1430" s="1102" t="s">
        <v>1213</v>
      </c>
      <c r="L1430" s="1102" t="s">
        <v>1214</v>
      </c>
    </row>
    <row r="1431" spans="1:16">
      <c r="A1431" s="1823"/>
      <c r="B1431" s="1823"/>
      <c r="C1431" s="1817" t="s">
        <v>1218</v>
      </c>
      <c r="D1431" s="1093">
        <f t="shared" ref="D1431:L1431" si="320">$I$1425</f>
        <v>6945.6217600000009</v>
      </c>
      <c r="E1431" s="1093">
        <f t="shared" si="320"/>
        <v>6945.6217600000009</v>
      </c>
      <c r="F1431" s="1093">
        <f t="shared" si="320"/>
        <v>6945.6217600000009</v>
      </c>
      <c r="G1431" s="1093">
        <f t="shared" si="320"/>
        <v>6945.6217600000009</v>
      </c>
      <c r="H1431" s="1093">
        <f t="shared" si="320"/>
        <v>6945.6217600000009</v>
      </c>
      <c r="I1431" s="1093">
        <f t="shared" si="320"/>
        <v>6945.6217600000009</v>
      </c>
      <c r="J1431" s="1093"/>
      <c r="K1431" s="1093">
        <f t="shared" si="320"/>
        <v>6945.6217600000009</v>
      </c>
      <c r="L1431" s="1093">
        <f t="shared" si="320"/>
        <v>6945.6217600000009</v>
      </c>
      <c r="M1431" s="1003"/>
      <c r="N1431" s="1003"/>
      <c r="O1431" s="1003"/>
      <c r="P1431" s="1003"/>
    </row>
    <row r="1432" spans="1:16">
      <c r="A1432" s="1823"/>
      <c r="B1432" s="1823"/>
      <c r="C1432" s="1817" t="s">
        <v>1182</v>
      </c>
      <c r="D1432" s="1093">
        <f>'Civil-SOR'!$F$279</f>
        <v>1566</v>
      </c>
      <c r="E1432" s="1093">
        <f>'Civil-SOR'!$F$279</f>
        <v>1566</v>
      </c>
      <c r="F1432" s="1093">
        <f>'Civil-SOR'!$F$279</f>
        <v>1566</v>
      </c>
      <c r="G1432" s="1093">
        <f>'Civil-SOR'!$F$279</f>
        <v>1566</v>
      </c>
      <c r="H1432" s="1093">
        <f>'Civil-SOR'!$F$279</f>
        <v>1566</v>
      </c>
      <c r="I1432" s="1093">
        <f>'Civil-SOR'!$F$279</f>
        <v>1566</v>
      </c>
      <c r="J1432" s="1093"/>
      <c r="K1432" s="1093">
        <f>'Civil-SOR'!$F$279</f>
        <v>1566</v>
      </c>
      <c r="L1432" s="1093">
        <f>'Civil-SOR'!$F$279</f>
        <v>1566</v>
      </c>
      <c r="M1432" s="1003"/>
      <c r="N1432" s="1003"/>
      <c r="O1432" s="1003"/>
      <c r="P1432" s="1003"/>
    </row>
    <row r="1433" spans="1:16">
      <c r="A1433" s="1823"/>
      <c r="B1433" s="1823"/>
      <c r="C1433" s="1817" t="s">
        <v>1252</v>
      </c>
      <c r="D1433" s="1001">
        <f>'Civil-SOR'!$G$279</f>
        <v>1753</v>
      </c>
      <c r="E1433" s="1001">
        <f>'Civil-SOR'!$H$279</f>
        <v>1928</v>
      </c>
      <c r="F1433" s="1001">
        <f>'Civil-SOR'!$I$279</f>
        <v>2104</v>
      </c>
      <c r="G1433" s="1001">
        <f>'Civil-SOR'!$J$279</f>
        <v>2279</v>
      </c>
      <c r="H1433" s="1001">
        <f>'Civil-SOR'!$K$279</f>
        <v>2454</v>
      </c>
      <c r="I1433" s="1001">
        <f>'Civil-SOR'!$L$279</f>
        <v>2630</v>
      </c>
      <c r="J1433" s="1001"/>
      <c r="K1433" s="1001">
        <f>'Civil-SOR'!$N$279</f>
        <v>2980</v>
      </c>
      <c r="L1433" s="1001">
        <f>'Civil-SOR'!$O$279</f>
        <v>3155</v>
      </c>
      <c r="M1433" s="1003"/>
      <c r="N1433" s="1003"/>
      <c r="O1433" s="1003"/>
      <c r="P1433" s="1003"/>
    </row>
    <row r="1434" spans="1:16">
      <c r="A1434" s="1823"/>
      <c r="B1434" s="1823"/>
      <c r="C1434" s="1817" t="str">
        <f>Input!C47</f>
        <v>Add for MA @ 40%</v>
      </c>
      <c r="D1434" s="1093">
        <f>D1433*Input!$D$47</f>
        <v>701.2</v>
      </c>
      <c r="E1434" s="1093">
        <f>E1433*Input!$D$47</f>
        <v>771.2</v>
      </c>
      <c r="F1434" s="1093">
        <f>F1433*Input!$D$47</f>
        <v>841.6</v>
      </c>
      <c r="G1434" s="1093">
        <f>G1433*Input!$D$47</f>
        <v>911.6</v>
      </c>
      <c r="H1434" s="1093">
        <f>H1433*Input!$D$47</f>
        <v>981.6</v>
      </c>
      <c r="I1434" s="1093">
        <f>I1433*Input!$D$47</f>
        <v>1052</v>
      </c>
      <c r="J1434" s="1093"/>
      <c r="K1434" s="1093">
        <f>K1433*Input!$D$47</f>
        <v>1192</v>
      </c>
      <c r="L1434" s="1093">
        <f>L1433*Input!$D$47</f>
        <v>1262</v>
      </c>
      <c r="M1434" s="1003"/>
      <c r="N1434" s="1003"/>
      <c r="O1434" s="1003"/>
      <c r="P1434" s="1003"/>
    </row>
    <row r="1435" spans="1:16">
      <c r="A1435" s="1823"/>
      <c r="B1435" s="1823"/>
      <c r="C1435" s="1817" t="s">
        <v>1220</v>
      </c>
      <c r="D1435" s="1093">
        <v>0</v>
      </c>
      <c r="E1435" s="1093">
        <f>$F$1417*10%</f>
        <v>171.20500000000001</v>
      </c>
      <c r="F1435" s="1093">
        <f>$F$1417*20%</f>
        <v>342.41</v>
      </c>
      <c r="G1435" s="1093">
        <f>$F$1417*30%</f>
        <v>513.61500000000001</v>
      </c>
      <c r="H1435" s="1093">
        <f>$F$1417*40%</f>
        <v>684.82</v>
      </c>
      <c r="I1435" s="1093">
        <f>$F$1417*50%</f>
        <v>856.02499999999998</v>
      </c>
      <c r="J1435" s="1093"/>
      <c r="K1435" s="1093">
        <f>$F$1417*70%</f>
        <v>1198.4349999999999</v>
      </c>
      <c r="L1435" s="1093">
        <f>$F$1417*80%</f>
        <v>1369.64</v>
      </c>
      <c r="M1435" s="1003"/>
      <c r="N1435" s="1003"/>
      <c r="O1435" s="1003"/>
      <c r="P1435" s="1003"/>
    </row>
    <row r="1436" spans="1:16">
      <c r="A1436" s="1823"/>
      <c r="B1436" s="1823"/>
      <c r="C1436" s="1817" t="str">
        <f>Input!$C$47</f>
        <v>Add for MA @ 40%</v>
      </c>
      <c r="D1436" s="1093">
        <f>D1435*Input!D47</f>
        <v>0</v>
      </c>
      <c r="E1436" s="1093">
        <f>E1435*Input!$D$47</f>
        <v>68.482000000000014</v>
      </c>
      <c r="F1436" s="1093">
        <f>F1435*Input!$D$47</f>
        <v>136.96400000000003</v>
      </c>
      <c r="G1436" s="1093">
        <f>G1435*Input!$D$47</f>
        <v>205.44600000000003</v>
      </c>
      <c r="H1436" s="1093">
        <f>H1435*Input!$D$47</f>
        <v>273.92800000000005</v>
      </c>
      <c r="I1436" s="1093">
        <f>I1435*Input!$D$47</f>
        <v>342.41</v>
      </c>
      <c r="J1436" s="1093"/>
      <c r="K1436" s="1093">
        <f>K1435*Input!$D$47</f>
        <v>479.37400000000002</v>
      </c>
      <c r="L1436" s="1093">
        <f>L1435*Input!$D$47</f>
        <v>547.85600000000011</v>
      </c>
      <c r="M1436" s="1003"/>
      <c r="N1436" s="1003"/>
      <c r="O1436" s="1003"/>
      <c r="P1436" s="1003"/>
    </row>
    <row r="1437" spans="1:16">
      <c r="A1437" s="1823"/>
      <c r="B1437" s="1823"/>
      <c r="C1437" s="1816" t="s">
        <v>1167</v>
      </c>
      <c r="D1437" s="1093">
        <f t="shared" ref="D1437:L1437" si="321">SUM(D1431:D1436)</f>
        <v>10965.821760000003</v>
      </c>
      <c r="E1437" s="1093">
        <f t="shared" si="321"/>
        <v>11450.508760000002</v>
      </c>
      <c r="F1437" s="1093">
        <f t="shared" si="321"/>
        <v>11936.595760000002</v>
      </c>
      <c r="G1437" s="1093">
        <f t="shared" si="321"/>
        <v>12421.282760000002</v>
      </c>
      <c r="H1437" s="1093">
        <f t="shared" si="321"/>
        <v>12905.969760000002</v>
      </c>
      <c r="I1437" s="1093">
        <f t="shared" si="321"/>
        <v>13392.056760000001</v>
      </c>
      <c r="J1437" s="1093"/>
      <c r="K1437" s="1093">
        <f t="shared" si="321"/>
        <v>14361.430760000001</v>
      </c>
      <c r="L1437" s="1093">
        <f t="shared" si="321"/>
        <v>14846.117760000001</v>
      </c>
      <c r="M1437" s="1003"/>
      <c r="N1437" s="1003"/>
      <c r="O1437" s="1003"/>
      <c r="P1437" s="1003"/>
    </row>
    <row r="1438" spans="1:16">
      <c r="A1438" s="1823"/>
      <c r="B1438" s="1823"/>
      <c r="C1438" s="1817" t="str">
        <f>Input!$C$48</f>
        <v>Overheads &amp; Contractors Profit @ 13.615%</v>
      </c>
      <c r="D1438" s="1823">
        <f>ROUND(D1437*Input!$D$48,2)</f>
        <v>1493</v>
      </c>
      <c r="E1438" s="1823">
        <f>ROUND(E1437*Input!$D$48,2)</f>
        <v>1558.99</v>
      </c>
      <c r="F1438" s="1823">
        <f>ROUND(F1437*Input!$D$48,2)</f>
        <v>1625.17</v>
      </c>
      <c r="G1438" s="1823">
        <f>ROUND(G1437*Input!$D$48,2)</f>
        <v>1691.16</v>
      </c>
      <c r="H1438" s="1823">
        <f>ROUND(H1437*Input!$D$48,2)</f>
        <v>1757.15</v>
      </c>
      <c r="I1438" s="1823">
        <f>ROUND(I1437*Input!$D$48,2)</f>
        <v>1823.33</v>
      </c>
      <c r="J1438" s="1823"/>
      <c r="K1438" s="1823">
        <f>ROUND(K1437*Input!$D$48,2)</f>
        <v>1955.31</v>
      </c>
      <c r="L1438" s="1823">
        <f>ROUND(L1437*Input!$D$48,2)</f>
        <v>2021.3</v>
      </c>
      <c r="M1438" s="1003"/>
      <c r="N1438" s="1003"/>
      <c r="O1438" s="1003"/>
      <c r="P1438" s="1003"/>
    </row>
    <row r="1439" spans="1:16">
      <c r="A1439" s="996"/>
      <c r="B1439" s="996"/>
      <c r="C1439" s="1078" t="s">
        <v>1032</v>
      </c>
      <c r="D1439" s="1829">
        <f t="shared" ref="D1439:L1439" si="322">SUM(D1437:D1438)</f>
        <v>12458.821760000003</v>
      </c>
      <c r="E1439" s="1829">
        <f t="shared" si="322"/>
        <v>13009.498760000002</v>
      </c>
      <c r="F1439" s="1829">
        <f t="shared" si="322"/>
        <v>13561.765760000002</v>
      </c>
      <c r="G1439" s="1829">
        <f t="shared" si="322"/>
        <v>14112.442760000002</v>
      </c>
      <c r="H1439" s="1829">
        <f t="shared" si="322"/>
        <v>14663.119760000001</v>
      </c>
      <c r="I1439" s="1829">
        <f t="shared" si="322"/>
        <v>15215.386760000001</v>
      </c>
      <c r="J1439" s="1829"/>
      <c r="K1439" s="1829">
        <f t="shared" si="322"/>
        <v>16316.740760000001</v>
      </c>
      <c r="L1439" s="1829">
        <f t="shared" si="322"/>
        <v>16867.41776</v>
      </c>
      <c r="M1439" s="997"/>
      <c r="N1439" s="997"/>
      <c r="O1439" s="997"/>
      <c r="P1439" s="997"/>
    </row>
    <row r="1440" spans="1:16">
      <c r="A1440" s="1023"/>
      <c r="B1440" s="1023"/>
      <c r="C1440" s="1843" t="s">
        <v>1034</v>
      </c>
      <c r="D1440" s="999">
        <f t="shared" ref="D1440:L1440" si="323">ROUND(D1439,0)</f>
        <v>12459</v>
      </c>
      <c r="E1440" s="999">
        <f t="shared" si="323"/>
        <v>13009</v>
      </c>
      <c r="F1440" s="999">
        <f t="shared" si="323"/>
        <v>13562</v>
      </c>
      <c r="G1440" s="999">
        <f t="shared" si="323"/>
        <v>14112</v>
      </c>
      <c r="H1440" s="999">
        <f t="shared" si="323"/>
        <v>14663</v>
      </c>
      <c r="I1440" s="999">
        <f t="shared" si="323"/>
        <v>15215</v>
      </c>
      <c r="J1440" s="999"/>
      <c r="K1440" s="999">
        <f t="shared" si="323"/>
        <v>16317</v>
      </c>
      <c r="L1440" s="999">
        <f t="shared" si="323"/>
        <v>16867</v>
      </c>
      <c r="M1440" s="997"/>
      <c r="N1440" s="997"/>
      <c r="O1440" s="997"/>
      <c r="P1440" s="997"/>
    </row>
    <row r="1441" spans="1:16">
      <c r="A1441" s="1823"/>
      <c r="B1441" s="1068"/>
      <c r="C1441" s="1129"/>
      <c r="D1441" s="1114"/>
      <c r="E1441" s="1114"/>
      <c r="F1441" s="1114"/>
      <c r="G1441" s="1114"/>
      <c r="H1441" s="1114"/>
      <c r="I1441" s="1009"/>
      <c r="J1441" s="1114"/>
      <c r="K1441" s="1114"/>
      <c r="L1441" s="1009"/>
    </row>
    <row r="1442" spans="1:16">
      <c r="A1442" s="1823"/>
      <c r="B1442" s="1098" t="s">
        <v>1221</v>
      </c>
      <c r="C1442" s="1821" t="s">
        <v>1222</v>
      </c>
      <c r="D1442" s="1846"/>
      <c r="E1442" s="1846"/>
      <c r="F1442" s="1068"/>
      <c r="G1442" s="1105"/>
      <c r="H1442" s="1846"/>
      <c r="I1442" s="1080"/>
      <c r="J1442" s="1105"/>
      <c r="K1442" s="1846"/>
      <c r="L1442" s="1080"/>
    </row>
    <row r="1443" spans="1:16">
      <c r="A1443" s="1823"/>
      <c r="B1443" s="1068"/>
      <c r="C1443" s="1816" t="s">
        <v>1217</v>
      </c>
      <c r="D1443" s="1009" t="s">
        <v>1223</v>
      </c>
      <c r="E1443" s="1098" t="s">
        <v>1207</v>
      </c>
      <c r="F1443" s="1102" t="s">
        <v>1208</v>
      </c>
      <c r="G1443" s="1102" t="s">
        <v>1209</v>
      </c>
      <c r="H1443" s="1102" t="s">
        <v>1210</v>
      </c>
      <c r="I1443" s="1102" t="s">
        <v>1211</v>
      </c>
      <c r="J1443" s="1846"/>
      <c r="K1443" s="1846"/>
      <c r="L1443" s="1846"/>
    </row>
    <row r="1444" spans="1:16">
      <c r="A1444" s="1847"/>
      <c r="B1444" s="1847"/>
      <c r="C1444" s="1817" t="s">
        <v>1218</v>
      </c>
      <c r="D1444" s="1848">
        <f t="shared" ref="D1444:I1444" si="324">$I$1425</f>
        <v>6945.6217600000009</v>
      </c>
      <c r="E1444" s="1848">
        <f t="shared" si="324"/>
        <v>6945.6217600000009</v>
      </c>
      <c r="F1444" s="1848">
        <f t="shared" si="324"/>
        <v>6945.6217600000009</v>
      </c>
      <c r="G1444" s="1848">
        <f t="shared" si="324"/>
        <v>6945.6217600000009</v>
      </c>
      <c r="H1444" s="1848">
        <f t="shared" si="324"/>
        <v>6945.6217600000009</v>
      </c>
      <c r="I1444" s="1848">
        <f t="shared" si="324"/>
        <v>6945.6217600000009</v>
      </c>
      <c r="J1444" s="1022"/>
      <c r="K1444" s="1022"/>
      <c r="L1444" s="1022"/>
      <c r="M1444" s="1066"/>
      <c r="N1444" s="1066"/>
      <c r="O1444" s="1066"/>
      <c r="P1444" s="1066"/>
    </row>
    <row r="1445" spans="1:16">
      <c r="A1445" s="1847"/>
      <c r="B1445" s="1847"/>
      <c r="C1445" s="1817" t="s">
        <v>1182</v>
      </c>
      <c r="D1445" s="1848">
        <f>'Civil-SOR'!$F$279</f>
        <v>1566</v>
      </c>
      <c r="E1445" s="1848">
        <f>'Civil-SOR'!$F$279</f>
        <v>1566</v>
      </c>
      <c r="F1445" s="1848">
        <f>'Civil-SOR'!$F$279</f>
        <v>1566</v>
      </c>
      <c r="G1445" s="1848">
        <f>'Civil-SOR'!$F$279</f>
        <v>1566</v>
      </c>
      <c r="H1445" s="1848">
        <f>'Civil-SOR'!$F$279</f>
        <v>1566</v>
      </c>
      <c r="I1445" s="1848">
        <f>'Civil-SOR'!$F$279</f>
        <v>1566</v>
      </c>
      <c r="J1445" s="1022"/>
      <c r="K1445" s="1022"/>
      <c r="L1445" s="1022"/>
      <c r="M1445" s="1066"/>
      <c r="N1445" s="1066"/>
      <c r="O1445" s="1066"/>
      <c r="P1445" s="1066"/>
    </row>
    <row r="1446" spans="1:16">
      <c r="A1446" s="1847"/>
      <c r="B1446" s="1847"/>
      <c r="C1446" s="1817" t="s">
        <v>1252</v>
      </c>
      <c r="D1446" s="1062">
        <f>'Civil-SOR'!$G$279</f>
        <v>1753</v>
      </c>
      <c r="E1446" s="1062">
        <f>'Civil-SOR'!$H$279</f>
        <v>1928</v>
      </c>
      <c r="F1446" s="1062">
        <f>'Civil-SOR'!$I$279</f>
        <v>2104</v>
      </c>
      <c r="G1446" s="1062">
        <f>'Civil-SOR'!$J$279</f>
        <v>2279</v>
      </c>
      <c r="H1446" s="1062">
        <f>'Civil-SOR'!$K$279</f>
        <v>2454</v>
      </c>
      <c r="I1446" s="1062">
        <f>'Civil-SOR'!$L$279</f>
        <v>2630</v>
      </c>
      <c r="J1446" s="1022"/>
      <c r="K1446" s="1022"/>
      <c r="L1446" s="1022"/>
      <c r="M1446" s="1066"/>
      <c r="N1446" s="1066"/>
      <c r="O1446" s="1066"/>
      <c r="P1446" s="1066"/>
    </row>
    <row r="1447" spans="1:16">
      <c r="A1447" s="1847"/>
      <c r="B1447" s="1847"/>
      <c r="C1447" s="1817" t="str">
        <f>Input!$C$47</f>
        <v>Add for MA @ 40%</v>
      </c>
      <c r="D1447" s="1848">
        <f>D1446*Input!$D$47</f>
        <v>701.2</v>
      </c>
      <c r="E1447" s="1848">
        <f>E1446*Input!$D$47</f>
        <v>771.2</v>
      </c>
      <c r="F1447" s="1848">
        <f>F1446*Input!$D$47</f>
        <v>841.6</v>
      </c>
      <c r="G1447" s="1848">
        <f>G1446*Input!$D$47</f>
        <v>911.6</v>
      </c>
      <c r="H1447" s="1848">
        <f>H1446*Input!$D$47</f>
        <v>981.6</v>
      </c>
      <c r="I1447" s="1848">
        <f>I1446*Input!$D$47</f>
        <v>1052</v>
      </c>
      <c r="J1447" s="1022"/>
      <c r="K1447" s="1022"/>
      <c r="L1447" s="1022"/>
      <c r="M1447" s="1066"/>
      <c r="N1447" s="1066"/>
      <c r="O1447" s="1066"/>
      <c r="P1447" s="1066"/>
    </row>
    <row r="1448" spans="1:16" ht="25.5">
      <c r="A1448" s="1847"/>
      <c r="B1448" s="1847"/>
      <c r="C1448" s="1817" t="s">
        <v>1254</v>
      </c>
      <c r="D1448" s="1848">
        <v>0</v>
      </c>
      <c r="E1448" s="1848">
        <f>0.267*'Civil-SOR'!$G$334</f>
        <v>101.11290000000002</v>
      </c>
      <c r="F1448" s="1848">
        <f t="shared" ref="F1448:F1449" si="325">E1448*1.1</f>
        <v>111.22419000000004</v>
      </c>
      <c r="G1448" s="1848">
        <f t="shared" ref="G1448:G1449" si="326">E1448*1.2</f>
        <v>121.33548000000002</v>
      </c>
      <c r="H1448" s="1848">
        <f t="shared" ref="H1448:H1449" si="327">E1448*1.3</f>
        <v>131.44677000000004</v>
      </c>
      <c r="I1448" s="1848">
        <f t="shared" ref="I1448:I1449" si="328">E1448*1.4</f>
        <v>141.55806000000001</v>
      </c>
      <c r="J1448" s="1022"/>
      <c r="K1448" s="1022"/>
      <c r="L1448" s="1022"/>
      <c r="M1448" s="1066"/>
      <c r="N1448" s="1066"/>
      <c r="O1448" s="1066"/>
      <c r="P1448" s="1066"/>
    </row>
    <row r="1449" spans="1:16">
      <c r="A1449" s="1847"/>
      <c r="B1449" s="1847"/>
      <c r="C1449" s="1817" t="s">
        <v>579</v>
      </c>
      <c r="D1449" s="1848"/>
      <c r="E1449" s="1848">
        <f>0.267*'Civil-SOR'!$J$334</f>
        <v>96.226799999999997</v>
      </c>
      <c r="F1449" s="1848">
        <f t="shared" si="325"/>
        <v>105.84948</v>
      </c>
      <c r="G1449" s="1848">
        <f t="shared" si="326"/>
        <v>115.47215999999999</v>
      </c>
      <c r="H1449" s="1848">
        <f t="shared" si="327"/>
        <v>125.09484</v>
      </c>
      <c r="I1449" s="1848">
        <f t="shared" si="328"/>
        <v>134.71751999999998</v>
      </c>
      <c r="J1449" s="1022"/>
      <c r="K1449" s="1022"/>
      <c r="L1449" s="1022"/>
      <c r="M1449" s="1066"/>
      <c r="N1449" s="1066"/>
      <c r="O1449" s="1066"/>
      <c r="P1449" s="1066"/>
    </row>
    <row r="1450" spans="1:16">
      <c r="A1450" s="1847"/>
      <c r="B1450" s="1847"/>
      <c r="C1450" s="1817" t="str">
        <f>Input!$C$47</f>
        <v>Add for MA @ 40%</v>
      </c>
      <c r="D1450" s="1848">
        <f>D1448*Input!D60</f>
        <v>0</v>
      </c>
      <c r="E1450" s="1848">
        <f>E1449*Input!$D$47</f>
        <v>38.490720000000003</v>
      </c>
      <c r="F1450" s="1848">
        <f>F1449*Input!$D$47</f>
        <v>42.339792000000003</v>
      </c>
      <c r="G1450" s="1848">
        <f>G1449*Input!$D$47</f>
        <v>46.188863999999995</v>
      </c>
      <c r="H1450" s="1848">
        <f>H1449*Input!$D$47</f>
        <v>50.037936000000002</v>
      </c>
      <c r="I1450" s="1848">
        <f>I1449*Input!$D$47</f>
        <v>53.887007999999994</v>
      </c>
      <c r="J1450" s="1022"/>
      <c r="K1450" s="1022"/>
      <c r="L1450" s="1022"/>
      <c r="M1450" s="1066"/>
      <c r="N1450" s="1066"/>
      <c r="O1450" s="1066"/>
      <c r="P1450" s="1066"/>
    </row>
    <row r="1451" spans="1:16">
      <c r="A1451" s="1847"/>
      <c r="B1451" s="1847"/>
      <c r="C1451" s="1816" t="s">
        <v>1167</v>
      </c>
      <c r="D1451" s="1848">
        <f t="shared" ref="D1451:I1451" si="329">SUM(D1444:D1450)</f>
        <v>10965.821760000003</v>
      </c>
      <c r="E1451" s="1848">
        <f t="shared" si="329"/>
        <v>11446.652180000003</v>
      </c>
      <c r="F1451" s="1848">
        <f t="shared" si="329"/>
        <v>11716.635222000004</v>
      </c>
      <c r="G1451" s="1848">
        <f t="shared" si="329"/>
        <v>11985.218264000001</v>
      </c>
      <c r="H1451" s="1848">
        <f t="shared" si="329"/>
        <v>12253.801306000003</v>
      </c>
      <c r="I1451" s="1848">
        <f t="shared" si="329"/>
        <v>12523.784348000001</v>
      </c>
      <c r="J1451" s="1022"/>
      <c r="K1451" s="1022"/>
      <c r="L1451" s="1022"/>
      <c r="M1451" s="1066"/>
      <c r="N1451" s="1066"/>
      <c r="O1451" s="1066"/>
      <c r="P1451" s="1066"/>
    </row>
    <row r="1452" spans="1:16">
      <c r="A1452" s="1847"/>
      <c r="B1452" s="1847"/>
      <c r="C1452" s="1817" t="str">
        <f>Input!$C$48</f>
        <v>Overheads &amp; Contractors Profit @ 13.615%</v>
      </c>
      <c r="D1452" s="1847">
        <f>ROUND(D1451*Input!$D$48,2)</f>
        <v>1493</v>
      </c>
      <c r="E1452" s="1847">
        <f>ROUND(E1451*Input!$D$48,2)</f>
        <v>1558.46</v>
      </c>
      <c r="F1452" s="1847">
        <f>ROUND(F1451*Input!$D$48,2)</f>
        <v>1595.22</v>
      </c>
      <c r="G1452" s="1847">
        <f>ROUND(G1451*Input!$D$48,2)</f>
        <v>1631.79</v>
      </c>
      <c r="H1452" s="1847">
        <f>ROUND(H1451*Input!$D$48,2)</f>
        <v>1668.36</v>
      </c>
      <c r="I1452" s="1847">
        <f>ROUND(I1451*Input!$D$48,2)</f>
        <v>1705.11</v>
      </c>
      <c r="J1452" s="1022"/>
      <c r="K1452" s="1022"/>
      <c r="L1452" s="1022"/>
      <c r="M1452" s="1066"/>
      <c r="N1452" s="1066"/>
      <c r="O1452" s="1066"/>
      <c r="P1452" s="1066"/>
    </row>
    <row r="1453" spans="1:16">
      <c r="A1453" s="1023"/>
      <c r="B1453" s="1023"/>
      <c r="C1453" s="1816" t="s">
        <v>1032</v>
      </c>
      <c r="D1453" s="1829">
        <f t="shared" ref="D1453:I1453" si="330">SUM(D1451:D1452)</f>
        <v>12458.821760000003</v>
      </c>
      <c r="E1453" s="1829">
        <f t="shared" si="330"/>
        <v>13005.112180000004</v>
      </c>
      <c r="F1453" s="1829">
        <f t="shared" si="330"/>
        <v>13311.855222000004</v>
      </c>
      <c r="G1453" s="1829">
        <f t="shared" si="330"/>
        <v>13617.008264</v>
      </c>
      <c r="H1453" s="1829">
        <f t="shared" si="330"/>
        <v>13922.161306000004</v>
      </c>
      <c r="I1453" s="1829">
        <f t="shared" si="330"/>
        <v>14228.894348000002</v>
      </c>
      <c r="J1453" s="996"/>
      <c r="K1453" s="996"/>
      <c r="L1453" s="996"/>
      <c r="M1453" s="997"/>
      <c r="N1453" s="997"/>
      <c r="O1453" s="997"/>
      <c r="P1453" s="997"/>
    </row>
    <row r="1454" spans="1:16">
      <c r="A1454" s="1023"/>
      <c r="B1454" s="1023"/>
      <c r="C1454" s="1843" t="s">
        <v>1034</v>
      </c>
      <c r="D1454" s="999">
        <f t="shared" ref="D1454:I1454" si="331">ROUND(D1453,0)</f>
        <v>12459</v>
      </c>
      <c r="E1454" s="999">
        <f t="shared" si="331"/>
        <v>13005</v>
      </c>
      <c r="F1454" s="999">
        <f t="shared" si="331"/>
        <v>13312</v>
      </c>
      <c r="G1454" s="999">
        <f t="shared" si="331"/>
        <v>13617</v>
      </c>
      <c r="H1454" s="999">
        <f t="shared" si="331"/>
        <v>13922</v>
      </c>
      <c r="I1454" s="999">
        <f t="shared" si="331"/>
        <v>14229</v>
      </c>
      <c r="J1454" s="996"/>
      <c r="K1454" s="996"/>
      <c r="L1454" s="996"/>
      <c r="M1454" s="997"/>
      <c r="N1454" s="997"/>
      <c r="O1454" s="997"/>
      <c r="P1454" s="997"/>
    </row>
    <row r="1455" spans="1:16">
      <c r="A1455" s="1023"/>
      <c r="B1455" s="1023"/>
      <c r="C1455" s="1130" t="s">
        <v>1249</v>
      </c>
      <c r="D1455" s="999"/>
      <c r="E1455" s="999"/>
      <c r="F1455" s="999"/>
      <c r="G1455" s="999"/>
      <c r="H1455" s="999"/>
      <c r="I1455" s="999"/>
      <c r="J1455" s="999"/>
      <c r="K1455" s="999"/>
      <c r="L1455" s="999"/>
      <c r="M1455" s="997"/>
      <c r="N1455" s="997"/>
      <c r="O1455" s="997"/>
      <c r="P1455" s="997"/>
    </row>
    <row r="1456" spans="1:16">
      <c r="A1456" s="1023"/>
      <c r="B1456" s="1023"/>
      <c r="C1456" s="1816" t="s">
        <v>1217</v>
      </c>
      <c r="D1456" s="1102" t="s">
        <v>1212</v>
      </c>
      <c r="E1456" s="1102" t="s">
        <v>1213</v>
      </c>
      <c r="F1456" s="1102" t="s">
        <v>1214</v>
      </c>
      <c r="G1456" s="999"/>
      <c r="H1456" s="999"/>
      <c r="I1456" s="999"/>
      <c r="J1456" s="999"/>
      <c r="K1456" s="999"/>
      <c r="L1456" s="999"/>
      <c r="M1456" s="997"/>
      <c r="N1456" s="997"/>
      <c r="O1456" s="997"/>
      <c r="P1456" s="997"/>
    </row>
    <row r="1457" spans="1:16">
      <c r="A1457" s="1023"/>
      <c r="B1457" s="1023"/>
      <c r="C1457" s="1817" t="s">
        <v>1218</v>
      </c>
      <c r="D1457" s="1848">
        <f>$I$1425</f>
        <v>6945.6217600000009</v>
      </c>
      <c r="E1457" s="1848">
        <f>$I$1425</f>
        <v>6945.6217600000009</v>
      </c>
      <c r="F1457" s="1848">
        <f>$I$1425</f>
        <v>6945.6217600000009</v>
      </c>
      <c r="G1457" s="999"/>
      <c r="H1457" s="999"/>
      <c r="I1457" s="999"/>
      <c r="J1457" s="999"/>
      <c r="K1457" s="999"/>
      <c r="L1457" s="999"/>
      <c r="M1457" s="997"/>
      <c r="N1457" s="997"/>
      <c r="O1457" s="997"/>
      <c r="P1457" s="997"/>
    </row>
    <row r="1458" spans="1:16">
      <c r="A1458" s="1023"/>
      <c r="B1458" s="1023"/>
      <c r="C1458" s="1817" t="s">
        <v>1182</v>
      </c>
      <c r="D1458" s="1848">
        <f>'Civil-SOR'!$F$279</f>
        <v>1566</v>
      </c>
      <c r="E1458" s="1848">
        <f>'Civil-SOR'!$F$279</f>
        <v>1566</v>
      </c>
      <c r="F1458" s="1848">
        <f>'Civil-SOR'!$F$279</f>
        <v>1566</v>
      </c>
      <c r="G1458" s="999"/>
      <c r="H1458" s="999"/>
      <c r="I1458" s="999"/>
      <c r="J1458" s="999"/>
      <c r="K1458" s="999"/>
      <c r="L1458" s="999"/>
      <c r="M1458" s="997"/>
      <c r="N1458" s="997"/>
      <c r="O1458" s="997"/>
      <c r="P1458" s="997"/>
    </row>
    <row r="1459" spans="1:16">
      <c r="A1459" s="1023"/>
      <c r="B1459" s="1023"/>
      <c r="C1459" s="1817" t="s">
        <v>1252</v>
      </c>
      <c r="D1459" s="1062">
        <f>'Civil-SOR'!$M$279</f>
        <v>2805</v>
      </c>
      <c r="E1459" s="1062">
        <f>'Civil-SOR'!$N$279</f>
        <v>2980</v>
      </c>
      <c r="F1459" s="1062">
        <f>'Civil-SOR'!$O$279</f>
        <v>3155</v>
      </c>
      <c r="G1459" s="999"/>
      <c r="H1459" s="999"/>
      <c r="I1459" s="999"/>
      <c r="J1459" s="999"/>
      <c r="K1459" s="999"/>
      <c r="L1459" s="999"/>
      <c r="M1459" s="997"/>
      <c r="N1459" s="997"/>
      <c r="O1459" s="997"/>
      <c r="P1459" s="997"/>
    </row>
    <row r="1460" spans="1:16">
      <c r="A1460" s="1023"/>
      <c r="B1460" s="1023"/>
      <c r="C1460" s="1817" t="str">
        <f>Input!$C$47</f>
        <v>Add for MA @ 40%</v>
      </c>
      <c r="D1460" s="1848">
        <f>D1459*Input!$D$47</f>
        <v>1122</v>
      </c>
      <c r="E1460" s="1848">
        <f>E1459*Input!$D$47</f>
        <v>1192</v>
      </c>
      <c r="F1460" s="1848">
        <f>F1459*Input!$D$47</f>
        <v>1262</v>
      </c>
      <c r="G1460" s="999"/>
      <c r="H1460" s="999"/>
      <c r="I1460" s="999"/>
      <c r="J1460" s="999"/>
      <c r="K1460" s="999"/>
      <c r="L1460" s="999"/>
      <c r="M1460" s="997"/>
      <c r="N1460" s="997"/>
      <c r="O1460" s="997"/>
      <c r="P1460" s="997"/>
    </row>
    <row r="1461" spans="1:16" ht="25.5">
      <c r="A1461" s="1023"/>
      <c r="B1461" s="1023"/>
      <c r="C1461" s="1817" t="s">
        <v>1254</v>
      </c>
      <c r="D1461" s="1848">
        <f t="shared" ref="D1461:D1462" si="332">E1448*1.5</f>
        <v>151.66935000000004</v>
      </c>
      <c r="E1461" s="1848">
        <f t="shared" ref="E1461:E1462" si="333">E1448*1.6</f>
        <v>161.78064000000006</v>
      </c>
      <c r="F1461" s="1848">
        <f t="shared" ref="F1461:F1462" si="334">E1448*1.7</f>
        <v>171.89193000000003</v>
      </c>
      <c r="G1461" s="999"/>
      <c r="H1461" s="999"/>
      <c r="I1461" s="999"/>
      <c r="J1461" s="999"/>
      <c r="K1461" s="999"/>
      <c r="L1461" s="999"/>
      <c r="M1461" s="997"/>
      <c r="N1461" s="997"/>
      <c r="O1461" s="997"/>
      <c r="P1461" s="997"/>
    </row>
    <row r="1462" spans="1:16">
      <c r="A1462" s="1023"/>
      <c r="B1462" s="1023"/>
      <c r="C1462" s="1817" t="s">
        <v>579</v>
      </c>
      <c r="D1462" s="1848">
        <f t="shared" si="332"/>
        <v>144.34019999999998</v>
      </c>
      <c r="E1462" s="1848">
        <f t="shared" si="333"/>
        <v>153.96288000000001</v>
      </c>
      <c r="F1462" s="1848">
        <f t="shared" si="334"/>
        <v>163.58555999999999</v>
      </c>
      <c r="G1462" s="999"/>
      <c r="H1462" s="999"/>
      <c r="I1462" s="999"/>
      <c r="J1462" s="999"/>
      <c r="K1462" s="999"/>
      <c r="L1462" s="999"/>
      <c r="M1462" s="997"/>
      <c r="N1462" s="997"/>
      <c r="O1462" s="997"/>
      <c r="P1462" s="997"/>
    </row>
    <row r="1463" spans="1:16">
      <c r="A1463" s="1023"/>
      <c r="B1463" s="1023"/>
      <c r="C1463" s="1817" t="str">
        <f>Input!$C$47</f>
        <v>Add for MA @ 40%</v>
      </c>
      <c r="D1463" s="1848">
        <f>D1462*Input!$D$47</f>
        <v>57.736079999999994</v>
      </c>
      <c r="E1463" s="1848">
        <f>E1462*Input!$D$47</f>
        <v>61.585152000000008</v>
      </c>
      <c r="F1463" s="1848">
        <f>F1462*Input!$D$47</f>
        <v>65.434224</v>
      </c>
      <c r="G1463" s="999"/>
      <c r="H1463" s="999"/>
      <c r="I1463" s="999"/>
      <c r="J1463" s="999"/>
      <c r="K1463" s="999"/>
      <c r="L1463" s="999"/>
      <c r="M1463" s="997"/>
      <c r="N1463" s="997"/>
      <c r="O1463" s="997"/>
      <c r="P1463" s="997"/>
    </row>
    <row r="1464" spans="1:16">
      <c r="A1464" s="1023"/>
      <c r="B1464" s="1023"/>
      <c r="C1464" s="1816" t="s">
        <v>1167</v>
      </c>
      <c r="D1464" s="1848">
        <f>SUM(D1457:D1463)</f>
        <v>12792.367390000003</v>
      </c>
      <c r="E1464" s="1848">
        <f>SUM(E1457:E1463)</f>
        <v>13060.950432000001</v>
      </c>
      <c r="F1464" s="1848">
        <f>SUM(F1457:F1463)</f>
        <v>13329.533474000002</v>
      </c>
      <c r="G1464" s="999"/>
      <c r="H1464" s="999"/>
      <c r="I1464" s="999"/>
      <c r="J1464" s="999"/>
      <c r="K1464" s="999"/>
      <c r="L1464" s="999"/>
      <c r="M1464" s="997"/>
      <c r="N1464" s="997"/>
      <c r="O1464" s="997"/>
      <c r="P1464" s="997"/>
    </row>
    <row r="1465" spans="1:16">
      <c r="A1465" s="1023"/>
      <c r="B1465" s="1023"/>
      <c r="C1465" s="1817" t="str">
        <f>Input!$C$48</f>
        <v>Overheads &amp; Contractors Profit @ 13.615%</v>
      </c>
      <c r="D1465" s="1847">
        <f>ROUND(D1464*Input!$D$48,2)</f>
        <v>1741.68</v>
      </c>
      <c r="E1465" s="1847">
        <f>ROUND(E1464*Input!$D$48,2)</f>
        <v>1778.25</v>
      </c>
      <c r="F1465" s="1847">
        <f>ROUND(F1464*Input!$D$48,2)</f>
        <v>1814.82</v>
      </c>
      <c r="G1465" s="999"/>
      <c r="H1465" s="999"/>
      <c r="I1465" s="999"/>
      <c r="J1465" s="999"/>
      <c r="K1465" s="999"/>
      <c r="L1465" s="999"/>
      <c r="M1465" s="997"/>
      <c r="N1465" s="997"/>
      <c r="O1465" s="997"/>
      <c r="P1465" s="997"/>
    </row>
    <row r="1466" spans="1:16">
      <c r="A1466" s="1023"/>
      <c r="B1466" s="1023"/>
      <c r="C1466" s="1816" t="s">
        <v>1032</v>
      </c>
      <c r="D1466" s="1829">
        <f>SUM(D1464:D1465)</f>
        <v>14534.047390000003</v>
      </c>
      <c r="E1466" s="1829">
        <f>SUM(E1464:E1465)</f>
        <v>14839.200432000001</v>
      </c>
      <c r="F1466" s="1829">
        <f>SUM(F1464:F1465)</f>
        <v>15144.353474000001</v>
      </c>
      <c r="G1466" s="999"/>
      <c r="H1466" s="999"/>
      <c r="I1466" s="999"/>
      <c r="J1466" s="999"/>
      <c r="K1466" s="999"/>
      <c r="L1466" s="999"/>
      <c r="M1466" s="997"/>
      <c r="N1466" s="997"/>
      <c r="O1466" s="997"/>
      <c r="P1466" s="997"/>
    </row>
    <row r="1467" spans="1:16">
      <c r="A1467" s="1023"/>
      <c r="B1467" s="1023"/>
      <c r="C1467" s="1843" t="s">
        <v>1034</v>
      </c>
      <c r="D1467" s="999">
        <f>ROUND(D1466,0)</f>
        <v>14534</v>
      </c>
      <c r="E1467" s="999">
        <f>ROUND(E1466,0)</f>
        <v>14839</v>
      </c>
      <c r="F1467" s="999">
        <f>ROUND(F1466,0)</f>
        <v>15144</v>
      </c>
      <c r="G1467" s="999"/>
      <c r="H1467" s="999"/>
      <c r="I1467" s="999"/>
      <c r="J1467" s="999"/>
      <c r="K1467" s="999"/>
      <c r="L1467" s="999"/>
      <c r="M1467" s="997"/>
      <c r="N1467" s="997"/>
      <c r="O1467" s="997"/>
      <c r="P1467" s="997"/>
    </row>
    <row r="1468" spans="1:16">
      <c r="A1468" s="1023"/>
      <c r="B1468" s="1023"/>
      <c r="C1468" s="1843"/>
      <c r="D1468" s="999"/>
      <c r="E1468" s="999"/>
      <c r="F1468" s="999"/>
      <c r="G1468" s="999"/>
      <c r="H1468" s="999"/>
      <c r="I1468" s="999"/>
      <c r="J1468" s="999"/>
      <c r="K1468" s="999"/>
      <c r="L1468" s="999"/>
      <c r="M1468" s="997"/>
      <c r="N1468" s="997"/>
      <c r="O1468" s="997"/>
      <c r="P1468" s="997"/>
    </row>
    <row r="1469" spans="1:16">
      <c r="A1469" s="1823"/>
      <c r="B1469" s="1098"/>
      <c r="C1469" s="1135" t="s">
        <v>1282</v>
      </c>
      <c r="D1469" s="1114"/>
      <c r="E1469" s="1114"/>
      <c r="F1469" s="1114"/>
      <c r="G1469" s="1114"/>
      <c r="H1469" s="1114"/>
      <c r="I1469" s="1011"/>
      <c r="J1469" s="1114"/>
      <c r="K1469" s="1114"/>
      <c r="L1469" s="1011"/>
    </row>
    <row r="1470" spans="1:16">
      <c r="A1470" s="1823"/>
      <c r="B1470" s="1068"/>
      <c r="C1470" s="1129"/>
      <c r="D1470" s="1114"/>
      <c r="E1470" s="1114"/>
      <c r="F1470" s="1114"/>
      <c r="G1470" s="1114"/>
      <c r="H1470" s="1114"/>
      <c r="I1470" s="1011"/>
      <c r="J1470" s="1114"/>
      <c r="K1470" s="1114"/>
      <c r="L1470" s="1011"/>
    </row>
    <row r="1471" spans="1:16" ht="25.5">
      <c r="A1471" s="1823"/>
      <c r="B1471" s="1098" t="s">
        <v>297</v>
      </c>
      <c r="C1471" s="1821" t="s">
        <v>1258</v>
      </c>
      <c r="D1471" s="1846"/>
      <c r="E1471" s="1846"/>
      <c r="F1471" s="1068"/>
      <c r="G1471" s="1105"/>
      <c r="H1471" s="1098"/>
      <c r="I1471" s="1080"/>
      <c r="J1471" s="1105"/>
      <c r="K1471" s="1098"/>
      <c r="L1471" s="1080"/>
    </row>
    <row r="1472" spans="1:16">
      <c r="A1472" s="1823"/>
      <c r="B1472" s="1098"/>
      <c r="C1472" s="1817" t="s">
        <v>1181</v>
      </c>
      <c r="D1472" s="1132">
        <v>0.125</v>
      </c>
      <c r="E1472" s="1846" t="s">
        <v>484</v>
      </c>
      <c r="F1472" s="1021">
        <f>$I$1425</f>
        <v>6945.6217600000009</v>
      </c>
      <c r="G1472" s="1105">
        <v>1</v>
      </c>
      <c r="H1472" s="1846" t="s">
        <v>484</v>
      </c>
      <c r="I1472" s="1011">
        <f>IF(G1472="",D1472*F1472,(D1472*F1472/G1472))</f>
        <v>868.20272000000011</v>
      </c>
      <c r="J1472" s="1105"/>
      <c r="K1472" s="1846"/>
      <c r="L1472" s="1011"/>
    </row>
    <row r="1473" spans="1:16">
      <c r="A1473" s="1823"/>
      <c r="B1473" s="1098"/>
      <c r="C1473" s="1817"/>
      <c r="D1473" s="1846"/>
      <c r="E1473" s="1846"/>
      <c r="F1473" s="1068"/>
      <c r="G1473" s="1105"/>
      <c r="H1473" s="1846"/>
      <c r="I1473" s="1080"/>
      <c r="J1473" s="1105"/>
      <c r="K1473" s="1846"/>
      <c r="L1473" s="1080"/>
    </row>
    <row r="1474" spans="1:16">
      <c r="A1474" s="1823"/>
      <c r="B1474" s="1098" t="s">
        <v>1215</v>
      </c>
      <c r="C1474" s="1821" t="s">
        <v>1216</v>
      </c>
      <c r="D1474" s="1846"/>
      <c r="E1474" s="1846"/>
      <c r="F1474" s="1068"/>
      <c r="G1474" s="1105"/>
      <c r="H1474" s="1846"/>
      <c r="I1474" s="1080"/>
      <c r="J1474" s="1105"/>
      <c r="K1474" s="1846"/>
      <c r="L1474" s="1080"/>
    </row>
    <row r="1475" spans="1:16">
      <c r="A1475" s="1823"/>
      <c r="B1475" s="1098"/>
      <c r="C1475" s="1816" t="s">
        <v>1217</v>
      </c>
      <c r="D1475" s="1009" t="s">
        <v>1223</v>
      </c>
      <c r="E1475" s="1098" t="s">
        <v>1207</v>
      </c>
      <c r="F1475" s="1102" t="s">
        <v>1208</v>
      </c>
      <c r="G1475" s="1102" t="s">
        <v>1209</v>
      </c>
      <c r="H1475" s="1102" t="s">
        <v>1210</v>
      </c>
      <c r="I1475" s="1102" t="s">
        <v>1211</v>
      </c>
      <c r="J1475" s="1102"/>
      <c r="K1475" s="1102" t="s">
        <v>1213</v>
      </c>
      <c r="L1475" s="1102" t="s">
        <v>1214</v>
      </c>
    </row>
    <row r="1476" spans="1:16">
      <c r="A1476" s="1823"/>
      <c r="B1476" s="1823"/>
      <c r="C1476" s="1817" t="s">
        <v>1218</v>
      </c>
      <c r="D1476" s="1093">
        <f t="shared" ref="D1476:L1476" si="335">$I$1472</f>
        <v>868.20272000000011</v>
      </c>
      <c r="E1476" s="1093">
        <f t="shared" si="335"/>
        <v>868.20272000000011</v>
      </c>
      <c r="F1476" s="1093">
        <f t="shared" si="335"/>
        <v>868.20272000000011</v>
      </c>
      <c r="G1476" s="1093">
        <f t="shared" si="335"/>
        <v>868.20272000000011</v>
      </c>
      <c r="H1476" s="1093">
        <f t="shared" si="335"/>
        <v>868.20272000000011</v>
      </c>
      <c r="I1476" s="1093">
        <f t="shared" si="335"/>
        <v>868.20272000000011</v>
      </c>
      <c r="J1476" s="1093"/>
      <c r="K1476" s="1093">
        <f t="shared" si="335"/>
        <v>868.20272000000011</v>
      </c>
      <c r="L1476" s="1093">
        <f t="shared" si="335"/>
        <v>868.20272000000011</v>
      </c>
      <c r="M1476" s="1003"/>
      <c r="N1476" s="1003"/>
      <c r="O1476" s="1003"/>
      <c r="P1476" s="1003"/>
    </row>
    <row r="1477" spans="1:16">
      <c r="A1477" s="1823"/>
      <c r="B1477" s="1823"/>
      <c r="C1477" s="1817" t="s">
        <v>1182</v>
      </c>
      <c r="D1477" s="1093">
        <f>'Civil-SOR'!$F$280</f>
        <v>177</v>
      </c>
      <c r="E1477" s="1093">
        <f>'Civil-SOR'!$F$280</f>
        <v>177</v>
      </c>
      <c r="F1477" s="1093">
        <f>'Civil-SOR'!$F$280</f>
        <v>177</v>
      </c>
      <c r="G1477" s="1093">
        <f>'Civil-SOR'!$F$280</f>
        <v>177</v>
      </c>
      <c r="H1477" s="1093">
        <f>'Civil-SOR'!$F$280</f>
        <v>177</v>
      </c>
      <c r="I1477" s="1093">
        <f>'Civil-SOR'!$F$280</f>
        <v>177</v>
      </c>
      <c r="J1477" s="1093"/>
      <c r="K1477" s="1093">
        <f>'Civil-SOR'!$F$280</f>
        <v>177</v>
      </c>
      <c r="L1477" s="1093">
        <f>'Civil-SOR'!$F$280</f>
        <v>177</v>
      </c>
      <c r="M1477" s="1003"/>
      <c r="N1477" s="1003"/>
      <c r="O1477" s="1003"/>
      <c r="P1477" s="1003"/>
    </row>
    <row r="1478" spans="1:16">
      <c r="A1478" s="1823"/>
      <c r="B1478" s="1823"/>
      <c r="C1478" s="1817" t="s">
        <v>1260</v>
      </c>
      <c r="D1478" s="1001">
        <f>'Civil-SOR'!$G$280</f>
        <v>199</v>
      </c>
      <c r="E1478" s="1001">
        <f>'Civil-SOR'!$H$280</f>
        <v>219</v>
      </c>
      <c r="F1478" s="1001">
        <f>'Civil-SOR'!$I$280</f>
        <v>239</v>
      </c>
      <c r="G1478" s="1001">
        <f>'Civil-SOR'!$J$280</f>
        <v>259</v>
      </c>
      <c r="H1478" s="1001">
        <f>'Civil-SOR'!$K$280</f>
        <v>279</v>
      </c>
      <c r="I1478" s="1001">
        <f>'Civil-SOR'!$L$280</f>
        <v>299</v>
      </c>
      <c r="J1478" s="1001"/>
      <c r="K1478" s="1001">
        <f>'Civil-SOR'!$N$280</f>
        <v>338</v>
      </c>
      <c r="L1478" s="1001">
        <f>'Civil-SOR'!$O$280</f>
        <v>358</v>
      </c>
      <c r="M1478" s="1003"/>
      <c r="N1478" s="1003"/>
      <c r="O1478" s="1003"/>
      <c r="P1478" s="1003"/>
    </row>
    <row r="1479" spans="1:16">
      <c r="A1479" s="1823"/>
      <c r="B1479" s="1823"/>
      <c r="C1479" s="1817" t="str">
        <f>Input!$C$47</f>
        <v>Add for MA @ 40%</v>
      </c>
      <c r="D1479" s="1093">
        <f>D1478*Input!$D$47</f>
        <v>79.600000000000009</v>
      </c>
      <c r="E1479" s="1093">
        <f>E1478*Input!$D$47</f>
        <v>87.600000000000009</v>
      </c>
      <c r="F1479" s="1093">
        <f>F1478*Input!$D$47</f>
        <v>95.600000000000009</v>
      </c>
      <c r="G1479" s="1093">
        <f>G1478*Input!$D$47</f>
        <v>103.60000000000001</v>
      </c>
      <c r="H1479" s="1093">
        <f>H1478*Input!$D$47</f>
        <v>111.60000000000001</v>
      </c>
      <c r="I1479" s="1093">
        <f>I1478*Input!$D$47</f>
        <v>119.60000000000001</v>
      </c>
      <c r="J1479" s="1093"/>
      <c r="K1479" s="1093">
        <f>K1478*Input!$D$47</f>
        <v>135.20000000000002</v>
      </c>
      <c r="L1479" s="1093">
        <f>L1478*Input!$D$47</f>
        <v>143.20000000000002</v>
      </c>
      <c r="M1479" s="1003"/>
      <c r="N1479" s="1003"/>
      <c r="O1479" s="1003"/>
      <c r="P1479" s="1003"/>
    </row>
    <row r="1480" spans="1:16">
      <c r="A1480" s="1823"/>
      <c r="B1480" s="1823"/>
      <c r="C1480" s="1817" t="s">
        <v>1239</v>
      </c>
      <c r="D1480" s="1093">
        <v>0</v>
      </c>
      <c r="E1480" s="1093">
        <f>$F$1417*D1472*10%</f>
        <v>21.400625000000002</v>
      </c>
      <c r="F1480" s="1093">
        <f>$F$1417*D1472*20%</f>
        <v>42.801250000000003</v>
      </c>
      <c r="G1480" s="1093">
        <f>$F$1417*D1472*30%</f>
        <v>64.201875000000001</v>
      </c>
      <c r="H1480" s="1093">
        <f>$F$1417*$D$1472*40%</f>
        <v>85.602500000000006</v>
      </c>
      <c r="I1480" s="1093">
        <f>$F$1417*$D$1472*50%</f>
        <v>107.003125</v>
      </c>
      <c r="J1480" s="1093"/>
      <c r="K1480" s="1093">
        <f>$F$1417*$D$1472*70%</f>
        <v>149.80437499999999</v>
      </c>
      <c r="L1480" s="1093">
        <f>$F$1417*$D$1472*80%</f>
        <v>171.20500000000001</v>
      </c>
      <c r="M1480" s="1003"/>
      <c r="N1480" s="1003"/>
      <c r="O1480" s="1003"/>
      <c r="P1480" s="1003"/>
    </row>
    <row r="1481" spans="1:16">
      <c r="A1481" s="1823"/>
      <c r="B1481" s="1823"/>
      <c r="C1481" s="1817" t="str">
        <f>Input!$C$47</f>
        <v>Add for MA @ 40%</v>
      </c>
      <c r="D1481" s="1093">
        <f>D1480*Input!D88</f>
        <v>0</v>
      </c>
      <c r="E1481" s="1093">
        <f>E1480*Input!$D$47</f>
        <v>8.5602500000000017</v>
      </c>
      <c r="F1481" s="1093">
        <f>F1480*Input!$D$47</f>
        <v>17.120500000000003</v>
      </c>
      <c r="G1481" s="1093">
        <f>G1480*Input!$D$47</f>
        <v>25.680750000000003</v>
      </c>
      <c r="H1481" s="1093">
        <f>H1480*Input!$D$47</f>
        <v>34.241000000000007</v>
      </c>
      <c r="I1481" s="1093">
        <f>I1480*Input!$D$47</f>
        <v>42.801250000000003</v>
      </c>
      <c r="J1481" s="1093"/>
      <c r="K1481" s="1093">
        <f>K1480*Input!$D$47</f>
        <v>59.921750000000003</v>
      </c>
      <c r="L1481" s="1093">
        <f>L1480*Input!$D$47</f>
        <v>68.482000000000014</v>
      </c>
      <c r="M1481" s="1003"/>
      <c r="N1481" s="1003"/>
      <c r="O1481" s="1003"/>
      <c r="P1481" s="1003"/>
    </row>
    <row r="1482" spans="1:16">
      <c r="A1482" s="1023"/>
      <c r="B1482" s="1023"/>
      <c r="C1482" s="1816" t="s">
        <v>1045</v>
      </c>
      <c r="D1482" s="1829">
        <f t="shared" ref="D1482:L1482" si="336">SUM(D1476:D1481)</f>
        <v>1323.8027200000001</v>
      </c>
      <c r="E1482" s="1829">
        <f t="shared" si="336"/>
        <v>1381.7635950000001</v>
      </c>
      <c r="F1482" s="1829">
        <f t="shared" si="336"/>
        <v>1439.7244700000001</v>
      </c>
      <c r="G1482" s="1829">
        <f t="shared" si="336"/>
        <v>1497.6853450000001</v>
      </c>
      <c r="H1482" s="1829">
        <f t="shared" si="336"/>
        <v>1555.6462200000001</v>
      </c>
      <c r="I1482" s="1829">
        <f t="shared" si="336"/>
        <v>1613.6070950000001</v>
      </c>
      <c r="J1482" s="1829"/>
      <c r="K1482" s="1829">
        <f t="shared" si="336"/>
        <v>1728.1288450000002</v>
      </c>
      <c r="L1482" s="1829">
        <f t="shared" si="336"/>
        <v>1786.0897200000002</v>
      </c>
      <c r="M1482" s="997"/>
      <c r="N1482" s="997"/>
      <c r="O1482" s="997"/>
      <c r="P1482" s="997"/>
    </row>
    <row r="1483" spans="1:16">
      <c r="A1483" s="1823"/>
      <c r="B1483" s="1823"/>
      <c r="C1483" s="1817" t="str">
        <f>Input!$C$48</f>
        <v>Overheads &amp; Contractors Profit @ 13.615%</v>
      </c>
      <c r="D1483" s="1823">
        <f>ROUND(D1482*Input!$D$48,2)</f>
        <v>180.24</v>
      </c>
      <c r="E1483" s="1823">
        <f>ROUND(E1482*Input!$D$48,2)</f>
        <v>188.13</v>
      </c>
      <c r="F1483" s="1823">
        <f>ROUND(F1482*Input!$D$48,2)</f>
        <v>196.02</v>
      </c>
      <c r="G1483" s="1823">
        <f>ROUND(G1482*Input!$D$48,2)</f>
        <v>203.91</v>
      </c>
      <c r="H1483" s="1823">
        <f>ROUND(H1482*Input!$D$48,2)</f>
        <v>211.8</v>
      </c>
      <c r="I1483" s="1823">
        <f>ROUND(I1482*Input!$D$48,2)</f>
        <v>219.69</v>
      </c>
      <c r="J1483" s="1823"/>
      <c r="K1483" s="1823">
        <f>ROUND(K1482*Input!$D$48,2)</f>
        <v>235.28</v>
      </c>
      <c r="L1483" s="1823">
        <f>ROUND(L1482*Input!$D$48,2)</f>
        <v>243.18</v>
      </c>
      <c r="M1483" s="1003"/>
      <c r="N1483" s="1003"/>
      <c r="O1483" s="1003"/>
      <c r="P1483" s="1003"/>
    </row>
    <row r="1484" spans="1:16">
      <c r="A1484" s="1846"/>
      <c r="B1484" s="1846"/>
      <c r="C1484" s="1078" t="s">
        <v>1045</v>
      </c>
      <c r="D1484" s="1096">
        <f t="shared" ref="D1484:L1484" si="337">SUM(D1482:D1483)</f>
        <v>1504.0427200000001</v>
      </c>
      <c r="E1484" s="1096">
        <f t="shared" si="337"/>
        <v>1569.893595</v>
      </c>
      <c r="F1484" s="1096">
        <f t="shared" si="337"/>
        <v>1635.7444700000001</v>
      </c>
      <c r="G1484" s="1096">
        <f t="shared" si="337"/>
        <v>1701.5953450000002</v>
      </c>
      <c r="H1484" s="1096">
        <f t="shared" si="337"/>
        <v>1767.44622</v>
      </c>
      <c r="I1484" s="1096">
        <f t="shared" si="337"/>
        <v>1833.2970950000001</v>
      </c>
      <c r="J1484" s="1021"/>
      <c r="K1484" s="1021">
        <f t="shared" si="337"/>
        <v>1963.4088450000002</v>
      </c>
      <c r="L1484" s="1021">
        <f t="shared" si="337"/>
        <v>2029.2697200000002</v>
      </c>
    </row>
    <row r="1485" spans="1:16">
      <c r="A1485" s="1023"/>
      <c r="B1485" s="1023"/>
      <c r="C1485" s="1843" t="s">
        <v>1034</v>
      </c>
      <c r="D1485" s="999">
        <f t="shared" ref="D1485:L1485" si="338">ROUND(D1484,0)</f>
        <v>1504</v>
      </c>
      <c r="E1485" s="999">
        <f t="shared" si="338"/>
        <v>1570</v>
      </c>
      <c r="F1485" s="999">
        <f t="shared" si="338"/>
        <v>1636</v>
      </c>
      <c r="G1485" s="999">
        <f t="shared" si="338"/>
        <v>1702</v>
      </c>
      <c r="H1485" s="999">
        <f t="shared" si="338"/>
        <v>1767</v>
      </c>
      <c r="I1485" s="999">
        <f t="shared" si="338"/>
        <v>1833</v>
      </c>
      <c r="J1485" s="999"/>
      <c r="K1485" s="999">
        <f t="shared" si="338"/>
        <v>1963</v>
      </c>
      <c r="L1485" s="999">
        <f t="shared" si="338"/>
        <v>2029</v>
      </c>
      <c r="M1485" s="1024"/>
      <c r="N1485" s="1024"/>
      <c r="O1485" s="1024"/>
      <c r="P1485" s="1024"/>
    </row>
    <row r="1486" spans="1:16">
      <c r="A1486" s="1823"/>
      <c r="B1486" s="1068"/>
      <c r="C1486" s="1129"/>
      <c r="D1486" s="1114"/>
      <c r="E1486" s="1114"/>
      <c r="F1486" s="1114"/>
      <c r="G1486" s="1114"/>
      <c r="H1486" s="1114"/>
      <c r="I1486" s="1011"/>
      <c r="J1486" s="1114"/>
      <c r="K1486" s="1114"/>
      <c r="L1486" s="1011"/>
    </row>
    <row r="1487" spans="1:16">
      <c r="A1487" s="1823"/>
      <c r="B1487" s="1831" t="s">
        <v>1221</v>
      </c>
      <c r="C1487" s="1819" t="s">
        <v>1222</v>
      </c>
      <c r="D1487" s="1846"/>
      <c r="E1487" s="1846"/>
      <c r="F1487" s="1068"/>
      <c r="G1487" s="1105"/>
      <c r="H1487" s="1846"/>
      <c r="I1487" s="1080"/>
      <c r="J1487" s="1105"/>
      <c r="K1487" s="1846"/>
      <c r="L1487" s="1080"/>
    </row>
    <row r="1488" spans="1:16">
      <c r="A1488" s="1847"/>
      <c r="B1488" s="1847"/>
      <c r="C1488" s="1816" t="s">
        <v>1217</v>
      </c>
      <c r="D1488" s="1065" t="s">
        <v>1223</v>
      </c>
      <c r="E1488" s="1839" t="s">
        <v>1207</v>
      </c>
      <c r="F1488" s="1040" t="s">
        <v>1208</v>
      </c>
      <c r="G1488" s="1040" t="s">
        <v>1209</v>
      </c>
      <c r="H1488" s="1040" t="s">
        <v>1210</v>
      </c>
      <c r="I1488" s="1040" t="s">
        <v>1211</v>
      </c>
      <c r="J1488" s="1022"/>
      <c r="K1488" s="1022"/>
      <c r="L1488" s="1022"/>
      <c r="M1488" s="1066"/>
      <c r="N1488" s="1066"/>
      <c r="O1488" s="1066"/>
      <c r="P1488" s="1066"/>
    </row>
    <row r="1489" spans="1:16">
      <c r="A1489" s="1847"/>
      <c r="B1489" s="1847"/>
      <c r="C1489" s="1817" t="s">
        <v>1218</v>
      </c>
      <c r="D1489" s="1848">
        <f t="shared" ref="D1489:I1489" si="339">$I$1472</f>
        <v>868.20272000000011</v>
      </c>
      <c r="E1489" s="1848">
        <f t="shared" si="339"/>
        <v>868.20272000000011</v>
      </c>
      <c r="F1489" s="1848">
        <f t="shared" si="339"/>
        <v>868.20272000000011</v>
      </c>
      <c r="G1489" s="1848">
        <f t="shared" si="339"/>
        <v>868.20272000000011</v>
      </c>
      <c r="H1489" s="1848">
        <f t="shared" si="339"/>
        <v>868.20272000000011</v>
      </c>
      <c r="I1489" s="1848">
        <f t="shared" si="339"/>
        <v>868.20272000000011</v>
      </c>
      <c r="J1489" s="1022"/>
      <c r="K1489" s="1022"/>
      <c r="L1489" s="1022"/>
      <c r="M1489" s="1066"/>
      <c r="N1489" s="1066"/>
      <c r="O1489" s="1066"/>
      <c r="P1489" s="1066"/>
    </row>
    <row r="1490" spans="1:16">
      <c r="A1490" s="1847"/>
      <c r="B1490" s="1847"/>
      <c r="C1490" s="1817" t="s">
        <v>1182</v>
      </c>
      <c r="D1490" s="1848">
        <f>'Civil-SOR'!$F$280</f>
        <v>177</v>
      </c>
      <c r="E1490" s="1848">
        <f>'Civil-SOR'!$F$280</f>
        <v>177</v>
      </c>
      <c r="F1490" s="1848">
        <f>'Civil-SOR'!$F$280</f>
        <v>177</v>
      </c>
      <c r="G1490" s="1848">
        <f>'Civil-SOR'!$F$280</f>
        <v>177</v>
      </c>
      <c r="H1490" s="1848">
        <f>'Civil-SOR'!$F$280</f>
        <v>177</v>
      </c>
      <c r="I1490" s="1848">
        <f>'Civil-SOR'!$F$280</f>
        <v>177</v>
      </c>
      <c r="J1490" s="1022"/>
      <c r="K1490" s="1022"/>
      <c r="L1490" s="1022"/>
      <c r="M1490" s="1066"/>
      <c r="N1490" s="1066"/>
      <c r="O1490" s="1066"/>
      <c r="P1490" s="1066"/>
    </row>
    <row r="1491" spans="1:16">
      <c r="A1491" s="1847"/>
      <c r="B1491" s="1847"/>
      <c r="C1491" s="1817" t="s">
        <v>1260</v>
      </c>
      <c r="D1491" s="1062">
        <f>'Civil-SOR'!$G$280</f>
        <v>199</v>
      </c>
      <c r="E1491" s="1062">
        <f>'Civil-SOR'!$H$280</f>
        <v>219</v>
      </c>
      <c r="F1491" s="1062">
        <f>'Civil-SOR'!$I$280</f>
        <v>239</v>
      </c>
      <c r="G1491" s="1062">
        <f>'Civil-SOR'!$J$280</f>
        <v>259</v>
      </c>
      <c r="H1491" s="1062">
        <f>'Civil-SOR'!$K$280</f>
        <v>279</v>
      </c>
      <c r="I1491" s="1062">
        <f>'Civil-SOR'!$L$280</f>
        <v>299</v>
      </c>
      <c r="J1491" s="1022"/>
      <c r="K1491" s="1022"/>
      <c r="L1491" s="1022"/>
      <c r="M1491" s="1066"/>
      <c r="N1491" s="1066"/>
      <c r="O1491" s="1066"/>
      <c r="P1491" s="1066"/>
    </row>
    <row r="1492" spans="1:16">
      <c r="A1492" s="1847"/>
      <c r="B1492" s="1847"/>
      <c r="C1492" s="1817" t="str">
        <f>Input!$C$47</f>
        <v>Add for MA @ 40%</v>
      </c>
      <c r="D1492" s="1848">
        <f>D1491*Input!$D$47</f>
        <v>79.600000000000009</v>
      </c>
      <c r="E1492" s="1848">
        <f>E1491*Input!$D$47</f>
        <v>87.600000000000009</v>
      </c>
      <c r="F1492" s="1848">
        <f>F1491*Input!$D$47</f>
        <v>95.600000000000009</v>
      </c>
      <c r="G1492" s="1848">
        <f>G1491*Input!$D$47</f>
        <v>103.60000000000001</v>
      </c>
      <c r="H1492" s="1848">
        <f>H1491*Input!$D$47</f>
        <v>111.60000000000001</v>
      </c>
      <c r="I1492" s="1848">
        <f>I1491*Input!$D$47</f>
        <v>119.60000000000001</v>
      </c>
      <c r="J1492" s="1022"/>
      <c r="K1492" s="1022"/>
      <c r="L1492" s="1022"/>
      <c r="M1492" s="1066"/>
      <c r="N1492" s="1066"/>
      <c r="O1492" s="1066"/>
      <c r="P1492" s="1066"/>
    </row>
    <row r="1493" spans="1:16" ht="25.5">
      <c r="A1493" s="1847"/>
      <c r="B1493" s="1847"/>
      <c r="C1493" s="1817" t="s">
        <v>1254</v>
      </c>
      <c r="D1493" s="1848">
        <v>0</v>
      </c>
      <c r="E1493" s="1848">
        <f>0.267*$D$1472*'Civil-SOR'!$G$334</f>
        <v>12.639112500000003</v>
      </c>
      <c r="F1493" s="1848">
        <f t="shared" ref="F1493:F1494" si="340">E1493*1.1</f>
        <v>13.903023750000004</v>
      </c>
      <c r="G1493" s="1848">
        <f t="shared" ref="G1493:G1494" si="341">E1493*1.2</f>
        <v>15.166935000000002</v>
      </c>
      <c r="H1493" s="1848">
        <f t="shared" ref="H1493:H1494" si="342">E1493*1.3</f>
        <v>16.430846250000005</v>
      </c>
      <c r="I1493" s="1848">
        <f t="shared" ref="I1493:I1494" si="343">E1493*1.4</f>
        <v>17.694757500000001</v>
      </c>
      <c r="J1493" s="1022"/>
      <c r="K1493" s="1022"/>
      <c r="L1493" s="1022"/>
      <c r="M1493" s="1066"/>
      <c r="N1493" s="1066"/>
      <c r="O1493" s="1066"/>
      <c r="P1493" s="1066"/>
    </row>
    <row r="1494" spans="1:16">
      <c r="A1494" s="1847"/>
      <c r="B1494" s="1847"/>
      <c r="C1494" s="1817" t="s">
        <v>579</v>
      </c>
      <c r="D1494" s="1848"/>
      <c r="E1494" s="1848">
        <f>0.267*$D$1472*'Civil-SOR'!$J$334</f>
        <v>12.02835</v>
      </c>
      <c r="F1494" s="1848">
        <f t="shared" si="340"/>
        <v>13.231185</v>
      </c>
      <c r="G1494" s="1848">
        <f t="shared" si="341"/>
        <v>14.434019999999999</v>
      </c>
      <c r="H1494" s="1848">
        <f t="shared" si="342"/>
        <v>15.636855000000001</v>
      </c>
      <c r="I1494" s="1848">
        <f t="shared" si="343"/>
        <v>16.839689999999997</v>
      </c>
      <c r="J1494" s="1022"/>
      <c r="K1494" s="1022"/>
      <c r="L1494" s="1022"/>
      <c r="M1494" s="1066"/>
      <c r="N1494" s="1066"/>
      <c r="O1494" s="1066"/>
      <c r="P1494" s="1066"/>
    </row>
    <row r="1495" spans="1:16">
      <c r="A1495" s="1847"/>
      <c r="B1495" s="1847"/>
      <c r="C1495" s="1817" t="str">
        <f>Input!$C$47</f>
        <v>Add for MA @ 40%</v>
      </c>
      <c r="D1495" s="1848">
        <f>D1493*Input!D101</f>
        <v>0</v>
      </c>
      <c r="E1495" s="1848">
        <f>E1494*Input!$D$47</f>
        <v>4.8113400000000004</v>
      </c>
      <c r="F1495" s="1848">
        <f>F1494*Input!$D$47</f>
        <v>5.2924740000000003</v>
      </c>
      <c r="G1495" s="1848">
        <f>G1494*Input!$D$47</f>
        <v>5.7736079999999994</v>
      </c>
      <c r="H1495" s="1848">
        <f>H1494*Input!$D$47</f>
        <v>6.2547420000000002</v>
      </c>
      <c r="I1495" s="1848">
        <f>I1494*Input!$D$47</f>
        <v>6.7358759999999993</v>
      </c>
      <c r="J1495" s="1022"/>
      <c r="K1495" s="1022"/>
      <c r="L1495" s="1022"/>
      <c r="M1495" s="1066"/>
      <c r="N1495" s="1066"/>
      <c r="O1495" s="1066"/>
      <c r="P1495" s="1066"/>
    </row>
    <row r="1496" spans="1:16">
      <c r="A1496" s="1847"/>
      <c r="B1496" s="1847"/>
      <c r="C1496" s="1816" t="s">
        <v>1045</v>
      </c>
      <c r="D1496" s="1848">
        <f t="shared" ref="D1496:I1496" si="344">SUM(D1489:D1495)</f>
        <v>1323.8027200000001</v>
      </c>
      <c r="E1496" s="1848">
        <f t="shared" si="344"/>
        <v>1381.2815225000002</v>
      </c>
      <c r="F1496" s="1848">
        <f t="shared" si="344"/>
        <v>1412.2294027500004</v>
      </c>
      <c r="G1496" s="1848">
        <f t="shared" si="344"/>
        <v>1443.177283</v>
      </c>
      <c r="H1496" s="1848">
        <f t="shared" si="344"/>
        <v>1474.1251632500002</v>
      </c>
      <c r="I1496" s="1848">
        <f t="shared" si="344"/>
        <v>1505.0730435</v>
      </c>
      <c r="J1496" s="1022"/>
      <c r="K1496" s="1022"/>
      <c r="L1496" s="1022"/>
      <c r="M1496" s="1066"/>
      <c r="N1496" s="1066"/>
      <c r="O1496" s="1066"/>
      <c r="P1496" s="1066"/>
    </row>
    <row r="1497" spans="1:16">
      <c r="A1497" s="1847"/>
      <c r="B1497" s="1847"/>
      <c r="C1497" s="1817" t="str">
        <f>Input!$C$48</f>
        <v>Overheads &amp; Contractors Profit @ 13.615%</v>
      </c>
      <c r="D1497" s="1847">
        <f>ROUND(D1496*Input!$D$48,2)</f>
        <v>180.24</v>
      </c>
      <c r="E1497" s="1847">
        <f>ROUND(E1496*Input!$D$48,2)</f>
        <v>188.06</v>
      </c>
      <c r="F1497" s="1847">
        <f>ROUND(F1496*Input!$D$48,2)</f>
        <v>192.28</v>
      </c>
      <c r="G1497" s="1847">
        <f>ROUND(G1496*Input!$D$48,2)</f>
        <v>196.49</v>
      </c>
      <c r="H1497" s="1847">
        <f>ROUND(H1496*Input!$D$48,2)</f>
        <v>200.7</v>
      </c>
      <c r="I1497" s="1847">
        <f>ROUND(I1496*Input!$D$48,2)</f>
        <v>204.92</v>
      </c>
      <c r="J1497" s="1022"/>
      <c r="K1497" s="1022"/>
      <c r="L1497" s="1022"/>
      <c r="M1497" s="1066"/>
      <c r="N1497" s="1066"/>
      <c r="O1497" s="1066"/>
      <c r="P1497" s="1066"/>
    </row>
    <row r="1498" spans="1:16">
      <c r="A1498" s="1023"/>
      <c r="B1498" s="1023"/>
      <c r="C1498" s="1816" t="s">
        <v>1045</v>
      </c>
      <c r="D1498" s="1829">
        <f t="shared" ref="D1498:I1498" si="345">SUM(D1496:D1497)</f>
        <v>1504.0427200000001</v>
      </c>
      <c r="E1498" s="1829">
        <f t="shared" si="345"/>
        <v>1569.3415225000001</v>
      </c>
      <c r="F1498" s="1829">
        <f t="shared" si="345"/>
        <v>1604.5094027500004</v>
      </c>
      <c r="G1498" s="1829">
        <f t="shared" si="345"/>
        <v>1639.667283</v>
      </c>
      <c r="H1498" s="1829">
        <f t="shared" si="345"/>
        <v>1674.8251632500003</v>
      </c>
      <c r="I1498" s="1829">
        <f t="shared" si="345"/>
        <v>1709.9930435000001</v>
      </c>
      <c r="J1498" s="996"/>
      <c r="K1498" s="996"/>
      <c r="L1498" s="996"/>
      <c r="M1498" s="997"/>
      <c r="N1498" s="997"/>
      <c r="O1498" s="997"/>
      <c r="P1498" s="997"/>
    </row>
    <row r="1499" spans="1:16">
      <c r="A1499" s="1023"/>
      <c r="B1499" s="1023"/>
      <c r="C1499" s="1843" t="s">
        <v>1034</v>
      </c>
      <c r="D1499" s="999">
        <f t="shared" ref="D1499:I1499" si="346">ROUND(D1498,0)</f>
        <v>1504</v>
      </c>
      <c r="E1499" s="999">
        <f t="shared" si="346"/>
        <v>1569</v>
      </c>
      <c r="F1499" s="999">
        <f t="shared" si="346"/>
        <v>1605</v>
      </c>
      <c r="G1499" s="999">
        <f t="shared" si="346"/>
        <v>1640</v>
      </c>
      <c r="H1499" s="999">
        <f t="shared" si="346"/>
        <v>1675</v>
      </c>
      <c r="I1499" s="999">
        <f t="shared" si="346"/>
        <v>1710</v>
      </c>
      <c r="J1499" s="996"/>
      <c r="K1499" s="996"/>
      <c r="L1499" s="996"/>
      <c r="M1499" s="997"/>
      <c r="N1499" s="997"/>
      <c r="O1499" s="997"/>
      <c r="P1499" s="997"/>
    </row>
    <row r="1500" spans="1:16">
      <c r="A1500" s="1823"/>
      <c r="B1500" s="1068"/>
      <c r="C1500" s="1129"/>
      <c r="D1500" s="1114"/>
      <c r="E1500" s="1114"/>
      <c r="F1500" s="1114"/>
      <c r="G1500" s="1114"/>
      <c r="H1500" s="1114"/>
      <c r="I1500" s="1011"/>
      <c r="J1500" s="1114"/>
      <c r="K1500" s="1114"/>
      <c r="L1500" s="1011"/>
    </row>
    <row r="1501" spans="1:16">
      <c r="A1501" s="1823"/>
      <c r="B1501" s="1068"/>
      <c r="C1501" s="1816" t="s">
        <v>1217</v>
      </c>
      <c r="D1501" s="1102" t="s">
        <v>1212</v>
      </c>
      <c r="E1501" s="1102" t="s">
        <v>1213</v>
      </c>
      <c r="F1501" s="1102" t="s">
        <v>1214</v>
      </c>
      <c r="G1501" s="1114"/>
      <c r="H1501" s="1114"/>
      <c r="I1501" s="1011"/>
      <c r="J1501" s="1114"/>
      <c r="K1501" s="1114"/>
      <c r="L1501" s="1011"/>
    </row>
    <row r="1502" spans="1:16">
      <c r="A1502" s="1823"/>
      <c r="B1502" s="1068"/>
      <c r="C1502" s="1817" t="s">
        <v>1218</v>
      </c>
      <c r="D1502" s="1848">
        <f>$I$1472</f>
        <v>868.20272000000011</v>
      </c>
      <c r="E1502" s="1848">
        <f>$I$1472</f>
        <v>868.20272000000011</v>
      </c>
      <c r="F1502" s="1848">
        <f>$I$1472</f>
        <v>868.20272000000011</v>
      </c>
      <c r="G1502" s="1114"/>
      <c r="H1502" s="1114"/>
      <c r="I1502" s="1011"/>
      <c r="J1502" s="1114"/>
      <c r="K1502" s="1114"/>
      <c r="L1502" s="1011"/>
    </row>
    <row r="1503" spans="1:16">
      <c r="A1503" s="1823"/>
      <c r="B1503" s="1068"/>
      <c r="C1503" s="1817" t="s">
        <v>1182</v>
      </c>
      <c r="D1503" s="1848">
        <f>'Civil-SOR'!$F$280</f>
        <v>177</v>
      </c>
      <c r="E1503" s="1848">
        <f>'Civil-SOR'!$F$280</f>
        <v>177</v>
      </c>
      <c r="F1503" s="1848">
        <f>'Civil-SOR'!$F$280</f>
        <v>177</v>
      </c>
      <c r="G1503" s="1114"/>
      <c r="H1503" s="1114"/>
      <c r="I1503" s="1011"/>
      <c r="J1503" s="1114"/>
      <c r="K1503" s="1114"/>
      <c r="L1503" s="1011"/>
    </row>
    <row r="1504" spans="1:16">
      <c r="A1504" s="1823"/>
      <c r="B1504" s="1068"/>
      <c r="C1504" s="1817" t="s">
        <v>1283</v>
      </c>
      <c r="D1504" s="1062">
        <f>'Civil-SOR'!$M$280</f>
        <v>318</v>
      </c>
      <c r="E1504" s="1062">
        <f>'Civil-SOR'!$N$280</f>
        <v>338</v>
      </c>
      <c r="F1504" s="1062">
        <f>'Civil-SOR'!$O$280</f>
        <v>358</v>
      </c>
      <c r="G1504" s="1114"/>
      <c r="H1504" s="1114"/>
      <c r="I1504" s="1011"/>
      <c r="J1504" s="1114"/>
      <c r="K1504" s="1114"/>
      <c r="L1504" s="1011"/>
    </row>
    <row r="1505" spans="1:16">
      <c r="A1505" s="1823"/>
      <c r="B1505" s="1068"/>
      <c r="C1505" s="1817" t="str">
        <f>Input!$C$47</f>
        <v>Add for MA @ 40%</v>
      </c>
      <c r="D1505" s="1848">
        <f>D1504*Input!$D$47</f>
        <v>127.2</v>
      </c>
      <c r="E1505" s="1848">
        <f>E1504*Input!$D$47</f>
        <v>135.20000000000002</v>
      </c>
      <c r="F1505" s="1848">
        <f>F1504*Input!$D$47</f>
        <v>143.20000000000002</v>
      </c>
      <c r="G1505" s="1114"/>
      <c r="H1505" s="1114"/>
      <c r="I1505" s="1011"/>
      <c r="J1505" s="1114"/>
      <c r="K1505" s="1114"/>
      <c r="L1505" s="1011"/>
    </row>
    <row r="1506" spans="1:16" ht="25.5">
      <c r="A1506" s="1823"/>
      <c r="B1506" s="1068"/>
      <c r="C1506" s="1817" t="s">
        <v>1254</v>
      </c>
      <c r="D1506" s="1848">
        <f t="shared" ref="D1506:D1507" si="347">E1493*1.5</f>
        <v>18.958668750000005</v>
      </c>
      <c r="E1506" s="1848">
        <f t="shared" ref="E1506:E1507" si="348">E1493*1.6</f>
        <v>20.222580000000008</v>
      </c>
      <c r="F1506" s="1848">
        <f t="shared" ref="F1506:F1507" si="349">E1493*1.7</f>
        <v>21.486491250000004</v>
      </c>
      <c r="G1506" s="1114"/>
      <c r="H1506" s="1114"/>
      <c r="I1506" s="1011"/>
      <c r="J1506" s="1114"/>
      <c r="K1506" s="1114"/>
      <c r="L1506" s="1011"/>
    </row>
    <row r="1507" spans="1:16">
      <c r="A1507" s="1823"/>
      <c r="B1507" s="1068"/>
      <c r="C1507" s="1817" t="s">
        <v>579</v>
      </c>
      <c r="D1507" s="1848">
        <f t="shared" si="347"/>
        <v>18.042524999999998</v>
      </c>
      <c r="E1507" s="1848">
        <f t="shared" si="348"/>
        <v>19.245360000000002</v>
      </c>
      <c r="F1507" s="1848">
        <f t="shared" si="349"/>
        <v>20.448194999999998</v>
      </c>
      <c r="G1507" s="1114"/>
      <c r="H1507" s="1114"/>
      <c r="I1507" s="1011"/>
      <c r="J1507" s="1114"/>
      <c r="K1507" s="1114"/>
      <c r="L1507" s="1011"/>
    </row>
    <row r="1508" spans="1:16">
      <c r="A1508" s="1823"/>
      <c r="B1508" s="1068"/>
      <c r="C1508" s="1817" t="str">
        <f>Input!$C$47</f>
        <v>Add for MA @ 40%</v>
      </c>
      <c r="D1508" s="1848">
        <f>D1507*Input!$D$47</f>
        <v>7.2170099999999993</v>
      </c>
      <c r="E1508" s="1848">
        <f>E1507*Input!$D$47</f>
        <v>7.698144000000001</v>
      </c>
      <c r="F1508" s="1848">
        <f>F1507*Input!$D$47</f>
        <v>8.179278</v>
      </c>
      <c r="G1508" s="1114"/>
      <c r="H1508" s="1114"/>
      <c r="I1508" s="1011"/>
      <c r="J1508" s="1114"/>
      <c r="K1508" s="1114"/>
      <c r="L1508" s="1011"/>
    </row>
    <row r="1509" spans="1:16">
      <c r="A1509" s="1823"/>
      <c r="B1509" s="1068"/>
      <c r="C1509" s="1816" t="s">
        <v>1045</v>
      </c>
      <c r="D1509" s="1848">
        <f>SUM(D1502:D1508)</f>
        <v>1534.6209237500004</v>
      </c>
      <c r="E1509" s="1848">
        <f>SUM(E1502:E1508)</f>
        <v>1565.5688040000002</v>
      </c>
      <c r="F1509" s="1848">
        <f>SUM(F1502:F1508)</f>
        <v>1596.5166842500003</v>
      </c>
      <c r="G1509" s="1114"/>
      <c r="H1509" s="1114"/>
      <c r="I1509" s="1011"/>
      <c r="J1509" s="1114"/>
      <c r="K1509" s="1114"/>
      <c r="L1509" s="1011"/>
    </row>
    <row r="1510" spans="1:16">
      <c r="A1510" s="1823"/>
      <c r="B1510" s="1068"/>
      <c r="C1510" s="1817" t="str">
        <f>Input!$C$48</f>
        <v>Overheads &amp; Contractors Profit @ 13.615%</v>
      </c>
      <c r="D1510" s="1847">
        <f>ROUND(D1509*Input!$D$48,2)</f>
        <v>208.94</v>
      </c>
      <c r="E1510" s="1847">
        <f>ROUND(E1509*Input!$D$48,2)</f>
        <v>213.15</v>
      </c>
      <c r="F1510" s="1847">
        <f>ROUND(F1509*Input!$D$48,2)</f>
        <v>217.37</v>
      </c>
      <c r="G1510" s="1114"/>
      <c r="H1510" s="1114"/>
      <c r="I1510" s="1011"/>
      <c r="J1510" s="1114"/>
      <c r="K1510" s="1114"/>
      <c r="L1510" s="1011"/>
    </row>
    <row r="1511" spans="1:16">
      <c r="A1511" s="1823"/>
      <c r="B1511" s="1068"/>
      <c r="C1511" s="1816" t="s">
        <v>1045</v>
      </c>
      <c r="D1511" s="1829">
        <f>SUM(D1509:D1510)</f>
        <v>1743.5609237500005</v>
      </c>
      <c r="E1511" s="1829">
        <f>SUM(E1509:E1510)</f>
        <v>1778.7188040000003</v>
      </c>
      <c r="F1511" s="1829">
        <f>SUM(F1509:F1510)</f>
        <v>1813.8866842500001</v>
      </c>
      <c r="G1511" s="1114"/>
      <c r="H1511" s="1114"/>
      <c r="I1511" s="1011"/>
      <c r="J1511" s="1114"/>
      <c r="K1511" s="1114"/>
      <c r="L1511" s="1011"/>
    </row>
    <row r="1512" spans="1:16">
      <c r="A1512" s="1823"/>
      <c r="B1512" s="1068"/>
      <c r="C1512" s="1843" t="s">
        <v>1034</v>
      </c>
      <c r="D1512" s="999">
        <f>ROUND(D1511,0)</f>
        <v>1744</v>
      </c>
      <c r="E1512" s="999">
        <f>ROUND(E1511,0)</f>
        <v>1779</v>
      </c>
      <c r="F1512" s="999">
        <f>ROUND(F1511,0)</f>
        <v>1814</v>
      </c>
      <c r="G1512" s="1114"/>
      <c r="H1512" s="1114"/>
      <c r="I1512" s="1011"/>
      <c r="J1512" s="1114"/>
      <c r="K1512" s="1114"/>
      <c r="L1512" s="1011"/>
    </row>
    <row r="1513" spans="1:16">
      <c r="A1513" s="1823"/>
      <c r="B1513" s="1068"/>
      <c r="C1513" s="1129"/>
      <c r="D1513" s="1114"/>
      <c r="E1513" s="1114"/>
      <c r="F1513" s="1114"/>
      <c r="G1513" s="1114"/>
      <c r="H1513" s="1114"/>
      <c r="I1513" s="1011"/>
      <c r="J1513" s="1114"/>
      <c r="K1513" s="1114"/>
      <c r="L1513" s="1011"/>
    </row>
    <row r="1514" spans="1:16">
      <c r="A1514" s="1823"/>
      <c r="B1514" s="1098" t="s">
        <v>430</v>
      </c>
      <c r="C1514" s="1821" t="s">
        <v>1265</v>
      </c>
      <c r="D1514" s="1846"/>
      <c r="E1514" s="1846"/>
      <c r="F1514" s="1068"/>
      <c r="G1514" s="1105"/>
      <c r="H1514" s="1098"/>
      <c r="I1514" s="1080"/>
      <c r="J1514" s="1105"/>
      <c r="K1514" s="1098"/>
      <c r="L1514" s="1080"/>
    </row>
    <row r="1515" spans="1:16">
      <c r="A1515" s="1823"/>
      <c r="B1515" s="1068"/>
      <c r="C1515" s="1817" t="s">
        <v>1181</v>
      </c>
      <c r="D1515" s="1096">
        <v>0.15</v>
      </c>
      <c r="E1515" s="1846" t="s">
        <v>484</v>
      </c>
      <c r="F1515" s="1021">
        <f>$I$1425</f>
        <v>6945.6217600000009</v>
      </c>
      <c r="G1515" s="1105">
        <v>1</v>
      </c>
      <c r="H1515" s="1846" t="s">
        <v>484</v>
      </c>
      <c r="I1515" s="1011">
        <f>IF(G1515="",D1515*F1515,(D1515*F1515/G1515))</f>
        <v>1041.8432640000001</v>
      </c>
      <c r="J1515" s="1105"/>
      <c r="K1515" s="1846"/>
      <c r="L1515" s="1011"/>
    </row>
    <row r="1516" spans="1:16">
      <c r="A1516" s="1823"/>
      <c r="B1516" s="1068"/>
      <c r="C1516" s="1817"/>
      <c r="D1516" s="1096"/>
      <c r="E1516" s="1846"/>
      <c r="F1516" s="1021"/>
      <c r="G1516" s="1105"/>
      <c r="H1516" s="1846"/>
      <c r="I1516" s="1011"/>
      <c r="J1516" s="1105"/>
      <c r="K1516" s="1846"/>
      <c r="L1516" s="1011"/>
    </row>
    <row r="1517" spans="1:16">
      <c r="A1517" s="1823"/>
      <c r="B1517" s="1098" t="s">
        <v>1215</v>
      </c>
      <c r="C1517" s="2056" t="s">
        <v>1284</v>
      </c>
      <c r="D1517" s="2056"/>
      <c r="E1517" s="2056"/>
      <c r="F1517" s="1068"/>
      <c r="G1517" s="1105"/>
      <c r="H1517" s="1846"/>
      <c r="I1517" s="1080"/>
      <c r="J1517" s="1105"/>
      <c r="K1517" s="1846"/>
      <c r="L1517" s="1080"/>
    </row>
    <row r="1518" spans="1:16">
      <c r="A1518" s="1823"/>
      <c r="B1518" s="1068"/>
      <c r="C1518" s="1816" t="s">
        <v>1217</v>
      </c>
      <c r="D1518" s="1009" t="s">
        <v>1223</v>
      </c>
      <c r="E1518" s="1098" t="s">
        <v>1207</v>
      </c>
      <c r="F1518" s="1102" t="s">
        <v>1208</v>
      </c>
      <c r="G1518" s="1102" t="s">
        <v>1209</v>
      </c>
      <c r="H1518" s="1102" t="s">
        <v>1210</v>
      </c>
      <c r="I1518" s="1102" t="s">
        <v>1211</v>
      </c>
      <c r="J1518" s="1102"/>
      <c r="K1518" s="1102" t="s">
        <v>1213</v>
      </c>
      <c r="L1518" s="1102" t="s">
        <v>1214</v>
      </c>
    </row>
    <row r="1519" spans="1:16">
      <c r="A1519" s="1823"/>
      <c r="B1519" s="1068"/>
      <c r="C1519" s="1817" t="s">
        <v>1218</v>
      </c>
      <c r="D1519" s="1093">
        <f t="shared" ref="D1519:L1519" si="350">$I$1515</f>
        <v>1041.8432640000001</v>
      </c>
      <c r="E1519" s="1093">
        <f t="shared" si="350"/>
        <v>1041.8432640000001</v>
      </c>
      <c r="F1519" s="1093">
        <f t="shared" si="350"/>
        <v>1041.8432640000001</v>
      </c>
      <c r="G1519" s="1093">
        <f t="shared" si="350"/>
        <v>1041.8432640000001</v>
      </c>
      <c r="H1519" s="1093">
        <f t="shared" si="350"/>
        <v>1041.8432640000001</v>
      </c>
      <c r="I1519" s="1093">
        <f t="shared" si="350"/>
        <v>1041.8432640000001</v>
      </c>
      <c r="J1519" s="1093"/>
      <c r="K1519" s="1093">
        <f t="shared" si="350"/>
        <v>1041.8432640000001</v>
      </c>
      <c r="L1519" s="1093">
        <f t="shared" si="350"/>
        <v>1041.8432640000001</v>
      </c>
    </row>
    <row r="1520" spans="1:16">
      <c r="A1520" s="1823"/>
      <c r="B1520" s="1823"/>
      <c r="C1520" s="1817" t="s">
        <v>1182</v>
      </c>
      <c r="D1520" s="1093">
        <f>'Civil-SOR'!$F$280</f>
        <v>177</v>
      </c>
      <c r="E1520" s="1093">
        <f>'Civil-SOR'!$F$280</f>
        <v>177</v>
      </c>
      <c r="F1520" s="1093">
        <f>'Civil-SOR'!$F$280</f>
        <v>177</v>
      </c>
      <c r="G1520" s="1093">
        <f>'Civil-SOR'!$F$280</f>
        <v>177</v>
      </c>
      <c r="H1520" s="1093">
        <f>'Civil-SOR'!$F$280</f>
        <v>177</v>
      </c>
      <c r="I1520" s="1093">
        <f>'Civil-SOR'!$F$280</f>
        <v>177</v>
      </c>
      <c r="J1520" s="1093"/>
      <c r="K1520" s="1093">
        <f>'Civil-SOR'!$F$280</f>
        <v>177</v>
      </c>
      <c r="L1520" s="1093">
        <f>'Civil-SOR'!$F$280</f>
        <v>177</v>
      </c>
      <c r="M1520" s="1003"/>
      <c r="N1520" s="1003"/>
      <c r="O1520" s="1003"/>
      <c r="P1520" s="1003"/>
    </row>
    <row r="1521" spans="1:16">
      <c r="A1521" s="1823"/>
      <c r="B1521" s="1823"/>
      <c r="C1521" s="1817" t="s">
        <v>1269</v>
      </c>
      <c r="D1521" s="1001">
        <f>'Civil-SOR'!$G$280</f>
        <v>199</v>
      </c>
      <c r="E1521" s="1001">
        <f>'Civil-SOR'!$H$280</f>
        <v>219</v>
      </c>
      <c r="F1521" s="1001">
        <f>'Civil-SOR'!$I$280</f>
        <v>239</v>
      </c>
      <c r="G1521" s="1001">
        <f>'Civil-SOR'!$J$280</f>
        <v>259</v>
      </c>
      <c r="H1521" s="1001">
        <f>'Civil-SOR'!$K$280</f>
        <v>279</v>
      </c>
      <c r="I1521" s="1001">
        <f>'Civil-SOR'!$L$280</f>
        <v>299</v>
      </c>
      <c r="J1521" s="1001"/>
      <c r="K1521" s="1001">
        <f>'Civil-SOR'!$N$280</f>
        <v>338</v>
      </c>
      <c r="L1521" s="1001">
        <f>'Civil-SOR'!$O$280</f>
        <v>358</v>
      </c>
      <c r="M1521" s="1003"/>
      <c r="N1521" s="1003"/>
      <c r="O1521" s="1003"/>
      <c r="P1521" s="1003"/>
    </row>
    <row r="1522" spans="1:16">
      <c r="A1522" s="1823"/>
      <c r="B1522" s="1823"/>
      <c r="C1522" s="1817" t="str">
        <f>Input!$C$47</f>
        <v>Add for MA @ 40%</v>
      </c>
      <c r="D1522" s="1093">
        <f>D1521*Input!$D$47</f>
        <v>79.600000000000009</v>
      </c>
      <c r="E1522" s="1093">
        <f>E1521*Input!$D$47</f>
        <v>87.600000000000009</v>
      </c>
      <c r="F1522" s="1093">
        <f>F1521*Input!$D$47</f>
        <v>95.600000000000009</v>
      </c>
      <c r="G1522" s="1093">
        <f>G1521*Input!$D$47</f>
        <v>103.60000000000001</v>
      </c>
      <c r="H1522" s="1093">
        <f>H1521*Input!$D$47</f>
        <v>111.60000000000001</v>
      </c>
      <c r="I1522" s="1093">
        <f>I1521*Input!$D$47</f>
        <v>119.60000000000001</v>
      </c>
      <c r="J1522" s="1093"/>
      <c r="K1522" s="1093">
        <f>K1521*Input!$D$47</f>
        <v>135.20000000000002</v>
      </c>
      <c r="L1522" s="1093">
        <f>L1521*Input!$D$47</f>
        <v>143.20000000000002</v>
      </c>
      <c r="M1522" s="1003"/>
      <c r="N1522" s="1003"/>
      <c r="O1522" s="1003"/>
      <c r="P1522" s="1003"/>
    </row>
    <row r="1523" spans="1:16">
      <c r="A1523" s="1823"/>
      <c r="B1523" s="1823"/>
      <c r="C1523" s="1817" t="s">
        <v>1239</v>
      </c>
      <c r="D1523" s="1093">
        <v>0</v>
      </c>
      <c r="E1523" s="1093">
        <f>$F$1417*D1515*10%</f>
        <v>25.680750000000003</v>
      </c>
      <c r="F1523" s="1093">
        <f>$F$1417*D1515*20%</f>
        <v>51.361500000000007</v>
      </c>
      <c r="G1523" s="1093">
        <f>$F$1417*D1515*30%</f>
        <v>77.042249999999996</v>
      </c>
      <c r="H1523" s="1093">
        <f>$F$1417*D1515*40%</f>
        <v>102.72300000000001</v>
      </c>
      <c r="I1523" s="1093">
        <f>$F$1417*D1515*50%</f>
        <v>128.40375</v>
      </c>
      <c r="J1523" s="1093"/>
      <c r="K1523" s="1093">
        <f>$F$1417*D1515*70%</f>
        <v>179.76524999999998</v>
      </c>
      <c r="L1523" s="1093">
        <f>$F$1417*D1515*80%</f>
        <v>205.44600000000003</v>
      </c>
      <c r="M1523" s="1003"/>
      <c r="N1523" s="1003"/>
      <c r="O1523" s="1003"/>
      <c r="P1523" s="1003"/>
    </row>
    <row r="1524" spans="1:16">
      <c r="A1524" s="1823"/>
      <c r="B1524" s="1823"/>
      <c r="C1524" s="1817" t="str">
        <f>Input!$C$47</f>
        <v>Add for MA @ 40%</v>
      </c>
      <c r="D1524" s="1093">
        <f>D1523*Input!D107</f>
        <v>0</v>
      </c>
      <c r="E1524" s="1093">
        <f>E1523*Input!$D$47</f>
        <v>10.272300000000001</v>
      </c>
      <c r="F1524" s="1093">
        <f>F1523*Input!$D$47</f>
        <v>20.544600000000003</v>
      </c>
      <c r="G1524" s="1093">
        <f>G1523*Input!$D$47</f>
        <v>30.8169</v>
      </c>
      <c r="H1524" s="1093">
        <f>H1523*Input!$D$47</f>
        <v>41.089200000000005</v>
      </c>
      <c r="I1524" s="1093">
        <f>I1523*Input!$D$47</f>
        <v>51.361500000000007</v>
      </c>
      <c r="J1524" s="1093"/>
      <c r="K1524" s="1093">
        <f>K1523*Input!$D$47</f>
        <v>71.906099999999995</v>
      </c>
      <c r="L1524" s="1093">
        <f>L1523*Input!$D$47</f>
        <v>82.178400000000011</v>
      </c>
      <c r="M1524" s="1003"/>
      <c r="N1524" s="1003"/>
      <c r="O1524" s="1003"/>
      <c r="P1524" s="1003"/>
    </row>
    <row r="1525" spans="1:16">
      <c r="A1525" s="1823"/>
      <c r="B1525" s="1823"/>
      <c r="C1525" s="1816" t="s">
        <v>1045</v>
      </c>
      <c r="D1525" s="1093">
        <f t="shared" ref="D1525:L1525" si="351">SUM(D1519:D1524)</f>
        <v>1497.443264</v>
      </c>
      <c r="E1525" s="1093">
        <f t="shared" si="351"/>
        <v>1561.3963140000001</v>
      </c>
      <c r="F1525" s="1093">
        <f t="shared" si="351"/>
        <v>1625.3493639999999</v>
      </c>
      <c r="G1525" s="1093">
        <f t="shared" si="351"/>
        <v>1689.302414</v>
      </c>
      <c r="H1525" s="1093">
        <f t="shared" si="351"/>
        <v>1753.2554639999998</v>
      </c>
      <c r="I1525" s="1093">
        <f t="shared" si="351"/>
        <v>1817.2085139999999</v>
      </c>
      <c r="J1525" s="1093"/>
      <c r="K1525" s="1093">
        <f t="shared" si="351"/>
        <v>1943.714614</v>
      </c>
      <c r="L1525" s="1093">
        <f t="shared" si="351"/>
        <v>2007.6676640000003</v>
      </c>
      <c r="M1525" s="1003"/>
      <c r="N1525" s="1003"/>
      <c r="O1525" s="1003"/>
      <c r="P1525" s="1003"/>
    </row>
    <row r="1526" spans="1:16">
      <c r="A1526" s="1823"/>
      <c r="B1526" s="1823"/>
      <c r="C1526" s="1817" t="str">
        <f>Input!$C$48</f>
        <v>Overheads &amp; Contractors Profit @ 13.615%</v>
      </c>
      <c r="D1526" s="1823">
        <f>ROUND(D1525*Input!$D$48,2)</f>
        <v>203.88</v>
      </c>
      <c r="E1526" s="1823">
        <f>ROUND(E1525*Input!$D$48,2)</f>
        <v>212.58</v>
      </c>
      <c r="F1526" s="1823">
        <f>ROUND(F1525*Input!$D$48,2)</f>
        <v>221.29</v>
      </c>
      <c r="G1526" s="1823">
        <f>ROUND(G1525*Input!$D$48,2)</f>
        <v>230</v>
      </c>
      <c r="H1526" s="1823">
        <f>ROUND(H1525*Input!$D$48,2)</f>
        <v>238.71</v>
      </c>
      <c r="I1526" s="1823">
        <f>ROUND(I1525*Input!$D$48,2)</f>
        <v>247.41</v>
      </c>
      <c r="J1526" s="1823"/>
      <c r="K1526" s="1823">
        <f>ROUND(K1525*Input!$D$48,2)</f>
        <v>264.64</v>
      </c>
      <c r="L1526" s="1823">
        <f>ROUND(L1525*Input!$D$48,2)</f>
        <v>273.33999999999997</v>
      </c>
      <c r="M1526" s="1003"/>
      <c r="N1526" s="1003"/>
      <c r="O1526" s="1003"/>
      <c r="P1526" s="1003"/>
    </row>
    <row r="1527" spans="1:16">
      <c r="A1527" s="1023"/>
      <c r="B1527" s="1023"/>
      <c r="C1527" s="1816" t="s">
        <v>1045</v>
      </c>
      <c r="D1527" s="1829">
        <f t="shared" ref="D1527:L1527" si="352">SUM(D1525:D1526)</f>
        <v>1701.3232640000001</v>
      </c>
      <c r="E1527" s="1829">
        <f t="shared" si="352"/>
        <v>1773.976314</v>
      </c>
      <c r="F1527" s="1829">
        <f t="shared" si="352"/>
        <v>1846.6393639999999</v>
      </c>
      <c r="G1527" s="1829">
        <f t="shared" si="352"/>
        <v>1919.302414</v>
      </c>
      <c r="H1527" s="1829">
        <f t="shared" si="352"/>
        <v>1991.9654639999999</v>
      </c>
      <c r="I1527" s="1829">
        <f t="shared" si="352"/>
        <v>2064.6185139999998</v>
      </c>
      <c r="J1527" s="1829"/>
      <c r="K1527" s="1829">
        <f t="shared" si="352"/>
        <v>2208.3546139999999</v>
      </c>
      <c r="L1527" s="1829">
        <f t="shared" si="352"/>
        <v>2281.0076640000002</v>
      </c>
      <c r="M1527" s="997"/>
      <c r="N1527" s="997"/>
      <c r="O1527" s="997"/>
      <c r="P1527" s="997"/>
    </row>
    <row r="1528" spans="1:16">
      <c r="A1528" s="1023"/>
      <c r="B1528" s="1023"/>
      <c r="C1528" s="1843" t="s">
        <v>1034</v>
      </c>
      <c r="D1528" s="999">
        <f t="shared" ref="D1528:L1528" si="353">ROUND(D1527,0)</f>
        <v>1701</v>
      </c>
      <c r="E1528" s="999">
        <f t="shared" si="353"/>
        <v>1774</v>
      </c>
      <c r="F1528" s="999">
        <f t="shared" si="353"/>
        <v>1847</v>
      </c>
      <c r="G1528" s="999">
        <f t="shared" si="353"/>
        <v>1919</v>
      </c>
      <c r="H1528" s="999">
        <f t="shared" si="353"/>
        <v>1992</v>
      </c>
      <c r="I1528" s="999">
        <f t="shared" si="353"/>
        <v>2065</v>
      </c>
      <c r="J1528" s="999"/>
      <c r="K1528" s="999">
        <f t="shared" si="353"/>
        <v>2208</v>
      </c>
      <c r="L1528" s="999">
        <f t="shared" si="353"/>
        <v>2281</v>
      </c>
      <c r="M1528" s="997"/>
      <c r="N1528" s="997"/>
      <c r="O1528" s="997"/>
      <c r="P1528" s="997"/>
    </row>
    <row r="1529" spans="1:16">
      <c r="A1529" s="1823"/>
      <c r="B1529" s="1068"/>
      <c r="C1529" s="1129"/>
      <c r="D1529" s="1114"/>
      <c r="E1529" s="1114"/>
      <c r="F1529" s="1114"/>
      <c r="G1529" s="1114"/>
      <c r="H1529" s="1114"/>
      <c r="I1529" s="1011"/>
      <c r="J1529" s="1114"/>
      <c r="K1529" s="1114"/>
      <c r="L1529" s="1011"/>
    </row>
    <row r="1530" spans="1:16">
      <c r="A1530" s="1823"/>
      <c r="B1530" s="1098" t="s">
        <v>1221</v>
      </c>
      <c r="C1530" s="1821" t="s">
        <v>1222</v>
      </c>
      <c r="D1530" s="1846"/>
      <c r="E1530" s="1846"/>
      <c r="F1530" s="1068"/>
      <c r="G1530" s="1105"/>
      <c r="H1530" s="1846"/>
      <c r="I1530" s="1080"/>
      <c r="J1530" s="1105"/>
      <c r="K1530" s="1846"/>
      <c r="L1530" s="1080"/>
    </row>
    <row r="1531" spans="1:16">
      <c r="A1531" s="1823"/>
      <c r="B1531" s="1068"/>
      <c r="C1531" s="1816" t="s">
        <v>1217</v>
      </c>
      <c r="D1531" s="1098" t="s">
        <v>1268</v>
      </c>
      <c r="E1531" s="1098" t="s">
        <v>1207</v>
      </c>
      <c r="F1531" s="1102" t="s">
        <v>1208</v>
      </c>
      <c r="G1531" s="1102" t="s">
        <v>1209</v>
      </c>
      <c r="H1531" s="1102" t="s">
        <v>1210</v>
      </c>
      <c r="I1531" s="1102" t="s">
        <v>1211</v>
      </c>
      <c r="J1531" s="1846"/>
      <c r="K1531" s="1846"/>
      <c r="L1531" s="1846"/>
    </row>
    <row r="1532" spans="1:16">
      <c r="A1532" s="1823"/>
      <c r="B1532" s="1823"/>
      <c r="C1532" s="1817" t="s">
        <v>1218</v>
      </c>
      <c r="D1532" s="1093">
        <f t="shared" ref="D1532:I1532" si="354">$I$1515</f>
        <v>1041.8432640000001</v>
      </c>
      <c r="E1532" s="1093">
        <f t="shared" si="354"/>
        <v>1041.8432640000001</v>
      </c>
      <c r="F1532" s="1093">
        <f t="shared" si="354"/>
        <v>1041.8432640000001</v>
      </c>
      <c r="G1532" s="1093">
        <f t="shared" si="354"/>
        <v>1041.8432640000001</v>
      </c>
      <c r="H1532" s="1093">
        <f t="shared" si="354"/>
        <v>1041.8432640000001</v>
      </c>
      <c r="I1532" s="1093">
        <f t="shared" si="354"/>
        <v>1041.8432640000001</v>
      </c>
      <c r="J1532" s="1002"/>
      <c r="K1532" s="1002"/>
      <c r="L1532" s="1002"/>
      <c r="M1532" s="1003"/>
      <c r="N1532" s="1003"/>
      <c r="O1532" s="1003"/>
      <c r="P1532" s="1003"/>
    </row>
    <row r="1533" spans="1:16">
      <c r="A1533" s="1823"/>
      <c r="B1533" s="1823"/>
      <c r="C1533" s="1817" t="s">
        <v>1182</v>
      </c>
      <c r="D1533" s="1093">
        <f>'Civil-SOR'!$F$280</f>
        <v>177</v>
      </c>
      <c r="E1533" s="1093">
        <f>'Civil-SOR'!$F$280</f>
        <v>177</v>
      </c>
      <c r="F1533" s="1093">
        <f>'Civil-SOR'!$F$280</f>
        <v>177</v>
      </c>
      <c r="G1533" s="1093">
        <f>'Civil-SOR'!$F$280</f>
        <v>177</v>
      </c>
      <c r="H1533" s="1093">
        <f>'Civil-SOR'!$F$280</f>
        <v>177</v>
      </c>
      <c r="I1533" s="1093">
        <f>'Civil-SOR'!$F$280</f>
        <v>177</v>
      </c>
      <c r="J1533" s="1002"/>
      <c r="K1533" s="1002"/>
      <c r="L1533" s="1002"/>
      <c r="M1533" s="1003"/>
      <c r="N1533" s="1003"/>
      <c r="O1533" s="1003"/>
      <c r="P1533" s="1003"/>
    </row>
    <row r="1534" spans="1:16">
      <c r="A1534" s="1823"/>
      <c r="B1534" s="1823"/>
      <c r="C1534" s="1817" t="s">
        <v>1269</v>
      </c>
      <c r="D1534" s="1001">
        <f>'Civil-SOR'!$G$280</f>
        <v>199</v>
      </c>
      <c r="E1534" s="1001">
        <f>'Civil-SOR'!$H$280</f>
        <v>219</v>
      </c>
      <c r="F1534" s="1001">
        <f>'Civil-SOR'!$I$280</f>
        <v>239</v>
      </c>
      <c r="G1534" s="1001">
        <f>'Civil-SOR'!$J$280</f>
        <v>259</v>
      </c>
      <c r="H1534" s="1001">
        <f>'Civil-SOR'!$K$280</f>
        <v>279</v>
      </c>
      <c r="I1534" s="1001">
        <f>'Civil-SOR'!$L$280</f>
        <v>299</v>
      </c>
      <c r="J1534" s="1002"/>
      <c r="K1534" s="1002"/>
      <c r="L1534" s="1002"/>
      <c r="M1534" s="1003"/>
      <c r="N1534" s="1003"/>
      <c r="O1534" s="1003"/>
      <c r="P1534" s="1003"/>
    </row>
    <row r="1535" spans="1:16">
      <c r="A1535" s="1823"/>
      <c r="B1535" s="1823"/>
      <c r="C1535" s="1817" t="str">
        <f>Input!$C$47</f>
        <v>Add for MA @ 40%</v>
      </c>
      <c r="D1535" s="1093">
        <f>D1534*Input!$D$47</f>
        <v>79.600000000000009</v>
      </c>
      <c r="E1535" s="1093">
        <f>E1534*Input!$D$47</f>
        <v>87.600000000000009</v>
      </c>
      <c r="F1535" s="1093">
        <f>F1534*Input!$D$47</f>
        <v>95.600000000000009</v>
      </c>
      <c r="G1535" s="1093">
        <f>G1534*Input!$D$47</f>
        <v>103.60000000000001</v>
      </c>
      <c r="H1535" s="1093">
        <f>H1534*Input!$D$47</f>
        <v>111.60000000000001</v>
      </c>
      <c r="I1535" s="1093">
        <f>I1534*Input!$D$47</f>
        <v>119.60000000000001</v>
      </c>
      <c r="J1535" s="1002"/>
      <c r="K1535" s="1002"/>
      <c r="L1535" s="1002"/>
      <c r="M1535" s="1003"/>
      <c r="N1535" s="1003"/>
      <c r="O1535" s="1003"/>
      <c r="P1535" s="1003"/>
    </row>
    <row r="1536" spans="1:16" ht="25.5">
      <c r="A1536" s="1823"/>
      <c r="B1536" s="1823"/>
      <c r="C1536" s="1817" t="s">
        <v>1270</v>
      </c>
      <c r="D1536" s="1093">
        <v>0</v>
      </c>
      <c r="E1536" s="1093">
        <f>0.267*$D$1515*'Civil-SOR'!$G$334</f>
        <v>15.166935000000002</v>
      </c>
      <c r="F1536" s="1093">
        <f t="shared" ref="F1536:F1537" si="355">E1536*1.1</f>
        <v>16.683628500000005</v>
      </c>
      <c r="G1536" s="1093">
        <f t="shared" ref="G1536:G1537" si="356">E1536*1.2</f>
        <v>18.200322000000003</v>
      </c>
      <c r="H1536" s="1093">
        <f t="shared" ref="H1536:H1537" si="357">E1536*1.3</f>
        <v>19.717015500000002</v>
      </c>
      <c r="I1536" s="1093">
        <f t="shared" ref="I1536:I1537" si="358">E1536*1.4</f>
        <v>21.233709000000001</v>
      </c>
      <c r="J1536" s="1002"/>
      <c r="K1536" s="1002"/>
      <c r="L1536" s="1002"/>
      <c r="M1536" s="1003"/>
      <c r="N1536" s="1003"/>
      <c r="O1536" s="1003"/>
      <c r="P1536" s="1003"/>
    </row>
    <row r="1537" spans="1:16">
      <c r="A1537" s="1823"/>
      <c r="B1537" s="1823"/>
      <c r="C1537" s="1817" t="s">
        <v>579</v>
      </c>
      <c r="D1537" s="1093">
        <v>0</v>
      </c>
      <c r="E1537" s="1093">
        <f>0.267*$D$1515*'Civil-SOR'!$J$334</f>
        <v>14.43402</v>
      </c>
      <c r="F1537" s="1093">
        <f t="shared" si="355"/>
        <v>15.877422000000001</v>
      </c>
      <c r="G1537" s="1093">
        <f t="shared" si="356"/>
        <v>17.320823999999998</v>
      </c>
      <c r="H1537" s="1093">
        <f t="shared" si="357"/>
        <v>18.764226000000001</v>
      </c>
      <c r="I1537" s="1093">
        <f t="shared" si="358"/>
        <v>20.207628</v>
      </c>
      <c r="J1537" s="1002"/>
      <c r="K1537" s="1002"/>
      <c r="L1537" s="1002"/>
      <c r="M1537" s="1003"/>
      <c r="N1537" s="1003"/>
      <c r="O1537" s="1003"/>
      <c r="P1537" s="1003"/>
    </row>
    <row r="1538" spans="1:16">
      <c r="A1538" s="1823"/>
      <c r="B1538" s="1823"/>
      <c r="C1538" s="1817" t="str">
        <f>Input!$C$47</f>
        <v>Add for MA @ 40%</v>
      </c>
      <c r="D1538" s="1093">
        <f>D1536*Input!D120</f>
        <v>0</v>
      </c>
      <c r="E1538" s="1093">
        <f>E1537*Input!$D$47</f>
        <v>5.7736080000000003</v>
      </c>
      <c r="F1538" s="1093">
        <f>F1537*Input!$D$47</f>
        <v>6.3509688000000004</v>
      </c>
      <c r="G1538" s="1093">
        <f>G1537*Input!$D$47</f>
        <v>6.9283295999999996</v>
      </c>
      <c r="H1538" s="1093">
        <f>H1537*Input!$D$47</f>
        <v>7.5056904000000007</v>
      </c>
      <c r="I1538" s="1093">
        <f>I1537*Input!$D$47</f>
        <v>8.0830511999999999</v>
      </c>
      <c r="J1538" s="1002"/>
      <c r="K1538" s="1002"/>
      <c r="L1538" s="1002"/>
      <c r="M1538" s="1003"/>
      <c r="N1538" s="1003"/>
      <c r="O1538" s="1003"/>
      <c r="P1538" s="1003"/>
    </row>
    <row r="1539" spans="1:16">
      <c r="A1539" s="1023"/>
      <c r="B1539" s="1023"/>
      <c r="C1539" s="1816" t="s">
        <v>1045</v>
      </c>
      <c r="D1539" s="1829">
        <f t="shared" ref="D1539:I1539" si="359">SUM(D1532:D1538)</f>
        <v>1497.443264</v>
      </c>
      <c r="E1539" s="1829">
        <f t="shared" si="359"/>
        <v>1560.8178269999999</v>
      </c>
      <c r="F1539" s="1829">
        <f t="shared" si="359"/>
        <v>1592.3552832999999</v>
      </c>
      <c r="G1539" s="1829">
        <f t="shared" si="359"/>
        <v>1623.8927395999999</v>
      </c>
      <c r="H1539" s="1829">
        <f t="shared" si="359"/>
        <v>1655.4301958999999</v>
      </c>
      <c r="I1539" s="1829">
        <f t="shared" si="359"/>
        <v>1686.9676522000002</v>
      </c>
      <c r="J1539" s="996"/>
      <c r="K1539" s="996"/>
      <c r="L1539" s="996"/>
      <c r="M1539" s="997"/>
      <c r="N1539" s="997"/>
      <c r="O1539" s="997"/>
      <c r="P1539" s="997"/>
    </row>
    <row r="1540" spans="1:16">
      <c r="A1540" s="1823"/>
      <c r="B1540" s="1823"/>
      <c r="C1540" s="1817" t="str">
        <f>Input!$C$48</f>
        <v>Overheads &amp; Contractors Profit @ 13.615%</v>
      </c>
      <c r="D1540" s="1823">
        <f>ROUND(D1539*Input!$D$48,2)</f>
        <v>203.88</v>
      </c>
      <c r="E1540" s="1823">
        <f>ROUND(E1539*Input!$D$48,2)</f>
        <v>212.51</v>
      </c>
      <c r="F1540" s="1823">
        <f>ROUND(F1539*Input!$D$48,2)</f>
        <v>216.8</v>
      </c>
      <c r="G1540" s="1823">
        <f>ROUND(G1539*Input!$D$48,2)</f>
        <v>221.09</v>
      </c>
      <c r="H1540" s="1823">
        <f>ROUND(H1539*Input!$D$48,2)</f>
        <v>225.39</v>
      </c>
      <c r="I1540" s="1823">
        <f>ROUND(I1539*Input!$D$48,2)</f>
        <v>229.68</v>
      </c>
      <c r="J1540" s="1002"/>
      <c r="K1540" s="1002"/>
      <c r="L1540" s="1002"/>
      <c r="M1540" s="1003"/>
      <c r="N1540" s="1003"/>
      <c r="O1540" s="1003"/>
      <c r="P1540" s="1003"/>
    </row>
    <row r="1541" spans="1:16">
      <c r="A1541" s="1023"/>
      <c r="B1541" s="1023"/>
      <c r="C1541" s="1816" t="s">
        <v>1045</v>
      </c>
      <c r="D1541" s="1829">
        <f t="shared" ref="D1541:I1541" si="360">SUM(D1539:D1540)</f>
        <v>1701.3232640000001</v>
      </c>
      <c r="E1541" s="1829">
        <f t="shared" si="360"/>
        <v>1773.3278269999998</v>
      </c>
      <c r="F1541" s="1829">
        <f t="shared" si="360"/>
        <v>1809.1552832999998</v>
      </c>
      <c r="G1541" s="1829">
        <f t="shared" si="360"/>
        <v>1844.9827395999998</v>
      </c>
      <c r="H1541" s="1829">
        <f t="shared" si="360"/>
        <v>1880.8201958999998</v>
      </c>
      <c r="I1541" s="1829">
        <f t="shared" si="360"/>
        <v>1916.6476522000003</v>
      </c>
      <c r="J1541" s="996"/>
      <c r="K1541" s="996"/>
      <c r="L1541" s="996"/>
      <c r="M1541" s="997"/>
      <c r="N1541" s="997"/>
      <c r="O1541" s="997"/>
      <c r="P1541" s="997"/>
    </row>
    <row r="1542" spans="1:16">
      <c r="A1542" s="1023"/>
      <c r="B1542" s="1023"/>
      <c r="C1542" s="1843" t="s">
        <v>1034</v>
      </c>
      <c r="D1542" s="999">
        <f t="shared" ref="D1542:I1542" si="361">ROUND(D1541,0)</f>
        <v>1701</v>
      </c>
      <c r="E1542" s="999">
        <f t="shared" si="361"/>
        <v>1773</v>
      </c>
      <c r="F1542" s="999">
        <f t="shared" si="361"/>
        <v>1809</v>
      </c>
      <c r="G1542" s="999">
        <f t="shared" si="361"/>
        <v>1845</v>
      </c>
      <c r="H1542" s="999">
        <f t="shared" si="361"/>
        <v>1881</v>
      </c>
      <c r="I1542" s="999">
        <f t="shared" si="361"/>
        <v>1917</v>
      </c>
      <c r="J1542" s="996"/>
      <c r="K1542" s="996"/>
      <c r="L1542" s="996"/>
      <c r="M1542" s="997"/>
      <c r="N1542" s="997"/>
      <c r="O1542" s="997"/>
      <c r="P1542" s="997"/>
    </row>
    <row r="1543" spans="1:16">
      <c r="A1543" s="1023"/>
      <c r="B1543" s="1023"/>
      <c r="C1543" s="1843"/>
      <c r="D1543" s="999"/>
      <c r="E1543" s="999"/>
      <c r="F1543" s="999"/>
      <c r="G1543" s="999"/>
      <c r="H1543" s="999"/>
      <c r="I1543" s="999"/>
      <c r="J1543" s="999"/>
      <c r="K1543" s="999"/>
      <c r="L1543" s="999"/>
      <c r="M1543" s="997"/>
      <c r="N1543" s="997"/>
      <c r="O1543" s="997"/>
      <c r="P1543" s="997"/>
    </row>
    <row r="1544" spans="1:16">
      <c r="A1544" s="1023"/>
      <c r="B1544" s="1023"/>
      <c r="C1544" s="1816" t="s">
        <v>1217</v>
      </c>
      <c r="D1544" s="1102" t="s">
        <v>1212</v>
      </c>
      <c r="E1544" s="1102" t="s">
        <v>1213</v>
      </c>
      <c r="F1544" s="1102" t="s">
        <v>1214</v>
      </c>
      <c r="G1544" s="999"/>
      <c r="H1544" s="999"/>
      <c r="I1544" s="999"/>
      <c r="J1544" s="999"/>
      <c r="K1544" s="999"/>
      <c r="L1544" s="999"/>
      <c r="M1544" s="997"/>
      <c r="N1544" s="997"/>
      <c r="O1544" s="997"/>
      <c r="P1544" s="997"/>
    </row>
    <row r="1545" spans="1:16">
      <c r="A1545" s="1023"/>
      <c r="B1545" s="1023"/>
      <c r="C1545" s="1817" t="s">
        <v>1218</v>
      </c>
      <c r="D1545" s="1093">
        <f>$I$1515</f>
        <v>1041.8432640000001</v>
      </c>
      <c r="E1545" s="1093">
        <f>$I$1515</f>
        <v>1041.8432640000001</v>
      </c>
      <c r="F1545" s="1093">
        <f>$I$1515</f>
        <v>1041.8432640000001</v>
      </c>
      <c r="G1545" s="999"/>
      <c r="H1545" s="999"/>
      <c r="I1545" s="999"/>
      <c r="J1545" s="999"/>
      <c r="K1545" s="999"/>
      <c r="L1545" s="999"/>
      <c r="M1545" s="997"/>
      <c r="N1545" s="997"/>
      <c r="O1545" s="997"/>
      <c r="P1545" s="997"/>
    </row>
    <row r="1546" spans="1:16">
      <c r="A1546" s="1023"/>
      <c r="B1546" s="1023"/>
      <c r="C1546" s="1817" t="s">
        <v>1182</v>
      </c>
      <c r="D1546" s="1093">
        <f>'Civil-SOR'!$F$280</f>
        <v>177</v>
      </c>
      <c r="E1546" s="1093">
        <f>'Civil-SOR'!$F$280</f>
        <v>177</v>
      </c>
      <c r="F1546" s="1093">
        <f>'Civil-SOR'!$F$280</f>
        <v>177</v>
      </c>
      <c r="G1546" s="999"/>
      <c r="H1546" s="999"/>
      <c r="I1546" s="999"/>
      <c r="J1546" s="999"/>
      <c r="K1546" s="999"/>
      <c r="L1546" s="999"/>
      <c r="M1546" s="997"/>
      <c r="N1546" s="997"/>
      <c r="O1546" s="997"/>
      <c r="P1546" s="997"/>
    </row>
    <row r="1547" spans="1:16">
      <c r="A1547" s="1023"/>
      <c r="B1547" s="1023"/>
      <c r="C1547" s="1817" t="s">
        <v>1269</v>
      </c>
      <c r="D1547" s="1001">
        <f>'Civil-SOR'!$M$280</f>
        <v>318</v>
      </c>
      <c r="E1547" s="1001">
        <f>'Civil-SOR'!$N$280</f>
        <v>338</v>
      </c>
      <c r="F1547" s="1001">
        <f>'Civil-SOR'!$O$280</f>
        <v>358</v>
      </c>
      <c r="G1547" s="999"/>
      <c r="H1547" s="999"/>
      <c r="I1547" s="999"/>
      <c r="J1547" s="999"/>
      <c r="K1547" s="999"/>
      <c r="L1547" s="999"/>
      <c r="M1547" s="997"/>
      <c r="N1547" s="997"/>
      <c r="O1547" s="997"/>
      <c r="P1547" s="997"/>
    </row>
    <row r="1548" spans="1:16">
      <c r="A1548" s="1023"/>
      <c r="B1548" s="1023"/>
      <c r="C1548" s="1817" t="str">
        <f>Input!$C$47</f>
        <v>Add for MA @ 40%</v>
      </c>
      <c r="D1548" s="1093">
        <f>D1547*Input!$D$47</f>
        <v>127.2</v>
      </c>
      <c r="E1548" s="1093">
        <f>E1547*Input!$D$47</f>
        <v>135.20000000000002</v>
      </c>
      <c r="F1548" s="1093">
        <f>F1547*Input!$D$47</f>
        <v>143.20000000000002</v>
      </c>
      <c r="G1548" s="999"/>
      <c r="H1548" s="999"/>
      <c r="I1548" s="999"/>
      <c r="J1548" s="999"/>
      <c r="K1548" s="999"/>
      <c r="L1548" s="999"/>
      <c r="M1548" s="997"/>
      <c r="N1548" s="997"/>
      <c r="O1548" s="997"/>
      <c r="P1548" s="997"/>
    </row>
    <row r="1549" spans="1:16" ht="25.5">
      <c r="A1549" s="1023"/>
      <c r="B1549" s="1023"/>
      <c r="C1549" s="1817" t="s">
        <v>1270</v>
      </c>
      <c r="D1549" s="1093">
        <f t="shared" ref="D1549:D1550" si="362">E1536*1.5</f>
        <v>22.750402500000003</v>
      </c>
      <c r="E1549" s="1093">
        <f t="shared" ref="E1549:E1550" si="363">E1536*1.6</f>
        <v>24.267096000000006</v>
      </c>
      <c r="F1549" s="1093">
        <f t="shared" ref="F1549:F1550" si="364">E1536*1.7</f>
        <v>25.783789500000005</v>
      </c>
      <c r="G1549" s="999"/>
      <c r="H1549" s="999"/>
      <c r="I1549" s="999"/>
      <c r="J1549" s="999"/>
      <c r="K1549" s="999"/>
      <c r="L1549" s="999"/>
      <c r="M1549" s="997"/>
      <c r="N1549" s="997"/>
      <c r="O1549" s="997"/>
      <c r="P1549" s="997"/>
    </row>
    <row r="1550" spans="1:16">
      <c r="A1550" s="1023"/>
      <c r="B1550" s="1023"/>
      <c r="C1550" s="1817" t="s">
        <v>579</v>
      </c>
      <c r="D1550" s="1093">
        <f t="shared" si="362"/>
        <v>21.651029999999999</v>
      </c>
      <c r="E1550" s="1093">
        <f t="shared" si="363"/>
        <v>23.094432000000001</v>
      </c>
      <c r="F1550" s="1093">
        <f t="shared" si="364"/>
        <v>24.537834</v>
      </c>
      <c r="G1550" s="999"/>
      <c r="H1550" s="999"/>
      <c r="I1550" s="999"/>
      <c r="J1550" s="999"/>
      <c r="K1550" s="999"/>
      <c r="L1550" s="999"/>
      <c r="M1550" s="997"/>
      <c r="N1550" s="997"/>
      <c r="O1550" s="997"/>
      <c r="P1550" s="997"/>
    </row>
    <row r="1551" spans="1:16">
      <c r="A1551" s="1023"/>
      <c r="B1551" s="1023"/>
      <c r="C1551" s="1817" t="str">
        <f>Input!$C$47</f>
        <v>Add for MA @ 40%</v>
      </c>
      <c r="D1551" s="1093">
        <f>D1550*Input!$D$47</f>
        <v>8.6604119999999991</v>
      </c>
      <c r="E1551" s="1093">
        <f>E1550*Input!$D$47</f>
        <v>9.2377728000000001</v>
      </c>
      <c r="F1551" s="1093">
        <f>F1550*Input!$D$47</f>
        <v>9.8151336000000011</v>
      </c>
      <c r="G1551" s="999"/>
      <c r="H1551" s="999"/>
      <c r="I1551" s="999"/>
      <c r="J1551" s="999"/>
      <c r="K1551" s="999"/>
      <c r="L1551" s="999"/>
      <c r="M1551" s="997"/>
      <c r="N1551" s="997"/>
      <c r="O1551" s="997"/>
      <c r="P1551" s="997"/>
    </row>
    <row r="1552" spans="1:16">
      <c r="A1552" s="1023"/>
      <c r="B1552" s="1023"/>
      <c r="C1552" s="1816" t="s">
        <v>1045</v>
      </c>
      <c r="D1552" s="1829">
        <f>SUM(D1545:D1551)</f>
        <v>1717.1051085000001</v>
      </c>
      <c r="E1552" s="1829">
        <f>SUM(E1545:E1551)</f>
        <v>1748.6425648000002</v>
      </c>
      <c r="F1552" s="1829">
        <f>SUM(F1545:F1551)</f>
        <v>1780.1800211000002</v>
      </c>
      <c r="G1552" s="999"/>
      <c r="H1552" s="999"/>
      <c r="I1552" s="999"/>
      <c r="J1552" s="999"/>
      <c r="K1552" s="999"/>
      <c r="L1552" s="999"/>
      <c r="M1552" s="997"/>
      <c r="N1552" s="997"/>
      <c r="O1552" s="997"/>
      <c r="P1552" s="997"/>
    </row>
    <row r="1553" spans="1:16">
      <c r="A1553" s="1023"/>
      <c r="B1553" s="1023"/>
      <c r="C1553" s="1817" t="str">
        <f>Input!$C$48</f>
        <v>Overheads &amp; Contractors Profit @ 13.615%</v>
      </c>
      <c r="D1553" s="1823">
        <f>ROUND(D1552*Input!$D$48,2)</f>
        <v>233.78</v>
      </c>
      <c r="E1553" s="1823">
        <f>ROUND(E1552*Input!$D$48,2)</f>
        <v>238.08</v>
      </c>
      <c r="F1553" s="1823">
        <f>ROUND(F1552*Input!$D$48,2)</f>
        <v>242.37</v>
      </c>
      <c r="G1553" s="999"/>
      <c r="H1553" s="999"/>
      <c r="I1553" s="999"/>
      <c r="J1553" s="999"/>
      <c r="K1553" s="999"/>
      <c r="L1553" s="999"/>
      <c r="M1553" s="997"/>
      <c r="N1553" s="997"/>
      <c r="O1553" s="997"/>
      <c r="P1553" s="997"/>
    </row>
    <row r="1554" spans="1:16">
      <c r="A1554" s="1023"/>
      <c r="B1554" s="1023"/>
      <c r="C1554" s="1816" t="s">
        <v>1045</v>
      </c>
      <c r="D1554" s="1829">
        <f>SUM(D1552:D1553)</f>
        <v>1950.8851085000001</v>
      </c>
      <c r="E1554" s="1829">
        <f>SUM(E1552:E1553)</f>
        <v>1986.7225648000001</v>
      </c>
      <c r="F1554" s="1829">
        <f>SUM(F1552:F1553)</f>
        <v>2022.5500211000003</v>
      </c>
      <c r="G1554" s="999"/>
      <c r="H1554" s="999"/>
      <c r="I1554" s="999"/>
      <c r="J1554" s="999"/>
      <c r="K1554" s="999"/>
      <c r="L1554" s="999"/>
      <c r="M1554" s="997"/>
      <c r="N1554" s="997"/>
      <c r="O1554" s="997"/>
      <c r="P1554" s="997"/>
    </row>
    <row r="1555" spans="1:16">
      <c r="A1555" s="1023"/>
      <c r="B1555" s="1023"/>
      <c r="C1555" s="1843" t="s">
        <v>1034</v>
      </c>
      <c r="D1555" s="999">
        <f>ROUND(D1554,0)</f>
        <v>1951</v>
      </c>
      <c r="E1555" s="999">
        <f>ROUND(E1554,0)</f>
        <v>1987</v>
      </c>
      <c r="F1555" s="999">
        <f>ROUND(F1554,0)</f>
        <v>2023</v>
      </c>
      <c r="G1555" s="999"/>
      <c r="H1555" s="999"/>
      <c r="I1555" s="999"/>
      <c r="J1555" s="999"/>
      <c r="K1555" s="999"/>
      <c r="L1555" s="999"/>
      <c r="M1555" s="997"/>
      <c r="N1555" s="997"/>
      <c r="O1555" s="997"/>
      <c r="P1555" s="997"/>
    </row>
    <row r="1556" spans="1:16">
      <c r="A1556" s="1023"/>
      <c r="B1556" s="1023"/>
      <c r="C1556" s="1843"/>
      <c r="D1556" s="999"/>
      <c r="E1556" s="999"/>
      <c r="F1556" s="999"/>
      <c r="G1556" s="999"/>
      <c r="H1556" s="999"/>
      <c r="I1556" s="999"/>
      <c r="J1556" s="999"/>
      <c r="K1556" s="999"/>
      <c r="L1556" s="999"/>
      <c r="M1556" s="997"/>
      <c r="N1556" s="997"/>
      <c r="O1556" s="997"/>
      <c r="P1556" s="997"/>
    </row>
    <row r="1557" spans="1:16">
      <c r="A1557" s="1823"/>
      <c r="B1557" s="1098" t="s">
        <v>433</v>
      </c>
      <c r="C1557" s="1821" t="s">
        <v>1274</v>
      </c>
      <c r="D1557" s="1846"/>
      <c r="E1557" s="1846"/>
      <c r="F1557" s="1068"/>
      <c r="G1557" s="1105"/>
      <c r="H1557" s="1098"/>
      <c r="I1557" s="1080"/>
      <c r="J1557" s="1846"/>
      <c r="K1557" s="1846"/>
      <c r="L1557" s="1846"/>
    </row>
    <row r="1558" spans="1:16">
      <c r="A1558" s="1823"/>
      <c r="B1558" s="1068"/>
      <c r="C1558" s="1817" t="s">
        <v>1181</v>
      </c>
      <c r="D1558" s="1132">
        <v>0.17499999999999999</v>
      </c>
      <c r="E1558" s="1846" t="s">
        <v>484</v>
      </c>
      <c r="F1558" s="1021">
        <f>$I$1425</f>
        <v>6945.6217600000009</v>
      </c>
      <c r="G1558" s="1105">
        <v>1</v>
      </c>
      <c r="H1558" s="1846" t="s">
        <v>484</v>
      </c>
      <c r="I1558" s="1011">
        <f>IF(G1558="",D1558*F1558,(D1558*F1558/G1558))</f>
        <v>1215.4838080000002</v>
      </c>
      <c r="J1558" s="1846"/>
      <c r="K1558" s="1846"/>
      <c r="L1558" s="1846"/>
    </row>
    <row r="1559" spans="1:16">
      <c r="A1559" s="1823"/>
      <c r="B1559" s="1068"/>
      <c r="C1559" s="1817"/>
      <c r="D1559" s="1846"/>
      <c r="E1559" s="1846"/>
      <c r="F1559" s="1068"/>
      <c r="G1559" s="1105"/>
      <c r="H1559" s="1846"/>
      <c r="I1559" s="1080"/>
      <c r="J1559" s="1846"/>
      <c r="K1559" s="1846"/>
      <c r="L1559" s="1846"/>
    </row>
    <row r="1560" spans="1:16" ht="12.75" customHeight="1">
      <c r="A1560" s="1847"/>
      <c r="B1560" s="1847"/>
      <c r="C1560" s="2045" t="s">
        <v>1277</v>
      </c>
      <c r="D1560" s="2045"/>
      <c r="E1560" s="2045"/>
      <c r="F1560" s="2045"/>
      <c r="G1560" s="1078"/>
      <c r="H1560" s="1022"/>
      <c r="I1560" s="1035"/>
      <c r="J1560" s="1078"/>
      <c r="K1560" s="1022"/>
      <c r="L1560" s="1035"/>
    </row>
    <row r="1561" spans="1:16" ht="12.75" customHeight="1">
      <c r="A1561" s="1831"/>
      <c r="B1561" s="1831" t="s">
        <v>1215</v>
      </c>
      <c r="C1561" s="1816" t="s">
        <v>1217</v>
      </c>
      <c r="D1561" s="1065" t="s">
        <v>1223</v>
      </c>
      <c r="E1561" s="1839" t="s">
        <v>1207</v>
      </c>
      <c r="F1561" s="1040" t="s">
        <v>1208</v>
      </c>
      <c r="G1561" s="1040" t="s">
        <v>1209</v>
      </c>
      <c r="H1561" s="1839" t="s">
        <v>1210</v>
      </c>
      <c r="I1561" s="1839" t="s">
        <v>1211</v>
      </c>
      <c r="J1561" s="1102"/>
      <c r="K1561" s="1102" t="s">
        <v>1213</v>
      </c>
      <c r="L1561" s="1102" t="s">
        <v>1214</v>
      </c>
    </row>
    <row r="1562" spans="1:16">
      <c r="A1562" s="1847"/>
      <c r="B1562" s="1847"/>
      <c r="C1562" s="1817" t="s">
        <v>1218</v>
      </c>
      <c r="D1562" s="1848">
        <f t="shared" ref="D1562:L1562" si="365">$I$1558</f>
        <v>1215.4838080000002</v>
      </c>
      <c r="E1562" s="1848">
        <f t="shared" si="365"/>
        <v>1215.4838080000002</v>
      </c>
      <c r="F1562" s="1848">
        <f t="shared" si="365"/>
        <v>1215.4838080000002</v>
      </c>
      <c r="G1562" s="1848">
        <f t="shared" si="365"/>
        <v>1215.4838080000002</v>
      </c>
      <c r="H1562" s="1848">
        <f t="shared" si="365"/>
        <v>1215.4838080000002</v>
      </c>
      <c r="I1562" s="1848">
        <f t="shared" si="365"/>
        <v>1215.4838080000002</v>
      </c>
      <c r="J1562" s="1848"/>
      <c r="K1562" s="1848">
        <f t="shared" si="365"/>
        <v>1215.4838080000002</v>
      </c>
      <c r="L1562" s="1848">
        <f t="shared" si="365"/>
        <v>1215.4838080000002</v>
      </c>
    </row>
    <row r="1563" spans="1:16">
      <c r="A1563" s="1847"/>
      <c r="B1563" s="1847"/>
      <c r="C1563" s="1817" t="s">
        <v>1182</v>
      </c>
      <c r="D1563" s="1848">
        <f>'Civil-SOR'!$F$281</f>
        <v>183</v>
      </c>
      <c r="E1563" s="1848">
        <f>'Civil-SOR'!$F$281</f>
        <v>183</v>
      </c>
      <c r="F1563" s="1848">
        <f>'Civil-SOR'!$F$281</f>
        <v>183</v>
      </c>
      <c r="G1563" s="1848">
        <f>'Civil-SOR'!$F$281</f>
        <v>183</v>
      </c>
      <c r="H1563" s="1848">
        <f>'Civil-SOR'!$F$281</f>
        <v>183</v>
      </c>
      <c r="I1563" s="1848">
        <f>'Civil-SOR'!$F$281</f>
        <v>183</v>
      </c>
      <c r="J1563" s="1848"/>
      <c r="K1563" s="1848">
        <f>'Civil-SOR'!$F$281</f>
        <v>183</v>
      </c>
      <c r="L1563" s="1848">
        <f>'Civil-SOR'!$F$281</f>
        <v>183</v>
      </c>
    </row>
    <row r="1564" spans="1:16">
      <c r="A1564" s="1847"/>
      <c r="B1564" s="1847"/>
      <c r="C1564" s="1817" t="s">
        <v>1252</v>
      </c>
      <c r="D1564" s="1062">
        <f>'Civil-SOR'!$G$281</f>
        <v>204</v>
      </c>
      <c r="E1564" s="1062">
        <f>'Civil-SOR'!$H$281</f>
        <v>224</v>
      </c>
      <c r="F1564" s="1062">
        <f>'Civil-SOR'!$I$281</f>
        <v>245</v>
      </c>
      <c r="G1564" s="1062">
        <f>'Civil-SOR'!$J$281</f>
        <v>265</v>
      </c>
      <c r="H1564" s="1062">
        <f>'Civil-SOR'!$K$281</f>
        <v>286</v>
      </c>
      <c r="I1564" s="1062">
        <f>'Civil-SOR'!$L$281</f>
        <v>306</v>
      </c>
      <c r="J1564" s="1062"/>
      <c r="K1564" s="1062">
        <f>'Civil-SOR'!$N$281</f>
        <v>347</v>
      </c>
      <c r="L1564" s="1062">
        <f>'Civil-SOR'!$O$281</f>
        <v>367</v>
      </c>
    </row>
    <row r="1565" spans="1:16">
      <c r="A1565" s="1847"/>
      <c r="B1565" s="1847"/>
      <c r="C1565" s="1817" t="str">
        <f>Input!$C$47</f>
        <v>Add for MA @ 40%</v>
      </c>
      <c r="D1565" s="1848">
        <f>D1564*Input!$D$47</f>
        <v>81.600000000000009</v>
      </c>
      <c r="E1565" s="1848">
        <f>E1564*Input!$D$47</f>
        <v>89.600000000000009</v>
      </c>
      <c r="F1565" s="1848">
        <f>F1564*Input!$D$47</f>
        <v>98</v>
      </c>
      <c r="G1565" s="1848">
        <f>G1564*Input!$D$47</f>
        <v>106</v>
      </c>
      <c r="H1565" s="1848">
        <f>H1564*Input!$D$47</f>
        <v>114.4</v>
      </c>
      <c r="I1565" s="1848">
        <f>I1564*Input!$D$47</f>
        <v>122.4</v>
      </c>
      <c r="J1565" s="1848"/>
      <c r="K1565" s="1848">
        <f>K1564*Input!$D$47</f>
        <v>138.80000000000001</v>
      </c>
      <c r="L1565" s="1848">
        <f>L1564*Input!$D$47</f>
        <v>146.80000000000001</v>
      </c>
    </row>
    <row r="1566" spans="1:16">
      <c r="A1566" s="1847"/>
      <c r="B1566" s="1847"/>
      <c r="C1566" s="1817" t="s">
        <v>1239</v>
      </c>
      <c r="D1566" s="1848">
        <v>0</v>
      </c>
      <c r="E1566" s="1848">
        <f>$F$1417*D1558*10%</f>
        <v>29.960875000000001</v>
      </c>
      <c r="F1566" s="1848">
        <f>$F$1417*D1558*20%</f>
        <v>59.921750000000003</v>
      </c>
      <c r="G1566" s="1848">
        <f>$F$1417*D1558*30%</f>
        <v>89.88262499999999</v>
      </c>
      <c r="H1566" s="1848">
        <f>$F$1417*D1558*40%</f>
        <v>119.84350000000001</v>
      </c>
      <c r="I1566" s="1848">
        <f>$F$1417*D1558*50%</f>
        <v>149.80437499999999</v>
      </c>
      <c r="J1566" s="1848"/>
      <c r="K1566" s="1848">
        <f>$F$1417*D1558*70%</f>
        <v>209.72612499999997</v>
      </c>
      <c r="L1566" s="1848">
        <f>$F$1417*D1558*80%</f>
        <v>239.68700000000001</v>
      </c>
    </row>
    <row r="1567" spans="1:16">
      <c r="A1567" s="1847"/>
      <c r="B1567" s="1847"/>
      <c r="C1567" s="1817" t="str">
        <f>Input!$C$47</f>
        <v>Add for MA @ 40%</v>
      </c>
      <c r="D1567" s="1848">
        <f>D1566*Input!D126</f>
        <v>0</v>
      </c>
      <c r="E1567" s="1848">
        <f>E1566*Input!$D$47</f>
        <v>11.984350000000001</v>
      </c>
      <c r="F1567" s="1848">
        <f>F1566*Input!$D$47</f>
        <v>23.968700000000002</v>
      </c>
      <c r="G1567" s="1848">
        <f>G1566*Input!$D$47</f>
        <v>35.953049999999998</v>
      </c>
      <c r="H1567" s="1848">
        <f>H1566*Input!$D$47</f>
        <v>47.937400000000004</v>
      </c>
      <c r="I1567" s="1848">
        <f>I1566*Input!$D$47</f>
        <v>59.921750000000003</v>
      </c>
      <c r="J1567" s="1848"/>
      <c r="K1567" s="1848">
        <f>K1566*Input!$D$47</f>
        <v>83.890449999999987</v>
      </c>
      <c r="L1567" s="1848">
        <f>L1566*Input!$D$47</f>
        <v>95.874800000000008</v>
      </c>
    </row>
    <row r="1568" spans="1:16">
      <c r="A1568" s="1847"/>
      <c r="B1568" s="1847"/>
      <c r="C1568" s="1816" t="s">
        <v>1045</v>
      </c>
      <c r="D1568" s="1848">
        <f t="shared" ref="D1568:L1568" si="366">SUM(D1562:D1567)</f>
        <v>1684.0838080000001</v>
      </c>
      <c r="E1568" s="1848">
        <f t="shared" si="366"/>
        <v>1754.029033</v>
      </c>
      <c r="F1568" s="1848">
        <f t="shared" si="366"/>
        <v>1825.3742580000001</v>
      </c>
      <c r="G1568" s="1848">
        <f t="shared" si="366"/>
        <v>1895.3194830000002</v>
      </c>
      <c r="H1568" s="1848">
        <f t="shared" si="366"/>
        <v>1966.6647080000002</v>
      </c>
      <c r="I1568" s="1848">
        <f t="shared" si="366"/>
        <v>2036.6099330000002</v>
      </c>
      <c r="J1568" s="1848"/>
      <c r="K1568" s="1848">
        <f t="shared" si="366"/>
        <v>2177.9003830000001</v>
      </c>
      <c r="L1568" s="1848">
        <f t="shared" si="366"/>
        <v>2247.8456080000001</v>
      </c>
    </row>
    <row r="1569" spans="1:16">
      <c r="A1569" s="1847"/>
      <c r="B1569" s="1847"/>
      <c r="C1569" s="1817" t="str">
        <f>Input!$C$48</f>
        <v>Overheads &amp; Contractors Profit @ 13.615%</v>
      </c>
      <c r="D1569" s="1847">
        <f>ROUND(D1568*Input!$D$48,2)</f>
        <v>229.29</v>
      </c>
      <c r="E1569" s="1847">
        <f>ROUND(E1568*Input!$D$48,2)</f>
        <v>238.81</v>
      </c>
      <c r="F1569" s="1847">
        <f>ROUND(F1568*Input!$D$48,2)</f>
        <v>248.52</v>
      </c>
      <c r="G1569" s="1847">
        <f>ROUND(G1568*Input!$D$48,2)</f>
        <v>258.05</v>
      </c>
      <c r="H1569" s="1847">
        <f>ROUND(H1568*Input!$D$48,2)</f>
        <v>267.76</v>
      </c>
      <c r="I1569" s="1847">
        <f>ROUND(I1568*Input!$D$48,2)</f>
        <v>277.27999999999997</v>
      </c>
      <c r="J1569" s="1847"/>
      <c r="K1569" s="1847">
        <f>ROUND(K1568*Input!$D$48,2)</f>
        <v>296.52</v>
      </c>
      <c r="L1569" s="1847">
        <f>ROUND(L1568*Input!$D$48,2)</f>
        <v>306.04000000000002</v>
      </c>
    </row>
    <row r="1570" spans="1:16">
      <c r="A1570" s="1005"/>
      <c r="B1570" s="1005"/>
      <c r="C1570" s="1078" t="s">
        <v>1045</v>
      </c>
      <c r="D1570" s="1136">
        <f t="shared" ref="D1570:L1570" si="367">SUM(D1568:D1569)</f>
        <v>1913.3738080000001</v>
      </c>
      <c r="E1570" s="1136">
        <f t="shared" si="367"/>
        <v>1992.839033</v>
      </c>
      <c r="F1570" s="1136">
        <f t="shared" si="367"/>
        <v>2073.8942580000003</v>
      </c>
      <c r="G1570" s="1136">
        <f t="shared" si="367"/>
        <v>2153.3694830000004</v>
      </c>
      <c r="H1570" s="1136">
        <f t="shared" si="367"/>
        <v>2234.4247080000005</v>
      </c>
      <c r="I1570" s="1136">
        <f t="shared" si="367"/>
        <v>2313.8899330000004</v>
      </c>
      <c r="J1570" s="1136"/>
      <c r="K1570" s="1136">
        <f t="shared" si="367"/>
        <v>2474.4203830000001</v>
      </c>
      <c r="L1570" s="1136">
        <f t="shared" si="367"/>
        <v>2553.885608</v>
      </c>
      <c r="M1570" s="997"/>
      <c r="N1570" s="997"/>
      <c r="O1570" s="997"/>
      <c r="P1570" s="997"/>
    </row>
    <row r="1571" spans="1:16">
      <c r="A1571" s="1840"/>
      <c r="B1571" s="1840"/>
      <c r="C1571" s="1843" t="s">
        <v>1034</v>
      </c>
      <c r="D1571" s="1134">
        <f t="shared" ref="D1571:L1571" si="368">ROUND(D1570,0)</f>
        <v>1913</v>
      </c>
      <c r="E1571" s="1134">
        <f t="shared" si="368"/>
        <v>1993</v>
      </c>
      <c r="F1571" s="1134">
        <f t="shared" si="368"/>
        <v>2074</v>
      </c>
      <c r="G1571" s="1134">
        <f t="shared" si="368"/>
        <v>2153</v>
      </c>
      <c r="H1571" s="1134">
        <f t="shared" si="368"/>
        <v>2234</v>
      </c>
      <c r="I1571" s="1134">
        <f t="shared" si="368"/>
        <v>2314</v>
      </c>
      <c r="J1571" s="1134"/>
      <c r="K1571" s="1134">
        <f t="shared" si="368"/>
        <v>2474</v>
      </c>
      <c r="L1571" s="1134">
        <f t="shared" si="368"/>
        <v>2554</v>
      </c>
      <c r="M1571" s="997"/>
      <c r="N1571" s="997"/>
      <c r="O1571" s="997"/>
      <c r="P1571" s="997"/>
    </row>
    <row r="1572" spans="1:16">
      <c r="A1572" s="1823"/>
      <c r="B1572" s="1068"/>
      <c r="C1572" s="1129"/>
      <c r="D1572" s="1114"/>
      <c r="E1572" s="1114"/>
      <c r="F1572" s="1114"/>
      <c r="G1572" s="1114"/>
      <c r="H1572" s="1114"/>
      <c r="I1572" s="1009"/>
      <c r="J1572" s="1846"/>
      <c r="K1572" s="1846"/>
      <c r="L1572" s="1846"/>
    </row>
    <row r="1573" spans="1:16">
      <c r="A1573" s="1823"/>
      <c r="B1573" s="1098" t="s">
        <v>1221</v>
      </c>
      <c r="C1573" s="1821" t="s">
        <v>1222</v>
      </c>
      <c r="D1573" s="1846"/>
      <c r="E1573" s="1846"/>
      <c r="F1573" s="1068"/>
      <c r="G1573" s="1105"/>
      <c r="H1573" s="1846"/>
      <c r="I1573" s="1080"/>
      <c r="J1573" s="1105"/>
      <c r="K1573" s="1846"/>
      <c r="L1573" s="1080"/>
    </row>
    <row r="1574" spans="1:16">
      <c r="A1574" s="1823"/>
      <c r="B1574" s="1068"/>
      <c r="C1574" s="1816" t="s">
        <v>1217</v>
      </c>
      <c r="D1574" s="1009" t="s">
        <v>1223</v>
      </c>
      <c r="E1574" s="1098" t="s">
        <v>1207</v>
      </c>
      <c r="F1574" s="1102" t="s">
        <v>1208</v>
      </c>
      <c r="G1574" s="1102" t="s">
        <v>1209</v>
      </c>
      <c r="H1574" s="1098" t="s">
        <v>1210</v>
      </c>
      <c r="I1574" s="1098" t="s">
        <v>1211</v>
      </c>
      <c r="J1574" s="1846"/>
      <c r="K1574" s="1846"/>
      <c r="L1574" s="1846"/>
    </row>
    <row r="1575" spans="1:16">
      <c r="A1575" s="1823"/>
      <c r="B1575" s="1068"/>
      <c r="C1575" s="1817" t="s">
        <v>1218</v>
      </c>
      <c r="D1575" s="1093">
        <f t="shared" ref="D1575:I1575" si="369">$I$1558</f>
        <v>1215.4838080000002</v>
      </c>
      <c r="E1575" s="1093">
        <f t="shared" si="369"/>
        <v>1215.4838080000002</v>
      </c>
      <c r="F1575" s="1093">
        <f t="shared" si="369"/>
        <v>1215.4838080000002</v>
      </c>
      <c r="G1575" s="1093">
        <f t="shared" si="369"/>
        <v>1215.4838080000002</v>
      </c>
      <c r="H1575" s="1093">
        <f t="shared" si="369"/>
        <v>1215.4838080000002</v>
      </c>
      <c r="I1575" s="1093">
        <f t="shared" si="369"/>
        <v>1215.4838080000002</v>
      </c>
      <c r="J1575" s="1846"/>
      <c r="K1575" s="1846"/>
      <c r="L1575" s="1846"/>
    </row>
    <row r="1576" spans="1:16">
      <c r="A1576" s="1823"/>
      <c r="B1576" s="1068"/>
      <c r="C1576" s="1817" t="s">
        <v>1182</v>
      </c>
      <c r="D1576" s="1093">
        <f>'Civil-SOR'!$F$281</f>
        <v>183</v>
      </c>
      <c r="E1576" s="1093">
        <f>'Civil-SOR'!$F$281</f>
        <v>183</v>
      </c>
      <c r="F1576" s="1093">
        <f>'Civil-SOR'!$F$281</f>
        <v>183</v>
      </c>
      <c r="G1576" s="1093">
        <f>'Civil-SOR'!$F$281</f>
        <v>183</v>
      </c>
      <c r="H1576" s="1093">
        <f>'Civil-SOR'!$F$281</f>
        <v>183</v>
      </c>
      <c r="I1576" s="1093">
        <f>'Civil-SOR'!$F$281</f>
        <v>183</v>
      </c>
      <c r="J1576" s="1846"/>
      <c r="K1576" s="1846"/>
      <c r="L1576" s="1846"/>
    </row>
    <row r="1577" spans="1:16">
      <c r="A1577" s="1823"/>
      <c r="B1577" s="1068"/>
      <c r="C1577" s="1817" t="s">
        <v>1252</v>
      </c>
      <c r="D1577" s="1001">
        <f>'Civil-SOR'!$G$281</f>
        <v>204</v>
      </c>
      <c r="E1577" s="1001">
        <f>'Civil-SOR'!$H$281</f>
        <v>224</v>
      </c>
      <c r="F1577" s="1001">
        <f>'Civil-SOR'!$I$281</f>
        <v>245</v>
      </c>
      <c r="G1577" s="1001">
        <f>'Civil-SOR'!$J$281</f>
        <v>265</v>
      </c>
      <c r="H1577" s="1001">
        <f>'Civil-SOR'!$K$281</f>
        <v>286</v>
      </c>
      <c r="I1577" s="1001">
        <f>'Civil-SOR'!$L$281</f>
        <v>306</v>
      </c>
      <c r="J1577" s="1846"/>
      <c r="K1577" s="1846"/>
      <c r="L1577" s="1846"/>
    </row>
    <row r="1578" spans="1:16">
      <c r="A1578" s="1823"/>
      <c r="B1578" s="1068"/>
      <c r="C1578" s="1817" t="str">
        <f>Input!$C$47</f>
        <v>Add for MA @ 40%</v>
      </c>
      <c r="D1578" s="1093">
        <f>D1577*Input!$D$47</f>
        <v>81.600000000000009</v>
      </c>
      <c r="E1578" s="1093">
        <f>E1577*Input!$D$47</f>
        <v>89.600000000000009</v>
      </c>
      <c r="F1578" s="1093">
        <f>F1577*Input!$D$47</f>
        <v>98</v>
      </c>
      <c r="G1578" s="1093">
        <f>G1577*Input!$D$47</f>
        <v>106</v>
      </c>
      <c r="H1578" s="1093">
        <f>H1577*Input!$D$47</f>
        <v>114.4</v>
      </c>
      <c r="I1578" s="1093">
        <f>I1577*Input!$D$47</f>
        <v>122.4</v>
      </c>
      <c r="J1578" s="1846"/>
      <c r="K1578" s="1846"/>
      <c r="L1578" s="1846"/>
    </row>
    <row r="1579" spans="1:16" ht="25.5">
      <c r="A1579" s="1823"/>
      <c r="B1579" s="1068"/>
      <c r="C1579" s="1817" t="s">
        <v>1254</v>
      </c>
      <c r="D1579" s="1093">
        <v>0</v>
      </c>
      <c r="E1579" s="1093">
        <f>0.267*D1558*'Civil-SOR'!$G$334</f>
        <v>17.694757500000001</v>
      </c>
      <c r="F1579" s="1093">
        <f t="shared" ref="F1579:F1580" si="370">E1579*1.1</f>
        <v>19.464233250000003</v>
      </c>
      <c r="G1579" s="1093">
        <f t="shared" ref="G1579:G1580" si="371">E1579*1.2</f>
        <v>21.233709000000001</v>
      </c>
      <c r="H1579" s="1093">
        <f t="shared" ref="H1579:H1580" si="372">E1579*1.3</f>
        <v>23.003184750000003</v>
      </c>
      <c r="I1579" s="1093">
        <f t="shared" ref="I1579:I1580" si="373">E1579*1.4</f>
        <v>24.772660500000001</v>
      </c>
      <c r="J1579" s="1846"/>
      <c r="K1579" s="1846"/>
      <c r="L1579" s="1846"/>
    </row>
    <row r="1580" spans="1:16">
      <c r="A1580" s="1823"/>
      <c r="B1580" s="1068"/>
      <c r="C1580" s="1817" t="s">
        <v>579</v>
      </c>
      <c r="D1580" s="1093"/>
      <c r="E1580" s="1093">
        <f>0.267*D1558*'Civil-SOR'!$J$334</f>
        <v>16.839690000000001</v>
      </c>
      <c r="F1580" s="1093">
        <f t="shared" si="370"/>
        <v>18.523659000000002</v>
      </c>
      <c r="G1580" s="1093">
        <f t="shared" si="371"/>
        <v>20.207628</v>
      </c>
      <c r="H1580" s="1093">
        <f t="shared" si="372"/>
        <v>21.891597000000001</v>
      </c>
      <c r="I1580" s="1093">
        <f t="shared" si="373"/>
        <v>23.575565999999998</v>
      </c>
      <c r="J1580" s="1846"/>
      <c r="K1580" s="1846"/>
      <c r="L1580" s="1846"/>
    </row>
    <row r="1581" spans="1:16">
      <c r="A1581" s="1823"/>
      <c r="B1581" s="1068"/>
      <c r="C1581" s="1817" t="str">
        <f>Input!$C$47</f>
        <v>Add for MA @ 40%</v>
      </c>
      <c r="D1581" s="1093">
        <f>D1579*Input!D139</f>
        <v>0</v>
      </c>
      <c r="E1581" s="1093">
        <f>E1580*Input!$D$47</f>
        <v>6.7358760000000011</v>
      </c>
      <c r="F1581" s="1093">
        <f>F1580*Input!$D$47</f>
        <v>7.4094636000000014</v>
      </c>
      <c r="G1581" s="1093">
        <f>G1580*Input!$D$47</f>
        <v>8.0830511999999999</v>
      </c>
      <c r="H1581" s="1093">
        <f>H1580*Input!$D$47</f>
        <v>8.7566388000000011</v>
      </c>
      <c r="I1581" s="1093">
        <f>I1580*Input!$D$47</f>
        <v>9.4302264000000005</v>
      </c>
      <c r="J1581" s="1846"/>
      <c r="K1581" s="1846"/>
      <c r="L1581" s="1846"/>
    </row>
    <row r="1582" spans="1:16">
      <c r="A1582" s="1823"/>
      <c r="B1582" s="1068"/>
      <c r="C1582" s="1816" t="s">
        <v>1045</v>
      </c>
      <c r="D1582" s="1093">
        <f t="shared" ref="D1582:I1582" si="374">SUM(D1575:D1581)</f>
        <v>1684.0838080000001</v>
      </c>
      <c r="E1582" s="1093">
        <f t="shared" si="374"/>
        <v>1753.3541315</v>
      </c>
      <c r="F1582" s="1093">
        <f t="shared" si="374"/>
        <v>1786.8811638500001</v>
      </c>
      <c r="G1582" s="1093">
        <f t="shared" si="374"/>
        <v>1819.0081962000002</v>
      </c>
      <c r="H1582" s="1093">
        <f t="shared" si="374"/>
        <v>1852.5352285500003</v>
      </c>
      <c r="I1582" s="1093">
        <f t="shared" si="374"/>
        <v>1884.6622609000003</v>
      </c>
      <c r="J1582" s="1846"/>
      <c r="K1582" s="1846"/>
      <c r="L1582" s="1846"/>
    </row>
    <row r="1583" spans="1:16">
      <c r="A1583" s="1823"/>
      <c r="B1583" s="1068"/>
      <c r="C1583" s="1817" t="str">
        <f>Input!$C$48</f>
        <v>Overheads &amp; Contractors Profit @ 13.615%</v>
      </c>
      <c r="D1583" s="1823">
        <f>ROUND(D1582*Input!$D$48,2)</f>
        <v>229.29</v>
      </c>
      <c r="E1583" s="1823">
        <f>ROUND(E1582*Input!$D$48,2)</f>
        <v>238.72</v>
      </c>
      <c r="F1583" s="1823">
        <f>ROUND(F1582*Input!$D$48,2)</f>
        <v>243.28</v>
      </c>
      <c r="G1583" s="1823">
        <f>ROUND(G1582*Input!$D$48,2)</f>
        <v>247.66</v>
      </c>
      <c r="H1583" s="1823">
        <f>ROUND(H1582*Input!$D$48,2)</f>
        <v>252.22</v>
      </c>
      <c r="I1583" s="1823">
        <f>ROUND(I1582*Input!$D$48,2)</f>
        <v>256.60000000000002</v>
      </c>
      <c r="J1583" s="1846"/>
      <c r="K1583" s="1846"/>
      <c r="L1583" s="1846"/>
    </row>
    <row r="1584" spans="1:16">
      <c r="A1584" s="1023"/>
      <c r="B1584" s="1023"/>
      <c r="C1584" s="1816" t="s">
        <v>1045</v>
      </c>
      <c r="D1584" s="1829">
        <f t="shared" ref="D1584:I1584" si="375">SUM(D1582:D1583)</f>
        <v>1913.3738080000001</v>
      </c>
      <c r="E1584" s="1829">
        <f t="shared" si="375"/>
        <v>1992.0741315</v>
      </c>
      <c r="F1584" s="1829">
        <f t="shared" si="375"/>
        <v>2030.1611638500001</v>
      </c>
      <c r="G1584" s="1829">
        <f t="shared" si="375"/>
        <v>2066.6681962000002</v>
      </c>
      <c r="H1584" s="1829">
        <f t="shared" si="375"/>
        <v>2104.7552285500001</v>
      </c>
      <c r="I1584" s="1829">
        <f t="shared" si="375"/>
        <v>2141.2622609000005</v>
      </c>
      <c r="J1584" s="996"/>
      <c r="K1584" s="996"/>
      <c r="L1584" s="996"/>
      <c r="M1584" s="997"/>
      <c r="N1584" s="997"/>
      <c r="O1584" s="997"/>
      <c r="P1584" s="997"/>
    </row>
    <row r="1585" spans="1:16">
      <c r="A1585" s="1023"/>
      <c r="B1585" s="1023"/>
      <c r="C1585" s="1843" t="s">
        <v>1034</v>
      </c>
      <c r="D1585" s="999">
        <f t="shared" ref="D1585:I1585" si="376">ROUND(D1584,0)</f>
        <v>1913</v>
      </c>
      <c r="E1585" s="999">
        <f t="shared" si="376"/>
        <v>1992</v>
      </c>
      <c r="F1585" s="999">
        <f t="shared" si="376"/>
        <v>2030</v>
      </c>
      <c r="G1585" s="999">
        <f t="shared" si="376"/>
        <v>2067</v>
      </c>
      <c r="H1585" s="999">
        <f t="shared" si="376"/>
        <v>2105</v>
      </c>
      <c r="I1585" s="999">
        <f t="shared" si="376"/>
        <v>2141</v>
      </c>
      <c r="J1585" s="996"/>
      <c r="K1585" s="996"/>
      <c r="L1585" s="996"/>
      <c r="M1585" s="997"/>
      <c r="N1585" s="997"/>
      <c r="O1585" s="997"/>
      <c r="P1585" s="997"/>
    </row>
    <row r="1586" spans="1:16">
      <c r="A1586" s="1023"/>
      <c r="B1586" s="1023"/>
      <c r="C1586" s="1821" t="s">
        <v>1274</v>
      </c>
      <c r="D1586" s="999"/>
      <c r="E1586" s="999"/>
      <c r="F1586" s="999"/>
      <c r="G1586" s="999"/>
      <c r="H1586" s="999"/>
      <c r="I1586" s="999"/>
      <c r="J1586" s="999"/>
      <c r="K1586" s="999"/>
      <c r="L1586" s="999"/>
      <c r="M1586" s="997"/>
      <c r="N1586" s="997"/>
      <c r="O1586" s="997"/>
      <c r="P1586" s="997"/>
    </row>
    <row r="1587" spans="1:16">
      <c r="A1587" s="1023"/>
      <c r="B1587" s="1023"/>
      <c r="C1587" s="1816" t="s">
        <v>1217</v>
      </c>
      <c r="D1587" s="1102" t="s">
        <v>1212</v>
      </c>
      <c r="E1587" s="1102" t="s">
        <v>1213</v>
      </c>
      <c r="F1587" s="1102" t="s">
        <v>1214</v>
      </c>
      <c r="G1587" s="999"/>
      <c r="H1587" s="999"/>
      <c r="I1587" s="999"/>
      <c r="J1587" s="999"/>
      <c r="K1587" s="999"/>
      <c r="L1587" s="999"/>
      <c r="M1587" s="997"/>
      <c r="N1587" s="997"/>
      <c r="O1587" s="997"/>
      <c r="P1587" s="997"/>
    </row>
    <row r="1588" spans="1:16">
      <c r="A1588" s="1023"/>
      <c r="B1588" s="1023"/>
      <c r="C1588" s="1817" t="s">
        <v>1218</v>
      </c>
      <c r="D1588" s="1093">
        <f>$I$1558</f>
        <v>1215.4838080000002</v>
      </c>
      <c r="E1588" s="1093">
        <f>$I$1558</f>
        <v>1215.4838080000002</v>
      </c>
      <c r="F1588" s="1093">
        <f>$I$1558</f>
        <v>1215.4838080000002</v>
      </c>
      <c r="G1588" s="999"/>
      <c r="H1588" s="999"/>
      <c r="I1588" s="999"/>
      <c r="J1588" s="999"/>
      <c r="K1588" s="999"/>
      <c r="L1588" s="999"/>
      <c r="M1588" s="997"/>
      <c r="N1588" s="997"/>
      <c r="O1588" s="997"/>
      <c r="P1588" s="997"/>
    </row>
    <row r="1589" spans="1:16">
      <c r="A1589" s="1023"/>
      <c r="B1589" s="1023"/>
      <c r="C1589" s="1817" t="s">
        <v>1182</v>
      </c>
      <c r="D1589" s="1093">
        <f>'Civil-SOR'!$F$281</f>
        <v>183</v>
      </c>
      <c r="E1589" s="1093">
        <f>'Civil-SOR'!$F$281</f>
        <v>183</v>
      </c>
      <c r="F1589" s="1093">
        <f>'Civil-SOR'!$F$281</f>
        <v>183</v>
      </c>
      <c r="G1589" s="999"/>
      <c r="H1589" s="999"/>
      <c r="I1589" s="999"/>
      <c r="J1589" s="999"/>
      <c r="K1589" s="999"/>
      <c r="L1589" s="999"/>
      <c r="M1589" s="997"/>
      <c r="N1589" s="997"/>
      <c r="O1589" s="997"/>
      <c r="P1589" s="997"/>
    </row>
    <row r="1590" spans="1:16">
      <c r="A1590" s="1023"/>
      <c r="B1590" s="1023"/>
      <c r="C1590" s="1817" t="s">
        <v>1285</v>
      </c>
      <c r="D1590" s="1001">
        <f>'Civil-SOR'!$M$281</f>
        <v>326</v>
      </c>
      <c r="E1590" s="1001">
        <f>'Civil-SOR'!$N$281</f>
        <v>347</v>
      </c>
      <c r="F1590" s="1001">
        <f>'Civil-SOR'!$O$281</f>
        <v>367</v>
      </c>
      <c r="G1590" s="999"/>
      <c r="H1590" s="999"/>
      <c r="I1590" s="999"/>
      <c r="J1590" s="999"/>
      <c r="K1590" s="999"/>
      <c r="L1590" s="999"/>
      <c r="M1590" s="997"/>
      <c r="N1590" s="997"/>
      <c r="O1590" s="997"/>
      <c r="P1590" s="997"/>
    </row>
    <row r="1591" spans="1:16">
      <c r="A1591" s="1023"/>
      <c r="B1591" s="1023"/>
      <c r="C1591" s="1817" t="str">
        <f>Input!$C$47</f>
        <v>Add for MA @ 40%</v>
      </c>
      <c r="D1591" s="1093">
        <f>D1590*Input!$D$47</f>
        <v>130.4</v>
      </c>
      <c r="E1591" s="1093">
        <f>E1590*Input!$D$47</f>
        <v>138.80000000000001</v>
      </c>
      <c r="F1591" s="1093">
        <f>F1590*Input!$D$47</f>
        <v>146.80000000000001</v>
      </c>
      <c r="G1591" s="999"/>
      <c r="H1591" s="999"/>
      <c r="I1591" s="999"/>
      <c r="J1591" s="999"/>
      <c r="K1591" s="999"/>
      <c r="L1591" s="999"/>
      <c r="M1591" s="997"/>
      <c r="N1591" s="997"/>
      <c r="O1591" s="997"/>
      <c r="P1591" s="997"/>
    </row>
    <row r="1592" spans="1:16" ht="25.5">
      <c r="A1592" s="1023"/>
      <c r="B1592" s="1023"/>
      <c r="C1592" s="1817" t="s">
        <v>1254</v>
      </c>
      <c r="D1592" s="1093">
        <f t="shared" ref="D1592:D1593" si="377">E1579*1.5</f>
        <v>26.542136250000002</v>
      </c>
      <c r="E1592" s="1093">
        <f t="shared" ref="E1592:E1593" si="378">E1579*1.6</f>
        <v>28.311612000000004</v>
      </c>
      <c r="F1592" s="1093">
        <f t="shared" ref="F1592:F1593" si="379">E1579*1.7</f>
        <v>30.081087750000002</v>
      </c>
      <c r="G1592" s="999"/>
      <c r="H1592" s="999"/>
      <c r="I1592" s="999"/>
      <c r="J1592" s="999"/>
      <c r="K1592" s="999"/>
      <c r="L1592" s="999"/>
      <c r="M1592" s="997"/>
      <c r="N1592" s="997"/>
      <c r="O1592" s="997"/>
      <c r="P1592" s="997"/>
    </row>
    <row r="1593" spans="1:16">
      <c r="A1593" s="1023"/>
      <c r="B1593" s="1023"/>
      <c r="C1593" s="1817" t="s">
        <v>579</v>
      </c>
      <c r="D1593" s="1093">
        <f t="shared" si="377"/>
        <v>25.259535</v>
      </c>
      <c r="E1593" s="1093">
        <f t="shared" si="378"/>
        <v>26.943504000000004</v>
      </c>
      <c r="F1593" s="1093">
        <f t="shared" si="379"/>
        <v>28.627473000000002</v>
      </c>
      <c r="G1593" s="999"/>
      <c r="H1593" s="999"/>
      <c r="I1593" s="999"/>
      <c r="J1593" s="999"/>
      <c r="K1593" s="999"/>
      <c r="L1593" s="999"/>
      <c r="M1593" s="997"/>
      <c r="N1593" s="997"/>
      <c r="O1593" s="997"/>
      <c r="P1593" s="997"/>
    </row>
    <row r="1594" spans="1:16">
      <c r="A1594" s="1023"/>
      <c r="B1594" s="1023"/>
      <c r="C1594" s="1817" t="str">
        <f>Input!$C$47</f>
        <v>Add for MA @ 40%</v>
      </c>
      <c r="D1594" s="1093">
        <f>D1593*Input!$D$47</f>
        <v>10.103814</v>
      </c>
      <c r="E1594" s="1093">
        <f>E1593*Input!$D$47</f>
        <v>10.777401600000003</v>
      </c>
      <c r="F1594" s="1093">
        <f>F1593*Input!$D$47</f>
        <v>11.450989200000002</v>
      </c>
      <c r="G1594" s="999"/>
      <c r="H1594" s="999"/>
      <c r="I1594" s="999"/>
      <c r="J1594" s="999"/>
      <c r="K1594" s="999"/>
      <c r="L1594" s="999"/>
      <c r="M1594" s="997"/>
      <c r="N1594" s="997"/>
      <c r="O1594" s="997"/>
      <c r="P1594" s="997"/>
    </row>
    <row r="1595" spans="1:16">
      <c r="A1595" s="1023"/>
      <c r="B1595" s="1023"/>
      <c r="C1595" s="1816" t="s">
        <v>1045</v>
      </c>
      <c r="D1595" s="1093">
        <f>SUM(D1588:D1594)</f>
        <v>1916.7892932500004</v>
      </c>
      <c r="E1595" s="1093">
        <f>SUM(E1588:E1594)</f>
        <v>1950.3163256000003</v>
      </c>
      <c r="F1595" s="1093">
        <f>SUM(F1588:F1594)</f>
        <v>1982.4433579500003</v>
      </c>
      <c r="G1595" s="999"/>
      <c r="H1595" s="999"/>
      <c r="I1595" s="999"/>
      <c r="J1595" s="999"/>
      <c r="K1595" s="999"/>
      <c r="L1595" s="999"/>
      <c r="M1595" s="997"/>
      <c r="N1595" s="997"/>
      <c r="O1595" s="997"/>
      <c r="P1595" s="997"/>
    </row>
    <row r="1596" spans="1:16">
      <c r="A1596" s="1023"/>
      <c r="B1596" s="1023"/>
      <c r="C1596" s="1817" t="str">
        <f>Input!$C$48</f>
        <v>Overheads &amp; Contractors Profit @ 13.615%</v>
      </c>
      <c r="D1596" s="1823">
        <f>ROUND(D1595*Input!$D$48,2)</f>
        <v>260.97000000000003</v>
      </c>
      <c r="E1596" s="1823">
        <f>ROUND(E1595*Input!$D$48,2)</f>
        <v>265.54000000000002</v>
      </c>
      <c r="F1596" s="1823">
        <f>ROUND(F1595*Input!$D$48,2)</f>
        <v>269.91000000000003</v>
      </c>
      <c r="G1596" s="999"/>
      <c r="H1596" s="999"/>
      <c r="I1596" s="999"/>
      <c r="J1596" s="999"/>
      <c r="K1596" s="999"/>
      <c r="L1596" s="999"/>
      <c r="M1596" s="997"/>
      <c r="N1596" s="997"/>
      <c r="O1596" s="997"/>
      <c r="P1596" s="997"/>
    </row>
    <row r="1597" spans="1:16">
      <c r="A1597" s="1023"/>
      <c r="B1597" s="1023"/>
      <c r="C1597" s="1816" t="s">
        <v>1045</v>
      </c>
      <c r="D1597" s="1829">
        <f>SUM(D1595:D1596)</f>
        <v>2177.7592932500002</v>
      </c>
      <c r="E1597" s="1829">
        <f>SUM(E1595:E1596)</f>
        <v>2215.8563256000002</v>
      </c>
      <c r="F1597" s="1829">
        <f>SUM(F1595:F1596)</f>
        <v>2252.3533579500004</v>
      </c>
      <c r="G1597" s="999"/>
      <c r="H1597" s="999"/>
      <c r="I1597" s="999"/>
      <c r="J1597" s="999"/>
      <c r="K1597" s="999"/>
      <c r="L1597" s="999"/>
      <c r="M1597" s="997"/>
      <c r="N1597" s="997"/>
      <c r="O1597" s="997"/>
      <c r="P1597" s="997"/>
    </row>
    <row r="1598" spans="1:16">
      <c r="A1598" s="1023"/>
      <c r="B1598" s="1023"/>
      <c r="C1598" s="1843" t="s">
        <v>1034</v>
      </c>
      <c r="D1598" s="999">
        <f>ROUND(D1597,0)</f>
        <v>2178</v>
      </c>
      <c r="E1598" s="999">
        <f>ROUND(E1597,0)</f>
        <v>2216</v>
      </c>
      <c r="F1598" s="999">
        <f>ROUND(F1597,0)</f>
        <v>2252</v>
      </c>
      <c r="G1598" s="999"/>
      <c r="H1598" s="999"/>
      <c r="I1598" s="999"/>
      <c r="J1598" s="999"/>
      <c r="K1598" s="999"/>
      <c r="L1598" s="999"/>
      <c r="M1598" s="997"/>
      <c r="N1598" s="997"/>
      <c r="O1598" s="997"/>
      <c r="P1598" s="997"/>
    </row>
    <row r="1599" spans="1:16">
      <c r="A1599" s="1023"/>
      <c r="B1599" s="1023"/>
      <c r="C1599" s="1843"/>
      <c r="D1599" s="999"/>
      <c r="E1599" s="999"/>
      <c r="F1599" s="999"/>
      <c r="G1599" s="999"/>
      <c r="H1599" s="999"/>
      <c r="I1599" s="999"/>
      <c r="J1599" s="999"/>
      <c r="K1599" s="999"/>
      <c r="L1599" s="999"/>
      <c r="M1599" s="997"/>
      <c r="N1599" s="997"/>
      <c r="O1599" s="997"/>
      <c r="P1599" s="997"/>
    </row>
    <row r="1600" spans="1:16">
      <c r="A1600" s="1823"/>
      <c r="B1600" s="1098" t="s">
        <v>436</v>
      </c>
      <c r="C1600" s="1821" t="s">
        <v>1276</v>
      </c>
      <c r="D1600" s="2053">
        <v>0.2</v>
      </c>
      <c r="E1600" s="2054" t="s">
        <v>484</v>
      </c>
      <c r="F1600" s="2053">
        <f>$I$1425</f>
        <v>6945.6217600000009</v>
      </c>
      <c r="G1600" s="2055">
        <v>1</v>
      </c>
      <c r="H1600" s="2054" t="s">
        <v>484</v>
      </c>
      <c r="I1600" s="2050">
        <f>IF(G1600="",D1600*F1600,(D1600*F1600/G1600))</f>
        <v>1389.1243520000003</v>
      </c>
      <c r="J1600" s="1846"/>
      <c r="K1600" s="1846"/>
      <c r="L1600" s="1846"/>
    </row>
    <row r="1601" spans="1:16">
      <c r="A1601" s="1823"/>
      <c r="B1601" s="1068"/>
      <c r="C1601" s="1817" t="s">
        <v>1181</v>
      </c>
      <c r="D1601" s="2053"/>
      <c r="E1601" s="2054"/>
      <c r="F1601" s="2053"/>
      <c r="G1601" s="2055"/>
      <c r="H1601" s="2054"/>
      <c r="I1601" s="2050"/>
      <c r="J1601" s="1846"/>
      <c r="K1601" s="1846"/>
      <c r="L1601" s="1846"/>
    </row>
    <row r="1602" spans="1:16">
      <c r="A1602" s="1823"/>
      <c r="B1602" s="1068"/>
      <c r="C1602" s="1817"/>
      <c r="D1602" s="1846"/>
      <c r="E1602" s="1846"/>
      <c r="F1602" s="1068"/>
      <c r="G1602" s="1105"/>
      <c r="H1602" s="1846"/>
      <c r="I1602" s="1080"/>
      <c r="J1602" s="1846"/>
      <c r="K1602" s="1846"/>
      <c r="L1602" s="1846"/>
    </row>
    <row r="1603" spans="1:16">
      <c r="A1603" s="1823"/>
      <c r="B1603" s="1068"/>
      <c r="C1603" s="1821" t="s">
        <v>1286</v>
      </c>
      <c r="D1603" s="1846"/>
      <c r="E1603" s="1846"/>
      <c r="F1603" s="1068"/>
      <c r="G1603" s="1105"/>
      <c r="H1603" s="1846"/>
      <c r="I1603" s="1080"/>
      <c r="J1603" s="1105"/>
      <c r="K1603" s="1846"/>
      <c r="L1603" s="1080"/>
    </row>
    <row r="1604" spans="1:16">
      <c r="A1604" s="1823"/>
      <c r="B1604" s="1098" t="s">
        <v>1215</v>
      </c>
      <c r="C1604" s="1821" t="s">
        <v>1216</v>
      </c>
      <c r="D1604" s="1846"/>
      <c r="E1604" s="1846"/>
      <c r="F1604" s="1068"/>
      <c r="G1604" s="1105"/>
      <c r="H1604" s="1846"/>
      <c r="I1604" s="1080"/>
      <c r="J1604" s="1105"/>
      <c r="K1604" s="1846"/>
      <c r="L1604" s="1080"/>
    </row>
    <row r="1605" spans="1:16">
      <c r="A1605" s="1823"/>
      <c r="B1605" s="1068"/>
      <c r="C1605" s="1816" t="s">
        <v>1217</v>
      </c>
      <c r="D1605" s="1009" t="s">
        <v>1223</v>
      </c>
      <c r="E1605" s="1098" t="s">
        <v>1207</v>
      </c>
      <c r="F1605" s="1102" t="s">
        <v>1208</v>
      </c>
      <c r="G1605" s="1102" t="s">
        <v>1209</v>
      </c>
      <c r="H1605" s="1102" t="s">
        <v>1210</v>
      </c>
      <c r="I1605" s="1102" t="s">
        <v>1211</v>
      </c>
      <c r="J1605" s="1846"/>
      <c r="K1605" s="1846"/>
      <c r="L1605" s="1846"/>
    </row>
    <row r="1606" spans="1:16">
      <c r="A1606" s="1847"/>
      <c r="B1606" s="1847"/>
      <c r="C1606" s="1817" t="s">
        <v>1218</v>
      </c>
      <c r="D1606" s="1848">
        <f t="shared" ref="D1606:I1606" si="380">$I$1600</f>
        <v>1389.1243520000003</v>
      </c>
      <c r="E1606" s="1848">
        <f t="shared" si="380"/>
        <v>1389.1243520000003</v>
      </c>
      <c r="F1606" s="1848">
        <f t="shared" si="380"/>
        <v>1389.1243520000003</v>
      </c>
      <c r="G1606" s="1848">
        <f t="shared" si="380"/>
        <v>1389.1243520000003</v>
      </c>
      <c r="H1606" s="1848">
        <f t="shared" si="380"/>
        <v>1389.1243520000003</v>
      </c>
      <c r="I1606" s="1848">
        <f t="shared" si="380"/>
        <v>1389.1243520000003</v>
      </c>
      <c r="J1606" s="1022"/>
      <c r="K1606" s="1022"/>
      <c r="L1606" s="1022"/>
      <c r="M1606" s="1066"/>
      <c r="N1606" s="1066"/>
      <c r="O1606" s="1066"/>
      <c r="P1606" s="1066"/>
    </row>
    <row r="1607" spans="1:16">
      <c r="A1607" s="1847"/>
      <c r="B1607" s="1847"/>
      <c r="C1607" s="1817" t="s">
        <v>1182</v>
      </c>
      <c r="D1607" s="1848">
        <f>'Civil-SOR'!$F$281</f>
        <v>183</v>
      </c>
      <c r="E1607" s="1848">
        <f>'Civil-SOR'!$F$281</f>
        <v>183</v>
      </c>
      <c r="F1607" s="1848">
        <f>'Civil-SOR'!$F$281</f>
        <v>183</v>
      </c>
      <c r="G1607" s="1848">
        <f>'Civil-SOR'!$F$281</f>
        <v>183</v>
      </c>
      <c r="H1607" s="1848">
        <f>'Civil-SOR'!$F$281</f>
        <v>183</v>
      </c>
      <c r="I1607" s="1848">
        <f>'Civil-SOR'!$F$281</f>
        <v>183</v>
      </c>
      <c r="J1607" s="1022"/>
      <c r="K1607" s="1022"/>
      <c r="L1607" s="1022"/>
      <c r="M1607" s="1066"/>
      <c r="N1607" s="1066"/>
      <c r="O1607" s="1066"/>
      <c r="P1607" s="1066"/>
    </row>
    <row r="1608" spans="1:16">
      <c r="A1608" s="1847"/>
      <c r="B1608" s="1847"/>
      <c r="C1608" s="1817" t="s">
        <v>1252</v>
      </c>
      <c r="D1608" s="1062">
        <f>'Civil-SOR'!$G$281</f>
        <v>204</v>
      </c>
      <c r="E1608" s="1062">
        <f>'Civil-SOR'!$H$281</f>
        <v>224</v>
      </c>
      <c r="F1608" s="1062">
        <f>'Civil-SOR'!$I$281</f>
        <v>245</v>
      </c>
      <c r="G1608" s="1062">
        <f>'Civil-SOR'!$J$281</f>
        <v>265</v>
      </c>
      <c r="H1608" s="1062">
        <f>'Civil-SOR'!$K$281</f>
        <v>286</v>
      </c>
      <c r="I1608" s="1062">
        <f>'Civil-SOR'!$L$281</f>
        <v>306</v>
      </c>
      <c r="J1608" s="1022"/>
      <c r="K1608" s="1022"/>
      <c r="L1608" s="1022"/>
      <c r="M1608" s="1066"/>
      <c r="N1608" s="1066"/>
      <c r="O1608" s="1066"/>
      <c r="P1608" s="1066"/>
    </row>
    <row r="1609" spans="1:16">
      <c r="A1609" s="1847"/>
      <c r="B1609" s="1847"/>
      <c r="C1609" s="1817" t="str">
        <f>Input!$C$47</f>
        <v>Add for MA @ 40%</v>
      </c>
      <c r="D1609" s="1848">
        <f>D1608*Input!$D$47</f>
        <v>81.600000000000009</v>
      </c>
      <c r="E1609" s="1848">
        <f>E1608*Input!$D$47</f>
        <v>89.600000000000009</v>
      </c>
      <c r="F1609" s="1848">
        <f>F1608*Input!$D$47</f>
        <v>98</v>
      </c>
      <c r="G1609" s="1848">
        <f>G1608*Input!$D$47</f>
        <v>106</v>
      </c>
      <c r="H1609" s="1848">
        <f>H1608*Input!$D$47</f>
        <v>114.4</v>
      </c>
      <c r="I1609" s="1848">
        <f>I1608*Input!$D$47</f>
        <v>122.4</v>
      </c>
      <c r="J1609" s="1022"/>
      <c r="K1609" s="1022"/>
      <c r="L1609" s="1022"/>
      <c r="M1609" s="1066"/>
      <c r="N1609" s="1066"/>
      <c r="O1609" s="1066"/>
      <c r="P1609" s="1066"/>
    </row>
    <row r="1610" spans="1:16">
      <c r="A1610" s="1847"/>
      <c r="B1610" s="1847"/>
      <c r="C1610" s="1817" t="s">
        <v>1239</v>
      </c>
      <c r="D1610" s="1848">
        <v>0</v>
      </c>
      <c r="E1610" s="1848">
        <f>$F$1417*D1600*10%</f>
        <v>34.241000000000007</v>
      </c>
      <c r="F1610" s="1848">
        <f>$F$1417*$D$1600*20%</f>
        <v>68.482000000000014</v>
      </c>
      <c r="G1610" s="1848">
        <f>$F$1417*$D$1600*30%</f>
        <v>102.723</v>
      </c>
      <c r="H1610" s="1848">
        <f>$F$1417*$D$1600*40%</f>
        <v>136.96400000000003</v>
      </c>
      <c r="I1610" s="1848">
        <f>$F$1417*$D$1600*50%</f>
        <v>171.20500000000001</v>
      </c>
      <c r="J1610" s="1022"/>
      <c r="K1610" s="1022"/>
      <c r="L1610" s="1022"/>
      <c r="M1610" s="1066"/>
      <c r="N1610" s="1066"/>
      <c r="O1610" s="1066"/>
      <c r="P1610" s="1066"/>
    </row>
    <row r="1611" spans="1:16">
      <c r="A1611" s="1847"/>
      <c r="B1611" s="1847"/>
      <c r="C1611" s="1817" t="str">
        <f>Input!$C$47</f>
        <v>Add for MA @ 40%</v>
      </c>
      <c r="D1611" s="1848">
        <f>D1610*Input!$D$47</f>
        <v>0</v>
      </c>
      <c r="E1611" s="1848">
        <f>E1610*Input!$D$47</f>
        <v>13.696400000000004</v>
      </c>
      <c r="F1611" s="1848">
        <f>F1610*Input!$D$47</f>
        <v>27.392800000000008</v>
      </c>
      <c r="G1611" s="1848">
        <f>G1610*Input!$D$47</f>
        <v>41.089200000000005</v>
      </c>
      <c r="H1611" s="1848">
        <f>H1610*Input!$D$47</f>
        <v>54.785600000000017</v>
      </c>
      <c r="I1611" s="1848">
        <f>I1610*Input!$D$47</f>
        <v>68.482000000000014</v>
      </c>
      <c r="J1611" s="1022"/>
      <c r="K1611" s="1022"/>
      <c r="L1611" s="1022"/>
      <c r="M1611" s="1066"/>
      <c r="N1611" s="1066"/>
      <c r="O1611" s="1066"/>
      <c r="P1611" s="1066"/>
    </row>
    <row r="1612" spans="1:16">
      <c r="A1612" s="1847"/>
      <c r="B1612" s="1847"/>
      <c r="C1612" s="1816" t="s">
        <v>1045</v>
      </c>
      <c r="D1612" s="1848">
        <f t="shared" ref="D1612:I1612" si="381">SUM(D1606:D1611)</f>
        <v>1857.7243520000002</v>
      </c>
      <c r="E1612" s="1848">
        <f t="shared" si="381"/>
        <v>1933.6617520000002</v>
      </c>
      <c r="F1612" s="1848">
        <f t="shared" si="381"/>
        <v>2010.9991520000003</v>
      </c>
      <c r="G1612" s="1848">
        <f t="shared" si="381"/>
        <v>2086.9365520000001</v>
      </c>
      <c r="H1612" s="1848">
        <f t="shared" si="381"/>
        <v>2164.2739520000005</v>
      </c>
      <c r="I1612" s="1848">
        <f t="shared" si="381"/>
        <v>2240.2113520000003</v>
      </c>
      <c r="J1612" s="1022"/>
      <c r="K1612" s="1022"/>
      <c r="L1612" s="1022"/>
      <c r="M1612" s="1066"/>
      <c r="N1612" s="1066"/>
      <c r="O1612" s="1066"/>
      <c r="P1612" s="1066"/>
    </row>
    <row r="1613" spans="1:16">
      <c r="A1613" s="1847"/>
      <c r="B1613" s="1847"/>
      <c r="C1613" s="1817" t="str">
        <f>Input!$C$48</f>
        <v>Overheads &amp; Contractors Profit @ 13.615%</v>
      </c>
      <c r="D1613" s="1847">
        <f>ROUND(D1612*Input!$D$48,2)</f>
        <v>252.93</v>
      </c>
      <c r="E1613" s="1847">
        <f>ROUND(E1612*Input!$D$48,2)</f>
        <v>263.27</v>
      </c>
      <c r="F1613" s="1847">
        <f>ROUND(F1612*Input!$D$48,2)</f>
        <v>273.8</v>
      </c>
      <c r="G1613" s="1847">
        <f>ROUND(G1612*Input!$D$48,2)</f>
        <v>284.14</v>
      </c>
      <c r="H1613" s="1847">
        <f>ROUND(H1612*Input!$D$48,2)</f>
        <v>294.67</v>
      </c>
      <c r="I1613" s="1847">
        <f>ROUND(I1612*Input!$D$48,2)</f>
        <v>305</v>
      </c>
      <c r="J1613" s="1022"/>
      <c r="K1613" s="1022"/>
      <c r="L1613" s="1022"/>
      <c r="M1613" s="1066"/>
      <c r="N1613" s="1066"/>
      <c r="O1613" s="1066"/>
      <c r="P1613" s="1066"/>
    </row>
    <row r="1614" spans="1:16">
      <c r="A1614" s="1840"/>
      <c r="B1614" s="1840"/>
      <c r="C1614" s="1816" t="s">
        <v>1045</v>
      </c>
      <c r="D1614" s="1017">
        <f t="shared" ref="D1614:I1614" si="382">SUM(D1612:D1613)</f>
        <v>2110.654352</v>
      </c>
      <c r="E1614" s="1017">
        <f t="shared" si="382"/>
        <v>2196.9317520000004</v>
      </c>
      <c r="F1614" s="1017">
        <f t="shared" si="382"/>
        <v>2284.7991520000005</v>
      </c>
      <c r="G1614" s="1017">
        <f t="shared" si="382"/>
        <v>2371.076552</v>
      </c>
      <c r="H1614" s="1017">
        <f t="shared" si="382"/>
        <v>2458.9439520000005</v>
      </c>
      <c r="I1614" s="1017">
        <f t="shared" si="382"/>
        <v>2545.2113520000003</v>
      </c>
      <c r="J1614" s="1005"/>
      <c r="K1614" s="1005"/>
      <c r="L1614" s="1005"/>
      <c r="M1614" s="1006"/>
      <c r="N1614" s="1006"/>
      <c r="O1614" s="1006"/>
      <c r="P1614" s="1006"/>
    </row>
    <row r="1615" spans="1:16">
      <c r="A1615" s="1023"/>
      <c r="B1615" s="1023"/>
      <c r="C1615" s="1843" t="s">
        <v>1034</v>
      </c>
      <c r="D1615" s="999">
        <f t="shared" ref="D1615:I1615" si="383">ROUND(D1614,0)</f>
        <v>2111</v>
      </c>
      <c r="E1615" s="999">
        <f t="shared" si="383"/>
        <v>2197</v>
      </c>
      <c r="F1615" s="999">
        <f t="shared" si="383"/>
        <v>2285</v>
      </c>
      <c r="G1615" s="999">
        <f t="shared" si="383"/>
        <v>2371</v>
      </c>
      <c r="H1615" s="999">
        <f t="shared" si="383"/>
        <v>2459</v>
      </c>
      <c r="I1615" s="999">
        <f t="shared" si="383"/>
        <v>2545</v>
      </c>
      <c r="J1615" s="996"/>
      <c r="K1615" s="996"/>
      <c r="L1615" s="996"/>
      <c r="M1615" s="997"/>
      <c r="N1615" s="997"/>
      <c r="O1615" s="997"/>
      <c r="P1615" s="997"/>
    </row>
    <row r="1616" spans="1:16">
      <c r="A1616" s="1823"/>
      <c r="B1616" s="1068"/>
      <c r="C1616" s="1129"/>
      <c r="D1616" s="1114"/>
      <c r="E1616" s="1114"/>
      <c r="F1616" s="1114"/>
      <c r="G1616" s="1114"/>
      <c r="H1616" s="1114"/>
      <c r="I1616" s="1009"/>
      <c r="J1616" s="1846"/>
      <c r="K1616" s="1846"/>
      <c r="L1616" s="1846"/>
    </row>
    <row r="1617" spans="1:64" ht="118.5" customHeight="1">
      <c r="A1617" s="1025">
        <f>1+A1406</f>
        <v>18</v>
      </c>
      <c r="B1617" s="1025"/>
      <c r="C1617" s="2039" t="s">
        <v>3674</v>
      </c>
      <c r="D1617" s="2040"/>
      <c r="E1617" s="2040"/>
      <c r="F1617" s="2040"/>
      <c r="G1617" s="2040"/>
      <c r="H1617" s="2040"/>
      <c r="I1617" s="2041"/>
      <c r="J1617" s="1022"/>
      <c r="K1617" s="1022"/>
      <c r="L1617" s="1022"/>
      <c r="M1617" s="1066"/>
      <c r="N1617" s="1066"/>
      <c r="O1617" s="1066"/>
      <c r="P1617" s="1066"/>
      <c r="Q1617" s="1066"/>
      <c r="R1617" s="1066"/>
      <c r="S1617" s="1066"/>
      <c r="T1617" s="1066"/>
      <c r="U1617" s="1066"/>
      <c r="V1617" s="1066"/>
      <c r="W1617" s="1066"/>
      <c r="X1617" s="1066"/>
      <c r="Y1617" s="1066"/>
      <c r="Z1617" s="1066"/>
      <c r="AA1617" s="1066"/>
      <c r="AB1617" s="1066"/>
      <c r="AC1617" s="1066"/>
      <c r="AD1617" s="1066"/>
      <c r="AE1617" s="1066"/>
      <c r="AF1617" s="1066"/>
      <c r="AG1617" s="1066"/>
      <c r="AH1617" s="1066"/>
      <c r="AI1617" s="1066"/>
      <c r="AJ1617" s="1066"/>
      <c r="AK1617" s="1066"/>
      <c r="AL1617" s="1066"/>
      <c r="AM1617" s="1066"/>
      <c r="AN1617" s="1066"/>
      <c r="AO1617" s="1066"/>
      <c r="AP1617" s="1066"/>
      <c r="AQ1617" s="1066"/>
      <c r="AR1617" s="1066"/>
      <c r="AS1617" s="1066"/>
      <c r="AT1617" s="1066"/>
      <c r="AU1617" s="1066"/>
      <c r="AV1617" s="1066"/>
      <c r="AW1617" s="1066"/>
      <c r="AX1617" s="1066"/>
      <c r="AY1617" s="1066"/>
      <c r="AZ1617" s="1066"/>
      <c r="BA1617" s="1066"/>
      <c r="BB1617" s="1066"/>
      <c r="BC1617" s="1066"/>
      <c r="BD1617" s="1066"/>
      <c r="BE1617" s="1066"/>
      <c r="BF1617" s="1066"/>
      <c r="BG1617" s="1066"/>
      <c r="BH1617" s="1066"/>
      <c r="BI1617" s="1066"/>
      <c r="BJ1617" s="1066"/>
      <c r="BK1617" s="1066"/>
      <c r="BL1617" s="1066"/>
    </row>
    <row r="1618" spans="1:64">
      <c r="A1618" s="1847"/>
      <c r="B1618" s="1847"/>
      <c r="C1618" s="1078" t="s">
        <v>1246</v>
      </c>
      <c r="D1618" s="1849"/>
      <c r="E1618" s="1849"/>
      <c r="F1618" s="1847"/>
      <c r="G1618" s="1849"/>
      <c r="H1618" s="1817"/>
      <c r="I1618" s="1848"/>
      <c r="J1618" s="1022"/>
      <c r="K1618" s="1022"/>
      <c r="L1618" s="1022"/>
      <c r="M1618" s="1066"/>
      <c r="N1618" s="1066"/>
      <c r="O1618" s="1066"/>
      <c r="P1618" s="1066"/>
      <c r="Q1618" s="1066"/>
      <c r="R1618" s="1066"/>
      <c r="S1618" s="1066"/>
      <c r="T1618" s="1066"/>
      <c r="U1618" s="1066"/>
      <c r="V1618" s="1066"/>
      <c r="W1618" s="1066"/>
      <c r="X1618" s="1066"/>
      <c r="Y1618" s="1066"/>
      <c r="Z1618" s="1066"/>
      <c r="AA1618" s="1066"/>
      <c r="AB1618" s="1066"/>
      <c r="AC1618" s="1066"/>
      <c r="AD1618" s="1066"/>
      <c r="AE1618" s="1066"/>
      <c r="AF1618" s="1066"/>
      <c r="AG1618" s="1066"/>
      <c r="AH1618" s="1066"/>
      <c r="AI1618" s="1066"/>
      <c r="AJ1618" s="1066"/>
      <c r="AK1618" s="1066"/>
      <c r="AL1618" s="1066"/>
      <c r="AM1618" s="1066"/>
      <c r="AN1618" s="1066"/>
      <c r="AO1618" s="1066"/>
      <c r="AP1618" s="1066"/>
      <c r="AQ1618" s="1066"/>
      <c r="AR1618" s="1066"/>
      <c r="AS1618" s="1066"/>
      <c r="AT1618" s="1066"/>
      <c r="AU1618" s="1066"/>
      <c r="AV1618" s="1066"/>
      <c r="AW1618" s="1066"/>
      <c r="AX1618" s="1066"/>
      <c r="AY1618" s="1066"/>
      <c r="AZ1618" s="1066"/>
      <c r="BA1618" s="1066"/>
      <c r="BB1618" s="1066"/>
      <c r="BC1618" s="1066"/>
      <c r="BD1618" s="1066"/>
      <c r="BE1618" s="1066"/>
      <c r="BF1618" s="1066"/>
      <c r="BG1618" s="1066"/>
      <c r="BH1618" s="1066"/>
      <c r="BI1618" s="1066"/>
      <c r="BJ1618" s="1066"/>
      <c r="BK1618" s="1066"/>
      <c r="BL1618" s="1066"/>
    </row>
    <row r="1619" spans="1:64">
      <c r="A1619" s="1847"/>
      <c r="B1619" s="1847"/>
      <c r="C1619" s="1821" t="s">
        <v>1139</v>
      </c>
      <c r="D1619" s="1849"/>
      <c r="E1619" s="1849"/>
      <c r="F1619" s="1847"/>
      <c r="G1619" s="1849"/>
      <c r="H1619" s="1817"/>
      <c r="I1619" s="1848"/>
      <c r="J1619" s="1022"/>
      <c r="K1619" s="1022"/>
      <c r="L1619" s="1022"/>
      <c r="M1619" s="1066"/>
      <c r="N1619" s="1066"/>
      <c r="O1619" s="1066"/>
      <c r="P1619" s="1066"/>
      <c r="Q1619" s="1066"/>
      <c r="R1619" s="1066"/>
      <c r="S1619" s="1066"/>
      <c r="T1619" s="1066"/>
      <c r="U1619" s="1066"/>
      <c r="V1619" s="1066"/>
      <c r="W1619" s="1066"/>
      <c r="X1619" s="1066"/>
      <c r="Y1619" s="1066"/>
      <c r="Z1619" s="1066"/>
      <c r="AA1619" s="1066"/>
      <c r="AB1619" s="1066"/>
      <c r="AC1619" s="1066"/>
      <c r="AD1619" s="1066"/>
      <c r="AE1619" s="1066"/>
      <c r="AF1619" s="1066"/>
      <c r="AG1619" s="1066"/>
      <c r="AH1619" s="1066"/>
      <c r="AI1619" s="1066"/>
      <c r="AJ1619" s="1066"/>
      <c r="AK1619" s="1066"/>
      <c r="AL1619" s="1066"/>
      <c r="AM1619" s="1066"/>
      <c r="AN1619" s="1066"/>
      <c r="AO1619" s="1066"/>
      <c r="AP1619" s="1066"/>
      <c r="AQ1619" s="1066"/>
      <c r="AR1619" s="1066"/>
      <c r="AS1619" s="1066"/>
      <c r="AT1619" s="1066"/>
      <c r="AU1619" s="1066"/>
      <c r="AV1619" s="1066"/>
      <c r="AW1619" s="1066"/>
      <c r="AX1619" s="1066"/>
      <c r="AY1619" s="1066"/>
      <c r="AZ1619" s="1066"/>
      <c r="BA1619" s="1066"/>
      <c r="BB1619" s="1066"/>
      <c r="BC1619" s="1066"/>
      <c r="BD1619" s="1066"/>
      <c r="BE1619" s="1066"/>
      <c r="BF1619" s="1066"/>
      <c r="BG1619" s="1066"/>
      <c r="BH1619" s="1066"/>
      <c r="BI1619" s="1066"/>
      <c r="BJ1619" s="1066"/>
      <c r="BK1619" s="1066"/>
      <c r="BL1619" s="1066"/>
    </row>
    <row r="1620" spans="1:64">
      <c r="A1620" s="1847"/>
      <c r="B1620" s="1847"/>
      <c r="C1620" s="1817" t="s">
        <v>889</v>
      </c>
      <c r="D1620" s="1137">
        <v>380</v>
      </c>
      <c r="E1620" s="1022" t="s">
        <v>1110</v>
      </c>
      <c r="F1620" s="1848">
        <f>LEAD!$N$6</f>
        <v>5200</v>
      </c>
      <c r="G1620" s="1076">
        <v>1000</v>
      </c>
      <c r="H1620" s="1022" t="s">
        <v>1110</v>
      </c>
      <c r="I1620" s="1062">
        <f t="shared" ref="I1620:I1622" si="384">IF(G1620="",D1620*F1620,(D1620*F1620/G1620))</f>
        <v>1976</v>
      </c>
      <c r="J1620" s="1022"/>
      <c r="K1620" s="1022"/>
      <c r="L1620" s="1022"/>
      <c r="M1620" s="1066"/>
      <c r="N1620" s="1066"/>
      <c r="O1620" s="1066"/>
      <c r="P1620" s="1066"/>
      <c r="Q1620" s="1066"/>
      <c r="R1620" s="1066"/>
      <c r="S1620" s="1066"/>
      <c r="T1620" s="1066"/>
      <c r="U1620" s="1066"/>
      <c r="V1620" s="1066"/>
      <c r="W1620" s="1066"/>
      <c r="X1620" s="1066"/>
      <c r="Y1620" s="1066"/>
      <c r="Z1620" s="1066"/>
      <c r="AA1620" s="1066"/>
      <c r="AB1620" s="1066"/>
      <c r="AC1620" s="1066"/>
      <c r="AD1620" s="1066"/>
      <c r="AE1620" s="1066"/>
      <c r="AF1620" s="1066"/>
      <c r="AG1620" s="1066"/>
      <c r="AH1620" s="1066"/>
      <c r="AI1620" s="1066"/>
      <c r="AJ1620" s="1066"/>
      <c r="AK1620" s="1066"/>
      <c r="AL1620" s="1066"/>
      <c r="AM1620" s="1066"/>
      <c r="AN1620" s="1066"/>
      <c r="AO1620" s="1066"/>
      <c r="AP1620" s="1066"/>
      <c r="AQ1620" s="1066"/>
      <c r="AR1620" s="1066"/>
      <c r="AS1620" s="1066"/>
      <c r="AT1620" s="1066"/>
      <c r="AU1620" s="1066"/>
      <c r="AV1620" s="1066"/>
      <c r="AW1620" s="1066"/>
      <c r="AX1620" s="1066"/>
      <c r="AY1620" s="1066"/>
      <c r="AZ1620" s="1066"/>
      <c r="BA1620" s="1066"/>
      <c r="BB1620" s="1066"/>
      <c r="BC1620" s="1066"/>
      <c r="BD1620" s="1066"/>
      <c r="BE1620" s="1066"/>
      <c r="BF1620" s="1066"/>
      <c r="BG1620" s="1066"/>
      <c r="BH1620" s="1066"/>
      <c r="BI1620" s="1066"/>
      <c r="BJ1620" s="1066"/>
      <c r="BK1620" s="1066"/>
      <c r="BL1620" s="1066"/>
    </row>
    <row r="1621" spans="1:64">
      <c r="A1621" s="1847"/>
      <c r="B1621" s="1847"/>
      <c r="C1621" s="1817" t="s">
        <v>1171</v>
      </c>
      <c r="D1621" s="1137">
        <v>0.8</v>
      </c>
      <c r="E1621" s="1022" t="s">
        <v>484</v>
      </c>
      <c r="F1621" s="1062">
        <f>$F$16</f>
        <v>1447.96</v>
      </c>
      <c r="G1621" s="1076">
        <v>1</v>
      </c>
      <c r="H1621" s="1022" t="s">
        <v>484</v>
      </c>
      <c r="I1621" s="1062">
        <f t="shared" si="384"/>
        <v>1158.3680000000002</v>
      </c>
      <c r="J1621" s="1022"/>
      <c r="K1621" s="1022"/>
      <c r="L1621" s="1022"/>
      <c r="M1621" s="1066"/>
      <c r="N1621" s="1066"/>
      <c r="O1621" s="1066"/>
      <c r="P1621" s="1066"/>
      <c r="Q1621" s="1066"/>
      <c r="R1621" s="1066"/>
      <c r="S1621" s="1066"/>
      <c r="T1621" s="1066"/>
      <c r="U1621" s="1066"/>
      <c r="V1621" s="1066"/>
      <c r="W1621" s="1066"/>
      <c r="X1621" s="1066"/>
      <c r="Y1621" s="1066"/>
      <c r="Z1621" s="1066"/>
      <c r="AA1621" s="1066"/>
      <c r="AB1621" s="1066"/>
      <c r="AC1621" s="1066"/>
      <c r="AD1621" s="1066"/>
      <c r="AE1621" s="1066"/>
      <c r="AF1621" s="1066"/>
      <c r="AG1621" s="1066"/>
      <c r="AH1621" s="1066"/>
      <c r="AI1621" s="1066"/>
      <c r="AJ1621" s="1066"/>
      <c r="AK1621" s="1066"/>
      <c r="AL1621" s="1066"/>
      <c r="AM1621" s="1066"/>
      <c r="AN1621" s="1066"/>
      <c r="AO1621" s="1066"/>
      <c r="AP1621" s="1066"/>
      <c r="AQ1621" s="1066"/>
      <c r="AR1621" s="1066"/>
      <c r="AS1621" s="1066"/>
      <c r="AT1621" s="1066"/>
      <c r="AU1621" s="1066"/>
      <c r="AV1621" s="1066"/>
      <c r="AW1621" s="1066"/>
      <c r="AX1621" s="1066"/>
      <c r="AY1621" s="1066"/>
      <c r="AZ1621" s="1066"/>
      <c r="BA1621" s="1066"/>
      <c r="BB1621" s="1066"/>
      <c r="BC1621" s="1066"/>
      <c r="BD1621" s="1066"/>
      <c r="BE1621" s="1066"/>
      <c r="BF1621" s="1066"/>
      <c r="BG1621" s="1066"/>
      <c r="BH1621" s="1066"/>
      <c r="BI1621" s="1066"/>
      <c r="BJ1621" s="1066"/>
      <c r="BK1621" s="1066"/>
      <c r="BL1621" s="1066"/>
    </row>
    <row r="1622" spans="1:64">
      <c r="A1622" s="1847"/>
      <c r="B1622" s="1847"/>
      <c r="C1622" s="1817" t="s">
        <v>1163</v>
      </c>
      <c r="D1622" s="1137">
        <v>0.4</v>
      </c>
      <c r="E1622" s="1022" t="s">
        <v>484</v>
      </c>
      <c r="F1622" s="1848">
        <f>LEAD!$N$12</f>
        <v>2253.91</v>
      </c>
      <c r="G1622" s="1076">
        <v>1</v>
      </c>
      <c r="H1622" s="1022" t="s">
        <v>484</v>
      </c>
      <c r="I1622" s="1062">
        <f t="shared" si="384"/>
        <v>901.56399999999996</v>
      </c>
      <c r="J1622" s="1022"/>
      <c r="K1622" s="1022"/>
      <c r="L1622" s="1022"/>
      <c r="M1622" s="1066"/>
      <c r="N1622" s="1066"/>
      <c r="O1622" s="1066"/>
      <c r="P1622" s="1066"/>
      <c r="Q1622" s="1066"/>
      <c r="R1622" s="1066"/>
      <c r="S1622" s="1066"/>
      <c r="T1622" s="1066"/>
      <c r="U1622" s="1066"/>
      <c r="V1622" s="1066"/>
      <c r="W1622" s="1066"/>
      <c r="X1622" s="1066"/>
      <c r="Y1622" s="1066"/>
      <c r="Z1622" s="1066"/>
      <c r="AA1622" s="1066"/>
      <c r="AB1622" s="1066"/>
      <c r="AC1622" s="1066"/>
      <c r="AD1622" s="1066"/>
      <c r="AE1622" s="1066"/>
      <c r="AF1622" s="1066"/>
      <c r="AG1622" s="1066"/>
      <c r="AH1622" s="1066"/>
      <c r="AI1622" s="1066"/>
      <c r="AJ1622" s="1066"/>
      <c r="AK1622" s="1066"/>
      <c r="AL1622" s="1066"/>
      <c r="AM1622" s="1066"/>
      <c r="AN1622" s="1066"/>
      <c r="AO1622" s="1066"/>
      <c r="AP1622" s="1066"/>
      <c r="AQ1622" s="1066"/>
      <c r="AR1622" s="1066"/>
      <c r="AS1622" s="1066"/>
      <c r="AT1622" s="1066"/>
      <c r="AU1622" s="1066"/>
      <c r="AV1622" s="1066"/>
      <c r="AW1622" s="1066"/>
      <c r="AX1622" s="1066"/>
      <c r="AY1622" s="1066"/>
      <c r="AZ1622" s="1066"/>
      <c r="BA1622" s="1066"/>
      <c r="BB1622" s="1066"/>
      <c r="BC1622" s="1066"/>
      <c r="BD1622" s="1066"/>
      <c r="BE1622" s="1066"/>
      <c r="BF1622" s="1066"/>
      <c r="BG1622" s="1066"/>
      <c r="BH1622" s="1066"/>
      <c r="BI1622" s="1066"/>
      <c r="BJ1622" s="1066"/>
      <c r="BK1622" s="1066"/>
      <c r="BL1622" s="1066"/>
    </row>
    <row r="1623" spans="1:64">
      <c r="A1623" s="1847"/>
      <c r="B1623" s="1847"/>
      <c r="C1623" s="1816" t="s">
        <v>1172</v>
      </c>
      <c r="D1623" s="1022"/>
      <c r="E1623" s="1022"/>
      <c r="F1623" s="1847"/>
      <c r="G1623" s="1022"/>
      <c r="H1623" s="1022"/>
      <c r="I1623" s="1848"/>
      <c r="J1623" s="1022"/>
      <c r="K1623" s="1022"/>
      <c r="L1623" s="1022"/>
      <c r="M1623" s="1066"/>
      <c r="N1623" s="1066"/>
      <c r="O1623" s="1066"/>
      <c r="P1623" s="1066"/>
      <c r="Q1623" s="1066"/>
      <c r="R1623" s="1066"/>
      <c r="S1623" s="1066"/>
      <c r="T1623" s="1066"/>
      <c r="U1623" s="1066"/>
      <c r="V1623" s="1066"/>
      <c r="W1623" s="1066"/>
      <c r="X1623" s="1066"/>
      <c r="Y1623" s="1066"/>
      <c r="Z1623" s="1066"/>
      <c r="AA1623" s="1066"/>
      <c r="AB1623" s="1066"/>
      <c r="AC1623" s="1066"/>
      <c r="AD1623" s="1066"/>
      <c r="AE1623" s="1066"/>
      <c r="AF1623" s="1066"/>
      <c r="AG1623" s="1066"/>
      <c r="AH1623" s="1066"/>
      <c r="AI1623" s="1066"/>
      <c r="AJ1623" s="1066"/>
      <c r="AK1623" s="1066"/>
      <c r="AL1623" s="1066"/>
      <c r="AM1623" s="1066"/>
      <c r="AN1623" s="1066"/>
      <c r="AO1623" s="1066"/>
      <c r="AP1623" s="1066"/>
      <c r="AQ1623" s="1066"/>
      <c r="AR1623" s="1066"/>
      <c r="AS1623" s="1066"/>
      <c r="AT1623" s="1066"/>
      <c r="AU1623" s="1066"/>
      <c r="AV1623" s="1066"/>
      <c r="AW1623" s="1066"/>
      <c r="AX1623" s="1066"/>
      <c r="AY1623" s="1066"/>
      <c r="AZ1623" s="1066"/>
      <c r="BA1623" s="1066"/>
      <c r="BB1623" s="1066"/>
      <c r="BC1623" s="1066"/>
      <c r="BD1623" s="1066"/>
      <c r="BE1623" s="1066"/>
      <c r="BF1623" s="1066"/>
      <c r="BG1623" s="1066"/>
      <c r="BH1623" s="1066"/>
      <c r="BI1623" s="1066"/>
      <c r="BJ1623" s="1066"/>
      <c r="BK1623" s="1066"/>
      <c r="BL1623" s="1066"/>
    </row>
    <row r="1624" spans="1:64">
      <c r="A1624" s="1847"/>
      <c r="B1624" s="1847"/>
      <c r="C1624" s="1817" t="s">
        <v>1173</v>
      </c>
      <c r="D1624" s="1138">
        <v>6.7000000000000004E-2</v>
      </c>
      <c r="E1624" s="1022" t="s">
        <v>955</v>
      </c>
      <c r="F1624" s="1848">
        <f>'Civil-SOR'!$G$293</f>
        <v>580</v>
      </c>
      <c r="G1624" s="1076">
        <v>1</v>
      </c>
      <c r="H1624" s="1022" t="s">
        <v>501</v>
      </c>
      <c r="I1624" s="1062">
        <f t="shared" ref="I1624:I1627" si="385">IF(G1624="",D1624*F1624,(D1624*F1624/G1624))</f>
        <v>38.86</v>
      </c>
      <c r="J1624" s="1022"/>
      <c r="K1624" s="1022"/>
      <c r="L1624" s="1022"/>
      <c r="M1624" s="1066"/>
      <c r="N1624" s="1066"/>
      <c r="O1624" s="1066"/>
      <c r="P1624" s="1066"/>
      <c r="Q1624" s="1066"/>
      <c r="R1624" s="1066"/>
      <c r="S1624" s="1066"/>
      <c r="T1624" s="1066"/>
      <c r="U1624" s="1066"/>
      <c r="V1624" s="1066"/>
      <c r="W1624" s="1066"/>
      <c r="X1624" s="1066"/>
      <c r="Y1624" s="1066"/>
      <c r="Z1624" s="1066"/>
      <c r="AA1624" s="1066"/>
      <c r="AB1624" s="1066"/>
      <c r="AC1624" s="1066"/>
      <c r="AD1624" s="1066"/>
      <c r="AE1624" s="1066"/>
      <c r="AF1624" s="1066"/>
      <c r="AG1624" s="1066"/>
      <c r="AH1624" s="1066"/>
      <c r="AI1624" s="1066"/>
      <c r="AJ1624" s="1066"/>
      <c r="AK1624" s="1066"/>
      <c r="AL1624" s="1066"/>
      <c r="AM1624" s="1066"/>
      <c r="AN1624" s="1066"/>
      <c r="AO1624" s="1066"/>
      <c r="AP1624" s="1066"/>
      <c r="AQ1624" s="1066"/>
      <c r="AR1624" s="1066"/>
      <c r="AS1624" s="1066"/>
      <c r="AT1624" s="1066"/>
      <c r="AU1624" s="1066"/>
      <c r="AV1624" s="1066"/>
      <c r="AW1624" s="1066"/>
      <c r="AX1624" s="1066"/>
      <c r="AY1624" s="1066"/>
      <c r="AZ1624" s="1066"/>
      <c r="BA1624" s="1066"/>
      <c r="BB1624" s="1066"/>
      <c r="BC1624" s="1066"/>
      <c r="BD1624" s="1066"/>
      <c r="BE1624" s="1066"/>
      <c r="BF1624" s="1066"/>
      <c r="BG1624" s="1066"/>
      <c r="BH1624" s="1066"/>
      <c r="BI1624" s="1066"/>
      <c r="BJ1624" s="1066"/>
      <c r="BK1624" s="1066"/>
      <c r="BL1624" s="1066"/>
    </row>
    <row r="1625" spans="1:64">
      <c r="A1625" s="1847"/>
      <c r="B1625" s="1847"/>
      <c r="C1625" s="1817" t="s">
        <v>1174</v>
      </c>
      <c r="D1625" s="1138">
        <v>0.13300000000000001</v>
      </c>
      <c r="E1625" s="1022" t="s">
        <v>955</v>
      </c>
      <c r="F1625" s="1848">
        <f>'Civil-SOR'!$G$302</f>
        <v>550</v>
      </c>
      <c r="G1625" s="1076">
        <v>1</v>
      </c>
      <c r="H1625" s="1022" t="str">
        <f>H1624</f>
        <v>Each</v>
      </c>
      <c r="I1625" s="1062">
        <f t="shared" si="385"/>
        <v>73.150000000000006</v>
      </c>
      <c r="J1625" s="1022"/>
      <c r="K1625" s="1022"/>
      <c r="L1625" s="1022"/>
      <c r="M1625" s="1066"/>
      <c r="N1625" s="1066"/>
      <c r="O1625" s="1066"/>
      <c r="P1625" s="1066"/>
      <c r="Q1625" s="1066"/>
      <c r="R1625" s="1066"/>
      <c r="S1625" s="1066"/>
      <c r="T1625" s="1066"/>
      <c r="U1625" s="1066"/>
      <c r="V1625" s="1066"/>
      <c r="W1625" s="1066"/>
      <c r="X1625" s="1066"/>
      <c r="Y1625" s="1066"/>
      <c r="Z1625" s="1066"/>
      <c r="AA1625" s="1066"/>
      <c r="AB1625" s="1066"/>
      <c r="AC1625" s="1066"/>
      <c r="AD1625" s="1066"/>
      <c r="AE1625" s="1066"/>
      <c r="AF1625" s="1066"/>
      <c r="AG1625" s="1066"/>
      <c r="AH1625" s="1066"/>
      <c r="AI1625" s="1066"/>
      <c r="AJ1625" s="1066"/>
      <c r="AK1625" s="1066"/>
      <c r="AL1625" s="1066"/>
      <c r="AM1625" s="1066"/>
      <c r="AN1625" s="1066"/>
      <c r="AO1625" s="1066"/>
      <c r="AP1625" s="1066"/>
      <c r="AQ1625" s="1066"/>
      <c r="AR1625" s="1066"/>
      <c r="AS1625" s="1066"/>
      <c r="AT1625" s="1066"/>
      <c r="AU1625" s="1066"/>
      <c r="AV1625" s="1066"/>
      <c r="AW1625" s="1066"/>
      <c r="AX1625" s="1066"/>
      <c r="AY1625" s="1066"/>
      <c r="AZ1625" s="1066"/>
      <c r="BA1625" s="1066"/>
      <c r="BB1625" s="1066"/>
      <c r="BC1625" s="1066"/>
      <c r="BD1625" s="1066"/>
      <c r="BE1625" s="1066"/>
      <c r="BF1625" s="1066"/>
      <c r="BG1625" s="1066"/>
      <c r="BH1625" s="1066"/>
      <c r="BI1625" s="1066"/>
      <c r="BJ1625" s="1066"/>
      <c r="BK1625" s="1066"/>
      <c r="BL1625" s="1066"/>
    </row>
    <row r="1626" spans="1:64">
      <c r="A1626" s="1847"/>
      <c r="B1626" s="1847"/>
      <c r="C1626" s="1817" t="s">
        <v>1175</v>
      </c>
      <c r="D1626" s="1138">
        <v>3.077</v>
      </c>
      <c r="E1626" s="1022" t="s">
        <v>955</v>
      </c>
      <c r="F1626" s="1848">
        <f>'Civil-SOR'!$G$307</f>
        <v>520</v>
      </c>
      <c r="G1626" s="1076">
        <v>1</v>
      </c>
      <c r="H1626" s="1022" t="str">
        <f>H1624</f>
        <v>Each</v>
      </c>
      <c r="I1626" s="1062">
        <f t="shared" si="385"/>
        <v>1600.04</v>
      </c>
      <c r="J1626" s="1022"/>
      <c r="K1626" s="1022"/>
      <c r="L1626" s="1022"/>
      <c r="M1626" s="1066"/>
      <c r="N1626" s="1066"/>
      <c r="O1626" s="1066"/>
      <c r="P1626" s="1066"/>
      <c r="Q1626" s="1066"/>
      <c r="R1626" s="1066"/>
      <c r="S1626" s="1066"/>
      <c r="T1626" s="1066"/>
      <c r="U1626" s="1066"/>
      <c r="V1626" s="1066"/>
      <c r="W1626" s="1066"/>
      <c r="X1626" s="1066"/>
      <c r="Y1626" s="1066"/>
      <c r="Z1626" s="1066"/>
      <c r="AA1626" s="1066"/>
      <c r="AB1626" s="1066"/>
      <c r="AC1626" s="1066"/>
      <c r="AD1626" s="1066"/>
      <c r="AE1626" s="1066"/>
      <c r="AF1626" s="1066"/>
      <c r="AG1626" s="1066"/>
      <c r="AH1626" s="1066"/>
      <c r="AI1626" s="1066"/>
      <c r="AJ1626" s="1066"/>
      <c r="AK1626" s="1066"/>
      <c r="AL1626" s="1066"/>
      <c r="AM1626" s="1066"/>
      <c r="AN1626" s="1066"/>
      <c r="AO1626" s="1066"/>
      <c r="AP1626" s="1066"/>
      <c r="AQ1626" s="1066"/>
      <c r="AR1626" s="1066"/>
      <c r="AS1626" s="1066"/>
      <c r="AT1626" s="1066"/>
      <c r="AU1626" s="1066"/>
      <c r="AV1626" s="1066"/>
      <c r="AW1626" s="1066"/>
      <c r="AX1626" s="1066"/>
      <c r="AY1626" s="1066"/>
      <c r="AZ1626" s="1066"/>
      <c r="BA1626" s="1066"/>
      <c r="BB1626" s="1066"/>
      <c r="BC1626" s="1066"/>
      <c r="BD1626" s="1066"/>
      <c r="BE1626" s="1066"/>
      <c r="BF1626" s="1066"/>
      <c r="BG1626" s="1066"/>
      <c r="BH1626" s="1066"/>
      <c r="BI1626" s="1066"/>
      <c r="BJ1626" s="1066"/>
      <c r="BK1626" s="1066"/>
      <c r="BL1626" s="1066"/>
    </row>
    <row r="1627" spans="1:64">
      <c r="A1627" s="1847"/>
      <c r="B1627" s="1847"/>
      <c r="C1627" s="1817" t="str">
        <f>Input!$C$47</f>
        <v>Add for MA @ 40%</v>
      </c>
      <c r="D1627" s="1137">
        <f>Input!$D$47</f>
        <v>0.4</v>
      </c>
      <c r="E1627" s="1022"/>
      <c r="F1627" s="1848">
        <f>SUM(I1624:I1626)</f>
        <v>1712.05</v>
      </c>
      <c r="G1627" s="1076"/>
      <c r="H1627" s="1022"/>
      <c r="I1627" s="1062">
        <f t="shared" si="385"/>
        <v>684.82</v>
      </c>
      <c r="J1627" s="1022"/>
      <c r="K1627" s="1022"/>
      <c r="L1627" s="1022"/>
      <c r="M1627" s="1066"/>
      <c r="N1627" s="1066"/>
      <c r="O1627" s="1066"/>
      <c r="P1627" s="1066"/>
      <c r="Q1627" s="1066"/>
      <c r="R1627" s="1066"/>
      <c r="S1627" s="1066"/>
      <c r="T1627" s="1066"/>
      <c r="U1627" s="1066"/>
      <c r="V1627" s="1066"/>
      <c r="W1627" s="1066"/>
      <c r="X1627" s="1066"/>
      <c r="Y1627" s="1066"/>
      <c r="Z1627" s="1066"/>
      <c r="AA1627" s="1066"/>
      <c r="AB1627" s="1066"/>
      <c r="AC1627" s="1066"/>
      <c r="AD1627" s="1066"/>
      <c r="AE1627" s="1066"/>
      <c r="AF1627" s="1066"/>
      <c r="AG1627" s="1066"/>
      <c r="AH1627" s="1066"/>
      <c r="AI1627" s="1066"/>
      <c r="AJ1627" s="1066"/>
      <c r="AK1627" s="1066"/>
      <c r="AL1627" s="1066"/>
      <c r="AM1627" s="1066"/>
      <c r="AN1627" s="1066"/>
      <c r="AO1627" s="1066"/>
      <c r="AP1627" s="1066"/>
      <c r="AQ1627" s="1066"/>
      <c r="AR1627" s="1066"/>
      <c r="AS1627" s="1066"/>
      <c r="AT1627" s="1066"/>
      <c r="AU1627" s="1066"/>
      <c r="AV1627" s="1066"/>
      <c r="AW1627" s="1066"/>
      <c r="AX1627" s="1066"/>
      <c r="AY1627" s="1066"/>
      <c r="AZ1627" s="1066"/>
      <c r="BA1627" s="1066"/>
      <c r="BB1627" s="1066"/>
      <c r="BC1627" s="1066"/>
      <c r="BD1627" s="1066"/>
      <c r="BE1627" s="1066"/>
      <c r="BF1627" s="1066"/>
      <c r="BG1627" s="1066"/>
      <c r="BH1627" s="1066"/>
      <c r="BI1627" s="1066"/>
      <c r="BJ1627" s="1066"/>
      <c r="BK1627" s="1066"/>
      <c r="BL1627" s="1066"/>
    </row>
    <row r="1628" spans="1:64">
      <c r="A1628" s="1847"/>
      <c r="B1628" s="1847"/>
      <c r="C1628" s="1816" t="s">
        <v>1176</v>
      </c>
      <c r="D1628" s="1137"/>
      <c r="E1628" s="1022"/>
      <c r="F1628" s="1848"/>
      <c r="G1628" s="1076"/>
      <c r="H1628" s="1022"/>
      <c r="I1628" s="1062"/>
      <c r="J1628" s="1022"/>
      <c r="K1628" s="1022"/>
      <c r="L1628" s="1022"/>
      <c r="M1628" s="1066"/>
      <c r="N1628" s="1066"/>
      <c r="O1628" s="1066"/>
      <c r="P1628" s="1066"/>
      <c r="Q1628" s="1066"/>
      <c r="R1628" s="1066"/>
      <c r="S1628" s="1066"/>
      <c r="T1628" s="1066"/>
      <c r="U1628" s="1066"/>
      <c r="V1628" s="1066"/>
      <c r="W1628" s="1066"/>
      <c r="X1628" s="1066"/>
      <c r="Y1628" s="1066"/>
      <c r="Z1628" s="1066"/>
      <c r="AA1628" s="1066"/>
      <c r="AB1628" s="1066"/>
      <c r="AC1628" s="1066"/>
      <c r="AD1628" s="1066"/>
      <c r="AE1628" s="1066"/>
      <c r="AF1628" s="1066"/>
      <c r="AG1628" s="1066"/>
      <c r="AH1628" s="1066"/>
      <c r="AI1628" s="1066"/>
      <c r="AJ1628" s="1066"/>
      <c r="AK1628" s="1066"/>
      <c r="AL1628" s="1066"/>
      <c r="AM1628" s="1066"/>
      <c r="AN1628" s="1066"/>
      <c r="AO1628" s="1066"/>
      <c r="AP1628" s="1066"/>
      <c r="AQ1628" s="1066"/>
      <c r="AR1628" s="1066"/>
      <c r="AS1628" s="1066"/>
      <c r="AT1628" s="1066"/>
      <c r="AU1628" s="1066"/>
      <c r="AV1628" s="1066"/>
      <c r="AW1628" s="1066"/>
      <c r="AX1628" s="1066"/>
      <c r="AY1628" s="1066"/>
      <c r="AZ1628" s="1066"/>
      <c r="BA1628" s="1066"/>
      <c r="BB1628" s="1066"/>
      <c r="BC1628" s="1066"/>
      <c r="BD1628" s="1066"/>
      <c r="BE1628" s="1066"/>
      <c r="BF1628" s="1066"/>
      <c r="BG1628" s="1066"/>
      <c r="BH1628" s="1066"/>
      <c r="BI1628" s="1066"/>
      <c r="BJ1628" s="1066"/>
      <c r="BK1628" s="1066"/>
      <c r="BL1628" s="1066"/>
    </row>
    <row r="1629" spans="1:64" ht="25.5">
      <c r="A1629" s="1847"/>
      <c r="B1629" s="1847"/>
      <c r="C1629" s="1817" t="s">
        <v>582</v>
      </c>
      <c r="D1629" s="1138">
        <v>0.308</v>
      </c>
      <c r="E1629" s="1022" t="s">
        <v>1083</v>
      </c>
      <c r="F1629" s="1848">
        <f>'Civil-SOR'!G330</f>
        <v>192.9</v>
      </c>
      <c r="G1629" s="1076">
        <v>1</v>
      </c>
      <c r="H1629" s="1022" t="s">
        <v>400</v>
      </c>
      <c r="I1629" s="1062">
        <f t="shared" ref="I1629:I1632" si="386">IF(G1629="",D1629*F1629,(D1629*F1629/G1629))</f>
        <v>59.413200000000003</v>
      </c>
      <c r="J1629" s="1022"/>
      <c r="K1629" s="1022"/>
      <c r="L1629" s="1022"/>
      <c r="M1629" s="1066"/>
      <c r="N1629" s="1066"/>
      <c r="O1629" s="1066"/>
      <c r="P1629" s="1066"/>
      <c r="Q1629" s="1066"/>
      <c r="R1629" s="1066"/>
      <c r="S1629" s="1066"/>
      <c r="T1629" s="1066"/>
      <c r="U1629" s="1066"/>
      <c r="V1629" s="1066"/>
      <c r="W1629" s="1066"/>
      <c r="X1629" s="1066"/>
      <c r="Y1629" s="1066"/>
      <c r="Z1629" s="1066"/>
      <c r="AA1629" s="1066"/>
      <c r="AB1629" s="1066"/>
      <c r="AC1629" s="1066"/>
      <c r="AD1629" s="1066"/>
      <c r="AE1629" s="1066"/>
      <c r="AF1629" s="1066"/>
      <c r="AG1629" s="1066"/>
      <c r="AH1629" s="1066"/>
      <c r="AI1629" s="1066"/>
      <c r="AJ1629" s="1066"/>
      <c r="AK1629" s="1066"/>
      <c r="AL1629" s="1066"/>
      <c r="AM1629" s="1066"/>
      <c r="AN1629" s="1066"/>
      <c r="AO1629" s="1066"/>
      <c r="AP1629" s="1066"/>
      <c r="AQ1629" s="1066"/>
      <c r="AR1629" s="1066"/>
      <c r="AS1629" s="1066"/>
      <c r="AT1629" s="1066"/>
      <c r="AU1629" s="1066"/>
      <c r="AV1629" s="1066"/>
      <c r="AW1629" s="1066"/>
      <c r="AX1629" s="1066"/>
      <c r="AY1629" s="1066"/>
      <c r="AZ1629" s="1066"/>
      <c r="BA1629" s="1066"/>
      <c r="BB1629" s="1066"/>
      <c r="BC1629" s="1066"/>
      <c r="BD1629" s="1066"/>
      <c r="BE1629" s="1066"/>
      <c r="BF1629" s="1066"/>
      <c r="BG1629" s="1066"/>
      <c r="BH1629" s="1066"/>
      <c r="BI1629" s="1066"/>
      <c r="BJ1629" s="1066"/>
      <c r="BK1629" s="1066"/>
      <c r="BL1629" s="1066"/>
    </row>
    <row r="1630" spans="1:64">
      <c r="A1630" s="1847"/>
      <c r="B1630" s="1847"/>
      <c r="C1630" s="1817" t="s">
        <v>579</v>
      </c>
      <c r="D1630" s="1138">
        <v>0.308</v>
      </c>
      <c r="E1630" s="1022" t="s">
        <v>1083</v>
      </c>
      <c r="F1630" s="1848">
        <f>'Civil-SOR'!J330</f>
        <v>302.89999999999998</v>
      </c>
      <c r="G1630" s="1076">
        <v>1</v>
      </c>
      <c r="H1630" s="1022" t="s">
        <v>400</v>
      </c>
      <c r="I1630" s="1062">
        <f t="shared" si="386"/>
        <v>93.293199999999999</v>
      </c>
      <c r="J1630" s="1022"/>
      <c r="K1630" s="1022"/>
      <c r="L1630" s="1022"/>
      <c r="M1630" s="1066"/>
      <c r="N1630" s="1066"/>
      <c r="O1630" s="1066"/>
      <c r="P1630" s="1066"/>
      <c r="Q1630" s="1066"/>
      <c r="R1630" s="1066"/>
      <c r="S1630" s="1066"/>
      <c r="T1630" s="1066"/>
      <c r="U1630" s="1066"/>
      <c r="V1630" s="1066"/>
      <c r="W1630" s="1066"/>
      <c r="X1630" s="1066"/>
      <c r="Y1630" s="1066"/>
      <c r="Z1630" s="1066"/>
      <c r="AA1630" s="1066"/>
      <c r="AB1630" s="1066"/>
      <c r="AC1630" s="1066"/>
      <c r="AD1630" s="1066"/>
      <c r="AE1630" s="1066"/>
      <c r="AF1630" s="1066"/>
      <c r="AG1630" s="1066"/>
      <c r="AH1630" s="1066"/>
      <c r="AI1630" s="1066"/>
      <c r="AJ1630" s="1066"/>
      <c r="AK1630" s="1066"/>
      <c r="AL1630" s="1066"/>
      <c r="AM1630" s="1066"/>
      <c r="AN1630" s="1066"/>
      <c r="AO1630" s="1066"/>
      <c r="AP1630" s="1066"/>
      <c r="AQ1630" s="1066"/>
      <c r="AR1630" s="1066"/>
      <c r="AS1630" s="1066"/>
      <c r="AT1630" s="1066"/>
      <c r="AU1630" s="1066"/>
      <c r="AV1630" s="1066"/>
      <c r="AW1630" s="1066"/>
      <c r="AX1630" s="1066"/>
      <c r="AY1630" s="1066"/>
      <c r="AZ1630" s="1066"/>
      <c r="BA1630" s="1066"/>
      <c r="BB1630" s="1066"/>
      <c r="BC1630" s="1066"/>
      <c r="BD1630" s="1066"/>
      <c r="BE1630" s="1066"/>
      <c r="BF1630" s="1066"/>
      <c r="BG1630" s="1066"/>
      <c r="BH1630" s="1066"/>
      <c r="BI1630" s="1066"/>
      <c r="BJ1630" s="1066"/>
      <c r="BK1630" s="1066"/>
      <c r="BL1630" s="1066"/>
    </row>
    <row r="1631" spans="1:64">
      <c r="A1631" s="1847"/>
      <c r="B1631" s="1847"/>
      <c r="C1631" s="1817" t="s">
        <v>1085</v>
      </c>
      <c r="D1631" s="1137">
        <f>Input!$D$47</f>
        <v>0.4</v>
      </c>
      <c r="E1631" s="1022"/>
      <c r="F1631" s="1848">
        <f>$I$1630</f>
        <v>93.293199999999999</v>
      </c>
      <c r="G1631" s="1076"/>
      <c r="H1631" s="1022"/>
      <c r="I1631" s="1062">
        <f t="shared" si="386"/>
        <v>37.317280000000004</v>
      </c>
      <c r="J1631" s="1022"/>
      <c r="K1631" s="1022"/>
      <c r="L1631" s="1022"/>
      <c r="M1631" s="1066"/>
      <c r="N1631" s="1066"/>
      <c r="O1631" s="1066"/>
      <c r="P1631" s="1066"/>
      <c r="Q1631" s="1066"/>
      <c r="R1631" s="1066"/>
      <c r="S1631" s="1066"/>
      <c r="T1631" s="1066"/>
      <c r="U1631" s="1066"/>
      <c r="V1631" s="1066"/>
      <c r="W1631" s="1066"/>
      <c r="X1631" s="1066"/>
      <c r="Y1631" s="1066"/>
      <c r="Z1631" s="1066"/>
      <c r="AA1631" s="1066"/>
      <c r="AB1631" s="1066"/>
      <c r="AC1631" s="1066"/>
      <c r="AD1631" s="1066"/>
      <c r="AE1631" s="1066"/>
      <c r="AF1631" s="1066"/>
      <c r="AG1631" s="1066"/>
      <c r="AH1631" s="1066"/>
      <c r="AI1631" s="1066"/>
      <c r="AJ1631" s="1066"/>
      <c r="AK1631" s="1066"/>
      <c r="AL1631" s="1066"/>
      <c r="AM1631" s="1066"/>
      <c r="AN1631" s="1066"/>
      <c r="AO1631" s="1066"/>
      <c r="AP1631" s="1066"/>
      <c r="AQ1631" s="1066"/>
      <c r="AR1631" s="1066"/>
      <c r="AS1631" s="1066"/>
      <c r="AT1631" s="1066"/>
      <c r="AU1631" s="1066"/>
      <c r="AV1631" s="1066"/>
      <c r="AW1631" s="1066"/>
      <c r="AX1631" s="1066"/>
      <c r="AY1631" s="1066"/>
      <c r="AZ1631" s="1066"/>
      <c r="BA1631" s="1066"/>
      <c r="BB1631" s="1066"/>
      <c r="BC1631" s="1066"/>
      <c r="BD1631" s="1066"/>
      <c r="BE1631" s="1066"/>
      <c r="BF1631" s="1066"/>
      <c r="BG1631" s="1066"/>
      <c r="BH1631" s="1066"/>
      <c r="BI1631" s="1066"/>
      <c r="BJ1631" s="1066"/>
      <c r="BK1631" s="1066"/>
      <c r="BL1631" s="1066"/>
    </row>
    <row r="1632" spans="1:64">
      <c r="A1632" s="1847"/>
      <c r="B1632" s="1847"/>
      <c r="C1632" s="1817" t="s">
        <v>1179</v>
      </c>
      <c r="D1632" s="1139">
        <v>1.2</v>
      </c>
      <c r="E1632" s="1061" t="s">
        <v>1143</v>
      </c>
      <c r="F1632" s="1062">
        <f>Input!$D$53</f>
        <v>108</v>
      </c>
      <c r="G1632" s="1081">
        <v>1</v>
      </c>
      <c r="H1632" s="1140" t="str">
        <f>IF(E1632="","",IF(E1632="No.","Each",IF(E1632="Nos.","Each",E1632)))</f>
        <v>kl</v>
      </c>
      <c r="I1632" s="1062">
        <f t="shared" si="386"/>
        <v>129.6</v>
      </c>
      <c r="J1632" s="1022"/>
      <c r="K1632" s="1022"/>
      <c r="L1632" s="1022"/>
      <c r="M1632" s="1066"/>
      <c r="N1632" s="1066"/>
      <c r="O1632" s="1066"/>
      <c r="P1632" s="1066"/>
      <c r="Q1632" s="1066"/>
      <c r="R1632" s="1066"/>
      <c r="S1632" s="1066"/>
      <c r="T1632" s="1066"/>
      <c r="U1632" s="1066"/>
      <c r="V1632" s="1066"/>
      <c r="W1632" s="1066"/>
      <c r="X1632" s="1066"/>
      <c r="Y1632" s="1066"/>
      <c r="Z1632" s="1066"/>
      <c r="AA1632" s="1066"/>
      <c r="AB1632" s="1066"/>
      <c r="AC1632" s="1066"/>
      <c r="AD1632" s="1066"/>
      <c r="AE1632" s="1066"/>
      <c r="AF1632" s="1066"/>
      <c r="AG1632" s="1066"/>
      <c r="AH1632" s="1066"/>
      <c r="AI1632" s="1066"/>
      <c r="AJ1632" s="1066"/>
      <c r="AK1632" s="1066"/>
      <c r="AL1632" s="1066"/>
      <c r="AM1632" s="1066"/>
      <c r="AN1632" s="1066"/>
      <c r="AO1632" s="1066"/>
      <c r="AP1632" s="1066"/>
      <c r="AQ1632" s="1066"/>
      <c r="AR1632" s="1066"/>
      <c r="AS1632" s="1066"/>
      <c r="AT1632" s="1066"/>
      <c r="AU1632" s="1066"/>
      <c r="AV1632" s="1066"/>
      <c r="AW1632" s="1066"/>
      <c r="AX1632" s="1066"/>
      <c r="AY1632" s="1066"/>
      <c r="AZ1632" s="1066"/>
      <c r="BA1632" s="1066"/>
      <c r="BB1632" s="1066"/>
      <c r="BC1632" s="1066"/>
      <c r="BD1632" s="1066"/>
      <c r="BE1632" s="1066"/>
      <c r="BF1632" s="1066"/>
      <c r="BG1632" s="1066"/>
      <c r="BH1632" s="1066"/>
      <c r="BI1632" s="1066"/>
      <c r="BJ1632" s="1066"/>
      <c r="BK1632" s="1066"/>
      <c r="BL1632" s="1066"/>
    </row>
    <row r="1633" spans="1:64">
      <c r="A1633" s="1847"/>
      <c r="B1633" s="1847"/>
      <c r="C1633" s="1816" t="s">
        <v>1032</v>
      </c>
      <c r="D1633" s="1022"/>
      <c r="E1633" s="1022"/>
      <c r="F1633" s="1847"/>
      <c r="G1633" s="1776"/>
      <c r="H1633" s="1022"/>
      <c r="I1633" s="1035">
        <f>SUM(I1620:I1632)</f>
        <v>6752.4256800000003</v>
      </c>
      <c r="J1633" s="1022"/>
      <c r="K1633" s="1022"/>
      <c r="L1633" s="1022"/>
      <c r="M1633" s="1066"/>
      <c r="N1633" s="1066"/>
      <c r="O1633" s="1066"/>
      <c r="P1633" s="1066"/>
      <c r="Q1633" s="1066"/>
      <c r="R1633" s="1066"/>
      <c r="S1633" s="1066"/>
      <c r="T1633" s="1066"/>
      <c r="U1633" s="1066"/>
      <c r="V1633" s="1066"/>
      <c r="W1633" s="1066"/>
      <c r="X1633" s="1066"/>
      <c r="Y1633" s="1066"/>
      <c r="Z1633" s="1066"/>
      <c r="AA1633" s="1066"/>
      <c r="AB1633" s="1066"/>
      <c r="AC1633" s="1066"/>
      <c r="AD1633" s="1066"/>
      <c r="AE1633" s="1066"/>
      <c r="AF1633" s="1066"/>
      <c r="AG1633" s="1066"/>
      <c r="AH1633" s="1066"/>
      <c r="AI1633" s="1066"/>
      <c r="AJ1633" s="1066"/>
      <c r="AK1633" s="1066"/>
      <c r="AL1633" s="1066"/>
      <c r="AM1633" s="1066"/>
      <c r="AN1633" s="1066"/>
      <c r="AO1633" s="1066"/>
      <c r="AP1633" s="1066"/>
      <c r="AQ1633" s="1066"/>
      <c r="AR1633" s="1066"/>
      <c r="AS1633" s="1066"/>
      <c r="AT1633" s="1066"/>
      <c r="AU1633" s="1066"/>
      <c r="AV1633" s="1066"/>
      <c r="AW1633" s="1066"/>
      <c r="AX1633" s="1066"/>
      <c r="AY1633" s="1066"/>
      <c r="AZ1633" s="1066"/>
      <c r="BA1633" s="1066"/>
      <c r="BB1633" s="1066"/>
      <c r="BC1633" s="1066"/>
      <c r="BD1633" s="1066"/>
      <c r="BE1633" s="1066"/>
      <c r="BF1633" s="1066"/>
      <c r="BG1633" s="1066"/>
      <c r="BH1633" s="1066"/>
      <c r="BI1633" s="1066"/>
      <c r="BJ1633" s="1066"/>
      <c r="BK1633" s="1066"/>
      <c r="BL1633" s="1066"/>
    </row>
    <row r="1634" spans="1:64">
      <c r="A1634" s="1823"/>
      <c r="B1634" s="1068"/>
      <c r="C1634" s="1825"/>
      <c r="D1634" s="1846"/>
      <c r="E1634" s="1846"/>
      <c r="F1634" s="1068"/>
      <c r="G1634" s="1101"/>
      <c r="H1634" s="1846"/>
      <c r="I1634" s="1080"/>
      <c r="J1634" s="1846"/>
      <c r="K1634" s="1846"/>
      <c r="L1634" s="1846"/>
    </row>
    <row r="1635" spans="1:64">
      <c r="A1635" s="1023"/>
      <c r="B1635" s="1023"/>
      <c r="C1635" s="1088" t="s">
        <v>1287</v>
      </c>
      <c r="D1635" s="996">
        <f>0.6*(0.075+0.05)/2</f>
        <v>3.7499999999999999E-2</v>
      </c>
      <c r="E1635" s="996" t="s">
        <v>75</v>
      </c>
      <c r="F1635" s="1829">
        <f>$I$1633</f>
        <v>6752.4256800000003</v>
      </c>
      <c r="G1635" s="1108">
        <v>1</v>
      </c>
      <c r="H1635" s="996" t="s">
        <v>75</v>
      </c>
      <c r="I1635" s="1826">
        <f>IF(G1635="",D1635*F1635,(D1635*F1635/G1635))</f>
        <v>253.21596299999999</v>
      </c>
      <c r="J1635" s="996"/>
      <c r="K1635" s="996"/>
      <c r="L1635" s="996"/>
      <c r="M1635" s="997"/>
      <c r="N1635" s="997"/>
      <c r="O1635" s="997"/>
      <c r="P1635" s="997"/>
      <c r="Q1635" s="997"/>
      <c r="R1635" s="997"/>
      <c r="S1635" s="997"/>
      <c r="T1635" s="997"/>
      <c r="U1635" s="997"/>
      <c r="V1635" s="997"/>
      <c r="W1635" s="997"/>
      <c r="X1635" s="997"/>
      <c r="Y1635" s="997"/>
      <c r="Z1635" s="997"/>
      <c r="AA1635" s="997"/>
      <c r="AB1635" s="997"/>
      <c r="AC1635" s="997"/>
      <c r="AD1635" s="997"/>
      <c r="AE1635" s="997"/>
      <c r="AF1635" s="997"/>
      <c r="AG1635" s="997"/>
      <c r="AH1635" s="997"/>
      <c r="AI1635" s="997"/>
      <c r="AJ1635" s="997"/>
      <c r="AK1635" s="997"/>
      <c r="AL1635" s="997"/>
      <c r="AM1635" s="997"/>
      <c r="AN1635" s="997"/>
      <c r="AO1635" s="997"/>
      <c r="AP1635" s="997"/>
      <c r="AQ1635" s="997"/>
      <c r="AR1635" s="997"/>
      <c r="AS1635" s="997"/>
      <c r="AT1635" s="997"/>
      <c r="AU1635" s="997"/>
      <c r="AV1635" s="997"/>
      <c r="AW1635" s="997"/>
      <c r="AX1635" s="997"/>
      <c r="AY1635" s="997"/>
      <c r="AZ1635" s="997"/>
      <c r="BA1635" s="997"/>
      <c r="BB1635" s="997"/>
      <c r="BC1635" s="997"/>
      <c r="BD1635" s="997"/>
      <c r="BE1635" s="997"/>
      <c r="BF1635" s="997"/>
      <c r="BG1635" s="997"/>
      <c r="BH1635" s="997"/>
      <c r="BI1635" s="997"/>
      <c r="BJ1635" s="997"/>
      <c r="BK1635" s="997"/>
      <c r="BL1635" s="997"/>
    </row>
    <row r="1636" spans="1:64">
      <c r="A1636" s="1823"/>
      <c r="B1636" s="1068"/>
      <c r="C1636" s="1825"/>
      <c r="D1636" s="1846"/>
      <c r="E1636" s="1846"/>
      <c r="F1636" s="1021"/>
      <c r="G1636" s="1101"/>
      <c r="H1636" s="1846"/>
      <c r="I1636" s="1030"/>
      <c r="J1636" s="1846"/>
      <c r="K1636" s="1846"/>
      <c r="L1636" s="1846"/>
    </row>
    <row r="1637" spans="1:64">
      <c r="A1637" s="1840"/>
      <c r="B1637" s="1840"/>
      <c r="C1637" s="1088" t="s">
        <v>1217</v>
      </c>
      <c r="D1637" s="1141" t="s">
        <v>1223</v>
      </c>
      <c r="E1637" s="1841" t="s">
        <v>1207</v>
      </c>
      <c r="F1637" s="1837" t="s">
        <v>1208</v>
      </c>
      <c r="G1637" s="1837" t="s">
        <v>1209</v>
      </c>
      <c r="H1637" s="1837" t="s">
        <v>1210</v>
      </c>
      <c r="I1637" s="1836" t="s">
        <v>1211</v>
      </c>
      <c r="J1637" s="1102"/>
      <c r="K1637" s="1102" t="s">
        <v>1213</v>
      </c>
      <c r="L1637" s="1102" t="s">
        <v>1214</v>
      </c>
      <c r="M1637" s="1006"/>
      <c r="N1637" s="1006"/>
      <c r="O1637" s="1006"/>
      <c r="P1637" s="1006"/>
      <c r="Q1637" s="1006"/>
      <c r="R1637" s="1006"/>
      <c r="S1637" s="1006"/>
      <c r="T1637" s="1006"/>
      <c r="U1637" s="1006"/>
      <c r="V1637" s="1006"/>
      <c r="W1637" s="1006"/>
      <c r="X1637" s="1006"/>
      <c r="Y1637" s="1006"/>
      <c r="Z1637" s="1006"/>
      <c r="AA1637" s="1006"/>
      <c r="AB1637" s="1006"/>
      <c r="AC1637" s="1006"/>
      <c r="AD1637" s="1006"/>
      <c r="AE1637" s="1006"/>
      <c r="AF1637" s="1006"/>
      <c r="AG1637" s="1006"/>
      <c r="AH1637" s="1006"/>
      <c r="AI1637" s="1006"/>
      <c r="AJ1637" s="1006"/>
      <c r="AK1637" s="1006"/>
      <c r="AL1637" s="1006"/>
      <c r="AM1637" s="1006"/>
      <c r="AN1637" s="1006"/>
      <c r="AO1637" s="1006"/>
      <c r="AP1637" s="1006"/>
      <c r="AQ1637" s="1006"/>
      <c r="AR1637" s="1006"/>
      <c r="AS1637" s="1006"/>
      <c r="AT1637" s="1006"/>
      <c r="AU1637" s="1006"/>
      <c r="AV1637" s="1006"/>
      <c r="AW1637" s="1006"/>
      <c r="AX1637" s="1006"/>
      <c r="AY1637" s="1006"/>
      <c r="AZ1637" s="1006"/>
      <c r="BA1637" s="1006"/>
      <c r="BB1637" s="1006"/>
      <c r="BC1637" s="1006"/>
      <c r="BD1637" s="1006"/>
      <c r="BE1637" s="1006"/>
      <c r="BF1637" s="1006"/>
      <c r="BG1637" s="1006"/>
      <c r="BH1637" s="1006"/>
      <c r="BI1637" s="1006"/>
      <c r="BJ1637" s="1006"/>
      <c r="BK1637" s="1006"/>
      <c r="BL1637" s="1006"/>
    </row>
    <row r="1638" spans="1:64">
      <c r="A1638" s="1847"/>
      <c r="B1638" s="1847"/>
      <c r="C1638" s="1817" t="s">
        <v>1218</v>
      </c>
      <c r="D1638" s="1848">
        <f t="shared" ref="D1638:L1638" si="387">$I$1635</f>
        <v>253.21596299999999</v>
      </c>
      <c r="E1638" s="1848">
        <f t="shared" si="387"/>
        <v>253.21596299999999</v>
      </c>
      <c r="F1638" s="1848">
        <f t="shared" si="387"/>
        <v>253.21596299999999</v>
      </c>
      <c r="G1638" s="1848">
        <f t="shared" si="387"/>
        <v>253.21596299999999</v>
      </c>
      <c r="H1638" s="1848">
        <f t="shared" si="387"/>
        <v>253.21596299999999</v>
      </c>
      <c r="I1638" s="1848">
        <f t="shared" si="387"/>
        <v>253.21596299999999</v>
      </c>
      <c r="J1638" s="1848"/>
      <c r="K1638" s="1848">
        <f t="shared" si="387"/>
        <v>253.21596299999999</v>
      </c>
      <c r="L1638" s="1848">
        <f t="shared" si="387"/>
        <v>253.21596299999999</v>
      </c>
    </row>
    <row r="1639" spans="1:64">
      <c r="A1639" s="1847"/>
      <c r="B1639" s="1847"/>
      <c r="C1639" s="1817" t="s">
        <v>1182</v>
      </c>
      <c r="D1639" s="1848">
        <f>'Civil-SOR'!$F$277*0.6</f>
        <v>105</v>
      </c>
      <c r="E1639" s="1848">
        <f>'Civil-SOR'!$F$277*0.6</f>
        <v>105</v>
      </c>
      <c r="F1639" s="1848">
        <f>'Civil-SOR'!$F$277*0.6</f>
        <v>105</v>
      </c>
      <c r="G1639" s="1848">
        <f>'Civil-SOR'!$F$277*0.6</f>
        <v>105</v>
      </c>
      <c r="H1639" s="1848">
        <f>'Civil-SOR'!$F$277*0.6</f>
        <v>105</v>
      </c>
      <c r="I1639" s="1848">
        <f>'Civil-SOR'!$F$277*0.6</f>
        <v>105</v>
      </c>
      <c r="J1639" s="1848"/>
      <c r="K1639" s="1848">
        <f>'Civil-SOR'!$F$277*0.6</f>
        <v>105</v>
      </c>
      <c r="L1639" s="1848">
        <f>'Civil-SOR'!$F$277*0.6</f>
        <v>105</v>
      </c>
    </row>
    <row r="1640" spans="1:64">
      <c r="A1640" s="1847"/>
      <c r="B1640" s="1847"/>
      <c r="C1640" s="1817" t="s">
        <v>1260</v>
      </c>
      <c r="D1640" s="1062">
        <f>'Civil-SOR'!$G$277*0.6</f>
        <v>137.4</v>
      </c>
      <c r="E1640" s="1062">
        <f>'Civil-SOR'!$H$277*0.6</f>
        <v>151.19999999999999</v>
      </c>
      <c r="F1640" s="1062">
        <f>'Civil-SOR'!I$277*0.6</f>
        <v>165</v>
      </c>
      <c r="G1640" s="1062">
        <f>'Civil-SOR'!J$277*0.6</f>
        <v>178.79999999999998</v>
      </c>
      <c r="H1640" s="1062">
        <f>'Civil-SOR'!K$277*0.6</f>
        <v>192.6</v>
      </c>
      <c r="I1640" s="1062">
        <f>'Civil-SOR'!L$277*0.6</f>
        <v>206.4</v>
      </c>
      <c r="J1640" s="1062"/>
      <c r="K1640" s="1062">
        <f>'Civil-SOR'!N$277*0.6</f>
        <v>233.39999999999998</v>
      </c>
      <c r="L1640" s="1062">
        <f>'Civil-SOR'!O$277*0.6</f>
        <v>247.2</v>
      </c>
    </row>
    <row r="1641" spans="1:64">
      <c r="A1641" s="1847"/>
      <c r="B1641" s="1847"/>
      <c r="C1641" s="1817" t="str">
        <f>Input!$C$47</f>
        <v>Add for MA @ 40%</v>
      </c>
      <c r="D1641" s="1848">
        <f>D1640*Input!$D$47</f>
        <v>54.960000000000008</v>
      </c>
      <c r="E1641" s="1848">
        <f>E1640*Input!$D$47</f>
        <v>60.48</v>
      </c>
      <c r="F1641" s="1848">
        <f>F1640*Input!$D$47</f>
        <v>66</v>
      </c>
      <c r="G1641" s="1848">
        <f>G1640*Input!$D$47</f>
        <v>71.52</v>
      </c>
      <c r="H1641" s="1848">
        <f>H1640*Input!$D$47</f>
        <v>77.040000000000006</v>
      </c>
      <c r="I1641" s="1848">
        <f>I1640*Input!$D$47</f>
        <v>82.56</v>
      </c>
      <c r="J1641" s="1848"/>
      <c r="K1641" s="1848">
        <f>K1640*Input!$D$47</f>
        <v>93.36</v>
      </c>
      <c r="L1641" s="1848">
        <f>L1640*Input!$D$47</f>
        <v>98.88</v>
      </c>
    </row>
    <row r="1642" spans="1:64">
      <c r="A1642" s="1847"/>
      <c r="B1642" s="1847"/>
      <c r="C1642" s="1817" t="s">
        <v>1239</v>
      </c>
      <c r="D1642" s="1848">
        <v>0</v>
      </c>
      <c r="E1642" s="1848">
        <f>$F$1627*$D$1635*10%</f>
        <v>6.4201875000000008</v>
      </c>
      <c r="F1642" s="1848">
        <f>$F$1627*$D$1635*20%</f>
        <v>12.840375000000002</v>
      </c>
      <c r="G1642" s="1848">
        <f>$F$1627*$D$1635*30%</f>
        <v>19.260562499999999</v>
      </c>
      <c r="H1642" s="1848">
        <f>$F$1627*$D$1635*40%</f>
        <v>25.680750000000003</v>
      </c>
      <c r="I1642" s="1848">
        <f>$F$1627*$D$1635*50%</f>
        <v>32.100937500000001</v>
      </c>
      <c r="J1642" s="1848"/>
      <c r="K1642" s="1848">
        <f>$F$1627*$D$1635*70%</f>
        <v>44.941312499999995</v>
      </c>
      <c r="L1642" s="1848">
        <f>$F$1627*$D$1635*80%</f>
        <v>51.361500000000007</v>
      </c>
    </row>
    <row r="1643" spans="1:64">
      <c r="A1643" s="1847"/>
      <c r="B1643" s="1847"/>
      <c r="C1643" s="1817" t="str">
        <f>Input!$C$47</f>
        <v>Add for MA @ 40%</v>
      </c>
      <c r="D1643" s="1848">
        <f>D1642*Input!D183</f>
        <v>0</v>
      </c>
      <c r="E1643" s="1848">
        <f>E1642*Input!$D$47</f>
        <v>2.5680750000000003</v>
      </c>
      <c r="F1643" s="1848">
        <f>F1642*Input!$D$47</f>
        <v>5.1361500000000007</v>
      </c>
      <c r="G1643" s="1848">
        <f>G1642*Input!$D$47</f>
        <v>7.7042250000000001</v>
      </c>
      <c r="H1643" s="1848">
        <f>H1642*Input!$D$47</f>
        <v>10.272300000000001</v>
      </c>
      <c r="I1643" s="1848">
        <f>I1642*Input!$D$47</f>
        <v>12.840375000000002</v>
      </c>
      <c r="J1643" s="1848"/>
      <c r="K1643" s="1848">
        <f>K1642*Input!$D$47</f>
        <v>17.976524999999999</v>
      </c>
      <c r="L1643" s="1848">
        <f>L1642*Input!$D$47</f>
        <v>20.544600000000003</v>
      </c>
    </row>
    <row r="1644" spans="1:64">
      <c r="A1644" s="1847"/>
      <c r="B1644" s="1847"/>
      <c r="C1644" s="1816" t="s">
        <v>1288</v>
      </c>
      <c r="D1644" s="1848">
        <f t="shared" ref="D1644:L1644" si="388">SUM(D1638:D1643)</f>
        <v>550.575963</v>
      </c>
      <c r="E1644" s="1848">
        <f t="shared" si="388"/>
        <v>578.88422549999996</v>
      </c>
      <c r="F1644" s="1848">
        <f t="shared" si="388"/>
        <v>607.19248800000003</v>
      </c>
      <c r="G1644" s="1848">
        <f t="shared" si="388"/>
        <v>635.50075049999987</v>
      </c>
      <c r="H1644" s="1848">
        <f t="shared" si="388"/>
        <v>663.80901299999994</v>
      </c>
      <c r="I1644" s="1848">
        <f t="shared" si="388"/>
        <v>692.11727549999989</v>
      </c>
      <c r="J1644" s="1848"/>
      <c r="K1644" s="1848">
        <f t="shared" si="388"/>
        <v>747.8938005</v>
      </c>
      <c r="L1644" s="1848">
        <f t="shared" si="388"/>
        <v>776.20206299999995</v>
      </c>
    </row>
    <row r="1645" spans="1:64">
      <c r="A1645" s="1847"/>
      <c r="B1645" s="1847"/>
      <c r="C1645" s="1817" t="str">
        <f>Input!$C$48</f>
        <v>Overheads &amp; Contractors Profit @ 13.615%</v>
      </c>
      <c r="D1645" s="1847">
        <f>ROUND(D1644*Input!$D$48,2)</f>
        <v>74.959999999999994</v>
      </c>
      <c r="E1645" s="1847">
        <f>ROUND(E1644*Input!$D$48,2)</f>
        <v>78.819999999999993</v>
      </c>
      <c r="F1645" s="1847">
        <f>ROUND(F1644*Input!$D$48,2)</f>
        <v>82.67</v>
      </c>
      <c r="G1645" s="1847">
        <f>ROUND(G1644*Input!$D$48,2)</f>
        <v>86.52</v>
      </c>
      <c r="H1645" s="1847">
        <f>ROUND(H1644*Input!$D$48,2)</f>
        <v>90.38</v>
      </c>
      <c r="I1645" s="1848">
        <f>ROUND(I1644*Input!$D$48,2)</f>
        <v>94.23</v>
      </c>
      <c r="J1645" s="1847"/>
      <c r="K1645" s="1847">
        <f>ROUND(K1644*Input!$D$48,2)</f>
        <v>101.83</v>
      </c>
      <c r="L1645" s="1848">
        <f>ROUND(L1644*Input!$D$48,2)</f>
        <v>105.68</v>
      </c>
    </row>
    <row r="1646" spans="1:64">
      <c r="A1646" s="1840"/>
      <c r="B1646" s="1840"/>
      <c r="C1646" s="1088" t="s">
        <v>1288</v>
      </c>
      <c r="D1646" s="1017">
        <f t="shared" ref="D1646:L1646" si="389">SUM(D1644:D1645)</f>
        <v>625.53596300000004</v>
      </c>
      <c r="E1646" s="1017">
        <f t="shared" si="389"/>
        <v>657.70422549999989</v>
      </c>
      <c r="F1646" s="1017">
        <f t="shared" si="389"/>
        <v>689.86248799999998</v>
      </c>
      <c r="G1646" s="1017">
        <f t="shared" si="389"/>
        <v>722.02075049999985</v>
      </c>
      <c r="H1646" s="1017">
        <f t="shared" si="389"/>
        <v>754.18901299999993</v>
      </c>
      <c r="I1646" s="1017">
        <f t="shared" si="389"/>
        <v>786.34727549999991</v>
      </c>
      <c r="J1646" s="1017"/>
      <c r="K1646" s="1017">
        <f t="shared" si="389"/>
        <v>849.72380050000004</v>
      </c>
      <c r="L1646" s="1017">
        <f t="shared" si="389"/>
        <v>881.88206300000002</v>
      </c>
      <c r="M1646" s="997"/>
      <c r="N1646" s="997"/>
      <c r="O1646" s="997"/>
      <c r="P1646" s="997"/>
      <c r="Q1646" s="997"/>
      <c r="R1646" s="997"/>
      <c r="S1646" s="997"/>
      <c r="T1646" s="997"/>
      <c r="U1646" s="997"/>
      <c r="V1646" s="997"/>
      <c r="W1646" s="997"/>
      <c r="X1646" s="997"/>
      <c r="Y1646" s="997"/>
      <c r="Z1646" s="997"/>
      <c r="AA1646" s="997"/>
      <c r="AB1646" s="997"/>
      <c r="AC1646" s="997"/>
      <c r="AD1646" s="997"/>
      <c r="AE1646" s="997"/>
      <c r="AF1646" s="997"/>
      <c r="AG1646" s="997"/>
      <c r="AH1646" s="997"/>
      <c r="AI1646" s="997"/>
      <c r="AJ1646" s="997"/>
      <c r="AK1646" s="997"/>
      <c r="AL1646" s="997"/>
      <c r="AM1646" s="997"/>
      <c r="AN1646" s="997"/>
      <c r="AO1646" s="997"/>
      <c r="AP1646" s="997"/>
      <c r="AQ1646" s="997"/>
      <c r="AR1646" s="997"/>
      <c r="AS1646" s="997"/>
      <c r="AT1646" s="997"/>
      <c r="AU1646" s="997"/>
      <c r="AV1646" s="997"/>
      <c r="AW1646" s="997"/>
      <c r="AX1646" s="997"/>
      <c r="AY1646" s="997"/>
      <c r="AZ1646" s="997"/>
      <c r="BA1646" s="997"/>
      <c r="BB1646" s="997"/>
      <c r="BC1646" s="997"/>
      <c r="BD1646" s="997"/>
      <c r="BE1646" s="997"/>
      <c r="BF1646" s="997"/>
      <c r="BG1646" s="997"/>
      <c r="BH1646" s="997"/>
      <c r="BI1646" s="997"/>
      <c r="BJ1646" s="997"/>
      <c r="BK1646" s="997"/>
      <c r="BL1646" s="997"/>
    </row>
    <row r="1647" spans="1:64">
      <c r="A1647" s="1840"/>
      <c r="B1647" s="1840"/>
      <c r="C1647" s="1118" t="s">
        <v>1034</v>
      </c>
      <c r="D1647" s="1134">
        <f t="shared" ref="D1647:L1647" si="390">ROUND(D1646,0)</f>
        <v>626</v>
      </c>
      <c r="E1647" s="1134">
        <f t="shared" si="390"/>
        <v>658</v>
      </c>
      <c r="F1647" s="1134">
        <f t="shared" si="390"/>
        <v>690</v>
      </c>
      <c r="G1647" s="1134">
        <f t="shared" si="390"/>
        <v>722</v>
      </c>
      <c r="H1647" s="1134">
        <f t="shared" si="390"/>
        <v>754</v>
      </c>
      <c r="I1647" s="1134">
        <f t="shared" si="390"/>
        <v>786</v>
      </c>
      <c r="J1647" s="1134"/>
      <c r="K1647" s="1134">
        <f t="shared" si="390"/>
        <v>850</v>
      </c>
      <c r="L1647" s="1141">
        <f t="shared" si="390"/>
        <v>882</v>
      </c>
      <c r="M1647" s="997"/>
      <c r="N1647" s="997"/>
      <c r="O1647" s="997"/>
      <c r="P1647" s="997"/>
      <c r="Q1647" s="997"/>
      <c r="R1647" s="997"/>
      <c r="S1647" s="997"/>
      <c r="T1647" s="997"/>
      <c r="U1647" s="997"/>
      <c r="V1647" s="997"/>
      <c r="W1647" s="997"/>
      <c r="X1647" s="997"/>
      <c r="Y1647" s="997"/>
      <c r="Z1647" s="997"/>
      <c r="AA1647" s="997"/>
      <c r="AB1647" s="997"/>
      <c r="AC1647" s="997"/>
      <c r="AD1647" s="997"/>
      <c r="AE1647" s="997"/>
      <c r="AF1647" s="997"/>
      <c r="AG1647" s="997"/>
      <c r="AH1647" s="997"/>
      <c r="AI1647" s="997"/>
      <c r="AJ1647" s="997"/>
      <c r="AK1647" s="997"/>
      <c r="AL1647" s="997"/>
      <c r="AM1647" s="997"/>
      <c r="AN1647" s="997"/>
      <c r="AO1647" s="997"/>
      <c r="AP1647" s="997"/>
      <c r="AQ1647" s="997"/>
      <c r="AR1647" s="997"/>
      <c r="AS1647" s="997"/>
      <c r="AT1647" s="997"/>
      <c r="AU1647" s="997"/>
      <c r="AV1647" s="997"/>
      <c r="AW1647" s="997"/>
      <c r="AX1647" s="997"/>
      <c r="AY1647" s="997"/>
      <c r="AZ1647" s="997"/>
      <c r="BA1647" s="997"/>
      <c r="BB1647" s="997"/>
      <c r="BC1647" s="997"/>
      <c r="BD1647" s="997"/>
      <c r="BE1647" s="997"/>
      <c r="BF1647" s="997"/>
      <c r="BG1647" s="997"/>
      <c r="BH1647" s="997"/>
      <c r="BI1647" s="997"/>
      <c r="BJ1647" s="997"/>
      <c r="BK1647" s="997"/>
      <c r="BL1647" s="997"/>
    </row>
    <row r="1648" spans="1:64">
      <c r="A1648" s="1823"/>
      <c r="B1648" s="1068"/>
      <c r="C1648" s="1129"/>
      <c r="D1648" s="1114"/>
      <c r="E1648" s="1114"/>
      <c r="F1648" s="1114"/>
      <c r="G1648" s="1114"/>
      <c r="H1648" s="1114"/>
      <c r="I1648" s="1009"/>
      <c r="J1648" s="1846"/>
      <c r="K1648" s="1846"/>
      <c r="L1648" s="1846"/>
    </row>
    <row r="1649" spans="1:12" ht="81" customHeight="1">
      <c r="A1649" s="1824">
        <f>1+A1617</f>
        <v>19</v>
      </c>
      <c r="B1649" s="1818"/>
      <c r="C1649" s="2051" t="s">
        <v>3404</v>
      </c>
      <c r="D1649" s="2051"/>
      <c r="E1649" s="2051"/>
      <c r="F1649" s="2051"/>
      <c r="G1649" s="2051"/>
      <c r="H1649" s="2051"/>
      <c r="I1649" s="2051"/>
      <c r="J1649" s="1846"/>
      <c r="K1649" s="1846"/>
      <c r="L1649" s="1846"/>
    </row>
    <row r="1650" spans="1:12">
      <c r="A1650" s="1818"/>
      <c r="B1650" s="1818"/>
      <c r="C1650" s="1142" t="s">
        <v>1246</v>
      </c>
      <c r="D1650" s="1048"/>
      <c r="E1650" s="1048"/>
      <c r="F1650" s="1818"/>
      <c r="G1650" s="1048"/>
      <c r="H1650" s="1048"/>
      <c r="I1650" s="1001"/>
      <c r="J1650" s="1846"/>
      <c r="K1650" s="1846"/>
      <c r="L1650" s="1846"/>
    </row>
    <row r="1651" spans="1:12">
      <c r="A1651" s="1818"/>
      <c r="B1651" s="1818"/>
      <c r="C1651" s="1097" t="s">
        <v>1139</v>
      </c>
      <c r="D1651" s="1048"/>
      <c r="E1651" s="1048"/>
      <c r="F1651" s="1818"/>
      <c r="G1651" s="1048"/>
      <c r="H1651" s="1048"/>
      <c r="I1651" s="1001"/>
      <c r="J1651" s="1846"/>
      <c r="K1651" s="1846"/>
      <c r="L1651" s="1846"/>
    </row>
    <row r="1652" spans="1:12">
      <c r="A1652" s="1818"/>
      <c r="B1652" s="1818"/>
      <c r="C1652" s="1143" t="s">
        <v>1289</v>
      </c>
      <c r="D1652" s="1034">
        <v>0.8</v>
      </c>
      <c r="E1652" s="1069" t="s">
        <v>484</v>
      </c>
      <c r="F1652" s="1001">
        <f>$F$22</f>
        <v>1387.96</v>
      </c>
      <c r="G1652" s="1045">
        <v>1</v>
      </c>
      <c r="H1652" s="1069" t="str">
        <f t="shared" ref="H1652:H1655" si="391">IF(E1652="","",IF(E1652="No.","Each",IF(E1652="Nos.","Each",E1652)))</f>
        <v>Cum</v>
      </c>
      <c r="I1652" s="1030">
        <f t="shared" ref="I1652:I1655" si="392">IF(G1652="",D1652*F1652,(D1652*F1652/G1652))</f>
        <v>1110.3680000000002</v>
      </c>
      <c r="J1652" s="1846"/>
      <c r="K1652" s="1096"/>
      <c r="L1652" s="1846"/>
    </row>
    <row r="1653" spans="1:12">
      <c r="A1653" s="1818"/>
      <c r="B1653" s="1818"/>
      <c r="C1653" s="1817" t="s">
        <v>1163</v>
      </c>
      <c r="D1653" s="1034">
        <v>0.4</v>
      </c>
      <c r="E1653" s="1069" t="s">
        <v>484</v>
      </c>
      <c r="F1653" s="1001">
        <f>LEAD!$N$12</f>
        <v>2253.91</v>
      </c>
      <c r="G1653" s="1045">
        <v>1</v>
      </c>
      <c r="H1653" s="1069" t="str">
        <f t="shared" si="391"/>
        <v>Cum</v>
      </c>
      <c r="I1653" s="1030">
        <f t="shared" si="392"/>
        <v>901.56399999999996</v>
      </c>
      <c r="J1653" s="1846"/>
      <c r="K1653" s="1096"/>
      <c r="L1653" s="1846"/>
    </row>
    <row r="1654" spans="1:12">
      <c r="A1654" s="1818"/>
      <c r="B1654" s="1818"/>
      <c r="C1654" s="1817" t="s">
        <v>889</v>
      </c>
      <c r="D1654" s="1034">
        <v>380</v>
      </c>
      <c r="E1654" s="1069" t="s">
        <v>1110</v>
      </c>
      <c r="F1654" s="1001">
        <f>LEAD!$N$6</f>
        <v>5200</v>
      </c>
      <c r="G1654" s="1045">
        <v>1000</v>
      </c>
      <c r="H1654" s="1069" t="str">
        <f t="shared" si="391"/>
        <v>Kgs</v>
      </c>
      <c r="I1654" s="1030">
        <f t="shared" si="392"/>
        <v>1976</v>
      </c>
      <c r="J1654" s="1846"/>
      <c r="K1654" s="1096"/>
      <c r="L1654" s="1846"/>
    </row>
    <row r="1655" spans="1:12">
      <c r="A1655" s="1818"/>
      <c r="B1655" s="1818"/>
      <c r="C1655" s="1817" t="s">
        <v>1164</v>
      </c>
      <c r="D1655" s="1034">
        <v>1.2</v>
      </c>
      <c r="E1655" s="1069" t="s">
        <v>1124</v>
      </c>
      <c r="F1655" s="1001">
        <f>Input!$D$53</f>
        <v>108</v>
      </c>
      <c r="G1655" s="1045">
        <v>1</v>
      </c>
      <c r="H1655" s="1069" t="str">
        <f t="shared" si="391"/>
        <v>Kl</v>
      </c>
      <c r="I1655" s="1030">
        <f t="shared" si="392"/>
        <v>129.6</v>
      </c>
      <c r="J1655" s="1846"/>
      <c r="K1655" s="1096"/>
      <c r="L1655" s="1846"/>
    </row>
    <row r="1656" spans="1:12">
      <c r="A1656" s="1818"/>
      <c r="B1656" s="1818"/>
      <c r="C1656" s="1816" t="s">
        <v>1144</v>
      </c>
      <c r="D1656" s="1034"/>
      <c r="E1656" s="1069"/>
      <c r="F1656" s="1001"/>
      <c r="G1656" s="1045"/>
      <c r="H1656" s="1069"/>
      <c r="I1656" s="1030"/>
      <c r="J1656" s="1846"/>
      <c r="K1656" s="1096"/>
      <c r="L1656" s="1846"/>
    </row>
    <row r="1657" spans="1:12">
      <c r="A1657" s="1818"/>
      <c r="B1657" s="1818"/>
      <c r="C1657" s="1817" t="s">
        <v>1177</v>
      </c>
      <c r="D1657" s="1132">
        <v>0.308</v>
      </c>
      <c r="E1657" s="1052" t="s">
        <v>400</v>
      </c>
      <c r="F1657" s="1030">
        <f>'Civil-SOR'!$G$329</f>
        <v>265.79999999999995</v>
      </c>
      <c r="G1657" s="1144">
        <v>1</v>
      </c>
      <c r="H1657" s="1144" t="str">
        <f t="shared" ref="H1657:H1658" si="393">IF(E1657="","",IF(E1657="No.","Each",IF(E1657="Nos.","Each",E1657)))</f>
        <v>hour</v>
      </c>
      <c r="I1657" s="1030">
        <f t="shared" ref="I1657:I1661" si="394">IF(G1657="",D1657*F1657,(D1657*F1657/G1657))</f>
        <v>81.866399999999985</v>
      </c>
      <c r="J1657" s="1846"/>
      <c r="K1657" s="1096"/>
      <c r="L1657" s="1846"/>
    </row>
    <row r="1658" spans="1:12">
      <c r="A1658" s="1818"/>
      <c r="B1658" s="1818"/>
      <c r="C1658" s="1817" t="s">
        <v>579</v>
      </c>
      <c r="D1658" s="1132">
        <v>0.308</v>
      </c>
      <c r="E1658" s="1052" t="s">
        <v>400</v>
      </c>
      <c r="F1658" s="1030">
        <f>'Civil-SOR'!$J$329</f>
        <v>454.8</v>
      </c>
      <c r="G1658" s="1144">
        <v>1</v>
      </c>
      <c r="H1658" s="1144" t="str">
        <f t="shared" si="393"/>
        <v>hour</v>
      </c>
      <c r="I1658" s="1030">
        <f t="shared" si="394"/>
        <v>140.07839999999999</v>
      </c>
      <c r="J1658" s="1846"/>
      <c r="K1658" s="1096"/>
      <c r="L1658" s="1846"/>
    </row>
    <row r="1659" spans="1:12">
      <c r="A1659" s="1818"/>
      <c r="B1659" s="1818"/>
      <c r="C1659" s="1817" t="s">
        <v>1178</v>
      </c>
      <c r="D1659" s="1132">
        <v>0.308</v>
      </c>
      <c r="E1659" s="1846" t="s">
        <v>1083</v>
      </c>
      <c r="F1659" s="1021">
        <f>'Civil-SOR'!$G$332</f>
        <v>36.5</v>
      </c>
      <c r="G1659" s="1105">
        <v>1</v>
      </c>
      <c r="H1659" s="1846" t="s">
        <v>400</v>
      </c>
      <c r="I1659" s="1030">
        <f t="shared" si="394"/>
        <v>11.241999999999999</v>
      </c>
      <c r="J1659" s="1846"/>
      <c r="K1659" s="1096"/>
      <c r="L1659" s="1846"/>
    </row>
    <row r="1660" spans="1:12">
      <c r="A1660" s="1818"/>
      <c r="B1660" s="1818"/>
      <c r="C1660" s="1817" t="s">
        <v>579</v>
      </c>
      <c r="D1660" s="1132">
        <v>0.308</v>
      </c>
      <c r="E1660" s="1846" t="s">
        <v>1083</v>
      </c>
      <c r="F1660" s="1021">
        <f>'Civil-SOR'!$J$332</f>
        <v>218</v>
      </c>
      <c r="G1660" s="1105">
        <v>1</v>
      </c>
      <c r="H1660" s="1846" t="s">
        <v>400</v>
      </c>
      <c r="I1660" s="1030">
        <f t="shared" si="394"/>
        <v>67.144000000000005</v>
      </c>
      <c r="J1660" s="1846"/>
      <c r="K1660" s="1096"/>
      <c r="L1660" s="1846"/>
    </row>
    <row r="1661" spans="1:12">
      <c r="A1661" s="1818"/>
      <c r="B1661" s="1818"/>
      <c r="C1661" s="1817" t="s">
        <v>1085</v>
      </c>
      <c r="D1661" s="1000">
        <f>Input!$D$47</f>
        <v>0.4</v>
      </c>
      <c r="E1661" s="1044"/>
      <c r="F1661" s="1001">
        <f>I1658+I1660</f>
        <v>207.22239999999999</v>
      </c>
      <c r="G1661" s="1015"/>
      <c r="H1661" s="1015"/>
      <c r="I1661" s="1001">
        <f t="shared" si="394"/>
        <v>82.888959999999997</v>
      </c>
      <c r="J1661" s="1846"/>
      <c r="K1661" s="1096"/>
      <c r="L1661" s="1846"/>
    </row>
    <row r="1662" spans="1:12">
      <c r="A1662" s="1818"/>
      <c r="B1662" s="1818"/>
      <c r="C1662" s="1816" t="s">
        <v>1146</v>
      </c>
      <c r="D1662" s="1034"/>
      <c r="E1662" s="1069"/>
      <c r="F1662" s="1001"/>
      <c r="G1662" s="1045"/>
      <c r="H1662" s="1069"/>
      <c r="I1662" s="1030"/>
      <c r="J1662" s="1846"/>
      <c r="K1662" s="1096"/>
      <c r="L1662" s="1846"/>
    </row>
    <row r="1663" spans="1:12">
      <c r="A1663" s="1818"/>
      <c r="B1663" s="1818"/>
      <c r="C1663" s="1817" t="s">
        <v>1147</v>
      </c>
      <c r="D1663" s="1127">
        <v>6.7000000000000004E-2</v>
      </c>
      <c r="E1663" s="1069" t="s">
        <v>36</v>
      </c>
      <c r="F1663" s="1001">
        <f>'Civil-SOR'!$G$293</f>
        <v>580</v>
      </c>
      <c r="G1663" s="1045">
        <v>1</v>
      </c>
      <c r="H1663" s="1069" t="str">
        <f t="shared" ref="H1663:H1665" si="395">IF(E1663="","",IF(E1663="No.","Each",IF(E1663="Nos.","Each",E1663)))</f>
        <v>Each</v>
      </c>
      <c r="I1663" s="1030">
        <f t="shared" ref="I1663:I1666" si="396">IF(G1663="",D1663*F1663,(D1663*F1663/G1663))</f>
        <v>38.86</v>
      </c>
      <c r="J1663" s="1846"/>
      <c r="K1663" s="1096"/>
      <c r="L1663" s="1846"/>
    </row>
    <row r="1664" spans="1:12">
      <c r="A1664" s="1818"/>
      <c r="B1664" s="1818"/>
      <c r="C1664" s="1817" t="s">
        <v>1062</v>
      </c>
      <c r="D1664" s="1127">
        <v>0.13300000000000001</v>
      </c>
      <c r="E1664" s="1069" t="s">
        <v>36</v>
      </c>
      <c r="F1664" s="1001">
        <f>'Civil-SOR'!$G$302</f>
        <v>550</v>
      </c>
      <c r="G1664" s="1045">
        <v>1</v>
      </c>
      <c r="H1664" s="1069" t="str">
        <f t="shared" si="395"/>
        <v>Each</v>
      </c>
      <c r="I1664" s="1030">
        <f t="shared" si="396"/>
        <v>73.150000000000006</v>
      </c>
      <c r="J1664" s="1846"/>
      <c r="K1664" s="1096"/>
      <c r="L1664" s="1846"/>
    </row>
    <row r="1665" spans="1:13">
      <c r="A1665" s="1818"/>
      <c r="B1665" s="1818"/>
      <c r="C1665" s="1817" t="s">
        <v>1166</v>
      </c>
      <c r="D1665" s="1127">
        <v>3.077</v>
      </c>
      <c r="E1665" s="1069" t="s">
        <v>36</v>
      </c>
      <c r="F1665" s="1001">
        <f>'Civil-SOR'!$G$307</f>
        <v>520</v>
      </c>
      <c r="G1665" s="1045">
        <v>1</v>
      </c>
      <c r="H1665" s="1069" t="str">
        <f t="shared" si="395"/>
        <v>Each</v>
      </c>
      <c r="I1665" s="1030">
        <f t="shared" si="396"/>
        <v>1600.04</v>
      </c>
      <c r="J1665" s="1846"/>
      <c r="K1665" s="1096"/>
      <c r="L1665" s="1846"/>
    </row>
    <row r="1666" spans="1:13">
      <c r="A1666" s="1818"/>
      <c r="B1666" s="1818"/>
      <c r="C1666" s="1817" t="str">
        <f>Input!$C$47</f>
        <v>Add for MA @ 40%</v>
      </c>
      <c r="D1666" s="1034">
        <f>Input!$D$47</f>
        <v>0.4</v>
      </c>
      <c r="E1666" s="1069"/>
      <c r="F1666" s="1001">
        <f>SUM(I1663:I1665)</f>
        <v>1712.05</v>
      </c>
      <c r="G1666" s="1045"/>
      <c r="H1666" s="1069"/>
      <c r="I1666" s="1030">
        <f t="shared" si="396"/>
        <v>684.82</v>
      </c>
      <c r="J1666" s="1846"/>
      <c r="K1666" s="1096"/>
      <c r="L1666" s="1846"/>
    </row>
    <row r="1667" spans="1:13">
      <c r="A1667" s="1818"/>
      <c r="B1667" s="1818"/>
      <c r="C1667" s="1816" t="s">
        <v>1032</v>
      </c>
      <c r="D1667" s="1034"/>
      <c r="E1667" s="1048"/>
      <c r="F1667" s="1001"/>
      <c r="G1667" s="1045"/>
      <c r="H1667" s="1046"/>
      <c r="I1667" s="1011">
        <f>SUM(I1652:I1666)</f>
        <v>6897.62176</v>
      </c>
      <c r="J1667" s="1846"/>
      <c r="K1667" s="1096"/>
      <c r="L1667" s="1846"/>
    </row>
    <row r="1668" spans="1:13">
      <c r="A1668" s="1818"/>
      <c r="B1668" s="1818"/>
      <c r="C1668" s="1816"/>
      <c r="D1668" s="1114"/>
      <c r="E1668" s="1114"/>
      <c r="F1668" s="1114"/>
      <c r="G1668" s="1114"/>
      <c r="H1668" s="1114"/>
      <c r="I1668" s="1011"/>
      <c r="J1668" s="1846"/>
      <c r="K1668" s="1846"/>
      <c r="L1668" s="1846"/>
    </row>
    <row r="1669" spans="1:13">
      <c r="A1669" s="1145"/>
      <c r="B1669" s="1146" t="s">
        <v>294</v>
      </c>
      <c r="C1669" s="1147" t="s">
        <v>1290</v>
      </c>
      <c r="D1669" s="1148"/>
      <c r="E1669" s="1148"/>
      <c r="F1669" s="1148"/>
      <c r="G1669" s="1149"/>
      <c r="H1669" s="1150"/>
      <c r="I1669" s="1151"/>
      <c r="J1669" s="1148"/>
      <c r="K1669" s="1148"/>
      <c r="L1669" s="1148"/>
      <c r="M1669" s="1152"/>
    </row>
    <row r="1670" spans="1:13">
      <c r="A1670" s="1145"/>
      <c r="B1670" s="1146"/>
      <c r="C1670" s="1143" t="s">
        <v>1181</v>
      </c>
      <c r="D1670" s="1153">
        <v>0.05</v>
      </c>
      <c r="E1670" s="1148" t="s">
        <v>484</v>
      </c>
      <c r="F1670" s="1154">
        <f>$I$1667</f>
        <v>6897.62176</v>
      </c>
      <c r="G1670" s="1149">
        <v>1</v>
      </c>
      <c r="H1670" s="1148" t="s">
        <v>484</v>
      </c>
      <c r="I1670" s="1155">
        <f>IF(G1670="",D1670*F1670,(D1670*F1670/G1670))</f>
        <v>344.88108800000003</v>
      </c>
      <c r="J1670" s="1148"/>
      <c r="K1670" s="1148"/>
      <c r="L1670" s="1148"/>
      <c r="M1670" s="1152"/>
    </row>
    <row r="1671" spans="1:13">
      <c r="A1671" s="1145"/>
      <c r="B1671" s="1146"/>
      <c r="C1671" s="1143"/>
      <c r="D1671" s="1153"/>
      <c r="E1671" s="1148"/>
      <c r="F1671" s="1154"/>
      <c r="G1671" s="1149"/>
      <c r="H1671" s="1148"/>
      <c r="I1671" s="1155"/>
      <c r="J1671" s="1148"/>
      <c r="K1671" s="1148"/>
      <c r="L1671" s="1148"/>
      <c r="M1671" s="1152"/>
    </row>
    <row r="1672" spans="1:13">
      <c r="A1672" s="1818"/>
      <c r="B1672" s="1818"/>
      <c r="C1672" s="1124" t="s">
        <v>1217</v>
      </c>
      <c r="D1672" s="1009" t="s">
        <v>1223</v>
      </c>
      <c r="E1672" s="1009" t="s">
        <v>1207</v>
      </c>
      <c r="F1672" s="1009" t="s">
        <v>1208</v>
      </c>
      <c r="G1672" s="1009" t="s">
        <v>1291</v>
      </c>
      <c r="H1672" s="1009" t="s">
        <v>1292</v>
      </c>
      <c r="I1672" s="1009" t="s">
        <v>1293</v>
      </c>
      <c r="J1672" s="1846"/>
      <c r="K1672" s="1846"/>
      <c r="L1672" s="1846"/>
    </row>
    <row r="1673" spans="1:13">
      <c r="A1673" s="1818"/>
      <c r="B1673" s="1818"/>
      <c r="C1673" s="1827" t="s">
        <v>1218</v>
      </c>
      <c r="D1673" s="1001">
        <f t="shared" ref="D1673:I1673" si="397">$I$1670</f>
        <v>344.88108800000003</v>
      </c>
      <c r="E1673" s="1001">
        <f t="shared" si="397"/>
        <v>344.88108800000003</v>
      </c>
      <c r="F1673" s="1001">
        <f t="shared" si="397"/>
        <v>344.88108800000003</v>
      </c>
      <c r="G1673" s="1001">
        <f t="shared" si="397"/>
        <v>344.88108800000003</v>
      </c>
      <c r="H1673" s="1001">
        <f t="shared" si="397"/>
        <v>344.88108800000003</v>
      </c>
      <c r="I1673" s="1001">
        <f t="shared" si="397"/>
        <v>344.88108800000003</v>
      </c>
      <c r="J1673" s="1846"/>
      <c r="K1673" s="1846"/>
      <c r="L1673" s="1846"/>
    </row>
    <row r="1674" spans="1:13">
      <c r="A1674" s="1818"/>
      <c r="B1674" s="1818"/>
      <c r="C1674" s="1817" t="s">
        <v>1182</v>
      </c>
      <c r="D1674" s="1001"/>
      <c r="E1674" s="1001"/>
      <c r="F1674" s="1001"/>
      <c r="G1674" s="1001"/>
      <c r="H1674" s="1001"/>
      <c r="I1674" s="1001"/>
      <c r="J1674" s="1846"/>
      <c r="K1674" s="1846"/>
      <c r="L1674" s="1846"/>
    </row>
    <row r="1675" spans="1:13">
      <c r="A1675" s="1818"/>
      <c r="B1675" s="1818"/>
      <c r="C1675" s="1817" t="s">
        <v>1269</v>
      </c>
      <c r="D1675" s="1001"/>
      <c r="E1675" s="1001"/>
      <c r="F1675" s="1001"/>
      <c r="G1675" s="1001"/>
      <c r="H1675" s="1001"/>
      <c r="I1675" s="1001"/>
      <c r="J1675" s="1846"/>
      <c r="K1675" s="1846"/>
      <c r="L1675" s="1846"/>
    </row>
    <row r="1676" spans="1:13">
      <c r="A1676" s="1818"/>
      <c r="B1676" s="1818"/>
      <c r="C1676" s="1817" t="str">
        <f>Input!$C$47</f>
        <v>Add for MA @ 40%</v>
      </c>
      <c r="D1676" s="1001">
        <f>D1675*Input!$D$47</f>
        <v>0</v>
      </c>
      <c r="E1676" s="1001">
        <f>E1675*Input!$D$47</f>
        <v>0</v>
      </c>
      <c r="F1676" s="1001">
        <f>F1675*Input!$D$47</f>
        <v>0</v>
      </c>
      <c r="G1676" s="1001">
        <f>G1675*Input!$D$47</f>
        <v>0</v>
      </c>
      <c r="H1676" s="1001">
        <f>H1675*Input!$D$47</f>
        <v>0</v>
      </c>
      <c r="I1676" s="1001">
        <f>I1675*Input!$D$47</f>
        <v>0</v>
      </c>
      <c r="J1676" s="1846"/>
      <c r="K1676" s="1846"/>
      <c r="L1676" s="1846"/>
    </row>
    <row r="1677" spans="1:13">
      <c r="A1677" s="1818"/>
      <c r="B1677" s="1818"/>
      <c r="C1677" s="1817" t="s">
        <v>1253</v>
      </c>
      <c r="D1677" s="1001">
        <v>0</v>
      </c>
      <c r="E1677" s="1001">
        <f>$F$1666*$D$1670*10%</f>
        <v>8.5602500000000017</v>
      </c>
      <c r="F1677" s="1001">
        <f>$F$1666*D1670*20%</f>
        <v>17.120500000000003</v>
      </c>
      <c r="G1677" s="1001">
        <f>$F$1666*D1670*30%</f>
        <v>25.68075</v>
      </c>
      <c r="H1677" s="1001">
        <f>$F$1666*D1670*40%</f>
        <v>34.241000000000007</v>
      </c>
      <c r="I1677" s="1001">
        <f>$F$1666*D1670*50%</f>
        <v>42.801250000000003</v>
      </c>
      <c r="J1677" s="1846"/>
      <c r="K1677" s="1846"/>
      <c r="L1677" s="1846"/>
    </row>
    <row r="1678" spans="1:13">
      <c r="A1678" s="1818"/>
      <c r="B1678" s="1818"/>
      <c r="C1678" s="1817" t="str">
        <f>Input!$C$47</f>
        <v>Add for MA @ 40%</v>
      </c>
      <c r="D1678" s="1001">
        <f>D1677*Input!$D$47</f>
        <v>0</v>
      </c>
      <c r="E1678" s="1001">
        <f>E1677*Input!$D$47</f>
        <v>3.424100000000001</v>
      </c>
      <c r="F1678" s="1001">
        <f>F1677*Input!$D$47</f>
        <v>6.8482000000000021</v>
      </c>
      <c r="G1678" s="1001">
        <f>G1677*Input!$D$47</f>
        <v>10.272300000000001</v>
      </c>
      <c r="H1678" s="1001">
        <f>H1677*Input!$D$47</f>
        <v>13.696400000000004</v>
      </c>
      <c r="I1678" s="1001">
        <f>I1677*Input!$D$47</f>
        <v>17.120500000000003</v>
      </c>
      <c r="J1678" s="1846"/>
      <c r="K1678" s="1846"/>
      <c r="L1678" s="1846"/>
    </row>
    <row r="1679" spans="1:13">
      <c r="A1679" s="1086"/>
      <c r="B1679" s="1086"/>
      <c r="C1679" s="1156" t="s">
        <v>1045</v>
      </c>
      <c r="D1679" s="994">
        <f t="shared" ref="D1679:I1679" si="398">SUM(D1673:D1678)</f>
        <v>344.88108800000003</v>
      </c>
      <c r="E1679" s="994">
        <f t="shared" si="398"/>
        <v>356.86543800000004</v>
      </c>
      <c r="F1679" s="994">
        <f t="shared" si="398"/>
        <v>368.84978800000005</v>
      </c>
      <c r="G1679" s="994">
        <f t="shared" si="398"/>
        <v>380.83413800000005</v>
      </c>
      <c r="H1679" s="994">
        <f t="shared" si="398"/>
        <v>392.818488</v>
      </c>
      <c r="I1679" s="994">
        <f t="shared" si="398"/>
        <v>404.80283800000001</v>
      </c>
      <c r="J1679" s="996"/>
      <c r="K1679" s="996"/>
      <c r="L1679" s="996"/>
      <c r="M1679" s="997"/>
    </row>
    <row r="1680" spans="1:13">
      <c r="A1680" s="1818"/>
      <c r="B1680" s="1818"/>
      <c r="C1680" s="1817" t="str">
        <f>Input!$C$48</f>
        <v>Overheads &amp; Contractors Profit @ 13.615%</v>
      </c>
      <c r="D1680" s="1001">
        <f>D1679*Input!$D$48</f>
        <v>46.955560131200002</v>
      </c>
      <c r="E1680" s="1001">
        <f>E1679*Input!$D$48</f>
        <v>48.587229383700006</v>
      </c>
      <c r="F1680" s="1001">
        <f>F1679*Input!$D$48</f>
        <v>50.218898636200002</v>
      </c>
      <c r="G1680" s="1001">
        <f>G1679*Input!$D$48</f>
        <v>51.850567888700006</v>
      </c>
      <c r="H1680" s="1001">
        <f>H1679*Input!$D$48</f>
        <v>53.482237141199995</v>
      </c>
      <c r="I1680" s="1001">
        <f>I1679*Input!$D$48</f>
        <v>55.113906393699999</v>
      </c>
      <c r="J1680" s="1846"/>
      <c r="K1680" s="1846"/>
      <c r="L1680" s="1846"/>
    </row>
    <row r="1681" spans="1:13">
      <c r="A1681" s="1086"/>
      <c r="B1681" s="1086"/>
      <c r="C1681" s="1156" t="s">
        <v>1045</v>
      </c>
      <c r="D1681" s="994">
        <f t="shared" ref="D1681:I1681" si="399">SUM(D1679:D1680)</f>
        <v>391.83664813120004</v>
      </c>
      <c r="E1681" s="994">
        <f t="shared" si="399"/>
        <v>405.45266738370003</v>
      </c>
      <c r="F1681" s="994">
        <f t="shared" si="399"/>
        <v>419.06868663620003</v>
      </c>
      <c r="G1681" s="994">
        <f t="shared" si="399"/>
        <v>432.68470588870008</v>
      </c>
      <c r="H1681" s="994">
        <f t="shared" si="399"/>
        <v>446.30072514120002</v>
      </c>
      <c r="I1681" s="994">
        <f t="shared" si="399"/>
        <v>459.91674439370001</v>
      </c>
      <c r="J1681" s="996"/>
      <c r="K1681" s="996"/>
      <c r="L1681" s="996"/>
      <c r="M1681" s="997"/>
    </row>
    <row r="1682" spans="1:13">
      <c r="A1682" s="1086"/>
      <c r="B1682" s="1086"/>
      <c r="C1682" s="1843" t="s">
        <v>1034</v>
      </c>
      <c r="D1682" s="999">
        <f t="shared" ref="D1682:I1682" si="400">ROUND(D1681,0)</f>
        <v>392</v>
      </c>
      <c r="E1682" s="999">
        <f t="shared" si="400"/>
        <v>405</v>
      </c>
      <c r="F1682" s="999">
        <f t="shared" si="400"/>
        <v>419</v>
      </c>
      <c r="G1682" s="999">
        <f t="shared" si="400"/>
        <v>433</v>
      </c>
      <c r="H1682" s="999">
        <f t="shared" si="400"/>
        <v>446</v>
      </c>
      <c r="I1682" s="999">
        <f t="shared" si="400"/>
        <v>460</v>
      </c>
      <c r="J1682" s="996"/>
      <c r="K1682" s="996"/>
      <c r="L1682" s="996"/>
      <c r="M1682" s="997"/>
    </row>
    <row r="1683" spans="1:13">
      <c r="A1683" s="1086"/>
      <c r="B1683" s="1086"/>
      <c r="C1683" s="1843"/>
      <c r="D1683" s="999"/>
      <c r="E1683" s="999"/>
      <c r="F1683" s="999"/>
      <c r="G1683" s="999"/>
      <c r="H1683" s="999"/>
      <c r="I1683" s="999"/>
      <c r="J1683" s="999"/>
      <c r="K1683" s="999"/>
      <c r="L1683" s="999"/>
      <c r="M1683" s="997"/>
    </row>
    <row r="1684" spans="1:13" ht="36.6" customHeight="1">
      <c r="A1684" s="1822">
        <f>A1649+1</f>
        <v>20</v>
      </c>
      <c r="B1684" s="1068"/>
      <c r="C1684" s="2037" t="s">
        <v>1294</v>
      </c>
      <c r="D1684" s="2037"/>
      <c r="E1684" s="2037"/>
      <c r="F1684" s="2037"/>
      <c r="G1684" s="2037"/>
      <c r="H1684" s="2037"/>
      <c r="I1684" s="2037"/>
      <c r="J1684" s="1114"/>
      <c r="K1684" s="1114"/>
      <c r="L1684" s="1009"/>
    </row>
    <row r="1685" spans="1:13">
      <c r="A1685" s="1823"/>
      <c r="B1685" s="1068"/>
      <c r="C1685" s="1078" t="s">
        <v>1295</v>
      </c>
      <c r="D1685" s="1817"/>
      <c r="E1685" s="1817"/>
      <c r="F1685" s="1817"/>
      <c r="G1685" s="1817"/>
      <c r="H1685" s="1817"/>
      <c r="I1685" s="1817"/>
      <c r="J1685" s="1114"/>
      <c r="K1685" s="1114"/>
      <c r="L1685" s="1009"/>
    </row>
    <row r="1686" spans="1:13">
      <c r="A1686" s="1823"/>
      <c r="B1686" s="1068"/>
      <c r="C1686" s="1817" t="s">
        <v>1296</v>
      </c>
      <c r="D1686" s="1817"/>
      <c r="E1686" s="1817"/>
      <c r="F1686" s="1817"/>
      <c r="G1686" s="1817"/>
      <c r="H1686" s="1817"/>
      <c r="I1686" s="1817"/>
      <c r="J1686" s="1114"/>
      <c r="K1686" s="1114"/>
      <c r="L1686" s="1009"/>
    </row>
    <row r="1687" spans="1:13">
      <c r="A1687" s="1823"/>
      <c r="B1687" s="1068"/>
      <c r="C1687" s="1816" t="s">
        <v>1139</v>
      </c>
      <c r="D1687" s="1817"/>
      <c r="E1687" s="1817"/>
      <c r="F1687" s="1817"/>
      <c r="G1687" s="1817"/>
      <c r="H1687" s="1817"/>
      <c r="I1687" s="1817"/>
      <c r="J1687" s="1114"/>
      <c r="K1687" s="1114"/>
      <c r="L1687" s="1009"/>
    </row>
    <row r="1688" spans="1:13">
      <c r="A1688" s="1823"/>
      <c r="B1688" s="1068"/>
      <c r="C1688" s="1817" t="s">
        <v>1297</v>
      </c>
      <c r="D1688" s="1157">
        <v>2.3E-2</v>
      </c>
      <c r="E1688" s="1069" t="s">
        <v>484</v>
      </c>
      <c r="F1688" s="1000">
        <f>$F$9</f>
        <v>4594.2100000000009</v>
      </c>
      <c r="G1688" s="1015">
        <v>1</v>
      </c>
      <c r="H1688" s="1085" t="str">
        <f>IF(E1688="","",IF(E1688="No.","Each",IF(E1688="Nos.","Each",E1688)))</f>
        <v>Cum</v>
      </c>
      <c r="I1688" s="1000">
        <f>IF(G1688="",D1688*F1688,(D1688*F1688/G1688))</f>
        <v>105.66683000000002</v>
      </c>
      <c r="J1688" s="1114"/>
      <c r="K1688" s="1114"/>
      <c r="L1688" s="1009"/>
    </row>
    <row r="1689" spans="1:13">
      <c r="A1689" s="1823"/>
      <c r="B1689" s="1068"/>
      <c r="C1689" s="1816" t="s">
        <v>1298</v>
      </c>
      <c r="D1689" s="1002"/>
      <c r="E1689" s="1002"/>
      <c r="F1689" s="1002"/>
      <c r="G1689" s="1002"/>
      <c r="H1689" s="1002"/>
      <c r="I1689" s="1002"/>
      <c r="J1689" s="1114"/>
      <c r="K1689" s="1114"/>
      <c r="L1689" s="1009"/>
    </row>
    <row r="1690" spans="1:13">
      <c r="A1690" s="1823"/>
      <c r="B1690" s="1068"/>
      <c r="C1690" s="1817" t="s">
        <v>1299</v>
      </c>
      <c r="D1690" s="1000">
        <v>0.3</v>
      </c>
      <c r="E1690" s="1094" t="s">
        <v>36</v>
      </c>
      <c r="F1690" s="1000">
        <f>'Civil-SOR'!G293</f>
        <v>580</v>
      </c>
      <c r="G1690" s="1015">
        <v>1</v>
      </c>
      <c r="H1690" s="1085" t="str">
        <f t="shared" ref="H1690:H1691" si="401">IF(E1690="","",IF(E1690="No.","Each",IF(E1690="Nos.","Each",E1690)))</f>
        <v>Each</v>
      </c>
      <c r="I1690" s="1000">
        <f t="shared" ref="I1690:I1693" si="402">IF(G1690="",D1690*F1690,(D1690*F1690/G1690))</f>
        <v>174</v>
      </c>
      <c r="J1690" s="1114"/>
      <c r="K1690" s="1114"/>
      <c r="L1690" s="1009"/>
    </row>
    <row r="1691" spans="1:13">
      <c r="A1691" s="1823"/>
      <c r="B1691" s="1068"/>
      <c r="C1691" s="1817" t="s">
        <v>1300</v>
      </c>
      <c r="D1691" s="1000">
        <v>0.35</v>
      </c>
      <c r="E1691" s="1069" t="s">
        <v>36</v>
      </c>
      <c r="F1691" s="1000">
        <f>'Civil-SOR'!G307</f>
        <v>520</v>
      </c>
      <c r="G1691" s="1015">
        <v>1</v>
      </c>
      <c r="H1691" s="1085" t="str">
        <f t="shared" si="401"/>
        <v>Each</v>
      </c>
      <c r="I1691" s="1000">
        <f t="shared" si="402"/>
        <v>182</v>
      </c>
      <c r="J1691" s="1114"/>
      <c r="K1691" s="1114"/>
      <c r="L1691" s="1009"/>
    </row>
    <row r="1692" spans="1:13">
      <c r="A1692" s="1823"/>
      <c r="B1692" s="1068"/>
      <c r="C1692" s="1817" t="str">
        <f>Input!$C$47</f>
        <v>Add for MA @ 40%</v>
      </c>
      <c r="D1692" s="1093">
        <f>Input!$D$47</f>
        <v>0.4</v>
      </c>
      <c r="E1692" s="1094"/>
      <c r="F1692" s="1000">
        <f>SUM(I1690:I1691)</f>
        <v>356</v>
      </c>
      <c r="G1692" s="1020"/>
      <c r="H1692" s="1057"/>
      <c r="I1692" s="1000">
        <f t="shared" si="402"/>
        <v>142.4</v>
      </c>
      <c r="J1692" s="1114"/>
      <c r="K1692" s="1114"/>
      <c r="L1692" s="1009"/>
    </row>
    <row r="1693" spans="1:13">
      <c r="A1693" s="1823"/>
      <c r="B1693" s="1068"/>
      <c r="C1693" s="1817" t="s">
        <v>1301</v>
      </c>
      <c r="D1693" s="1000">
        <v>0.01</v>
      </c>
      <c r="E1693" s="1069"/>
      <c r="F1693" s="1000">
        <f>SUM(I1688:I1692)</f>
        <v>604.06682999999998</v>
      </c>
      <c r="G1693" s="1015"/>
      <c r="H1693" s="1085"/>
      <c r="I1693" s="1000">
        <f t="shared" si="402"/>
        <v>6.0406683000000001</v>
      </c>
      <c r="J1693" s="1114"/>
      <c r="K1693" s="1114"/>
      <c r="L1693" s="1009"/>
    </row>
    <row r="1694" spans="1:13">
      <c r="A1694" s="1823"/>
      <c r="B1694" s="1068"/>
      <c r="C1694" s="1816" t="s">
        <v>1302</v>
      </c>
      <c r="D1694" s="1000"/>
      <c r="E1694" s="1069"/>
      <c r="F1694" s="1000"/>
      <c r="G1694" s="1015"/>
      <c r="H1694" s="1069"/>
      <c r="I1694" s="1104">
        <f>SUM(I1688:I1693)</f>
        <v>610.10749829999997</v>
      </c>
      <c r="J1694" s="1114"/>
      <c r="K1694" s="1114"/>
      <c r="L1694" s="1009"/>
    </row>
    <row r="1695" spans="1:13">
      <c r="A1695" s="1823"/>
      <c r="B1695" s="1068"/>
      <c r="C1695" s="1817" t="str">
        <f>Input!$C$48</f>
        <v>Overheads &amp; Contractors Profit @ 13.615%</v>
      </c>
      <c r="D1695" s="1095">
        <f>Input!$D$48</f>
        <v>0.13614999999999999</v>
      </c>
      <c r="E1695" s="1114"/>
      <c r="F1695" s="1001">
        <f>I1694</f>
        <v>610.10749829999997</v>
      </c>
      <c r="G1695" s="1114"/>
      <c r="H1695" s="1114"/>
      <c r="I1695" s="1000">
        <f>IF(G1695="",D1695*F1695,(D1695*F1695/G1695))</f>
        <v>83.066135893544995</v>
      </c>
      <c r="J1695" s="1114"/>
      <c r="K1695" s="1114"/>
      <c r="L1695" s="1009"/>
    </row>
    <row r="1696" spans="1:13" ht="25.5">
      <c r="A1696" s="1823"/>
      <c r="B1696" s="1068"/>
      <c r="C1696" s="1816" t="s">
        <v>1303</v>
      </c>
      <c r="D1696" s="1114"/>
      <c r="E1696" s="1114"/>
      <c r="F1696" s="1114"/>
      <c r="G1696" s="1114"/>
      <c r="H1696" s="1114"/>
      <c r="I1696" s="1009">
        <f>SUM(I1694:I1695)</f>
        <v>693.17363419354501</v>
      </c>
      <c r="J1696" s="1114"/>
      <c r="K1696" s="1114"/>
      <c r="L1696" s="1009"/>
    </row>
    <row r="1697" spans="1:12" ht="25.5">
      <c r="A1697" s="1823"/>
      <c r="B1697" s="1068"/>
      <c r="C1697" s="1816" t="s">
        <v>1304</v>
      </c>
      <c r="D1697" s="1114"/>
      <c r="E1697" s="1114"/>
      <c r="F1697" s="1114"/>
      <c r="G1697" s="1114"/>
      <c r="H1697" s="1114"/>
      <c r="I1697" s="1009">
        <f>I1696/10</f>
        <v>69.317363419354507</v>
      </c>
      <c r="J1697" s="1114"/>
      <c r="K1697" s="1114"/>
      <c r="L1697" s="1009"/>
    </row>
    <row r="1698" spans="1:12">
      <c r="A1698" s="1823"/>
      <c r="B1698" s="1068"/>
      <c r="C1698" s="1816"/>
      <c r="D1698" s="1114"/>
      <c r="E1698" s="1114"/>
      <c r="F1698" s="1114"/>
      <c r="G1698" s="1114"/>
      <c r="H1698" s="1114"/>
      <c r="I1698" s="1009"/>
      <c r="J1698" s="1114"/>
      <c r="K1698" s="1114"/>
      <c r="L1698" s="1009"/>
    </row>
    <row r="1699" spans="1:12" ht="36.6" customHeight="1">
      <c r="A1699" s="1822">
        <f>A1684+1</f>
        <v>21</v>
      </c>
      <c r="B1699" s="1068"/>
      <c r="C1699" s="2037" t="s">
        <v>1305</v>
      </c>
      <c r="D1699" s="2037"/>
      <c r="E1699" s="2037"/>
      <c r="F1699" s="2037"/>
      <c r="G1699" s="2037"/>
      <c r="H1699" s="2037"/>
      <c r="I1699" s="2037"/>
      <c r="J1699" s="1114"/>
      <c r="K1699" s="1114"/>
      <c r="L1699" s="1009"/>
    </row>
    <row r="1700" spans="1:12" ht="25.5">
      <c r="A1700" s="1823"/>
      <c r="B1700" s="1068"/>
      <c r="C1700" s="1816" t="s">
        <v>1306</v>
      </c>
      <c r="D1700" s="1114"/>
      <c r="E1700" s="1114"/>
      <c r="F1700" s="1114"/>
      <c r="G1700" s="1114"/>
      <c r="H1700" s="1114"/>
      <c r="I1700" s="1009">
        <f>I1697*2.3</f>
        <v>159.42993586451536</v>
      </c>
      <c r="J1700" s="1114"/>
      <c r="K1700" s="1114"/>
      <c r="L1700" s="1009"/>
    </row>
    <row r="1701" spans="1:12">
      <c r="A1701" s="1823"/>
      <c r="B1701" s="1068"/>
      <c r="C1701" s="1816" t="s">
        <v>1065</v>
      </c>
      <c r="D1701" s="1114"/>
      <c r="E1701" s="1114"/>
      <c r="F1701" s="1114" t="s">
        <v>197</v>
      </c>
      <c r="G1701" s="1114"/>
      <c r="H1701" s="1114"/>
      <c r="I1701" s="1114">
        <f>ROUND(I1700,0)</f>
        <v>159</v>
      </c>
      <c r="J1701" s="1114"/>
      <c r="K1701" s="1114"/>
      <c r="L1701" s="1009"/>
    </row>
    <row r="1702" spans="1:12">
      <c r="A1702" s="1823"/>
      <c r="B1702" s="1068"/>
      <c r="C1702" s="1129"/>
      <c r="D1702" s="1114"/>
      <c r="E1702" s="1114"/>
      <c r="F1702" s="1114"/>
      <c r="G1702" s="1114"/>
      <c r="H1702" s="1114"/>
      <c r="I1702" s="1009"/>
      <c r="J1702" s="1114"/>
      <c r="K1702" s="1114"/>
      <c r="L1702" s="1009"/>
    </row>
    <row r="1703" spans="1:12" ht="36.6" customHeight="1">
      <c r="A1703" s="1822">
        <f>A1699+1</f>
        <v>22</v>
      </c>
      <c r="B1703" s="1068"/>
      <c r="C1703" s="2052" t="s">
        <v>1307</v>
      </c>
      <c r="D1703" s="2052"/>
      <c r="E1703" s="2052"/>
      <c r="F1703" s="2052"/>
      <c r="G1703" s="2052"/>
      <c r="H1703" s="2052"/>
      <c r="I1703" s="2052"/>
      <c r="J1703" s="1114"/>
      <c r="K1703" s="1114"/>
      <c r="L1703" s="1009"/>
    </row>
    <row r="1704" spans="1:12">
      <c r="A1704" s="1823"/>
      <c r="B1704" s="1068"/>
      <c r="C1704" s="1129"/>
      <c r="D1704" s="1114"/>
      <c r="E1704" s="1114"/>
      <c r="F1704" s="1114"/>
      <c r="G1704" s="1114"/>
      <c r="H1704" s="1114"/>
      <c r="I1704" s="1009"/>
      <c r="J1704" s="1114"/>
      <c r="K1704" s="1114"/>
      <c r="L1704" s="1009"/>
    </row>
    <row r="1705" spans="1:12" ht="25.5">
      <c r="A1705" s="1823"/>
      <c r="B1705" s="1068"/>
      <c r="C1705" s="1816" t="s">
        <v>1304</v>
      </c>
      <c r="D1705" s="1114"/>
      <c r="E1705" s="1114"/>
      <c r="F1705" s="1114"/>
      <c r="G1705" s="1114"/>
      <c r="H1705" s="1114"/>
      <c r="I1705" s="1009">
        <f>I1697*1</f>
        <v>69.317363419354507</v>
      </c>
      <c r="J1705" s="1114"/>
      <c r="K1705" s="1114"/>
      <c r="L1705" s="1009"/>
    </row>
    <row r="1706" spans="1:12">
      <c r="A1706" s="1823"/>
      <c r="B1706" s="1068"/>
      <c r="C1706" s="1816" t="s">
        <v>1065</v>
      </c>
      <c r="D1706" s="1114"/>
      <c r="E1706" s="1114"/>
      <c r="F1706" s="1114" t="s">
        <v>1308</v>
      </c>
      <c r="G1706" s="1114"/>
      <c r="H1706" s="1114"/>
      <c r="I1706" s="1114">
        <f>ROUND(I1705,0)</f>
        <v>69</v>
      </c>
      <c r="J1706" s="1114"/>
      <c r="K1706" s="1114"/>
      <c r="L1706" s="1009"/>
    </row>
    <row r="1707" spans="1:12">
      <c r="A1707" s="1823"/>
      <c r="B1707" s="1068"/>
      <c r="C1707" s="1129"/>
      <c r="D1707" s="1114"/>
      <c r="E1707" s="1114"/>
      <c r="F1707" s="1114"/>
      <c r="G1707" s="1114"/>
      <c r="H1707" s="1114"/>
      <c r="I1707" s="1009"/>
      <c r="J1707" s="1114"/>
      <c r="K1707" s="1114"/>
      <c r="L1707" s="1009"/>
    </row>
    <row r="1708" spans="1:12" ht="81.400000000000006" customHeight="1">
      <c r="A1708" s="1822">
        <f>1+A1703</f>
        <v>23</v>
      </c>
      <c r="B1708" s="1822"/>
      <c r="C1708" s="2036" t="s">
        <v>3405</v>
      </c>
      <c r="D1708" s="2036"/>
      <c r="E1708" s="2036"/>
      <c r="F1708" s="2036"/>
      <c r="G1708" s="2036"/>
      <c r="H1708" s="2036"/>
      <c r="I1708" s="1825"/>
      <c r="J1708" s="1846"/>
      <c r="K1708" s="1846"/>
      <c r="L1708" s="1846"/>
    </row>
    <row r="1709" spans="1:12">
      <c r="A1709" s="1823"/>
      <c r="B1709" s="1068"/>
      <c r="C1709" s="1049" t="s">
        <v>1309</v>
      </c>
      <c r="D1709" s="1000"/>
      <c r="E1709" s="1094"/>
      <c r="F1709" s="1001"/>
      <c r="G1709" s="1015"/>
      <c r="H1709" s="1047"/>
      <c r="I1709" s="1030"/>
      <c r="J1709" s="1846"/>
      <c r="K1709" s="1846"/>
      <c r="L1709" s="1846"/>
    </row>
    <row r="1710" spans="1:12">
      <c r="A1710" s="1823"/>
      <c r="B1710" s="1068"/>
      <c r="C1710" s="1817" t="s">
        <v>1161</v>
      </c>
      <c r="D1710" s="1000"/>
      <c r="E1710" s="1094"/>
      <c r="F1710" s="1001"/>
      <c r="G1710" s="1015"/>
      <c r="H1710" s="1047"/>
      <c r="I1710" s="1030"/>
      <c r="J1710" s="1846"/>
      <c r="K1710" s="1846"/>
      <c r="L1710" s="1846"/>
    </row>
    <row r="1711" spans="1:12">
      <c r="A1711" s="1823"/>
      <c r="B1711" s="1068"/>
      <c r="C1711" s="1816" t="s">
        <v>1139</v>
      </c>
      <c r="D1711" s="1000"/>
      <c r="E1711" s="1094"/>
      <c r="F1711" s="1001"/>
      <c r="G1711" s="1015"/>
      <c r="H1711" s="1047"/>
      <c r="I1711" s="1030"/>
      <c r="J1711" s="1846"/>
      <c r="K1711" s="1846"/>
      <c r="L1711" s="1846"/>
    </row>
    <row r="1712" spans="1:12">
      <c r="A1712" s="1823"/>
      <c r="B1712" s="1068"/>
      <c r="C1712" s="1817" t="s">
        <v>889</v>
      </c>
      <c r="D1712" s="1034">
        <v>36</v>
      </c>
      <c r="E1712" s="1044" t="s">
        <v>1110</v>
      </c>
      <c r="F1712" s="1001">
        <f>LEAD!$N$6</f>
        <v>5200</v>
      </c>
      <c r="G1712" s="1015">
        <v>1000</v>
      </c>
      <c r="H1712" s="1050" t="str">
        <f t="shared" ref="H1712:H1714" si="403">IF(E1712="","",IF(E1712="No.","Each",IF(E1712="Nos.","Each",E1712)))</f>
        <v>Kgs</v>
      </c>
      <c r="I1712" s="1030">
        <f t="shared" ref="I1712:I1714" si="404">IF(G1712="",D1712*F1712,(D1712*F1712/G1712))</f>
        <v>187.2</v>
      </c>
      <c r="J1712" s="1846"/>
      <c r="K1712" s="1846"/>
      <c r="L1712" s="1846"/>
    </row>
    <row r="1713" spans="1:64">
      <c r="A1713" s="1823"/>
      <c r="B1713" s="1068"/>
      <c r="C1713" s="1817" t="s">
        <v>1310</v>
      </c>
      <c r="D1713" s="1053">
        <v>512</v>
      </c>
      <c r="E1713" s="1052" t="s">
        <v>955</v>
      </c>
      <c r="F1713" s="1030">
        <f>LEAD!$N$15</f>
        <v>9478.01</v>
      </c>
      <c r="G1713" s="1144">
        <v>1000</v>
      </c>
      <c r="H1713" s="1054" t="str">
        <f t="shared" si="403"/>
        <v>Nos</v>
      </c>
      <c r="I1713" s="1030">
        <f t="shared" si="404"/>
        <v>4852.7411199999997</v>
      </c>
      <c r="J1713" s="1846"/>
      <c r="K1713" s="1846"/>
      <c r="L1713" s="1846"/>
    </row>
    <row r="1714" spans="1:64">
      <c r="A1714" s="1823"/>
      <c r="B1714" s="1068"/>
      <c r="C1714" s="1817" t="s">
        <v>1141</v>
      </c>
      <c r="D1714" s="1034">
        <v>0.2</v>
      </c>
      <c r="E1714" s="1044" t="s">
        <v>1311</v>
      </c>
      <c r="F1714" s="1001">
        <f>LEAD!$N$13</f>
        <v>2453.91</v>
      </c>
      <c r="G1714" s="1015">
        <v>1</v>
      </c>
      <c r="H1714" s="1050" t="str">
        <f t="shared" si="403"/>
        <v>Cum.</v>
      </c>
      <c r="I1714" s="1030">
        <f t="shared" si="404"/>
        <v>490.78199999999998</v>
      </c>
      <c r="J1714" s="1846"/>
      <c r="K1714" s="1846"/>
      <c r="L1714" s="1846"/>
    </row>
    <row r="1715" spans="1:64">
      <c r="A1715" s="1823"/>
      <c r="B1715" s="1068"/>
      <c r="C1715" s="1816" t="s">
        <v>1172</v>
      </c>
      <c r="D1715" s="1034"/>
      <c r="E1715" s="1044"/>
      <c r="F1715" s="1001"/>
      <c r="G1715" s="1015"/>
      <c r="H1715" s="1050"/>
      <c r="I1715" s="1030"/>
      <c r="J1715" s="1846"/>
      <c r="K1715" s="1846"/>
      <c r="L1715" s="1846"/>
    </row>
    <row r="1716" spans="1:64">
      <c r="A1716" s="1823"/>
      <c r="B1716" s="1068"/>
      <c r="C1716" s="1817" t="s">
        <v>1147</v>
      </c>
      <c r="D1716" s="1000">
        <v>0.24</v>
      </c>
      <c r="E1716" s="1044" t="s">
        <v>36</v>
      </c>
      <c r="F1716" s="1001">
        <f>'Civil-SOR'!$G$293</f>
        <v>580</v>
      </c>
      <c r="G1716" s="1015">
        <v>1</v>
      </c>
      <c r="H1716" s="1050" t="str">
        <f t="shared" ref="H1716:H1718" si="405">IF(E1716="","",IF(E1716="No.","Each",IF(E1716="Nos.","Each",E1716)))</f>
        <v>Each</v>
      </c>
      <c r="I1716" s="1030">
        <f t="shared" ref="I1716:I1720" si="406">IF(G1716="",D1716*F1716,(D1716*F1716/G1716))</f>
        <v>139.19999999999999</v>
      </c>
      <c r="J1716" s="1846"/>
      <c r="K1716" s="1846"/>
      <c r="L1716" s="1846"/>
    </row>
    <row r="1717" spans="1:64">
      <c r="A1717" s="1823"/>
      <c r="B1717" s="1068"/>
      <c r="C1717" s="1817" t="s">
        <v>1062</v>
      </c>
      <c r="D1717" s="1000">
        <v>0.56000000000000005</v>
      </c>
      <c r="E1717" s="1044" t="s">
        <v>36</v>
      </c>
      <c r="F1717" s="1001">
        <f>'Civil-SOR'!$G$302</f>
        <v>550</v>
      </c>
      <c r="G1717" s="1015">
        <v>1</v>
      </c>
      <c r="H1717" s="1050" t="str">
        <f t="shared" si="405"/>
        <v>Each</v>
      </c>
      <c r="I1717" s="1030">
        <f t="shared" si="406"/>
        <v>308.00000000000006</v>
      </c>
      <c r="J1717" s="1846"/>
      <c r="K1717" s="1846"/>
      <c r="L1717" s="1846"/>
    </row>
    <row r="1718" spans="1:64">
      <c r="A1718" s="1823"/>
      <c r="B1718" s="1068"/>
      <c r="C1718" s="1817" t="s">
        <v>1166</v>
      </c>
      <c r="D1718" s="1000">
        <v>1.89</v>
      </c>
      <c r="E1718" s="1044" t="s">
        <v>36</v>
      </c>
      <c r="F1718" s="1001">
        <f>'Civil-SOR'!$G$307</f>
        <v>520</v>
      </c>
      <c r="G1718" s="1015">
        <v>1</v>
      </c>
      <c r="H1718" s="1050" t="str">
        <f t="shared" si="405"/>
        <v>Each</v>
      </c>
      <c r="I1718" s="1030">
        <f t="shared" si="406"/>
        <v>982.8</v>
      </c>
      <c r="J1718" s="1846"/>
      <c r="K1718" s="1846"/>
      <c r="L1718" s="1846"/>
    </row>
    <row r="1719" spans="1:64">
      <c r="A1719" s="1823"/>
      <c r="B1719" s="1068"/>
      <c r="C1719" s="1817" t="str">
        <f>Input!$C$47</f>
        <v>Add for MA @ 40%</v>
      </c>
      <c r="D1719" s="1158">
        <f>Input!$D$47</f>
        <v>0.4</v>
      </c>
      <c r="E1719" s="1094"/>
      <c r="F1719" s="1001">
        <f>SUM(I1716:I1718)</f>
        <v>1430</v>
      </c>
      <c r="G1719" s="1020"/>
      <c r="H1719" s="1057"/>
      <c r="I1719" s="1030">
        <f t="shared" si="406"/>
        <v>572</v>
      </c>
      <c r="J1719" s="1846"/>
      <c r="K1719" s="1846"/>
      <c r="L1719" s="1846"/>
    </row>
    <row r="1720" spans="1:64">
      <c r="A1720" s="1823"/>
      <c r="B1720" s="1068"/>
      <c r="C1720" s="1817" t="s">
        <v>1312</v>
      </c>
      <c r="D1720" s="1034">
        <v>0.01</v>
      </c>
      <c r="E1720" s="1044"/>
      <c r="F1720" s="1001">
        <f>SUM(I1712:I1719)</f>
        <v>7532.7231199999997</v>
      </c>
      <c r="G1720" s="1015"/>
      <c r="H1720" s="1050"/>
      <c r="I1720" s="1030">
        <f t="shared" si="406"/>
        <v>75.3272312</v>
      </c>
      <c r="J1720" s="1846"/>
      <c r="K1720" s="1846"/>
      <c r="L1720" s="1846"/>
    </row>
    <row r="1721" spans="1:64">
      <c r="A1721" s="1823"/>
      <c r="B1721" s="1068"/>
      <c r="C1721" s="1816" t="s">
        <v>1032</v>
      </c>
      <c r="D1721" s="1000"/>
      <c r="E1721" s="1044"/>
      <c r="F1721" s="1001"/>
      <c r="G1721" s="1015"/>
      <c r="H1721" s="1047"/>
      <c r="I1721" s="1011">
        <f>SUM(I1712:I1720)</f>
        <v>7608.0503511999996</v>
      </c>
      <c r="J1721" s="1846"/>
      <c r="K1721" s="1846"/>
      <c r="L1721" s="1846"/>
    </row>
    <row r="1722" spans="1:64">
      <c r="A1722" s="1823"/>
      <c r="B1722" s="1068"/>
      <c r="C1722" s="1817" t="s">
        <v>1313</v>
      </c>
      <c r="D1722" s="1000">
        <v>1</v>
      </c>
      <c r="E1722" s="1044" t="s">
        <v>484</v>
      </c>
      <c r="F1722" s="1030">
        <f>'Civil-SOR'!$F$222/0.34</f>
        <v>34.294117647058819</v>
      </c>
      <c r="G1722" s="1000">
        <v>1</v>
      </c>
      <c r="H1722" s="1050" t="s">
        <v>94</v>
      </c>
      <c r="I1722" s="1030">
        <f t="shared" ref="I1722:I1724" si="407">IF(G1722="",D1722*F1722,(D1722*F1722/G1722))</f>
        <v>34.294117647058819</v>
      </c>
      <c r="J1722" s="1846"/>
      <c r="K1722" s="1846"/>
      <c r="L1722" s="1846"/>
    </row>
    <row r="1723" spans="1:64">
      <c r="A1723" s="1823"/>
      <c r="B1723" s="1068"/>
      <c r="C1723" s="1817" t="s">
        <v>1314</v>
      </c>
      <c r="D1723" s="1000">
        <v>1</v>
      </c>
      <c r="E1723" s="1044" t="s">
        <v>484</v>
      </c>
      <c r="F1723" s="1030">
        <f>'Civil-SOR'!$G$222/0.34</f>
        <v>277.3235294117647</v>
      </c>
      <c r="G1723" s="1000">
        <v>1</v>
      </c>
      <c r="H1723" s="1050" t="s">
        <v>94</v>
      </c>
      <c r="I1723" s="1030">
        <f t="shared" si="407"/>
        <v>277.3235294117647</v>
      </c>
      <c r="J1723" s="1846"/>
      <c r="K1723" s="1846"/>
      <c r="L1723" s="1846"/>
    </row>
    <row r="1724" spans="1:64">
      <c r="A1724" s="1823"/>
      <c r="B1724" s="1068"/>
      <c r="C1724" s="1817" t="str">
        <f>Input!$C$47</f>
        <v>Add for MA @ 40%</v>
      </c>
      <c r="D1724" s="1158">
        <f>Input!$D$47</f>
        <v>0.4</v>
      </c>
      <c r="E1724" s="1044"/>
      <c r="F1724" s="1030">
        <f>I1723</f>
        <v>277.3235294117647</v>
      </c>
      <c r="G1724" s="1015"/>
      <c r="H1724" s="1047"/>
      <c r="I1724" s="1030">
        <f t="shared" si="407"/>
        <v>110.92941176470589</v>
      </c>
      <c r="J1724" s="1846"/>
      <c r="K1724" s="1846"/>
      <c r="L1724" s="1846"/>
    </row>
    <row r="1725" spans="1:64">
      <c r="A1725" s="1823"/>
      <c r="B1725" s="1068"/>
      <c r="C1725" s="1816"/>
      <c r="D1725" s="1000"/>
      <c r="E1725" s="1044"/>
      <c r="F1725" s="1001"/>
      <c r="G1725" s="1015"/>
      <c r="H1725" s="1047"/>
      <c r="I1725" s="1011">
        <f>SUM(I1721:I1724)</f>
        <v>8030.5974100235289</v>
      </c>
      <c r="J1725" s="1846"/>
      <c r="K1725" s="1846"/>
      <c r="L1725" s="1846"/>
    </row>
    <row r="1726" spans="1:64">
      <c r="A1726" s="1823"/>
      <c r="B1726" s="1068"/>
      <c r="C1726" s="1817" t="str">
        <f>Input!$C$48</f>
        <v>Overheads &amp; Contractors Profit @ 13.615%</v>
      </c>
      <c r="D1726" s="1851">
        <f>Input!$D$48</f>
        <v>0.13614999999999999</v>
      </c>
      <c r="E1726" s="1044"/>
      <c r="F1726" s="1001">
        <f>I1725</f>
        <v>8030.5974100235289</v>
      </c>
      <c r="G1726" s="1015"/>
      <c r="H1726" s="1047"/>
      <c r="I1726" s="1030">
        <f>IF(G1726="",D1726*F1726,(D1726*F1726/G1726))</f>
        <v>1093.3658373747035</v>
      </c>
      <c r="J1726" s="1846"/>
      <c r="K1726" s="1846"/>
      <c r="L1726" s="1846"/>
    </row>
    <row r="1727" spans="1:64">
      <c r="A1727" s="1023"/>
      <c r="B1727" s="1023"/>
      <c r="C1727" s="1088" t="s">
        <v>1032</v>
      </c>
      <c r="D1727" s="1089"/>
      <c r="E1727" s="1090"/>
      <c r="F1727" s="994"/>
      <c r="G1727" s="1091"/>
      <c r="H1727" s="1159"/>
      <c r="I1727" s="1826">
        <f>SUM(I1725:I1726)</f>
        <v>9123.9632473982329</v>
      </c>
      <c r="J1727" s="996"/>
      <c r="K1727" s="996"/>
      <c r="L1727" s="996"/>
      <c r="M1727" s="997"/>
      <c r="N1727" s="997"/>
      <c r="O1727" s="997"/>
      <c r="P1727" s="997"/>
      <c r="Q1727" s="997"/>
      <c r="R1727" s="997"/>
      <c r="S1727" s="997"/>
      <c r="T1727" s="997"/>
      <c r="U1727" s="997"/>
      <c r="V1727" s="997"/>
      <c r="W1727" s="997"/>
      <c r="X1727" s="997"/>
      <c r="Y1727" s="997"/>
      <c r="Z1727" s="997"/>
      <c r="AA1727" s="997"/>
      <c r="AB1727" s="997"/>
      <c r="AC1727" s="997"/>
      <c r="AD1727" s="997"/>
      <c r="AE1727" s="997"/>
      <c r="AF1727" s="997"/>
      <c r="AG1727" s="997"/>
      <c r="AH1727" s="997"/>
      <c r="AI1727" s="997"/>
      <c r="AJ1727" s="997"/>
      <c r="AK1727" s="997"/>
      <c r="AL1727" s="997"/>
      <c r="AM1727" s="997"/>
      <c r="AN1727" s="997"/>
      <c r="AO1727" s="997"/>
      <c r="AP1727" s="997"/>
      <c r="AQ1727" s="997"/>
      <c r="AR1727" s="997"/>
      <c r="AS1727" s="997"/>
      <c r="AT1727" s="997"/>
      <c r="AU1727" s="997"/>
      <c r="AV1727" s="997"/>
      <c r="AW1727" s="997"/>
      <c r="AX1727" s="997"/>
      <c r="AY1727" s="997"/>
      <c r="AZ1727" s="997"/>
      <c r="BA1727" s="997"/>
      <c r="BB1727" s="997"/>
      <c r="BC1727" s="997"/>
      <c r="BD1727" s="997"/>
      <c r="BE1727" s="997"/>
      <c r="BF1727" s="997"/>
      <c r="BG1727" s="997"/>
      <c r="BH1727" s="997"/>
      <c r="BI1727" s="997"/>
      <c r="BJ1727" s="997"/>
      <c r="BK1727" s="997"/>
      <c r="BL1727" s="997"/>
    </row>
    <row r="1728" spans="1:64">
      <c r="A1728" s="1023"/>
      <c r="B1728" s="1023"/>
      <c r="C1728" s="1118" t="s">
        <v>1034</v>
      </c>
      <c r="D1728" s="1089"/>
      <c r="E1728" s="1090"/>
      <c r="F1728" s="994"/>
      <c r="G1728" s="1091"/>
      <c r="H1728" s="1118" t="s">
        <v>1065</v>
      </c>
      <c r="I1728" s="1826">
        <f>ROUND(I1727,0)</f>
        <v>9124</v>
      </c>
      <c r="J1728" s="996"/>
      <c r="K1728" s="996"/>
      <c r="L1728" s="996"/>
      <c r="M1728" s="997"/>
      <c r="N1728" s="997"/>
      <c r="O1728" s="997"/>
      <c r="P1728" s="997"/>
      <c r="Q1728" s="997"/>
      <c r="R1728" s="997"/>
      <c r="S1728" s="997"/>
      <c r="T1728" s="997"/>
      <c r="U1728" s="997"/>
      <c r="V1728" s="997"/>
      <c r="W1728" s="997"/>
      <c r="X1728" s="997"/>
      <c r="Y1728" s="997"/>
      <c r="Z1728" s="997"/>
      <c r="AA1728" s="997"/>
      <c r="AB1728" s="997"/>
      <c r="AC1728" s="997"/>
      <c r="AD1728" s="997"/>
      <c r="AE1728" s="997"/>
      <c r="AF1728" s="997"/>
      <c r="AG1728" s="997"/>
      <c r="AH1728" s="997"/>
      <c r="AI1728" s="997"/>
      <c r="AJ1728" s="997"/>
      <c r="AK1728" s="997"/>
      <c r="AL1728" s="997"/>
      <c r="AM1728" s="997"/>
      <c r="AN1728" s="997"/>
      <c r="AO1728" s="997"/>
      <c r="AP1728" s="997"/>
      <c r="AQ1728" s="997"/>
      <c r="AR1728" s="997"/>
      <c r="AS1728" s="997"/>
      <c r="AT1728" s="997"/>
      <c r="AU1728" s="997"/>
      <c r="AV1728" s="997"/>
      <c r="AW1728" s="997"/>
      <c r="AX1728" s="997"/>
      <c r="AY1728" s="997"/>
      <c r="AZ1728" s="997"/>
      <c r="BA1728" s="997"/>
      <c r="BB1728" s="997"/>
      <c r="BC1728" s="997"/>
      <c r="BD1728" s="997"/>
      <c r="BE1728" s="997"/>
      <c r="BF1728" s="997"/>
      <c r="BG1728" s="997"/>
      <c r="BH1728" s="997"/>
      <c r="BI1728" s="997"/>
      <c r="BJ1728" s="997"/>
      <c r="BK1728" s="997"/>
      <c r="BL1728" s="997"/>
    </row>
    <row r="1729" spans="1:64">
      <c r="A1729" s="1823"/>
      <c r="B1729" s="1068"/>
      <c r="C1729" s="1129"/>
      <c r="D1729" s="1114"/>
      <c r="E1729" s="1114"/>
      <c r="F1729" s="1114"/>
      <c r="G1729" s="1114"/>
      <c r="H1729" s="1114"/>
      <c r="I1729" s="1009"/>
      <c r="J1729" s="1846"/>
      <c r="K1729" s="1846"/>
      <c r="L1729" s="1846"/>
    </row>
    <row r="1730" spans="1:64" ht="78" customHeight="1">
      <c r="A1730" s="2046">
        <f>A1708+1</f>
        <v>24</v>
      </c>
      <c r="B1730" s="2046"/>
      <c r="C1730" s="2039" t="s">
        <v>3590</v>
      </c>
      <c r="D1730" s="2040"/>
      <c r="E1730" s="2040"/>
      <c r="F1730" s="2040"/>
      <c r="G1730" s="2040"/>
      <c r="H1730" s="2040"/>
      <c r="I1730" s="2041"/>
      <c r="J1730" s="1846"/>
      <c r="K1730" s="1846"/>
      <c r="L1730" s="1846"/>
    </row>
    <row r="1731" spans="1:64">
      <c r="A1731" s="1823"/>
      <c r="B1731" s="1068"/>
      <c r="C1731" s="1049" t="s">
        <v>1309</v>
      </c>
      <c r="D1731" s="1000"/>
      <c r="E1731" s="1094"/>
      <c r="F1731" s="1001"/>
      <c r="G1731" s="1015"/>
      <c r="H1731" s="1047"/>
      <c r="I1731" s="1030"/>
      <c r="J1731" s="1846"/>
      <c r="K1731" s="1846"/>
      <c r="L1731" s="1846"/>
    </row>
    <row r="1732" spans="1:64">
      <c r="A1732" s="1823"/>
      <c r="B1732" s="1068"/>
      <c r="C1732" s="1817" t="s">
        <v>1161</v>
      </c>
      <c r="D1732" s="1000"/>
      <c r="E1732" s="1094"/>
      <c r="F1732" s="1001"/>
      <c r="G1732" s="1015"/>
      <c r="H1732" s="1047"/>
      <c r="I1732" s="1030"/>
      <c r="J1732" s="1846"/>
      <c r="K1732" s="1846"/>
      <c r="L1732" s="1846"/>
    </row>
    <row r="1733" spans="1:64">
      <c r="A1733" s="1823"/>
      <c r="B1733" s="1068"/>
      <c r="C1733" s="1816" t="s">
        <v>1139</v>
      </c>
      <c r="D1733" s="1000"/>
      <c r="E1733" s="1094"/>
      <c r="F1733" s="1001"/>
      <c r="G1733" s="1015"/>
      <c r="H1733" s="1047"/>
      <c r="I1733" s="1030"/>
      <c r="J1733" s="1846"/>
      <c r="K1733" s="1846"/>
      <c r="L1733" s="1846"/>
    </row>
    <row r="1734" spans="1:64">
      <c r="A1734" s="1847"/>
      <c r="B1734" s="1847"/>
      <c r="C1734" s="1817" t="s">
        <v>889</v>
      </c>
      <c r="D1734" s="1060">
        <v>36</v>
      </c>
      <c r="E1734" s="1061" t="s">
        <v>1110</v>
      </c>
      <c r="F1734" s="1062">
        <f>LEAD!$N$6</f>
        <v>5200</v>
      </c>
      <c r="G1734" s="1081">
        <v>1000</v>
      </c>
      <c r="H1734" s="1140" t="str">
        <f t="shared" ref="H1734:H1736" si="408">IF(E1734="","",IF(E1734="No.","Each",IF(E1734="Nos.","Each",E1734)))</f>
        <v>Kgs</v>
      </c>
      <c r="I1734" s="1062">
        <f t="shared" ref="I1734:I1736" si="409">IF(G1734="",D1734*F1734,(D1734*F1734/G1734))</f>
        <v>187.2</v>
      </c>
      <c r="J1734" s="1022"/>
      <c r="K1734" s="1022"/>
      <c r="L1734" s="1022"/>
      <c r="M1734" s="1066"/>
      <c r="N1734" s="1066"/>
      <c r="O1734" s="1066"/>
      <c r="P1734" s="1066"/>
      <c r="Q1734" s="1066"/>
      <c r="R1734" s="1066"/>
      <c r="S1734" s="1066"/>
      <c r="T1734" s="1066"/>
      <c r="U1734" s="1066"/>
      <c r="V1734" s="1066"/>
      <c r="W1734" s="1066"/>
      <c r="X1734" s="1066"/>
      <c r="Y1734" s="1066"/>
      <c r="Z1734" s="1066"/>
      <c r="AA1734" s="1066"/>
      <c r="AB1734" s="1066"/>
      <c r="AC1734" s="1066"/>
      <c r="AD1734" s="1066"/>
      <c r="AE1734" s="1066"/>
      <c r="AF1734" s="1066"/>
      <c r="AG1734" s="1066"/>
      <c r="AH1734" s="1066"/>
      <c r="AI1734" s="1066"/>
      <c r="AJ1734" s="1066"/>
      <c r="AK1734" s="1066"/>
      <c r="AL1734" s="1066"/>
      <c r="AM1734" s="1066"/>
      <c r="AN1734" s="1066"/>
      <c r="AO1734" s="1066"/>
      <c r="AP1734" s="1066"/>
      <c r="AQ1734" s="1066"/>
      <c r="AR1734" s="1066"/>
      <c r="AS1734" s="1066"/>
      <c r="AT1734" s="1066"/>
      <c r="AU1734" s="1066"/>
      <c r="AV1734" s="1066"/>
      <c r="AW1734" s="1066"/>
      <c r="AX1734" s="1066"/>
      <c r="AY1734" s="1066"/>
      <c r="AZ1734" s="1066"/>
      <c r="BA1734" s="1066"/>
      <c r="BB1734" s="1066"/>
      <c r="BC1734" s="1066"/>
      <c r="BD1734" s="1066"/>
      <c r="BE1734" s="1066"/>
      <c r="BF1734" s="1066"/>
      <c r="BG1734" s="1066"/>
      <c r="BH1734" s="1066"/>
      <c r="BI1734" s="1066"/>
      <c r="BJ1734" s="1066"/>
      <c r="BK1734" s="1066"/>
      <c r="BL1734" s="1066"/>
    </row>
    <row r="1735" spans="1:64">
      <c r="A1735" s="1847"/>
      <c r="B1735" s="1847"/>
      <c r="C1735" s="1817" t="s">
        <v>1310</v>
      </c>
      <c r="D1735" s="1063">
        <v>512</v>
      </c>
      <c r="E1735" s="1061" t="s">
        <v>955</v>
      </c>
      <c r="F1735" s="1062">
        <f>LEAD!$N$15</f>
        <v>9478.01</v>
      </c>
      <c r="G1735" s="1081">
        <v>1000</v>
      </c>
      <c r="H1735" s="1140" t="str">
        <f t="shared" si="408"/>
        <v>Nos</v>
      </c>
      <c r="I1735" s="1062">
        <f t="shared" si="409"/>
        <v>4852.7411199999997</v>
      </c>
      <c r="J1735" s="1022"/>
      <c r="K1735" s="1022"/>
      <c r="L1735" s="1022"/>
      <c r="M1735" s="1066"/>
      <c r="N1735" s="1066"/>
      <c r="O1735" s="1066"/>
      <c r="P1735" s="1066"/>
      <c r="Q1735" s="1066"/>
      <c r="R1735" s="1066"/>
      <c r="S1735" s="1066"/>
      <c r="T1735" s="1066"/>
      <c r="U1735" s="1066"/>
      <c r="V1735" s="1066"/>
      <c r="W1735" s="1066"/>
      <c r="X1735" s="1066"/>
      <c r="Y1735" s="1066"/>
      <c r="Z1735" s="1066"/>
      <c r="AA1735" s="1066"/>
      <c r="AB1735" s="1066"/>
      <c r="AC1735" s="1066"/>
      <c r="AD1735" s="1066"/>
      <c r="AE1735" s="1066"/>
      <c r="AF1735" s="1066"/>
      <c r="AG1735" s="1066"/>
      <c r="AH1735" s="1066"/>
      <c r="AI1735" s="1066"/>
      <c r="AJ1735" s="1066"/>
      <c r="AK1735" s="1066"/>
      <c r="AL1735" s="1066"/>
      <c r="AM1735" s="1066"/>
      <c r="AN1735" s="1066"/>
      <c r="AO1735" s="1066"/>
      <c r="AP1735" s="1066"/>
      <c r="AQ1735" s="1066"/>
      <c r="AR1735" s="1066"/>
      <c r="AS1735" s="1066"/>
      <c r="AT1735" s="1066"/>
      <c r="AU1735" s="1066"/>
      <c r="AV1735" s="1066"/>
      <c r="AW1735" s="1066"/>
      <c r="AX1735" s="1066"/>
      <c r="AY1735" s="1066"/>
      <c r="AZ1735" s="1066"/>
      <c r="BA1735" s="1066"/>
      <c r="BB1735" s="1066"/>
      <c r="BC1735" s="1066"/>
      <c r="BD1735" s="1066"/>
      <c r="BE1735" s="1066"/>
      <c r="BF1735" s="1066"/>
      <c r="BG1735" s="1066"/>
      <c r="BH1735" s="1066"/>
      <c r="BI1735" s="1066"/>
      <c r="BJ1735" s="1066"/>
      <c r="BK1735" s="1066"/>
      <c r="BL1735" s="1066"/>
    </row>
    <row r="1736" spans="1:64">
      <c r="A1736" s="1847"/>
      <c r="B1736" s="1847"/>
      <c r="C1736" s="1817" t="s">
        <v>1141</v>
      </c>
      <c r="D1736" s="1060">
        <v>0.2</v>
      </c>
      <c r="E1736" s="1061" t="s">
        <v>1315</v>
      </c>
      <c r="F1736" s="1062">
        <f>LEAD!$N$13</f>
        <v>2453.91</v>
      </c>
      <c r="G1736" s="1081">
        <v>1</v>
      </c>
      <c r="H1736" s="1140" t="str">
        <f t="shared" si="408"/>
        <v>cu.m.</v>
      </c>
      <c r="I1736" s="1062">
        <f t="shared" si="409"/>
        <v>490.78199999999998</v>
      </c>
      <c r="J1736" s="1022"/>
      <c r="K1736" s="1022"/>
      <c r="L1736" s="1022"/>
      <c r="M1736" s="1066"/>
      <c r="N1736" s="1066"/>
      <c r="O1736" s="1066"/>
      <c r="P1736" s="1066"/>
      <c r="Q1736" s="1066"/>
      <c r="R1736" s="1066"/>
      <c r="S1736" s="1066"/>
      <c r="T1736" s="1066"/>
      <c r="U1736" s="1066"/>
      <c r="V1736" s="1066"/>
      <c r="W1736" s="1066"/>
      <c r="X1736" s="1066"/>
      <c r="Y1736" s="1066"/>
      <c r="Z1736" s="1066"/>
      <c r="AA1736" s="1066"/>
      <c r="AB1736" s="1066"/>
      <c r="AC1736" s="1066"/>
      <c r="AD1736" s="1066"/>
      <c r="AE1736" s="1066"/>
      <c r="AF1736" s="1066"/>
      <c r="AG1736" s="1066"/>
      <c r="AH1736" s="1066"/>
      <c r="AI1736" s="1066"/>
      <c r="AJ1736" s="1066"/>
      <c r="AK1736" s="1066"/>
      <c r="AL1736" s="1066"/>
      <c r="AM1736" s="1066"/>
      <c r="AN1736" s="1066"/>
      <c r="AO1736" s="1066"/>
      <c r="AP1736" s="1066"/>
      <c r="AQ1736" s="1066"/>
      <c r="AR1736" s="1066"/>
      <c r="AS1736" s="1066"/>
      <c r="AT1736" s="1066"/>
      <c r="AU1736" s="1066"/>
      <c r="AV1736" s="1066"/>
      <c r="AW1736" s="1066"/>
      <c r="AX1736" s="1066"/>
      <c r="AY1736" s="1066"/>
      <c r="AZ1736" s="1066"/>
      <c r="BA1736" s="1066"/>
      <c r="BB1736" s="1066"/>
      <c r="BC1736" s="1066"/>
      <c r="BD1736" s="1066"/>
      <c r="BE1736" s="1066"/>
      <c r="BF1736" s="1066"/>
      <c r="BG1736" s="1066"/>
      <c r="BH1736" s="1066"/>
      <c r="BI1736" s="1066"/>
      <c r="BJ1736" s="1066"/>
      <c r="BK1736" s="1066"/>
      <c r="BL1736" s="1066"/>
    </row>
    <row r="1737" spans="1:64">
      <c r="A1737" s="1847"/>
      <c r="B1737" s="1847"/>
      <c r="C1737" s="1816" t="s">
        <v>1172</v>
      </c>
      <c r="D1737" s="1060"/>
      <c r="E1737" s="1061"/>
      <c r="F1737" s="1062"/>
      <c r="G1737" s="1081"/>
      <c r="H1737" s="1140"/>
      <c r="I1737" s="1062"/>
      <c r="J1737" s="1022"/>
      <c r="K1737" s="1022"/>
      <c r="L1737" s="1022"/>
      <c r="M1737" s="1066"/>
      <c r="N1737" s="1066"/>
      <c r="O1737" s="1066"/>
      <c r="P1737" s="1066"/>
      <c r="Q1737" s="1066"/>
      <c r="R1737" s="1066"/>
      <c r="S1737" s="1066"/>
      <c r="T1737" s="1066"/>
      <c r="U1737" s="1066"/>
      <c r="V1737" s="1066"/>
      <c r="W1737" s="1066"/>
      <c r="X1737" s="1066"/>
      <c r="Y1737" s="1066"/>
      <c r="Z1737" s="1066"/>
      <c r="AA1737" s="1066"/>
      <c r="AB1737" s="1066"/>
      <c r="AC1737" s="1066"/>
      <c r="AD1737" s="1066"/>
      <c r="AE1737" s="1066"/>
      <c r="AF1737" s="1066"/>
      <c r="AG1737" s="1066"/>
      <c r="AH1737" s="1066"/>
      <c r="AI1737" s="1066"/>
      <c r="AJ1737" s="1066"/>
      <c r="AK1737" s="1066"/>
      <c r="AL1737" s="1066"/>
      <c r="AM1737" s="1066"/>
      <c r="AN1737" s="1066"/>
      <c r="AO1737" s="1066"/>
      <c r="AP1737" s="1066"/>
      <c r="AQ1737" s="1066"/>
      <c r="AR1737" s="1066"/>
      <c r="AS1737" s="1066"/>
      <c r="AT1737" s="1066"/>
      <c r="AU1737" s="1066"/>
      <c r="AV1737" s="1066"/>
      <c r="AW1737" s="1066"/>
      <c r="AX1737" s="1066"/>
      <c r="AY1737" s="1066"/>
      <c r="AZ1737" s="1066"/>
      <c r="BA1737" s="1066"/>
      <c r="BB1737" s="1066"/>
      <c r="BC1737" s="1066"/>
      <c r="BD1737" s="1066"/>
      <c r="BE1737" s="1066"/>
      <c r="BF1737" s="1066"/>
      <c r="BG1737" s="1066"/>
      <c r="BH1737" s="1066"/>
      <c r="BI1737" s="1066"/>
      <c r="BJ1737" s="1066"/>
      <c r="BK1737" s="1066"/>
      <c r="BL1737" s="1066"/>
    </row>
    <row r="1738" spans="1:64">
      <c r="A1738" s="1847"/>
      <c r="B1738" s="1847"/>
      <c r="C1738" s="1817" t="s">
        <v>1147</v>
      </c>
      <c r="D1738" s="1139">
        <v>0.24</v>
      </c>
      <c r="E1738" s="1061" t="s">
        <v>36</v>
      </c>
      <c r="F1738" s="1062">
        <f>'Civil-SOR'!$G$293</f>
        <v>580</v>
      </c>
      <c r="G1738" s="1081">
        <v>1</v>
      </c>
      <c r="H1738" s="1140" t="str">
        <f t="shared" ref="H1738:H1740" si="410">IF(E1738="","",IF(E1738="No.","Each",IF(E1738="Nos.","Each",E1738)))</f>
        <v>Each</v>
      </c>
      <c r="I1738" s="1062">
        <f t="shared" ref="I1738:I1742" si="411">IF(G1738="",D1738*F1738,(D1738*F1738/G1738))</f>
        <v>139.19999999999999</v>
      </c>
      <c r="J1738" s="1022"/>
      <c r="K1738" s="1022"/>
      <c r="L1738" s="1022"/>
      <c r="M1738" s="1066"/>
      <c r="N1738" s="1066"/>
      <c r="O1738" s="1066"/>
      <c r="P1738" s="1066"/>
      <c r="Q1738" s="1066"/>
      <c r="R1738" s="1066"/>
      <c r="S1738" s="1066"/>
      <c r="T1738" s="1066"/>
      <c r="U1738" s="1066"/>
      <c r="V1738" s="1066"/>
      <c r="W1738" s="1066"/>
      <c r="X1738" s="1066"/>
      <c r="Y1738" s="1066"/>
      <c r="Z1738" s="1066"/>
      <c r="AA1738" s="1066"/>
      <c r="AB1738" s="1066"/>
      <c r="AC1738" s="1066"/>
      <c r="AD1738" s="1066"/>
      <c r="AE1738" s="1066"/>
      <c r="AF1738" s="1066"/>
      <c r="AG1738" s="1066"/>
      <c r="AH1738" s="1066"/>
      <c r="AI1738" s="1066"/>
      <c r="AJ1738" s="1066"/>
      <c r="AK1738" s="1066"/>
      <c r="AL1738" s="1066"/>
      <c r="AM1738" s="1066"/>
      <c r="AN1738" s="1066"/>
      <c r="AO1738" s="1066"/>
      <c r="AP1738" s="1066"/>
      <c r="AQ1738" s="1066"/>
      <c r="AR1738" s="1066"/>
      <c r="AS1738" s="1066"/>
      <c r="AT1738" s="1066"/>
      <c r="AU1738" s="1066"/>
      <c r="AV1738" s="1066"/>
      <c r="AW1738" s="1066"/>
      <c r="AX1738" s="1066"/>
      <c r="AY1738" s="1066"/>
      <c r="AZ1738" s="1066"/>
      <c r="BA1738" s="1066"/>
      <c r="BB1738" s="1066"/>
      <c r="BC1738" s="1066"/>
      <c r="BD1738" s="1066"/>
      <c r="BE1738" s="1066"/>
      <c r="BF1738" s="1066"/>
      <c r="BG1738" s="1066"/>
      <c r="BH1738" s="1066"/>
      <c r="BI1738" s="1066"/>
      <c r="BJ1738" s="1066"/>
      <c r="BK1738" s="1066"/>
      <c r="BL1738" s="1066"/>
    </row>
    <row r="1739" spans="1:64">
      <c r="A1739" s="1847"/>
      <c r="B1739" s="1847"/>
      <c r="C1739" s="1817" t="s">
        <v>1062</v>
      </c>
      <c r="D1739" s="1139">
        <v>0.56000000000000005</v>
      </c>
      <c r="E1739" s="1061" t="s">
        <v>36</v>
      </c>
      <c r="F1739" s="1062">
        <f>'Civil-SOR'!$G$302</f>
        <v>550</v>
      </c>
      <c r="G1739" s="1081">
        <v>1</v>
      </c>
      <c r="H1739" s="1140" t="str">
        <f t="shared" si="410"/>
        <v>Each</v>
      </c>
      <c r="I1739" s="1062">
        <f t="shared" si="411"/>
        <v>308.00000000000006</v>
      </c>
      <c r="J1739" s="1022"/>
      <c r="K1739" s="1022"/>
      <c r="L1739" s="1022"/>
      <c r="M1739" s="1066"/>
      <c r="N1739" s="1066"/>
      <c r="O1739" s="1066"/>
      <c r="P1739" s="1066"/>
      <c r="Q1739" s="1066"/>
      <c r="R1739" s="1066"/>
      <c r="S1739" s="1066"/>
      <c r="T1739" s="1066"/>
      <c r="U1739" s="1066"/>
      <c r="V1739" s="1066"/>
      <c r="W1739" s="1066"/>
      <c r="X1739" s="1066"/>
      <c r="Y1739" s="1066"/>
      <c r="Z1739" s="1066"/>
      <c r="AA1739" s="1066"/>
      <c r="AB1739" s="1066"/>
      <c r="AC1739" s="1066"/>
      <c r="AD1739" s="1066"/>
      <c r="AE1739" s="1066"/>
      <c r="AF1739" s="1066"/>
      <c r="AG1739" s="1066"/>
      <c r="AH1739" s="1066"/>
      <c r="AI1739" s="1066"/>
      <c r="AJ1739" s="1066"/>
      <c r="AK1739" s="1066"/>
      <c r="AL1739" s="1066"/>
      <c r="AM1739" s="1066"/>
      <c r="AN1739" s="1066"/>
      <c r="AO1739" s="1066"/>
      <c r="AP1739" s="1066"/>
      <c r="AQ1739" s="1066"/>
      <c r="AR1739" s="1066"/>
      <c r="AS1739" s="1066"/>
      <c r="AT1739" s="1066"/>
      <c r="AU1739" s="1066"/>
      <c r="AV1739" s="1066"/>
      <c r="AW1739" s="1066"/>
      <c r="AX1739" s="1066"/>
      <c r="AY1739" s="1066"/>
      <c r="AZ1739" s="1066"/>
      <c r="BA1739" s="1066"/>
      <c r="BB1739" s="1066"/>
      <c r="BC1739" s="1066"/>
      <c r="BD1739" s="1066"/>
      <c r="BE1739" s="1066"/>
      <c r="BF1739" s="1066"/>
      <c r="BG1739" s="1066"/>
      <c r="BH1739" s="1066"/>
      <c r="BI1739" s="1066"/>
      <c r="BJ1739" s="1066"/>
      <c r="BK1739" s="1066"/>
      <c r="BL1739" s="1066"/>
    </row>
    <row r="1740" spans="1:64">
      <c r="A1740" s="1847"/>
      <c r="B1740" s="1847"/>
      <c r="C1740" s="1817" t="s">
        <v>1166</v>
      </c>
      <c r="D1740" s="1139">
        <v>1.89</v>
      </c>
      <c r="E1740" s="1061" t="s">
        <v>36</v>
      </c>
      <c r="F1740" s="1062">
        <f>'Civil-SOR'!$G$307</f>
        <v>520</v>
      </c>
      <c r="G1740" s="1081">
        <v>1</v>
      </c>
      <c r="H1740" s="1140" t="str">
        <f t="shared" si="410"/>
        <v>Each</v>
      </c>
      <c r="I1740" s="1062">
        <f t="shared" si="411"/>
        <v>982.8</v>
      </c>
      <c r="J1740" s="1022"/>
      <c r="K1740" s="1022"/>
      <c r="L1740" s="1022"/>
      <c r="M1740" s="1066"/>
      <c r="N1740" s="1066"/>
      <c r="O1740" s="1066"/>
      <c r="P1740" s="1066"/>
      <c r="Q1740" s="1066"/>
      <c r="R1740" s="1066"/>
      <c r="S1740" s="1066"/>
      <c r="T1740" s="1066"/>
      <c r="U1740" s="1066"/>
      <c r="V1740" s="1066"/>
      <c r="W1740" s="1066"/>
      <c r="X1740" s="1066"/>
      <c r="Y1740" s="1066"/>
      <c r="Z1740" s="1066"/>
      <c r="AA1740" s="1066"/>
      <c r="AB1740" s="1066"/>
      <c r="AC1740" s="1066"/>
      <c r="AD1740" s="1066"/>
      <c r="AE1740" s="1066"/>
      <c r="AF1740" s="1066"/>
      <c r="AG1740" s="1066"/>
      <c r="AH1740" s="1066"/>
      <c r="AI1740" s="1066"/>
      <c r="AJ1740" s="1066"/>
      <c r="AK1740" s="1066"/>
      <c r="AL1740" s="1066"/>
      <c r="AM1740" s="1066"/>
      <c r="AN1740" s="1066"/>
      <c r="AO1740" s="1066"/>
      <c r="AP1740" s="1066"/>
      <c r="AQ1740" s="1066"/>
      <c r="AR1740" s="1066"/>
      <c r="AS1740" s="1066"/>
      <c r="AT1740" s="1066"/>
      <c r="AU1740" s="1066"/>
      <c r="AV1740" s="1066"/>
      <c r="AW1740" s="1066"/>
      <c r="AX1740" s="1066"/>
      <c r="AY1740" s="1066"/>
      <c r="AZ1740" s="1066"/>
      <c r="BA1740" s="1066"/>
      <c r="BB1740" s="1066"/>
      <c r="BC1740" s="1066"/>
      <c r="BD1740" s="1066"/>
      <c r="BE1740" s="1066"/>
      <c r="BF1740" s="1066"/>
      <c r="BG1740" s="1066"/>
      <c r="BH1740" s="1066"/>
      <c r="BI1740" s="1066"/>
      <c r="BJ1740" s="1066"/>
      <c r="BK1740" s="1066"/>
      <c r="BL1740" s="1066"/>
    </row>
    <row r="1741" spans="1:64">
      <c r="A1741" s="1847"/>
      <c r="B1741" s="1847"/>
      <c r="C1741" s="1817" t="str">
        <f>Input!$C$47</f>
        <v>Add for MA @ 40%</v>
      </c>
      <c r="D1741" s="1160">
        <f>Input!$D$47</f>
        <v>0.4</v>
      </c>
      <c r="E1741" s="1112"/>
      <c r="F1741" s="1062">
        <f>SUM(I1738:I1740)</f>
        <v>1430</v>
      </c>
      <c r="G1741" s="1076"/>
      <c r="H1741" s="1849"/>
      <c r="I1741" s="1062">
        <f t="shared" si="411"/>
        <v>572</v>
      </c>
      <c r="J1741" s="1022"/>
      <c r="K1741" s="1022"/>
      <c r="L1741" s="1022"/>
      <c r="M1741" s="1066"/>
      <c r="N1741" s="1066"/>
      <c r="O1741" s="1066"/>
      <c r="P1741" s="1066"/>
      <c r="Q1741" s="1066"/>
      <c r="R1741" s="1066"/>
      <c r="S1741" s="1066"/>
      <c r="T1741" s="1066"/>
      <c r="U1741" s="1066"/>
      <c r="V1741" s="1066"/>
      <c r="W1741" s="1066"/>
      <c r="X1741" s="1066"/>
      <c r="Y1741" s="1066"/>
      <c r="Z1741" s="1066"/>
      <c r="AA1741" s="1066"/>
      <c r="AB1741" s="1066"/>
      <c r="AC1741" s="1066"/>
      <c r="AD1741" s="1066"/>
      <c r="AE1741" s="1066"/>
      <c r="AF1741" s="1066"/>
      <c r="AG1741" s="1066"/>
      <c r="AH1741" s="1066"/>
      <c r="AI1741" s="1066"/>
      <c r="AJ1741" s="1066"/>
      <c r="AK1741" s="1066"/>
      <c r="AL1741" s="1066"/>
      <c r="AM1741" s="1066"/>
      <c r="AN1741" s="1066"/>
      <c r="AO1741" s="1066"/>
      <c r="AP1741" s="1066"/>
      <c r="AQ1741" s="1066"/>
      <c r="AR1741" s="1066"/>
      <c r="AS1741" s="1066"/>
      <c r="AT1741" s="1066"/>
      <c r="AU1741" s="1066"/>
      <c r="AV1741" s="1066"/>
      <c r="AW1741" s="1066"/>
      <c r="AX1741" s="1066"/>
      <c r="AY1741" s="1066"/>
      <c r="AZ1741" s="1066"/>
      <c r="BA1741" s="1066"/>
      <c r="BB1741" s="1066"/>
      <c r="BC1741" s="1066"/>
      <c r="BD1741" s="1066"/>
      <c r="BE1741" s="1066"/>
      <c r="BF1741" s="1066"/>
      <c r="BG1741" s="1066"/>
      <c r="BH1741" s="1066"/>
      <c r="BI1741" s="1066"/>
      <c r="BJ1741" s="1066"/>
      <c r="BK1741" s="1066"/>
      <c r="BL1741" s="1066"/>
    </row>
    <row r="1742" spans="1:64">
      <c r="A1742" s="1847"/>
      <c r="B1742" s="1847"/>
      <c r="C1742" s="1817" t="s">
        <v>1312</v>
      </c>
      <c r="D1742" s="1060">
        <v>0.01</v>
      </c>
      <c r="E1742" s="1061"/>
      <c r="F1742" s="1062">
        <f>SUM(I1734:I1741)</f>
        <v>7532.7231199999997</v>
      </c>
      <c r="G1742" s="1081"/>
      <c r="H1742" s="1140"/>
      <c r="I1742" s="1062">
        <f t="shared" si="411"/>
        <v>75.3272312</v>
      </c>
      <c r="J1742" s="1022"/>
      <c r="K1742" s="1022"/>
      <c r="L1742" s="1022"/>
      <c r="M1742" s="1066"/>
      <c r="N1742" s="1066"/>
      <c r="O1742" s="1066"/>
      <c r="P1742" s="1066"/>
      <c r="Q1742" s="1066"/>
      <c r="R1742" s="1066"/>
      <c r="S1742" s="1066"/>
      <c r="T1742" s="1066"/>
      <c r="U1742" s="1066"/>
      <c r="V1742" s="1066"/>
      <c r="W1742" s="1066"/>
      <c r="X1742" s="1066"/>
      <c r="Y1742" s="1066"/>
      <c r="Z1742" s="1066"/>
      <c r="AA1742" s="1066"/>
      <c r="AB1742" s="1066"/>
      <c r="AC1742" s="1066"/>
      <c r="AD1742" s="1066"/>
      <c r="AE1742" s="1066"/>
      <c r="AF1742" s="1066"/>
      <c r="AG1742" s="1066"/>
      <c r="AH1742" s="1066"/>
      <c r="AI1742" s="1066"/>
      <c r="AJ1742" s="1066"/>
      <c r="AK1742" s="1066"/>
      <c r="AL1742" s="1066"/>
      <c r="AM1742" s="1066"/>
      <c r="AN1742" s="1066"/>
      <c r="AO1742" s="1066"/>
      <c r="AP1742" s="1066"/>
      <c r="AQ1742" s="1066"/>
      <c r="AR1742" s="1066"/>
      <c r="AS1742" s="1066"/>
      <c r="AT1742" s="1066"/>
      <c r="AU1742" s="1066"/>
      <c r="AV1742" s="1066"/>
      <c r="AW1742" s="1066"/>
      <c r="AX1742" s="1066"/>
      <c r="AY1742" s="1066"/>
      <c r="AZ1742" s="1066"/>
      <c r="BA1742" s="1066"/>
      <c r="BB1742" s="1066"/>
      <c r="BC1742" s="1066"/>
      <c r="BD1742" s="1066"/>
      <c r="BE1742" s="1066"/>
      <c r="BF1742" s="1066"/>
      <c r="BG1742" s="1066"/>
      <c r="BH1742" s="1066"/>
      <c r="BI1742" s="1066"/>
      <c r="BJ1742" s="1066"/>
      <c r="BK1742" s="1066"/>
      <c r="BL1742" s="1066"/>
    </row>
    <row r="1743" spans="1:64">
      <c r="A1743" s="1023"/>
      <c r="B1743" s="1023"/>
      <c r="C1743" s="1088" t="s">
        <v>1032</v>
      </c>
      <c r="D1743" s="1089"/>
      <c r="E1743" s="1090"/>
      <c r="F1743" s="994"/>
      <c r="G1743" s="1091"/>
      <c r="H1743" s="1159"/>
      <c r="I1743" s="1826">
        <f>SUM(I1734:I1742)</f>
        <v>7608.0503511999996</v>
      </c>
      <c r="J1743" s="996"/>
      <c r="K1743" s="996"/>
      <c r="L1743" s="996"/>
      <c r="M1743" s="997"/>
      <c r="N1743" s="997"/>
      <c r="O1743" s="997"/>
      <c r="P1743" s="997"/>
      <c r="Q1743" s="997"/>
      <c r="R1743" s="997"/>
      <c r="S1743" s="997"/>
      <c r="T1743" s="997"/>
      <c r="U1743" s="997"/>
      <c r="V1743" s="997"/>
      <c r="W1743" s="997"/>
      <c r="X1743" s="997"/>
      <c r="Y1743" s="997"/>
      <c r="Z1743" s="997"/>
      <c r="AA1743" s="997"/>
      <c r="AB1743" s="997"/>
      <c r="AC1743" s="997"/>
      <c r="AD1743" s="997"/>
      <c r="AE1743" s="997"/>
      <c r="AF1743" s="997"/>
      <c r="AG1743" s="997"/>
      <c r="AH1743" s="997"/>
      <c r="AI1743" s="997"/>
      <c r="AJ1743" s="997"/>
      <c r="AK1743" s="997"/>
      <c r="AL1743" s="997"/>
      <c r="AM1743" s="997"/>
      <c r="AN1743" s="997"/>
      <c r="AO1743" s="997"/>
      <c r="AP1743" s="997"/>
      <c r="AQ1743" s="997"/>
      <c r="AR1743" s="997"/>
      <c r="AS1743" s="997"/>
      <c r="AT1743" s="997"/>
      <c r="AU1743" s="997"/>
      <c r="AV1743" s="997"/>
      <c r="AW1743" s="997"/>
      <c r="AX1743" s="997"/>
      <c r="AY1743" s="997"/>
      <c r="AZ1743" s="997"/>
      <c r="BA1743" s="997"/>
      <c r="BB1743" s="997"/>
      <c r="BC1743" s="997"/>
      <c r="BD1743" s="997"/>
      <c r="BE1743" s="997"/>
      <c r="BF1743" s="997"/>
      <c r="BG1743" s="997"/>
      <c r="BH1743" s="997"/>
      <c r="BI1743" s="997"/>
      <c r="BJ1743" s="997"/>
      <c r="BK1743" s="997"/>
      <c r="BL1743" s="997"/>
    </row>
    <row r="1744" spans="1:64">
      <c r="A1744" s="1823"/>
      <c r="B1744" s="1068"/>
      <c r="C1744" s="1816"/>
      <c r="D1744" s="1000"/>
      <c r="E1744" s="1044"/>
      <c r="F1744" s="1001"/>
      <c r="G1744" s="1015"/>
      <c r="H1744" s="1047"/>
      <c r="I1744" s="1011"/>
      <c r="J1744" s="1846"/>
      <c r="K1744" s="1846"/>
      <c r="L1744" s="1846"/>
    </row>
    <row r="1745" spans="1:64">
      <c r="A1745" s="1823"/>
      <c r="B1745" s="1068" t="s">
        <v>294</v>
      </c>
      <c r="C1745" s="1816" t="s">
        <v>1316</v>
      </c>
      <c r="D1745" s="1000"/>
      <c r="E1745" s="1044"/>
      <c r="F1745" s="1001"/>
      <c r="G1745" s="1015"/>
      <c r="H1745" s="1047"/>
      <c r="I1745" s="1011"/>
      <c r="J1745" s="1846"/>
      <c r="K1745" s="1846"/>
      <c r="L1745" s="1846"/>
    </row>
    <row r="1746" spans="1:64">
      <c r="A1746" s="1823"/>
      <c r="B1746" s="1068"/>
      <c r="C1746" s="1817" t="s">
        <v>1317</v>
      </c>
      <c r="D1746" s="1000">
        <v>1</v>
      </c>
      <c r="E1746" s="1044" t="s">
        <v>484</v>
      </c>
      <c r="F1746" s="1001">
        <f>$I$1743</f>
        <v>7608.0503511999996</v>
      </c>
      <c r="G1746" s="1015">
        <v>1</v>
      </c>
      <c r="H1746" s="1047" t="s">
        <v>484</v>
      </c>
      <c r="I1746" s="1030">
        <f t="shared" ref="I1746:I1747" si="412">IF(G1746="",D1746*F1746,(D1746*F1746/G1746))</f>
        <v>7608.0503511999996</v>
      </c>
      <c r="J1746" s="1846"/>
      <c r="K1746" s="1846"/>
      <c r="L1746" s="1846"/>
    </row>
    <row r="1747" spans="1:64">
      <c r="A1747" s="1823"/>
      <c r="B1747" s="1068"/>
      <c r="C1747" s="1817" t="str">
        <f>Input!$C$48</f>
        <v>Overheads &amp; Contractors Profit @ 13.615%</v>
      </c>
      <c r="D1747" s="1033">
        <f>Input!$D$48</f>
        <v>0.13614999999999999</v>
      </c>
      <c r="E1747" s="1052"/>
      <c r="F1747" s="1030">
        <f>I1746</f>
        <v>7608.0503511999996</v>
      </c>
      <c r="G1747" s="1144"/>
      <c r="H1747" s="1637"/>
      <c r="I1747" s="1030">
        <f t="shared" si="412"/>
        <v>1035.83605531588</v>
      </c>
      <c r="J1747" s="1846"/>
      <c r="K1747" s="1846"/>
      <c r="L1747" s="1846"/>
    </row>
    <row r="1748" spans="1:64">
      <c r="A1748" s="1823"/>
      <c r="B1748" s="1068"/>
      <c r="C1748" s="1816" t="s">
        <v>1032</v>
      </c>
      <c r="D1748" s="1000"/>
      <c r="E1748" s="1044"/>
      <c r="F1748" s="1001"/>
      <c r="G1748" s="1015"/>
      <c r="H1748" s="1047"/>
      <c r="I1748" s="1011">
        <f>SUM(I1746:I1747)</f>
        <v>8643.8864065158796</v>
      </c>
      <c r="J1748" s="1846"/>
      <c r="K1748" s="1846"/>
      <c r="L1748" s="1846"/>
    </row>
    <row r="1749" spans="1:64">
      <c r="A1749" s="1023"/>
      <c r="B1749" s="1023"/>
      <c r="C1749" s="1118" t="s">
        <v>1034</v>
      </c>
      <c r="D1749" s="1089"/>
      <c r="E1749" s="1090"/>
      <c r="F1749" s="994"/>
      <c r="G1749" s="1091"/>
      <c r="H1749" s="1118" t="s">
        <v>1065</v>
      </c>
      <c r="I1749" s="1826">
        <f>ROUND(I1748,0)</f>
        <v>8644</v>
      </c>
      <c r="J1749" s="996"/>
      <c r="K1749" s="996"/>
      <c r="L1749" s="996"/>
      <c r="M1749" s="997"/>
      <c r="N1749" s="997"/>
      <c r="O1749" s="997"/>
      <c r="P1749" s="997"/>
      <c r="Q1749" s="997"/>
      <c r="R1749" s="997"/>
      <c r="S1749" s="997"/>
      <c r="T1749" s="997"/>
      <c r="U1749" s="997"/>
      <c r="V1749" s="997"/>
      <c r="W1749" s="997"/>
      <c r="X1749" s="997"/>
      <c r="Y1749" s="997"/>
      <c r="Z1749" s="997"/>
      <c r="AA1749" s="997"/>
      <c r="AB1749" s="997"/>
      <c r="AC1749" s="997"/>
      <c r="AD1749" s="997"/>
      <c r="AE1749" s="997"/>
      <c r="AF1749" s="997"/>
      <c r="AG1749" s="997"/>
      <c r="AH1749" s="997"/>
      <c r="AI1749" s="997"/>
      <c r="AJ1749" s="997"/>
      <c r="AK1749" s="997"/>
      <c r="AL1749" s="997"/>
      <c r="AM1749" s="997"/>
      <c r="AN1749" s="997"/>
      <c r="AO1749" s="997"/>
      <c r="AP1749" s="997"/>
      <c r="AQ1749" s="997"/>
      <c r="AR1749" s="997"/>
      <c r="AS1749" s="997"/>
      <c r="AT1749" s="997"/>
      <c r="AU1749" s="997"/>
      <c r="AV1749" s="997"/>
      <c r="AW1749" s="997"/>
      <c r="AX1749" s="997"/>
      <c r="AY1749" s="997"/>
      <c r="AZ1749" s="997"/>
      <c r="BA1749" s="997"/>
      <c r="BB1749" s="997"/>
      <c r="BC1749" s="997"/>
      <c r="BD1749" s="997"/>
      <c r="BE1749" s="997"/>
      <c r="BF1749" s="997"/>
      <c r="BG1749" s="997"/>
      <c r="BH1749" s="997"/>
      <c r="BI1749" s="997"/>
      <c r="BJ1749" s="997"/>
      <c r="BK1749" s="997"/>
      <c r="BL1749" s="997"/>
    </row>
    <row r="1750" spans="1:64">
      <c r="A1750" s="1823"/>
      <c r="B1750" s="1068"/>
      <c r="C1750" s="1129"/>
      <c r="D1750" s="1000"/>
      <c r="E1750" s="1044"/>
      <c r="F1750" s="1001"/>
      <c r="G1750" s="1015"/>
      <c r="H1750" s="1047"/>
      <c r="I1750" s="1011"/>
      <c r="J1750" s="1846"/>
      <c r="K1750" s="1846"/>
      <c r="L1750" s="1846"/>
    </row>
    <row r="1751" spans="1:64">
      <c r="A1751" s="1823"/>
      <c r="B1751" s="1098" t="s">
        <v>297</v>
      </c>
      <c r="C1751" s="1816" t="s">
        <v>1318</v>
      </c>
      <c r="D1751" s="1000"/>
      <c r="E1751" s="1044"/>
      <c r="F1751" s="1001"/>
      <c r="G1751" s="1015"/>
      <c r="H1751" s="1047"/>
      <c r="I1751" s="1011"/>
      <c r="J1751" s="1015"/>
      <c r="K1751" s="1047"/>
      <c r="L1751" s="1011"/>
    </row>
    <row r="1752" spans="1:64">
      <c r="A1752" s="1823"/>
      <c r="B1752" s="1068"/>
      <c r="C1752" s="1816" t="s">
        <v>1217</v>
      </c>
      <c r="D1752" s="1009" t="s">
        <v>1223</v>
      </c>
      <c r="E1752" s="1098" t="s">
        <v>1207</v>
      </c>
      <c r="F1752" s="1102" t="s">
        <v>1208</v>
      </c>
      <c r="G1752" s="1098" t="s">
        <v>1291</v>
      </c>
      <c r="H1752" s="1098" t="s">
        <v>1292</v>
      </c>
      <c r="I1752" s="1098" t="s">
        <v>1293</v>
      </c>
      <c r="J1752" s="1102"/>
      <c r="K1752" s="1102" t="s">
        <v>1213</v>
      </c>
      <c r="L1752" s="1102" t="s">
        <v>1214</v>
      </c>
    </row>
    <row r="1753" spans="1:64">
      <c r="A1753" s="1847"/>
      <c r="B1753" s="1847"/>
      <c r="C1753" s="1817" t="s">
        <v>1317</v>
      </c>
      <c r="D1753" s="1062">
        <f t="shared" ref="D1753:L1753" si="413">$I$1743</f>
        <v>7608.0503511999996</v>
      </c>
      <c r="E1753" s="1062">
        <f t="shared" si="413"/>
        <v>7608.0503511999996</v>
      </c>
      <c r="F1753" s="1062">
        <f t="shared" si="413"/>
        <v>7608.0503511999996</v>
      </c>
      <c r="G1753" s="1062">
        <f t="shared" si="413"/>
        <v>7608.0503511999996</v>
      </c>
      <c r="H1753" s="1062">
        <f t="shared" si="413"/>
        <v>7608.0503511999996</v>
      </c>
      <c r="I1753" s="1062">
        <f t="shared" si="413"/>
        <v>7608.0503511999996</v>
      </c>
      <c r="J1753" s="1062"/>
      <c r="K1753" s="1062">
        <f t="shared" si="413"/>
        <v>7608.0503511999996</v>
      </c>
      <c r="L1753" s="1062">
        <f t="shared" si="413"/>
        <v>7608.0503511999996</v>
      </c>
      <c r="M1753" s="1066"/>
      <c r="N1753" s="1066"/>
      <c r="O1753" s="1066"/>
      <c r="P1753" s="1066"/>
      <c r="Q1753" s="1066"/>
      <c r="R1753" s="1066"/>
      <c r="S1753" s="1066"/>
      <c r="T1753" s="1066"/>
      <c r="U1753" s="1066"/>
      <c r="V1753" s="1066"/>
      <c r="W1753" s="1066"/>
      <c r="X1753" s="1066"/>
      <c r="Y1753" s="1066"/>
      <c r="Z1753" s="1066"/>
      <c r="AA1753" s="1066"/>
      <c r="AB1753" s="1066"/>
      <c r="AC1753" s="1066"/>
      <c r="AD1753" s="1066"/>
      <c r="AE1753" s="1066"/>
      <c r="AF1753" s="1066"/>
      <c r="AG1753" s="1066"/>
      <c r="AH1753" s="1066"/>
      <c r="AI1753" s="1066"/>
      <c r="AJ1753" s="1066"/>
      <c r="AK1753" s="1066"/>
      <c r="AL1753" s="1066"/>
      <c r="AM1753" s="1066"/>
      <c r="AN1753" s="1066"/>
      <c r="AO1753" s="1066"/>
      <c r="AP1753" s="1066"/>
      <c r="AQ1753" s="1066"/>
      <c r="AR1753" s="1066"/>
      <c r="AS1753" s="1066"/>
      <c r="AT1753" s="1066"/>
      <c r="AU1753" s="1066"/>
      <c r="AV1753" s="1066"/>
      <c r="AW1753" s="1066"/>
      <c r="AX1753" s="1066"/>
      <c r="AY1753" s="1066"/>
      <c r="AZ1753" s="1066"/>
      <c r="BA1753" s="1066"/>
      <c r="BB1753" s="1066"/>
      <c r="BC1753" s="1066"/>
      <c r="BD1753" s="1066"/>
      <c r="BE1753" s="1066"/>
      <c r="BF1753" s="1066"/>
      <c r="BG1753" s="1066"/>
      <c r="BH1753" s="1066"/>
      <c r="BI1753" s="1066"/>
      <c r="BJ1753" s="1066"/>
      <c r="BK1753" s="1066"/>
      <c r="BL1753" s="1066"/>
    </row>
    <row r="1754" spans="1:64">
      <c r="A1754" s="1847"/>
      <c r="B1754" s="1847"/>
      <c r="C1754" s="1817" t="s">
        <v>1313</v>
      </c>
      <c r="D1754" s="1062">
        <f>'Civil-SOR'!$F$222/0.23</f>
        <v>50.695652173913039</v>
      </c>
      <c r="E1754" s="1062">
        <f>'Civil-SOR'!$F$223/0.23</f>
        <v>50.695652173913039</v>
      </c>
      <c r="F1754" s="1062">
        <f>'Civil-SOR'!$F$224/0.23</f>
        <v>50.695652173913039</v>
      </c>
      <c r="G1754" s="1062">
        <f>'Civil-SOR'!$F$225/0.23</f>
        <v>50.695652173913039</v>
      </c>
      <c r="H1754" s="1062">
        <f>'Civil-SOR'!$F$225/0.23</f>
        <v>50.695652173913039</v>
      </c>
      <c r="I1754" s="1062">
        <f>'Civil-SOR'!$F$225/0.23</f>
        <v>50.695652173913039</v>
      </c>
      <c r="J1754" s="1062"/>
      <c r="K1754" s="1062">
        <f>'Civil-SOR'!$F$225/0.23</f>
        <v>50.695652173913039</v>
      </c>
      <c r="L1754" s="1062">
        <f>'Civil-SOR'!$F$225/0.23</f>
        <v>50.695652173913039</v>
      </c>
      <c r="M1754" s="1066"/>
      <c r="N1754" s="1066"/>
      <c r="O1754" s="1066"/>
      <c r="P1754" s="1066"/>
      <c r="Q1754" s="1066"/>
      <c r="R1754" s="1066"/>
      <c r="S1754" s="1066"/>
      <c r="T1754" s="1066"/>
      <c r="U1754" s="1066"/>
      <c r="V1754" s="1066"/>
      <c r="W1754" s="1066"/>
      <c r="X1754" s="1066"/>
      <c r="Y1754" s="1066"/>
      <c r="Z1754" s="1066"/>
      <c r="AA1754" s="1066"/>
      <c r="AB1754" s="1066"/>
      <c r="AC1754" s="1066"/>
      <c r="AD1754" s="1066"/>
      <c r="AE1754" s="1066"/>
      <c r="AF1754" s="1066"/>
      <c r="AG1754" s="1066"/>
      <c r="AH1754" s="1066"/>
      <c r="AI1754" s="1066"/>
      <c r="AJ1754" s="1066"/>
      <c r="AK1754" s="1066"/>
      <c r="AL1754" s="1066"/>
      <c r="AM1754" s="1066"/>
      <c r="AN1754" s="1066"/>
      <c r="AO1754" s="1066"/>
      <c r="AP1754" s="1066"/>
      <c r="AQ1754" s="1066"/>
      <c r="AR1754" s="1066"/>
      <c r="AS1754" s="1066"/>
      <c r="AT1754" s="1066"/>
      <c r="AU1754" s="1066"/>
      <c r="AV1754" s="1066"/>
      <c r="AW1754" s="1066"/>
      <c r="AX1754" s="1066"/>
      <c r="AY1754" s="1066"/>
      <c r="AZ1754" s="1066"/>
      <c r="BA1754" s="1066"/>
      <c r="BB1754" s="1066"/>
      <c r="BC1754" s="1066"/>
      <c r="BD1754" s="1066"/>
      <c r="BE1754" s="1066"/>
      <c r="BF1754" s="1066"/>
      <c r="BG1754" s="1066"/>
      <c r="BH1754" s="1066"/>
      <c r="BI1754" s="1066"/>
      <c r="BJ1754" s="1066"/>
      <c r="BK1754" s="1066"/>
      <c r="BL1754" s="1066"/>
    </row>
    <row r="1755" spans="1:64">
      <c r="A1755" s="1847"/>
      <c r="B1755" s="1847"/>
      <c r="C1755" s="1817" t="s">
        <v>1314</v>
      </c>
      <c r="D1755" s="1062">
        <f>ROUND('Civil-SOR'!$G$222/0.23,2)</f>
        <v>409.96</v>
      </c>
      <c r="E1755" s="1062">
        <f>ROUND('Civil-SOR'!$G$223/0.23,2)</f>
        <v>589.61</v>
      </c>
      <c r="F1755" s="1062">
        <f>ROUND('Civil-SOR'!$G$224/0.23,2)</f>
        <v>769.26</v>
      </c>
      <c r="G1755" s="1062">
        <f>ROUND('Civil-SOR'!$G$225/0.23,2)</f>
        <v>948.91</v>
      </c>
      <c r="H1755" s="1062">
        <f>ROUND('Civil-SOR'!$G$226/0.23,2)</f>
        <v>1128.57</v>
      </c>
      <c r="I1755" s="1062">
        <f>ROUND('Civil-SOR'!$G$227/0.23,2)</f>
        <v>1308.22</v>
      </c>
      <c r="J1755" s="1062"/>
      <c r="K1755" s="1062">
        <f>ROUND('Civil-SOR'!$G$229/0.23,2)</f>
        <v>1667.48</v>
      </c>
      <c r="L1755" s="1062">
        <f>ROUND('Civil-SOR'!$G$230/0.23,2)</f>
        <v>1847.13</v>
      </c>
      <c r="M1755" s="1066"/>
      <c r="N1755" s="1066"/>
      <c r="O1755" s="1066"/>
      <c r="P1755" s="1066"/>
      <c r="Q1755" s="1066"/>
      <c r="R1755" s="1066"/>
      <c r="S1755" s="1066"/>
      <c r="T1755" s="1066"/>
      <c r="U1755" s="1066"/>
      <c r="V1755" s="1066"/>
      <c r="W1755" s="1066"/>
      <c r="X1755" s="1066"/>
      <c r="Y1755" s="1066"/>
      <c r="Z1755" s="1066"/>
      <c r="AA1755" s="1066"/>
      <c r="AB1755" s="1066"/>
      <c r="AC1755" s="1066"/>
      <c r="AD1755" s="1066"/>
      <c r="AE1755" s="1066"/>
      <c r="AF1755" s="1066"/>
      <c r="AG1755" s="1066"/>
      <c r="AH1755" s="1066"/>
      <c r="AI1755" s="1066"/>
      <c r="AJ1755" s="1066"/>
      <c r="AK1755" s="1066"/>
      <c r="AL1755" s="1066"/>
      <c r="AM1755" s="1066"/>
      <c r="AN1755" s="1066"/>
      <c r="AO1755" s="1066"/>
      <c r="AP1755" s="1066"/>
      <c r="AQ1755" s="1066"/>
      <c r="AR1755" s="1066"/>
      <c r="AS1755" s="1066"/>
      <c r="AT1755" s="1066"/>
      <c r="AU1755" s="1066"/>
      <c r="AV1755" s="1066"/>
      <c r="AW1755" s="1066"/>
      <c r="AX1755" s="1066"/>
      <c r="AY1755" s="1066"/>
      <c r="AZ1755" s="1066"/>
      <c r="BA1755" s="1066"/>
      <c r="BB1755" s="1066"/>
      <c r="BC1755" s="1066"/>
      <c r="BD1755" s="1066"/>
      <c r="BE1755" s="1066"/>
      <c r="BF1755" s="1066"/>
      <c r="BG1755" s="1066"/>
      <c r="BH1755" s="1066"/>
      <c r="BI1755" s="1066"/>
      <c r="BJ1755" s="1066"/>
      <c r="BK1755" s="1066"/>
      <c r="BL1755" s="1066"/>
    </row>
    <row r="1756" spans="1:64">
      <c r="A1756" s="1847"/>
      <c r="B1756" s="1847"/>
      <c r="C1756" s="1817" t="str">
        <f>Input!$C$47</f>
        <v>Add for MA @ 40%</v>
      </c>
      <c r="D1756" s="1062">
        <f>Input!$D$47*D1755</f>
        <v>163.98400000000001</v>
      </c>
      <c r="E1756" s="1062">
        <f>Input!$D$47*E1755</f>
        <v>235.84400000000002</v>
      </c>
      <c r="F1756" s="1062">
        <f>Input!$D$47*F1755</f>
        <v>307.70400000000001</v>
      </c>
      <c r="G1756" s="1062">
        <f>Input!$D$47*G1755</f>
        <v>379.56400000000002</v>
      </c>
      <c r="H1756" s="1062">
        <f>Input!$D$47*H1755</f>
        <v>451.428</v>
      </c>
      <c r="I1756" s="1062">
        <f>Input!$D$47*I1755</f>
        <v>523.28800000000001</v>
      </c>
      <c r="J1756" s="1062"/>
      <c r="K1756" s="1062">
        <f>Input!$D$47*K1755</f>
        <v>666.99200000000008</v>
      </c>
      <c r="L1756" s="1062">
        <f>Input!$D$47*L1755</f>
        <v>738.85200000000009</v>
      </c>
      <c r="M1756" s="1066"/>
      <c r="N1756" s="1066"/>
      <c r="O1756" s="1066"/>
      <c r="P1756" s="1066"/>
      <c r="Q1756" s="1066"/>
      <c r="R1756" s="1066"/>
      <c r="S1756" s="1066"/>
      <c r="T1756" s="1066"/>
      <c r="U1756" s="1066"/>
      <c r="V1756" s="1066"/>
      <c r="W1756" s="1066"/>
      <c r="X1756" s="1066"/>
      <c r="Y1756" s="1066"/>
      <c r="Z1756" s="1066"/>
      <c r="AA1756" s="1066"/>
      <c r="AB1756" s="1066"/>
      <c r="AC1756" s="1066"/>
      <c r="AD1756" s="1066"/>
      <c r="AE1756" s="1066"/>
      <c r="AF1756" s="1066"/>
      <c r="AG1756" s="1066"/>
      <c r="AH1756" s="1066"/>
      <c r="AI1756" s="1066"/>
      <c r="AJ1756" s="1066"/>
      <c r="AK1756" s="1066"/>
      <c r="AL1756" s="1066"/>
      <c r="AM1756" s="1066"/>
      <c r="AN1756" s="1066"/>
      <c r="AO1756" s="1066"/>
      <c r="AP1756" s="1066"/>
      <c r="AQ1756" s="1066"/>
      <c r="AR1756" s="1066"/>
      <c r="AS1756" s="1066"/>
      <c r="AT1756" s="1066"/>
      <c r="AU1756" s="1066"/>
      <c r="AV1756" s="1066"/>
      <c r="AW1756" s="1066"/>
      <c r="AX1756" s="1066"/>
      <c r="AY1756" s="1066"/>
      <c r="AZ1756" s="1066"/>
      <c r="BA1756" s="1066"/>
      <c r="BB1756" s="1066"/>
      <c r="BC1756" s="1066"/>
      <c r="BD1756" s="1066"/>
      <c r="BE1756" s="1066"/>
      <c r="BF1756" s="1066"/>
      <c r="BG1756" s="1066"/>
      <c r="BH1756" s="1066"/>
      <c r="BI1756" s="1066"/>
      <c r="BJ1756" s="1066"/>
      <c r="BK1756" s="1066"/>
      <c r="BL1756" s="1066"/>
    </row>
    <row r="1757" spans="1:64">
      <c r="A1757" s="1847"/>
      <c r="B1757" s="1847"/>
      <c r="C1757" s="1817" t="s">
        <v>1253</v>
      </c>
      <c r="D1757" s="1062">
        <v>0</v>
      </c>
      <c r="E1757" s="1062">
        <f>ROUND($F$1741*10%,2)</f>
        <v>143</v>
      </c>
      <c r="F1757" s="1062">
        <f>ROUND($F$1741*20%,2)</f>
        <v>286</v>
      </c>
      <c r="G1757" s="1062">
        <f>ROUND($F$1741*30%,2)</f>
        <v>429</v>
      </c>
      <c r="H1757" s="1062">
        <f>ROUND($F$1741*40%,2)</f>
        <v>572</v>
      </c>
      <c r="I1757" s="1062">
        <f>ROUND($F$1741*50%,2)</f>
        <v>715</v>
      </c>
      <c r="J1757" s="1062"/>
      <c r="K1757" s="1062">
        <f>ROUND($F$1741*70%,2)</f>
        <v>1001</v>
      </c>
      <c r="L1757" s="1062">
        <f>ROUND($F$1741*80%,2)</f>
        <v>1144</v>
      </c>
      <c r="M1757" s="1066"/>
      <c r="N1757" s="1066"/>
      <c r="O1757" s="1066"/>
      <c r="P1757" s="1066"/>
      <c r="Q1757" s="1066"/>
      <c r="R1757" s="1066"/>
      <c r="S1757" s="1066"/>
      <c r="T1757" s="1066"/>
      <c r="U1757" s="1066"/>
      <c r="V1757" s="1066"/>
      <c r="W1757" s="1066"/>
      <c r="X1757" s="1066"/>
      <c r="Y1757" s="1066"/>
      <c r="Z1757" s="1066"/>
      <c r="AA1757" s="1066"/>
      <c r="AB1757" s="1066"/>
      <c r="AC1757" s="1066"/>
      <c r="AD1757" s="1066"/>
      <c r="AE1757" s="1066"/>
      <c r="AF1757" s="1066"/>
      <c r="AG1757" s="1066"/>
      <c r="AH1757" s="1066"/>
      <c r="AI1757" s="1066"/>
      <c r="AJ1757" s="1066"/>
      <c r="AK1757" s="1066"/>
      <c r="AL1757" s="1066"/>
      <c r="AM1757" s="1066"/>
      <c r="AN1757" s="1066"/>
      <c r="AO1757" s="1066"/>
      <c r="AP1757" s="1066"/>
      <c r="AQ1757" s="1066"/>
      <c r="AR1757" s="1066"/>
      <c r="AS1757" s="1066"/>
      <c r="AT1757" s="1066"/>
      <c r="AU1757" s="1066"/>
      <c r="AV1757" s="1066"/>
      <c r="AW1757" s="1066"/>
      <c r="AX1757" s="1066"/>
      <c r="AY1757" s="1066"/>
      <c r="AZ1757" s="1066"/>
      <c r="BA1757" s="1066"/>
      <c r="BB1757" s="1066"/>
      <c r="BC1757" s="1066"/>
      <c r="BD1757" s="1066"/>
      <c r="BE1757" s="1066"/>
      <c r="BF1757" s="1066"/>
      <c r="BG1757" s="1066"/>
      <c r="BH1757" s="1066"/>
      <c r="BI1757" s="1066"/>
      <c r="BJ1757" s="1066"/>
      <c r="BK1757" s="1066"/>
      <c r="BL1757" s="1066"/>
    </row>
    <row r="1758" spans="1:64">
      <c r="A1758" s="1847"/>
      <c r="B1758" s="1847"/>
      <c r="C1758" s="1817" t="str">
        <f>Input!$C$47</f>
        <v>Add for MA @ 40%</v>
      </c>
      <c r="D1758" s="1062">
        <f>D1757*Input!$D$47</f>
        <v>0</v>
      </c>
      <c r="E1758" s="1062">
        <f>E1757*Input!$D$47</f>
        <v>57.2</v>
      </c>
      <c r="F1758" s="1062">
        <f>F1757*Input!$D$47</f>
        <v>114.4</v>
      </c>
      <c r="G1758" s="1062">
        <f>G1757*Input!$D$47</f>
        <v>171.60000000000002</v>
      </c>
      <c r="H1758" s="1062">
        <f>H1757*Input!$D$47</f>
        <v>228.8</v>
      </c>
      <c r="I1758" s="1062">
        <f>I1757*Input!$D$47</f>
        <v>286</v>
      </c>
      <c r="J1758" s="1062"/>
      <c r="K1758" s="1062">
        <f>K1757*Input!$D$47</f>
        <v>400.40000000000003</v>
      </c>
      <c r="L1758" s="1062">
        <f>L1757*Input!$D$47</f>
        <v>457.6</v>
      </c>
      <c r="M1758" s="1066"/>
      <c r="N1758" s="1066"/>
      <c r="O1758" s="1066"/>
      <c r="P1758" s="1066"/>
      <c r="Q1758" s="1066"/>
      <c r="R1758" s="1066"/>
      <c r="S1758" s="1066"/>
      <c r="T1758" s="1066"/>
      <c r="U1758" s="1066"/>
      <c r="V1758" s="1066"/>
      <c r="W1758" s="1066"/>
      <c r="X1758" s="1066"/>
      <c r="Y1758" s="1066"/>
      <c r="Z1758" s="1066"/>
      <c r="AA1758" s="1066"/>
      <c r="AB1758" s="1066"/>
      <c r="AC1758" s="1066"/>
      <c r="AD1758" s="1066"/>
      <c r="AE1758" s="1066"/>
      <c r="AF1758" s="1066"/>
      <c r="AG1758" s="1066"/>
      <c r="AH1758" s="1066"/>
      <c r="AI1758" s="1066"/>
      <c r="AJ1758" s="1066"/>
      <c r="AK1758" s="1066"/>
      <c r="AL1758" s="1066"/>
      <c r="AM1758" s="1066"/>
      <c r="AN1758" s="1066"/>
      <c r="AO1758" s="1066"/>
      <c r="AP1758" s="1066"/>
      <c r="AQ1758" s="1066"/>
      <c r="AR1758" s="1066"/>
      <c r="AS1758" s="1066"/>
      <c r="AT1758" s="1066"/>
      <c r="AU1758" s="1066"/>
      <c r="AV1758" s="1066"/>
      <c r="AW1758" s="1066"/>
      <c r="AX1758" s="1066"/>
      <c r="AY1758" s="1066"/>
      <c r="AZ1758" s="1066"/>
      <c r="BA1758" s="1066"/>
      <c r="BB1758" s="1066"/>
      <c r="BC1758" s="1066"/>
      <c r="BD1758" s="1066"/>
      <c r="BE1758" s="1066"/>
      <c r="BF1758" s="1066"/>
      <c r="BG1758" s="1066"/>
      <c r="BH1758" s="1066"/>
      <c r="BI1758" s="1066"/>
      <c r="BJ1758" s="1066"/>
      <c r="BK1758" s="1066"/>
      <c r="BL1758" s="1066"/>
    </row>
    <row r="1759" spans="1:64">
      <c r="A1759" s="1847"/>
      <c r="B1759" s="1847"/>
      <c r="C1759" s="1816" t="s">
        <v>1032</v>
      </c>
      <c r="D1759" s="1062">
        <f t="shared" ref="D1759:L1759" si="414">SUM(D1753:D1758)</f>
        <v>8232.690003373913</v>
      </c>
      <c r="E1759" s="1062">
        <f t="shared" si="414"/>
        <v>8684.4000033739121</v>
      </c>
      <c r="F1759" s="1062">
        <f t="shared" si="414"/>
        <v>9136.1100033739112</v>
      </c>
      <c r="G1759" s="1062">
        <f t="shared" si="414"/>
        <v>9587.820003373914</v>
      </c>
      <c r="H1759" s="1062">
        <f t="shared" si="414"/>
        <v>10039.544003373912</v>
      </c>
      <c r="I1759" s="1062">
        <f t="shared" si="414"/>
        <v>10491.254003373913</v>
      </c>
      <c r="J1759" s="1062"/>
      <c r="K1759" s="1062">
        <f t="shared" si="414"/>
        <v>11394.618003373913</v>
      </c>
      <c r="L1759" s="1062">
        <f t="shared" si="414"/>
        <v>11846.328003373914</v>
      </c>
      <c r="M1759" s="1066"/>
      <c r="N1759" s="1066"/>
      <c r="O1759" s="1066"/>
      <c r="P1759" s="1066"/>
      <c r="Q1759" s="1066"/>
      <c r="R1759" s="1066"/>
      <c r="S1759" s="1066"/>
      <c r="T1759" s="1066"/>
      <c r="U1759" s="1066"/>
      <c r="V1759" s="1066"/>
      <c r="W1759" s="1066"/>
      <c r="X1759" s="1066"/>
      <c r="Y1759" s="1066"/>
      <c r="Z1759" s="1066"/>
      <c r="AA1759" s="1066"/>
      <c r="AB1759" s="1066"/>
      <c r="AC1759" s="1066"/>
      <c r="AD1759" s="1066"/>
      <c r="AE1759" s="1066"/>
      <c r="AF1759" s="1066"/>
      <c r="AG1759" s="1066"/>
      <c r="AH1759" s="1066"/>
      <c r="AI1759" s="1066"/>
      <c r="AJ1759" s="1066"/>
      <c r="AK1759" s="1066"/>
      <c r="AL1759" s="1066"/>
      <c r="AM1759" s="1066"/>
      <c r="AN1759" s="1066"/>
      <c r="AO1759" s="1066"/>
      <c r="AP1759" s="1066"/>
      <c r="AQ1759" s="1066"/>
      <c r="AR1759" s="1066"/>
      <c r="AS1759" s="1066"/>
      <c r="AT1759" s="1066"/>
      <c r="AU1759" s="1066"/>
      <c r="AV1759" s="1066"/>
      <c r="AW1759" s="1066"/>
      <c r="AX1759" s="1066"/>
      <c r="AY1759" s="1066"/>
      <c r="AZ1759" s="1066"/>
      <c r="BA1759" s="1066"/>
      <c r="BB1759" s="1066"/>
      <c r="BC1759" s="1066"/>
      <c r="BD1759" s="1066"/>
      <c r="BE1759" s="1066"/>
      <c r="BF1759" s="1066"/>
      <c r="BG1759" s="1066"/>
      <c r="BH1759" s="1066"/>
      <c r="BI1759" s="1066"/>
      <c r="BJ1759" s="1066"/>
      <c r="BK1759" s="1066"/>
      <c r="BL1759" s="1066"/>
    </row>
    <row r="1760" spans="1:64">
      <c r="A1760" s="1847"/>
      <c r="B1760" s="1847"/>
      <c r="C1760" s="1817" t="str">
        <f>Input!$C$48</f>
        <v>Overheads &amp; Contractors Profit @ 13.615%</v>
      </c>
      <c r="D1760" s="1847">
        <f>ROUND(D1759*Input!$D$48,2)</f>
        <v>1120.8800000000001</v>
      </c>
      <c r="E1760" s="1847">
        <f>ROUND(E1759*Input!$D$48,2)</f>
        <v>1182.3800000000001</v>
      </c>
      <c r="F1760" s="1847">
        <f>ROUND(F1759*Input!$D$48,2)</f>
        <v>1243.8800000000001</v>
      </c>
      <c r="G1760" s="1847">
        <f>ROUND(G1759*Input!$D$48,2)</f>
        <v>1305.3800000000001</v>
      </c>
      <c r="H1760" s="1847">
        <f>ROUND(H1759*Input!$D$48,2)</f>
        <v>1366.88</v>
      </c>
      <c r="I1760" s="1847">
        <f>ROUND(I1759*Input!$D$48,2)</f>
        <v>1428.38</v>
      </c>
      <c r="J1760" s="1847"/>
      <c r="K1760" s="1847">
        <f>ROUND(K1759*Input!$D$48,2)</f>
        <v>1551.38</v>
      </c>
      <c r="L1760" s="1847">
        <f>ROUND(L1759*Input!$D$48,2)</f>
        <v>1612.88</v>
      </c>
      <c r="M1760" s="1066"/>
      <c r="N1760" s="1066"/>
      <c r="O1760" s="1066"/>
      <c r="P1760" s="1066"/>
      <c r="Q1760" s="1066"/>
      <c r="R1760" s="1066"/>
      <c r="S1760" s="1066"/>
      <c r="T1760" s="1066"/>
      <c r="U1760" s="1066"/>
      <c r="V1760" s="1066"/>
      <c r="W1760" s="1066"/>
      <c r="X1760" s="1066"/>
      <c r="Y1760" s="1066"/>
      <c r="Z1760" s="1066"/>
      <c r="AA1760" s="1066"/>
      <c r="AB1760" s="1066"/>
      <c r="AC1760" s="1066"/>
      <c r="AD1760" s="1066"/>
      <c r="AE1760" s="1066"/>
      <c r="AF1760" s="1066"/>
      <c r="AG1760" s="1066"/>
      <c r="AH1760" s="1066"/>
      <c r="AI1760" s="1066"/>
      <c r="AJ1760" s="1066"/>
      <c r="AK1760" s="1066"/>
      <c r="AL1760" s="1066"/>
      <c r="AM1760" s="1066"/>
      <c r="AN1760" s="1066"/>
      <c r="AO1760" s="1066"/>
      <c r="AP1760" s="1066"/>
      <c r="AQ1760" s="1066"/>
      <c r="AR1760" s="1066"/>
      <c r="AS1760" s="1066"/>
      <c r="AT1760" s="1066"/>
      <c r="AU1760" s="1066"/>
      <c r="AV1760" s="1066"/>
      <c r="AW1760" s="1066"/>
      <c r="AX1760" s="1066"/>
      <c r="AY1760" s="1066"/>
      <c r="AZ1760" s="1066"/>
      <c r="BA1760" s="1066"/>
      <c r="BB1760" s="1066"/>
      <c r="BC1760" s="1066"/>
      <c r="BD1760" s="1066"/>
      <c r="BE1760" s="1066"/>
      <c r="BF1760" s="1066"/>
      <c r="BG1760" s="1066"/>
      <c r="BH1760" s="1066"/>
      <c r="BI1760" s="1066"/>
      <c r="BJ1760" s="1066"/>
      <c r="BK1760" s="1066"/>
      <c r="BL1760" s="1066"/>
    </row>
    <row r="1761" spans="1:64">
      <c r="A1761" s="1840"/>
      <c r="B1761" s="1840"/>
      <c r="C1761" s="1088" t="s">
        <v>1032</v>
      </c>
      <c r="D1761" s="1017">
        <f t="shared" ref="D1761:L1761" si="415">SUM(D1759:D1760)</f>
        <v>9353.5700033739122</v>
      </c>
      <c r="E1761" s="1017">
        <f t="shared" si="415"/>
        <v>9866.7800033739113</v>
      </c>
      <c r="F1761" s="1017">
        <f t="shared" si="415"/>
        <v>10379.99000337391</v>
      </c>
      <c r="G1761" s="1017">
        <f t="shared" si="415"/>
        <v>10893.200003373913</v>
      </c>
      <c r="H1761" s="1017">
        <f t="shared" si="415"/>
        <v>11406.424003373912</v>
      </c>
      <c r="I1761" s="1017">
        <f t="shared" si="415"/>
        <v>11919.634003373914</v>
      </c>
      <c r="J1761" s="1017"/>
      <c r="K1761" s="1017">
        <f t="shared" si="415"/>
        <v>12945.998003373912</v>
      </c>
      <c r="L1761" s="1017">
        <f t="shared" si="415"/>
        <v>13459.208003373915</v>
      </c>
      <c r="M1761" s="1006"/>
      <c r="N1761" s="1006"/>
      <c r="O1761" s="1006"/>
      <c r="P1761" s="1006"/>
      <c r="Q1761" s="1006"/>
      <c r="R1761" s="1006"/>
      <c r="S1761" s="1006"/>
      <c r="T1761" s="1006"/>
      <c r="U1761" s="1006"/>
      <c r="V1761" s="1006"/>
      <c r="W1761" s="1006"/>
      <c r="X1761" s="1006"/>
      <c r="Y1761" s="1006"/>
      <c r="Z1761" s="1006"/>
      <c r="AA1761" s="1006"/>
      <c r="AB1761" s="1006"/>
      <c r="AC1761" s="1006"/>
      <c r="AD1761" s="1006"/>
      <c r="AE1761" s="1006"/>
      <c r="AF1761" s="1006"/>
      <c r="AG1761" s="1006"/>
      <c r="AH1761" s="1006"/>
      <c r="AI1761" s="1006"/>
      <c r="AJ1761" s="1006"/>
      <c r="AK1761" s="1006"/>
      <c r="AL1761" s="1006"/>
      <c r="AM1761" s="1006"/>
      <c r="AN1761" s="1006"/>
      <c r="AO1761" s="1006"/>
      <c r="AP1761" s="1006"/>
      <c r="AQ1761" s="1006"/>
      <c r="AR1761" s="1006"/>
      <c r="AS1761" s="1006"/>
      <c r="AT1761" s="1006"/>
      <c r="AU1761" s="1006"/>
      <c r="AV1761" s="1006"/>
      <c r="AW1761" s="1006"/>
      <c r="AX1761" s="1006"/>
      <c r="AY1761" s="1006"/>
      <c r="AZ1761" s="1006"/>
      <c r="BA1761" s="1006"/>
      <c r="BB1761" s="1006"/>
      <c r="BC1761" s="1006"/>
      <c r="BD1761" s="1006"/>
      <c r="BE1761" s="1006"/>
      <c r="BF1761" s="1006"/>
      <c r="BG1761" s="1006"/>
      <c r="BH1761" s="1006"/>
      <c r="BI1761" s="1006"/>
      <c r="BJ1761" s="1006"/>
      <c r="BK1761" s="1006"/>
      <c r="BL1761" s="1006"/>
    </row>
    <row r="1762" spans="1:64">
      <c r="A1762" s="1023"/>
      <c r="B1762" s="1023"/>
      <c r="C1762" s="1118" t="s">
        <v>1034</v>
      </c>
      <c r="D1762" s="999">
        <f t="shared" ref="D1762:L1762" si="416">ROUND(D1761,0)</f>
        <v>9354</v>
      </c>
      <c r="E1762" s="999">
        <f t="shared" si="416"/>
        <v>9867</v>
      </c>
      <c r="F1762" s="999">
        <f t="shared" si="416"/>
        <v>10380</v>
      </c>
      <c r="G1762" s="999">
        <f t="shared" si="416"/>
        <v>10893</v>
      </c>
      <c r="H1762" s="999">
        <f t="shared" si="416"/>
        <v>11406</v>
      </c>
      <c r="I1762" s="999">
        <f t="shared" si="416"/>
        <v>11920</v>
      </c>
      <c r="J1762" s="999"/>
      <c r="K1762" s="999">
        <f t="shared" si="416"/>
        <v>12946</v>
      </c>
      <c r="L1762" s="999">
        <f t="shared" si="416"/>
        <v>13459</v>
      </c>
      <c r="M1762" s="997"/>
      <c r="N1762" s="997"/>
      <c r="O1762" s="997"/>
      <c r="P1762" s="997"/>
      <c r="Q1762" s="997"/>
      <c r="R1762" s="997"/>
      <c r="S1762" s="997"/>
      <c r="T1762" s="997"/>
      <c r="U1762" s="997"/>
      <c r="V1762" s="997"/>
      <c r="W1762" s="997"/>
      <c r="X1762" s="997"/>
      <c r="Y1762" s="997"/>
      <c r="Z1762" s="997"/>
      <c r="AA1762" s="997"/>
      <c r="AB1762" s="997"/>
      <c r="AC1762" s="997"/>
      <c r="AD1762" s="997"/>
      <c r="AE1762" s="997"/>
      <c r="AF1762" s="997"/>
      <c r="AG1762" s="997"/>
      <c r="AH1762" s="997"/>
      <c r="AI1762" s="997"/>
      <c r="AJ1762" s="997"/>
      <c r="AK1762" s="997"/>
      <c r="AL1762" s="997"/>
      <c r="AM1762" s="997"/>
      <c r="AN1762" s="997"/>
      <c r="AO1762" s="997"/>
      <c r="AP1762" s="997"/>
      <c r="AQ1762" s="997"/>
      <c r="AR1762" s="997"/>
      <c r="AS1762" s="997"/>
      <c r="AT1762" s="997"/>
      <c r="AU1762" s="997"/>
      <c r="AV1762" s="997"/>
      <c r="AW1762" s="997"/>
      <c r="AX1762" s="997"/>
      <c r="AY1762" s="997"/>
      <c r="AZ1762" s="997"/>
      <c r="BA1762" s="997"/>
      <c r="BB1762" s="997"/>
      <c r="BC1762" s="997"/>
      <c r="BD1762" s="997"/>
      <c r="BE1762" s="997"/>
      <c r="BF1762" s="997"/>
      <c r="BG1762" s="997"/>
      <c r="BH1762" s="997"/>
      <c r="BI1762" s="997"/>
      <c r="BJ1762" s="997"/>
      <c r="BK1762" s="997"/>
      <c r="BL1762" s="997"/>
    </row>
    <row r="1763" spans="1:64">
      <c r="A1763" s="1823"/>
      <c r="B1763" s="1068"/>
      <c r="C1763" s="1817"/>
      <c r="D1763" s="1161"/>
      <c r="E1763" s="1161"/>
      <c r="F1763" s="1162"/>
      <c r="G1763" s="1105"/>
      <c r="H1763" s="1161"/>
      <c r="I1763" s="1080"/>
      <c r="J1763" s="1846"/>
      <c r="K1763" s="1846"/>
      <c r="L1763" s="1846"/>
    </row>
    <row r="1764" spans="1:64" ht="103.7" customHeight="1">
      <c r="A1764" s="2047">
        <f>A1730+1</f>
        <v>25</v>
      </c>
      <c r="B1764" s="2047"/>
      <c r="C1764" s="2039" t="s">
        <v>3591</v>
      </c>
      <c r="D1764" s="2040"/>
      <c r="E1764" s="2040"/>
      <c r="F1764" s="2040"/>
      <c r="G1764" s="2040"/>
      <c r="H1764" s="2040"/>
      <c r="I1764" s="2041"/>
      <c r="J1764" s="1846"/>
      <c r="K1764" s="1846"/>
      <c r="L1764" s="1846"/>
    </row>
    <row r="1765" spans="1:64">
      <c r="A1765" s="1823"/>
      <c r="B1765" s="1068"/>
      <c r="C1765" s="1049" t="s">
        <v>1319</v>
      </c>
      <c r="D1765" s="1846"/>
      <c r="E1765" s="1846"/>
      <c r="F1765" s="1068"/>
      <c r="G1765" s="1846"/>
      <c r="H1765" s="1846"/>
      <c r="I1765" s="1021"/>
      <c r="J1765" s="1846"/>
      <c r="K1765" s="1846"/>
      <c r="L1765" s="1846"/>
    </row>
    <row r="1766" spans="1:64">
      <c r="A1766" s="1823"/>
      <c r="B1766" s="1068"/>
      <c r="C1766" s="1846" t="s">
        <v>1320</v>
      </c>
      <c r="D1766" s="1846"/>
      <c r="E1766" s="1846"/>
      <c r="F1766" s="1068"/>
      <c r="G1766" s="1846"/>
      <c r="H1766" s="1846"/>
      <c r="I1766" s="1021"/>
      <c r="J1766" s="1846"/>
      <c r="K1766" s="1846"/>
      <c r="L1766" s="1846"/>
    </row>
    <row r="1767" spans="1:64">
      <c r="A1767" s="1823"/>
      <c r="B1767" s="1068"/>
      <c r="C1767" s="1816" t="s">
        <v>1139</v>
      </c>
      <c r="D1767" s="1045"/>
      <c r="E1767" s="1044"/>
      <c r="F1767" s="1001"/>
      <c r="G1767" s="1015"/>
      <c r="H1767" s="1050"/>
      <c r="I1767" s="1030"/>
      <c r="J1767" s="1846"/>
      <c r="K1767" s="1846"/>
      <c r="L1767" s="1846"/>
    </row>
    <row r="1768" spans="1:64">
      <c r="A1768" s="1823"/>
      <c r="B1768" s="1068"/>
      <c r="C1768" s="1817" t="s">
        <v>1310</v>
      </c>
      <c r="D1768" s="1053">
        <v>512</v>
      </c>
      <c r="E1768" s="1052" t="s">
        <v>36</v>
      </c>
      <c r="F1768" s="1030">
        <f>LEAD!$N$15</f>
        <v>9478.01</v>
      </c>
      <c r="G1768" s="1144">
        <v>1000</v>
      </c>
      <c r="H1768" s="1054" t="s">
        <v>36</v>
      </c>
      <c r="I1768" s="1030">
        <f t="shared" ref="I1768:I1770" si="417">IF(G1768="",D1768*F1768,(D1768*F1768/G1768))</f>
        <v>4852.7411199999997</v>
      </c>
      <c r="J1768" s="1846"/>
      <c r="K1768" s="1846"/>
      <c r="L1768" s="1846"/>
    </row>
    <row r="1769" spans="1:64">
      <c r="A1769" s="1823"/>
      <c r="B1769" s="1068"/>
      <c r="C1769" s="1846" t="s">
        <v>889</v>
      </c>
      <c r="D1769" s="1034">
        <v>72</v>
      </c>
      <c r="E1769" s="1044" t="s">
        <v>1110</v>
      </c>
      <c r="F1769" s="1001">
        <f>LEAD!$N$6</f>
        <v>5200</v>
      </c>
      <c r="G1769" s="1015">
        <v>1000</v>
      </c>
      <c r="H1769" s="1050" t="str">
        <f t="shared" ref="H1769:H1770" si="418">IF(E1769="","",IF(E1769="No.","Each",IF(E1769="Nos.","Each",E1769)))</f>
        <v>Kgs</v>
      </c>
      <c r="I1769" s="1030">
        <f t="shared" si="417"/>
        <v>374.4</v>
      </c>
      <c r="J1769" s="1846"/>
      <c r="K1769" s="1846"/>
      <c r="L1769" s="1846"/>
    </row>
    <row r="1770" spans="1:64">
      <c r="A1770" s="1823"/>
      <c r="B1770" s="1068"/>
      <c r="C1770" s="1817" t="s">
        <v>1141</v>
      </c>
      <c r="D1770" s="1034">
        <v>0.2</v>
      </c>
      <c r="E1770" s="1044" t="s">
        <v>1315</v>
      </c>
      <c r="F1770" s="1001">
        <f>LEAD!$N$13</f>
        <v>2453.91</v>
      </c>
      <c r="G1770" s="1015">
        <v>1</v>
      </c>
      <c r="H1770" s="1050" t="str">
        <f t="shared" si="418"/>
        <v>cu.m.</v>
      </c>
      <c r="I1770" s="1030">
        <f t="shared" si="417"/>
        <v>490.78199999999998</v>
      </c>
      <c r="J1770" s="1846"/>
      <c r="K1770" s="1846"/>
      <c r="L1770" s="1846"/>
    </row>
    <row r="1771" spans="1:64">
      <c r="A1771" s="1823"/>
      <c r="B1771" s="1068"/>
      <c r="C1771" s="1816" t="s">
        <v>1172</v>
      </c>
      <c r="D1771" s="1034"/>
      <c r="E1771" s="1044"/>
      <c r="F1771" s="1001"/>
      <c r="G1771" s="1015"/>
      <c r="H1771" s="1050"/>
      <c r="I1771" s="1030"/>
      <c r="J1771" s="1846"/>
      <c r="K1771" s="1846"/>
      <c r="L1771" s="1846"/>
    </row>
    <row r="1772" spans="1:64">
      <c r="A1772" s="1823"/>
      <c r="B1772" s="1068"/>
      <c r="C1772" s="1817" t="s">
        <v>1147</v>
      </c>
      <c r="D1772" s="1000">
        <v>0.6</v>
      </c>
      <c r="E1772" s="1044" t="s">
        <v>36</v>
      </c>
      <c r="F1772" s="1001">
        <f>'Civil-SOR'!$G$293</f>
        <v>580</v>
      </c>
      <c r="G1772" s="1015">
        <v>1</v>
      </c>
      <c r="H1772" s="1050" t="str">
        <f t="shared" ref="H1772:H1774" si="419">IF(E1772="","",IF(E1772="No.","Each",IF(E1772="Nos.","Each",E1772)))</f>
        <v>Each</v>
      </c>
      <c r="I1772" s="1030">
        <f t="shared" ref="I1772:I1776" si="420">IF(G1772="",D1772*F1772,(D1772*F1772/G1772))</f>
        <v>348</v>
      </c>
      <c r="J1772" s="1846"/>
      <c r="K1772" s="1846"/>
      <c r="L1772" s="1846"/>
    </row>
    <row r="1773" spans="1:64">
      <c r="A1773" s="1823"/>
      <c r="B1773" s="1068"/>
      <c r="C1773" s="1817" t="s">
        <v>1062</v>
      </c>
      <c r="D1773" s="1000">
        <v>0.6</v>
      </c>
      <c r="E1773" s="1044" t="s">
        <v>36</v>
      </c>
      <c r="F1773" s="1001">
        <f>'Civil-SOR'!$G$302</f>
        <v>550</v>
      </c>
      <c r="G1773" s="1015">
        <v>1</v>
      </c>
      <c r="H1773" s="1050" t="str">
        <f t="shared" si="419"/>
        <v>Each</v>
      </c>
      <c r="I1773" s="1030">
        <f t="shared" si="420"/>
        <v>330</v>
      </c>
      <c r="J1773" s="1846"/>
      <c r="K1773" s="1846"/>
      <c r="L1773" s="1846"/>
    </row>
    <row r="1774" spans="1:64">
      <c r="A1774" s="1823"/>
      <c r="B1774" s="1068"/>
      <c r="C1774" s="1817" t="s">
        <v>1166</v>
      </c>
      <c r="D1774" s="1000">
        <v>2.75</v>
      </c>
      <c r="E1774" s="1044" t="s">
        <v>36</v>
      </c>
      <c r="F1774" s="1001">
        <f>'Civil-SOR'!$G$307</f>
        <v>520</v>
      </c>
      <c r="G1774" s="1015">
        <v>1</v>
      </c>
      <c r="H1774" s="1050" t="str">
        <f t="shared" si="419"/>
        <v>Each</v>
      </c>
      <c r="I1774" s="1030">
        <f t="shared" si="420"/>
        <v>1430</v>
      </c>
      <c r="J1774" s="1846"/>
      <c r="K1774" s="1846"/>
      <c r="L1774" s="1846"/>
    </row>
    <row r="1775" spans="1:64">
      <c r="A1775" s="1823"/>
      <c r="B1775" s="1068"/>
      <c r="C1775" s="1817" t="str">
        <f>Input!$C$47</f>
        <v>Add for MA @ 40%</v>
      </c>
      <c r="D1775" s="1158">
        <f>Input!$D$47</f>
        <v>0.4</v>
      </c>
      <c r="E1775" s="1094"/>
      <c r="F1775" s="1001">
        <f>SUM(I1772:I1774)</f>
        <v>2108</v>
      </c>
      <c r="G1775" s="1020"/>
      <c r="H1775" s="1057"/>
      <c r="I1775" s="1030">
        <f t="shared" si="420"/>
        <v>843.2</v>
      </c>
      <c r="J1775" s="1846"/>
      <c r="K1775" s="1846"/>
      <c r="L1775" s="1846"/>
    </row>
    <row r="1776" spans="1:64">
      <c r="A1776" s="1823"/>
      <c r="B1776" s="1068"/>
      <c r="C1776" s="1817" t="s">
        <v>1312</v>
      </c>
      <c r="D1776" s="1034">
        <v>0.01</v>
      </c>
      <c r="E1776" s="1044"/>
      <c r="F1776" s="1001">
        <f>SUM(I1768:I1775)</f>
        <v>8669.1231200000002</v>
      </c>
      <c r="G1776" s="1015"/>
      <c r="H1776" s="1050"/>
      <c r="I1776" s="1030">
        <f t="shared" si="420"/>
        <v>86.691231200000004</v>
      </c>
      <c r="J1776" s="1846"/>
      <c r="K1776" s="1846"/>
      <c r="L1776" s="1846"/>
    </row>
    <row r="1777" spans="1:64">
      <c r="A1777" s="1023"/>
      <c r="B1777" s="1023"/>
      <c r="C1777" s="1088" t="s">
        <v>1044</v>
      </c>
      <c r="D1777" s="1089"/>
      <c r="E1777" s="1090"/>
      <c r="F1777" s="994"/>
      <c r="G1777" s="1091"/>
      <c r="H1777" s="1159"/>
      <c r="I1777" s="1826">
        <f>SUM(I1768:I1776)</f>
        <v>8755.8143512000006</v>
      </c>
      <c r="J1777" s="996"/>
      <c r="K1777" s="996"/>
      <c r="L1777" s="996"/>
      <c r="M1777" s="997"/>
      <c r="N1777" s="997"/>
      <c r="O1777" s="997"/>
      <c r="P1777" s="997"/>
      <c r="Q1777" s="997"/>
      <c r="R1777" s="997"/>
      <c r="S1777" s="997"/>
      <c r="T1777" s="997"/>
      <c r="U1777" s="997"/>
      <c r="V1777" s="997"/>
      <c r="W1777" s="997"/>
      <c r="X1777" s="997"/>
      <c r="Y1777" s="997"/>
      <c r="Z1777" s="997"/>
      <c r="AA1777" s="997"/>
      <c r="AB1777" s="997"/>
      <c r="AC1777" s="997"/>
      <c r="AD1777" s="997"/>
      <c r="AE1777" s="997"/>
      <c r="AF1777" s="997"/>
      <c r="AG1777" s="997"/>
      <c r="AH1777" s="997"/>
      <c r="AI1777" s="997"/>
      <c r="AJ1777" s="997"/>
      <c r="AK1777" s="997"/>
      <c r="AL1777" s="997"/>
      <c r="AM1777" s="997"/>
      <c r="AN1777" s="997"/>
      <c r="AO1777" s="997"/>
      <c r="AP1777" s="997"/>
      <c r="AQ1777" s="997"/>
      <c r="AR1777" s="997"/>
      <c r="AS1777" s="997"/>
      <c r="AT1777" s="997"/>
      <c r="AU1777" s="997"/>
      <c r="AV1777" s="997"/>
      <c r="AW1777" s="997"/>
      <c r="AX1777" s="997"/>
      <c r="AY1777" s="997"/>
      <c r="AZ1777" s="997"/>
      <c r="BA1777" s="997"/>
      <c r="BB1777" s="997"/>
      <c r="BC1777" s="997"/>
      <c r="BD1777" s="997"/>
      <c r="BE1777" s="997"/>
      <c r="BF1777" s="997"/>
      <c r="BG1777" s="997"/>
      <c r="BH1777" s="997"/>
      <c r="BI1777" s="997"/>
      <c r="BJ1777" s="997"/>
      <c r="BK1777" s="997"/>
      <c r="BL1777" s="997"/>
    </row>
    <row r="1778" spans="1:64">
      <c r="A1778" s="1023"/>
      <c r="B1778" s="1023"/>
      <c r="C1778" s="1088" t="s">
        <v>1045</v>
      </c>
      <c r="D1778" s="1089"/>
      <c r="E1778" s="1090"/>
      <c r="F1778" s="994"/>
      <c r="G1778" s="1091"/>
      <c r="H1778" s="1159"/>
      <c r="I1778" s="1826">
        <f>ROUND(I1777/10,2)</f>
        <v>875.58</v>
      </c>
      <c r="J1778" s="996"/>
      <c r="K1778" s="996"/>
      <c r="L1778" s="996"/>
      <c r="M1778" s="997"/>
      <c r="N1778" s="997"/>
      <c r="O1778" s="997"/>
      <c r="P1778" s="997"/>
      <c r="Q1778" s="997"/>
      <c r="R1778" s="997"/>
      <c r="S1778" s="997"/>
      <c r="T1778" s="997"/>
      <c r="U1778" s="997"/>
      <c r="V1778" s="997"/>
      <c r="W1778" s="997"/>
      <c r="X1778" s="997"/>
      <c r="Y1778" s="997"/>
      <c r="Z1778" s="997"/>
      <c r="AA1778" s="997"/>
      <c r="AB1778" s="997"/>
      <c r="AC1778" s="997"/>
      <c r="AD1778" s="997"/>
      <c r="AE1778" s="997"/>
      <c r="AF1778" s="997"/>
      <c r="AG1778" s="997"/>
      <c r="AH1778" s="997"/>
      <c r="AI1778" s="997"/>
      <c r="AJ1778" s="997"/>
      <c r="AK1778" s="997"/>
      <c r="AL1778" s="997"/>
      <c r="AM1778" s="997"/>
      <c r="AN1778" s="997"/>
      <c r="AO1778" s="997"/>
      <c r="AP1778" s="997"/>
      <c r="AQ1778" s="997"/>
      <c r="AR1778" s="997"/>
      <c r="AS1778" s="997"/>
      <c r="AT1778" s="997"/>
      <c r="AU1778" s="997"/>
      <c r="AV1778" s="997"/>
      <c r="AW1778" s="997"/>
      <c r="AX1778" s="997"/>
      <c r="AY1778" s="997"/>
      <c r="AZ1778" s="997"/>
      <c r="BA1778" s="997"/>
      <c r="BB1778" s="997"/>
      <c r="BC1778" s="997"/>
      <c r="BD1778" s="997"/>
      <c r="BE1778" s="997"/>
      <c r="BF1778" s="997"/>
      <c r="BG1778" s="997"/>
      <c r="BH1778" s="997"/>
      <c r="BI1778" s="997"/>
      <c r="BJ1778" s="997"/>
      <c r="BK1778" s="997"/>
      <c r="BL1778" s="997"/>
    </row>
    <row r="1779" spans="1:64">
      <c r="A1779" s="1823"/>
      <c r="B1779" s="1068"/>
      <c r="C1779" s="1816"/>
      <c r="D1779" s="1000"/>
      <c r="E1779" s="1044"/>
      <c r="F1779" s="1001"/>
      <c r="G1779" s="1015"/>
      <c r="H1779" s="1047"/>
      <c r="I1779" s="1011"/>
      <c r="J1779" s="1846"/>
      <c r="K1779" s="1846"/>
      <c r="L1779" s="1846"/>
    </row>
    <row r="1780" spans="1:64">
      <c r="A1780" s="1023"/>
      <c r="B1780" s="1023"/>
      <c r="C1780" s="1088" t="s">
        <v>1217</v>
      </c>
      <c r="D1780" s="1826" t="s">
        <v>1223</v>
      </c>
      <c r="E1780" s="999" t="s">
        <v>1207</v>
      </c>
      <c r="F1780" s="998" t="s">
        <v>1208</v>
      </c>
      <c r="G1780" s="1826" t="s">
        <v>1291</v>
      </c>
      <c r="H1780" s="1826" t="s">
        <v>1292</v>
      </c>
      <c r="I1780" s="1826" t="s">
        <v>1293</v>
      </c>
      <c r="J1780" s="1102"/>
      <c r="K1780" s="1102" t="s">
        <v>1213</v>
      </c>
      <c r="L1780" s="1102" t="s">
        <v>1214</v>
      </c>
      <c r="M1780" s="997"/>
      <c r="N1780" s="997"/>
      <c r="O1780" s="997"/>
      <c r="P1780" s="997"/>
      <c r="Q1780" s="997"/>
      <c r="R1780" s="997"/>
      <c r="S1780" s="997"/>
      <c r="T1780" s="997"/>
      <c r="U1780" s="997"/>
      <c r="V1780" s="997"/>
      <c r="W1780" s="997"/>
      <c r="X1780" s="997"/>
      <c r="Y1780" s="997"/>
      <c r="Z1780" s="997"/>
      <c r="AA1780" s="997"/>
      <c r="AB1780" s="997"/>
      <c r="AC1780" s="997"/>
      <c r="AD1780" s="997"/>
      <c r="AE1780" s="997"/>
      <c r="AF1780" s="997"/>
      <c r="AG1780" s="997"/>
      <c r="AH1780" s="997"/>
      <c r="AI1780" s="997"/>
      <c r="AJ1780" s="997"/>
      <c r="AK1780" s="997"/>
      <c r="AL1780" s="997"/>
      <c r="AM1780" s="997"/>
      <c r="AN1780" s="997"/>
      <c r="AO1780" s="997"/>
      <c r="AP1780" s="997"/>
      <c r="AQ1780" s="997"/>
      <c r="AR1780" s="997"/>
      <c r="AS1780" s="997"/>
      <c r="AT1780" s="997"/>
      <c r="AU1780" s="997"/>
      <c r="AV1780" s="997"/>
      <c r="AW1780" s="997"/>
      <c r="AX1780" s="997"/>
      <c r="AY1780" s="997"/>
      <c r="AZ1780" s="997"/>
      <c r="BA1780" s="997"/>
      <c r="BB1780" s="997"/>
      <c r="BC1780" s="997"/>
      <c r="BD1780" s="997"/>
      <c r="BE1780" s="997"/>
      <c r="BF1780" s="997"/>
      <c r="BG1780" s="997"/>
      <c r="BH1780" s="997"/>
      <c r="BI1780" s="997"/>
      <c r="BJ1780" s="997"/>
      <c r="BK1780" s="997"/>
      <c r="BL1780" s="997"/>
    </row>
    <row r="1781" spans="1:64">
      <c r="A1781" s="1847"/>
      <c r="B1781" s="1847"/>
      <c r="C1781" s="1817" t="s">
        <v>1317</v>
      </c>
      <c r="D1781" s="1062">
        <f t="shared" ref="D1781:L1781" si="421">$I$1778</f>
        <v>875.58</v>
      </c>
      <c r="E1781" s="1062">
        <f t="shared" si="421"/>
        <v>875.58</v>
      </c>
      <c r="F1781" s="1062">
        <f t="shared" si="421"/>
        <v>875.58</v>
      </c>
      <c r="G1781" s="1062">
        <f t="shared" si="421"/>
        <v>875.58</v>
      </c>
      <c r="H1781" s="1062">
        <f t="shared" si="421"/>
        <v>875.58</v>
      </c>
      <c r="I1781" s="1062">
        <f t="shared" si="421"/>
        <v>875.58</v>
      </c>
      <c r="J1781" s="1062"/>
      <c r="K1781" s="1062">
        <f t="shared" si="421"/>
        <v>875.58</v>
      </c>
      <c r="L1781" s="1062">
        <f t="shared" si="421"/>
        <v>875.58</v>
      </c>
      <c r="M1781" s="1066"/>
      <c r="N1781" s="1066"/>
      <c r="O1781" s="1066"/>
      <c r="P1781" s="1066"/>
      <c r="Q1781" s="1066"/>
      <c r="R1781" s="1066"/>
      <c r="S1781" s="1066"/>
      <c r="T1781" s="1066"/>
      <c r="U1781" s="1066"/>
      <c r="V1781" s="1066"/>
      <c r="W1781" s="1066"/>
      <c r="X1781" s="1066"/>
      <c r="Y1781" s="1066"/>
      <c r="Z1781" s="1066"/>
      <c r="AA1781" s="1066"/>
      <c r="AB1781" s="1066"/>
      <c r="AC1781" s="1066"/>
      <c r="AD1781" s="1066"/>
      <c r="AE1781" s="1066"/>
      <c r="AF1781" s="1066"/>
      <c r="AG1781" s="1066"/>
      <c r="AH1781" s="1066"/>
      <c r="AI1781" s="1066"/>
      <c r="AJ1781" s="1066"/>
      <c r="AK1781" s="1066"/>
      <c r="AL1781" s="1066"/>
      <c r="AM1781" s="1066"/>
      <c r="AN1781" s="1066"/>
      <c r="AO1781" s="1066"/>
      <c r="AP1781" s="1066"/>
      <c r="AQ1781" s="1066"/>
      <c r="AR1781" s="1066"/>
      <c r="AS1781" s="1066"/>
      <c r="AT1781" s="1066"/>
      <c r="AU1781" s="1066"/>
      <c r="AV1781" s="1066"/>
      <c r="AW1781" s="1066"/>
      <c r="AX1781" s="1066"/>
      <c r="AY1781" s="1066"/>
      <c r="AZ1781" s="1066"/>
      <c r="BA1781" s="1066"/>
      <c r="BB1781" s="1066"/>
      <c r="BC1781" s="1066"/>
      <c r="BD1781" s="1066"/>
      <c r="BE1781" s="1066"/>
      <c r="BF1781" s="1066"/>
      <c r="BG1781" s="1066"/>
      <c r="BH1781" s="1066"/>
      <c r="BI1781" s="1066"/>
      <c r="BJ1781" s="1066"/>
      <c r="BK1781" s="1066"/>
      <c r="BL1781" s="1066"/>
    </row>
    <row r="1782" spans="1:64">
      <c r="A1782" s="1847"/>
      <c r="B1782" s="1847"/>
      <c r="C1782" s="1817" t="s">
        <v>1313</v>
      </c>
      <c r="D1782" s="1062">
        <f>'Civil-SOR'!$F$222</f>
        <v>11.66</v>
      </c>
      <c r="E1782" s="1062">
        <f>'Civil-SOR'!$F$223</f>
        <v>11.66</v>
      </c>
      <c r="F1782" s="1062">
        <f>'Civil-SOR'!$F$224</f>
        <v>11.66</v>
      </c>
      <c r="G1782" s="1062">
        <f>'Civil-SOR'!$F$225</f>
        <v>11.66</v>
      </c>
      <c r="H1782" s="1062">
        <f>'Civil-SOR'!$F$225</f>
        <v>11.66</v>
      </c>
      <c r="I1782" s="1062">
        <f>'Civil-SOR'!$F$225</f>
        <v>11.66</v>
      </c>
      <c r="J1782" s="1062"/>
      <c r="K1782" s="1062">
        <f>'Civil-SOR'!$F$225</f>
        <v>11.66</v>
      </c>
      <c r="L1782" s="1062">
        <f>'Civil-SOR'!$F$225</f>
        <v>11.66</v>
      </c>
      <c r="M1782" s="1066"/>
      <c r="N1782" s="1066"/>
      <c r="O1782" s="1066"/>
      <c r="P1782" s="1066"/>
      <c r="Q1782" s="1066"/>
      <c r="R1782" s="1066"/>
      <c r="S1782" s="1066"/>
      <c r="T1782" s="1066"/>
      <c r="U1782" s="1066"/>
      <c r="V1782" s="1066"/>
      <c r="W1782" s="1066"/>
      <c r="X1782" s="1066"/>
      <c r="Y1782" s="1066"/>
      <c r="Z1782" s="1066"/>
      <c r="AA1782" s="1066"/>
      <c r="AB1782" s="1066"/>
      <c r="AC1782" s="1066"/>
      <c r="AD1782" s="1066"/>
      <c r="AE1782" s="1066"/>
      <c r="AF1782" s="1066"/>
      <c r="AG1782" s="1066"/>
      <c r="AH1782" s="1066"/>
      <c r="AI1782" s="1066"/>
      <c r="AJ1782" s="1066"/>
      <c r="AK1782" s="1066"/>
      <c r="AL1782" s="1066"/>
      <c r="AM1782" s="1066"/>
      <c r="AN1782" s="1066"/>
      <c r="AO1782" s="1066"/>
      <c r="AP1782" s="1066"/>
      <c r="AQ1782" s="1066"/>
      <c r="AR1782" s="1066"/>
      <c r="AS1782" s="1066"/>
      <c r="AT1782" s="1066"/>
      <c r="AU1782" s="1066"/>
      <c r="AV1782" s="1066"/>
      <c r="AW1782" s="1066"/>
      <c r="AX1782" s="1066"/>
      <c r="AY1782" s="1066"/>
      <c r="AZ1782" s="1066"/>
      <c r="BA1782" s="1066"/>
      <c r="BB1782" s="1066"/>
      <c r="BC1782" s="1066"/>
      <c r="BD1782" s="1066"/>
      <c r="BE1782" s="1066"/>
      <c r="BF1782" s="1066"/>
      <c r="BG1782" s="1066"/>
      <c r="BH1782" s="1066"/>
      <c r="BI1782" s="1066"/>
      <c r="BJ1782" s="1066"/>
      <c r="BK1782" s="1066"/>
      <c r="BL1782" s="1066"/>
    </row>
    <row r="1783" spans="1:64">
      <c r="A1783" s="1847"/>
      <c r="B1783" s="1847"/>
      <c r="C1783" s="1817" t="s">
        <v>1314</v>
      </c>
      <c r="D1783" s="1062">
        <f>'Civil-SOR'!$G$222</f>
        <v>94.29</v>
      </c>
      <c r="E1783" s="1062">
        <f>'Civil-SOR'!$G$223</f>
        <v>135.61000000000001</v>
      </c>
      <c r="F1783" s="1062">
        <f>'Civil-SOR'!$G$224</f>
        <v>176.93</v>
      </c>
      <c r="G1783" s="1062">
        <f>'Civil-SOR'!$G$225</f>
        <v>218.25</v>
      </c>
      <c r="H1783" s="1062">
        <f>'Civil-SOR'!$G$226</f>
        <v>259.57</v>
      </c>
      <c r="I1783" s="1062">
        <f>'Civil-SOR'!$G$227</f>
        <v>300.89</v>
      </c>
      <c r="J1783" s="1062"/>
      <c r="K1783" s="1062">
        <f>'Civil-SOR'!$G$229</f>
        <v>383.52</v>
      </c>
      <c r="L1783" s="1062">
        <f>'Civil-SOR'!$G$230</f>
        <v>424.84</v>
      </c>
      <c r="M1783" s="1066"/>
      <c r="N1783" s="1066"/>
      <c r="O1783" s="1066"/>
      <c r="P1783" s="1066"/>
      <c r="Q1783" s="1066"/>
      <c r="R1783" s="1066"/>
      <c r="S1783" s="1066"/>
      <c r="T1783" s="1066"/>
      <c r="U1783" s="1066"/>
      <c r="V1783" s="1066"/>
      <c r="W1783" s="1066"/>
      <c r="X1783" s="1066"/>
      <c r="Y1783" s="1066"/>
      <c r="Z1783" s="1066"/>
      <c r="AA1783" s="1066"/>
      <c r="AB1783" s="1066"/>
      <c r="AC1783" s="1066"/>
      <c r="AD1783" s="1066"/>
      <c r="AE1783" s="1066"/>
      <c r="AF1783" s="1066"/>
      <c r="AG1783" s="1066"/>
      <c r="AH1783" s="1066"/>
      <c r="AI1783" s="1066"/>
      <c r="AJ1783" s="1066"/>
      <c r="AK1783" s="1066"/>
      <c r="AL1783" s="1066"/>
      <c r="AM1783" s="1066"/>
      <c r="AN1783" s="1066"/>
      <c r="AO1783" s="1066"/>
      <c r="AP1783" s="1066"/>
      <c r="AQ1783" s="1066"/>
      <c r="AR1783" s="1066"/>
      <c r="AS1783" s="1066"/>
      <c r="AT1783" s="1066"/>
      <c r="AU1783" s="1066"/>
      <c r="AV1783" s="1066"/>
      <c r="AW1783" s="1066"/>
      <c r="AX1783" s="1066"/>
      <c r="AY1783" s="1066"/>
      <c r="AZ1783" s="1066"/>
      <c r="BA1783" s="1066"/>
      <c r="BB1783" s="1066"/>
      <c r="BC1783" s="1066"/>
      <c r="BD1783" s="1066"/>
      <c r="BE1783" s="1066"/>
      <c r="BF1783" s="1066"/>
      <c r="BG1783" s="1066"/>
      <c r="BH1783" s="1066"/>
      <c r="BI1783" s="1066"/>
      <c r="BJ1783" s="1066"/>
      <c r="BK1783" s="1066"/>
      <c r="BL1783" s="1066"/>
    </row>
    <row r="1784" spans="1:64">
      <c r="A1784" s="1847"/>
      <c r="B1784" s="1847"/>
      <c r="C1784" s="1817" t="str">
        <f>Input!$C$47</f>
        <v>Add for MA @ 40%</v>
      </c>
      <c r="D1784" s="1062">
        <f>D1783*Input!$D$47</f>
        <v>37.716000000000001</v>
      </c>
      <c r="E1784" s="1062">
        <f>E1783*Input!$D$47</f>
        <v>54.244000000000007</v>
      </c>
      <c r="F1784" s="1062">
        <f>F1783*Input!$D$47</f>
        <v>70.772000000000006</v>
      </c>
      <c r="G1784" s="1062">
        <f>G1783*Input!$D$47</f>
        <v>87.300000000000011</v>
      </c>
      <c r="H1784" s="1062">
        <f>H1783*Input!$D$47</f>
        <v>103.828</v>
      </c>
      <c r="I1784" s="1062">
        <f>I1783*Input!$D$47</f>
        <v>120.35599999999999</v>
      </c>
      <c r="J1784" s="1062"/>
      <c r="K1784" s="1062">
        <f>K1783*Input!$D$47</f>
        <v>153.40799999999999</v>
      </c>
      <c r="L1784" s="1062">
        <f>L1783*Input!$D$47</f>
        <v>169.93600000000001</v>
      </c>
      <c r="M1784" s="1066"/>
      <c r="N1784" s="1066"/>
      <c r="O1784" s="1066"/>
      <c r="P1784" s="1066"/>
      <c r="Q1784" s="1066"/>
      <c r="R1784" s="1066"/>
      <c r="S1784" s="1066"/>
      <c r="T1784" s="1066"/>
      <c r="U1784" s="1066"/>
      <c r="V1784" s="1066"/>
      <c r="W1784" s="1066"/>
      <c r="X1784" s="1066"/>
      <c r="Y1784" s="1066"/>
      <c r="Z1784" s="1066"/>
      <c r="AA1784" s="1066"/>
      <c r="AB1784" s="1066"/>
      <c r="AC1784" s="1066"/>
      <c r="AD1784" s="1066"/>
      <c r="AE1784" s="1066"/>
      <c r="AF1784" s="1066"/>
      <c r="AG1784" s="1066"/>
      <c r="AH1784" s="1066"/>
      <c r="AI1784" s="1066"/>
      <c r="AJ1784" s="1066"/>
      <c r="AK1784" s="1066"/>
      <c r="AL1784" s="1066"/>
      <c r="AM1784" s="1066"/>
      <c r="AN1784" s="1066"/>
      <c r="AO1784" s="1066"/>
      <c r="AP1784" s="1066"/>
      <c r="AQ1784" s="1066"/>
      <c r="AR1784" s="1066"/>
      <c r="AS1784" s="1066"/>
      <c r="AT1784" s="1066"/>
      <c r="AU1784" s="1066"/>
      <c r="AV1784" s="1066"/>
      <c r="AW1784" s="1066"/>
      <c r="AX1784" s="1066"/>
      <c r="AY1784" s="1066"/>
      <c r="AZ1784" s="1066"/>
      <c r="BA1784" s="1066"/>
      <c r="BB1784" s="1066"/>
      <c r="BC1784" s="1066"/>
      <c r="BD1784" s="1066"/>
      <c r="BE1784" s="1066"/>
      <c r="BF1784" s="1066"/>
      <c r="BG1784" s="1066"/>
      <c r="BH1784" s="1066"/>
      <c r="BI1784" s="1066"/>
      <c r="BJ1784" s="1066"/>
      <c r="BK1784" s="1066"/>
      <c r="BL1784" s="1066"/>
    </row>
    <row r="1785" spans="1:64">
      <c r="A1785" s="1847"/>
      <c r="B1785" s="1847"/>
      <c r="C1785" s="1817" t="s">
        <v>1253</v>
      </c>
      <c r="D1785" s="1062">
        <v>0</v>
      </c>
      <c r="E1785" s="1062">
        <f>ROUND($F$1775/10*10%,2)</f>
        <v>21.08</v>
      </c>
      <c r="F1785" s="1062">
        <f>ROUND($F$1775/10*20%,2)</f>
        <v>42.16</v>
      </c>
      <c r="G1785" s="1062">
        <f>ROUND($F$1775/10*30%,2)</f>
        <v>63.24</v>
      </c>
      <c r="H1785" s="1062">
        <f>ROUND($F$1775/10*40%,2)</f>
        <v>84.32</v>
      </c>
      <c r="I1785" s="1062">
        <f>ROUND($F$1775/10*50%,2)</f>
        <v>105.4</v>
      </c>
      <c r="J1785" s="1062"/>
      <c r="K1785" s="1062">
        <f>ROUND($F$1775/10*70%,2)</f>
        <v>147.56</v>
      </c>
      <c r="L1785" s="1062">
        <f>ROUND($F$1775/10*80%,2)</f>
        <v>168.64</v>
      </c>
      <c r="M1785" s="1066"/>
      <c r="N1785" s="1066"/>
      <c r="O1785" s="1066"/>
      <c r="P1785" s="1066"/>
      <c r="Q1785" s="1066"/>
      <c r="R1785" s="1066"/>
      <c r="S1785" s="1066"/>
      <c r="T1785" s="1066"/>
      <c r="U1785" s="1066"/>
      <c r="V1785" s="1066"/>
      <c r="W1785" s="1066"/>
      <c r="X1785" s="1066"/>
      <c r="Y1785" s="1066"/>
      <c r="Z1785" s="1066"/>
      <c r="AA1785" s="1066"/>
      <c r="AB1785" s="1066"/>
      <c r="AC1785" s="1066"/>
      <c r="AD1785" s="1066"/>
      <c r="AE1785" s="1066"/>
      <c r="AF1785" s="1066"/>
      <c r="AG1785" s="1066"/>
      <c r="AH1785" s="1066"/>
      <c r="AI1785" s="1066"/>
      <c r="AJ1785" s="1066"/>
      <c r="AK1785" s="1066"/>
      <c r="AL1785" s="1066"/>
      <c r="AM1785" s="1066"/>
      <c r="AN1785" s="1066"/>
      <c r="AO1785" s="1066"/>
      <c r="AP1785" s="1066"/>
      <c r="AQ1785" s="1066"/>
      <c r="AR1785" s="1066"/>
      <c r="AS1785" s="1066"/>
      <c r="AT1785" s="1066"/>
      <c r="AU1785" s="1066"/>
      <c r="AV1785" s="1066"/>
      <c r="AW1785" s="1066"/>
      <c r="AX1785" s="1066"/>
      <c r="AY1785" s="1066"/>
      <c r="AZ1785" s="1066"/>
      <c r="BA1785" s="1066"/>
      <c r="BB1785" s="1066"/>
      <c r="BC1785" s="1066"/>
      <c r="BD1785" s="1066"/>
      <c r="BE1785" s="1066"/>
      <c r="BF1785" s="1066"/>
      <c r="BG1785" s="1066"/>
      <c r="BH1785" s="1066"/>
      <c r="BI1785" s="1066"/>
      <c r="BJ1785" s="1066"/>
      <c r="BK1785" s="1066"/>
      <c r="BL1785" s="1066"/>
    </row>
    <row r="1786" spans="1:64">
      <c r="A1786" s="1847"/>
      <c r="B1786" s="1847"/>
      <c r="C1786" s="1817" t="str">
        <f>Input!C47</f>
        <v>Add for MA @ 40%</v>
      </c>
      <c r="D1786" s="1062">
        <f>D1785*Input!$D$47</f>
        <v>0</v>
      </c>
      <c r="E1786" s="1062">
        <f>E1785*Input!$D$47</f>
        <v>8.4320000000000004</v>
      </c>
      <c r="F1786" s="1062">
        <f>F1785*Input!$D$47</f>
        <v>16.864000000000001</v>
      </c>
      <c r="G1786" s="1062">
        <f>G1785*Input!$D$47</f>
        <v>25.296000000000003</v>
      </c>
      <c r="H1786" s="1062">
        <f>H1785*Input!$D$47</f>
        <v>33.728000000000002</v>
      </c>
      <c r="I1786" s="1062">
        <f>I1785*Input!$D$47</f>
        <v>42.160000000000004</v>
      </c>
      <c r="J1786" s="1062"/>
      <c r="K1786" s="1062">
        <f>K1785*Input!$D$47</f>
        <v>59.024000000000001</v>
      </c>
      <c r="L1786" s="1062">
        <f>L1785*Input!$D$47</f>
        <v>67.456000000000003</v>
      </c>
      <c r="M1786" s="1066"/>
      <c r="N1786" s="1066"/>
      <c r="O1786" s="1066"/>
      <c r="P1786" s="1066"/>
      <c r="Q1786" s="1066"/>
      <c r="R1786" s="1066"/>
      <c r="S1786" s="1066"/>
      <c r="T1786" s="1066"/>
      <c r="U1786" s="1066"/>
      <c r="V1786" s="1066"/>
      <c r="W1786" s="1066"/>
      <c r="X1786" s="1066"/>
      <c r="Y1786" s="1066"/>
      <c r="Z1786" s="1066"/>
      <c r="AA1786" s="1066"/>
      <c r="AB1786" s="1066"/>
      <c r="AC1786" s="1066"/>
      <c r="AD1786" s="1066"/>
      <c r="AE1786" s="1066"/>
      <c r="AF1786" s="1066"/>
      <c r="AG1786" s="1066"/>
      <c r="AH1786" s="1066"/>
      <c r="AI1786" s="1066"/>
      <c r="AJ1786" s="1066"/>
      <c r="AK1786" s="1066"/>
      <c r="AL1786" s="1066"/>
      <c r="AM1786" s="1066"/>
      <c r="AN1786" s="1066"/>
      <c r="AO1786" s="1066"/>
      <c r="AP1786" s="1066"/>
      <c r="AQ1786" s="1066"/>
      <c r="AR1786" s="1066"/>
      <c r="AS1786" s="1066"/>
      <c r="AT1786" s="1066"/>
      <c r="AU1786" s="1066"/>
      <c r="AV1786" s="1066"/>
      <c r="AW1786" s="1066"/>
      <c r="AX1786" s="1066"/>
      <c r="AY1786" s="1066"/>
      <c r="AZ1786" s="1066"/>
      <c r="BA1786" s="1066"/>
      <c r="BB1786" s="1066"/>
      <c r="BC1786" s="1066"/>
      <c r="BD1786" s="1066"/>
      <c r="BE1786" s="1066"/>
      <c r="BF1786" s="1066"/>
      <c r="BG1786" s="1066"/>
      <c r="BH1786" s="1066"/>
      <c r="BI1786" s="1066"/>
      <c r="BJ1786" s="1066"/>
      <c r="BK1786" s="1066"/>
      <c r="BL1786" s="1066"/>
    </row>
    <row r="1787" spans="1:64">
      <c r="A1787" s="1847"/>
      <c r="B1787" s="1847"/>
      <c r="C1787" s="1816" t="s">
        <v>1045</v>
      </c>
      <c r="D1787" s="1065">
        <f t="shared" ref="D1787:L1787" si="422">SUM(D1781:D1786)</f>
        <v>1019.246</v>
      </c>
      <c r="E1787" s="1065">
        <f t="shared" si="422"/>
        <v>1106.606</v>
      </c>
      <c r="F1787" s="1065">
        <f t="shared" si="422"/>
        <v>1193.9660000000001</v>
      </c>
      <c r="G1787" s="1065">
        <f t="shared" si="422"/>
        <v>1281.326</v>
      </c>
      <c r="H1787" s="1065">
        <f t="shared" si="422"/>
        <v>1368.6859999999999</v>
      </c>
      <c r="I1787" s="1065">
        <f t="shared" si="422"/>
        <v>1456.0460000000003</v>
      </c>
      <c r="J1787" s="1065"/>
      <c r="K1787" s="1065">
        <f t="shared" si="422"/>
        <v>1630.752</v>
      </c>
      <c r="L1787" s="1065">
        <f t="shared" si="422"/>
        <v>1718.1119999999999</v>
      </c>
      <c r="M1787" s="1066"/>
      <c r="N1787" s="1066"/>
      <c r="O1787" s="1066"/>
      <c r="P1787" s="1066"/>
      <c r="Q1787" s="1066"/>
      <c r="R1787" s="1066"/>
      <c r="S1787" s="1066"/>
      <c r="T1787" s="1066"/>
      <c r="U1787" s="1066"/>
      <c r="V1787" s="1066"/>
      <c r="W1787" s="1066"/>
      <c r="X1787" s="1066"/>
      <c r="Y1787" s="1066"/>
      <c r="Z1787" s="1066"/>
      <c r="AA1787" s="1066"/>
      <c r="AB1787" s="1066"/>
      <c r="AC1787" s="1066"/>
      <c r="AD1787" s="1066"/>
      <c r="AE1787" s="1066"/>
      <c r="AF1787" s="1066"/>
      <c r="AG1787" s="1066"/>
      <c r="AH1787" s="1066"/>
      <c r="AI1787" s="1066"/>
      <c r="AJ1787" s="1066"/>
      <c r="AK1787" s="1066"/>
      <c r="AL1787" s="1066"/>
      <c r="AM1787" s="1066"/>
      <c r="AN1787" s="1066"/>
      <c r="AO1787" s="1066"/>
      <c r="AP1787" s="1066"/>
      <c r="AQ1787" s="1066"/>
      <c r="AR1787" s="1066"/>
      <c r="AS1787" s="1066"/>
      <c r="AT1787" s="1066"/>
      <c r="AU1787" s="1066"/>
      <c r="AV1787" s="1066"/>
      <c r="AW1787" s="1066"/>
      <c r="AX1787" s="1066"/>
      <c r="AY1787" s="1066"/>
      <c r="AZ1787" s="1066"/>
      <c r="BA1787" s="1066"/>
      <c r="BB1787" s="1066"/>
      <c r="BC1787" s="1066"/>
      <c r="BD1787" s="1066"/>
      <c r="BE1787" s="1066"/>
      <c r="BF1787" s="1066"/>
      <c r="BG1787" s="1066"/>
      <c r="BH1787" s="1066"/>
      <c r="BI1787" s="1066"/>
      <c r="BJ1787" s="1066"/>
      <c r="BK1787" s="1066"/>
      <c r="BL1787" s="1066"/>
    </row>
    <row r="1788" spans="1:64">
      <c r="A1788" s="1847"/>
      <c r="B1788" s="1847"/>
      <c r="C1788" s="1817" t="str">
        <f>Input!$C$48</f>
        <v>Overheads &amp; Contractors Profit @ 13.615%</v>
      </c>
      <c r="D1788" s="1848">
        <f>ROUND(D1787*Input!$D$48,2)</f>
        <v>138.77000000000001</v>
      </c>
      <c r="E1788" s="1847">
        <f>ROUND(E1787*Input!$D$48,2)</f>
        <v>150.66</v>
      </c>
      <c r="F1788" s="1847">
        <f>ROUND(F1787*Input!$D$48,2)</f>
        <v>162.56</v>
      </c>
      <c r="G1788" s="1847">
        <f>ROUND(G1787*Input!$D$48,2)</f>
        <v>174.45</v>
      </c>
      <c r="H1788" s="1847">
        <f>ROUND(H1787*Input!$D$48,2)</f>
        <v>186.35</v>
      </c>
      <c r="I1788" s="1847">
        <f>ROUND(I1787*Input!$D$48,2)</f>
        <v>198.24</v>
      </c>
      <c r="J1788" s="1847"/>
      <c r="K1788" s="1847">
        <f>ROUND(K1787*Input!$D$48,2)</f>
        <v>222.03</v>
      </c>
      <c r="L1788" s="1847">
        <f>ROUND(L1787*Input!$D$48,2)</f>
        <v>233.92</v>
      </c>
      <c r="M1788" s="1066"/>
      <c r="N1788" s="1066"/>
      <c r="O1788" s="1066"/>
      <c r="P1788" s="1066"/>
      <c r="Q1788" s="1066"/>
      <c r="R1788" s="1066"/>
      <c r="S1788" s="1066"/>
      <c r="T1788" s="1066"/>
      <c r="U1788" s="1066"/>
      <c r="V1788" s="1066"/>
      <c r="W1788" s="1066"/>
      <c r="X1788" s="1066"/>
      <c r="Y1788" s="1066"/>
      <c r="Z1788" s="1066"/>
      <c r="AA1788" s="1066"/>
      <c r="AB1788" s="1066"/>
      <c r="AC1788" s="1066"/>
      <c r="AD1788" s="1066"/>
      <c r="AE1788" s="1066"/>
      <c r="AF1788" s="1066"/>
      <c r="AG1788" s="1066"/>
      <c r="AH1788" s="1066"/>
      <c r="AI1788" s="1066"/>
      <c r="AJ1788" s="1066"/>
      <c r="AK1788" s="1066"/>
      <c r="AL1788" s="1066"/>
      <c r="AM1788" s="1066"/>
      <c r="AN1788" s="1066"/>
      <c r="AO1788" s="1066"/>
      <c r="AP1788" s="1066"/>
      <c r="AQ1788" s="1066"/>
      <c r="AR1788" s="1066"/>
      <c r="AS1788" s="1066"/>
      <c r="AT1788" s="1066"/>
      <c r="AU1788" s="1066"/>
      <c r="AV1788" s="1066"/>
      <c r="AW1788" s="1066"/>
      <c r="AX1788" s="1066"/>
      <c r="AY1788" s="1066"/>
      <c r="AZ1788" s="1066"/>
      <c r="BA1788" s="1066"/>
      <c r="BB1788" s="1066"/>
      <c r="BC1788" s="1066"/>
      <c r="BD1788" s="1066"/>
      <c r="BE1788" s="1066"/>
      <c r="BF1788" s="1066"/>
      <c r="BG1788" s="1066"/>
      <c r="BH1788" s="1066"/>
      <c r="BI1788" s="1066"/>
      <c r="BJ1788" s="1066"/>
      <c r="BK1788" s="1066"/>
      <c r="BL1788" s="1066"/>
    </row>
    <row r="1789" spans="1:64">
      <c r="A1789" s="1847"/>
      <c r="B1789" s="1847"/>
      <c r="C1789" s="1816" t="s">
        <v>1045</v>
      </c>
      <c r="D1789" s="1848">
        <f t="shared" ref="D1789:L1789" si="423">SUM(D1787:D1788)</f>
        <v>1158.0160000000001</v>
      </c>
      <c r="E1789" s="1848">
        <f t="shared" si="423"/>
        <v>1257.2660000000001</v>
      </c>
      <c r="F1789" s="1848">
        <f t="shared" si="423"/>
        <v>1356.5260000000001</v>
      </c>
      <c r="G1789" s="1848">
        <f t="shared" si="423"/>
        <v>1455.7760000000001</v>
      </c>
      <c r="H1789" s="1848">
        <f t="shared" si="423"/>
        <v>1555.0359999999998</v>
      </c>
      <c r="I1789" s="1848">
        <f t="shared" si="423"/>
        <v>1654.2860000000003</v>
      </c>
      <c r="J1789" s="1848"/>
      <c r="K1789" s="1848">
        <f t="shared" si="423"/>
        <v>1852.7819999999999</v>
      </c>
      <c r="L1789" s="1848">
        <f t="shared" si="423"/>
        <v>1952.0319999999999</v>
      </c>
      <c r="M1789" s="1066"/>
      <c r="N1789" s="1066"/>
      <c r="O1789" s="1066"/>
      <c r="P1789" s="1066"/>
      <c r="Q1789" s="1066"/>
      <c r="R1789" s="1066"/>
      <c r="S1789" s="1066"/>
      <c r="T1789" s="1066"/>
      <c r="U1789" s="1066"/>
      <c r="V1789" s="1066"/>
      <c r="W1789" s="1066"/>
      <c r="X1789" s="1066"/>
      <c r="Y1789" s="1066"/>
      <c r="Z1789" s="1066"/>
      <c r="AA1789" s="1066"/>
      <c r="AB1789" s="1066"/>
      <c r="AC1789" s="1066"/>
      <c r="AD1789" s="1066"/>
      <c r="AE1789" s="1066"/>
      <c r="AF1789" s="1066"/>
      <c r="AG1789" s="1066"/>
      <c r="AH1789" s="1066"/>
      <c r="AI1789" s="1066"/>
      <c r="AJ1789" s="1066"/>
      <c r="AK1789" s="1066"/>
      <c r="AL1789" s="1066"/>
      <c r="AM1789" s="1066"/>
      <c r="AN1789" s="1066"/>
      <c r="AO1789" s="1066"/>
      <c r="AP1789" s="1066"/>
      <c r="AQ1789" s="1066"/>
      <c r="AR1789" s="1066"/>
      <c r="AS1789" s="1066"/>
      <c r="AT1789" s="1066"/>
      <c r="AU1789" s="1066"/>
      <c r="AV1789" s="1066"/>
      <c r="AW1789" s="1066"/>
      <c r="AX1789" s="1066"/>
      <c r="AY1789" s="1066"/>
      <c r="AZ1789" s="1066"/>
      <c r="BA1789" s="1066"/>
      <c r="BB1789" s="1066"/>
      <c r="BC1789" s="1066"/>
      <c r="BD1789" s="1066"/>
      <c r="BE1789" s="1066"/>
      <c r="BF1789" s="1066"/>
      <c r="BG1789" s="1066"/>
      <c r="BH1789" s="1066"/>
      <c r="BI1789" s="1066"/>
      <c r="BJ1789" s="1066"/>
      <c r="BK1789" s="1066"/>
      <c r="BL1789" s="1066"/>
    </row>
    <row r="1790" spans="1:64">
      <c r="A1790" s="1847"/>
      <c r="B1790" s="1847"/>
      <c r="C1790" s="1118" t="s">
        <v>1034</v>
      </c>
      <c r="D1790" s="1163">
        <f t="shared" ref="D1790:L1790" si="424">ROUND(D1789,0)</f>
        <v>1158</v>
      </c>
      <c r="E1790" s="1163">
        <f t="shared" si="424"/>
        <v>1257</v>
      </c>
      <c r="F1790" s="1163">
        <f t="shared" si="424"/>
        <v>1357</v>
      </c>
      <c r="G1790" s="1163">
        <f t="shared" si="424"/>
        <v>1456</v>
      </c>
      <c r="H1790" s="1163">
        <f t="shared" si="424"/>
        <v>1555</v>
      </c>
      <c r="I1790" s="1163">
        <f t="shared" si="424"/>
        <v>1654</v>
      </c>
      <c r="J1790" s="1163"/>
      <c r="K1790" s="1163">
        <f t="shared" si="424"/>
        <v>1853</v>
      </c>
      <c r="L1790" s="1163">
        <f t="shared" si="424"/>
        <v>1952</v>
      </c>
      <c r="M1790" s="1066"/>
      <c r="N1790" s="1066"/>
      <c r="O1790" s="1066"/>
      <c r="P1790" s="1066"/>
      <c r="Q1790" s="1066"/>
      <c r="R1790" s="1066"/>
      <c r="S1790" s="1066"/>
      <c r="T1790" s="1066"/>
      <c r="U1790" s="1066"/>
      <c r="V1790" s="1066"/>
      <c r="W1790" s="1066"/>
      <c r="X1790" s="1066"/>
      <c r="Y1790" s="1066"/>
      <c r="Z1790" s="1066"/>
      <c r="AA1790" s="1066"/>
      <c r="AB1790" s="1066"/>
      <c r="AC1790" s="1066"/>
      <c r="AD1790" s="1066"/>
      <c r="AE1790" s="1066"/>
      <c r="AF1790" s="1066"/>
      <c r="AG1790" s="1066"/>
      <c r="AH1790" s="1066"/>
      <c r="AI1790" s="1066"/>
      <c r="AJ1790" s="1066"/>
      <c r="AK1790" s="1066"/>
      <c r="AL1790" s="1066"/>
      <c r="AM1790" s="1066"/>
      <c r="AN1790" s="1066"/>
      <c r="AO1790" s="1066"/>
      <c r="AP1790" s="1066"/>
      <c r="AQ1790" s="1066"/>
      <c r="AR1790" s="1066"/>
      <c r="AS1790" s="1066"/>
      <c r="AT1790" s="1066"/>
      <c r="AU1790" s="1066"/>
      <c r="AV1790" s="1066"/>
      <c r="AW1790" s="1066"/>
      <c r="AX1790" s="1066"/>
      <c r="AY1790" s="1066"/>
      <c r="AZ1790" s="1066"/>
      <c r="BA1790" s="1066"/>
      <c r="BB1790" s="1066"/>
      <c r="BC1790" s="1066"/>
      <c r="BD1790" s="1066"/>
      <c r="BE1790" s="1066"/>
      <c r="BF1790" s="1066"/>
      <c r="BG1790" s="1066"/>
      <c r="BH1790" s="1066"/>
      <c r="BI1790" s="1066"/>
      <c r="BJ1790" s="1066"/>
      <c r="BK1790" s="1066"/>
      <c r="BL1790" s="1066"/>
    </row>
    <row r="1791" spans="1:64">
      <c r="A1791" s="1823"/>
      <c r="B1791" s="1068"/>
      <c r="C1791" s="1817"/>
      <c r="D1791" s="1161"/>
      <c r="E1791" s="1161"/>
      <c r="F1791" s="1162"/>
      <c r="G1791" s="1105"/>
      <c r="H1791" s="1161"/>
      <c r="I1791" s="1080"/>
      <c r="J1791" s="1846"/>
      <c r="K1791" s="1846"/>
      <c r="L1791" s="1846"/>
    </row>
    <row r="1792" spans="1:64" ht="79.150000000000006" customHeight="1">
      <c r="A1792" s="2048">
        <f>1+A1617</f>
        <v>19</v>
      </c>
      <c r="B1792" s="2048"/>
      <c r="C1792" s="2049" t="s">
        <v>3633</v>
      </c>
      <c r="D1792" s="2049"/>
      <c r="E1792" s="2049"/>
      <c r="F1792" s="2049"/>
      <c r="G1792" s="2049"/>
      <c r="H1792" s="2049"/>
      <c r="I1792" s="1825"/>
      <c r="J1792" s="1846"/>
      <c r="K1792" s="1846"/>
      <c r="L1792" s="1846"/>
    </row>
    <row r="1793" spans="1:64">
      <c r="A1793" s="1818"/>
      <c r="B1793" s="1818"/>
      <c r="C1793" s="1049" t="s">
        <v>1321</v>
      </c>
      <c r="D1793" s="1164"/>
      <c r="E1793" s="1044"/>
      <c r="F1793" s="1001"/>
      <c r="G1793" s="1015"/>
      <c r="H1793" s="1050"/>
      <c r="I1793" s="1030"/>
      <c r="J1793" s="1846"/>
      <c r="K1793" s="1846"/>
      <c r="L1793" s="1846"/>
    </row>
    <row r="1794" spans="1:64">
      <c r="A1794" s="1818"/>
      <c r="B1794" s="1818"/>
      <c r="C1794" s="1820" t="s">
        <v>1322</v>
      </c>
      <c r="D1794" s="1045"/>
      <c r="E1794" s="1044"/>
      <c r="F1794" s="1001"/>
      <c r="G1794" s="1015"/>
      <c r="H1794" s="1050"/>
      <c r="I1794" s="1030"/>
      <c r="J1794" s="1846"/>
      <c r="K1794" s="1846"/>
      <c r="L1794" s="1846"/>
    </row>
    <row r="1795" spans="1:64">
      <c r="A1795" s="1818"/>
      <c r="B1795" s="1818"/>
      <c r="C1795" s="1825" t="s">
        <v>1154</v>
      </c>
      <c r="D1795" s="1045"/>
      <c r="E1795" s="1044"/>
      <c r="F1795" s="1001"/>
      <c r="G1795" s="1015"/>
      <c r="H1795" s="1050"/>
      <c r="I1795" s="1030"/>
      <c r="J1795" s="1846"/>
      <c r="K1795" s="1846"/>
      <c r="L1795" s="1846"/>
    </row>
    <row r="1796" spans="1:64">
      <c r="A1796" s="1058"/>
      <c r="B1796" s="1058"/>
      <c r="C1796" s="1817" t="s">
        <v>2649</v>
      </c>
      <c r="D1796" s="1063">
        <v>110</v>
      </c>
      <c r="E1796" s="1061" t="s">
        <v>955</v>
      </c>
      <c r="F1796" s="1062">
        <f>LEAD!$N$16</f>
        <v>32000</v>
      </c>
      <c r="G1796" s="1081">
        <v>1000</v>
      </c>
      <c r="H1796" s="1140" t="s">
        <v>955</v>
      </c>
      <c r="I1796" s="1062">
        <f t="shared" ref="I1796:I1798" si="425">IF(G1796="",D1796*F1796,(D1796*F1796/G1796))</f>
        <v>3520</v>
      </c>
      <c r="J1796" s="1022"/>
      <c r="K1796" s="1022"/>
      <c r="L1796" s="1022"/>
      <c r="M1796" s="1066"/>
      <c r="N1796" s="1066"/>
      <c r="O1796" s="1066"/>
      <c r="P1796" s="1066"/>
      <c r="Q1796" s="1066"/>
      <c r="R1796" s="1066"/>
      <c r="S1796" s="1066"/>
      <c r="T1796" s="1066"/>
      <c r="U1796" s="1066"/>
      <c r="V1796" s="1066"/>
      <c r="W1796" s="1066"/>
      <c r="X1796" s="1066"/>
      <c r="Y1796" s="1066"/>
      <c r="Z1796" s="1066"/>
      <c r="AA1796" s="1066"/>
      <c r="AB1796" s="1066"/>
      <c r="AC1796" s="1066"/>
      <c r="AD1796" s="1066"/>
      <c r="AE1796" s="1066"/>
      <c r="AF1796" s="1066"/>
      <c r="AG1796" s="1066"/>
      <c r="AH1796" s="1066"/>
      <c r="AI1796" s="1066"/>
      <c r="AJ1796" s="1066"/>
      <c r="AK1796" s="1066"/>
      <c r="AL1796" s="1066"/>
      <c r="AM1796" s="1066"/>
      <c r="AN1796" s="1066"/>
      <c r="AO1796" s="1066"/>
      <c r="AP1796" s="1066"/>
      <c r="AQ1796" s="1066"/>
      <c r="AR1796" s="1066"/>
      <c r="AS1796" s="1066"/>
      <c r="AT1796" s="1066"/>
      <c r="AU1796" s="1066"/>
      <c r="AV1796" s="1066"/>
      <c r="AW1796" s="1066"/>
      <c r="AX1796" s="1066"/>
      <c r="AY1796" s="1066"/>
      <c r="AZ1796" s="1066"/>
      <c r="BA1796" s="1066"/>
      <c r="BB1796" s="1066"/>
      <c r="BC1796" s="1066"/>
      <c r="BD1796" s="1066"/>
      <c r="BE1796" s="1066"/>
      <c r="BF1796" s="1066"/>
      <c r="BG1796" s="1066"/>
      <c r="BH1796" s="1066"/>
      <c r="BI1796" s="1066"/>
      <c r="BJ1796" s="1066"/>
      <c r="BK1796" s="1066"/>
      <c r="BL1796" s="1066"/>
    </row>
    <row r="1797" spans="1:64">
      <c r="A1797" s="1058"/>
      <c r="B1797" s="1058"/>
      <c r="C1797" s="1817" t="s">
        <v>889</v>
      </c>
      <c r="D1797" s="1060">
        <v>24</v>
      </c>
      <c r="E1797" s="1061" t="s">
        <v>1110</v>
      </c>
      <c r="F1797" s="1062">
        <f>LEAD!$N$6</f>
        <v>5200</v>
      </c>
      <c r="G1797" s="1081">
        <v>1000</v>
      </c>
      <c r="H1797" s="1140" t="str">
        <f t="shared" ref="H1797:H1798" si="426">IF(E1797="","",IF(E1797="No.","Each",IF(E1797="Nos.","Each",E1797)))</f>
        <v>Kgs</v>
      </c>
      <c r="I1797" s="1062">
        <f t="shared" si="425"/>
        <v>124.8</v>
      </c>
      <c r="J1797" s="1022"/>
      <c r="K1797" s="1022">
        <f>29*225*14*110</f>
        <v>10048500</v>
      </c>
      <c r="L1797" s="1022"/>
      <c r="M1797" s="1066"/>
      <c r="N1797" s="1066"/>
      <c r="O1797" s="1066"/>
      <c r="P1797" s="1066"/>
      <c r="Q1797" s="1066"/>
      <c r="R1797" s="1066"/>
      <c r="S1797" s="1066"/>
      <c r="T1797" s="1066"/>
      <c r="U1797" s="1066"/>
      <c r="V1797" s="1066"/>
      <c r="W1797" s="1066"/>
      <c r="X1797" s="1066"/>
      <c r="Y1797" s="1066"/>
      <c r="Z1797" s="1066"/>
      <c r="AA1797" s="1066"/>
      <c r="AB1797" s="1066"/>
      <c r="AC1797" s="1066"/>
      <c r="AD1797" s="1066"/>
      <c r="AE1797" s="1066"/>
      <c r="AF1797" s="1066"/>
      <c r="AG1797" s="1066"/>
      <c r="AH1797" s="1066"/>
      <c r="AI1797" s="1066"/>
      <c r="AJ1797" s="1066"/>
      <c r="AK1797" s="1066"/>
      <c r="AL1797" s="1066"/>
      <c r="AM1797" s="1066"/>
      <c r="AN1797" s="1066"/>
      <c r="AO1797" s="1066"/>
      <c r="AP1797" s="1066"/>
      <c r="AQ1797" s="1066"/>
      <c r="AR1797" s="1066"/>
      <c r="AS1797" s="1066"/>
      <c r="AT1797" s="1066"/>
      <c r="AU1797" s="1066"/>
      <c r="AV1797" s="1066"/>
      <c r="AW1797" s="1066"/>
      <c r="AX1797" s="1066"/>
      <c r="AY1797" s="1066"/>
      <c r="AZ1797" s="1066"/>
      <c r="BA1797" s="1066"/>
      <c r="BB1797" s="1066"/>
      <c r="BC1797" s="1066"/>
      <c r="BD1797" s="1066"/>
      <c r="BE1797" s="1066"/>
      <c r="BF1797" s="1066"/>
      <c r="BG1797" s="1066"/>
      <c r="BH1797" s="1066"/>
      <c r="BI1797" s="1066"/>
      <c r="BJ1797" s="1066"/>
      <c r="BK1797" s="1066"/>
      <c r="BL1797" s="1066"/>
    </row>
    <row r="1798" spans="1:64">
      <c r="A1798" s="1058"/>
      <c r="B1798" s="1058"/>
      <c r="C1798" s="1817" t="s">
        <v>1141</v>
      </c>
      <c r="D1798" s="1060">
        <v>0.1</v>
      </c>
      <c r="E1798" s="1061" t="s">
        <v>1315</v>
      </c>
      <c r="F1798" s="1062">
        <f>LEAD!$N$13</f>
        <v>2453.91</v>
      </c>
      <c r="G1798" s="1081">
        <v>1</v>
      </c>
      <c r="H1798" s="1140" t="str">
        <f t="shared" si="426"/>
        <v>cu.m.</v>
      </c>
      <c r="I1798" s="1062">
        <f t="shared" si="425"/>
        <v>245.39099999999999</v>
      </c>
      <c r="J1798" s="1022"/>
      <c r="K1798" s="1022"/>
      <c r="L1798" s="1022"/>
      <c r="M1798" s="1066"/>
      <c r="N1798" s="1066"/>
      <c r="O1798" s="1066"/>
      <c r="P1798" s="1066"/>
      <c r="Q1798" s="1066"/>
      <c r="R1798" s="1066"/>
      <c r="S1798" s="1066"/>
      <c r="T1798" s="1066"/>
      <c r="U1798" s="1066"/>
      <c r="V1798" s="1066"/>
      <c r="W1798" s="1066"/>
      <c r="X1798" s="1066"/>
      <c r="Y1798" s="1066"/>
      <c r="Z1798" s="1066"/>
      <c r="AA1798" s="1066"/>
      <c r="AB1798" s="1066"/>
      <c r="AC1798" s="1066"/>
      <c r="AD1798" s="1066"/>
      <c r="AE1798" s="1066"/>
      <c r="AF1798" s="1066"/>
      <c r="AG1798" s="1066"/>
      <c r="AH1798" s="1066"/>
      <c r="AI1798" s="1066"/>
      <c r="AJ1798" s="1066"/>
      <c r="AK1798" s="1066"/>
      <c r="AL1798" s="1066"/>
      <c r="AM1798" s="1066"/>
      <c r="AN1798" s="1066"/>
      <c r="AO1798" s="1066"/>
      <c r="AP1798" s="1066"/>
      <c r="AQ1798" s="1066"/>
      <c r="AR1798" s="1066"/>
      <c r="AS1798" s="1066"/>
      <c r="AT1798" s="1066"/>
      <c r="AU1798" s="1066"/>
      <c r="AV1798" s="1066"/>
      <c r="AW1798" s="1066"/>
      <c r="AX1798" s="1066"/>
      <c r="AY1798" s="1066"/>
      <c r="AZ1798" s="1066"/>
      <c r="BA1798" s="1066"/>
      <c r="BB1798" s="1066"/>
      <c r="BC1798" s="1066"/>
      <c r="BD1798" s="1066"/>
      <c r="BE1798" s="1066"/>
      <c r="BF1798" s="1066"/>
      <c r="BG1798" s="1066"/>
      <c r="BH1798" s="1066"/>
      <c r="BI1798" s="1066"/>
      <c r="BJ1798" s="1066"/>
      <c r="BK1798" s="1066"/>
      <c r="BL1798" s="1066"/>
    </row>
    <row r="1799" spans="1:64">
      <c r="A1799" s="1058"/>
      <c r="B1799" s="1058"/>
      <c r="C1799" s="1816" t="s">
        <v>1324</v>
      </c>
      <c r="D1799" s="1022"/>
      <c r="E1799" s="1022"/>
      <c r="F1799" s="1847"/>
      <c r="G1799" s="1022"/>
      <c r="H1799" s="1022"/>
      <c r="I1799" s="1848"/>
      <c r="J1799" s="1022"/>
      <c r="K1799" s="1022"/>
      <c r="L1799" s="1022"/>
      <c r="M1799" s="1066"/>
      <c r="N1799" s="1066"/>
      <c r="O1799" s="1066"/>
      <c r="P1799" s="1066"/>
      <c r="Q1799" s="1066"/>
      <c r="R1799" s="1066"/>
      <c r="S1799" s="1066"/>
      <c r="T1799" s="1066"/>
      <c r="U1799" s="1066"/>
      <c r="V1799" s="1066"/>
      <c r="W1799" s="1066"/>
      <c r="X1799" s="1066"/>
      <c r="Y1799" s="1066"/>
      <c r="Z1799" s="1066"/>
      <c r="AA1799" s="1066"/>
      <c r="AB1799" s="1066"/>
      <c r="AC1799" s="1066"/>
      <c r="AD1799" s="1066"/>
      <c r="AE1799" s="1066"/>
      <c r="AF1799" s="1066"/>
      <c r="AG1799" s="1066"/>
      <c r="AH1799" s="1066"/>
      <c r="AI1799" s="1066"/>
      <c r="AJ1799" s="1066"/>
      <c r="AK1799" s="1066"/>
      <c r="AL1799" s="1066"/>
      <c r="AM1799" s="1066"/>
      <c r="AN1799" s="1066"/>
      <c r="AO1799" s="1066"/>
      <c r="AP1799" s="1066"/>
      <c r="AQ1799" s="1066"/>
      <c r="AR1799" s="1066"/>
      <c r="AS1799" s="1066"/>
      <c r="AT1799" s="1066"/>
      <c r="AU1799" s="1066"/>
      <c r="AV1799" s="1066"/>
      <c r="AW1799" s="1066"/>
      <c r="AX1799" s="1066"/>
      <c r="AY1799" s="1066"/>
      <c r="AZ1799" s="1066"/>
      <c r="BA1799" s="1066"/>
      <c r="BB1799" s="1066"/>
      <c r="BC1799" s="1066"/>
      <c r="BD1799" s="1066"/>
      <c r="BE1799" s="1066"/>
      <c r="BF1799" s="1066"/>
      <c r="BG1799" s="1066"/>
      <c r="BH1799" s="1066"/>
      <c r="BI1799" s="1066"/>
      <c r="BJ1799" s="1066"/>
      <c r="BK1799" s="1066"/>
      <c r="BL1799" s="1066"/>
    </row>
    <row r="1800" spans="1:64">
      <c r="A1800" s="1058"/>
      <c r="B1800" s="1058"/>
      <c r="C1800" s="1817" t="s">
        <v>1299</v>
      </c>
      <c r="D1800" s="1139">
        <v>0.42</v>
      </c>
      <c r="E1800" s="1061" t="s">
        <v>36</v>
      </c>
      <c r="F1800" s="1062">
        <f>'Civil-SOR'!$G$293</f>
        <v>580</v>
      </c>
      <c r="G1800" s="1081">
        <v>1</v>
      </c>
      <c r="H1800" s="1140" t="s">
        <v>501</v>
      </c>
      <c r="I1800" s="1062">
        <f t="shared" ref="I1800:I1805" si="427">IF(G1800="",D1800*F1800,(D1800*F1800/G1800))</f>
        <v>243.6</v>
      </c>
      <c r="J1800" s="1022"/>
      <c r="K1800" s="1022"/>
      <c r="L1800" s="1022"/>
      <c r="M1800" s="1066"/>
      <c r="N1800" s="1066"/>
      <c r="O1800" s="1066"/>
      <c r="P1800" s="1066"/>
      <c r="Q1800" s="1066"/>
      <c r="R1800" s="1066"/>
      <c r="S1800" s="1066"/>
      <c r="T1800" s="1066"/>
      <c r="U1800" s="1066"/>
      <c r="V1800" s="1066"/>
      <c r="W1800" s="1066"/>
      <c r="X1800" s="1066"/>
      <c r="Y1800" s="1066"/>
      <c r="Z1800" s="1066"/>
      <c r="AA1800" s="1066"/>
      <c r="AB1800" s="1066"/>
      <c r="AC1800" s="1066"/>
      <c r="AD1800" s="1066"/>
      <c r="AE1800" s="1066"/>
      <c r="AF1800" s="1066"/>
      <c r="AG1800" s="1066"/>
      <c r="AH1800" s="1066"/>
      <c r="AI1800" s="1066"/>
      <c r="AJ1800" s="1066"/>
      <c r="AK1800" s="1066"/>
      <c r="AL1800" s="1066"/>
      <c r="AM1800" s="1066"/>
      <c r="AN1800" s="1066"/>
      <c r="AO1800" s="1066"/>
      <c r="AP1800" s="1066"/>
      <c r="AQ1800" s="1066"/>
      <c r="AR1800" s="1066"/>
      <c r="AS1800" s="1066"/>
      <c r="AT1800" s="1066"/>
      <c r="AU1800" s="1066"/>
      <c r="AV1800" s="1066"/>
      <c r="AW1800" s="1066"/>
      <c r="AX1800" s="1066"/>
      <c r="AY1800" s="1066"/>
      <c r="AZ1800" s="1066"/>
      <c r="BA1800" s="1066"/>
      <c r="BB1800" s="1066"/>
      <c r="BC1800" s="1066"/>
      <c r="BD1800" s="1066"/>
      <c r="BE1800" s="1066"/>
      <c r="BF1800" s="1066"/>
      <c r="BG1800" s="1066"/>
      <c r="BH1800" s="1066"/>
      <c r="BI1800" s="1066"/>
      <c r="BJ1800" s="1066"/>
      <c r="BK1800" s="1066"/>
      <c r="BL1800" s="1066"/>
    </row>
    <row r="1801" spans="1:64">
      <c r="A1801" s="1058"/>
      <c r="B1801" s="1058"/>
      <c r="C1801" s="1817" t="s">
        <v>1325</v>
      </c>
      <c r="D1801" s="1139">
        <v>0.92</v>
      </c>
      <c r="E1801" s="1061" t="s">
        <v>36</v>
      </c>
      <c r="F1801" s="1062">
        <f>'Civil-SOR'!$G$302</f>
        <v>550</v>
      </c>
      <c r="G1801" s="1081">
        <v>1</v>
      </c>
      <c r="H1801" s="1140" t="s">
        <v>501</v>
      </c>
      <c r="I1801" s="1062">
        <f t="shared" si="427"/>
        <v>506</v>
      </c>
      <c r="J1801" s="1022"/>
      <c r="K1801" s="1022"/>
      <c r="L1801" s="1022"/>
      <c r="M1801" s="1066"/>
      <c r="N1801" s="1066"/>
      <c r="O1801" s="1066"/>
      <c r="P1801" s="1066"/>
      <c r="Q1801" s="1066"/>
      <c r="R1801" s="1066"/>
      <c r="S1801" s="1066"/>
      <c r="T1801" s="1066"/>
      <c r="U1801" s="1066"/>
      <c r="V1801" s="1066"/>
      <c r="W1801" s="1066"/>
      <c r="X1801" s="1066"/>
      <c r="Y1801" s="1066"/>
      <c r="Z1801" s="1066"/>
      <c r="AA1801" s="1066"/>
      <c r="AB1801" s="1066"/>
      <c r="AC1801" s="1066"/>
      <c r="AD1801" s="1066"/>
      <c r="AE1801" s="1066"/>
      <c r="AF1801" s="1066"/>
      <c r="AG1801" s="1066"/>
      <c r="AH1801" s="1066"/>
      <c r="AI1801" s="1066"/>
      <c r="AJ1801" s="1066"/>
      <c r="AK1801" s="1066"/>
      <c r="AL1801" s="1066"/>
      <c r="AM1801" s="1066"/>
      <c r="AN1801" s="1066"/>
      <c r="AO1801" s="1066"/>
      <c r="AP1801" s="1066"/>
      <c r="AQ1801" s="1066"/>
      <c r="AR1801" s="1066"/>
      <c r="AS1801" s="1066"/>
      <c r="AT1801" s="1066"/>
      <c r="AU1801" s="1066"/>
      <c r="AV1801" s="1066"/>
      <c r="AW1801" s="1066"/>
      <c r="AX1801" s="1066"/>
      <c r="AY1801" s="1066"/>
      <c r="AZ1801" s="1066"/>
      <c r="BA1801" s="1066"/>
      <c r="BB1801" s="1066"/>
      <c r="BC1801" s="1066"/>
      <c r="BD1801" s="1066"/>
      <c r="BE1801" s="1066"/>
      <c r="BF1801" s="1066"/>
      <c r="BG1801" s="1066"/>
      <c r="BH1801" s="1066"/>
      <c r="BI1801" s="1066"/>
      <c r="BJ1801" s="1066"/>
      <c r="BK1801" s="1066"/>
      <c r="BL1801" s="1066"/>
    </row>
    <row r="1802" spans="1:64">
      <c r="A1802" s="1058"/>
      <c r="B1802" s="1058"/>
      <c r="C1802" s="1817" t="s">
        <v>1326</v>
      </c>
      <c r="D1802" s="1139">
        <v>0.7</v>
      </c>
      <c r="E1802" s="1061" t="s">
        <v>36</v>
      </c>
      <c r="F1802" s="1062">
        <f>'Civil-SOR'!$G$307</f>
        <v>520</v>
      </c>
      <c r="G1802" s="1081">
        <v>1</v>
      </c>
      <c r="H1802" s="1140" t="s">
        <v>501</v>
      </c>
      <c r="I1802" s="1062">
        <f t="shared" si="427"/>
        <v>364</v>
      </c>
      <c r="J1802" s="1022"/>
      <c r="K1802" s="1022"/>
      <c r="L1802" s="1022"/>
      <c r="M1802" s="1066"/>
      <c r="N1802" s="1066"/>
      <c r="O1802" s="1066"/>
      <c r="P1802" s="1066"/>
      <c r="Q1802" s="1066"/>
      <c r="R1802" s="1066"/>
      <c r="S1802" s="1066"/>
      <c r="T1802" s="1066"/>
      <c r="U1802" s="1066"/>
      <c r="V1802" s="1066"/>
      <c r="W1802" s="1066"/>
      <c r="X1802" s="1066"/>
      <c r="Y1802" s="1066"/>
      <c r="Z1802" s="1066"/>
      <c r="AA1802" s="1066"/>
      <c r="AB1802" s="1066"/>
      <c r="AC1802" s="1066"/>
      <c r="AD1802" s="1066"/>
      <c r="AE1802" s="1066"/>
      <c r="AF1802" s="1066"/>
      <c r="AG1802" s="1066"/>
      <c r="AH1802" s="1066"/>
      <c r="AI1802" s="1066"/>
      <c r="AJ1802" s="1066"/>
      <c r="AK1802" s="1066"/>
      <c r="AL1802" s="1066"/>
      <c r="AM1802" s="1066"/>
      <c r="AN1802" s="1066"/>
      <c r="AO1802" s="1066"/>
      <c r="AP1802" s="1066"/>
      <c r="AQ1802" s="1066"/>
      <c r="AR1802" s="1066"/>
      <c r="AS1802" s="1066"/>
      <c r="AT1802" s="1066"/>
      <c r="AU1802" s="1066"/>
      <c r="AV1802" s="1066"/>
      <c r="AW1802" s="1066"/>
      <c r="AX1802" s="1066"/>
      <c r="AY1802" s="1066"/>
      <c r="AZ1802" s="1066"/>
      <c r="BA1802" s="1066"/>
      <c r="BB1802" s="1066"/>
      <c r="BC1802" s="1066"/>
      <c r="BD1802" s="1066"/>
      <c r="BE1802" s="1066"/>
      <c r="BF1802" s="1066"/>
      <c r="BG1802" s="1066"/>
      <c r="BH1802" s="1066"/>
      <c r="BI1802" s="1066"/>
      <c r="BJ1802" s="1066"/>
      <c r="BK1802" s="1066"/>
      <c r="BL1802" s="1066"/>
    </row>
    <row r="1803" spans="1:64">
      <c r="A1803" s="1058"/>
      <c r="B1803" s="1058"/>
      <c r="C1803" s="1817" t="s">
        <v>1327</v>
      </c>
      <c r="D1803" s="1139">
        <v>2.1</v>
      </c>
      <c r="E1803" s="1061" t="s">
        <v>36</v>
      </c>
      <c r="F1803" s="1062">
        <f>'Civil-SOR'!$G$307</f>
        <v>520</v>
      </c>
      <c r="G1803" s="1081">
        <v>1</v>
      </c>
      <c r="H1803" s="1140" t="s">
        <v>501</v>
      </c>
      <c r="I1803" s="1062">
        <f t="shared" si="427"/>
        <v>1092</v>
      </c>
      <c r="J1803" s="1022"/>
      <c r="K1803" s="1022"/>
      <c r="L1803" s="1022"/>
      <c r="M1803" s="1066"/>
      <c r="N1803" s="1066"/>
      <c r="O1803" s="1066"/>
      <c r="P1803" s="1066"/>
      <c r="Q1803" s="1066"/>
      <c r="R1803" s="1066"/>
      <c r="S1803" s="1066"/>
      <c r="T1803" s="1066"/>
      <c r="U1803" s="1066"/>
      <c r="V1803" s="1066"/>
      <c r="W1803" s="1066"/>
      <c r="X1803" s="1066"/>
      <c r="Y1803" s="1066"/>
      <c r="Z1803" s="1066"/>
      <c r="AA1803" s="1066"/>
      <c r="AB1803" s="1066"/>
      <c r="AC1803" s="1066"/>
      <c r="AD1803" s="1066"/>
      <c r="AE1803" s="1066"/>
      <c r="AF1803" s="1066"/>
      <c r="AG1803" s="1066"/>
      <c r="AH1803" s="1066"/>
      <c r="AI1803" s="1066"/>
      <c r="AJ1803" s="1066"/>
      <c r="AK1803" s="1066"/>
      <c r="AL1803" s="1066"/>
      <c r="AM1803" s="1066"/>
      <c r="AN1803" s="1066"/>
      <c r="AO1803" s="1066"/>
      <c r="AP1803" s="1066"/>
      <c r="AQ1803" s="1066"/>
      <c r="AR1803" s="1066"/>
      <c r="AS1803" s="1066"/>
      <c r="AT1803" s="1066"/>
      <c r="AU1803" s="1066"/>
      <c r="AV1803" s="1066"/>
      <c r="AW1803" s="1066"/>
      <c r="AX1803" s="1066"/>
      <c r="AY1803" s="1066"/>
      <c r="AZ1803" s="1066"/>
      <c r="BA1803" s="1066"/>
      <c r="BB1803" s="1066"/>
      <c r="BC1803" s="1066"/>
      <c r="BD1803" s="1066"/>
      <c r="BE1803" s="1066"/>
      <c r="BF1803" s="1066"/>
      <c r="BG1803" s="1066"/>
      <c r="BH1803" s="1066"/>
      <c r="BI1803" s="1066"/>
      <c r="BJ1803" s="1066"/>
      <c r="BK1803" s="1066"/>
      <c r="BL1803" s="1066"/>
    </row>
    <row r="1804" spans="1:64">
      <c r="A1804" s="1058"/>
      <c r="B1804" s="1058"/>
      <c r="C1804" s="1817" t="str">
        <f>Input!$C$47</f>
        <v>Add for MA @ 40%</v>
      </c>
      <c r="D1804" s="1160">
        <f>Input!$D$47</f>
        <v>0.4</v>
      </c>
      <c r="E1804" s="1112"/>
      <c r="F1804" s="1062">
        <f>SUM(I1800:I1803)</f>
        <v>2205.6</v>
      </c>
      <c r="G1804" s="1076"/>
      <c r="H1804" s="1849"/>
      <c r="I1804" s="1062">
        <f t="shared" si="427"/>
        <v>882.24</v>
      </c>
      <c r="J1804" s="1022"/>
      <c r="K1804" s="1022"/>
      <c r="L1804" s="1022"/>
      <c r="M1804" s="1066"/>
      <c r="N1804" s="1066"/>
      <c r="O1804" s="1066"/>
      <c r="P1804" s="1066"/>
      <c r="Q1804" s="1066"/>
      <c r="R1804" s="1066"/>
      <c r="S1804" s="1066"/>
      <c r="T1804" s="1066"/>
      <c r="U1804" s="1066"/>
      <c r="V1804" s="1066"/>
      <c r="W1804" s="1066"/>
      <c r="X1804" s="1066"/>
      <c r="Y1804" s="1066"/>
      <c r="Z1804" s="1066"/>
      <c r="AA1804" s="1066"/>
      <c r="AB1804" s="1066"/>
      <c r="AC1804" s="1066"/>
      <c r="AD1804" s="1066"/>
      <c r="AE1804" s="1066"/>
      <c r="AF1804" s="1066"/>
      <c r="AG1804" s="1066"/>
      <c r="AH1804" s="1066"/>
      <c r="AI1804" s="1066"/>
      <c r="AJ1804" s="1066"/>
      <c r="AK1804" s="1066"/>
      <c r="AL1804" s="1066"/>
      <c r="AM1804" s="1066"/>
      <c r="AN1804" s="1066"/>
      <c r="AO1804" s="1066"/>
      <c r="AP1804" s="1066"/>
      <c r="AQ1804" s="1066"/>
      <c r="AR1804" s="1066"/>
      <c r="AS1804" s="1066"/>
      <c r="AT1804" s="1066"/>
      <c r="AU1804" s="1066"/>
      <c r="AV1804" s="1066"/>
      <c r="AW1804" s="1066"/>
      <c r="AX1804" s="1066"/>
      <c r="AY1804" s="1066"/>
      <c r="AZ1804" s="1066"/>
      <c r="BA1804" s="1066"/>
      <c r="BB1804" s="1066"/>
      <c r="BC1804" s="1066"/>
      <c r="BD1804" s="1066"/>
      <c r="BE1804" s="1066"/>
      <c r="BF1804" s="1066"/>
      <c r="BG1804" s="1066"/>
      <c r="BH1804" s="1066"/>
      <c r="BI1804" s="1066"/>
      <c r="BJ1804" s="1066"/>
      <c r="BK1804" s="1066"/>
      <c r="BL1804" s="1066"/>
    </row>
    <row r="1805" spans="1:64">
      <c r="A1805" s="1058"/>
      <c r="B1805" s="1058"/>
      <c r="C1805" s="1817" t="s">
        <v>1312</v>
      </c>
      <c r="D1805" s="1060">
        <v>0.01</v>
      </c>
      <c r="E1805" s="1061"/>
      <c r="F1805" s="1062">
        <f>SUM(I1796:I1804)</f>
        <v>6978.0309999999999</v>
      </c>
      <c r="G1805" s="1081"/>
      <c r="H1805" s="1140"/>
      <c r="I1805" s="1062">
        <f t="shared" si="427"/>
        <v>69.78031</v>
      </c>
      <c r="J1805" s="1022"/>
      <c r="K1805" s="1022"/>
      <c r="L1805" s="1022"/>
      <c r="M1805" s="1066"/>
      <c r="N1805" s="1066"/>
      <c r="O1805" s="1066"/>
      <c r="P1805" s="1066"/>
      <c r="Q1805" s="1066"/>
      <c r="R1805" s="1066"/>
      <c r="S1805" s="1066"/>
      <c r="T1805" s="1066"/>
      <c r="U1805" s="1066"/>
      <c r="V1805" s="1066"/>
      <c r="W1805" s="1066"/>
      <c r="X1805" s="1066"/>
      <c r="Y1805" s="1066"/>
      <c r="Z1805" s="1066"/>
      <c r="AA1805" s="1066"/>
      <c r="AB1805" s="1066"/>
      <c r="AC1805" s="1066"/>
      <c r="AD1805" s="1066"/>
      <c r="AE1805" s="1066"/>
      <c r="AF1805" s="1066"/>
      <c r="AG1805" s="1066"/>
      <c r="AH1805" s="1066"/>
      <c r="AI1805" s="1066"/>
      <c r="AJ1805" s="1066"/>
      <c r="AK1805" s="1066"/>
      <c r="AL1805" s="1066"/>
      <c r="AM1805" s="1066"/>
      <c r="AN1805" s="1066"/>
      <c r="AO1805" s="1066"/>
      <c r="AP1805" s="1066"/>
      <c r="AQ1805" s="1066"/>
      <c r="AR1805" s="1066"/>
      <c r="AS1805" s="1066"/>
      <c r="AT1805" s="1066"/>
      <c r="AU1805" s="1066"/>
      <c r="AV1805" s="1066"/>
      <c r="AW1805" s="1066"/>
      <c r="AX1805" s="1066"/>
      <c r="AY1805" s="1066"/>
      <c r="AZ1805" s="1066"/>
      <c r="BA1805" s="1066"/>
      <c r="BB1805" s="1066"/>
      <c r="BC1805" s="1066"/>
      <c r="BD1805" s="1066"/>
      <c r="BE1805" s="1066"/>
      <c r="BF1805" s="1066"/>
      <c r="BG1805" s="1066"/>
      <c r="BH1805" s="1066"/>
      <c r="BI1805" s="1066"/>
      <c r="BJ1805" s="1066"/>
      <c r="BK1805" s="1066"/>
      <c r="BL1805" s="1066"/>
    </row>
    <row r="1806" spans="1:64">
      <c r="A1806" s="1818"/>
      <c r="B1806" s="1818"/>
      <c r="C1806" s="1816" t="s">
        <v>1032</v>
      </c>
      <c r="D1806" s="1000"/>
      <c r="E1806" s="1044"/>
      <c r="F1806" s="1001"/>
      <c r="G1806" s="1015"/>
      <c r="H1806" s="1047"/>
      <c r="I1806" s="1011">
        <f>SUM(I1796:I1805)</f>
        <v>7047.81131</v>
      </c>
      <c r="J1806" s="1846"/>
      <c r="K1806" s="1846"/>
      <c r="L1806" s="1846"/>
    </row>
    <row r="1807" spans="1:64">
      <c r="A1807" s="1818"/>
      <c r="B1807" s="1818"/>
      <c r="C1807" s="1817"/>
      <c r="D1807" s="1000"/>
      <c r="E1807" s="1044"/>
      <c r="F1807" s="1001"/>
      <c r="G1807" s="1015"/>
      <c r="H1807" s="1047"/>
      <c r="I1807" s="1011"/>
      <c r="J1807" s="1846"/>
      <c r="K1807" s="1846"/>
      <c r="L1807" s="1846"/>
    </row>
    <row r="1808" spans="1:64" ht="12.75" customHeight="1">
      <c r="A1808" s="1818"/>
      <c r="B1808" s="1106" t="s">
        <v>294</v>
      </c>
      <c r="C1808" s="2043" t="s">
        <v>1328</v>
      </c>
      <c r="D1808" s="2043"/>
      <c r="E1808" s="2043"/>
      <c r="F1808" s="1001"/>
      <c r="G1808" s="1015"/>
      <c r="H1808" s="1047"/>
      <c r="I1808" s="1011"/>
      <c r="J1808" s="1846"/>
      <c r="K1808" s="1846"/>
      <c r="L1808" s="1846"/>
    </row>
    <row r="1809" spans="1:64">
      <c r="A1809" s="1818"/>
      <c r="B1809" s="1818"/>
      <c r="C1809" s="1817" t="s">
        <v>1329</v>
      </c>
      <c r="D1809" s="1000">
        <v>1</v>
      </c>
      <c r="E1809" s="1044" t="s">
        <v>75</v>
      </c>
      <c r="F1809" s="1001">
        <f>$I$1806</f>
        <v>7047.81131</v>
      </c>
      <c r="G1809" s="1015">
        <v>1</v>
      </c>
      <c r="H1809" s="1069" t="s">
        <v>75</v>
      </c>
      <c r="I1809" s="1030">
        <f t="shared" ref="I1809:I1810" si="428">IF(G1809="",D1809*F1809,(D1809*F1809/G1809))</f>
        <v>7047.81131</v>
      </c>
      <c r="J1809" s="1846"/>
      <c r="K1809" s="1846"/>
      <c r="L1809" s="1846"/>
    </row>
    <row r="1810" spans="1:64">
      <c r="A1810" s="1818"/>
      <c r="B1810" s="1818"/>
      <c r="C1810" s="1817" t="str">
        <f>Input!$C$48</f>
        <v>Overheads &amp; Contractors Profit @ 13.615%</v>
      </c>
      <c r="D1810" s="1095">
        <f>Input!$D$48</f>
        <v>0.13614999999999999</v>
      </c>
      <c r="E1810" s="1044"/>
      <c r="F1810" s="1001">
        <f>I1809</f>
        <v>7047.81131</v>
      </c>
      <c r="G1810" s="1015"/>
      <c r="H1810" s="1047"/>
      <c r="I1810" s="1030">
        <f t="shared" si="428"/>
        <v>959.55950985649997</v>
      </c>
      <c r="J1810" s="1846"/>
      <c r="K1810" s="1846"/>
      <c r="L1810" s="1846"/>
    </row>
    <row r="1811" spans="1:64">
      <c r="A1811" s="1818"/>
      <c r="B1811" s="1818"/>
      <c r="C1811" s="1816" t="s">
        <v>1032</v>
      </c>
      <c r="D1811" s="1000"/>
      <c r="E1811" s="1044"/>
      <c r="F1811" s="1001"/>
      <c r="G1811" s="1015"/>
      <c r="H1811" s="1047"/>
      <c r="I1811" s="1011">
        <f>SUM(I1809:I1810)</f>
        <v>8007.3708198565</v>
      </c>
      <c r="J1811" s="1846"/>
      <c r="K1811" s="1846"/>
      <c r="L1811" s="1846"/>
    </row>
    <row r="1812" spans="1:64">
      <c r="A1812" s="1086"/>
      <c r="B1812" s="1086"/>
      <c r="C1812" s="1088"/>
      <c r="D1812" s="1089"/>
      <c r="E1812" s="1090"/>
      <c r="F1812" s="994"/>
      <c r="G1812" s="1091"/>
      <c r="H1812" s="1092" t="s">
        <v>1034</v>
      </c>
      <c r="I1812" s="1826">
        <f>ROUND(I1811,0)</f>
        <v>8007</v>
      </c>
      <c r="J1812" s="996"/>
      <c r="K1812" s="996"/>
      <c r="L1812" s="996"/>
      <c r="M1812" s="997"/>
      <c r="N1812" s="997"/>
      <c r="O1812" s="997"/>
      <c r="P1812" s="997"/>
      <c r="Q1812" s="997"/>
      <c r="R1812" s="997"/>
      <c r="S1812" s="997"/>
      <c r="T1812" s="997"/>
      <c r="U1812" s="997"/>
      <c r="V1812" s="997"/>
      <c r="W1812" s="997"/>
      <c r="X1812" s="997"/>
      <c r="Y1812" s="997"/>
      <c r="Z1812" s="997"/>
      <c r="AA1812" s="997"/>
      <c r="AB1812" s="997"/>
      <c r="AC1812" s="997"/>
      <c r="AD1812" s="997"/>
      <c r="AE1812" s="997"/>
      <c r="AF1812" s="997"/>
      <c r="AG1812" s="997"/>
      <c r="AH1812" s="997"/>
      <c r="AI1812" s="997"/>
      <c r="AJ1812" s="997"/>
      <c r="AK1812" s="997"/>
      <c r="AL1812" s="997"/>
      <c r="AM1812" s="997"/>
      <c r="AN1812" s="997"/>
      <c r="AO1812" s="997"/>
      <c r="AP1812" s="997"/>
      <c r="AQ1812" s="997"/>
      <c r="AR1812" s="997"/>
      <c r="AS1812" s="997"/>
      <c r="AT1812" s="997"/>
      <c r="AU1812" s="997"/>
      <c r="AV1812" s="997"/>
      <c r="AW1812" s="997"/>
      <c r="AX1812" s="997"/>
      <c r="AY1812" s="997"/>
      <c r="AZ1812" s="997"/>
      <c r="BA1812" s="997"/>
      <c r="BB1812" s="997"/>
      <c r="BC1812" s="997"/>
      <c r="BD1812" s="997"/>
      <c r="BE1812" s="997"/>
      <c r="BF1812" s="997"/>
      <c r="BG1812" s="997"/>
      <c r="BH1812" s="997"/>
      <c r="BI1812" s="997"/>
      <c r="BJ1812" s="997"/>
      <c r="BK1812" s="997"/>
      <c r="BL1812" s="997"/>
    </row>
    <row r="1813" spans="1:64">
      <c r="A1813" s="1818"/>
      <c r="B1813" s="1818"/>
      <c r="C1813" s="1816"/>
      <c r="D1813" s="1000"/>
      <c r="E1813" s="1044"/>
      <c r="F1813" s="1001"/>
      <c r="G1813" s="1015"/>
      <c r="H1813" s="1047"/>
      <c r="I1813" s="1011"/>
      <c r="J1813" s="1846"/>
      <c r="K1813" s="1846"/>
      <c r="L1813" s="1846"/>
    </row>
    <row r="1814" spans="1:64">
      <c r="A1814" s="1818"/>
      <c r="B1814" s="1106" t="s">
        <v>297</v>
      </c>
      <c r="C1814" s="1124" t="s">
        <v>1318</v>
      </c>
      <c r="D1814" s="1000"/>
      <c r="E1814" s="1044"/>
      <c r="F1814" s="1001"/>
      <c r="G1814" s="1015"/>
      <c r="H1814" s="1047"/>
      <c r="I1814" s="1009"/>
      <c r="J1814" s="1015"/>
      <c r="K1814" s="1047"/>
      <c r="L1814" s="1009"/>
      <c r="M1814" s="1003"/>
      <c r="N1814" s="1003"/>
      <c r="O1814" s="1003"/>
      <c r="P1814" s="1003"/>
      <c r="Q1814" s="1003"/>
      <c r="R1814" s="1003"/>
      <c r="S1814" s="1003"/>
      <c r="T1814" s="1003"/>
      <c r="U1814" s="1003"/>
      <c r="V1814" s="1003"/>
      <c r="W1814" s="1003"/>
      <c r="X1814" s="1003"/>
      <c r="Y1814" s="1003"/>
      <c r="Z1814" s="1003"/>
      <c r="AA1814" s="1003"/>
      <c r="AB1814" s="1003"/>
      <c r="AC1814" s="1003"/>
      <c r="AD1814" s="1003"/>
      <c r="AE1814" s="1003"/>
      <c r="AF1814" s="1003"/>
      <c r="AG1814" s="1003"/>
      <c r="AH1814" s="1003"/>
      <c r="AI1814" s="1003"/>
      <c r="AJ1814" s="1003"/>
      <c r="AK1814" s="1003"/>
      <c r="AL1814" s="1003"/>
      <c r="AM1814" s="1003"/>
      <c r="AN1814" s="1003"/>
      <c r="AO1814" s="1003"/>
      <c r="AP1814" s="1003"/>
      <c r="AQ1814" s="1003"/>
      <c r="AR1814" s="1003"/>
      <c r="AS1814" s="1003"/>
      <c r="AT1814" s="1003"/>
      <c r="AU1814" s="1003"/>
      <c r="AV1814" s="1003"/>
      <c r="AW1814" s="1003"/>
      <c r="AX1814" s="1003"/>
      <c r="AY1814" s="1003"/>
      <c r="AZ1814" s="1003"/>
      <c r="BA1814" s="1003"/>
      <c r="BB1814" s="1003"/>
      <c r="BC1814" s="1003"/>
      <c r="BD1814" s="1003"/>
      <c r="BE1814" s="1003"/>
      <c r="BF1814" s="1003"/>
      <c r="BG1814" s="1003"/>
      <c r="BH1814" s="1003"/>
      <c r="BI1814" s="1003"/>
      <c r="BJ1814" s="1003"/>
      <c r="BK1814" s="1003"/>
      <c r="BL1814" s="1003"/>
    </row>
    <row r="1815" spans="1:64">
      <c r="A1815" s="1818"/>
      <c r="B1815" s="1002"/>
      <c r="C1815" s="1816" t="s">
        <v>1217</v>
      </c>
      <c r="D1815" s="1009" t="s">
        <v>1223</v>
      </c>
      <c r="E1815" s="1114" t="s">
        <v>1207</v>
      </c>
      <c r="F1815" s="1106" t="s">
        <v>1208</v>
      </c>
      <c r="G1815" s="1009" t="s">
        <v>1291</v>
      </c>
      <c r="H1815" s="1009" t="s">
        <v>1292</v>
      </c>
      <c r="I1815" s="1009" t="s">
        <v>1293</v>
      </c>
      <c r="J1815" s="1015"/>
      <c r="K1815" s="1047"/>
      <c r="L1815" s="1009"/>
      <c r="M1815" s="1003"/>
      <c r="N1815" s="1003"/>
      <c r="O1815" s="1003"/>
      <c r="P1815" s="1003"/>
      <c r="Q1815" s="1003"/>
      <c r="R1815" s="1003"/>
      <c r="S1815" s="1003"/>
      <c r="T1815" s="1003"/>
      <c r="U1815" s="1003"/>
      <c r="V1815" s="1003"/>
      <c r="W1815" s="1003"/>
      <c r="X1815" s="1003"/>
      <c r="Y1815" s="1003"/>
      <c r="Z1815" s="1003"/>
      <c r="AA1815" s="1003"/>
      <c r="AB1815" s="1003"/>
      <c r="AC1815" s="1003"/>
      <c r="AD1815" s="1003"/>
      <c r="AE1815" s="1003"/>
      <c r="AF1815" s="1003"/>
      <c r="AG1815" s="1003"/>
      <c r="AH1815" s="1003"/>
      <c r="AI1815" s="1003"/>
      <c r="AJ1815" s="1003"/>
      <c r="AK1815" s="1003"/>
      <c r="AL1815" s="1003"/>
      <c r="AM1815" s="1003"/>
      <c r="AN1815" s="1003"/>
      <c r="AO1815" s="1003"/>
      <c r="AP1815" s="1003"/>
      <c r="AQ1815" s="1003"/>
      <c r="AR1815" s="1003"/>
      <c r="AS1815" s="1003"/>
      <c r="AT1815" s="1003"/>
      <c r="AU1815" s="1003"/>
      <c r="AV1815" s="1003"/>
      <c r="AW1815" s="1003"/>
      <c r="AX1815" s="1003"/>
      <c r="AY1815" s="1003"/>
      <c r="AZ1815" s="1003"/>
      <c r="BA1815" s="1003"/>
      <c r="BB1815" s="1003"/>
      <c r="BC1815" s="1003"/>
      <c r="BD1815" s="1003"/>
      <c r="BE1815" s="1003"/>
      <c r="BF1815" s="1003"/>
      <c r="BG1815" s="1003"/>
      <c r="BH1815" s="1003"/>
      <c r="BI1815" s="1003"/>
      <c r="BJ1815" s="1003"/>
      <c r="BK1815" s="1003"/>
      <c r="BL1815" s="1003"/>
    </row>
    <row r="1816" spans="1:64">
      <c r="A1816" s="1818"/>
      <c r="B1816" s="1818"/>
      <c r="C1816" s="1817" t="s">
        <v>1317</v>
      </c>
      <c r="D1816" s="1001">
        <f t="shared" ref="D1816:I1816" si="429">$I$1806</f>
        <v>7047.81131</v>
      </c>
      <c r="E1816" s="1001">
        <f t="shared" si="429"/>
        <v>7047.81131</v>
      </c>
      <c r="F1816" s="1001">
        <f t="shared" si="429"/>
        <v>7047.81131</v>
      </c>
      <c r="G1816" s="1001">
        <f t="shared" si="429"/>
        <v>7047.81131</v>
      </c>
      <c r="H1816" s="1001">
        <f t="shared" si="429"/>
        <v>7047.81131</v>
      </c>
      <c r="I1816" s="1001">
        <f t="shared" si="429"/>
        <v>7047.81131</v>
      </c>
      <c r="J1816" s="1015"/>
      <c r="K1816" s="1047"/>
      <c r="L1816" s="1009"/>
      <c r="M1816" s="1003"/>
      <c r="N1816" s="1003"/>
      <c r="O1816" s="1003"/>
      <c r="P1816" s="1003"/>
      <c r="Q1816" s="1003"/>
      <c r="R1816" s="1003"/>
      <c r="S1816" s="1003"/>
      <c r="T1816" s="1003"/>
      <c r="U1816" s="1003"/>
      <c r="V1816" s="1003"/>
      <c r="W1816" s="1003"/>
      <c r="X1816" s="1003"/>
      <c r="Y1816" s="1003"/>
      <c r="Z1816" s="1003"/>
      <c r="AA1816" s="1003"/>
      <c r="AB1816" s="1003"/>
      <c r="AC1816" s="1003"/>
      <c r="AD1816" s="1003"/>
      <c r="AE1816" s="1003"/>
      <c r="AF1816" s="1003"/>
      <c r="AG1816" s="1003"/>
      <c r="AH1816" s="1003"/>
      <c r="AI1816" s="1003"/>
      <c r="AJ1816" s="1003"/>
      <c r="AK1816" s="1003"/>
      <c r="AL1816" s="1003"/>
      <c r="AM1816" s="1003"/>
      <c r="AN1816" s="1003"/>
      <c r="AO1816" s="1003"/>
      <c r="AP1816" s="1003"/>
      <c r="AQ1816" s="1003"/>
      <c r="AR1816" s="1003"/>
      <c r="AS1816" s="1003"/>
      <c r="AT1816" s="1003"/>
      <c r="AU1816" s="1003"/>
      <c r="AV1816" s="1003"/>
      <c r="AW1816" s="1003"/>
      <c r="AX1816" s="1003"/>
      <c r="AY1816" s="1003"/>
      <c r="AZ1816" s="1003"/>
      <c r="BA1816" s="1003"/>
      <c r="BB1816" s="1003"/>
      <c r="BC1816" s="1003"/>
      <c r="BD1816" s="1003"/>
      <c r="BE1816" s="1003"/>
      <c r="BF1816" s="1003"/>
      <c r="BG1816" s="1003"/>
      <c r="BH1816" s="1003"/>
      <c r="BI1816" s="1003"/>
      <c r="BJ1816" s="1003"/>
      <c r="BK1816" s="1003"/>
      <c r="BL1816" s="1003"/>
    </row>
    <row r="1817" spans="1:64">
      <c r="A1817" s="1818"/>
      <c r="B1817" s="1818"/>
      <c r="C1817" s="1817" t="s">
        <v>1313</v>
      </c>
      <c r="D1817" s="1001">
        <f>'Civil-SOR'!$F$222/0.225</f>
        <v>51.822222222222223</v>
      </c>
      <c r="E1817" s="1001">
        <f>'Civil-SOR'!$F$223/0.225</f>
        <v>51.822222222222223</v>
      </c>
      <c r="F1817" s="1001">
        <f>'Civil-SOR'!$F$224/0.225</f>
        <v>51.822222222222223</v>
      </c>
      <c r="G1817" s="1001">
        <f>'Civil-SOR'!$F$225/0.225</f>
        <v>51.822222222222223</v>
      </c>
      <c r="H1817" s="1001">
        <f>'Civil-SOR'!$F$225/0.225</f>
        <v>51.822222222222223</v>
      </c>
      <c r="I1817" s="1001">
        <f>'Civil-SOR'!$F$225/0.225</f>
        <v>51.822222222222223</v>
      </c>
      <c r="J1817" s="1015"/>
      <c r="K1817" s="1047"/>
      <c r="L1817" s="1009"/>
      <c r="M1817" s="1003"/>
      <c r="N1817" s="1003"/>
      <c r="O1817" s="1003"/>
      <c r="P1817" s="1003"/>
      <c r="Q1817" s="1003"/>
      <c r="R1817" s="1003"/>
      <c r="S1817" s="1003"/>
      <c r="T1817" s="1003"/>
      <c r="U1817" s="1003"/>
      <c r="V1817" s="1003"/>
      <c r="W1817" s="1003"/>
      <c r="X1817" s="1003"/>
      <c r="Y1817" s="1003"/>
      <c r="Z1817" s="1003"/>
      <c r="AA1817" s="1003"/>
      <c r="AB1817" s="1003"/>
      <c r="AC1817" s="1003"/>
      <c r="AD1817" s="1003"/>
      <c r="AE1817" s="1003"/>
      <c r="AF1817" s="1003"/>
      <c r="AG1817" s="1003"/>
      <c r="AH1817" s="1003"/>
      <c r="AI1817" s="1003"/>
      <c r="AJ1817" s="1003"/>
      <c r="AK1817" s="1003"/>
      <c r="AL1817" s="1003"/>
      <c r="AM1817" s="1003"/>
      <c r="AN1817" s="1003"/>
      <c r="AO1817" s="1003"/>
      <c r="AP1817" s="1003"/>
      <c r="AQ1817" s="1003"/>
      <c r="AR1817" s="1003"/>
      <c r="AS1817" s="1003"/>
      <c r="AT1817" s="1003"/>
      <c r="AU1817" s="1003"/>
      <c r="AV1817" s="1003"/>
      <c r="AW1817" s="1003"/>
      <c r="AX1817" s="1003"/>
      <c r="AY1817" s="1003"/>
      <c r="AZ1817" s="1003"/>
      <c r="BA1817" s="1003"/>
      <c r="BB1817" s="1003"/>
      <c r="BC1817" s="1003"/>
      <c r="BD1817" s="1003"/>
      <c r="BE1817" s="1003"/>
      <c r="BF1817" s="1003"/>
      <c r="BG1817" s="1003"/>
      <c r="BH1817" s="1003"/>
      <c r="BI1817" s="1003"/>
      <c r="BJ1817" s="1003"/>
      <c r="BK1817" s="1003"/>
      <c r="BL1817" s="1003"/>
    </row>
    <row r="1818" spans="1:64">
      <c r="A1818" s="1818"/>
      <c r="B1818" s="1818"/>
      <c r="C1818" s="1817" t="s">
        <v>1314</v>
      </c>
      <c r="D1818" s="1001">
        <f>ROUND('Civil-SOR'!$G$222/0.225,2)</f>
        <v>419.07</v>
      </c>
      <c r="E1818" s="1001">
        <f>ROUND('Civil-SOR'!$G$223/0.225,2)</f>
        <v>602.71</v>
      </c>
      <c r="F1818" s="1001">
        <f>ROUND('Civil-SOR'!$G$224/0.225,2)</f>
        <v>786.36</v>
      </c>
      <c r="G1818" s="1001">
        <f>ROUND('Civil-SOR'!$G$225/0.225,2)</f>
        <v>970</v>
      </c>
      <c r="H1818" s="1001">
        <f>ROUND('Civil-SOR'!$G$226/0.225,2)</f>
        <v>1153.6400000000001</v>
      </c>
      <c r="I1818" s="1001">
        <f>ROUND('Civil-SOR'!$G$227/0.225,2)</f>
        <v>1337.29</v>
      </c>
      <c r="J1818" s="1015"/>
      <c r="K1818" s="1047"/>
      <c r="L1818" s="1009"/>
      <c r="M1818" s="1003"/>
      <c r="N1818" s="1003"/>
      <c r="O1818" s="1003"/>
      <c r="P1818" s="1003"/>
      <c r="Q1818" s="1003"/>
      <c r="R1818" s="1003"/>
      <c r="S1818" s="1003"/>
      <c r="T1818" s="1003"/>
      <c r="U1818" s="1003"/>
      <c r="V1818" s="1003"/>
      <c r="W1818" s="1003"/>
      <c r="X1818" s="1003"/>
      <c r="Y1818" s="1003"/>
      <c r="Z1818" s="1003"/>
      <c r="AA1818" s="1003"/>
      <c r="AB1818" s="1003"/>
      <c r="AC1818" s="1003"/>
      <c r="AD1818" s="1003"/>
      <c r="AE1818" s="1003"/>
      <c r="AF1818" s="1003"/>
      <c r="AG1818" s="1003"/>
      <c r="AH1818" s="1003"/>
      <c r="AI1818" s="1003"/>
      <c r="AJ1818" s="1003"/>
      <c r="AK1818" s="1003"/>
      <c r="AL1818" s="1003"/>
      <c r="AM1818" s="1003"/>
      <c r="AN1818" s="1003"/>
      <c r="AO1818" s="1003"/>
      <c r="AP1818" s="1003"/>
      <c r="AQ1818" s="1003"/>
      <c r="AR1818" s="1003"/>
      <c r="AS1818" s="1003"/>
      <c r="AT1818" s="1003"/>
      <c r="AU1818" s="1003"/>
      <c r="AV1818" s="1003"/>
      <c r="AW1818" s="1003"/>
      <c r="AX1818" s="1003"/>
      <c r="AY1818" s="1003"/>
      <c r="AZ1818" s="1003"/>
      <c r="BA1818" s="1003"/>
      <c r="BB1818" s="1003"/>
      <c r="BC1818" s="1003"/>
      <c r="BD1818" s="1003"/>
      <c r="BE1818" s="1003"/>
      <c r="BF1818" s="1003"/>
      <c r="BG1818" s="1003"/>
      <c r="BH1818" s="1003"/>
      <c r="BI1818" s="1003"/>
      <c r="BJ1818" s="1003"/>
      <c r="BK1818" s="1003"/>
      <c r="BL1818" s="1003"/>
    </row>
    <row r="1819" spans="1:64">
      <c r="A1819" s="1818"/>
      <c r="B1819" s="1818"/>
      <c r="C1819" s="1817" t="str">
        <f>Input!$C$47</f>
        <v>Add for MA @ 40%</v>
      </c>
      <c r="D1819" s="1001">
        <f>Input!$D$47*D1818</f>
        <v>167.62800000000001</v>
      </c>
      <c r="E1819" s="1001">
        <f>Input!$D$47*E1818</f>
        <v>241.08400000000003</v>
      </c>
      <c r="F1819" s="1001">
        <f>Input!$D$47*F1818</f>
        <v>314.54400000000004</v>
      </c>
      <c r="G1819" s="1001">
        <f>Input!$D$47*G1818</f>
        <v>388</v>
      </c>
      <c r="H1819" s="1001">
        <f>Input!$D$47*H1818</f>
        <v>461.45600000000007</v>
      </c>
      <c r="I1819" s="1001">
        <f>Input!$D$47*I1818</f>
        <v>534.91600000000005</v>
      </c>
      <c r="J1819" s="1015"/>
      <c r="K1819" s="1047"/>
      <c r="L1819" s="1009"/>
      <c r="M1819" s="1003"/>
      <c r="N1819" s="1003"/>
      <c r="O1819" s="1003"/>
      <c r="P1819" s="1003"/>
      <c r="Q1819" s="1003"/>
      <c r="R1819" s="1003"/>
      <c r="S1819" s="1003"/>
      <c r="T1819" s="1003"/>
      <c r="U1819" s="1003"/>
      <c r="V1819" s="1003"/>
      <c r="W1819" s="1003"/>
      <c r="X1819" s="1003"/>
      <c r="Y1819" s="1003"/>
      <c r="Z1819" s="1003"/>
      <c r="AA1819" s="1003"/>
      <c r="AB1819" s="1003"/>
      <c r="AC1819" s="1003"/>
      <c r="AD1819" s="1003"/>
      <c r="AE1819" s="1003"/>
      <c r="AF1819" s="1003"/>
      <c r="AG1819" s="1003"/>
      <c r="AH1819" s="1003"/>
      <c r="AI1819" s="1003"/>
      <c r="AJ1819" s="1003"/>
      <c r="AK1819" s="1003"/>
      <c r="AL1819" s="1003"/>
      <c r="AM1819" s="1003"/>
      <c r="AN1819" s="1003"/>
      <c r="AO1819" s="1003"/>
      <c r="AP1819" s="1003"/>
      <c r="AQ1819" s="1003"/>
      <c r="AR1819" s="1003"/>
      <c r="AS1819" s="1003"/>
      <c r="AT1819" s="1003"/>
      <c r="AU1819" s="1003"/>
      <c r="AV1819" s="1003"/>
      <c r="AW1819" s="1003"/>
      <c r="AX1819" s="1003"/>
      <c r="AY1819" s="1003"/>
      <c r="AZ1819" s="1003"/>
      <c r="BA1819" s="1003"/>
      <c r="BB1819" s="1003"/>
      <c r="BC1819" s="1003"/>
      <c r="BD1819" s="1003"/>
      <c r="BE1819" s="1003"/>
      <c r="BF1819" s="1003"/>
      <c r="BG1819" s="1003"/>
      <c r="BH1819" s="1003"/>
      <c r="BI1819" s="1003"/>
      <c r="BJ1819" s="1003"/>
      <c r="BK1819" s="1003"/>
      <c r="BL1819" s="1003"/>
    </row>
    <row r="1820" spans="1:64">
      <c r="A1820" s="1818"/>
      <c r="B1820" s="1818"/>
      <c r="C1820" s="1817" t="s">
        <v>1253</v>
      </c>
      <c r="D1820" s="1001">
        <v>0</v>
      </c>
      <c r="E1820" s="1001">
        <f>ROUND($F$1804*10%,2)</f>
        <v>220.56</v>
      </c>
      <c r="F1820" s="1001">
        <f>ROUND($F$1804*20%,2)</f>
        <v>441.12</v>
      </c>
      <c r="G1820" s="1001">
        <f>ROUND($F$1804*30%,2)</f>
        <v>661.68</v>
      </c>
      <c r="H1820" s="1001">
        <f>ROUND($F$1804*40%,2)</f>
        <v>882.24</v>
      </c>
      <c r="I1820" s="1001">
        <f>ROUND($F$1804*50%,2)</f>
        <v>1102.8</v>
      </c>
      <c r="J1820" s="1015"/>
      <c r="K1820" s="1047"/>
      <c r="L1820" s="1009"/>
      <c r="M1820" s="1003"/>
      <c r="N1820" s="1003"/>
      <c r="O1820" s="1003"/>
      <c r="P1820" s="1003"/>
      <c r="Q1820" s="1003"/>
      <c r="R1820" s="1003"/>
      <c r="S1820" s="1003"/>
      <c r="T1820" s="1003"/>
      <c r="U1820" s="1003"/>
      <c r="V1820" s="1003"/>
      <c r="W1820" s="1003"/>
      <c r="X1820" s="1003"/>
      <c r="Y1820" s="1003"/>
      <c r="Z1820" s="1003"/>
      <c r="AA1820" s="1003"/>
      <c r="AB1820" s="1003"/>
      <c r="AC1820" s="1003"/>
      <c r="AD1820" s="1003"/>
      <c r="AE1820" s="1003"/>
      <c r="AF1820" s="1003"/>
      <c r="AG1820" s="1003"/>
      <c r="AH1820" s="1003"/>
      <c r="AI1820" s="1003"/>
      <c r="AJ1820" s="1003"/>
      <c r="AK1820" s="1003"/>
      <c r="AL1820" s="1003"/>
      <c r="AM1820" s="1003"/>
      <c r="AN1820" s="1003"/>
      <c r="AO1820" s="1003"/>
      <c r="AP1820" s="1003"/>
      <c r="AQ1820" s="1003"/>
      <c r="AR1820" s="1003"/>
      <c r="AS1820" s="1003"/>
      <c r="AT1820" s="1003"/>
      <c r="AU1820" s="1003"/>
      <c r="AV1820" s="1003"/>
      <c r="AW1820" s="1003"/>
      <c r="AX1820" s="1003"/>
      <c r="AY1820" s="1003"/>
      <c r="AZ1820" s="1003"/>
      <c r="BA1820" s="1003"/>
      <c r="BB1820" s="1003"/>
      <c r="BC1820" s="1003"/>
      <c r="BD1820" s="1003"/>
      <c r="BE1820" s="1003"/>
      <c r="BF1820" s="1003"/>
      <c r="BG1820" s="1003"/>
      <c r="BH1820" s="1003"/>
      <c r="BI1820" s="1003"/>
      <c r="BJ1820" s="1003"/>
      <c r="BK1820" s="1003"/>
      <c r="BL1820" s="1003"/>
    </row>
    <row r="1821" spans="1:64">
      <c r="A1821" s="1818"/>
      <c r="B1821" s="1818"/>
      <c r="C1821" s="1817" t="str">
        <f>Input!$C$47</f>
        <v>Add for MA @ 40%</v>
      </c>
      <c r="D1821" s="1001">
        <f>D1820*Input!$D$47</f>
        <v>0</v>
      </c>
      <c r="E1821" s="1001">
        <f>E1820*Input!$D$47</f>
        <v>88.224000000000004</v>
      </c>
      <c r="F1821" s="1001">
        <f>F1820*Input!$D$47</f>
        <v>176.44800000000001</v>
      </c>
      <c r="G1821" s="1001">
        <f>G1820*Input!$D$47</f>
        <v>264.67199999999997</v>
      </c>
      <c r="H1821" s="1001">
        <f>H1820*Input!$D$47</f>
        <v>352.89600000000002</v>
      </c>
      <c r="I1821" s="1001">
        <f>I1820*Input!$D$47</f>
        <v>441.12</v>
      </c>
      <c r="J1821" s="1015"/>
      <c r="K1821" s="1047"/>
      <c r="L1821" s="1009"/>
      <c r="M1821" s="1003"/>
      <c r="N1821" s="1003"/>
      <c r="O1821" s="1003"/>
      <c r="P1821" s="1003"/>
      <c r="Q1821" s="1003"/>
      <c r="R1821" s="1003"/>
      <c r="S1821" s="1003"/>
      <c r="T1821" s="1003"/>
      <c r="U1821" s="1003"/>
      <c r="V1821" s="1003"/>
      <c r="W1821" s="1003"/>
      <c r="X1821" s="1003"/>
      <c r="Y1821" s="1003"/>
      <c r="Z1821" s="1003"/>
      <c r="AA1821" s="1003"/>
      <c r="AB1821" s="1003"/>
      <c r="AC1821" s="1003"/>
      <c r="AD1821" s="1003"/>
      <c r="AE1821" s="1003"/>
      <c r="AF1821" s="1003"/>
      <c r="AG1821" s="1003"/>
      <c r="AH1821" s="1003"/>
      <c r="AI1821" s="1003"/>
      <c r="AJ1821" s="1003"/>
      <c r="AK1821" s="1003"/>
      <c r="AL1821" s="1003"/>
      <c r="AM1821" s="1003"/>
      <c r="AN1821" s="1003"/>
      <c r="AO1821" s="1003"/>
      <c r="AP1821" s="1003"/>
      <c r="AQ1821" s="1003"/>
      <c r="AR1821" s="1003"/>
      <c r="AS1821" s="1003"/>
      <c r="AT1821" s="1003"/>
      <c r="AU1821" s="1003"/>
      <c r="AV1821" s="1003"/>
      <c r="AW1821" s="1003"/>
      <c r="AX1821" s="1003"/>
      <c r="AY1821" s="1003"/>
      <c r="AZ1821" s="1003"/>
      <c r="BA1821" s="1003"/>
      <c r="BB1821" s="1003"/>
      <c r="BC1821" s="1003"/>
      <c r="BD1821" s="1003"/>
      <c r="BE1821" s="1003"/>
      <c r="BF1821" s="1003"/>
      <c r="BG1821" s="1003"/>
      <c r="BH1821" s="1003"/>
      <c r="BI1821" s="1003"/>
      <c r="BJ1821" s="1003"/>
      <c r="BK1821" s="1003"/>
      <c r="BL1821" s="1003"/>
    </row>
    <row r="1822" spans="1:64">
      <c r="A1822" s="1818"/>
      <c r="B1822" s="1818"/>
      <c r="C1822" s="1817"/>
      <c r="D1822" s="1001">
        <f t="shared" ref="D1822:I1822" si="430">SUM(D1816:D1821)</f>
        <v>7686.3315322222215</v>
      </c>
      <c r="E1822" s="1001">
        <f t="shared" si="430"/>
        <v>8252.2115322222216</v>
      </c>
      <c r="F1822" s="1001">
        <f t="shared" si="430"/>
        <v>8818.1055322222237</v>
      </c>
      <c r="G1822" s="1001">
        <f t="shared" si="430"/>
        <v>9383.9855322222229</v>
      </c>
      <c r="H1822" s="1001">
        <f t="shared" si="430"/>
        <v>9949.8655322222221</v>
      </c>
      <c r="I1822" s="1001">
        <f t="shared" si="430"/>
        <v>10515.759532222222</v>
      </c>
      <c r="J1822" s="1015"/>
      <c r="K1822" s="1047"/>
      <c r="L1822" s="1009"/>
      <c r="M1822" s="1003"/>
      <c r="N1822" s="1003"/>
      <c r="O1822" s="1003"/>
      <c r="P1822" s="1003"/>
      <c r="Q1822" s="1003"/>
      <c r="R1822" s="1003"/>
      <c r="S1822" s="1003"/>
      <c r="T1822" s="1003"/>
      <c r="U1822" s="1003"/>
      <c r="V1822" s="1003"/>
      <c r="W1822" s="1003"/>
      <c r="X1822" s="1003"/>
      <c r="Y1822" s="1003"/>
      <c r="Z1822" s="1003"/>
      <c r="AA1822" s="1003"/>
      <c r="AB1822" s="1003"/>
      <c r="AC1822" s="1003"/>
      <c r="AD1822" s="1003"/>
      <c r="AE1822" s="1003"/>
      <c r="AF1822" s="1003"/>
      <c r="AG1822" s="1003"/>
      <c r="AH1822" s="1003"/>
      <c r="AI1822" s="1003"/>
      <c r="AJ1822" s="1003"/>
      <c r="AK1822" s="1003"/>
      <c r="AL1822" s="1003"/>
      <c r="AM1822" s="1003"/>
      <c r="AN1822" s="1003"/>
      <c r="AO1822" s="1003"/>
      <c r="AP1822" s="1003"/>
      <c r="AQ1822" s="1003"/>
      <c r="AR1822" s="1003"/>
      <c r="AS1822" s="1003"/>
      <c r="AT1822" s="1003"/>
      <c r="AU1822" s="1003"/>
      <c r="AV1822" s="1003"/>
      <c r="AW1822" s="1003"/>
      <c r="AX1822" s="1003"/>
      <c r="AY1822" s="1003"/>
      <c r="AZ1822" s="1003"/>
      <c r="BA1822" s="1003"/>
      <c r="BB1822" s="1003"/>
      <c r="BC1822" s="1003"/>
      <c r="BD1822" s="1003"/>
      <c r="BE1822" s="1003"/>
      <c r="BF1822" s="1003"/>
      <c r="BG1822" s="1003"/>
      <c r="BH1822" s="1003"/>
      <c r="BI1822" s="1003"/>
      <c r="BJ1822" s="1003"/>
      <c r="BK1822" s="1003"/>
      <c r="BL1822" s="1003"/>
    </row>
    <row r="1823" spans="1:64">
      <c r="A1823" s="1818"/>
      <c r="B1823" s="1818"/>
      <c r="C1823" s="1817" t="str">
        <f>Input!$C$48</f>
        <v>Overheads &amp; Contractors Profit @ 13.615%</v>
      </c>
      <c r="D1823" s="1001">
        <f>ROUND(D1822*Input!$D$48,2)</f>
        <v>1046.49</v>
      </c>
      <c r="E1823" s="1001">
        <f>ROUND(E1822*Input!$D$48,2)</f>
        <v>1123.54</v>
      </c>
      <c r="F1823" s="1001">
        <f>ROUND(F1822*Input!$D$48,2)</f>
        <v>1200.5899999999999</v>
      </c>
      <c r="G1823" s="1001">
        <f>ROUND(G1822*Input!$D$48,2)</f>
        <v>1277.6300000000001</v>
      </c>
      <c r="H1823" s="1001">
        <f>ROUND(H1822*Input!$D$48,2)</f>
        <v>1354.67</v>
      </c>
      <c r="I1823" s="1001">
        <f>ROUND(I1822*Input!$D$48,2)</f>
        <v>1431.72</v>
      </c>
      <c r="J1823" s="1015"/>
      <c r="K1823" s="1047"/>
      <c r="L1823" s="1009"/>
      <c r="M1823" s="1003"/>
      <c r="N1823" s="1003"/>
      <c r="O1823" s="1003"/>
      <c r="P1823" s="1003"/>
      <c r="Q1823" s="1003"/>
      <c r="R1823" s="1003"/>
      <c r="S1823" s="1003"/>
      <c r="T1823" s="1003"/>
      <c r="U1823" s="1003"/>
      <c r="V1823" s="1003"/>
      <c r="W1823" s="1003"/>
      <c r="X1823" s="1003"/>
      <c r="Y1823" s="1003"/>
      <c r="Z1823" s="1003"/>
      <c r="AA1823" s="1003"/>
      <c r="AB1823" s="1003"/>
      <c r="AC1823" s="1003"/>
      <c r="AD1823" s="1003"/>
      <c r="AE1823" s="1003"/>
      <c r="AF1823" s="1003"/>
      <c r="AG1823" s="1003"/>
      <c r="AH1823" s="1003"/>
      <c r="AI1823" s="1003"/>
      <c r="AJ1823" s="1003"/>
      <c r="AK1823" s="1003"/>
      <c r="AL1823" s="1003"/>
      <c r="AM1823" s="1003"/>
      <c r="AN1823" s="1003"/>
      <c r="AO1823" s="1003"/>
      <c r="AP1823" s="1003"/>
      <c r="AQ1823" s="1003"/>
      <c r="AR1823" s="1003"/>
      <c r="AS1823" s="1003"/>
      <c r="AT1823" s="1003"/>
      <c r="AU1823" s="1003"/>
      <c r="AV1823" s="1003"/>
      <c r="AW1823" s="1003"/>
      <c r="AX1823" s="1003"/>
      <c r="AY1823" s="1003"/>
      <c r="AZ1823" s="1003"/>
      <c r="BA1823" s="1003"/>
      <c r="BB1823" s="1003"/>
      <c r="BC1823" s="1003"/>
      <c r="BD1823" s="1003"/>
      <c r="BE1823" s="1003"/>
      <c r="BF1823" s="1003"/>
      <c r="BG1823" s="1003"/>
      <c r="BH1823" s="1003"/>
      <c r="BI1823" s="1003"/>
      <c r="BJ1823" s="1003"/>
      <c r="BK1823" s="1003"/>
      <c r="BL1823" s="1003"/>
    </row>
    <row r="1824" spans="1:64">
      <c r="A1824" s="1086"/>
      <c r="B1824" s="1086"/>
      <c r="C1824" s="1088" t="s">
        <v>1032</v>
      </c>
      <c r="D1824" s="1165">
        <f t="shared" ref="D1824:I1824" si="431">SUM(D1822:D1823)</f>
        <v>8732.8215322222222</v>
      </c>
      <c r="E1824" s="1165">
        <f t="shared" si="431"/>
        <v>9375.7515322222207</v>
      </c>
      <c r="F1824" s="1826">
        <f t="shared" si="431"/>
        <v>10018.695532222224</v>
      </c>
      <c r="G1824" s="1165">
        <f t="shared" si="431"/>
        <v>10661.615532222222</v>
      </c>
      <c r="H1824" s="1165">
        <f t="shared" si="431"/>
        <v>11304.535532222222</v>
      </c>
      <c r="I1824" s="1826">
        <f t="shared" si="431"/>
        <v>11947.479532222222</v>
      </c>
      <c r="J1824" s="1015"/>
      <c r="K1824" s="1047"/>
      <c r="L1824" s="1009"/>
      <c r="M1824" s="997"/>
      <c r="N1824" s="997"/>
      <c r="O1824" s="997"/>
      <c r="P1824" s="997"/>
      <c r="Q1824" s="997"/>
      <c r="R1824" s="997"/>
      <c r="S1824" s="997"/>
      <c r="T1824" s="997"/>
      <c r="U1824" s="997"/>
      <c r="V1824" s="997"/>
      <c r="W1824" s="997"/>
      <c r="X1824" s="997"/>
      <c r="Y1824" s="997"/>
      <c r="Z1824" s="997"/>
      <c r="AA1824" s="997"/>
      <c r="AB1824" s="997"/>
      <c r="AC1824" s="997"/>
      <c r="AD1824" s="997"/>
      <c r="AE1824" s="997"/>
      <c r="AF1824" s="997"/>
      <c r="AG1824" s="997"/>
      <c r="AH1824" s="997"/>
      <c r="AI1824" s="997"/>
      <c r="AJ1824" s="997"/>
      <c r="AK1824" s="997"/>
      <c r="AL1824" s="997"/>
      <c r="AM1824" s="997"/>
      <c r="AN1824" s="997"/>
      <c r="AO1824" s="997"/>
      <c r="AP1824" s="997"/>
      <c r="AQ1824" s="997"/>
      <c r="AR1824" s="997"/>
      <c r="AS1824" s="997"/>
      <c r="AT1824" s="997"/>
      <c r="AU1824" s="997"/>
      <c r="AV1824" s="997"/>
      <c r="AW1824" s="997"/>
      <c r="AX1824" s="997"/>
      <c r="AY1824" s="997"/>
      <c r="AZ1824" s="997"/>
      <c r="BA1824" s="997"/>
      <c r="BB1824" s="997"/>
      <c r="BC1824" s="997"/>
      <c r="BD1824" s="997"/>
      <c r="BE1824" s="997"/>
      <c r="BF1824" s="997"/>
      <c r="BG1824" s="997"/>
      <c r="BH1824" s="997"/>
      <c r="BI1824" s="997"/>
      <c r="BJ1824" s="997"/>
      <c r="BK1824" s="997"/>
      <c r="BL1824" s="997"/>
    </row>
    <row r="1825" spans="1:64">
      <c r="A1825" s="1086"/>
      <c r="B1825" s="1086"/>
      <c r="C1825" s="1118" t="s">
        <v>1034</v>
      </c>
      <c r="D1825" s="999">
        <f t="shared" ref="D1825:I1825" si="432">ROUND(D1824,0)</f>
        <v>8733</v>
      </c>
      <c r="E1825" s="999">
        <f t="shared" si="432"/>
        <v>9376</v>
      </c>
      <c r="F1825" s="999">
        <f t="shared" si="432"/>
        <v>10019</v>
      </c>
      <c r="G1825" s="999">
        <f t="shared" si="432"/>
        <v>10662</v>
      </c>
      <c r="H1825" s="999">
        <f t="shared" si="432"/>
        <v>11305</v>
      </c>
      <c r="I1825" s="1826">
        <f t="shared" si="432"/>
        <v>11947</v>
      </c>
      <c r="J1825" s="1015"/>
      <c r="K1825" s="1047"/>
      <c r="L1825" s="1009"/>
      <c r="M1825" s="997"/>
      <c r="N1825" s="997"/>
      <c r="O1825" s="997"/>
      <c r="P1825" s="997"/>
      <c r="Q1825" s="997"/>
      <c r="R1825" s="997"/>
      <c r="S1825" s="997"/>
      <c r="T1825" s="997"/>
      <c r="U1825" s="997"/>
      <c r="V1825" s="997"/>
      <c r="W1825" s="997"/>
      <c r="X1825" s="997"/>
      <c r="Y1825" s="997"/>
      <c r="Z1825" s="997"/>
      <c r="AA1825" s="997"/>
      <c r="AB1825" s="997"/>
      <c r="AC1825" s="997"/>
      <c r="AD1825" s="997"/>
      <c r="AE1825" s="997"/>
      <c r="AF1825" s="997"/>
      <c r="AG1825" s="997"/>
      <c r="AH1825" s="997"/>
      <c r="AI1825" s="997"/>
      <c r="AJ1825" s="997"/>
      <c r="AK1825" s="997"/>
      <c r="AL1825" s="997"/>
      <c r="AM1825" s="997"/>
      <c r="AN1825" s="997"/>
      <c r="AO1825" s="997"/>
      <c r="AP1825" s="997"/>
      <c r="AQ1825" s="997"/>
      <c r="AR1825" s="997"/>
      <c r="AS1825" s="997"/>
      <c r="AT1825" s="997"/>
      <c r="AU1825" s="997"/>
      <c r="AV1825" s="997"/>
      <c r="AW1825" s="997"/>
      <c r="AX1825" s="997"/>
      <c r="AY1825" s="997"/>
      <c r="AZ1825" s="997"/>
      <c r="BA1825" s="997"/>
      <c r="BB1825" s="997"/>
      <c r="BC1825" s="997"/>
      <c r="BD1825" s="997"/>
      <c r="BE1825" s="997"/>
      <c r="BF1825" s="997"/>
      <c r="BG1825" s="997"/>
      <c r="BH1825" s="997"/>
      <c r="BI1825" s="997"/>
      <c r="BJ1825" s="997"/>
      <c r="BK1825" s="997"/>
      <c r="BL1825" s="997"/>
    </row>
    <row r="1826" spans="1:64">
      <c r="A1826" s="1818"/>
      <c r="B1826" s="1818"/>
      <c r="C1826" s="1816"/>
      <c r="D1826" s="1114"/>
      <c r="E1826" s="1114"/>
      <c r="F1826" s="1114"/>
      <c r="G1826" s="1114"/>
      <c r="H1826" s="1114"/>
      <c r="I1826" s="1011"/>
      <c r="J1826" s="1015"/>
      <c r="K1826" s="1047"/>
      <c r="L1826" s="1009"/>
    </row>
    <row r="1827" spans="1:64">
      <c r="A1827" s="1818"/>
      <c r="B1827" s="1818"/>
      <c r="C1827" s="1816" t="s">
        <v>1217</v>
      </c>
      <c r="D1827" s="1102" t="s">
        <v>1212</v>
      </c>
      <c r="E1827" s="1102" t="s">
        <v>1213</v>
      </c>
      <c r="F1827" s="1102" t="s">
        <v>1214</v>
      </c>
      <c r="G1827" s="1114"/>
      <c r="H1827" s="1114"/>
      <c r="I1827" s="1011"/>
      <c r="J1827" s="1846"/>
      <c r="K1827" s="1846"/>
      <c r="L1827" s="1846"/>
    </row>
    <row r="1828" spans="1:64">
      <c r="A1828" s="1818"/>
      <c r="B1828" s="1818"/>
      <c r="C1828" s="1817" t="s">
        <v>1317</v>
      </c>
      <c r="D1828" s="1001">
        <f>$I$1806</f>
        <v>7047.81131</v>
      </c>
      <c r="E1828" s="1001">
        <f>$I$1806</f>
        <v>7047.81131</v>
      </c>
      <c r="F1828" s="1001">
        <f>$I$1806</f>
        <v>7047.81131</v>
      </c>
      <c r="G1828" s="1114"/>
      <c r="H1828" s="1114"/>
      <c r="I1828" s="1011"/>
      <c r="J1828" s="1846"/>
      <c r="K1828" s="1846"/>
      <c r="L1828" s="1846"/>
    </row>
    <row r="1829" spans="1:64">
      <c r="A1829" s="1818"/>
      <c r="B1829" s="1818"/>
      <c r="C1829" s="1817" t="s">
        <v>1313</v>
      </c>
      <c r="D1829" s="1001">
        <f>'Civil-SOR'!$F$225/0.225</f>
        <v>51.822222222222223</v>
      </c>
      <c r="E1829" s="1001">
        <f>'Civil-SOR'!$F$225/0.225</f>
        <v>51.822222222222223</v>
      </c>
      <c r="F1829" s="1001">
        <f>'Civil-SOR'!$F$225/0.225</f>
        <v>51.822222222222223</v>
      </c>
      <c r="G1829" s="1114"/>
      <c r="H1829" s="1114"/>
      <c r="I1829" s="1011"/>
      <c r="J1829" s="1846"/>
      <c r="K1829" s="1846"/>
      <c r="L1829" s="1846"/>
    </row>
    <row r="1830" spans="1:64">
      <c r="A1830" s="1818"/>
      <c r="B1830" s="1818"/>
      <c r="C1830" s="1817" t="s">
        <v>1314</v>
      </c>
      <c r="D1830" s="1001">
        <f>ROUND('Civil-SOR'!$G$228/0.225,2)</f>
        <v>1521.87</v>
      </c>
      <c r="E1830" s="1001">
        <f>ROUND('Civil-SOR'!$G$229/0.225,2)</f>
        <v>1704.53</v>
      </c>
      <c r="F1830" s="1001">
        <f>ROUND('Civil-SOR'!$G$230/0.225,2)</f>
        <v>1888.18</v>
      </c>
      <c r="G1830" s="1114"/>
      <c r="H1830" s="1114"/>
      <c r="I1830" s="1011"/>
      <c r="J1830" s="1846"/>
      <c r="K1830" s="1846"/>
      <c r="L1830" s="1846"/>
    </row>
    <row r="1831" spans="1:64">
      <c r="A1831" s="1818"/>
      <c r="B1831" s="1818"/>
      <c r="C1831" s="1817" t="str">
        <f>Input!$C$47</f>
        <v>Add for MA @ 40%</v>
      </c>
      <c r="D1831" s="1001">
        <f>Input!$D$47*D1830</f>
        <v>608.74799999999993</v>
      </c>
      <c r="E1831" s="1001">
        <f>Input!$D$47*E1830</f>
        <v>681.81200000000001</v>
      </c>
      <c r="F1831" s="1001">
        <f>Input!$D$47*F1830</f>
        <v>755.27200000000005</v>
      </c>
      <c r="G1831" s="1114"/>
      <c r="H1831" s="1114"/>
      <c r="I1831" s="1011"/>
      <c r="J1831" s="1846"/>
      <c r="K1831" s="1846"/>
      <c r="L1831" s="1846"/>
    </row>
    <row r="1832" spans="1:64">
      <c r="A1832" s="1818"/>
      <c r="B1832" s="1818"/>
      <c r="C1832" s="1817" t="s">
        <v>1253</v>
      </c>
      <c r="D1832" s="1001">
        <f>ROUND($F$1804*60%,2)</f>
        <v>1323.36</v>
      </c>
      <c r="E1832" s="1001">
        <f>ROUND($F$1804*70%,2)</f>
        <v>1543.92</v>
      </c>
      <c r="F1832" s="1001">
        <f>ROUND($F$1804*80%,2)</f>
        <v>1764.48</v>
      </c>
      <c r="G1832" s="1114"/>
      <c r="H1832" s="1114"/>
      <c r="I1832" s="1011"/>
      <c r="J1832" s="1846"/>
      <c r="K1832" s="1846"/>
      <c r="L1832" s="1846"/>
    </row>
    <row r="1833" spans="1:64">
      <c r="A1833" s="1818"/>
      <c r="B1833" s="1818"/>
      <c r="C1833" s="1817" t="str">
        <f>Input!$C$47</f>
        <v>Add for MA @ 40%</v>
      </c>
      <c r="D1833" s="1001">
        <f>D1832*Input!$D$47</f>
        <v>529.34399999999994</v>
      </c>
      <c r="E1833" s="1001">
        <f>E1832*Input!$D$47</f>
        <v>617.5680000000001</v>
      </c>
      <c r="F1833" s="1001">
        <f>F1832*Input!$D$47</f>
        <v>705.79200000000003</v>
      </c>
      <c r="G1833" s="1114"/>
      <c r="H1833" s="1114"/>
      <c r="I1833" s="1011"/>
      <c r="J1833" s="1846"/>
      <c r="K1833" s="1846"/>
      <c r="L1833" s="1846"/>
    </row>
    <row r="1834" spans="1:64">
      <c r="A1834" s="1818"/>
      <c r="B1834" s="1818"/>
      <c r="C1834" s="1817"/>
      <c r="D1834" s="1001">
        <f>SUM(D1828:D1833)</f>
        <v>11082.95553222222</v>
      </c>
      <c r="E1834" s="1001">
        <f>SUM(E1828:E1833)</f>
        <v>11647.463532222222</v>
      </c>
      <c r="F1834" s="1001">
        <f>SUM(F1828:F1833)</f>
        <v>12213.357532222222</v>
      </c>
      <c r="G1834" s="1114"/>
      <c r="H1834" s="1114"/>
      <c r="I1834" s="1011"/>
      <c r="J1834" s="1846"/>
      <c r="K1834" s="1846"/>
      <c r="L1834" s="1846"/>
    </row>
    <row r="1835" spans="1:64">
      <c r="A1835" s="1818"/>
      <c r="B1835" s="1818"/>
      <c r="C1835" s="1817" t="str">
        <f>Input!$C$48</f>
        <v>Overheads &amp; Contractors Profit @ 13.615%</v>
      </c>
      <c r="D1835" s="1001">
        <f>ROUND(D1834*Input!$D$48,2)</f>
        <v>1508.94</v>
      </c>
      <c r="E1835" s="1001">
        <f>ROUND(E1834*Input!$D$48,2)</f>
        <v>1585.8</v>
      </c>
      <c r="F1835" s="1001">
        <f>ROUND(F1834*Input!$D$48,2)</f>
        <v>1662.85</v>
      </c>
      <c r="G1835" s="1114"/>
      <c r="H1835" s="1114"/>
      <c r="I1835" s="1011"/>
      <c r="J1835" s="1846"/>
      <c r="K1835" s="1846"/>
      <c r="L1835" s="1846"/>
    </row>
    <row r="1836" spans="1:64">
      <c r="A1836" s="1818"/>
      <c r="B1836" s="1818"/>
      <c r="C1836" s="1816" t="s">
        <v>1032</v>
      </c>
      <c r="D1836" s="1165">
        <f>SUM(D1834:D1835)</f>
        <v>12591.895532222221</v>
      </c>
      <c r="E1836" s="1165">
        <f>SUM(E1834:E1835)</f>
        <v>13233.263532222221</v>
      </c>
      <c r="F1836" s="1826">
        <f>SUM(F1834:F1835)</f>
        <v>13876.207532222223</v>
      </c>
      <c r="G1836" s="1114"/>
      <c r="H1836" s="1114"/>
      <c r="I1836" s="1011"/>
      <c r="J1836" s="1846"/>
      <c r="K1836" s="1846"/>
      <c r="L1836" s="1846"/>
    </row>
    <row r="1837" spans="1:64">
      <c r="A1837" s="1818"/>
      <c r="B1837" s="1818"/>
      <c r="C1837" s="1843" t="s">
        <v>1034</v>
      </c>
      <c r="D1837" s="999">
        <f>ROUND(D1836,0)</f>
        <v>12592</v>
      </c>
      <c r="E1837" s="999">
        <f>ROUND(E1836,0)</f>
        <v>13233</v>
      </c>
      <c r="F1837" s="1826">
        <f>ROUND(F1836,0)</f>
        <v>13876</v>
      </c>
      <c r="G1837" s="1114"/>
      <c r="H1837" s="1114"/>
      <c r="I1837" s="1011"/>
      <c r="J1837" s="1846"/>
      <c r="K1837" s="1846"/>
      <c r="L1837" s="1846"/>
    </row>
    <row r="1838" spans="1:64">
      <c r="A1838" s="1818"/>
      <c r="B1838" s="1818"/>
      <c r="C1838" s="1816"/>
      <c r="D1838" s="1114"/>
      <c r="E1838" s="1114"/>
      <c r="F1838" s="1114"/>
      <c r="G1838" s="1114"/>
      <c r="H1838" s="1114"/>
      <c r="I1838" s="1011"/>
      <c r="J1838" s="1846"/>
      <c r="K1838" s="1846"/>
      <c r="L1838" s="1846"/>
    </row>
    <row r="1839" spans="1:64" ht="106.7" customHeight="1">
      <c r="A1839" s="2042">
        <f>A1792+1</f>
        <v>20</v>
      </c>
      <c r="B1839" s="2042"/>
      <c r="C1839" s="2036" t="s">
        <v>3406</v>
      </c>
      <c r="D1839" s="2036"/>
      <c r="E1839" s="2036"/>
      <c r="F1839" s="2036"/>
      <c r="G1839" s="2036"/>
      <c r="H1839" s="2036"/>
      <c r="I1839" s="1825"/>
      <c r="J1839" s="1846"/>
      <c r="K1839" s="1846"/>
      <c r="L1839" s="1846"/>
    </row>
    <row r="1840" spans="1:64">
      <c r="A1840" s="1818"/>
      <c r="B1840" s="1818"/>
      <c r="C1840" s="1049" t="s">
        <v>1330</v>
      </c>
      <c r="D1840" s="1846"/>
      <c r="E1840" s="1846"/>
      <c r="F1840" s="1068"/>
      <c r="G1840" s="1846"/>
      <c r="H1840" s="1846"/>
      <c r="I1840" s="1021"/>
      <c r="J1840" s="1846"/>
      <c r="K1840" s="1846"/>
      <c r="L1840" s="1846"/>
    </row>
    <row r="1841" spans="1:64">
      <c r="A1841" s="1818"/>
      <c r="B1841" s="1818"/>
      <c r="C1841" s="1846" t="s">
        <v>1320</v>
      </c>
      <c r="D1841" s="1846"/>
      <c r="E1841" s="1846"/>
      <c r="F1841" s="1068"/>
      <c r="G1841" s="1846"/>
      <c r="H1841" s="1846"/>
      <c r="I1841" s="1021"/>
      <c r="J1841" s="1846"/>
      <c r="K1841" s="1846"/>
      <c r="L1841" s="1846"/>
    </row>
    <row r="1842" spans="1:64">
      <c r="A1842" s="1818"/>
      <c r="B1842" s="1818"/>
      <c r="C1842" s="1816" t="s">
        <v>1139</v>
      </c>
      <c r="D1842" s="1045"/>
      <c r="E1842" s="1044"/>
      <c r="F1842" s="1001"/>
      <c r="G1842" s="1015"/>
      <c r="H1842" s="1050"/>
      <c r="I1842" s="1030"/>
      <c r="J1842" s="1846"/>
      <c r="K1842" s="1846"/>
      <c r="L1842" s="1846"/>
    </row>
    <row r="1843" spans="1:64">
      <c r="A1843" s="1058"/>
      <c r="B1843" s="1058"/>
      <c r="C1843" s="1817" t="s">
        <v>1331</v>
      </c>
      <c r="D1843" s="1063">
        <v>247</v>
      </c>
      <c r="E1843" s="1061" t="s">
        <v>36</v>
      </c>
      <c r="F1843" s="1062">
        <f>LEAD!$N$17</f>
        <v>14000</v>
      </c>
      <c r="G1843" s="1081">
        <v>1000</v>
      </c>
      <c r="H1843" s="1140" t="s">
        <v>36</v>
      </c>
      <c r="I1843" s="1062">
        <f t="shared" ref="I1843:I1845" si="433">IF(G1843="",D1843*F1843,(D1843*F1843/G1843))</f>
        <v>3458</v>
      </c>
      <c r="J1843" s="1022"/>
      <c r="K1843" s="1022"/>
      <c r="L1843" s="1022"/>
      <c r="M1843" s="1066"/>
      <c r="N1843" s="1066"/>
      <c r="O1843" s="1066"/>
      <c r="P1843" s="1066"/>
      <c r="Q1843" s="1066"/>
      <c r="R1843" s="1066"/>
      <c r="S1843" s="1066"/>
      <c r="T1843" s="1066"/>
      <c r="U1843" s="1066"/>
      <c r="V1843" s="1066"/>
      <c r="W1843" s="1066"/>
      <c r="X1843" s="1066"/>
      <c r="Y1843" s="1066"/>
      <c r="Z1843" s="1066"/>
      <c r="AA1843" s="1066"/>
      <c r="AB1843" s="1066"/>
      <c r="AC1843" s="1066"/>
      <c r="AD1843" s="1066"/>
      <c r="AE1843" s="1066"/>
      <c r="AF1843" s="1066"/>
      <c r="AG1843" s="1066"/>
      <c r="AH1843" s="1066"/>
      <c r="AI1843" s="1066"/>
      <c r="AJ1843" s="1066"/>
      <c r="AK1843" s="1066"/>
      <c r="AL1843" s="1066"/>
      <c r="AM1843" s="1066"/>
      <c r="AN1843" s="1066"/>
      <c r="AO1843" s="1066"/>
      <c r="AP1843" s="1066"/>
      <c r="AQ1843" s="1066"/>
      <c r="AR1843" s="1066"/>
      <c r="AS1843" s="1066"/>
      <c r="AT1843" s="1066"/>
      <c r="AU1843" s="1066"/>
      <c r="AV1843" s="1066"/>
      <c r="AW1843" s="1066"/>
      <c r="AX1843" s="1066"/>
      <c r="AY1843" s="1066"/>
      <c r="AZ1843" s="1066"/>
      <c r="BA1843" s="1066"/>
      <c r="BB1843" s="1066"/>
      <c r="BC1843" s="1066"/>
      <c r="BD1843" s="1066"/>
      <c r="BE1843" s="1066"/>
      <c r="BF1843" s="1066"/>
      <c r="BG1843" s="1066"/>
      <c r="BH1843" s="1066"/>
      <c r="BI1843" s="1066"/>
      <c r="BJ1843" s="1066"/>
      <c r="BK1843" s="1066"/>
      <c r="BL1843" s="1066"/>
    </row>
    <row r="1844" spans="1:64">
      <c r="A1844" s="1058"/>
      <c r="B1844" s="1058"/>
      <c r="C1844" s="1817" t="s">
        <v>889</v>
      </c>
      <c r="D1844" s="1060">
        <v>36</v>
      </c>
      <c r="E1844" s="1061" t="s">
        <v>1110</v>
      </c>
      <c r="F1844" s="1062">
        <f>LEAD!$N$6</f>
        <v>5200</v>
      </c>
      <c r="G1844" s="1081">
        <v>1000</v>
      </c>
      <c r="H1844" s="1140" t="str">
        <f t="shared" ref="H1844:H1845" si="434">IF(E1844="","",IF(E1844="No.","Each",IF(E1844="Nos.","Each",E1844)))</f>
        <v>Kgs</v>
      </c>
      <c r="I1844" s="1062">
        <f t="shared" si="433"/>
        <v>187.2</v>
      </c>
      <c r="J1844" s="1022"/>
      <c r="K1844" s="1022"/>
      <c r="L1844" s="1022"/>
      <c r="M1844" s="1066"/>
      <c r="N1844" s="1066"/>
      <c r="O1844" s="1066"/>
      <c r="P1844" s="1066"/>
      <c r="Q1844" s="1066"/>
      <c r="R1844" s="1066"/>
      <c r="S1844" s="1066"/>
      <c r="T1844" s="1066"/>
      <c r="U1844" s="1066"/>
      <c r="V1844" s="1066"/>
      <c r="W1844" s="1066"/>
      <c r="X1844" s="1066"/>
      <c r="Y1844" s="1066"/>
      <c r="Z1844" s="1066"/>
      <c r="AA1844" s="1066"/>
      <c r="AB1844" s="1066"/>
      <c r="AC1844" s="1066"/>
      <c r="AD1844" s="1066"/>
      <c r="AE1844" s="1066"/>
      <c r="AF1844" s="1066"/>
      <c r="AG1844" s="1066"/>
      <c r="AH1844" s="1066"/>
      <c r="AI1844" s="1066"/>
      <c r="AJ1844" s="1066"/>
      <c r="AK1844" s="1066"/>
      <c r="AL1844" s="1066"/>
      <c r="AM1844" s="1066"/>
      <c r="AN1844" s="1066"/>
      <c r="AO1844" s="1066"/>
      <c r="AP1844" s="1066"/>
      <c r="AQ1844" s="1066"/>
      <c r="AR1844" s="1066"/>
      <c r="AS1844" s="1066"/>
      <c r="AT1844" s="1066"/>
      <c r="AU1844" s="1066"/>
      <c r="AV1844" s="1066"/>
      <c r="AW1844" s="1066"/>
      <c r="AX1844" s="1066"/>
      <c r="AY1844" s="1066"/>
      <c r="AZ1844" s="1066"/>
      <c r="BA1844" s="1066"/>
      <c r="BB1844" s="1066"/>
      <c r="BC1844" s="1066"/>
      <c r="BD1844" s="1066"/>
      <c r="BE1844" s="1066"/>
      <c r="BF1844" s="1066"/>
      <c r="BG1844" s="1066"/>
      <c r="BH1844" s="1066"/>
      <c r="BI1844" s="1066"/>
      <c r="BJ1844" s="1066"/>
      <c r="BK1844" s="1066"/>
      <c r="BL1844" s="1066"/>
    </row>
    <row r="1845" spans="1:64">
      <c r="A1845" s="1058"/>
      <c r="B1845" s="1058"/>
      <c r="C1845" s="1817" t="s">
        <v>1141</v>
      </c>
      <c r="D1845" s="1060">
        <v>0.1</v>
      </c>
      <c r="E1845" s="1061" t="s">
        <v>484</v>
      </c>
      <c r="F1845" s="1062">
        <f>LEAD!$N$13</f>
        <v>2453.91</v>
      </c>
      <c r="G1845" s="1081">
        <v>1</v>
      </c>
      <c r="H1845" s="1140" t="str">
        <f t="shared" si="434"/>
        <v>Cum</v>
      </c>
      <c r="I1845" s="1062">
        <f t="shared" si="433"/>
        <v>245.39099999999999</v>
      </c>
      <c r="J1845" s="1022"/>
      <c r="K1845" s="1022"/>
      <c r="L1845" s="1022"/>
      <c r="M1845" s="1066"/>
      <c r="N1845" s="1066"/>
      <c r="O1845" s="1066"/>
      <c r="P1845" s="1066"/>
      <c r="Q1845" s="1066"/>
      <c r="R1845" s="1066"/>
      <c r="S1845" s="1066"/>
      <c r="T1845" s="1066"/>
      <c r="U1845" s="1066"/>
      <c r="V1845" s="1066"/>
      <c r="W1845" s="1066"/>
      <c r="X1845" s="1066"/>
      <c r="Y1845" s="1066"/>
      <c r="Z1845" s="1066"/>
      <c r="AA1845" s="1066"/>
      <c r="AB1845" s="1066"/>
      <c r="AC1845" s="1066"/>
      <c r="AD1845" s="1066"/>
      <c r="AE1845" s="1066"/>
      <c r="AF1845" s="1066"/>
      <c r="AG1845" s="1066"/>
      <c r="AH1845" s="1066"/>
      <c r="AI1845" s="1066"/>
      <c r="AJ1845" s="1066"/>
      <c r="AK1845" s="1066"/>
      <c r="AL1845" s="1066"/>
      <c r="AM1845" s="1066"/>
      <c r="AN1845" s="1066"/>
      <c r="AO1845" s="1066"/>
      <c r="AP1845" s="1066"/>
      <c r="AQ1845" s="1066"/>
      <c r="AR1845" s="1066"/>
      <c r="AS1845" s="1066"/>
      <c r="AT1845" s="1066"/>
      <c r="AU1845" s="1066"/>
      <c r="AV1845" s="1066"/>
      <c r="AW1845" s="1066"/>
      <c r="AX1845" s="1066"/>
      <c r="AY1845" s="1066"/>
      <c r="AZ1845" s="1066"/>
      <c r="BA1845" s="1066"/>
      <c r="BB1845" s="1066"/>
      <c r="BC1845" s="1066"/>
      <c r="BD1845" s="1066"/>
      <c r="BE1845" s="1066"/>
      <c r="BF1845" s="1066"/>
      <c r="BG1845" s="1066"/>
      <c r="BH1845" s="1066"/>
      <c r="BI1845" s="1066"/>
      <c r="BJ1845" s="1066"/>
      <c r="BK1845" s="1066"/>
      <c r="BL1845" s="1066"/>
    </row>
    <row r="1846" spans="1:64">
      <c r="A1846" s="1058"/>
      <c r="B1846" s="1058"/>
      <c r="C1846" s="1816" t="s">
        <v>1172</v>
      </c>
      <c r="D1846" s="1060"/>
      <c r="E1846" s="1061"/>
      <c r="F1846" s="1062"/>
      <c r="G1846" s="1081"/>
      <c r="H1846" s="1140"/>
      <c r="I1846" s="1062"/>
      <c r="J1846" s="1022"/>
      <c r="K1846" s="1022"/>
      <c r="L1846" s="1022"/>
      <c r="M1846" s="1066"/>
      <c r="N1846" s="1066"/>
      <c r="O1846" s="1066"/>
      <c r="P1846" s="1066"/>
      <c r="Q1846" s="1066"/>
      <c r="R1846" s="1066"/>
      <c r="S1846" s="1066"/>
      <c r="T1846" s="1066"/>
      <c r="U1846" s="1066"/>
      <c r="V1846" s="1066"/>
      <c r="W1846" s="1066"/>
      <c r="X1846" s="1066"/>
      <c r="Y1846" s="1066"/>
      <c r="Z1846" s="1066"/>
      <c r="AA1846" s="1066"/>
      <c r="AB1846" s="1066"/>
      <c r="AC1846" s="1066"/>
      <c r="AD1846" s="1066"/>
      <c r="AE1846" s="1066"/>
      <c r="AF1846" s="1066"/>
      <c r="AG1846" s="1066"/>
      <c r="AH1846" s="1066"/>
      <c r="AI1846" s="1066"/>
      <c r="AJ1846" s="1066"/>
      <c r="AK1846" s="1066"/>
      <c r="AL1846" s="1066"/>
      <c r="AM1846" s="1066"/>
      <c r="AN1846" s="1066"/>
      <c r="AO1846" s="1066"/>
      <c r="AP1846" s="1066"/>
      <c r="AQ1846" s="1066"/>
      <c r="AR1846" s="1066"/>
      <c r="AS1846" s="1066"/>
      <c r="AT1846" s="1066"/>
      <c r="AU1846" s="1066"/>
      <c r="AV1846" s="1066"/>
      <c r="AW1846" s="1066"/>
      <c r="AX1846" s="1066"/>
      <c r="AY1846" s="1066"/>
      <c r="AZ1846" s="1066"/>
      <c r="BA1846" s="1066"/>
      <c r="BB1846" s="1066"/>
      <c r="BC1846" s="1066"/>
      <c r="BD1846" s="1066"/>
      <c r="BE1846" s="1066"/>
      <c r="BF1846" s="1066"/>
      <c r="BG1846" s="1066"/>
      <c r="BH1846" s="1066"/>
      <c r="BI1846" s="1066"/>
      <c r="BJ1846" s="1066"/>
      <c r="BK1846" s="1066"/>
      <c r="BL1846" s="1066"/>
    </row>
    <row r="1847" spans="1:64">
      <c r="A1847" s="1847"/>
      <c r="B1847" s="1058"/>
      <c r="C1847" s="1817" t="s">
        <v>1147</v>
      </c>
      <c r="D1847" s="1139">
        <v>0.42</v>
      </c>
      <c r="E1847" s="1061" t="s">
        <v>36</v>
      </c>
      <c r="F1847" s="1062">
        <f>'Civil-SOR'!$G$293</f>
        <v>580</v>
      </c>
      <c r="G1847" s="1081">
        <v>1</v>
      </c>
      <c r="H1847" s="1140" t="str">
        <f t="shared" ref="H1847:H1849" si="435">IF(E1847="","",IF(E1847="No.","Each",IF(E1847="Nos.","Each",E1847)))</f>
        <v>Each</v>
      </c>
      <c r="I1847" s="1062">
        <f t="shared" ref="I1847:I1851" si="436">IF(G1847="",D1847*F1847,(D1847*F1847/G1847))</f>
        <v>243.6</v>
      </c>
      <c r="J1847" s="1022"/>
      <c r="K1847" s="1022"/>
      <c r="L1847" s="1022"/>
      <c r="M1847" s="1066"/>
      <c r="N1847" s="1066"/>
      <c r="O1847" s="1066"/>
      <c r="P1847" s="1066"/>
      <c r="Q1847" s="1066"/>
      <c r="R1847" s="1066"/>
      <c r="S1847" s="1066"/>
      <c r="T1847" s="1066"/>
      <c r="U1847" s="1066"/>
      <c r="V1847" s="1066"/>
      <c r="W1847" s="1066"/>
      <c r="X1847" s="1066"/>
      <c r="Y1847" s="1066"/>
      <c r="Z1847" s="1066"/>
      <c r="AA1847" s="1066"/>
      <c r="AB1847" s="1066"/>
      <c r="AC1847" s="1066"/>
      <c r="AD1847" s="1066"/>
      <c r="AE1847" s="1066"/>
      <c r="AF1847" s="1066"/>
      <c r="AG1847" s="1066"/>
      <c r="AH1847" s="1066"/>
      <c r="AI1847" s="1066"/>
      <c r="AJ1847" s="1066"/>
      <c r="AK1847" s="1066"/>
      <c r="AL1847" s="1066"/>
      <c r="AM1847" s="1066"/>
      <c r="AN1847" s="1066"/>
      <c r="AO1847" s="1066"/>
      <c r="AP1847" s="1066"/>
      <c r="AQ1847" s="1066"/>
      <c r="AR1847" s="1066"/>
      <c r="AS1847" s="1066"/>
      <c r="AT1847" s="1066"/>
      <c r="AU1847" s="1066"/>
      <c r="AV1847" s="1066"/>
      <c r="AW1847" s="1066"/>
      <c r="AX1847" s="1066"/>
      <c r="AY1847" s="1066"/>
      <c r="AZ1847" s="1066"/>
      <c r="BA1847" s="1066"/>
      <c r="BB1847" s="1066"/>
      <c r="BC1847" s="1066"/>
      <c r="BD1847" s="1066"/>
      <c r="BE1847" s="1066"/>
      <c r="BF1847" s="1066"/>
      <c r="BG1847" s="1066"/>
      <c r="BH1847" s="1066"/>
      <c r="BI1847" s="1066"/>
      <c r="BJ1847" s="1066"/>
      <c r="BK1847" s="1066"/>
      <c r="BL1847" s="1066"/>
    </row>
    <row r="1848" spans="1:64">
      <c r="A1848" s="1058"/>
      <c r="B1848" s="1058"/>
      <c r="C1848" s="1817" t="s">
        <v>1062</v>
      </c>
      <c r="D1848" s="1139">
        <v>0.92</v>
      </c>
      <c r="E1848" s="1061" t="s">
        <v>36</v>
      </c>
      <c r="F1848" s="1062">
        <f>'Civil-SOR'!$G$302</f>
        <v>550</v>
      </c>
      <c r="G1848" s="1081">
        <v>1</v>
      </c>
      <c r="H1848" s="1140" t="str">
        <f t="shared" si="435"/>
        <v>Each</v>
      </c>
      <c r="I1848" s="1062">
        <f t="shared" si="436"/>
        <v>506</v>
      </c>
      <c r="J1848" s="1022"/>
      <c r="K1848" s="1022"/>
      <c r="L1848" s="1022"/>
      <c r="M1848" s="1066"/>
      <c r="N1848" s="1066"/>
      <c r="O1848" s="1066"/>
      <c r="P1848" s="1066"/>
      <c r="Q1848" s="1066"/>
      <c r="R1848" s="1066"/>
      <c r="S1848" s="1066"/>
      <c r="T1848" s="1066"/>
      <c r="U1848" s="1066"/>
      <c r="V1848" s="1066"/>
      <c r="W1848" s="1066"/>
      <c r="X1848" s="1066"/>
      <c r="Y1848" s="1066"/>
      <c r="Z1848" s="1066"/>
      <c r="AA1848" s="1066"/>
      <c r="AB1848" s="1066"/>
      <c r="AC1848" s="1066"/>
      <c r="AD1848" s="1066"/>
      <c r="AE1848" s="1066"/>
      <c r="AF1848" s="1066"/>
      <c r="AG1848" s="1066"/>
      <c r="AH1848" s="1066"/>
      <c r="AI1848" s="1066"/>
      <c r="AJ1848" s="1066"/>
      <c r="AK1848" s="1066"/>
      <c r="AL1848" s="1066"/>
      <c r="AM1848" s="1066"/>
      <c r="AN1848" s="1066"/>
      <c r="AO1848" s="1066"/>
      <c r="AP1848" s="1066"/>
      <c r="AQ1848" s="1066"/>
      <c r="AR1848" s="1066"/>
      <c r="AS1848" s="1066"/>
      <c r="AT1848" s="1066"/>
      <c r="AU1848" s="1066"/>
      <c r="AV1848" s="1066"/>
      <c r="AW1848" s="1066"/>
      <c r="AX1848" s="1066"/>
      <c r="AY1848" s="1066"/>
      <c r="AZ1848" s="1066"/>
      <c r="BA1848" s="1066"/>
      <c r="BB1848" s="1066"/>
      <c r="BC1848" s="1066"/>
      <c r="BD1848" s="1066"/>
      <c r="BE1848" s="1066"/>
      <c r="BF1848" s="1066"/>
      <c r="BG1848" s="1066"/>
      <c r="BH1848" s="1066"/>
      <c r="BI1848" s="1066"/>
      <c r="BJ1848" s="1066"/>
      <c r="BK1848" s="1066"/>
      <c r="BL1848" s="1066"/>
    </row>
    <row r="1849" spans="1:64">
      <c r="A1849" s="1058"/>
      <c r="B1849" s="1058"/>
      <c r="C1849" s="1817" t="s">
        <v>1166</v>
      </c>
      <c r="D1849" s="1139">
        <v>2.8</v>
      </c>
      <c r="E1849" s="1061" t="s">
        <v>36</v>
      </c>
      <c r="F1849" s="1062">
        <f>'Civil-SOR'!$G$307</f>
        <v>520</v>
      </c>
      <c r="G1849" s="1081">
        <v>1</v>
      </c>
      <c r="H1849" s="1140" t="str">
        <f t="shared" si="435"/>
        <v>Each</v>
      </c>
      <c r="I1849" s="1062">
        <f t="shared" si="436"/>
        <v>1456</v>
      </c>
      <c r="J1849" s="1022"/>
      <c r="K1849" s="1022"/>
      <c r="L1849" s="1022"/>
      <c r="M1849" s="1066"/>
      <c r="N1849" s="1066"/>
      <c r="O1849" s="1066"/>
      <c r="P1849" s="1066"/>
      <c r="Q1849" s="1066"/>
      <c r="R1849" s="1066"/>
      <c r="S1849" s="1066"/>
      <c r="T1849" s="1066"/>
      <c r="U1849" s="1066"/>
      <c r="V1849" s="1066"/>
      <c r="W1849" s="1066"/>
      <c r="X1849" s="1066"/>
      <c r="Y1849" s="1066"/>
      <c r="Z1849" s="1066"/>
      <c r="AA1849" s="1066"/>
      <c r="AB1849" s="1066"/>
      <c r="AC1849" s="1066"/>
      <c r="AD1849" s="1066"/>
      <c r="AE1849" s="1066"/>
      <c r="AF1849" s="1066"/>
      <c r="AG1849" s="1066"/>
      <c r="AH1849" s="1066"/>
      <c r="AI1849" s="1066"/>
      <c r="AJ1849" s="1066"/>
      <c r="AK1849" s="1066"/>
      <c r="AL1849" s="1066"/>
      <c r="AM1849" s="1066"/>
      <c r="AN1849" s="1066"/>
      <c r="AO1849" s="1066"/>
      <c r="AP1849" s="1066"/>
      <c r="AQ1849" s="1066"/>
      <c r="AR1849" s="1066"/>
      <c r="AS1849" s="1066"/>
      <c r="AT1849" s="1066"/>
      <c r="AU1849" s="1066"/>
      <c r="AV1849" s="1066"/>
      <c r="AW1849" s="1066"/>
      <c r="AX1849" s="1066"/>
      <c r="AY1849" s="1066"/>
      <c r="AZ1849" s="1066"/>
      <c r="BA1849" s="1066"/>
      <c r="BB1849" s="1066"/>
      <c r="BC1849" s="1066"/>
      <c r="BD1849" s="1066"/>
      <c r="BE1849" s="1066"/>
      <c r="BF1849" s="1066"/>
      <c r="BG1849" s="1066"/>
      <c r="BH1849" s="1066"/>
      <c r="BI1849" s="1066"/>
      <c r="BJ1849" s="1066"/>
      <c r="BK1849" s="1066"/>
      <c r="BL1849" s="1066"/>
    </row>
    <row r="1850" spans="1:64">
      <c r="A1850" s="1058"/>
      <c r="B1850" s="1058"/>
      <c r="C1850" s="1817" t="str">
        <f>Input!$C$47</f>
        <v>Add for MA @ 40%</v>
      </c>
      <c r="D1850" s="1160">
        <f>Input!$D$47</f>
        <v>0.4</v>
      </c>
      <c r="E1850" s="1112"/>
      <c r="F1850" s="1062">
        <f>SUM(I1847:I1849)</f>
        <v>2205.6</v>
      </c>
      <c r="G1850" s="1076"/>
      <c r="H1850" s="1849"/>
      <c r="I1850" s="1062">
        <f t="shared" si="436"/>
        <v>882.24</v>
      </c>
      <c r="J1850" s="1022"/>
      <c r="K1850" s="1022"/>
      <c r="L1850" s="1022"/>
      <c r="M1850" s="1066"/>
      <c r="N1850" s="1066"/>
      <c r="O1850" s="1066"/>
      <c r="P1850" s="1066"/>
      <c r="Q1850" s="1066"/>
      <c r="R1850" s="1066"/>
      <c r="S1850" s="1066"/>
      <c r="T1850" s="1066"/>
      <c r="U1850" s="1066"/>
      <c r="V1850" s="1066"/>
      <c r="W1850" s="1066"/>
      <c r="X1850" s="1066"/>
      <c r="Y1850" s="1066"/>
      <c r="Z1850" s="1066"/>
      <c r="AA1850" s="1066"/>
      <c r="AB1850" s="1066"/>
      <c r="AC1850" s="1066"/>
      <c r="AD1850" s="1066"/>
      <c r="AE1850" s="1066"/>
      <c r="AF1850" s="1066"/>
      <c r="AG1850" s="1066"/>
      <c r="AH1850" s="1066"/>
      <c r="AI1850" s="1066"/>
      <c r="AJ1850" s="1066"/>
      <c r="AK1850" s="1066"/>
      <c r="AL1850" s="1066"/>
      <c r="AM1850" s="1066"/>
      <c r="AN1850" s="1066"/>
      <c r="AO1850" s="1066"/>
      <c r="AP1850" s="1066"/>
      <c r="AQ1850" s="1066"/>
      <c r="AR1850" s="1066"/>
      <c r="AS1850" s="1066"/>
      <c r="AT1850" s="1066"/>
      <c r="AU1850" s="1066"/>
      <c r="AV1850" s="1066"/>
      <c r="AW1850" s="1066"/>
      <c r="AX1850" s="1066"/>
      <c r="AY1850" s="1066"/>
      <c r="AZ1850" s="1066"/>
      <c r="BA1850" s="1066"/>
      <c r="BB1850" s="1066"/>
      <c r="BC1850" s="1066"/>
      <c r="BD1850" s="1066"/>
      <c r="BE1850" s="1066"/>
      <c r="BF1850" s="1066"/>
      <c r="BG1850" s="1066"/>
      <c r="BH1850" s="1066"/>
      <c r="BI1850" s="1066"/>
      <c r="BJ1850" s="1066"/>
      <c r="BK1850" s="1066"/>
      <c r="BL1850" s="1066"/>
    </row>
    <row r="1851" spans="1:64">
      <c r="A1851" s="1058"/>
      <c r="B1851" s="1058"/>
      <c r="C1851" s="1817" t="s">
        <v>1312</v>
      </c>
      <c r="D1851" s="1060">
        <v>0.01</v>
      </c>
      <c r="E1851" s="1061"/>
      <c r="F1851" s="1062">
        <f>SUM(I1843:I1850)</f>
        <v>6978.4309999999996</v>
      </c>
      <c r="G1851" s="1081"/>
      <c r="H1851" s="1140"/>
      <c r="I1851" s="1062">
        <f t="shared" si="436"/>
        <v>69.784309999999991</v>
      </c>
      <c r="J1851" s="1022"/>
      <c r="K1851" s="1022"/>
      <c r="L1851" s="1022"/>
      <c r="M1851" s="1066"/>
      <c r="N1851" s="1066"/>
      <c r="O1851" s="1066"/>
      <c r="P1851" s="1066"/>
      <c r="Q1851" s="1066"/>
      <c r="R1851" s="1066"/>
      <c r="S1851" s="1066"/>
      <c r="T1851" s="1066"/>
      <c r="U1851" s="1066"/>
      <c r="V1851" s="1066"/>
      <c r="W1851" s="1066"/>
      <c r="X1851" s="1066"/>
      <c r="Y1851" s="1066"/>
      <c r="Z1851" s="1066"/>
      <c r="AA1851" s="1066"/>
      <c r="AB1851" s="1066"/>
      <c r="AC1851" s="1066"/>
      <c r="AD1851" s="1066"/>
      <c r="AE1851" s="1066"/>
      <c r="AF1851" s="1066"/>
      <c r="AG1851" s="1066"/>
      <c r="AH1851" s="1066"/>
      <c r="AI1851" s="1066"/>
      <c r="AJ1851" s="1066"/>
      <c r="AK1851" s="1066"/>
      <c r="AL1851" s="1066"/>
      <c r="AM1851" s="1066"/>
      <c r="AN1851" s="1066"/>
      <c r="AO1851" s="1066"/>
      <c r="AP1851" s="1066"/>
      <c r="AQ1851" s="1066"/>
      <c r="AR1851" s="1066"/>
      <c r="AS1851" s="1066"/>
      <c r="AT1851" s="1066"/>
      <c r="AU1851" s="1066"/>
      <c r="AV1851" s="1066"/>
      <c r="AW1851" s="1066"/>
      <c r="AX1851" s="1066"/>
      <c r="AY1851" s="1066"/>
      <c r="AZ1851" s="1066"/>
      <c r="BA1851" s="1066"/>
      <c r="BB1851" s="1066"/>
      <c r="BC1851" s="1066"/>
      <c r="BD1851" s="1066"/>
      <c r="BE1851" s="1066"/>
      <c r="BF1851" s="1066"/>
      <c r="BG1851" s="1066"/>
      <c r="BH1851" s="1066"/>
      <c r="BI1851" s="1066"/>
      <c r="BJ1851" s="1066"/>
      <c r="BK1851" s="1066"/>
      <c r="BL1851" s="1066"/>
    </row>
    <row r="1852" spans="1:64">
      <c r="A1852" s="1086"/>
      <c r="B1852" s="1086"/>
      <c r="C1852" s="1088" t="s">
        <v>1044</v>
      </c>
      <c r="D1852" s="1089"/>
      <c r="E1852" s="1090"/>
      <c r="F1852" s="994"/>
      <c r="G1852" s="1091"/>
      <c r="H1852" s="1159"/>
      <c r="I1852" s="1826">
        <f>SUM(I1842:I1851)</f>
        <v>7048.2153099999996</v>
      </c>
      <c r="J1852" s="996"/>
      <c r="K1852" s="996"/>
      <c r="L1852" s="996"/>
      <c r="M1852" s="997"/>
      <c r="N1852" s="997"/>
      <c r="O1852" s="997"/>
      <c r="P1852" s="997"/>
      <c r="Q1852" s="997"/>
      <c r="R1852" s="997"/>
      <c r="S1852" s="997"/>
      <c r="T1852" s="997"/>
      <c r="U1852" s="997"/>
      <c r="V1852" s="997"/>
      <c r="W1852" s="997"/>
      <c r="X1852" s="997"/>
      <c r="Y1852" s="997"/>
      <c r="Z1852" s="997"/>
      <c r="AA1852" s="997"/>
      <c r="AB1852" s="997"/>
      <c r="AC1852" s="997"/>
      <c r="AD1852" s="997"/>
      <c r="AE1852" s="997"/>
      <c r="AF1852" s="997"/>
      <c r="AG1852" s="997"/>
      <c r="AH1852" s="997"/>
      <c r="AI1852" s="997"/>
      <c r="AJ1852" s="997"/>
      <c r="AK1852" s="997"/>
      <c r="AL1852" s="997"/>
      <c r="AM1852" s="997"/>
      <c r="AN1852" s="997"/>
      <c r="AO1852" s="997"/>
      <c r="AP1852" s="997"/>
      <c r="AQ1852" s="997"/>
      <c r="AR1852" s="997"/>
      <c r="AS1852" s="997"/>
      <c r="AT1852" s="997"/>
      <c r="AU1852" s="997"/>
      <c r="AV1852" s="997"/>
      <c r="AW1852" s="997"/>
      <c r="AX1852" s="997"/>
      <c r="AY1852" s="997"/>
      <c r="AZ1852" s="997"/>
      <c r="BA1852" s="997"/>
      <c r="BB1852" s="997"/>
      <c r="BC1852" s="997"/>
      <c r="BD1852" s="997"/>
      <c r="BE1852" s="997"/>
      <c r="BF1852" s="997"/>
      <c r="BG1852" s="997"/>
      <c r="BH1852" s="997"/>
      <c r="BI1852" s="997"/>
      <c r="BJ1852" s="997"/>
      <c r="BK1852" s="997"/>
      <c r="BL1852" s="997"/>
    </row>
    <row r="1853" spans="1:64">
      <c r="A1853" s="1086"/>
      <c r="B1853" s="1086"/>
      <c r="C1853" s="1088" t="s">
        <v>1045</v>
      </c>
      <c r="D1853" s="1089"/>
      <c r="E1853" s="1090"/>
      <c r="F1853" s="994"/>
      <c r="G1853" s="1091"/>
      <c r="H1853" s="1159"/>
      <c r="I1853" s="1826">
        <f>ROUND(I1852/10,2)</f>
        <v>704.82</v>
      </c>
      <c r="J1853" s="996"/>
      <c r="K1853" s="996"/>
      <c r="L1853" s="996"/>
      <c r="M1853" s="997"/>
      <c r="N1853" s="997"/>
      <c r="O1853" s="997"/>
      <c r="P1853" s="997"/>
      <c r="Q1853" s="997"/>
      <c r="R1853" s="997"/>
      <c r="S1853" s="997"/>
      <c r="T1853" s="997"/>
      <c r="U1853" s="997"/>
      <c r="V1853" s="997"/>
      <c r="W1853" s="997"/>
      <c r="X1853" s="997"/>
      <c r="Y1853" s="997"/>
      <c r="Z1853" s="997"/>
      <c r="AA1853" s="997"/>
      <c r="AB1853" s="997"/>
      <c r="AC1853" s="997"/>
      <c r="AD1853" s="997"/>
      <c r="AE1853" s="997"/>
      <c r="AF1853" s="997"/>
      <c r="AG1853" s="997"/>
      <c r="AH1853" s="997"/>
      <c r="AI1853" s="997"/>
      <c r="AJ1853" s="997"/>
      <c r="AK1853" s="997"/>
      <c r="AL1853" s="997"/>
      <c r="AM1853" s="997"/>
      <c r="AN1853" s="997"/>
      <c r="AO1853" s="997"/>
      <c r="AP1853" s="997"/>
      <c r="AQ1853" s="997"/>
      <c r="AR1853" s="997"/>
      <c r="AS1853" s="997"/>
      <c r="AT1853" s="997"/>
      <c r="AU1853" s="997"/>
      <c r="AV1853" s="997"/>
      <c r="AW1853" s="997"/>
      <c r="AX1853" s="997"/>
      <c r="AY1853" s="997"/>
      <c r="AZ1853" s="997"/>
      <c r="BA1853" s="997"/>
      <c r="BB1853" s="997"/>
      <c r="BC1853" s="997"/>
      <c r="BD1853" s="997"/>
      <c r="BE1853" s="997"/>
      <c r="BF1853" s="997"/>
      <c r="BG1853" s="997"/>
      <c r="BH1853" s="997"/>
      <c r="BI1853" s="997"/>
      <c r="BJ1853" s="997"/>
      <c r="BK1853" s="997"/>
      <c r="BL1853" s="997"/>
    </row>
    <row r="1854" spans="1:64">
      <c r="A1854" s="1818"/>
      <c r="B1854" s="1818"/>
      <c r="C1854" s="1817"/>
      <c r="D1854" s="1000"/>
      <c r="E1854" s="1044"/>
      <c r="F1854" s="1001"/>
      <c r="G1854" s="1015"/>
      <c r="H1854" s="1047"/>
      <c r="I1854" s="1011"/>
      <c r="J1854" s="1846"/>
      <c r="K1854" s="1846"/>
      <c r="L1854" s="1846"/>
    </row>
    <row r="1855" spans="1:64">
      <c r="A1855" s="1818"/>
      <c r="B1855" s="1818"/>
      <c r="C1855" s="1124" t="s">
        <v>1332</v>
      </c>
      <c r="D1855" s="1000"/>
      <c r="E1855" s="1044"/>
      <c r="F1855" s="1001"/>
      <c r="G1855" s="1015"/>
      <c r="H1855" s="1047"/>
      <c r="I1855" s="1011"/>
      <c r="J1855" s="1015"/>
      <c r="K1855" s="1047"/>
      <c r="L1855" s="1011"/>
    </row>
    <row r="1856" spans="1:64">
      <c r="A1856" s="1818"/>
      <c r="B1856" s="1818"/>
      <c r="C1856" s="1816" t="s">
        <v>1217</v>
      </c>
      <c r="D1856" s="1009" t="s">
        <v>1223</v>
      </c>
      <c r="E1856" s="1114" t="s">
        <v>1207</v>
      </c>
      <c r="F1856" s="1106" t="s">
        <v>1208</v>
      </c>
      <c r="G1856" s="1011" t="s">
        <v>1291</v>
      </c>
      <c r="H1856" s="1011" t="s">
        <v>1292</v>
      </c>
      <c r="I1856" s="1011" t="s">
        <v>1293</v>
      </c>
      <c r="J1856" s="1015"/>
      <c r="K1856" s="1047"/>
      <c r="L1856" s="1011"/>
    </row>
    <row r="1857" spans="1:64">
      <c r="A1857" s="1058"/>
      <c r="B1857" s="1058"/>
      <c r="C1857" s="1817" t="s">
        <v>1317</v>
      </c>
      <c r="D1857" s="1062">
        <f t="shared" ref="D1857:I1857" si="437">$I$1853</f>
        <v>704.82</v>
      </c>
      <c r="E1857" s="1062">
        <f t="shared" si="437"/>
        <v>704.82</v>
      </c>
      <c r="F1857" s="1062">
        <f t="shared" si="437"/>
        <v>704.82</v>
      </c>
      <c r="G1857" s="1062">
        <f t="shared" si="437"/>
        <v>704.82</v>
      </c>
      <c r="H1857" s="1062">
        <f t="shared" si="437"/>
        <v>704.82</v>
      </c>
      <c r="I1857" s="1062">
        <f t="shared" si="437"/>
        <v>704.82</v>
      </c>
      <c r="J1857" s="1015"/>
      <c r="K1857" s="1047"/>
      <c r="L1857" s="1011"/>
      <c r="M1857" s="1066"/>
      <c r="N1857" s="1066"/>
      <c r="O1857" s="1066"/>
      <c r="P1857" s="1066"/>
      <c r="Q1857" s="1066"/>
      <c r="R1857" s="1066"/>
      <c r="S1857" s="1066"/>
      <c r="T1857" s="1066"/>
      <c r="U1857" s="1066"/>
      <c r="V1857" s="1066"/>
      <c r="W1857" s="1066"/>
      <c r="X1857" s="1066"/>
      <c r="Y1857" s="1066"/>
      <c r="Z1857" s="1066"/>
      <c r="AA1857" s="1066"/>
      <c r="AB1857" s="1066"/>
      <c r="AC1857" s="1066"/>
      <c r="AD1857" s="1066"/>
      <c r="AE1857" s="1066"/>
      <c r="AF1857" s="1066"/>
      <c r="AG1857" s="1066"/>
      <c r="AH1857" s="1066"/>
      <c r="AI1857" s="1066"/>
      <c r="AJ1857" s="1066"/>
      <c r="AK1857" s="1066"/>
      <c r="AL1857" s="1066"/>
      <c r="AM1857" s="1066"/>
      <c r="AN1857" s="1066"/>
      <c r="AO1857" s="1066"/>
      <c r="AP1857" s="1066"/>
      <c r="AQ1857" s="1066"/>
      <c r="AR1857" s="1066"/>
      <c r="AS1857" s="1066"/>
      <c r="AT1857" s="1066"/>
      <c r="AU1857" s="1066"/>
      <c r="AV1857" s="1066"/>
      <c r="AW1857" s="1066"/>
      <c r="AX1857" s="1066"/>
      <c r="AY1857" s="1066"/>
      <c r="AZ1857" s="1066"/>
      <c r="BA1857" s="1066"/>
      <c r="BB1857" s="1066"/>
      <c r="BC1857" s="1066"/>
      <c r="BD1857" s="1066"/>
      <c r="BE1857" s="1066"/>
      <c r="BF1857" s="1066"/>
      <c r="BG1857" s="1066"/>
      <c r="BH1857" s="1066"/>
      <c r="BI1857" s="1066"/>
      <c r="BJ1857" s="1066"/>
      <c r="BK1857" s="1066"/>
      <c r="BL1857" s="1066"/>
    </row>
    <row r="1858" spans="1:64">
      <c r="A1858" s="1058"/>
      <c r="B1858" s="1058"/>
      <c r="C1858" s="1817" t="s">
        <v>1313</v>
      </c>
      <c r="D1858" s="1062">
        <f>'Civil-SOR'!$F$222</f>
        <v>11.66</v>
      </c>
      <c r="E1858" s="1062">
        <f>'Civil-SOR'!$F$223</f>
        <v>11.66</v>
      </c>
      <c r="F1858" s="1062">
        <f>'Civil-SOR'!$F$224</f>
        <v>11.66</v>
      </c>
      <c r="G1858" s="1062">
        <f>'Civil-SOR'!$F$225</f>
        <v>11.66</v>
      </c>
      <c r="H1858" s="1062">
        <f>'Civil-SOR'!$F$225</f>
        <v>11.66</v>
      </c>
      <c r="I1858" s="1062">
        <f>'Civil-SOR'!$F$225</f>
        <v>11.66</v>
      </c>
      <c r="J1858" s="1015"/>
      <c r="K1858" s="1047"/>
      <c r="L1858" s="1011"/>
      <c r="M1858" s="1066"/>
      <c r="N1858" s="1066"/>
      <c r="O1858" s="1066"/>
      <c r="P1858" s="1066"/>
      <c r="Q1858" s="1066"/>
      <c r="R1858" s="1066"/>
      <c r="S1858" s="1066"/>
      <c r="T1858" s="1066"/>
      <c r="U1858" s="1066"/>
      <c r="V1858" s="1066"/>
      <c r="W1858" s="1066"/>
      <c r="X1858" s="1066"/>
      <c r="Y1858" s="1066"/>
      <c r="Z1858" s="1066"/>
      <c r="AA1858" s="1066"/>
      <c r="AB1858" s="1066"/>
      <c r="AC1858" s="1066"/>
      <c r="AD1858" s="1066"/>
      <c r="AE1858" s="1066"/>
      <c r="AF1858" s="1066"/>
      <c r="AG1858" s="1066"/>
      <c r="AH1858" s="1066"/>
      <c r="AI1858" s="1066"/>
      <c r="AJ1858" s="1066"/>
      <c r="AK1858" s="1066"/>
      <c r="AL1858" s="1066"/>
      <c r="AM1858" s="1066"/>
      <c r="AN1858" s="1066"/>
      <c r="AO1858" s="1066"/>
      <c r="AP1858" s="1066"/>
      <c r="AQ1858" s="1066"/>
      <c r="AR1858" s="1066"/>
      <c r="AS1858" s="1066"/>
      <c r="AT1858" s="1066"/>
      <c r="AU1858" s="1066"/>
      <c r="AV1858" s="1066"/>
      <c r="AW1858" s="1066"/>
      <c r="AX1858" s="1066"/>
      <c r="AY1858" s="1066"/>
      <c r="AZ1858" s="1066"/>
      <c r="BA1858" s="1066"/>
      <c r="BB1858" s="1066"/>
      <c r="BC1858" s="1066"/>
      <c r="BD1858" s="1066"/>
      <c r="BE1858" s="1066"/>
      <c r="BF1858" s="1066"/>
      <c r="BG1858" s="1066"/>
      <c r="BH1858" s="1066"/>
      <c r="BI1858" s="1066"/>
      <c r="BJ1858" s="1066"/>
      <c r="BK1858" s="1066"/>
      <c r="BL1858" s="1066"/>
    </row>
    <row r="1859" spans="1:64">
      <c r="A1859" s="1058"/>
      <c r="B1859" s="1058"/>
      <c r="C1859" s="1817" t="s">
        <v>1314</v>
      </c>
      <c r="D1859" s="1062">
        <f>'Civil-SOR'!$G$222</f>
        <v>94.29</v>
      </c>
      <c r="E1859" s="1062">
        <f>'Civil-SOR'!$G$223</f>
        <v>135.61000000000001</v>
      </c>
      <c r="F1859" s="1062">
        <f>'Civil-SOR'!$G$224</f>
        <v>176.93</v>
      </c>
      <c r="G1859" s="1062">
        <f>'Civil-SOR'!$G$225</f>
        <v>218.25</v>
      </c>
      <c r="H1859" s="1062">
        <f>'Civil-SOR'!$G$226</f>
        <v>259.57</v>
      </c>
      <c r="I1859" s="1062">
        <f>'Civil-SOR'!$G$227</f>
        <v>300.89</v>
      </c>
      <c r="J1859" s="1015"/>
      <c r="K1859" s="1047"/>
      <c r="L1859" s="1011"/>
      <c r="M1859" s="1066"/>
      <c r="N1859" s="1066"/>
      <c r="O1859" s="1066"/>
      <c r="P1859" s="1066"/>
      <c r="Q1859" s="1066"/>
      <c r="R1859" s="1066"/>
      <c r="S1859" s="1066"/>
      <c r="T1859" s="1066"/>
      <c r="U1859" s="1066"/>
      <c r="V1859" s="1066"/>
      <c r="W1859" s="1066"/>
      <c r="X1859" s="1066"/>
      <c r="Y1859" s="1066"/>
      <c r="Z1859" s="1066"/>
      <c r="AA1859" s="1066"/>
      <c r="AB1859" s="1066"/>
      <c r="AC1859" s="1066"/>
      <c r="AD1859" s="1066"/>
      <c r="AE1859" s="1066"/>
      <c r="AF1859" s="1066"/>
      <c r="AG1859" s="1066"/>
      <c r="AH1859" s="1066"/>
      <c r="AI1859" s="1066"/>
      <c r="AJ1859" s="1066"/>
      <c r="AK1859" s="1066"/>
      <c r="AL1859" s="1066"/>
      <c r="AM1859" s="1066"/>
      <c r="AN1859" s="1066"/>
      <c r="AO1859" s="1066"/>
      <c r="AP1859" s="1066"/>
      <c r="AQ1859" s="1066"/>
      <c r="AR1859" s="1066"/>
      <c r="AS1859" s="1066"/>
      <c r="AT1859" s="1066"/>
      <c r="AU1859" s="1066"/>
      <c r="AV1859" s="1066"/>
      <c r="AW1859" s="1066"/>
      <c r="AX1859" s="1066"/>
      <c r="AY1859" s="1066"/>
      <c r="AZ1859" s="1066"/>
      <c r="BA1859" s="1066"/>
      <c r="BB1859" s="1066"/>
      <c r="BC1859" s="1066"/>
      <c r="BD1859" s="1066"/>
      <c r="BE1859" s="1066"/>
      <c r="BF1859" s="1066"/>
      <c r="BG1859" s="1066"/>
      <c r="BH1859" s="1066"/>
      <c r="BI1859" s="1066"/>
      <c r="BJ1859" s="1066"/>
      <c r="BK1859" s="1066"/>
      <c r="BL1859" s="1066"/>
    </row>
    <row r="1860" spans="1:64">
      <c r="A1860" s="1058"/>
      <c r="B1860" s="1058"/>
      <c r="C1860" s="1817" t="str">
        <f>Input!$C$47</f>
        <v>Add for MA @ 40%</v>
      </c>
      <c r="D1860" s="1062">
        <f>D1859*Input!$D$47</f>
        <v>37.716000000000001</v>
      </c>
      <c r="E1860" s="1062">
        <f>E1859*Input!$D$47</f>
        <v>54.244000000000007</v>
      </c>
      <c r="F1860" s="1062">
        <f>F1859*Input!$D$47</f>
        <v>70.772000000000006</v>
      </c>
      <c r="G1860" s="1062">
        <f>G1859*Input!$D$47</f>
        <v>87.300000000000011</v>
      </c>
      <c r="H1860" s="1062">
        <f>H1859*Input!$D$47</f>
        <v>103.828</v>
      </c>
      <c r="I1860" s="1062">
        <f>I1859*Input!$D$47</f>
        <v>120.35599999999999</v>
      </c>
      <c r="J1860" s="1015"/>
      <c r="K1860" s="1047"/>
      <c r="L1860" s="1011"/>
      <c r="M1860" s="1066"/>
      <c r="N1860" s="1066"/>
      <c r="O1860" s="1066"/>
      <c r="P1860" s="1066"/>
      <c r="Q1860" s="1066"/>
      <c r="R1860" s="1066"/>
      <c r="S1860" s="1066"/>
      <c r="T1860" s="1066"/>
      <c r="U1860" s="1066"/>
      <c r="V1860" s="1066"/>
      <c r="W1860" s="1066"/>
      <c r="X1860" s="1066"/>
      <c r="Y1860" s="1066"/>
      <c r="Z1860" s="1066"/>
      <c r="AA1860" s="1066"/>
      <c r="AB1860" s="1066"/>
      <c r="AC1860" s="1066"/>
      <c r="AD1860" s="1066"/>
      <c r="AE1860" s="1066"/>
      <c r="AF1860" s="1066"/>
      <c r="AG1860" s="1066"/>
      <c r="AH1860" s="1066"/>
      <c r="AI1860" s="1066"/>
      <c r="AJ1860" s="1066"/>
      <c r="AK1860" s="1066"/>
      <c r="AL1860" s="1066"/>
      <c r="AM1860" s="1066"/>
      <c r="AN1860" s="1066"/>
      <c r="AO1860" s="1066"/>
      <c r="AP1860" s="1066"/>
      <c r="AQ1860" s="1066"/>
      <c r="AR1860" s="1066"/>
      <c r="AS1860" s="1066"/>
      <c r="AT1860" s="1066"/>
      <c r="AU1860" s="1066"/>
      <c r="AV1860" s="1066"/>
      <c r="AW1860" s="1066"/>
      <c r="AX1860" s="1066"/>
      <c r="AY1860" s="1066"/>
      <c r="AZ1860" s="1066"/>
      <c r="BA1860" s="1066"/>
      <c r="BB1860" s="1066"/>
      <c r="BC1860" s="1066"/>
      <c r="BD1860" s="1066"/>
      <c r="BE1860" s="1066"/>
      <c r="BF1860" s="1066"/>
      <c r="BG1860" s="1066"/>
      <c r="BH1860" s="1066"/>
      <c r="BI1860" s="1066"/>
      <c r="BJ1860" s="1066"/>
      <c r="BK1860" s="1066"/>
      <c r="BL1860" s="1066"/>
    </row>
    <row r="1861" spans="1:64">
      <c r="A1861" s="1058"/>
      <c r="B1861" s="1058"/>
      <c r="C1861" s="1817" t="s">
        <v>1253</v>
      </c>
      <c r="D1861" s="1062">
        <v>0</v>
      </c>
      <c r="E1861" s="1062">
        <f>ROUND($F$1850/10*10%,2)</f>
        <v>22.06</v>
      </c>
      <c r="F1861" s="1062">
        <f>ROUND($F$1850/10*20%,2)</f>
        <v>44.11</v>
      </c>
      <c r="G1861" s="1062">
        <f>ROUND($F$1850/10*30%,2)</f>
        <v>66.17</v>
      </c>
      <c r="H1861" s="1062">
        <f>ROUND($F$1850/10*40%,2)</f>
        <v>88.22</v>
      </c>
      <c r="I1861" s="1062">
        <f>ROUND($F$1850/10*50%,2)</f>
        <v>110.28</v>
      </c>
      <c r="J1861" s="1015"/>
      <c r="K1861" s="1047"/>
      <c r="L1861" s="1011"/>
      <c r="M1861" s="1066"/>
      <c r="N1861" s="1066"/>
      <c r="O1861" s="1066"/>
      <c r="P1861" s="1066"/>
      <c r="Q1861" s="1066"/>
      <c r="R1861" s="1066"/>
      <c r="S1861" s="1066"/>
      <c r="T1861" s="1066"/>
      <c r="U1861" s="1066"/>
      <c r="V1861" s="1066"/>
      <c r="W1861" s="1066"/>
      <c r="X1861" s="1066"/>
      <c r="Y1861" s="1066"/>
      <c r="Z1861" s="1066"/>
      <c r="AA1861" s="1066"/>
      <c r="AB1861" s="1066"/>
      <c r="AC1861" s="1066"/>
      <c r="AD1861" s="1066"/>
      <c r="AE1861" s="1066"/>
      <c r="AF1861" s="1066"/>
      <c r="AG1861" s="1066"/>
      <c r="AH1861" s="1066"/>
      <c r="AI1861" s="1066"/>
      <c r="AJ1861" s="1066"/>
      <c r="AK1861" s="1066"/>
      <c r="AL1861" s="1066"/>
      <c r="AM1861" s="1066"/>
      <c r="AN1861" s="1066"/>
      <c r="AO1861" s="1066"/>
      <c r="AP1861" s="1066"/>
      <c r="AQ1861" s="1066"/>
      <c r="AR1861" s="1066"/>
      <c r="AS1861" s="1066"/>
      <c r="AT1861" s="1066"/>
      <c r="AU1861" s="1066"/>
      <c r="AV1861" s="1066"/>
      <c r="AW1861" s="1066"/>
      <c r="AX1861" s="1066"/>
      <c r="AY1861" s="1066"/>
      <c r="AZ1861" s="1066"/>
      <c r="BA1861" s="1066"/>
      <c r="BB1861" s="1066"/>
      <c r="BC1861" s="1066"/>
      <c r="BD1861" s="1066"/>
      <c r="BE1861" s="1066"/>
      <c r="BF1861" s="1066"/>
      <c r="BG1861" s="1066"/>
      <c r="BH1861" s="1066"/>
      <c r="BI1861" s="1066"/>
      <c r="BJ1861" s="1066"/>
      <c r="BK1861" s="1066"/>
      <c r="BL1861" s="1066"/>
    </row>
    <row r="1862" spans="1:64">
      <c r="A1862" s="1058"/>
      <c r="B1862" s="1058"/>
      <c r="C1862" s="1817" t="str">
        <f>Input!$C$47</f>
        <v>Add for MA @ 40%</v>
      </c>
      <c r="D1862" s="1062">
        <f>D1861*Input!$D$47</f>
        <v>0</v>
      </c>
      <c r="E1862" s="1062">
        <f>E1861*Input!$D$47</f>
        <v>8.8239999999999998</v>
      </c>
      <c r="F1862" s="1062">
        <f>F1861*Input!$D$47</f>
        <v>17.644000000000002</v>
      </c>
      <c r="G1862" s="1062">
        <f>G1861*Input!$D$47</f>
        <v>26.468000000000004</v>
      </c>
      <c r="H1862" s="1062">
        <f>H1861*Input!$D$47</f>
        <v>35.288000000000004</v>
      </c>
      <c r="I1862" s="1062">
        <f>I1861*Input!$D$47</f>
        <v>44.112000000000002</v>
      </c>
      <c r="J1862" s="1015"/>
      <c r="K1862" s="1047"/>
      <c r="L1862" s="1011"/>
      <c r="M1862" s="1066"/>
      <c r="N1862" s="1066"/>
      <c r="O1862" s="1066"/>
      <c r="P1862" s="1066"/>
      <c r="Q1862" s="1066"/>
      <c r="R1862" s="1066"/>
      <c r="S1862" s="1066"/>
      <c r="T1862" s="1066"/>
      <c r="U1862" s="1066"/>
      <c r="V1862" s="1066"/>
      <c r="W1862" s="1066"/>
      <c r="X1862" s="1066"/>
      <c r="Y1862" s="1066"/>
      <c r="Z1862" s="1066"/>
      <c r="AA1862" s="1066"/>
      <c r="AB1862" s="1066"/>
      <c r="AC1862" s="1066"/>
      <c r="AD1862" s="1066"/>
      <c r="AE1862" s="1066"/>
      <c r="AF1862" s="1066"/>
      <c r="AG1862" s="1066"/>
      <c r="AH1862" s="1066"/>
      <c r="AI1862" s="1066"/>
      <c r="AJ1862" s="1066"/>
      <c r="AK1862" s="1066"/>
      <c r="AL1862" s="1066"/>
      <c r="AM1862" s="1066"/>
      <c r="AN1862" s="1066"/>
      <c r="AO1862" s="1066"/>
      <c r="AP1862" s="1066"/>
      <c r="AQ1862" s="1066"/>
      <c r="AR1862" s="1066"/>
      <c r="AS1862" s="1066"/>
      <c r="AT1862" s="1066"/>
      <c r="AU1862" s="1066"/>
      <c r="AV1862" s="1066"/>
      <c r="AW1862" s="1066"/>
      <c r="AX1862" s="1066"/>
      <c r="AY1862" s="1066"/>
      <c r="AZ1862" s="1066"/>
      <c r="BA1862" s="1066"/>
      <c r="BB1862" s="1066"/>
      <c r="BC1862" s="1066"/>
      <c r="BD1862" s="1066"/>
      <c r="BE1862" s="1066"/>
      <c r="BF1862" s="1066"/>
      <c r="BG1862" s="1066"/>
      <c r="BH1862" s="1066"/>
      <c r="BI1862" s="1066"/>
      <c r="BJ1862" s="1066"/>
      <c r="BK1862" s="1066"/>
      <c r="BL1862" s="1066"/>
    </row>
    <row r="1863" spans="1:64">
      <c r="A1863" s="1818"/>
      <c r="B1863" s="1818"/>
      <c r="C1863" s="1816" t="s">
        <v>1045</v>
      </c>
      <c r="D1863" s="1009">
        <f t="shared" ref="D1863:I1863" si="438">SUM(D1857:D1862)</f>
        <v>848.48599999999999</v>
      </c>
      <c r="E1863" s="1009">
        <f t="shared" si="438"/>
        <v>937.21799999999996</v>
      </c>
      <c r="F1863" s="1009">
        <f t="shared" si="438"/>
        <v>1025.9360000000001</v>
      </c>
      <c r="G1863" s="1009">
        <f t="shared" si="438"/>
        <v>1114.6680000000001</v>
      </c>
      <c r="H1863" s="1009">
        <f t="shared" si="438"/>
        <v>1203.386</v>
      </c>
      <c r="I1863" s="1009">
        <f t="shared" si="438"/>
        <v>1292.1180000000002</v>
      </c>
      <c r="J1863" s="1015"/>
      <c r="K1863" s="1047"/>
      <c r="L1863" s="1011"/>
    </row>
    <row r="1864" spans="1:64">
      <c r="A1864" s="1818"/>
      <c r="B1864" s="1818"/>
      <c r="C1864" s="1817" t="str">
        <f>Input!$C$48</f>
        <v>Overheads &amp; Contractors Profit @ 13.615%</v>
      </c>
      <c r="D1864" s="1001">
        <f>ROUND(D1863*Input!$D$48,2)</f>
        <v>115.52</v>
      </c>
      <c r="E1864" s="1001">
        <f>ROUND(E1863*Input!$D$48,2)</f>
        <v>127.6</v>
      </c>
      <c r="F1864" s="1001">
        <f>ROUND(F1863*Input!$D$48,2)</f>
        <v>139.68</v>
      </c>
      <c r="G1864" s="1001">
        <f>ROUND(G1863*Input!$D$48,2)</f>
        <v>151.76</v>
      </c>
      <c r="H1864" s="1001">
        <f>ROUND(H1863*Input!$D$48,2)</f>
        <v>163.84</v>
      </c>
      <c r="I1864" s="1001">
        <f>ROUND(I1863*Input!$D$48,2)</f>
        <v>175.92</v>
      </c>
      <c r="J1864" s="1015"/>
      <c r="K1864" s="1047"/>
      <c r="L1864" s="1011"/>
    </row>
    <row r="1865" spans="1:64">
      <c r="A1865" s="1086"/>
      <c r="B1865" s="1086"/>
      <c r="C1865" s="1088" t="s">
        <v>1045</v>
      </c>
      <c r="D1865" s="1826">
        <f t="shared" ref="D1865:I1865" si="439">SUM(D1863:D1864)</f>
        <v>964.00599999999997</v>
      </c>
      <c r="E1865" s="1826">
        <f t="shared" si="439"/>
        <v>1064.818</v>
      </c>
      <c r="F1865" s="1826">
        <f t="shared" si="439"/>
        <v>1165.6160000000002</v>
      </c>
      <c r="G1865" s="1826">
        <f t="shared" si="439"/>
        <v>1266.4280000000001</v>
      </c>
      <c r="H1865" s="1826">
        <f t="shared" si="439"/>
        <v>1367.2259999999999</v>
      </c>
      <c r="I1865" s="1826">
        <f t="shared" si="439"/>
        <v>1468.0380000000002</v>
      </c>
      <c r="J1865" s="1015"/>
      <c r="K1865" s="1047"/>
      <c r="L1865" s="1011"/>
      <c r="M1865" s="997"/>
      <c r="N1865" s="997"/>
      <c r="O1865" s="997"/>
      <c r="P1865" s="997"/>
      <c r="Q1865" s="997"/>
      <c r="R1865" s="997"/>
      <c r="S1865" s="997"/>
      <c r="T1865" s="997"/>
      <c r="U1865" s="997"/>
      <c r="V1865" s="997"/>
      <c r="W1865" s="997"/>
      <c r="X1865" s="997"/>
      <c r="Y1865" s="997"/>
      <c r="Z1865" s="997"/>
      <c r="AA1865" s="997"/>
      <c r="AB1865" s="997"/>
      <c r="AC1865" s="997"/>
      <c r="AD1865" s="997"/>
      <c r="AE1865" s="997"/>
      <c r="AF1865" s="997"/>
      <c r="AG1865" s="997"/>
      <c r="AH1865" s="997"/>
      <c r="AI1865" s="997"/>
      <c r="AJ1865" s="997"/>
      <c r="AK1865" s="997"/>
      <c r="AL1865" s="997"/>
      <c r="AM1865" s="997"/>
      <c r="AN1865" s="997"/>
      <c r="AO1865" s="997"/>
      <c r="AP1865" s="997"/>
      <c r="AQ1865" s="997"/>
      <c r="AR1865" s="997"/>
      <c r="AS1865" s="997"/>
      <c r="AT1865" s="997"/>
      <c r="AU1865" s="997"/>
      <c r="AV1865" s="997"/>
      <c r="AW1865" s="997"/>
      <c r="AX1865" s="997"/>
      <c r="AY1865" s="997"/>
      <c r="AZ1865" s="997"/>
      <c r="BA1865" s="997"/>
      <c r="BB1865" s="997"/>
      <c r="BC1865" s="997"/>
      <c r="BD1865" s="997"/>
      <c r="BE1865" s="997"/>
      <c r="BF1865" s="997"/>
      <c r="BG1865" s="997"/>
      <c r="BH1865" s="997"/>
      <c r="BI1865" s="997"/>
      <c r="BJ1865" s="997"/>
      <c r="BK1865" s="997"/>
      <c r="BL1865" s="997"/>
    </row>
    <row r="1866" spans="1:64">
      <c r="A1866" s="1086"/>
      <c r="B1866" s="1086"/>
      <c r="C1866" s="1118" t="s">
        <v>1034</v>
      </c>
      <c r="D1866" s="999">
        <f t="shared" ref="D1866:I1866" si="440">ROUND(D1865,0)</f>
        <v>964</v>
      </c>
      <c r="E1866" s="999">
        <f t="shared" si="440"/>
        <v>1065</v>
      </c>
      <c r="F1866" s="999">
        <f t="shared" si="440"/>
        <v>1166</v>
      </c>
      <c r="G1866" s="999">
        <f t="shared" si="440"/>
        <v>1266</v>
      </c>
      <c r="H1866" s="999">
        <f t="shared" si="440"/>
        <v>1367</v>
      </c>
      <c r="I1866" s="999">
        <f t="shared" si="440"/>
        <v>1468</v>
      </c>
      <c r="J1866" s="1015"/>
      <c r="K1866" s="1047"/>
      <c r="L1866" s="1011"/>
      <c r="M1866" s="997"/>
      <c r="N1866" s="997"/>
      <c r="O1866" s="997"/>
      <c r="P1866" s="997"/>
      <c r="Q1866" s="997"/>
      <c r="R1866" s="997"/>
      <c r="S1866" s="997"/>
      <c r="T1866" s="997"/>
      <c r="U1866" s="997"/>
      <c r="V1866" s="997"/>
      <c r="W1866" s="997"/>
      <c r="X1866" s="997"/>
      <c r="Y1866" s="997"/>
      <c r="Z1866" s="997"/>
      <c r="AA1866" s="997"/>
      <c r="AB1866" s="997"/>
      <c r="AC1866" s="997"/>
      <c r="AD1866" s="997"/>
      <c r="AE1866" s="997"/>
      <c r="AF1866" s="997"/>
      <c r="AG1866" s="997"/>
      <c r="AH1866" s="997"/>
      <c r="AI1866" s="997"/>
      <c r="AJ1866" s="997"/>
      <c r="AK1866" s="997"/>
      <c r="AL1866" s="997"/>
      <c r="AM1866" s="997"/>
      <c r="AN1866" s="997"/>
      <c r="AO1866" s="997"/>
      <c r="AP1866" s="997"/>
      <c r="AQ1866" s="997"/>
      <c r="AR1866" s="997"/>
      <c r="AS1866" s="997"/>
      <c r="AT1866" s="997"/>
      <c r="AU1866" s="997"/>
      <c r="AV1866" s="997"/>
      <c r="AW1866" s="997"/>
      <c r="AX1866" s="997"/>
      <c r="AY1866" s="997"/>
      <c r="AZ1866" s="997"/>
      <c r="BA1866" s="997"/>
      <c r="BB1866" s="997"/>
      <c r="BC1866" s="997"/>
      <c r="BD1866" s="997"/>
      <c r="BE1866" s="997"/>
      <c r="BF1866" s="997"/>
      <c r="BG1866" s="997"/>
      <c r="BH1866" s="997"/>
      <c r="BI1866" s="997"/>
      <c r="BJ1866" s="997"/>
      <c r="BK1866" s="997"/>
      <c r="BL1866" s="997"/>
    </row>
    <row r="1867" spans="1:64">
      <c r="A1867" s="1818"/>
      <c r="B1867" s="1818"/>
      <c r="C1867" s="1816"/>
      <c r="D1867" s="1114"/>
      <c r="E1867" s="1114"/>
      <c r="F1867" s="1114"/>
      <c r="G1867" s="1114"/>
      <c r="H1867" s="1114"/>
      <c r="I1867" s="1011"/>
      <c r="J1867" s="1015"/>
      <c r="K1867" s="1047"/>
      <c r="L1867" s="1011"/>
    </row>
    <row r="1868" spans="1:64">
      <c r="A1868" s="1818"/>
      <c r="B1868" s="1818"/>
      <c r="C1868" s="1816" t="s">
        <v>1217</v>
      </c>
      <c r="D1868" s="1102" t="s">
        <v>1212</v>
      </c>
      <c r="E1868" s="1102" t="s">
        <v>1213</v>
      </c>
      <c r="F1868" s="1102" t="s">
        <v>1214</v>
      </c>
      <c r="G1868" s="1114"/>
      <c r="H1868" s="1114"/>
      <c r="I1868" s="1011"/>
      <c r="J1868" s="1846"/>
      <c r="K1868" s="1846"/>
      <c r="L1868" s="1846"/>
    </row>
    <row r="1869" spans="1:64">
      <c r="A1869" s="1818"/>
      <c r="B1869" s="1818"/>
      <c r="C1869" s="1817" t="s">
        <v>1317</v>
      </c>
      <c r="D1869" s="1062">
        <f>$I$1853</f>
        <v>704.82</v>
      </c>
      <c r="E1869" s="1062">
        <f>$I$1853</f>
        <v>704.82</v>
      </c>
      <c r="F1869" s="1062">
        <f>$I$1853</f>
        <v>704.82</v>
      </c>
      <c r="G1869" s="1114"/>
      <c r="H1869" s="1114"/>
      <c r="I1869" s="1011"/>
      <c r="J1869" s="1846"/>
      <c r="K1869" s="1846"/>
      <c r="L1869" s="1846"/>
    </row>
    <row r="1870" spans="1:64">
      <c r="A1870" s="1818"/>
      <c r="B1870" s="1818"/>
      <c r="C1870" s="1817" t="s">
        <v>1313</v>
      </c>
      <c r="D1870" s="1062">
        <f>'Civil-SOR'!$F$225</f>
        <v>11.66</v>
      </c>
      <c r="E1870" s="1062">
        <f>'Civil-SOR'!$F$225</f>
        <v>11.66</v>
      </c>
      <c r="F1870" s="1062">
        <f>'Civil-SOR'!$F$225</f>
        <v>11.66</v>
      </c>
      <c r="G1870" s="1114"/>
      <c r="H1870" s="1114"/>
      <c r="I1870" s="1011"/>
      <c r="J1870" s="1846"/>
      <c r="K1870" s="1846"/>
      <c r="L1870" s="1846"/>
    </row>
    <row r="1871" spans="1:64">
      <c r="A1871" s="1818"/>
      <c r="B1871" s="1818"/>
      <c r="C1871" s="1817" t="s">
        <v>1314</v>
      </c>
      <c r="D1871" s="1062">
        <f>'Civil-SOR'!$G$228</f>
        <v>342.42</v>
      </c>
      <c r="E1871" s="1062">
        <f>'Civil-SOR'!$G$229</f>
        <v>383.52</v>
      </c>
      <c r="F1871" s="1062">
        <f>'Civil-SOR'!$G$230</f>
        <v>424.84</v>
      </c>
      <c r="G1871" s="1114"/>
      <c r="H1871" s="1114"/>
      <c r="I1871" s="1011"/>
      <c r="J1871" s="1846"/>
      <c r="K1871" s="1846"/>
      <c r="L1871" s="1846"/>
    </row>
    <row r="1872" spans="1:64">
      <c r="A1872" s="1818"/>
      <c r="B1872" s="1818"/>
      <c r="C1872" s="1817" t="str">
        <f>Input!$C$47</f>
        <v>Add for MA @ 40%</v>
      </c>
      <c r="D1872" s="1062">
        <f>D1871*Input!$D$47</f>
        <v>136.96800000000002</v>
      </c>
      <c r="E1872" s="1062">
        <f>E1871*Input!$D$47</f>
        <v>153.40799999999999</v>
      </c>
      <c r="F1872" s="1062">
        <f>F1871*Input!$D$47</f>
        <v>169.93600000000001</v>
      </c>
      <c r="G1872" s="1114"/>
      <c r="H1872" s="1114"/>
      <c r="I1872" s="1011"/>
      <c r="J1872" s="1846"/>
      <c r="K1872" s="1846"/>
      <c r="L1872" s="1846"/>
    </row>
    <row r="1873" spans="1:64">
      <c r="A1873" s="1818"/>
      <c r="B1873" s="1818"/>
      <c r="C1873" s="1817" t="s">
        <v>1253</v>
      </c>
      <c r="D1873" s="1062">
        <f>ROUND($F$1850/10*60%,2)</f>
        <v>132.34</v>
      </c>
      <c r="E1873" s="1062">
        <f>ROUND($F$1850/10*70%,2)</f>
        <v>154.38999999999999</v>
      </c>
      <c r="F1873" s="1062">
        <f>ROUND($F$1850/10*80%,2)</f>
        <v>176.45</v>
      </c>
      <c r="G1873" s="1114"/>
      <c r="H1873" s="1114"/>
      <c r="I1873" s="1011"/>
      <c r="J1873" s="1846"/>
      <c r="K1873" s="1846"/>
      <c r="L1873" s="1846"/>
    </row>
    <row r="1874" spans="1:64">
      <c r="A1874" s="1818"/>
      <c r="B1874" s="1818"/>
      <c r="C1874" s="1817" t="str">
        <f>Input!$C$47</f>
        <v>Add for MA @ 40%</v>
      </c>
      <c r="D1874" s="1062">
        <f>D1873*Input!$D$47</f>
        <v>52.936000000000007</v>
      </c>
      <c r="E1874" s="1062">
        <f>E1873*Input!$D$47</f>
        <v>61.756</v>
      </c>
      <c r="F1874" s="1062">
        <f>F1873*Input!$D$47</f>
        <v>70.58</v>
      </c>
      <c r="G1874" s="1114"/>
      <c r="H1874" s="1114"/>
      <c r="I1874" s="1011"/>
      <c r="J1874" s="1846"/>
      <c r="K1874" s="1846"/>
      <c r="L1874" s="1846"/>
    </row>
    <row r="1875" spans="1:64">
      <c r="A1875" s="1818"/>
      <c r="B1875" s="1818"/>
      <c r="C1875" s="1816" t="s">
        <v>1045</v>
      </c>
      <c r="D1875" s="1009">
        <f>SUM(D1869:D1874)</f>
        <v>1381.144</v>
      </c>
      <c r="E1875" s="1009">
        <f>SUM(E1869:E1874)</f>
        <v>1469.5539999999999</v>
      </c>
      <c r="F1875" s="1009">
        <f>SUM(F1869:F1874)</f>
        <v>1558.2859999999998</v>
      </c>
      <c r="G1875" s="1114"/>
      <c r="H1875" s="1114"/>
      <c r="I1875" s="1011"/>
      <c r="J1875" s="1846"/>
      <c r="K1875" s="1846"/>
      <c r="L1875" s="1846"/>
    </row>
    <row r="1876" spans="1:64">
      <c r="A1876" s="1818"/>
      <c r="B1876" s="1818"/>
      <c r="C1876" s="1817" t="str">
        <f>Input!$C$48</f>
        <v>Overheads &amp; Contractors Profit @ 13.615%</v>
      </c>
      <c r="D1876" s="1001">
        <f>ROUND(D1875*Input!$D$48,2)</f>
        <v>188.04</v>
      </c>
      <c r="E1876" s="1001">
        <f>ROUND(E1875*Input!$D$48,2)</f>
        <v>200.08</v>
      </c>
      <c r="F1876" s="1001">
        <f>ROUND(F1875*Input!$D$48,2)</f>
        <v>212.16</v>
      </c>
      <c r="G1876" s="1114"/>
      <c r="H1876" s="1114"/>
      <c r="I1876" s="1011"/>
      <c r="J1876" s="1846"/>
      <c r="K1876" s="1846"/>
      <c r="L1876" s="1846"/>
    </row>
    <row r="1877" spans="1:64">
      <c r="A1877" s="1818"/>
      <c r="B1877" s="1818"/>
      <c r="C1877" s="1816" t="s">
        <v>1045</v>
      </c>
      <c r="D1877" s="1826">
        <f>SUM(D1875:D1876)</f>
        <v>1569.184</v>
      </c>
      <c r="E1877" s="1826">
        <f>SUM(E1875:E1876)</f>
        <v>1669.6339999999998</v>
      </c>
      <c r="F1877" s="1826">
        <f>SUM(F1875:F1876)</f>
        <v>1770.4459999999999</v>
      </c>
      <c r="G1877" s="1114"/>
      <c r="H1877" s="1114"/>
      <c r="I1877" s="1011"/>
      <c r="J1877" s="1846"/>
      <c r="K1877" s="1846"/>
      <c r="L1877" s="1846"/>
    </row>
    <row r="1878" spans="1:64">
      <c r="A1878" s="1818"/>
      <c r="B1878" s="1818"/>
      <c r="C1878" s="1843" t="s">
        <v>1034</v>
      </c>
      <c r="D1878" s="999">
        <f>ROUND(D1877,0)</f>
        <v>1569</v>
      </c>
      <c r="E1878" s="999">
        <f>ROUND(E1877,0)</f>
        <v>1670</v>
      </c>
      <c r="F1878" s="999">
        <f>ROUND(F1877,0)</f>
        <v>1770</v>
      </c>
      <c r="G1878" s="1114"/>
      <c r="H1878" s="1114"/>
      <c r="I1878" s="1011"/>
      <c r="J1878" s="1846"/>
      <c r="K1878" s="1846"/>
      <c r="L1878" s="1846"/>
    </row>
    <row r="1879" spans="1:64">
      <c r="A1879" s="1818"/>
      <c r="B1879" s="1818"/>
      <c r="C1879" s="1816"/>
      <c r="D1879" s="1114"/>
      <c r="E1879" s="1114"/>
      <c r="F1879" s="1114"/>
      <c r="G1879" s="1114"/>
      <c r="H1879" s="1114"/>
      <c r="I1879" s="1011"/>
      <c r="J1879" s="1846"/>
      <c r="K1879" s="1846"/>
      <c r="L1879" s="1846"/>
    </row>
    <row r="1880" spans="1:64" ht="96.95" customHeight="1">
      <c r="A1880" s="2042">
        <f>A1839+1</f>
        <v>21</v>
      </c>
      <c r="B1880" s="2042"/>
      <c r="C1880" s="2044" t="s">
        <v>3407</v>
      </c>
      <c r="D1880" s="2044"/>
      <c r="E1880" s="2044"/>
      <c r="F1880" s="2044"/>
      <c r="G1880" s="2044"/>
      <c r="H1880" s="2044"/>
      <c r="I1880" s="1825"/>
      <c r="J1880" s="1846"/>
      <c r="K1880" s="1846"/>
      <c r="L1880" s="1846"/>
    </row>
    <row r="1881" spans="1:64">
      <c r="A1881" s="1818"/>
      <c r="B1881" s="1818"/>
      <c r="C1881" s="1049"/>
      <c r="D1881" s="1164"/>
      <c r="E1881" s="1044"/>
      <c r="F1881" s="1001"/>
      <c r="G1881" s="1015"/>
      <c r="H1881" s="1050"/>
      <c r="I1881" s="1030"/>
      <c r="J1881" s="1846"/>
      <c r="K1881" s="1846"/>
      <c r="L1881" s="1846"/>
    </row>
    <row r="1882" spans="1:64">
      <c r="A1882" s="1818"/>
      <c r="B1882" s="1818"/>
      <c r="C1882" s="1820" t="s">
        <v>1322</v>
      </c>
      <c r="D1882" s="1045"/>
      <c r="E1882" s="1044"/>
      <c r="F1882" s="1001"/>
      <c r="G1882" s="1015"/>
      <c r="H1882" s="1050"/>
      <c r="I1882" s="1030"/>
      <c r="J1882" s="1846"/>
      <c r="K1882" s="1846"/>
      <c r="L1882" s="1846"/>
    </row>
    <row r="1883" spans="1:64">
      <c r="A1883" s="1818"/>
      <c r="B1883" s="1818"/>
      <c r="C1883" s="1825" t="s">
        <v>1154</v>
      </c>
      <c r="D1883" s="1045"/>
      <c r="E1883" s="1044"/>
      <c r="F1883" s="1001"/>
      <c r="G1883" s="1015"/>
      <c r="H1883" s="1050"/>
      <c r="I1883" s="1030"/>
      <c r="J1883" s="1846"/>
      <c r="K1883" s="1846"/>
      <c r="L1883" s="1846"/>
    </row>
    <row r="1884" spans="1:64" ht="25.5">
      <c r="A1884" s="1058"/>
      <c r="B1884" s="1058"/>
      <c r="C1884" s="1817" t="s">
        <v>1323</v>
      </c>
      <c r="D1884" s="1063">
        <v>37</v>
      </c>
      <c r="E1884" s="1061" t="s">
        <v>955</v>
      </c>
      <c r="F1884" s="1166">
        <v>137</v>
      </c>
      <c r="G1884" s="1081">
        <v>1</v>
      </c>
      <c r="H1884" s="1140" t="s">
        <v>955</v>
      </c>
      <c r="I1884" s="1062">
        <f t="shared" ref="I1884:I1886" si="441">IF(G1884="",D1884*F1884,(D1884*F1884/G1884))</f>
        <v>5069</v>
      </c>
      <c r="J1884" s="1022"/>
      <c r="K1884" s="1022"/>
      <c r="L1884" s="1022"/>
      <c r="M1884" s="1066"/>
      <c r="N1884" s="1066"/>
      <c r="O1884" s="1066"/>
      <c r="P1884" s="1066"/>
      <c r="Q1884" s="1066"/>
      <c r="R1884" s="1066"/>
      <c r="S1884" s="1066"/>
      <c r="T1884" s="1066"/>
      <c r="U1884" s="1066"/>
      <c r="V1884" s="1066"/>
      <c r="W1884" s="1066"/>
      <c r="X1884" s="1066"/>
      <c r="Y1884" s="1066"/>
      <c r="Z1884" s="1066"/>
      <c r="AA1884" s="1066"/>
      <c r="AB1884" s="1066"/>
      <c r="AC1884" s="1066"/>
      <c r="AD1884" s="1066"/>
      <c r="AE1884" s="1066"/>
      <c r="AF1884" s="1066"/>
      <c r="AG1884" s="1066"/>
      <c r="AH1884" s="1066"/>
      <c r="AI1884" s="1066"/>
      <c r="AJ1884" s="1066"/>
      <c r="AK1884" s="1066"/>
      <c r="AL1884" s="1066"/>
      <c r="AM1884" s="1066"/>
      <c r="AN1884" s="1066"/>
      <c r="AO1884" s="1066"/>
      <c r="AP1884" s="1066"/>
      <c r="AQ1884" s="1066"/>
      <c r="AR1884" s="1066"/>
      <c r="AS1884" s="1066"/>
      <c r="AT1884" s="1066"/>
      <c r="AU1884" s="1066"/>
      <c r="AV1884" s="1066"/>
      <c r="AW1884" s="1066"/>
      <c r="AX1884" s="1066"/>
      <c r="AY1884" s="1066"/>
      <c r="AZ1884" s="1066"/>
      <c r="BA1884" s="1066"/>
      <c r="BB1884" s="1066"/>
      <c r="BC1884" s="1066"/>
      <c r="BD1884" s="1066"/>
      <c r="BE1884" s="1066"/>
      <c r="BF1884" s="1066"/>
      <c r="BG1884" s="1066"/>
      <c r="BH1884" s="1066"/>
      <c r="BI1884" s="1066"/>
      <c r="BJ1884" s="1066"/>
      <c r="BK1884" s="1066"/>
      <c r="BL1884" s="1066"/>
    </row>
    <row r="1885" spans="1:64">
      <c r="A1885" s="1058"/>
      <c r="B1885" s="1058"/>
      <c r="C1885" s="1817" t="s">
        <v>889</v>
      </c>
      <c r="D1885" s="1060">
        <v>24</v>
      </c>
      <c r="E1885" s="1061" t="s">
        <v>1110</v>
      </c>
      <c r="F1885" s="1062">
        <f>LEAD!$N$6</f>
        <v>5200</v>
      </c>
      <c r="G1885" s="1081">
        <v>1000</v>
      </c>
      <c r="H1885" s="1140" t="str">
        <f t="shared" ref="H1885:H1886" si="442">IF(E1885="","",IF(E1885="No.","Each",IF(E1885="Nos.","Each",E1885)))</f>
        <v>Kgs</v>
      </c>
      <c r="I1885" s="1062">
        <f t="shared" si="441"/>
        <v>124.8</v>
      </c>
      <c r="J1885" s="1022"/>
      <c r="K1885" s="1022"/>
      <c r="L1885" s="1022"/>
      <c r="M1885" s="1066"/>
      <c r="N1885" s="1066"/>
      <c r="O1885" s="1066"/>
      <c r="P1885" s="1066"/>
      <c r="Q1885" s="1066"/>
      <c r="R1885" s="1066"/>
      <c r="S1885" s="1066"/>
      <c r="T1885" s="1066"/>
      <c r="U1885" s="1066"/>
      <c r="V1885" s="1066"/>
      <c r="W1885" s="1066"/>
      <c r="X1885" s="1066"/>
      <c r="Y1885" s="1066"/>
      <c r="Z1885" s="1066"/>
      <c r="AA1885" s="1066"/>
      <c r="AB1885" s="1066"/>
      <c r="AC1885" s="1066"/>
      <c r="AD1885" s="1066"/>
      <c r="AE1885" s="1066"/>
      <c r="AF1885" s="1066"/>
      <c r="AG1885" s="1066"/>
      <c r="AH1885" s="1066"/>
      <c r="AI1885" s="1066"/>
      <c r="AJ1885" s="1066"/>
      <c r="AK1885" s="1066"/>
      <c r="AL1885" s="1066"/>
      <c r="AM1885" s="1066"/>
      <c r="AN1885" s="1066"/>
      <c r="AO1885" s="1066"/>
      <c r="AP1885" s="1066"/>
      <c r="AQ1885" s="1066"/>
      <c r="AR1885" s="1066"/>
      <c r="AS1885" s="1066"/>
      <c r="AT1885" s="1066"/>
      <c r="AU1885" s="1066"/>
      <c r="AV1885" s="1066"/>
      <c r="AW1885" s="1066"/>
      <c r="AX1885" s="1066"/>
      <c r="AY1885" s="1066"/>
      <c r="AZ1885" s="1066"/>
      <c r="BA1885" s="1066"/>
      <c r="BB1885" s="1066"/>
      <c r="BC1885" s="1066"/>
      <c r="BD1885" s="1066"/>
      <c r="BE1885" s="1066"/>
      <c r="BF1885" s="1066"/>
      <c r="BG1885" s="1066"/>
      <c r="BH1885" s="1066"/>
      <c r="BI1885" s="1066"/>
      <c r="BJ1885" s="1066"/>
      <c r="BK1885" s="1066"/>
      <c r="BL1885" s="1066"/>
    </row>
    <row r="1886" spans="1:64">
      <c r="A1886" s="1058"/>
      <c r="B1886" s="1058"/>
      <c r="C1886" s="1817" t="s">
        <v>1141</v>
      </c>
      <c r="D1886" s="1167">
        <v>0.1</v>
      </c>
      <c r="E1886" s="1061" t="s">
        <v>484</v>
      </c>
      <c r="F1886" s="1062">
        <f>LEAD!$N$13</f>
        <v>2453.91</v>
      </c>
      <c r="G1886" s="1081">
        <v>1</v>
      </c>
      <c r="H1886" s="1140" t="str">
        <f t="shared" si="442"/>
        <v>Cum</v>
      </c>
      <c r="I1886" s="1062">
        <f t="shared" si="441"/>
        <v>245.39099999999999</v>
      </c>
      <c r="J1886" s="1022"/>
      <c r="K1886" s="1022"/>
      <c r="L1886" s="1022"/>
      <c r="M1886" s="1066"/>
      <c r="N1886" s="1066"/>
      <c r="O1886" s="1066"/>
      <c r="P1886" s="1066"/>
      <c r="Q1886" s="1066"/>
      <c r="R1886" s="1066"/>
      <c r="S1886" s="1066"/>
      <c r="T1886" s="1066"/>
      <c r="U1886" s="1066"/>
      <c r="V1886" s="1066"/>
      <c r="W1886" s="1066"/>
      <c r="X1886" s="1066"/>
      <c r="Y1886" s="1066"/>
      <c r="Z1886" s="1066"/>
      <c r="AA1886" s="1066"/>
      <c r="AB1886" s="1066"/>
      <c r="AC1886" s="1066"/>
      <c r="AD1886" s="1066"/>
      <c r="AE1886" s="1066"/>
      <c r="AF1886" s="1066"/>
      <c r="AG1886" s="1066"/>
      <c r="AH1886" s="1066"/>
      <c r="AI1886" s="1066"/>
      <c r="AJ1886" s="1066"/>
      <c r="AK1886" s="1066"/>
      <c r="AL1886" s="1066"/>
      <c r="AM1886" s="1066"/>
      <c r="AN1886" s="1066"/>
      <c r="AO1886" s="1066"/>
      <c r="AP1886" s="1066"/>
      <c r="AQ1886" s="1066"/>
      <c r="AR1886" s="1066"/>
      <c r="AS1886" s="1066"/>
      <c r="AT1886" s="1066"/>
      <c r="AU1886" s="1066"/>
      <c r="AV1886" s="1066"/>
      <c r="AW1886" s="1066"/>
      <c r="AX1886" s="1066"/>
      <c r="AY1886" s="1066"/>
      <c r="AZ1886" s="1066"/>
      <c r="BA1886" s="1066"/>
      <c r="BB1886" s="1066"/>
      <c r="BC1886" s="1066"/>
      <c r="BD1886" s="1066"/>
      <c r="BE1886" s="1066"/>
      <c r="BF1886" s="1066"/>
      <c r="BG1886" s="1066"/>
      <c r="BH1886" s="1066"/>
      <c r="BI1886" s="1066"/>
      <c r="BJ1886" s="1066"/>
      <c r="BK1886" s="1066"/>
      <c r="BL1886" s="1066"/>
    </row>
    <row r="1887" spans="1:64">
      <c r="A1887" s="1058"/>
      <c r="B1887" s="1058"/>
      <c r="C1887" s="1816" t="s">
        <v>1324</v>
      </c>
      <c r="D1887" s="1022"/>
      <c r="E1887" s="1022"/>
      <c r="F1887" s="1847"/>
      <c r="G1887" s="1022"/>
      <c r="H1887" s="1022"/>
      <c r="I1887" s="1848"/>
      <c r="J1887" s="1022"/>
      <c r="K1887" s="1022"/>
      <c r="L1887" s="1022"/>
      <c r="M1887" s="1066"/>
      <c r="N1887" s="1066"/>
      <c r="O1887" s="1066"/>
      <c r="P1887" s="1066"/>
      <c r="Q1887" s="1066"/>
      <c r="R1887" s="1066"/>
      <c r="S1887" s="1066"/>
      <c r="T1887" s="1066"/>
      <c r="U1887" s="1066"/>
      <c r="V1887" s="1066"/>
      <c r="W1887" s="1066"/>
      <c r="X1887" s="1066"/>
      <c r="Y1887" s="1066"/>
      <c r="Z1887" s="1066"/>
      <c r="AA1887" s="1066"/>
      <c r="AB1887" s="1066"/>
      <c r="AC1887" s="1066"/>
      <c r="AD1887" s="1066"/>
      <c r="AE1887" s="1066"/>
      <c r="AF1887" s="1066"/>
      <c r="AG1887" s="1066"/>
      <c r="AH1887" s="1066"/>
      <c r="AI1887" s="1066"/>
      <c r="AJ1887" s="1066"/>
      <c r="AK1887" s="1066"/>
      <c r="AL1887" s="1066"/>
      <c r="AM1887" s="1066"/>
      <c r="AN1887" s="1066"/>
      <c r="AO1887" s="1066"/>
      <c r="AP1887" s="1066"/>
      <c r="AQ1887" s="1066"/>
      <c r="AR1887" s="1066"/>
      <c r="AS1887" s="1066"/>
      <c r="AT1887" s="1066"/>
      <c r="AU1887" s="1066"/>
      <c r="AV1887" s="1066"/>
      <c r="AW1887" s="1066"/>
      <c r="AX1887" s="1066"/>
      <c r="AY1887" s="1066"/>
      <c r="AZ1887" s="1066"/>
      <c r="BA1887" s="1066"/>
      <c r="BB1887" s="1066"/>
      <c r="BC1887" s="1066"/>
      <c r="BD1887" s="1066"/>
      <c r="BE1887" s="1066"/>
      <c r="BF1887" s="1066"/>
      <c r="BG1887" s="1066"/>
      <c r="BH1887" s="1066"/>
      <c r="BI1887" s="1066"/>
      <c r="BJ1887" s="1066"/>
      <c r="BK1887" s="1066"/>
      <c r="BL1887" s="1066"/>
    </row>
    <row r="1888" spans="1:64">
      <c r="A1888" s="1058"/>
      <c r="B1888" s="1058"/>
      <c r="C1888" s="1817" t="s">
        <v>1299</v>
      </c>
      <c r="D1888" s="1168">
        <v>0.42</v>
      </c>
      <c r="E1888" s="1061" t="s">
        <v>36</v>
      </c>
      <c r="F1888" s="1062">
        <f>'Civil-SOR'!$G$293</f>
        <v>580</v>
      </c>
      <c r="G1888" s="1081">
        <v>1</v>
      </c>
      <c r="H1888" s="1140" t="s">
        <v>501</v>
      </c>
      <c r="I1888" s="1062">
        <f t="shared" ref="I1888:I1893" si="443">IF(G1888="",D1888*F1888,(D1888*F1888/G1888))</f>
        <v>243.6</v>
      </c>
      <c r="J1888" s="1022"/>
      <c r="K1888" s="1022"/>
      <c r="L1888" s="1022"/>
      <c r="M1888" s="1066"/>
      <c r="N1888" s="1066"/>
      <c r="O1888" s="1066"/>
      <c r="P1888" s="1066"/>
      <c r="Q1888" s="1066"/>
      <c r="R1888" s="1066"/>
      <c r="S1888" s="1066"/>
      <c r="T1888" s="1066"/>
      <c r="U1888" s="1066"/>
      <c r="V1888" s="1066"/>
      <c r="W1888" s="1066"/>
      <c r="X1888" s="1066"/>
      <c r="Y1888" s="1066"/>
      <c r="Z1888" s="1066"/>
      <c r="AA1888" s="1066"/>
      <c r="AB1888" s="1066"/>
      <c r="AC1888" s="1066"/>
      <c r="AD1888" s="1066"/>
      <c r="AE1888" s="1066"/>
      <c r="AF1888" s="1066"/>
      <c r="AG1888" s="1066"/>
      <c r="AH1888" s="1066"/>
      <c r="AI1888" s="1066"/>
      <c r="AJ1888" s="1066"/>
      <c r="AK1888" s="1066"/>
      <c r="AL1888" s="1066"/>
      <c r="AM1888" s="1066"/>
      <c r="AN1888" s="1066"/>
      <c r="AO1888" s="1066"/>
      <c r="AP1888" s="1066"/>
      <c r="AQ1888" s="1066"/>
      <c r="AR1888" s="1066"/>
      <c r="AS1888" s="1066"/>
      <c r="AT1888" s="1066"/>
      <c r="AU1888" s="1066"/>
      <c r="AV1888" s="1066"/>
      <c r="AW1888" s="1066"/>
      <c r="AX1888" s="1066"/>
      <c r="AY1888" s="1066"/>
      <c r="AZ1888" s="1066"/>
      <c r="BA1888" s="1066"/>
      <c r="BB1888" s="1066"/>
      <c r="BC1888" s="1066"/>
      <c r="BD1888" s="1066"/>
      <c r="BE1888" s="1066"/>
      <c r="BF1888" s="1066"/>
      <c r="BG1888" s="1066"/>
      <c r="BH1888" s="1066"/>
      <c r="BI1888" s="1066"/>
      <c r="BJ1888" s="1066"/>
      <c r="BK1888" s="1066"/>
      <c r="BL1888" s="1066"/>
    </row>
    <row r="1889" spans="1:64">
      <c r="A1889" s="1058"/>
      <c r="B1889" s="1058"/>
      <c r="C1889" s="1817" t="s">
        <v>1325</v>
      </c>
      <c r="D1889" s="1168">
        <v>0.92</v>
      </c>
      <c r="E1889" s="1061" t="s">
        <v>36</v>
      </c>
      <c r="F1889" s="1062">
        <f>'Civil-SOR'!$G$302</f>
        <v>550</v>
      </c>
      <c r="G1889" s="1081">
        <v>1</v>
      </c>
      <c r="H1889" s="1140" t="s">
        <v>501</v>
      </c>
      <c r="I1889" s="1062">
        <f t="shared" si="443"/>
        <v>506</v>
      </c>
      <c r="J1889" s="1022"/>
      <c r="K1889" s="1022"/>
      <c r="L1889" s="1022"/>
      <c r="M1889" s="1066"/>
      <c r="N1889" s="1066"/>
      <c r="O1889" s="1066"/>
      <c r="P1889" s="1066"/>
      <c r="Q1889" s="1066"/>
      <c r="R1889" s="1066"/>
      <c r="S1889" s="1066"/>
      <c r="T1889" s="1066"/>
      <c r="U1889" s="1066"/>
      <c r="V1889" s="1066"/>
      <c r="W1889" s="1066"/>
      <c r="X1889" s="1066"/>
      <c r="Y1889" s="1066"/>
      <c r="Z1889" s="1066"/>
      <c r="AA1889" s="1066"/>
      <c r="AB1889" s="1066"/>
      <c r="AC1889" s="1066"/>
      <c r="AD1889" s="1066"/>
      <c r="AE1889" s="1066"/>
      <c r="AF1889" s="1066"/>
      <c r="AG1889" s="1066"/>
      <c r="AH1889" s="1066"/>
      <c r="AI1889" s="1066"/>
      <c r="AJ1889" s="1066"/>
      <c r="AK1889" s="1066"/>
      <c r="AL1889" s="1066"/>
      <c r="AM1889" s="1066"/>
      <c r="AN1889" s="1066"/>
      <c r="AO1889" s="1066"/>
      <c r="AP1889" s="1066"/>
      <c r="AQ1889" s="1066"/>
      <c r="AR1889" s="1066"/>
      <c r="AS1889" s="1066"/>
      <c r="AT1889" s="1066"/>
      <c r="AU1889" s="1066"/>
      <c r="AV1889" s="1066"/>
      <c r="AW1889" s="1066"/>
      <c r="AX1889" s="1066"/>
      <c r="AY1889" s="1066"/>
      <c r="AZ1889" s="1066"/>
      <c r="BA1889" s="1066"/>
      <c r="BB1889" s="1066"/>
      <c r="BC1889" s="1066"/>
      <c r="BD1889" s="1066"/>
      <c r="BE1889" s="1066"/>
      <c r="BF1889" s="1066"/>
      <c r="BG1889" s="1066"/>
      <c r="BH1889" s="1066"/>
      <c r="BI1889" s="1066"/>
      <c r="BJ1889" s="1066"/>
      <c r="BK1889" s="1066"/>
      <c r="BL1889" s="1066"/>
    </row>
    <row r="1890" spans="1:64">
      <c r="A1890" s="1058"/>
      <c r="B1890" s="1058"/>
      <c r="C1890" s="1817" t="s">
        <v>1326</v>
      </c>
      <c r="D1890" s="1168">
        <v>0.7</v>
      </c>
      <c r="E1890" s="1061" t="s">
        <v>36</v>
      </c>
      <c r="F1890" s="1062">
        <f>'Civil-SOR'!$G$307</f>
        <v>520</v>
      </c>
      <c r="G1890" s="1081">
        <v>1</v>
      </c>
      <c r="H1890" s="1140" t="s">
        <v>501</v>
      </c>
      <c r="I1890" s="1062">
        <f t="shared" si="443"/>
        <v>364</v>
      </c>
      <c r="J1890" s="1022"/>
      <c r="K1890" s="1022"/>
      <c r="L1890" s="1022"/>
      <c r="M1890" s="1066"/>
      <c r="N1890" s="1066"/>
      <c r="O1890" s="1066"/>
      <c r="P1890" s="1066"/>
      <c r="Q1890" s="1066"/>
      <c r="R1890" s="1066"/>
      <c r="S1890" s="1066"/>
      <c r="T1890" s="1066"/>
      <c r="U1890" s="1066"/>
      <c r="V1890" s="1066"/>
      <c r="W1890" s="1066"/>
      <c r="X1890" s="1066"/>
      <c r="Y1890" s="1066"/>
      <c r="Z1890" s="1066"/>
      <c r="AA1890" s="1066"/>
      <c r="AB1890" s="1066"/>
      <c r="AC1890" s="1066"/>
      <c r="AD1890" s="1066"/>
      <c r="AE1890" s="1066"/>
      <c r="AF1890" s="1066"/>
      <c r="AG1890" s="1066"/>
      <c r="AH1890" s="1066"/>
      <c r="AI1890" s="1066"/>
      <c r="AJ1890" s="1066"/>
      <c r="AK1890" s="1066"/>
      <c r="AL1890" s="1066"/>
      <c r="AM1890" s="1066"/>
      <c r="AN1890" s="1066"/>
      <c r="AO1890" s="1066"/>
      <c r="AP1890" s="1066"/>
      <c r="AQ1890" s="1066"/>
      <c r="AR1890" s="1066"/>
      <c r="AS1890" s="1066"/>
      <c r="AT1890" s="1066"/>
      <c r="AU1890" s="1066"/>
      <c r="AV1890" s="1066"/>
      <c r="AW1890" s="1066"/>
      <c r="AX1890" s="1066"/>
      <c r="AY1890" s="1066"/>
      <c r="AZ1890" s="1066"/>
      <c r="BA1890" s="1066"/>
      <c r="BB1890" s="1066"/>
      <c r="BC1890" s="1066"/>
      <c r="BD1890" s="1066"/>
      <c r="BE1890" s="1066"/>
      <c r="BF1890" s="1066"/>
      <c r="BG1890" s="1066"/>
      <c r="BH1890" s="1066"/>
      <c r="BI1890" s="1066"/>
      <c r="BJ1890" s="1066"/>
      <c r="BK1890" s="1066"/>
      <c r="BL1890" s="1066"/>
    </row>
    <row r="1891" spans="1:64">
      <c r="A1891" s="1058"/>
      <c r="B1891" s="1058"/>
      <c r="C1891" s="1817" t="s">
        <v>1333</v>
      </c>
      <c r="D1891" s="1168">
        <v>2.1</v>
      </c>
      <c r="E1891" s="1061" t="s">
        <v>36</v>
      </c>
      <c r="F1891" s="1062">
        <f>'Civil-SOR'!$G$307</f>
        <v>520</v>
      </c>
      <c r="G1891" s="1081">
        <v>1</v>
      </c>
      <c r="H1891" s="1140" t="s">
        <v>501</v>
      </c>
      <c r="I1891" s="1062">
        <f t="shared" si="443"/>
        <v>1092</v>
      </c>
      <c r="J1891" s="1022"/>
      <c r="K1891" s="1022"/>
      <c r="L1891" s="1022"/>
      <c r="M1891" s="1066"/>
      <c r="N1891" s="1066"/>
      <c r="O1891" s="1066"/>
      <c r="P1891" s="1066"/>
      <c r="Q1891" s="1066"/>
      <c r="R1891" s="1066"/>
      <c r="S1891" s="1066"/>
      <c r="T1891" s="1066"/>
      <c r="U1891" s="1066"/>
      <c r="V1891" s="1066"/>
      <c r="W1891" s="1066"/>
      <c r="X1891" s="1066"/>
      <c r="Y1891" s="1066"/>
      <c r="Z1891" s="1066"/>
      <c r="AA1891" s="1066"/>
      <c r="AB1891" s="1066"/>
      <c r="AC1891" s="1066"/>
      <c r="AD1891" s="1066"/>
      <c r="AE1891" s="1066"/>
      <c r="AF1891" s="1066"/>
      <c r="AG1891" s="1066"/>
      <c r="AH1891" s="1066"/>
      <c r="AI1891" s="1066"/>
      <c r="AJ1891" s="1066"/>
      <c r="AK1891" s="1066"/>
      <c r="AL1891" s="1066"/>
      <c r="AM1891" s="1066"/>
      <c r="AN1891" s="1066"/>
      <c r="AO1891" s="1066"/>
      <c r="AP1891" s="1066"/>
      <c r="AQ1891" s="1066"/>
      <c r="AR1891" s="1066"/>
      <c r="AS1891" s="1066"/>
      <c r="AT1891" s="1066"/>
      <c r="AU1891" s="1066"/>
      <c r="AV1891" s="1066"/>
      <c r="AW1891" s="1066"/>
      <c r="AX1891" s="1066"/>
      <c r="AY1891" s="1066"/>
      <c r="AZ1891" s="1066"/>
      <c r="BA1891" s="1066"/>
      <c r="BB1891" s="1066"/>
      <c r="BC1891" s="1066"/>
      <c r="BD1891" s="1066"/>
      <c r="BE1891" s="1066"/>
      <c r="BF1891" s="1066"/>
      <c r="BG1891" s="1066"/>
      <c r="BH1891" s="1066"/>
      <c r="BI1891" s="1066"/>
      <c r="BJ1891" s="1066"/>
      <c r="BK1891" s="1066"/>
      <c r="BL1891" s="1066"/>
    </row>
    <row r="1892" spans="1:64">
      <c r="A1892" s="1058"/>
      <c r="B1892" s="1058"/>
      <c r="C1892" s="1817" t="str">
        <f>Input!$C$47</f>
        <v>Add for MA @ 40%</v>
      </c>
      <c r="D1892" s="1160">
        <f>Input!$D$47</f>
        <v>0.4</v>
      </c>
      <c r="E1892" s="1112"/>
      <c r="F1892" s="1062">
        <f>SUM(I1888:I1891)</f>
        <v>2205.6</v>
      </c>
      <c r="G1892" s="1076"/>
      <c r="H1892" s="1849"/>
      <c r="I1892" s="1062">
        <f t="shared" si="443"/>
        <v>882.24</v>
      </c>
      <c r="J1892" s="1022"/>
      <c r="K1892" s="1022"/>
      <c r="L1892" s="1022"/>
      <c r="M1892" s="1066"/>
      <c r="N1892" s="1066"/>
      <c r="O1892" s="1066"/>
      <c r="P1892" s="1066"/>
      <c r="Q1892" s="1066"/>
      <c r="R1892" s="1066"/>
      <c r="S1892" s="1066"/>
      <c r="T1892" s="1066"/>
      <c r="U1892" s="1066"/>
      <c r="V1892" s="1066"/>
      <c r="W1892" s="1066"/>
      <c r="X1892" s="1066"/>
      <c r="Y1892" s="1066"/>
      <c r="Z1892" s="1066"/>
      <c r="AA1892" s="1066"/>
      <c r="AB1892" s="1066"/>
      <c r="AC1892" s="1066"/>
      <c r="AD1892" s="1066"/>
      <c r="AE1892" s="1066"/>
      <c r="AF1892" s="1066"/>
      <c r="AG1892" s="1066"/>
      <c r="AH1892" s="1066"/>
      <c r="AI1892" s="1066"/>
      <c r="AJ1892" s="1066"/>
      <c r="AK1892" s="1066"/>
      <c r="AL1892" s="1066"/>
      <c r="AM1892" s="1066"/>
      <c r="AN1892" s="1066"/>
      <c r="AO1892" s="1066"/>
      <c r="AP1892" s="1066"/>
      <c r="AQ1892" s="1066"/>
      <c r="AR1892" s="1066"/>
      <c r="AS1892" s="1066"/>
      <c r="AT1892" s="1066"/>
      <c r="AU1892" s="1066"/>
      <c r="AV1892" s="1066"/>
      <c r="AW1892" s="1066"/>
      <c r="AX1892" s="1066"/>
      <c r="AY1892" s="1066"/>
      <c r="AZ1892" s="1066"/>
      <c r="BA1892" s="1066"/>
      <c r="BB1892" s="1066"/>
      <c r="BC1892" s="1066"/>
      <c r="BD1892" s="1066"/>
      <c r="BE1892" s="1066"/>
      <c r="BF1892" s="1066"/>
      <c r="BG1892" s="1066"/>
      <c r="BH1892" s="1066"/>
      <c r="BI1892" s="1066"/>
      <c r="BJ1892" s="1066"/>
      <c r="BK1892" s="1066"/>
      <c r="BL1892" s="1066"/>
    </row>
    <row r="1893" spans="1:64">
      <c r="A1893" s="1058"/>
      <c r="B1893" s="1058"/>
      <c r="C1893" s="1817" t="s">
        <v>1312</v>
      </c>
      <c r="D1893" s="1060">
        <v>0.01</v>
      </c>
      <c r="E1893" s="1061"/>
      <c r="F1893" s="1062">
        <f>SUM(I1884:I1892)</f>
        <v>8527.0310000000009</v>
      </c>
      <c r="G1893" s="1081"/>
      <c r="H1893" s="1140"/>
      <c r="I1893" s="1062">
        <f t="shared" si="443"/>
        <v>85.270310000000009</v>
      </c>
      <c r="J1893" s="1022"/>
      <c r="K1893" s="1022"/>
      <c r="L1893" s="1022"/>
      <c r="M1893" s="1066"/>
      <c r="N1893" s="1066"/>
      <c r="O1893" s="1066"/>
      <c r="P1893" s="1066"/>
      <c r="Q1893" s="1066"/>
      <c r="R1893" s="1066"/>
      <c r="S1893" s="1066"/>
      <c r="T1893" s="1066"/>
      <c r="U1893" s="1066"/>
      <c r="V1893" s="1066"/>
      <c r="W1893" s="1066"/>
      <c r="X1893" s="1066"/>
      <c r="Y1893" s="1066"/>
      <c r="Z1893" s="1066"/>
      <c r="AA1893" s="1066"/>
      <c r="AB1893" s="1066"/>
      <c r="AC1893" s="1066"/>
      <c r="AD1893" s="1066"/>
      <c r="AE1893" s="1066"/>
      <c r="AF1893" s="1066"/>
      <c r="AG1893" s="1066"/>
      <c r="AH1893" s="1066"/>
      <c r="AI1893" s="1066"/>
      <c r="AJ1893" s="1066"/>
      <c r="AK1893" s="1066"/>
      <c r="AL1893" s="1066"/>
      <c r="AM1893" s="1066"/>
      <c r="AN1893" s="1066"/>
      <c r="AO1893" s="1066"/>
      <c r="AP1893" s="1066"/>
      <c r="AQ1893" s="1066"/>
      <c r="AR1893" s="1066"/>
      <c r="AS1893" s="1066"/>
      <c r="AT1893" s="1066"/>
      <c r="AU1893" s="1066"/>
      <c r="AV1893" s="1066"/>
      <c r="AW1893" s="1066"/>
      <c r="AX1893" s="1066"/>
      <c r="AY1893" s="1066"/>
      <c r="AZ1893" s="1066"/>
      <c r="BA1893" s="1066"/>
      <c r="BB1893" s="1066"/>
      <c r="BC1893" s="1066"/>
      <c r="BD1893" s="1066"/>
      <c r="BE1893" s="1066"/>
      <c r="BF1893" s="1066"/>
      <c r="BG1893" s="1066"/>
      <c r="BH1893" s="1066"/>
      <c r="BI1893" s="1066"/>
      <c r="BJ1893" s="1066"/>
      <c r="BK1893" s="1066"/>
      <c r="BL1893" s="1066"/>
    </row>
    <row r="1894" spans="1:64">
      <c r="A1894" s="1086"/>
      <c r="B1894" s="1086"/>
      <c r="C1894" s="1088" t="s">
        <v>1032</v>
      </c>
      <c r="D1894" s="1089"/>
      <c r="E1894" s="1090"/>
      <c r="F1894" s="994"/>
      <c r="G1894" s="1091"/>
      <c r="H1894" s="1159"/>
      <c r="I1894" s="1826">
        <f>SUM(I1884:I1893)</f>
        <v>8612.3013100000007</v>
      </c>
      <c r="J1894" s="996"/>
      <c r="K1894" s="996"/>
      <c r="L1894" s="996"/>
      <c r="M1894" s="997"/>
      <c r="N1894" s="997"/>
      <c r="O1894" s="997"/>
      <c r="P1894" s="997"/>
      <c r="Q1894" s="997"/>
      <c r="R1894" s="997"/>
      <c r="S1894" s="997"/>
      <c r="T1894" s="997"/>
      <c r="U1894" s="997"/>
      <c r="V1894" s="997"/>
      <c r="W1894" s="997"/>
      <c r="X1894" s="997"/>
      <c r="Y1894" s="997"/>
      <c r="Z1894" s="997"/>
      <c r="AA1894" s="997"/>
      <c r="AB1894" s="997"/>
      <c r="AC1894" s="997"/>
      <c r="AD1894" s="997"/>
      <c r="AE1894" s="997"/>
      <c r="AF1894" s="997"/>
      <c r="AG1894" s="997"/>
      <c r="AH1894" s="997"/>
      <c r="AI1894" s="997"/>
      <c r="AJ1894" s="997"/>
      <c r="AK1894" s="997"/>
      <c r="AL1894" s="997"/>
      <c r="AM1894" s="997"/>
      <c r="AN1894" s="997"/>
      <c r="AO1894" s="997"/>
      <c r="AP1894" s="997"/>
      <c r="AQ1894" s="997"/>
      <c r="AR1894" s="997"/>
      <c r="AS1894" s="997"/>
      <c r="AT1894" s="997"/>
      <c r="AU1894" s="997"/>
      <c r="AV1894" s="997"/>
      <c r="AW1894" s="997"/>
      <c r="AX1894" s="997"/>
      <c r="AY1894" s="997"/>
      <c r="AZ1894" s="997"/>
      <c r="BA1894" s="997"/>
      <c r="BB1894" s="997"/>
      <c r="BC1894" s="997"/>
      <c r="BD1894" s="997"/>
      <c r="BE1894" s="997"/>
      <c r="BF1894" s="997"/>
      <c r="BG1894" s="997"/>
      <c r="BH1894" s="997"/>
      <c r="BI1894" s="997"/>
      <c r="BJ1894" s="997"/>
      <c r="BK1894" s="997"/>
      <c r="BL1894" s="997"/>
    </row>
    <row r="1895" spans="1:64">
      <c r="A1895" s="1818"/>
      <c r="B1895" s="1818"/>
      <c r="C1895" s="1817"/>
      <c r="D1895" s="1000"/>
      <c r="E1895" s="1044"/>
      <c r="F1895" s="1001"/>
      <c r="G1895" s="1015"/>
      <c r="H1895" s="1047"/>
      <c r="I1895" s="1011"/>
      <c r="J1895" s="1846"/>
      <c r="K1895" s="1846"/>
      <c r="L1895" s="1846"/>
    </row>
    <row r="1896" spans="1:64" ht="12.75" customHeight="1">
      <c r="A1896" s="1818"/>
      <c r="B1896" s="1106" t="s">
        <v>294</v>
      </c>
      <c r="C1896" s="2045" t="s">
        <v>1328</v>
      </c>
      <c r="D1896" s="2045"/>
      <c r="E1896" s="2045"/>
      <c r="F1896" s="1001"/>
      <c r="G1896" s="1015"/>
      <c r="H1896" s="1047"/>
      <c r="I1896" s="1011"/>
      <c r="J1896" s="1846"/>
      <c r="K1896" s="1846"/>
      <c r="L1896" s="1846"/>
    </row>
    <row r="1897" spans="1:64">
      <c r="A1897" s="1818"/>
      <c r="B1897" s="1106"/>
      <c r="C1897" s="1817" t="s">
        <v>1329</v>
      </c>
      <c r="D1897" s="1000">
        <v>1</v>
      </c>
      <c r="E1897" s="1044" t="s">
        <v>75</v>
      </c>
      <c r="F1897" s="1001">
        <f>$I$1894</f>
        <v>8612.3013100000007</v>
      </c>
      <c r="G1897" s="1015">
        <v>1</v>
      </c>
      <c r="H1897" s="1069" t="s">
        <v>75</v>
      </c>
      <c r="I1897" s="1030">
        <f t="shared" ref="I1897:I1898" si="444">IF(G1897="",D1897*F1897,(D1897*F1897/G1897))</f>
        <v>8612.3013100000007</v>
      </c>
      <c r="J1897" s="1846"/>
      <c r="K1897" s="1846"/>
      <c r="L1897" s="1846"/>
    </row>
    <row r="1898" spans="1:64">
      <c r="A1898" s="1818"/>
      <c r="B1898" s="1106"/>
      <c r="C1898" s="1817" t="str">
        <f>Input!$C$48</f>
        <v>Overheads &amp; Contractors Profit @ 13.615%</v>
      </c>
      <c r="D1898" s="1095">
        <f>Input!$D$48</f>
        <v>0.13614999999999999</v>
      </c>
      <c r="E1898" s="1044"/>
      <c r="F1898" s="1001">
        <f>I1897</f>
        <v>8612.3013100000007</v>
      </c>
      <c r="G1898" s="1015"/>
      <c r="H1898" s="1047"/>
      <c r="I1898" s="1030">
        <f t="shared" si="444"/>
        <v>1172.5648233565</v>
      </c>
      <c r="J1898" s="1846"/>
      <c r="K1898" s="1846"/>
      <c r="L1898" s="1846"/>
    </row>
    <row r="1899" spans="1:64">
      <c r="A1899" s="1818"/>
      <c r="B1899" s="1106"/>
      <c r="C1899" s="1088" t="s">
        <v>1032</v>
      </c>
      <c r="D1899" s="1089"/>
      <c r="E1899" s="1090"/>
      <c r="F1899" s="994"/>
      <c r="G1899" s="1091"/>
      <c r="H1899" s="1159"/>
      <c r="I1899" s="1826">
        <f>SUM(I1897:I1898)</f>
        <v>9784.8661333565015</v>
      </c>
      <c r="J1899" s="996"/>
      <c r="K1899" s="996"/>
      <c r="L1899" s="996"/>
      <c r="M1899" s="997"/>
      <c r="N1899" s="997"/>
      <c r="O1899" s="997"/>
      <c r="P1899" s="997"/>
      <c r="Q1899" s="997"/>
      <c r="R1899" s="997"/>
      <c r="S1899" s="997"/>
      <c r="T1899" s="997"/>
      <c r="U1899" s="997"/>
      <c r="V1899" s="997"/>
      <c r="W1899" s="997"/>
      <c r="X1899" s="997"/>
      <c r="Y1899" s="997"/>
      <c r="Z1899" s="997"/>
      <c r="AA1899" s="997"/>
      <c r="AB1899" s="997"/>
      <c r="AC1899" s="997"/>
      <c r="AD1899" s="997"/>
      <c r="AE1899" s="997"/>
      <c r="AF1899" s="997"/>
      <c r="AG1899" s="997"/>
      <c r="AH1899" s="997"/>
      <c r="AI1899" s="997"/>
      <c r="AJ1899" s="997"/>
      <c r="AK1899" s="997"/>
      <c r="AL1899" s="997"/>
      <c r="AM1899" s="997"/>
      <c r="AN1899" s="997"/>
      <c r="AO1899" s="997"/>
      <c r="AP1899" s="997"/>
      <c r="AQ1899" s="997"/>
      <c r="AR1899" s="997"/>
      <c r="AS1899" s="997"/>
      <c r="AT1899" s="997"/>
      <c r="AU1899" s="997"/>
      <c r="AV1899" s="997"/>
      <c r="AW1899" s="997"/>
      <c r="AX1899" s="997"/>
      <c r="AY1899" s="997"/>
      <c r="AZ1899" s="997"/>
      <c r="BA1899" s="997"/>
      <c r="BB1899" s="997"/>
      <c r="BC1899" s="997"/>
      <c r="BD1899" s="997"/>
      <c r="BE1899" s="997"/>
      <c r="BF1899" s="997"/>
      <c r="BG1899" s="997"/>
      <c r="BH1899" s="997"/>
      <c r="BI1899" s="997"/>
      <c r="BJ1899" s="997"/>
      <c r="BK1899" s="997"/>
      <c r="BL1899" s="997"/>
    </row>
    <row r="1900" spans="1:64">
      <c r="A1900" s="1818"/>
      <c r="B1900" s="1106"/>
      <c r="C1900" s="1088"/>
      <c r="D1900" s="1089"/>
      <c r="E1900" s="1090"/>
      <c r="F1900" s="994"/>
      <c r="G1900" s="1091"/>
      <c r="H1900" s="1159" t="s">
        <v>1034</v>
      </c>
      <c r="I1900" s="1826">
        <f>ROUND(I1899,0)</f>
        <v>9785</v>
      </c>
      <c r="J1900" s="996"/>
      <c r="K1900" s="996"/>
      <c r="L1900" s="996"/>
      <c r="M1900" s="997"/>
      <c r="N1900" s="997"/>
      <c r="O1900" s="997"/>
      <c r="P1900" s="997"/>
      <c r="Q1900" s="997"/>
      <c r="R1900" s="997"/>
      <c r="S1900" s="997"/>
      <c r="T1900" s="997"/>
      <c r="U1900" s="997"/>
      <c r="V1900" s="997"/>
      <c r="W1900" s="997"/>
      <c r="X1900" s="997"/>
      <c r="Y1900" s="997"/>
      <c r="Z1900" s="997"/>
      <c r="AA1900" s="997"/>
      <c r="AB1900" s="997"/>
      <c r="AC1900" s="997"/>
      <c r="AD1900" s="997"/>
      <c r="AE1900" s="997"/>
      <c r="AF1900" s="997"/>
      <c r="AG1900" s="997"/>
      <c r="AH1900" s="997"/>
      <c r="AI1900" s="997"/>
      <c r="AJ1900" s="997"/>
      <c r="AK1900" s="997"/>
      <c r="AL1900" s="997"/>
      <c r="AM1900" s="997"/>
      <c r="AN1900" s="997"/>
      <c r="AO1900" s="997"/>
      <c r="AP1900" s="997"/>
      <c r="AQ1900" s="997"/>
      <c r="AR1900" s="997"/>
      <c r="AS1900" s="997"/>
      <c r="AT1900" s="997"/>
      <c r="AU1900" s="997"/>
      <c r="AV1900" s="997"/>
      <c r="AW1900" s="997"/>
      <c r="AX1900" s="997"/>
      <c r="AY1900" s="997"/>
      <c r="AZ1900" s="997"/>
      <c r="BA1900" s="997"/>
      <c r="BB1900" s="997"/>
      <c r="BC1900" s="997"/>
      <c r="BD1900" s="997"/>
      <c r="BE1900" s="997"/>
      <c r="BF1900" s="997"/>
      <c r="BG1900" s="997"/>
      <c r="BH1900" s="997"/>
      <c r="BI1900" s="997"/>
      <c r="BJ1900" s="997"/>
      <c r="BK1900" s="997"/>
      <c r="BL1900" s="997"/>
    </row>
    <row r="1901" spans="1:64">
      <c r="A1901" s="1818"/>
      <c r="B1901" s="1106"/>
      <c r="C1901" s="1816"/>
      <c r="D1901" s="1000"/>
      <c r="E1901" s="1044"/>
      <c r="F1901" s="1001"/>
      <c r="G1901" s="1015"/>
      <c r="H1901" s="1047"/>
      <c r="I1901" s="1011"/>
      <c r="J1901" s="1846"/>
      <c r="K1901" s="1846"/>
      <c r="L1901" s="1846"/>
    </row>
    <row r="1902" spans="1:64">
      <c r="A1902" s="1818"/>
      <c r="B1902" s="1106" t="s">
        <v>297</v>
      </c>
      <c r="C1902" s="1816" t="s">
        <v>1318</v>
      </c>
      <c r="D1902" s="1000"/>
      <c r="E1902" s="1044"/>
      <c r="F1902" s="1001"/>
      <c r="G1902" s="1015"/>
      <c r="H1902" s="1047"/>
      <c r="I1902" s="1011"/>
      <c r="J1902" s="1015"/>
      <c r="K1902" s="1047"/>
      <c r="L1902" s="1011"/>
    </row>
    <row r="1903" spans="1:64">
      <c r="A1903" s="1818"/>
      <c r="B1903" s="1049"/>
      <c r="C1903" s="1816" t="s">
        <v>1217</v>
      </c>
      <c r="D1903" s="1009" t="s">
        <v>1223</v>
      </c>
      <c r="E1903" s="1114" t="s">
        <v>1207</v>
      </c>
      <c r="F1903" s="1106" t="s">
        <v>1208</v>
      </c>
      <c r="G1903" s="1011" t="s">
        <v>1291</v>
      </c>
      <c r="H1903" s="1011" t="s">
        <v>1292</v>
      </c>
      <c r="I1903" s="1011" t="s">
        <v>1293</v>
      </c>
      <c r="J1903" s="1102"/>
      <c r="K1903" s="1102" t="s">
        <v>1213</v>
      </c>
      <c r="L1903" s="1102" t="s">
        <v>1214</v>
      </c>
    </row>
    <row r="1904" spans="1:64">
      <c r="A1904" s="1058"/>
      <c r="B1904" s="1058"/>
      <c r="C1904" s="1817" t="s">
        <v>1317</v>
      </c>
      <c r="D1904" s="1062">
        <f t="shared" ref="D1904:L1904" si="445">$I$1894</f>
        <v>8612.3013100000007</v>
      </c>
      <c r="E1904" s="1062">
        <f t="shared" si="445"/>
        <v>8612.3013100000007</v>
      </c>
      <c r="F1904" s="1062">
        <f t="shared" si="445"/>
        <v>8612.3013100000007</v>
      </c>
      <c r="G1904" s="1062">
        <f t="shared" si="445"/>
        <v>8612.3013100000007</v>
      </c>
      <c r="H1904" s="1062">
        <f t="shared" si="445"/>
        <v>8612.3013100000007</v>
      </c>
      <c r="I1904" s="1062">
        <f t="shared" si="445"/>
        <v>8612.3013100000007</v>
      </c>
      <c r="J1904" s="1062"/>
      <c r="K1904" s="1062">
        <f t="shared" si="445"/>
        <v>8612.3013100000007</v>
      </c>
      <c r="L1904" s="1062">
        <f t="shared" si="445"/>
        <v>8612.3013100000007</v>
      </c>
      <c r="M1904" s="1066"/>
      <c r="N1904" s="1066"/>
      <c r="O1904" s="1066"/>
      <c r="P1904" s="1066"/>
      <c r="Q1904" s="1066"/>
      <c r="R1904" s="1066"/>
      <c r="S1904" s="1066"/>
      <c r="T1904" s="1066"/>
      <c r="U1904" s="1066"/>
      <c r="V1904" s="1066"/>
      <c r="W1904" s="1066"/>
      <c r="X1904" s="1066"/>
      <c r="Y1904" s="1066"/>
      <c r="Z1904" s="1066"/>
      <c r="AA1904" s="1066"/>
      <c r="AB1904" s="1066"/>
      <c r="AC1904" s="1066"/>
      <c r="AD1904" s="1066"/>
      <c r="AE1904" s="1066"/>
      <c r="AF1904" s="1066"/>
      <c r="AG1904" s="1066"/>
      <c r="AH1904" s="1066"/>
      <c r="AI1904" s="1066"/>
      <c r="AJ1904" s="1066"/>
      <c r="AK1904" s="1066"/>
      <c r="AL1904" s="1066"/>
      <c r="AM1904" s="1066"/>
      <c r="AN1904" s="1066"/>
      <c r="AO1904" s="1066"/>
      <c r="AP1904" s="1066"/>
      <c r="AQ1904" s="1066"/>
      <c r="AR1904" s="1066"/>
      <c r="AS1904" s="1066"/>
      <c r="AT1904" s="1066"/>
      <c r="AU1904" s="1066"/>
      <c r="AV1904" s="1066"/>
      <c r="AW1904" s="1066"/>
      <c r="AX1904" s="1066"/>
      <c r="AY1904" s="1066"/>
      <c r="AZ1904" s="1066"/>
      <c r="BA1904" s="1066"/>
      <c r="BB1904" s="1066"/>
      <c r="BC1904" s="1066"/>
      <c r="BD1904" s="1066"/>
      <c r="BE1904" s="1066"/>
      <c r="BF1904" s="1066"/>
      <c r="BG1904" s="1066"/>
      <c r="BH1904" s="1066"/>
      <c r="BI1904" s="1066"/>
      <c r="BJ1904" s="1066"/>
      <c r="BK1904" s="1066"/>
      <c r="BL1904" s="1066"/>
    </row>
    <row r="1905" spans="1:64">
      <c r="A1905" s="1058"/>
      <c r="B1905" s="1058"/>
      <c r="C1905" s="1817" t="s">
        <v>1313</v>
      </c>
      <c r="D1905" s="1062">
        <f>'Civil-SOR'!$F$222/0.23</f>
        <v>50.695652173913039</v>
      </c>
      <c r="E1905" s="1062">
        <f>'Civil-SOR'!$F$222/0.23</f>
        <v>50.695652173913039</v>
      </c>
      <c r="F1905" s="1062">
        <f>'Civil-SOR'!$F$222/0.23</f>
        <v>50.695652173913039</v>
      </c>
      <c r="G1905" s="1062">
        <f>'Civil-SOR'!$F$222/0.23</f>
        <v>50.695652173913039</v>
      </c>
      <c r="H1905" s="1062">
        <f>'Civil-SOR'!$F$222/0.23</f>
        <v>50.695652173913039</v>
      </c>
      <c r="I1905" s="1062">
        <f>'Civil-SOR'!$F$222/0.23</f>
        <v>50.695652173913039</v>
      </c>
      <c r="J1905" s="1062"/>
      <c r="K1905" s="1062">
        <f>'Civil-SOR'!$F$222/0.23</f>
        <v>50.695652173913039</v>
      </c>
      <c r="L1905" s="1062">
        <f>'Civil-SOR'!$F$222/0.23</f>
        <v>50.695652173913039</v>
      </c>
      <c r="M1905" s="1066"/>
      <c r="N1905" s="1066"/>
      <c r="O1905" s="1066"/>
      <c r="P1905" s="1066"/>
      <c r="Q1905" s="1066"/>
      <c r="R1905" s="1066"/>
      <c r="S1905" s="1066"/>
      <c r="T1905" s="1066"/>
      <c r="U1905" s="1066"/>
      <c r="V1905" s="1066"/>
      <c r="W1905" s="1066"/>
      <c r="X1905" s="1066"/>
      <c r="Y1905" s="1066"/>
      <c r="Z1905" s="1066"/>
      <c r="AA1905" s="1066"/>
      <c r="AB1905" s="1066"/>
      <c r="AC1905" s="1066"/>
      <c r="AD1905" s="1066"/>
      <c r="AE1905" s="1066"/>
      <c r="AF1905" s="1066"/>
      <c r="AG1905" s="1066"/>
      <c r="AH1905" s="1066"/>
      <c r="AI1905" s="1066"/>
      <c r="AJ1905" s="1066"/>
      <c r="AK1905" s="1066"/>
      <c r="AL1905" s="1066"/>
      <c r="AM1905" s="1066"/>
      <c r="AN1905" s="1066"/>
      <c r="AO1905" s="1066"/>
      <c r="AP1905" s="1066"/>
      <c r="AQ1905" s="1066"/>
      <c r="AR1905" s="1066"/>
      <c r="AS1905" s="1066"/>
      <c r="AT1905" s="1066"/>
      <c r="AU1905" s="1066"/>
      <c r="AV1905" s="1066"/>
      <c r="AW1905" s="1066"/>
      <c r="AX1905" s="1066"/>
      <c r="AY1905" s="1066"/>
      <c r="AZ1905" s="1066"/>
      <c r="BA1905" s="1066"/>
      <c r="BB1905" s="1066"/>
      <c r="BC1905" s="1066"/>
      <c r="BD1905" s="1066"/>
      <c r="BE1905" s="1066"/>
      <c r="BF1905" s="1066"/>
      <c r="BG1905" s="1066"/>
      <c r="BH1905" s="1066"/>
      <c r="BI1905" s="1066"/>
      <c r="BJ1905" s="1066"/>
      <c r="BK1905" s="1066"/>
      <c r="BL1905" s="1066"/>
    </row>
    <row r="1906" spans="1:64">
      <c r="A1906" s="1058"/>
      <c r="B1906" s="1058"/>
      <c r="C1906" s="1817" t="s">
        <v>1314</v>
      </c>
      <c r="D1906" s="1062">
        <f>ROUND('Civil-SOR'!$G$222/0.23,2)</f>
        <v>409.96</v>
      </c>
      <c r="E1906" s="1062">
        <f>ROUND('Civil-SOR'!$G$223/0.23,2)</f>
        <v>589.61</v>
      </c>
      <c r="F1906" s="1062">
        <f>ROUND('Civil-SOR'!$G$224/0.23,2)</f>
        <v>769.26</v>
      </c>
      <c r="G1906" s="1062">
        <f>ROUND('Civil-SOR'!$G$225/0.23,2)</f>
        <v>948.91</v>
      </c>
      <c r="H1906" s="1062">
        <f>ROUND('Civil-SOR'!$G$226/0.23,2)</f>
        <v>1128.57</v>
      </c>
      <c r="I1906" s="1062">
        <f>ROUND('Civil-SOR'!$G$227/0.23,2)</f>
        <v>1308.22</v>
      </c>
      <c r="J1906" s="1062"/>
      <c r="K1906" s="1062">
        <f>ROUND('Civil-SOR'!$G$229/0.23,2)</f>
        <v>1667.48</v>
      </c>
      <c r="L1906" s="1062">
        <f>ROUND('Civil-SOR'!$G$230/0.23,2)</f>
        <v>1847.13</v>
      </c>
      <c r="M1906" s="1066"/>
      <c r="N1906" s="1066"/>
      <c r="O1906" s="1066"/>
      <c r="P1906" s="1066"/>
      <c r="Q1906" s="1066"/>
      <c r="R1906" s="1066"/>
      <c r="S1906" s="1066"/>
      <c r="T1906" s="1066"/>
      <c r="U1906" s="1066"/>
      <c r="V1906" s="1066"/>
      <c r="W1906" s="1066"/>
      <c r="X1906" s="1066"/>
      <c r="Y1906" s="1066"/>
      <c r="Z1906" s="1066"/>
      <c r="AA1906" s="1066"/>
      <c r="AB1906" s="1066"/>
      <c r="AC1906" s="1066"/>
      <c r="AD1906" s="1066"/>
      <c r="AE1906" s="1066"/>
      <c r="AF1906" s="1066"/>
      <c r="AG1906" s="1066"/>
      <c r="AH1906" s="1066"/>
      <c r="AI1906" s="1066"/>
      <c r="AJ1906" s="1066"/>
      <c r="AK1906" s="1066"/>
      <c r="AL1906" s="1066"/>
      <c r="AM1906" s="1066"/>
      <c r="AN1906" s="1066"/>
      <c r="AO1906" s="1066"/>
      <c r="AP1906" s="1066"/>
      <c r="AQ1906" s="1066"/>
      <c r="AR1906" s="1066"/>
      <c r="AS1906" s="1066"/>
      <c r="AT1906" s="1066"/>
      <c r="AU1906" s="1066"/>
      <c r="AV1906" s="1066"/>
      <c r="AW1906" s="1066"/>
      <c r="AX1906" s="1066"/>
      <c r="AY1906" s="1066"/>
      <c r="AZ1906" s="1066"/>
      <c r="BA1906" s="1066"/>
      <c r="BB1906" s="1066"/>
      <c r="BC1906" s="1066"/>
      <c r="BD1906" s="1066"/>
      <c r="BE1906" s="1066"/>
      <c r="BF1906" s="1066"/>
      <c r="BG1906" s="1066"/>
      <c r="BH1906" s="1066"/>
      <c r="BI1906" s="1066"/>
      <c r="BJ1906" s="1066"/>
      <c r="BK1906" s="1066"/>
      <c r="BL1906" s="1066"/>
    </row>
    <row r="1907" spans="1:64">
      <c r="A1907" s="1058"/>
      <c r="B1907" s="1058"/>
      <c r="C1907" s="1817" t="str">
        <f>Input!$C$47</f>
        <v>Add for MA @ 40%</v>
      </c>
      <c r="D1907" s="1062">
        <f>Input!$D$47*D1906</f>
        <v>163.98400000000001</v>
      </c>
      <c r="E1907" s="1062">
        <f>Input!$D$47*E1906</f>
        <v>235.84400000000002</v>
      </c>
      <c r="F1907" s="1062">
        <f>Input!$D$47*F1906</f>
        <v>307.70400000000001</v>
      </c>
      <c r="G1907" s="1062">
        <f>Input!$D$47*G1906</f>
        <v>379.56400000000002</v>
      </c>
      <c r="H1907" s="1062">
        <f>Input!$D$47*H1906</f>
        <v>451.428</v>
      </c>
      <c r="I1907" s="1062">
        <f>Input!$D$47*I1906</f>
        <v>523.28800000000001</v>
      </c>
      <c r="J1907" s="1062"/>
      <c r="K1907" s="1062">
        <f>Input!$D$47*K1906</f>
        <v>666.99200000000008</v>
      </c>
      <c r="L1907" s="1062">
        <f>Input!$D$47*L1906</f>
        <v>738.85200000000009</v>
      </c>
      <c r="M1907" s="1066"/>
      <c r="N1907" s="1066"/>
      <c r="O1907" s="1066"/>
      <c r="P1907" s="1066"/>
      <c r="Q1907" s="1066"/>
      <c r="R1907" s="1066"/>
      <c r="S1907" s="1066"/>
      <c r="T1907" s="1066"/>
      <c r="U1907" s="1066"/>
      <c r="V1907" s="1066"/>
      <c r="W1907" s="1066"/>
      <c r="X1907" s="1066"/>
      <c r="Y1907" s="1066"/>
      <c r="Z1907" s="1066"/>
      <c r="AA1907" s="1066"/>
      <c r="AB1907" s="1066"/>
      <c r="AC1907" s="1066"/>
      <c r="AD1907" s="1066"/>
      <c r="AE1907" s="1066"/>
      <c r="AF1907" s="1066"/>
      <c r="AG1907" s="1066"/>
      <c r="AH1907" s="1066"/>
      <c r="AI1907" s="1066"/>
      <c r="AJ1907" s="1066"/>
      <c r="AK1907" s="1066"/>
      <c r="AL1907" s="1066"/>
      <c r="AM1907" s="1066"/>
      <c r="AN1907" s="1066"/>
      <c r="AO1907" s="1066"/>
      <c r="AP1907" s="1066"/>
      <c r="AQ1907" s="1066"/>
      <c r="AR1907" s="1066"/>
      <c r="AS1907" s="1066"/>
      <c r="AT1907" s="1066"/>
      <c r="AU1907" s="1066"/>
      <c r="AV1907" s="1066"/>
      <c r="AW1907" s="1066"/>
      <c r="AX1907" s="1066"/>
      <c r="AY1907" s="1066"/>
      <c r="AZ1907" s="1066"/>
      <c r="BA1907" s="1066"/>
      <c r="BB1907" s="1066"/>
      <c r="BC1907" s="1066"/>
      <c r="BD1907" s="1066"/>
      <c r="BE1907" s="1066"/>
      <c r="BF1907" s="1066"/>
      <c r="BG1907" s="1066"/>
      <c r="BH1907" s="1066"/>
      <c r="BI1907" s="1066"/>
      <c r="BJ1907" s="1066"/>
      <c r="BK1907" s="1066"/>
      <c r="BL1907" s="1066"/>
    </row>
    <row r="1908" spans="1:64">
      <c r="A1908" s="1058"/>
      <c r="B1908" s="1058"/>
      <c r="C1908" s="1817" t="s">
        <v>1253</v>
      </c>
      <c r="D1908" s="1062">
        <v>0</v>
      </c>
      <c r="E1908" s="1062">
        <f>ROUND($F$1892*10%,2)</f>
        <v>220.56</v>
      </c>
      <c r="F1908" s="1062">
        <f>ROUND($F$1892*20%,2)</f>
        <v>441.12</v>
      </c>
      <c r="G1908" s="1062">
        <f>ROUND($F$1892*30%,2)</f>
        <v>661.68</v>
      </c>
      <c r="H1908" s="1062">
        <f>ROUND($F$1892*40%,2)</f>
        <v>882.24</v>
      </c>
      <c r="I1908" s="1062">
        <f>ROUND($F$1892*50%,2)</f>
        <v>1102.8</v>
      </c>
      <c r="J1908" s="1062"/>
      <c r="K1908" s="1062">
        <f>ROUND($F$1892*70%,2)</f>
        <v>1543.92</v>
      </c>
      <c r="L1908" s="1062">
        <f>ROUND($F$1892*80%,2)</f>
        <v>1764.48</v>
      </c>
      <c r="M1908" s="1066"/>
      <c r="N1908" s="1066"/>
      <c r="O1908" s="1066"/>
      <c r="P1908" s="1066"/>
      <c r="Q1908" s="1066"/>
      <c r="R1908" s="1066"/>
      <c r="S1908" s="1066"/>
      <c r="T1908" s="1066"/>
      <c r="U1908" s="1066"/>
      <c r="V1908" s="1066"/>
      <c r="W1908" s="1066"/>
      <c r="X1908" s="1066"/>
      <c r="Y1908" s="1066"/>
      <c r="Z1908" s="1066"/>
      <c r="AA1908" s="1066"/>
      <c r="AB1908" s="1066"/>
      <c r="AC1908" s="1066"/>
      <c r="AD1908" s="1066"/>
      <c r="AE1908" s="1066"/>
      <c r="AF1908" s="1066"/>
      <c r="AG1908" s="1066"/>
      <c r="AH1908" s="1066"/>
      <c r="AI1908" s="1066"/>
      <c r="AJ1908" s="1066"/>
      <c r="AK1908" s="1066"/>
      <c r="AL1908" s="1066"/>
      <c r="AM1908" s="1066"/>
      <c r="AN1908" s="1066"/>
      <c r="AO1908" s="1066"/>
      <c r="AP1908" s="1066"/>
      <c r="AQ1908" s="1066"/>
      <c r="AR1908" s="1066"/>
      <c r="AS1908" s="1066"/>
      <c r="AT1908" s="1066"/>
      <c r="AU1908" s="1066"/>
      <c r="AV1908" s="1066"/>
      <c r="AW1908" s="1066"/>
      <c r="AX1908" s="1066"/>
      <c r="AY1908" s="1066"/>
      <c r="AZ1908" s="1066"/>
      <c r="BA1908" s="1066"/>
      <c r="BB1908" s="1066"/>
      <c r="BC1908" s="1066"/>
      <c r="BD1908" s="1066"/>
      <c r="BE1908" s="1066"/>
      <c r="BF1908" s="1066"/>
      <c r="BG1908" s="1066"/>
      <c r="BH1908" s="1066"/>
      <c r="BI1908" s="1066"/>
      <c r="BJ1908" s="1066"/>
      <c r="BK1908" s="1066"/>
      <c r="BL1908" s="1066"/>
    </row>
    <row r="1909" spans="1:64">
      <c r="A1909" s="1058"/>
      <c r="B1909" s="1058"/>
      <c r="C1909" s="1817" t="str">
        <f>Input!$C$47</f>
        <v>Add for MA @ 40%</v>
      </c>
      <c r="D1909" s="1062">
        <f>D1908*Input!$D$47</f>
        <v>0</v>
      </c>
      <c r="E1909" s="1062">
        <f>E1908*Input!$D$47</f>
        <v>88.224000000000004</v>
      </c>
      <c r="F1909" s="1062">
        <f>F1908*Input!$D$47</f>
        <v>176.44800000000001</v>
      </c>
      <c r="G1909" s="1062">
        <f>G1908*Input!$D$47</f>
        <v>264.67199999999997</v>
      </c>
      <c r="H1909" s="1062">
        <f>H1908*Input!$D$47</f>
        <v>352.89600000000002</v>
      </c>
      <c r="I1909" s="1062">
        <f>I1908*Input!$D$47</f>
        <v>441.12</v>
      </c>
      <c r="J1909" s="1062"/>
      <c r="K1909" s="1062">
        <f>K1908*Input!$D$47</f>
        <v>617.5680000000001</v>
      </c>
      <c r="L1909" s="1062">
        <f>L1908*Input!$D$47</f>
        <v>705.79200000000003</v>
      </c>
      <c r="M1909" s="1066"/>
      <c r="N1909" s="1066"/>
      <c r="O1909" s="1066"/>
      <c r="P1909" s="1066"/>
      <c r="Q1909" s="1066"/>
      <c r="R1909" s="1066"/>
      <c r="S1909" s="1066"/>
      <c r="T1909" s="1066"/>
      <c r="U1909" s="1066"/>
      <c r="V1909" s="1066"/>
      <c r="W1909" s="1066"/>
      <c r="X1909" s="1066"/>
      <c r="Y1909" s="1066"/>
      <c r="Z1909" s="1066"/>
      <c r="AA1909" s="1066"/>
      <c r="AB1909" s="1066"/>
      <c r="AC1909" s="1066"/>
      <c r="AD1909" s="1066"/>
      <c r="AE1909" s="1066"/>
      <c r="AF1909" s="1066"/>
      <c r="AG1909" s="1066"/>
      <c r="AH1909" s="1066"/>
      <c r="AI1909" s="1066"/>
      <c r="AJ1909" s="1066"/>
      <c r="AK1909" s="1066"/>
      <c r="AL1909" s="1066"/>
      <c r="AM1909" s="1066"/>
      <c r="AN1909" s="1066"/>
      <c r="AO1909" s="1066"/>
      <c r="AP1909" s="1066"/>
      <c r="AQ1909" s="1066"/>
      <c r="AR1909" s="1066"/>
      <c r="AS1909" s="1066"/>
      <c r="AT1909" s="1066"/>
      <c r="AU1909" s="1066"/>
      <c r="AV1909" s="1066"/>
      <c r="AW1909" s="1066"/>
      <c r="AX1909" s="1066"/>
      <c r="AY1909" s="1066"/>
      <c r="AZ1909" s="1066"/>
      <c r="BA1909" s="1066"/>
      <c r="BB1909" s="1066"/>
      <c r="BC1909" s="1066"/>
      <c r="BD1909" s="1066"/>
      <c r="BE1909" s="1066"/>
      <c r="BF1909" s="1066"/>
      <c r="BG1909" s="1066"/>
      <c r="BH1909" s="1066"/>
      <c r="BI1909" s="1066"/>
      <c r="BJ1909" s="1066"/>
      <c r="BK1909" s="1066"/>
      <c r="BL1909" s="1066"/>
    </row>
    <row r="1910" spans="1:64">
      <c r="A1910" s="1058"/>
      <c r="B1910" s="1058"/>
      <c r="C1910" s="1817"/>
      <c r="D1910" s="1062">
        <f t="shared" ref="D1910:L1910" si="446">SUM(D1904:D1909)</f>
        <v>9236.9409621739142</v>
      </c>
      <c r="E1910" s="1062">
        <f t="shared" si="446"/>
        <v>9797.234962173914</v>
      </c>
      <c r="F1910" s="1062">
        <f t="shared" si="446"/>
        <v>10357.528962173916</v>
      </c>
      <c r="G1910" s="1062">
        <f t="shared" si="446"/>
        <v>10917.822962173916</v>
      </c>
      <c r="H1910" s="1062">
        <f t="shared" si="446"/>
        <v>11478.130962173915</v>
      </c>
      <c r="I1910" s="1062">
        <f t="shared" si="446"/>
        <v>12038.424962173915</v>
      </c>
      <c r="J1910" s="1062"/>
      <c r="K1910" s="1062">
        <f t="shared" si="446"/>
        <v>13158.956962173914</v>
      </c>
      <c r="L1910" s="1062">
        <f t="shared" si="446"/>
        <v>13719.250962173915</v>
      </c>
      <c r="M1910" s="1066"/>
      <c r="N1910" s="1066"/>
      <c r="O1910" s="1066"/>
      <c r="P1910" s="1066"/>
      <c r="Q1910" s="1066"/>
      <c r="R1910" s="1066"/>
      <c r="S1910" s="1066"/>
      <c r="T1910" s="1066"/>
      <c r="U1910" s="1066"/>
      <c r="V1910" s="1066"/>
      <c r="W1910" s="1066"/>
      <c r="X1910" s="1066"/>
      <c r="Y1910" s="1066"/>
      <c r="Z1910" s="1066"/>
      <c r="AA1910" s="1066"/>
      <c r="AB1910" s="1066"/>
      <c r="AC1910" s="1066"/>
      <c r="AD1910" s="1066"/>
      <c r="AE1910" s="1066"/>
      <c r="AF1910" s="1066"/>
      <c r="AG1910" s="1066"/>
      <c r="AH1910" s="1066"/>
      <c r="AI1910" s="1066"/>
      <c r="AJ1910" s="1066"/>
      <c r="AK1910" s="1066"/>
      <c r="AL1910" s="1066"/>
      <c r="AM1910" s="1066"/>
      <c r="AN1910" s="1066"/>
      <c r="AO1910" s="1066"/>
      <c r="AP1910" s="1066"/>
      <c r="AQ1910" s="1066"/>
      <c r="AR1910" s="1066"/>
      <c r="AS1910" s="1066"/>
      <c r="AT1910" s="1066"/>
      <c r="AU1910" s="1066"/>
      <c r="AV1910" s="1066"/>
      <c r="AW1910" s="1066"/>
      <c r="AX1910" s="1066"/>
      <c r="AY1910" s="1066"/>
      <c r="AZ1910" s="1066"/>
      <c r="BA1910" s="1066"/>
      <c r="BB1910" s="1066"/>
      <c r="BC1910" s="1066"/>
      <c r="BD1910" s="1066"/>
      <c r="BE1910" s="1066"/>
      <c r="BF1910" s="1066"/>
      <c r="BG1910" s="1066"/>
      <c r="BH1910" s="1066"/>
      <c r="BI1910" s="1066"/>
      <c r="BJ1910" s="1066"/>
      <c r="BK1910" s="1066"/>
      <c r="BL1910" s="1066"/>
    </row>
    <row r="1911" spans="1:64">
      <c r="A1911" s="1058"/>
      <c r="B1911" s="1058"/>
      <c r="C1911" s="1817" t="str">
        <f>Input!$C$48</f>
        <v>Overheads &amp; Contractors Profit @ 13.615%</v>
      </c>
      <c r="D1911" s="1062">
        <f>ROUND(D1910*Input!$D$48,2)</f>
        <v>1257.6099999999999</v>
      </c>
      <c r="E1911" s="1062">
        <f>ROUND(E1910*Input!$D$48,2)</f>
        <v>1333.89</v>
      </c>
      <c r="F1911" s="1062">
        <f>ROUND(F1910*Input!$D$48,2)</f>
        <v>1410.18</v>
      </c>
      <c r="G1911" s="1062">
        <f>ROUND(G1910*Input!$D$48,2)</f>
        <v>1486.46</v>
      </c>
      <c r="H1911" s="1062">
        <f>ROUND(H1910*Input!$D$48,2)</f>
        <v>1562.75</v>
      </c>
      <c r="I1911" s="1062">
        <f>ROUND(I1910*Input!$D$48,2)</f>
        <v>1639.03</v>
      </c>
      <c r="J1911" s="1062"/>
      <c r="K1911" s="1062">
        <f>ROUND(K1910*Input!$D$48,2)</f>
        <v>1791.59</v>
      </c>
      <c r="L1911" s="1062">
        <f>ROUND(L1910*Input!$D$48,2)</f>
        <v>1867.88</v>
      </c>
      <c r="M1911" s="1066"/>
      <c r="N1911" s="1066"/>
      <c r="O1911" s="1066"/>
      <c r="P1911" s="1066"/>
      <c r="Q1911" s="1066"/>
      <c r="R1911" s="1066"/>
      <c r="S1911" s="1066"/>
      <c r="T1911" s="1066"/>
      <c r="U1911" s="1066"/>
      <c r="V1911" s="1066"/>
      <c r="W1911" s="1066"/>
      <c r="X1911" s="1066"/>
      <c r="Y1911" s="1066"/>
      <c r="Z1911" s="1066"/>
      <c r="AA1911" s="1066"/>
      <c r="AB1911" s="1066"/>
      <c r="AC1911" s="1066"/>
      <c r="AD1911" s="1066"/>
      <c r="AE1911" s="1066"/>
      <c r="AF1911" s="1066"/>
      <c r="AG1911" s="1066"/>
      <c r="AH1911" s="1066"/>
      <c r="AI1911" s="1066"/>
      <c r="AJ1911" s="1066"/>
      <c r="AK1911" s="1066"/>
      <c r="AL1911" s="1066"/>
      <c r="AM1911" s="1066"/>
      <c r="AN1911" s="1066"/>
      <c r="AO1911" s="1066"/>
      <c r="AP1911" s="1066"/>
      <c r="AQ1911" s="1066"/>
      <c r="AR1911" s="1066"/>
      <c r="AS1911" s="1066"/>
      <c r="AT1911" s="1066"/>
      <c r="AU1911" s="1066"/>
      <c r="AV1911" s="1066"/>
      <c r="AW1911" s="1066"/>
      <c r="AX1911" s="1066"/>
      <c r="AY1911" s="1066"/>
      <c r="AZ1911" s="1066"/>
      <c r="BA1911" s="1066"/>
      <c r="BB1911" s="1066"/>
      <c r="BC1911" s="1066"/>
      <c r="BD1911" s="1066"/>
      <c r="BE1911" s="1066"/>
      <c r="BF1911" s="1066"/>
      <c r="BG1911" s="1066"/>
      <c r="BH1911" s="1066"/>
      <c r="BI1911" s="1066"/>
      <c r="BJ1911" s="1066"/>
      <c r="BK1911" s="1066"/>
      <c r="BL1911" s="1066"/>
    </row>
    <row r="1912" spans="1:64">
      <c r="A1912" s="1086"/>
      <c r="B1912" s="1086"/>
      <c r="C1912" s="1088" t="s">
        <v>1032</v>
      </c>
      <c r="D1912" s="1165">
        <f t="shared" ref="D1912:L1912" si="447">SUM(D1910:D1911)</f>
        <v>10494.550962173915</v>
      </c>
      <c r="E1912" s="1165">
        <f t="shared" si="447"/>
        <v>11131.124962173913</v>
      </c>
      <c r="F1912" s="1826">
        <f t="shared" si="447"/>
        <v>11767.708962173916</v>
      </c>
      <c r="G1912" s="1165">
        <f t="shared" si="447"/>
        <v>12404.282962173915</v>
      </c>
      <c r="H1912" s="1165">
        <f t="shared" si="447"/>
        <v>13040.880962173915</v>
      </c>
      <c r="I1912" s="1826">
        <f t="shared" si="447"/>
        <v>13677.454962173915</v>
      </c>
      <c r="J1912" s="1165"/>
      <c r="K1912" s="1165">
        <f t="shared" si="447"/>
        <v>14950.546962173914</v>
      </c>
      <c r="L1912" s="1826">
        <f t="shared" si="447"/>
        <v>15587.130962173916</v>
      </c>
      <c r="M1912" s="997"/>
      <c r="N1912" s="997"/>
      <c r="O1912" s="997"/>
      <c r="P1912" s="997"/>
      <c r="Q1912" s="997"/>
      <c r="R1912" s="997"/>
      <c r="S1912" s="997"/>
      <c r="T1912" s="997"/>
      <c r="U1912" s="997"/>
      <c r="V1912" s="997"/>
      <c r="W1912" s="997"/>
      <c r="X1912" s="997"/>
      <c r="Y1912" s="997"/>
      <c r="Z1912" s="997"/>
      <c r="AA1912" s="997"/>
      <c r="AB1912" s="997"/>
      <c r="AC1912" s="997"/>
      <c r="AD1912" s="997"/>
      <c r="AE1912" s="997"/>
      <c r="AF1912" s="997"/>
      <c r="AG1912" s="997"/>
      <c r="AH1912" s="997"/>
      <c r="AI1912" s="997"/>
      <c r="AJ1912" s="997"/>
      <c r="AK1912" s="997"/>
      <c r="AL1912" s="997"/>
      <c r="AM1912" s="997"/>
      <c r="AN1912" s="997"/>
      <c r="AO1912" s="997"/>
      <c r="AP1912" s="997"/>
      <c r="AQ1912" s="997"/>
      <c r="AR1912" s="997"/>
      <c r="AS1912" s="997"/>
      <c r="AT1912" s="997"/>
      <c r="AU1912" s="997"/>
      <c r="AV1912" s="997"/>
      <c r="AW1912" s="997"/>
      <c r="AX1912" s="997"/>
      <c r="AY1912" s="997"/>
      <c r="AZ1912" s="997"/>
      <c r="BA1912" s="997"/>
      <c r="BB1912" s="997"/>
      <c r="BC1912" s="997"/>
      <c r="BD1912" s="997"/>
      <c r="BE1912" s="997"/>
      <c r="BF1912" s="997"/>
      <c r="BG1912" s="997"/>
      <c r="BH1912" s="997"/>
      <c r="BI1912" s="997"/>
      <c r="BJ1912" s="997"/>
      <c r="BK1912" s="997"/>
      <c r="BL1912" s="997"/>
    </row>
    <row r="1913" spans="1:64">
      <c r="A1913" s="1086"/>
      <c r="B1913" s="1086"/>
      <c r="C1913" s="1118" t="s">
        <v>1034</v>
      </c>
      <c r="D1913" s="999">
        <f t="shared" ref="D1913:L1913" si="448">ROUND(D1912,0)</f>
        <v>10495</v>
      </c>
      <c r="E1913" s="999">
        <f t="shared" si="448"/>
        <v>11131</v>
      </c>
      <c r="F1913" s="999">
        <f t="shared" si="448"/>
        <v>11768</v>
      </c>
      <c r="G1913" s="999">
        <f t="shared" si="448"/>
        <v>12404</v>
      </c>
      <c r="H1913" s="999">
        <f t="shared" si="448"/>
        <v>13041</v>
      </c>
      <c r="I1913" s="999">
        <f t="shared" si="448"/>
        <v>13677</v>
      </c>
      <c r="J1913" s="999"/>
      <c r="K1913" s="999">
        <f t="shared" si="448"/>
        <v>14951</v>
      </c>
      <c r="L1913" s="999">
        <f t="shared" si="448"/>
        <v>15587</v>
      </c>
      <c r="M1913" s="997"/>
      <c r="N1913" s="997"/>
      <c r="O1913" s="997"/>
      <c r="P1913" s="997"/>
      <c r="Q1913" s="997"/>
      <c r="R1913" s="997"/>
      <c r="S1913" s="997"/>
      <c r="T1913" s="997"/>
      <c r="U1913" s="997"/>
      <c r="V1913" s="997"/>
      <c r="W1913" s="997"/>
      <c r="X1913" s="997"/>
      <c r="Y1913" s="997"/>
      <c r="Z1913" s="997"/>
      <c r="AA1913" s="997"/>
      <c r="AB1913" s="997"/>
      <c r="AC1913" s="997"/>
      <c r="AD1913" s="997"/>
      <c r="AE1913" s="997"/>
      <c r="AF1913" s="997"/>
      <c r="AG1913" s="997"/>
      <c r="AH1913" s="997"/>
      <c r="AI1913" s="997"/>
      <c r="AJ1913" s="997"/>
      <c r="AK1913" s="997"/>
      <c r="AL1913" s="997"/>
      <c r="AM1913" s="997"/>
      <c r="AN1913" s="997"/>
      <c r="AO1913" s="997"/>
      <c r="AP1913" s="997"/>
      <c r="AQ1913" s="997"/>
      <c r="AR1913" s="997"/>
      <c r="AS1913" s="997"/>
      <c r="AT1913" s="997"/>
      <c r="AU1913" s="997"/>
      <c r="AV1913" s="997"/>
      <c r="AW1913" s="997"/>
      <c r="AX1913" s="997"/>
      <c r="AY1913" s="997"/>
      <c r="AZ1913" s="997"/>
      <c r="BA1913" s="997"/>
      <c r="BB1913" s="997"/>
      <c r="BC1913" s="997"/>
      <c r="BD1913" s="997"/>
      <c r="BE1913" s="997"/>
      <c r="BF1913" s="997"/>
      <c r="BG1913" s="997"/>
      <c r="BH1913" s="997"/>
      <c r="BI1913" s="997"/>
      <c r="BJ1913" s="997"/>
      <c r="BK1913" s="997"/>
      <c r="BL1913" s="997"/>
    </row>
    <row r="1914" spans="1:64">
      <c r="A1914" s="1818"/>
      <c r="B1914" s="1818"/>
      <c r="C1914" s="1816"/>
      <c r="D1914" s="1114"/>
      <c r="E1914" s="1114"/>
      <c r="F1914" s="1114"/>
      <c r="G1914" s="1114"/>
      <c r="H1914" s="1114"/>
      <c r="I1914" s="1011"/>
      <c r="J1914" s="1846"/>
      <c r="K1914" s="1846"/>
      <c r="L1914" s="1846"/>
    </row>
    <row r="1915" spans="1:64" ht="94.5" customHeight="1">
      <c r="A1915" s="2042">
        <f>A1880+1</f>
        <v>22</v>
      </c>
      <c r="B1915" s="2042"/>
      <c r="C1915" s="2037" t="s">
        <v>3408</v>
      </c>
      <c r="D1915" s="2037"/>
      <c r="E1915" s="2037"/>
      <c r="F1915" s="2037"/>
      <c r="G1915" s="2037"/>
      <c r="H1915" s="2037"/>
      <c r="I1915" s="1825"/>
      <c r="J1915" s="1846"/>
      <c r="K1915" s="1846"/>
      <c r="L1915" s="1846"/>
    </row>
    <row r="1916" spans="1:64">
      <c r="A1916" s="1818"/>
      <c r="B1916" s="1818"/>
      <c r="C1916" s="1846" t="s">
        <v>1320</v>
      </c>
      <c r="D1916" s="1846"/>
      <c r="E1916" s="1846"/>
      <c r="F1916" s="1068"/>
      <c r="G1916" s="1846"/>
      <c r="H1916" s="1846"/>
      <c r="I1916" s="1021"/>
      <c r="J1916" s="1846"/>
      <c r="K1916" s="1846"/>
      <c r="L1916" s="1846"/>
    </row>
    <row r="1917" spans="1:64">
      <c r="A1917" s="1818"/>
      <c r="B1917" s="1818"/>
      <c r="C1917" s="1816" t="s">
        <v>1139</v>
      </c>
      <c r="D1917" s="1045"/>
      <c r="E1917" s="1044"/>
      <c r="F1917" s="1001"/>
      <c r="G1917" s="1015"/>
      <c r="H1917" s="1050"/>
      <c r="I1917" s="1030"/>
      <c r="J1917" s="1846"/>
      <c r="K1917" s="1846"/>
      <c r="L1917" s="1846"/>
    </row>
    <row r="1918" spans="1:64">
      <c r="A1918" s="1818"/>
      <c r="B1918" s="1818"/>
      <c r="C1918" s="1817" t="s">
        <v>1334</v>
      </c>
      <c r="D1918" s="1045">
        <v>84</v>
      </c>
      <c r="E1918" s="1044" t="s">
        <v>36</v>
      </c>
      <c r="F1918" s="1169">
        <v>61</v>
      </c>
      <c r="G1918" s="1015">
        <v>1</v>
      </c>
      <c r="H1918" s="1050" t="s">
        <v>36</v>
      </c>
      <c r="I1918" s="1030">
        <f t="shared" ref="I1918:I1920" si="449">IF(G1918="",D1918*F1918,(D1918*F1918/G1918))</f>
        <v>5124</v>
      </c>
      <c r="J1918" s="1846"/>
      <c r="K1918" s="1846"/>
      <c r="L1918" s="1846"/>
    </row>
    <row r="1919" spans="1:64">
      <c r="A1919" s="1818"/>
      <c r="B1919" s="1818"/>
      <c r="C1919" s="1817" t="s">
        <v>889</v>
      </c>
      <c r="D1919" s="1034">
        <v>36</v>
      </c>
      <c r="E1919" s="1044" t="s">
        <v>1110</v>
      </c>
      <c r="F1919" s="1001">
        <f>LEAD!$N$6</f>
        <v>5200</v>
      </c>
      <c r="G1919" s="1015">
        <v>1000</v>
      </c>
      <c r="H1919" s="1050" t="str">
        <f t="shared" ref="H1919:H1920" si="450">IF(E1919="","",IF(E1919="No.","Each",IF(E1919="Nos.","Each",E1919)))</f>
        <v>Kgs</v>
      </c>
      <c r="I1919" s="1030">
        <f t="shared" si="449"/>
        <v>187.2</v>
      </c>
      <c r="J1919" s="1846"/>
      <c r="K1919" s="1846"/>
      <c r="L1919" s="1846"/>
    </row>
    <row r="1920" spans="1:64">
      <c r="A1920" s="1818"/>
      <c r="B1920" s="1818"/>
      <c r="C1920" s="1817" t="s">
        <v>1141</v>
      </c>
      <c r="D1920" s="1127">
        <v>0.1</v>
      </c>
      <c r="E1920" s="1044" t="s">
        <v>1315</v>
      </c>
      <c r="F1920" s="1001">
        <f>LEAD!$N$13</f>
        <v>2453.91</v>
      </c>
      <c r="G1920" s="1015">
        <v>1</v>
      </c>
      <c r="H1920" s="1050" t="str">
        <f t="shared" si="450"/>
        <v>cu.m.</v>
      </c>
      <c r="I1920" s="1030">
        <f t="shared" si="449"/>
        <v>245.39099999999999</v>
      </c>
      <c r="J1920" s="1846"/>
      <c r="K1920" s="1846"/>
      <c r="L1920" s="1846"/>
    </row>
    <row r="1921" spans="1:64">
      <c r="A1921" s="1818"/>
      <c r="B1921" s="1818"/>
      <c r="C1921" s="1816" t="s">
        <v>1172</v>
      </c>
      <c r="D1921" s="1034"/>
      <c r="E1921" s="1044"/>
      <c r="F1921" s="1001"/>
      <c r="G1921" s="1015"/>
      <c r="H1921" s="1050"/>
      <c r="I1921" s="1030"/>
      <c r="J1921" s="1846"/>
      <c r="K1921" s="1846"/>
      <c r="L1921" s="1846"/>
    </row>
    <row r="1922" spans="1:64">
      <c r="A1922" s="1823"/>
      <c r="B1922" s="1818"/>
      <c r="C1922" s="1817" t="s">
        <v>1147</v>
      </c>
      <c r="D1922" s="1000">
        <v>0.42</v>
      </c>
      <c r="E1922" s="1044" t="s">
        <v>36</v>
      </c>
      <c r="F1922" s="1001">
        <f>'Civil-SOR'!$G$293</f>
        <v>580</v>
      </c>
      <c r="G1922" s="1015">
        <v>1</v>
      </c>
      <c r="H1922" s="1050" t="str">
        <f t="shared" ref="H1922:H1924" si="451">IF(E1922="","",IF(E1922="No.","Each",IF(E1922="Nos.","Each",E1922)))</f>
        <v>Each</v>
      </c>
      <c r="I1922" s="1030">
        <f t="shared" ref="I1922:I1926" si="452">IF(G1922="",D1922*F1922,(D1922*F1922/G1922))</f>
        <v>243.6</v>
      </c>
      <c r="J1922" s="1846"/>
      <c r="K1922" s="1846"/>
      <c r="L1922" s="1846"/>
    </row>
    <row r="1923" spans="1:64">
      <c r="A1923" s="1818"/>
      <c r="B1923" s="1818"/>
      <c r="C1923" s="1817" t="s">
        <v>1062</v>
      </c>
      <c r="D1923" s="1000">
        <v>0.92</v>
      </c>
      <c r="E1923" s="1044" t="s">
        <v>36</v>
      </c>
      <c r="F1923" s="1001">
        <f>'Civil-SOR'!$G$302</f>
        <v>550</v>
      </c>
      <c r="G1923" s="1015">
        <v>1</v>
      </c>
      <c r="H1923" s="1050" t="str">
        <f t="shared" si="451"/>
        <v>Each</v>
      </c>
      <c r="I1923" s="1030">
        <f t="shared" si="452"/>
        <v>506</v>
      </c>
      <c r="J1923" s="1846"/>
      <c r="K1923" s="1846"/>
      <c r="L1923" s="1846"/>
    </row>
    <row r="1924" spans="1:64">
      <c r="A1924" s="1818"/>
      <c r="B1924" s="1818"/>
      <c r="C1924" s="1817" t="s">
        <v>1166</v>
      </c>
      <c r="D1924" s="1000">
        <v>2.8</v>
      </c>
      <c r="E1924" s="1044" t="s">
        <v>36</v>
      </c>
      <c r="F1924" s="1001">
        <f>'Civil-SOR'!$G$307</f>
        <v>520</v>
      </c>
      <c r="G1924" s="1015">
        <v>1</v>
      </c>
      <c r="H1924" s="1050" t="str">
        <f t="shared" si="451"/>
        <v>Each</v>
      </c>
      <c r="I1924" s="1030">
        <f t="shared" si="452"/>
        <v>1456</v>
      </c>
      <c r="J1924" s="1846"/>
      <c r="K1924" s="1846"/>
      <c r="L1924" s="1846"/>
    </row>
    <row r="1925" spans="1:64">
      <c r="A1925" s="1818"/>
      <c r="B1925" s="1818"/>
      <c r="C1925" s="1817" t="str">
        <f>Input!$C$47</f>
        <v>Add for MA @ 40%</v>
      </c>
      <c r="D1925" s="1158">
        <f>Input!$D$47</f>
        <v>0.4</v>
      </c>
      <c r="E1925" s="1094"/>
      <c r="F1925" s="1001">
        <f>SUM(I1922:I1924)</f>
        <v>2205.6</v>
      </c>
      <c r="G1925" s="1020"/>
      <c r="H1925" s="1057"/>
      <c r="I1925" s="1030">
        <f t="shared" si="452"/>
        <v>882.24</v>
      </c>
      <c r="J1925" s="1846"/>
      <c r="K1925" s="1846"/>
      <c r="L1925" s="1846"/>
    </row>
    <row r="1926" spans="1:64">
      <c r="A1926" s="1818"/>
      <c r="B1926" s="1818"/>
      <c r="C1926" s="1817" t="s">
        <v>1312</v>
      </c>
      <c r="D1926" s="1034">
        <v>0.01</v>
      </c>
      <c r="E1926" s="1044"/>
      <c r="F1926" s="1001">
        <f>SUM(I1918:I1925)</f>
        <v>8644.4310000000005</v>
      </c>
      <c r="G1926" s="1015"/>
      <c r="H1926" s="1050"/>
      <c r="I1926" s="1030">
        <f t="shared" si="452"/>
        <v>86.444310000000002</v>
      </c>
      <c r="J1926" s="1846"/>
      <c r="K1926" s="1846"/>
      <c r="L1926" s="1846"/>
    </row>
    <row r="1927" spans="1:64">
      <c r="A1927" s="1086"/>
      <c r="B1927" s="1086"/>
      <c r="C1927" s="1088" t="s">
        <v>1044</v>
      </c>
      <c r="D1927" s="1089"/>
      <c r="E1927" s="1090"/>
      <c r="F1927" s="994"/>
      <c r="G1927" s="1091"/>
      <c r="H1927" s="1159"/>
      <c r="I1927" s="1826">
        <f>SUM(I1917:I1926)</f>
        <v>8730.8753100000013</v>
      </c>
      <c r="J1927" s="996"/>
      <c r="K1927" s="996"/>
      <c r="L1927" s="996"/>
      <c r="M1927" s="997"/>
      <c r="N1927" s="997"/>
      <c r="O1927" s="997"/>
      <c r="P1927" s="997"/>
      <c r="Q1927" s="997"/>
      <c r="R1927" s="997"/>
      <c r="S1927" s="997"/>
      <c r="T1927" s="997"/>
      <c r="U1927" s="997"/>
      <c r="V1927" s="997"/>
      <c r="W1927" s="997"/>
      <c r="X1927" s="997"/>
      <c r="Y1927" s="997"/>
      <c r="Z1927" s="997"/>
      <c r="AA1927" s="997"/>
      <c r="AB1927" s="997"/>
      <c r="AC1927" s="997"/>
      <c r="AD1927" s="997"/>
      <c r="AE1927" s="997"/>
      <c r="AF1927" s="997"/>
      <c r="AG1927" s="997"/>
      <c r="AH1927" s="997"/>
      <c r="AI1927" s="997"/>
      <c r="AJ1927" s="997"/>
      <c r="AK1927" s="997"/>
      <c r="AL1927" s="997"/>
      <c r="AM1927" s="997"/>
      <c r="AN1927" s="997"/>
      <c r="AO1927" s="997"/>
      <c r="AP1927" s="997"/>
      <c r="AQ1927" s="997"/>
      <c r="AR1927" s="997"/>
      <c r="AS1927" s="997"/>
      <c r="AT1927" s="997"/>
      <c r="AU1927" s="997"/>
      <c r="AV1927" s="997"/>
      <c r="AW1927" s="997"/>
      <c r="AX1927" s="997"/>
      <c r="AY1927" s="997"/>
      <c r="AZ1927" s="997"/>
      <c r="BA1927" s="997"/>
      <c r="BB1927" s="997"/>
      <c r="BC1927" s="997"/>
      <c r="BD1927" s="997"/>
      <c r="BE1927" s="997"/>
      <c r="BF1927" s="997"/>
      <c r="BG1927" s="997"/>
      <c r="BH1927" s="997"/>
      <c r="BI1927" s="997"/>
      <c r="BJ1927" s="997"/>
      <c r="BK1927" s="997"/>
      <c r="BL1927" s="997"/>
    </row>
    <row r="1928" spans="1:64">
      <c r="A1928" s="1086"/>
      <c r="B1928" s="1086"/>
      <c r="C1928" s="1088" t="s">
        <v>1045</v>
      </c>
      <c r="D1928" s="1089"/>
      <c r="E1928" s="1090"/>
      <c r="F1928" s="994"/>
      <c r="G1928" s="1091"/>
      <c r="H1928" s="1159"/>
      <c r="I1928" s="1826">
        <f>ROUND(I1927/10,2)</f>
        <v>873.09</v>
      </c>
      <c r="J1928" s="996"/>
      <c r="K1928" s="996"/>
      <c r="L1928" s="996"/>
      <c r="M1928" s="997"/>
      <c r="N1928" s="997"/>
      <c r="O1928" s="997"/>
      <c r="P1928" s="997"/>
      <c r="Q1928" s="997"/>
      <c r="R1928" s="997"/>
      <c r="S1928" s="997"/>
      <c r="T1928" s="997"/>
      <c r="U1928" s="997"/>
      <c r="V1928" s="997"/>
      <c r="W1928" s="997"/>
      <c r="X1928" s="997"/>
      <c r="Y1928" s="997"/>
      <c r="Z1928" s="997"/>
      <c r="AA1928" s="997"/>
      <c r="AB1928" s="997"/>
      <c r="AC1928" s="997"/>
      <c r="AD1928" s="997"/>
      <c r="AE1928" s="997"/>
      <c r="AF1928" s="997"/>
      <c r="AG1928" s="997"/>
      <c r="AH1928" s="997"/>
      <c r="AI1928" s="997"/>
      <c r="AJ1928" s="997"/>
      <c r="AK1928" s="997"/>
      <c r="AL1928" s="997"/>
      <c r="AM1928" s="997"/>
      <c r="AN1928" s="997"/>
      <c r="AO1928" s="997"/>
      <c r="AP1928" s="997"/>
      <c r="AQ1928" s="997"/>
      <c r="AR1928" s="997"/>
      <c r="AS1928" s="997"/>
      <c r="AT1928" s="997"/>
      <c r="AU1928" s="997"/>
      <c r="AV1928" s="997"/>
      <c r="AW1928" s="997"/>
      <c r="AX1928" s="997"/>
      <c r="AY1928" s="997"/>
      <c r="AZ1928" s="997"/>
      <c r="BA1928" s="997"/>
      <c r="BB1928" s="997"/>
      <c r="BC1928" s="997"/>
      <c r="BD1928" s="997"/>
      <c r="BE1928" s="997"/>
      <c r="BF1928" s="997"/>
      <c r="BG1928" s="997"/>
      <c r="BH1928" s="997"/>
      <c r="BI1928" s="997"/>
      <c r="BJ1928" s="997"/>
      <c r="BK1928" s="997"/>
      <c r="BL1928" s="997"/>
    </row>
    <row r="1929" spans="1:64">
      <c r="A1929" s="1818"/>
      <c r="B1929" s="1818"/>
      <c r="C1929" s="1817"/>
      <c r="D1929" s="1000"/>
      <c r="E1929" s="1044"/>
      <c r="F1929" s="1001"/>
      <c r="G1929" s="1015"/>
      <c r="H1929" s="1047"/>
      <c r="I1929" s="1011"/>
      <c r="J1929" s="1846"/>
      <c r="K1929" s="1846"/>
      <c r="L1929" s="1846"/>
    </row>
    <row r="1930" spans="1:64">
      <c r="A1930" s="1818"/>
      <c r="B1930" s="1818"/>
      <c r="C1930" s="1124" t="s">
        <v>1332</v>
      </c>
      <c r="D1930" s="1000"/>
      <c r="E1930" s="1044"/>
      <c r="F1930" s="1001"/>
      <c r="G1930" s="1015"/>
      <c r="H1930" s="1047"/>
      <c r="I1930" s="1011"/>
      <c r="J1930" s="1846"/>
      <c r="K1930" s="1846"/>
      <c r="L1930" s="1846"/>
    </row>
    <row r="1931" spans="1:64">
      <c r="A1931" s="1818"/>
      <c r="B1931" s="1818"/>
      <c r="C1931" s="1816" t="s">
        <v>1217</v>
      </c>
      <c r="D1931" s="1009" t="s">
        <v>1223</v>
      </c>
      <c r="E1931" s="1114" t="s">
        <v>1207</v>
      </c>
      <c r="F1931" s="1106" t="s">
        <v>1208</v>
      </c>
      <c r="G1931" s="1011" t="s">
        <v>1291</v>
      </c>
      <c r="H1931" s="1011" t="s">
        <v>1292</v>
      </c>
      <c r="I1931" s="1011" t="s">
        <v>1293</v>
      </c>
      <c r="J1931" s="1102"/>
      <c r="K1931" s="1102" t="s">
        <v>1213</v>
      </c>
      <c r="L1931" s="1102" t="s">
        <v>1214</v>
      </c>
    </row>
    <row r="1932" spans="1:64">
      <c r="A1932" s="1818"/>
      <c r="B1932" s="1818"/>
      <c r="C1932" s="1817" t="s">
        <v>1317</v>
      </c>
      <c r="D1932" s="1062">
        <f t="shared" ref="D1932:L1932" si="453">$I$1928</f>
        <v>873.09</v>
      </c>
      <c r="E1932" s="1062">
        <f t="shared" si="453"/>
        <v>873.09</v>
      </c>
      <c r="F1932" s="1062">
        <f t="shared" si="453"/>
        <v>873.09</v>
      </c>
      <c r="G1932" s="1062">
        <f t="shared" si="453"/>
        <v>873.09</v>
      </c>
      <c r="H1932" s="1062">
        <f t="shared" si="453"/>
        <v>873.09</v>
      </c>
      <c r="I1932" s="1062">
        <f t="shared" si="453"/>
        <v>873.09</v>
      </c>
      <c r="J1932" s="1062"/>
      <c r="K1932" s="1062">
        <f t="shared" si="453"/>
        <v>873.09</v>
      </c>
      <c r="L1932" s="1062">
        <f t="shared" si="453"/>
        <v>873.09</v>
      </c>
    </row>
    <row r="1933" spans="1:64">
      <c r="A1933" s="1818"/>
      <c r="B1933" s="1818"/>
      <c r="C1933" s="1817" t="s">
        <v>1313</v>
      </c>
      <c r="D1933" s="1062">
        <f>'Civil-SOR'!$F$222</f>
        <v>11.66</v>
      </c>
      <c r="E1933" s="1062">
        <f>'Civil-SOR'!$F$223</f>
        <v>11.66</v>
      </c>
      <c r="F1933" s="1062">
        <f>'Civil-SOR'!$F$224</f>
        <v>11.66</v>
      </c>
      <c r="G1933" s="1062">
        <f>'Civil-SOR'!$F$225</f>
        <v>11.66</v>
      </c>
      <c r="H1933" s="1062">
        <f>'Civil-SOR'!$F$225</f>
        <v>11.66</v>
      </c>
      <c r="I1933" s="1062">
        <f>'Civil-SOR'!$F$225</f>
        <v>11.66</v>
      </c>
      <c r="J1933" s="1062"/>
      <c r="K1933" s="1062">
        <f>'Civil-SOR'!$F$225</f>
        <v>11.66</v>
      </c>
      <c r="L1933" s="1062">
        <f>'Civil-SOR'!$F$225</f>
        <v>11.66</v>
      </c>
    </row>
    <row r="1934" spans="1:64">
      <c r="A1934" s="1818"/>
      <c r="B1934" s="1818"/>
      <c r="C1934" s="1817" t="s">
        <v>1314</v>
      </c>
      <c r="D1934" s="1062">
        <f>'Civil-SOR'!$G$222</f>
        <v>94.29</v>
      </c>
      <c r="E1934" s="1062">
        <f>'Civil-SOR'!$G$223</f>
        <v>135.61000000000001</v>
      </c>
      <c r="F1934" s="1062">
        <f>'Civil-SOR'!$G$224</f>
        <v>176.93</v>
      </c>
      <c r="G1934" s="1062">
        <f>'Civil-SOR'!$G$225</f>
        <v>218.25</v>
      </c>
      <c r="H1934" s="1062">
        <f>'Civil-SOR'!$G$226</f>
        <v>259.57</v>
      </c>
      <c r="I1934" s="1062">
        <f>'Civil-SOR'!$G$227</f>
        <v>300.89</v>
      </c>
      <c r="J1934" s="1062"/>
      <c r="K1934" s="1062">
        <f>'Civil-SOR'!$G$229</f>
        <v>383.52</v>
      </c>
      <c r="L1934" s="1062">
        <f>'Civil-SOR'!$G$230</f>
        <v>424.84</v>
      </c>
    </row>
    <row r="1935" spans="1:64">
      <c r="A1935" s="1818"/>
      <c r="B1935" s="1818"/>
      <c r="C1935" s="1817" t="str">
        <f>Input!$C$47</f>
        <v>Add for MA @ 40%</v>
      </c>
      <c r="D1935" s="1062">
        <f>D1934*Input!$D$47</f>
        <v>37.716000000000001</v>
      </c>
      <c r="E1935" s="1062">
        <f>E1934*Input!$D$47</f>
        <v>54.244000000000007</v>
      </c>
      <c r="F1935" s="1062">
        <f>F1934*Input!$D$47</f>
        <v>70.772000000000006</v>
      </c>
      <c r="G1935" s="1062">
        <f>G1934*Input!$D$47</f>
        <v>87.300000000000011</v>
      </c>
      <c r="H1935" s="1062">
        <f>H1934*Input!$D$47</f>
        <v>103.828</v>
      </c>
      <c r="I1935" s="1062">
        <f>I1934*Input!$D$47</f>
        <v>120.35599999999999</v>
      </c>
      <c r="J1935" s="1062"/>
      <c r="K1935" s="1062">
        <f>K1934*Input!$D$47</f>
        <v>153.40799999999999</v>
      </c>
      <c r="L1935" s="1062">
        <f>L1934*Input!$D$47</f>
        <v>169.93600000000001</v>
      </c>
    </row>
    <row r="1936" spans="1:64">
      <c r="A1936" s="1818"/>
      <c r="B1936" s="1818"/>
      <c r="C1936" s="1817" t="s">
        <v>1253</v>
      </c>
      <c r="D1936" s="1062">
        <v>0</v>
      </c>
      <c r="E1936" s="1062">
        <f>ROUND($F$1925/10*10%,2)</f>
        <v>22.06</v>
      </c>
      <c r="F1936" s="1062">
        <f>ROUND($F$1925/10*20%,2)</f>
        <v>44.11</v>
      </c>
      <c r="G1936" s="1062">
        <f>ROUND($F$1925/10*30%,2)</f>
        <v>66.17</v>
      </c>
      <c r="H1936" s="1062">
        <f>ROUND($F$1925/10*40%,2)</f>
        <v>88.22</v>
      </c>
      <c r="I1936" s="1062">
        <f>ROUND($F$1925/10*50%,2)</f>
        <v>110.28</v>
      </c>
      <c r="J1936" s="1062"/>
      <c r="K1936" s="1062">
        <f>ROUND($F$1925/10*70%,2)</f>
        <v>154.38999999999999</v>
      </c>
      <c r="L1936" s="1062">
        <f>ROUND($F$1925/10*80%,2)</f>
        <v>176.45</v>
      </c>
    </row>
    <row r="1937" spans="1:64">
      <c r="A1937" s="1818"/>
      <c r="B1937" s="1818"/>
      <c r="C1937" s="1817" t="str">
        <f>Input!$C$47</f>
        <v>Add for MA @ 40%</v>
      </c>
      <c r="D1937" s="1062">
        <f>D1936*Input!$D$47</f>
        <v>0</v>
      </c>
      <c r="E1937" s="1062">
        <f>E1936*Input!$D$47</f>
        <v>8.8239999999999998</v>
      </c>
      <c r="F1937" s="1062">
        <f>F1936*Input!$D$47</f>
        <v>17.644000000000002</v>
      </c>
      <c r="G1937" s="1062">
        <f>G1936*Input!$D$47</f>
        <v>26.468000000000004</v>
      </c>
      <c r="H1937" s="1062">
        <f>H1936*Input!$D$47</f>
        <v>35.288000000000004</v>
      </c>
      <c r="I1937" s="1062">
        <f>I1936*Input!$D$47</f>
        <v>44.112000000000002</v>
      </c>
      <c r="J1937" s="1062"/>
      <c r="K1937" s="1062">
        <f>K1936*Input!$D$47</f>
        <v>61.756</v>
      </c>
      <c r="L1937" s="1062">
        <f>L1936*Input!$D$47</f>
        <v>70.58</v>
      </c>
    </row>
    <row r="1938" spans="1:64">
      <c r="A1938" s="1818"/>
      <c r="B1938" s="1818"/>
      <c r="C1938" s="1816" t="s">
        <v>1045</v>
      </c>
      <c r="D1938" s="1065">
        <f t="shared" ref="D1938:L1938" si="454">SUM(D1932:D1937)</f>
        <v>1016.756</v>
      </c>
      <c r="E1938" s="1065">
        <f t="shared" si="454"/>
        <v>1105.4880000000001</v>
      </c>
      <c r="F1938" s="1065">
        <f t="shared" si="454"/>
        <v>1194.2059999999999</v>
      </c>
      <c r="G1938" s="1065">
        <f t="shared" si="454"/>
        <v>1282.9380000000001</v>
      </c>
      <c r="H1938" s="1065">
        <f t="shared" si="454"/>
        <v>1371.6559999999999</v>
      </c>
      <c r="I1938" s="1065">
        <f t="shared" si="454"/>
        <v>1460.3879999999999</v>
      </c>
      <c r="J1938" s="1065"/>
      <c r="K1938" s="1065">
        <f t="shared" si="454"/>
        <v>1637.8239999999998</v>
      </c>
      <c r="L1938" s="1065">
        <f t="shared" si="454"/>
        <v>1726.5559999999998</v>
      </c>
    </row>
    <row r="1939" spans="1:64">
      <c r="A1939" s="1818"/>
      <c r="B1939" s="1818"/>
      <c r="C1939" s="1817" t="str">
        <f>Input!$C$48</f>
        <v>Overheads &amp; Contractors Profit @ 13.615%</v>
      </c>
      <c r="D1939" s="1062">
        <f>ROUND(D1938*Input!$D$48,2)</f>
        <v>138.43</v>
      </c>
      <c r="E1939" s="1062">
        <f>ROUND(E1938*Input!$D$48,2)</f>
        <v>150.51</v>
      </c>
      <c r="F1939" s="1062">
        <f>ROUND(F1938*Input!$D$48,2)</f>
        <v>162.59</v>
      </c>
      <c r="G1939" s="1062">
        <f>ROUND(G1938*Input!$D$48,2)</f>
        <v>174.67</v>
      </c>
      <c r="H1939" s="1062">
        <f>ROUND(H1938*Input!$D$48,2)</f>
        <v>186.75</v>
      </c>
      <c r="I1939" s="1062">
        <f>ROUND(I1938*Input!$D$48,2)</f>
        <v>198.83</v>
      </c>
      <c r="J1939" s="1062"/>
      <c r="K1939" s="1062">
        <f>ROUND(K1938*Input!$D$48,2)</f>
        <v>222.99</v>
      </c>
      <c r="L1939" s="1062">
        <f>ROUND(L1938*Input!$D$48,2)</f>
        <v>235.07</v>
      </c>
    </row>
    <row r="1940" spans="1:64">
      <c r="A1940" s="1086"/>
      <c r="B1940" s="1086"/>
      <c r="C1940" s="1088" t="s">
        <v>1045</v>
      </c>
      <c r="D1940" s="1826">
        <f t="shared" ref="D1940:L1940" si="455">SUM(D1938:D1939)</f>
        <v>1155.1859999999999</v>
      </c>
      <c r="E1940" s="1826">
        <f t="shared" si="455"/>
        <v>1255.998</v>
      </c>
      <c r="F1940" s="1826">
        <f t="shared" si="455"/>
        <v>1356.7959999999998</v>
      </c>
      <c r="G1940" s="1826">
        <f t="shared" si="455"/>
        <v>1457.6080000000002</v>
      </c>
      <c r="H1940" s="1826">
        <f t="shared" si="455"/>
        <v>1558.4059999999999</v>
      </c>
      <c r="I1940" s="1826">
        <f t="shared" si="455"/>
        <v>1659.2179999999998</v>
      </c>
      <c r="J1940" s="1826"/>
      <c r="K1940" s="1826">
        <f t="shared" si="455"/>
        <v>1860.8139999999999</v>
      </c>
      <c r="L1940" s="1826">
        <f t="shared" si="455"/>
        <v>1961.6259999999997</v>
      </c>
      <c r="M1940" s="997"/>
      <c r="N1940" s="997"/>
      <c r="O1940" s="997"/>
      <c r="P1940" s="997"/>
      <c r="Q1940" s="997"/>
      <c r="R1940" s="997"/>
      <c r="S1940" s="997"/>
      <c r="T1940" s="997"/>
      <c r="U1940" s="997"/>
      <c r="V1940" s="997"/>
      <c r="W1940" s="997"/>
      <c r="X1940" s="997"/>
      <c r="Y1940" s="997"/>
      <c r="Z1940" s="997"/>
      <c r="AA1940" s="997"/>
      <c r="AB1940" s="997"/>
      <c r="AC1940" s="997"/>
      <c r="AD1940" s="997"/>
      <c r="AE1940" s="997"/>
      <c r="AF1940" s="997"/>
      <c r="AG1940" s="997"/>
      <c r="AH1940" s="997"/>
      <c r="AI1940" s="997"/>
      <c r="AJ1940" s="997"/>
      <c r="AK1940" s="997"/>
      <c r="AL1940" s="997"/>
      <c r="AM1940" s="997"/>
      <c r="AN1940" s="997"/>
      <c r="AO1940" s="997"/>
      <c r="AP1940" s="997"/>
      <c r="AQ1940" s="997"/>
      <c r="AR1940" s="997"/>
      <c r="AS1940" s="997"/>
      <c r="AT1940" s="997"/>
      <c r="AU1940" s="997"/>
      <c r="AV1940" s="997"/>
      <c r="AW1940" s="997"/>
      <c r="AX1940" s="997"/>
      <c r="AY1940" s="997"/>
      <c r="AZ1940" s="997"/>
      <c r="BA1940" s="997"/>
      <c r="BB1940" s="997"/>
      <c r="BC1940" s="997"/>
      <c r="BD1940" s="997"/>
      <c r="BE1940" s="997"/>
      <c r="BF1940" s="997"/>
      <c r="BG1940" s="997"/>
      <c r="BH1940" s="997"/>
      <c r="BI1940" s="997"/>
      <c r="BJ1940" s="997"/>
      <c r="BK1940" s="997"/>
      <c r="BL1940" s="997"/>
    </row>
    <row r="1941" spans="1:64">
      <c r="A1941" s="1086"/>
      <c r="B1941" s="1086"/>
      <c r="C1941" s="1118" t="s">
        <v>1034</v>
      </c>
      <c r="D1941" s="999">
        <f t="shared" ref="D1941:L1941" si="456">ROUND(D1940,0)</f>
        <v>1155</v>
      </c>
      <c r="E1941" s="999">
        <f t="shared" si="456"/>
        <v>1256</v>
      </c>
      <c r="F1941" s="999">
        <f t="shared" si="456"/>
        <v>1357</v>
      </c>
      <c r="G1941" s="999">
        <f t="shared" si="456"/>
        <v>1458</v>
      </c>
      <c r="H1941" s="999">
        <f t="shared" si="456"/>
        <v>1558</v>
      </c>
      <c r="I1941" s="999">
        <f t="shared" si="456"/>
        <v>1659</v>
      </c>
      <c r="J1941" s="999"/>
      <c r="K1941" s="999">
        <f t="shared" si="456"/>
        <v>1861</v>
      </c>
      <c r="L1941" s="999">
        <f t="shared" si="456"/>
        <v>1962</v>
      </c>
      <c r="M1941" s="997"/>
      <c r="N1941" s="997"/>
      <c r="O1941" s="997"/>
      <c r="P1941" s="997"/>
      <c r="Q1941" s="997"/>
      <c r="R1941" s="997"/>
      <c r="S1941" s="997"/>
      <c r="T1941" s="997"/>
      <c r="U1941" s="997"/>
      <c r="V1941" s="997"/>
      <c r="W1941" s="997"/>
      <c r="X1941" s="997"/>
      <c r="Y1941" s="997"/>
      <c r="Z1941" s="997"/>
      <c r="AA1941" s="997"/>
      <c r="AB1941" s="997"/>
      <c r="AC1941" s="997"/>
      <c r="AD1941" s="997"/>
      <c r="AE1941" s="997"/>
      <c r="AF1941" s="997"/>
      <c r="AG1941" s="997"/>
      <c r="AH1941" s="997"/>
      <c r="AI1941" s="997"/>
      <c r="AJ1941" s="997"/>
      <c r="AK1941" s="997"/>
      <c r="AL1941" s="997"/>
      <c r="AM1941" s="997"/>
      <c r="AN1941" s="997"/>
      <c r="AO1941" s="997"/>
      <c r="AP1941" s="997"/>
      <c r="AQ1941" s="997"/>
      <c r="AR1941" s="997"/>
      <c r="AS1941" s="997"/>
      <c r="AT1941" s="997"/>
      <c r="AU1941" s="997"/>
      <c r="AV1941" s="997"/>
      <c r="AW1941" s="997"/>
      <c r="AX1941" s="997"/>
      <c r="AY1941" s="997"/>
      <c r="AZ1941" s="997"/>
      <c r="BA1941" s="997"/>
      <c r="BB1941" s="997"/>
      <c r="BC1941" s="997"/>
      <c r="BD1941" s="997"/>
      <c r="BE1941" s="997"/>
      <c r="BF1941" s="997"/>
      <c r="BG1941" s="997"/>
      <c r="BH1941" s="997"/>
      <c r="BI1941" s="997"/>
      <c r="BJ1941" s="997"/>
      <c r="BK1941" s="997"/>
      <c r="BL1941" s="997"/>
    </row>
    <row r="1942" spans="1:64">
      <c r="A1942" s="1818"/>
      <c r="B1942" s="1818"/>
      <c r="C1942" s="1816"/>
      <c r="D1942" s="1114"/>
      <c r="E1942" s="1114"/>
      <c r="F1942" s="1114"/>
      <c r="G1942" s="1114"/>
      <c r="H1942" s="1114"/>
      <c r="I1942" s="1011"/>
      <c r="J1942" s="1846"/>
      <c r="K1942" s="1846"/>
      <c r="L1942" s="1846"/>
    </row>
    <row r="1943" spans="1:64" ht="66" customHeight="1">
      <c r="A1943" s="1818">
        <f>1+A1839</f>
        <v>21</v>
      </c>
      <c r="B1943" s="1818"/>
      <c r="C1943" s="2039" t="s">
        <v>3592</v>
      </c>
      <c r="D1943" s="2040"/>
      <c r="E1943" s="2040"/>
      <c r="F1943" s="2040"/>
      <c r="G1943" s="2040"/>
      <c r="H1943" s="2040"/>
      <c r="I1943" s="2041"/>
      <c r="J1943" s="1846"/>
      <c r="K1943" s="1846"/>
      <c r="L1943" s="1846"/>
    </row>
    <row r="1944" spans="1:64">
      <c r="A1944" s="1818"/>
      <c r="B1944" s="1818"/>
      <c r="C1944" s="1049" t="s">
        <v>1160</v>
      </c>
      <c r="D1944" s="1048"/>
      <c r="E1944" s="1048"/>
      <c r="F1944" s="1818"/>
      <c r="G1944" s="1048"/>
      <c r="H1944" s="1048"/>
      <c r="I1944" s="1001"/>
      <c r="J1944" s="1846"/>
      <c r="K1944" s="1846"/>
      <c r="L1944" s="1846"/>
    </row>
    <row r="1945" spans="1:64">
      <c r="A1945" s="1818"/>
      <c r="B1945" s="1818"/>
      <c r="C1945" s="1069" t="s">
        <v>1161</v>
      </c>
      <c r="D1945" s="1048"/>
      <c r="E1945" s="1048"/>
      <c r="F1945" s="1818"/>
      <c r="G1945" s="1048"/>
      <c r="H1945" s="1048"/>
      <c r="I1945" s="1001"/>
      <c r="J1945" s="1846"/>
      <c r="K1945" s="1846"/>
      <c r="L1945" s="1846"/>
    </row>
    <row r="1946" spans="1:64">
      <c r="A1946" s="1818"/>
      <c r="B1946" s="1818"/>
      <c r="C1946" s="1047" t="s">
        <v>1139</v>
      </c>
      <c r="D1946" s="1048"/>
      <c r="E1946" s="1048"/>
      <c r="F1946" s="1818"/>
      <c r="G1946" s="1048"/>
      <c r="H1946" s="1048"/>
      <c r="I1946" s="1001"/>
      <c r="J1946" s="1846"/>
      <c r="K1946" s="1846"/>
      <c r="L1946" s="1846"/>
    </row>
    <row r="1947" spans="1:64">
      <c r="A1947" s="1818"/>
      <c r="B1947" s="1818"/>
      <c r="C1947" s="1817" t="s">
        <v>1168</v>
      </c>
      <c r="D1947" s="1034">
        <v>0.9</v>
      </c>
      <c r="E1947" s="1069" t="s">
        <v>484</v>
      </c>
      <c r="F1947" s="1001">
        <f>$F$16</f>
        <v>1447.96</v>
      </c>
      <c r="G1947" s="1045">
        <v>1</v>
      </c>
      <c r="H1947" s="1069" t="str">
        <f t="shared" ref="H1947:H1948" si="457">IF(E1947="","",IF(E1947="No.","Each",IF(E1947="Nos.","Each",E1947)))</f>
        <v>Cum</v>
      </c>
      <c r="I1947" s="1030">
        <f t="shared" ref="I1947:I1948" si="458">IF(G1947="",D1947*F1947,(D1947*F1947/G1947))</f>
        <v>1303.164</v>
      </c>
      <c r="J1947" s="1846"/>
      <c r="K1947" s="1846"/>
      <c r="L1947" s="1846"/>
    </row>
    <row r="1948" spans="1:64">
      <c r="A1948" s="1818"/>
      <c r="B1948" s="1818"/>
      <c r="C1948" s="1817" t="s">
        <v>1163</v>
      </c>
      <c r="D1948" s="1034">
        <v>0.45</v>
      </c>
      <c r="E1948" s="1069" t="s">
        <v>484</v>
      </c>
      <c r="F1948" s="1001">
        <f>LEAD!$N$12</f>
        <v>2253.91</v>
      </c>
      <c r="G1948" s="1045">
        <v>1</v>
      </c>
      <c r="H1948" s="1069" t="str">
        <f t="shared" si="457"/>
        <v>Cum</v>
      </c>
      <c r="I1948" s="1030">
        <f t="shared" si="458"/>
        <v>1014.2595</v>
      </c>
      <c r="J1948" s="1846"/>
      <c r="K1948" s="1846"/>
      <c r="L1948" s="1846"/>
    </row>
    <row r="1949" spans="1:64">
      <c r="A1949" s="1818"/>
      <c r="B1949" s="1818"/>
      <c r="C1949" s="1817" t="s">
        <v>889</v>
      </c>
      <c r="D1949" s="1034">
        <v>220</v>
      </c>
      <c r="E1949" s="1069" t="s">
        <v>1110</v>
      </c>
      <c r="F1949" s="1001">
        <f>LEAD!$N$6</f>
        <v>5200</v>
      </c>
      <c r="G1949" s="1045">
        <v>1</v>
      </c>
      <c r="H1949" s="1069" t="s">
        <v>948</v>
      </c>
      <c r="I1949" s="1030">
        <f>IF(G1949="",D1949*F1949,(D1949*F1949/G1949))/1000</f>
        <v>1144</v>
      </c>
      <c r="J1949" s="1846"/>
      <c r="K1949" s="1846"/>
      <c r="L1949" s="1846"/>
    </row>
    <row r="1950" spans="1:64">
      <c r="A1950" s="1818"/>
      <c r="B1950" s="1818"/>
      <c r="C1950" s="1817" t="s">
        <v>1164</v>
      </c>
      <c r="D1950" s="1034">
        <v>1.2</v>
      </c>
      <c r="E1950" s="1069" t="s">
        <v>1124</v>
      </c>
      <c r="F1950" s="1001">
        <f>Input!$D$53</f>
        <v>108</v>
      </c>
      <c r="G1950" s="1045">
        <v>1</v>
      </c>
      <c r="H1950" s="1069" t="str">
        <f>IF(E1950="","",IF(E1950="No.","Each",IF(E1950="Nos.","Each",E1950)))</f>
        <v>Kl</v>
      </c>
      <c r="I1950" s="1030">
        <f>IF(G1950="",D1950*F1950,(D1950*F1950/G1950))</f>
        <v>129.6</v>
      </c>
      <c r="J1950" s="1846"/>
      <c r="K1950" s="1846"/>
      <c r="L1950" s="1846"/>
    </row>
    <row r="1951" spans="1:64">
      <c r="A1951" s="1818"/>
      <c r="B1951" s="1818"/>
      <c r="C1951" s="1816" t="s">
        <v>1144</v>
      </c>
      <c r="D1951" s="1034"/>
      <c r="E1951" s="1069"/>
      <c r="F1951" s="1001"/>
      <c r="G1951" s="1045"/>
      <c r="H1951" s="1069"/>
      <c r="I1951" s="1030"/>
      <c r="J1951" s="1846"/>
      <c r="K1951" s="1846"/>
      <c r="L1951" s="1846"/>
    </row>
    <row r="1952" spans="1:64" ht="25.5">
      <c r="A1952" s="1818"/>
      <c r="B1952" s="1818"/>
      <c r="C1952" s="1817" t="s">
        <v>1145</v>
      </c>
      <c r="D1952" s="1170">
        <v>1</v>
      </c>
      <c r="E1952" s="1052" t="s">
        <v>400</v>
      </c>
      <c r="F1952" s="1030">
        <f>'Civil-SOR'!$G$330</f>
        <v>192.9</v>
      </c>
      <c r="G1952" s="1144">
        <v>1</v>
      </c>
      <c r="H1952" s="1144" t="str">
        <f t="shared" ref="H1952:H1953" si="459">IF(E1952="","",IF(E1952="No.","Each",IF(E1952="Nos.","Each",E1952)))</f>
        <v>hour</v>
      </c>
      <c r="I1952" s="1030">
        <f t="shared" ref="I1952:I1954" si="460">IF(G1952="",D1952*F1952,(D1952*F1952/G1952))</f>
        <v>192.9</v>
      </c>
      <c r="J1952" s="1846"/>
      <c r="K1952" s="1846"/>
      <c r="L1952" s="1846"/>
    </row>
    <row r="1953" spans="1:64">
      <c r="A1953" s="1818"/>
      <c r="B1953" s="1818"/>
      <c r="C1953" s="1817" t="s">
        <v>1165</v>
      </c>
      <c r="D1953" s="1170">
        <v>1</v>
      </c>
      <c r="E1953" s="1052" t="s">
        <v>400</v>
      </c>
      <c r="F1953" s="1030">
        <f>'Civil-SOR'!$J$330</f>
        <v>302.89999999999998</v>
      </c>
      <c r="G1953" s="1144">
        <v>1</v>
      </c>
      <c r="H1953" s="1144" t="str">
        <f t="shared" si="459"/>
        <v>hour</v>
      </c>
      <c r="I1953" s="1030">
        <f t="shared" si="460"/>
        <v>302.89999999999998</v>
      </c>
      <c r="J1953" s="1846"/>
      <c r="K1953" s="1846"/>
      <c r="L1953" s="1846"/>
    </row>
    <row r="1954" spans="1:64">
      <c r="A1954" s="1818"/>
      <c r="B1954" s="1818"/>
      <c r="C1954" s="1817" t="s">
        <v>1085</v>
      </c>
      <c r="D1954" s="1051">
        <f>Input!$D$47</f>
        <v>0.4</v>
      </c>
      <c r="E1954" s="1052"/>
      <c r="F1954" s="1030">
        <f>'Civil-SOR'!$J$330</f>
        <v>302.89999999999998</v>
      </c>
      <c r="G1954" s="1053"/>
      <c r="H1954" s="1052"/>
      <c r="I1954" s="1001">
        <f t="shared" si="460"/>
        <v>121.16</v>
      </c>
      <c r="J1954" s="1846"/>
      <c r="K1954" s="1846"/>
      <c r="L1954" s="1846"/>
    </row>
    <row r="1955" spans="1:64">
      <c r="A1955" s="1818"/>
      <c r="B1955" s="1818"/>
      <c r="C1955" s="1816" t="s">
        <v>1146</v>
      </c>
      <c r="D1955" s="1034"/>
      <c r="E1955" s="1069"/>
      <c r="F1955" s="1001"/>
      <c r="G1955" s="1045"/>
      <c r="H1955" s="1069"/>
      <c r="I1955" s="1030"/>
      <c r="J1955" s="1846"/>
      <c r="K1955" s="1846"/>
      <c r="L1955" s="1846"/>
    </row>
    <row r="1956" spans="1:64">
      <c r="A1956" s="1818"/>
      <c r="B1956" s="1818"/>
      <c r="C1956" s="1817" t="s">
        <v>1147</v>
      </c>
      <c r="D1956" s="1034">
        <v>0.1</v>
      </c>
      <c r="E1956" s="1069" t="s">
        <v>36</v>
      </c>
      <c r="F1956" s="1001">
        <f>'Civil-SOR'!$G$293</f>
        <v>580</v>
      </c>
      <c r="G1956" s="1045">
        <v>1</v>
      </c>
      <c r="H1956" s="1069" t="str">
        <f t="shared" ref="H1956:H1957" si="461">IF(E1956="","",IF(E1956="No.","Each",IF(E1956="Nos.","Each",E1956)))</f>
        <v>Each</v>
      </c>
      <c r="I1956" s="1030">
        <f t="shared" ref="I1956:I1958" si="462">IF(G1956="",D1956*F1956,(D1956*F1956/G1956))</f>
        <v>58</v>
      </c>
      <c r="J1956" s="1846"/>
      <c r="K1956" s="1846"/>
      <c r="L1956" s="1846"/>
    </row>
    <row r="1957" spans="1:64">
      <c r="A1957" s="1818"/>
      <c r="B1957" s="1818"/>
      <c r="C1957" s="1817" t="s">
        <v>1166</v>
      </c>
      <c r="D1957" s="1034">
        <v>1.39</v>
      </c>
      <c r="E1957" s="1069" t="s">
        <v>36</v>
      </c>
      <c r="F1957" s="1001">
        <f>'Civil-SOR'!$G$307</f>
        <v>520</v>
      </c>
      <c r="G1957" s="1045">
        <v>1</v>
      </c>
      <c r="H1957" s="1069" t="str">
        <f t="shared" si="461"/>
        <v>Each</v>
      </c>
      <c r="I1957" s="1030">
        <f t="shared" si="462"/>
        <v>722.8</v>
      </c>
      <c r="J1957" s="1846"/>
      <c r="K1957" s="1846"/>
      <c r="L1957" s="1846"/>
    </row>
    <row r="1958" spans="1:64">
      <c r="A1958" s="1818"/>
      <c r="B1958" s="1818"/>
      <c r="C1958" s="1817" t="str">
        <f>Input!$C$47</f>
        <v>Add for MA @ 40%</v>
      </c>
      <c r="D1958" s="1034">
        <f>Input!$D$47</f>
        <v>0.4</v>
      </c>
      <c r="E1958" s="1048"/>
      <c r="F1958" s="1001">
        <f>SUM(I1956:I1957)</f>
        <v>780.8</v>
      </c>
      <c r="G1958" s="1045"/>
      <c r="H1958" s="1048"/>
      <c r="I1958" s="1030">
        <f t="shared" si="462"/>
        <v>312.32</v>
      </c>
      <c r="J1958" s="1846"/>
      <c r="K1958" s="1846"/>
      <c r="L1958" s="1846"/>
    </row>
    <row r="1959" spans="1:64">
      <c r="A1959" s="1086"/>
      <c r="B1959" s="1086"/>
      <c r="C1959" s="1088" t="s">
        <v>1032</v>
      </c>
      <c r="D1959" s="1171"/>
      <c r="E1959" s="1087"/>
      <c r="F1959" s="994"/>
      <c r="G1959" s="1638"/>
      <c r="H1959" s="1092"/>
      <c r="I1959" s="1826">
        <f>SUM(I1947:I1958)</f>
        <v>5301.1035000000002</v>
      </c>
      <c r="J1959" s="996"/>
      <c r="K1959" s="996"/>
      <c r="L1959" s="996"/>
      <c r="M1959" s="997"/>
      <c r="N1959" s="997"/>
      <c r="O1959" s="997"/>
      <c r="P1959" s="997"/>
      <c r="Q1959" s="997"/>
      <c r="R1959" s="997"/>
      <c r="S1959" s="997"/>
      <c r="T1959" s="997"/>
      <c r="U1959" s="997"/>
      <c r="V1959" s="997"/>
      <c r="W1959" s="997"/>
      <c r="X1959" s="997"/>
      <c r="Y1959" s="997"/>
      <c r="Z1959" s="997"/>
      <c r="AA1959" s="997"/>
      <c r="AB1959" s="997"/>
      <c r="AC1959" s="997"/>
      <c r="AD1959" s="997"/>
      <c r="AE1959" s="997"/>
      <c r="AF1959" s="997"/>
      <c r="AG1959" s="997"/>
      <c r="AH1959" s="997"/>
      <c r="AI1959" s="997"/>
      <c r="AJ1959" s="997"/>
      <c r="AK1959" s="997"/>
      <c r="AL1959" s="997"/>
      <c r="AM1959" s="997"/>
      <c r="AN1959" s="997"/>
      <c r="AO1959" s="997"/>
      <c r="AP1959" s="997"/>
      <c r="AQ1959" s="997"/>
      <c r="AR1959" s="997"/>
      <c r="AS1959" s="997"/>
      <c r="AT1959" s="997"/>
      <c r="AU1959" s="997"/>
      <c r="AV1959" s="997"/>
      <c r="AW1959" s="997"/>
      <c r="AX1959" s="997"/>
      <c r="AY1959" s="997"/>
      <c r="AZ1959" s="997"/>
      <c r="BA1959" s="997"/>
      <c r="BB1959" s="997"/>
      <c r="BC1959" s="997"/>
      <c r="BD1959" s="997"/>
      <c r="BE1959" s="997"/>
      <c r="BF1959" s="997"/>
      <c r="BG1959" s="997"/>
      <c r="BH1959" s="997"/>
      <c r="BI1959" s="997"/>
      <c r="BJ1959" s="997"/>
      <c r="BK1959" s="997"/>
      <c r="BL1959" s="997"/>
    </row>
    <row r="1960" spans="1:64">
      <c r="A1960" s="1818"/>
      <c r="B1960" s="1818"/>
      <c r="C1960" s="1817"/>
      <c r="D1960" s="1000"/>
      <c r="E1960" s="1069"/>
      <c r="F1960" s="1001"/>
      <c r="G1960" s="1015"/>
      <c r="H1960" s="1047"/>
      <c r="I1960" s="1011"/>
      <c r="J1960" s="1846"/>
      <c r="K1960" s="1846"/>
      <c r="L1960" s="1846"/>
    </row>
    <row r="1961" spans="1:64">
      <c r="A1961" s="1172"/>
      <c r="B1961" s="1172"/>
      <c r="C1961" s="1088" t="s">
        <v>1217</v>
      </c>
      <c r="D1961" s="1141" t="s">
        <v>1223</v>
      </c>
      <c r="E1961" s="1134" t="s">
        <v>1207</v>
      </c>
      <c r="F1961" s="1639" t="s">
        <v>1208</v>
      </c>
      <c r="G1961" s="1141" t="s">
        <v>1291</v>
      </c>
      <c r="H1961" s="1141" t="s">
        <v>1292</v>
      </c>
      <c r="I1961" s="1141" t="s">
        <v>1293</v>
      </c>
      <c r="J1961" s="1846"/>
      <c r="K1961" s="1846"/>
      <c r="L1961" s="1846"/>
      <c r="M1961" s="997"/>
      <c r="N1961" s="997"/>
      <c r="O1961" s="997"/>
      <c r="P1961" s="997"/>
      <c r="Q1961" s="997"/>
      <c r="R1961" s="997"/>
      <c r="S1961" s="997"/>
      <c r="T1961" s="997"/>
      <c r="U1961" s="997"/>
      <c r="V1961" s="997"/>
      <c r="W1961" s="997"/>
      <c r="X1961" s="997"/>
      <c r="Y1961" s="997"/>
      <c r="Z1961" s="997"/>
      <c r="AA1961" s="997"/>
      <c r="AB1961" s="997"/>
      <c r="AC1961" s="997"/>
      <c r="AD1961" s="997"/>
      <c r="AE1961" s="997"/>
      <c r="AF1961" s="997"/>
      <c r="AG1961" s="997"/>
      <c r="AH1961" s="997"/>
      <c r="AI1961" s="997"/>
      <c r="AJ1961" s="997"/>
      <c r="AK1961" s="997"/>
      <c r="AL1961" s="997"/>
      <c r="AM1961" s="997"/>
      <c r="AN1961" s="997"/>
      <c r="AO1961" s="997"/>
      <c r="AP1961" s="997"/>
      <c r="AQ1961" s="997"/>
      <c r="AR1961" s="997"/>
      <c r="AS1961" s="997"/>
      <c r="AT1961" s="997"/>
      <c r="AU1961" s="997"/>
      <c r="AV1961" s="997"/>
      <c r="AW1961" s="997"/>
      <c r="AX1961" s="997"/>
      <c r="AY1961" s="997"/>
      <c r="AZ1961" s="997"/>
      <c r="BA1961" s="997"/>
      <c r="BB1961" s="997"/>
      <c r="BC1961" s="997"/>
      <c r="BD1961" s="997"/>
      <c r="BE1961" s="997"/>
      <c r="BF1961" s="997"/>
      <c r="BG1961" s="997"/>
      <c r="BH1961" s="997"/>
      <c r="BI1961" s="997"/>
      <c r="BJ1961" s="997"/>
      <c r="BK1961" s="997"/>
      <c r="BL1961" s="997"/>
    </row>
    <row r="1962" spans="1:64">
      <c r="A1962" s="1058"/>
      <c r="B1962" s="1058"/>
      <c r="C1962" s="1817" t="s">
        <v>1317</v>
      </c>
      <c r="D1962" s="1062">
        <f t="shared" ref="D1962:I1962" si="463">$I$1959</f>
        <v>5301.1035000000002</v>
      </c>
      <c r="E1962" s="1062">
        <f t="shared" si="463"/>
        <v>5301.1035000000002</v>
      </c>
      <c r="F1962" s="1062">
        <f t="shared" si="463"/>
        <v>5301.1035000000002</v>
      </c>
      <c r="G1962" s="1062">
        <f t="shared" si="463"/>
        <v>5301.1035000000002</v>
      </c>
      <c r="H1962" s="1062">
        <f t="shared" si="463"/>
        <v>5301.1035000000002</v>
      </c>
      <c r="I1962" s="1062">
        <f t="shared" si="463"/>
        <v>5301.1035000000002</v>
      </c>
      <c r="J1962" s="1846"/>
      <c r="K1962" s="1846"/>
      <c r="L1962" s="1846"/>
    </row>
    <row r="1963" spans="1:64">
      <c r="A1963" s="1058"/>
      <c r="B1963" s="1058"/>
      <c r="C1963" s="1849" t="s">
        <v>1182</v>
      </c>
      <c r="D1963" s="1062">
        <f>'Civil-SOR'!$F$258</f>
        <v>72</v>
      </c>
      <c r="E1963" s="1062">
        <f>'Civil-SOR'!$F$258</f>
        <v>72</v>
      </c>
      <c r="F1963" s="1062">
        <f>'Civil-SOR'!$F$258</f>
        <v>72</v>
      </c>
      <c r="G1963" s="1062">
        <f>'Civil-SOR'!$F$258</f>
        <v>72</v>
      </c>
      <c r="H1963" s="1062">
        <f>'Civil-SOR'!$F$258</f>
        <v>72</v>
      </c>
      <c r="I1963" s="1062">
        <f>'Civil-SOR'!$F$258</f>
        <v>72</v>
      </c>
      <c r="J1963" s="1846"/>
      <c r="K1963" s="1846"/>
      <c r="L1963" s="1846"/>
    </row>
    <row r="1964" spans="1:64">
      <c r="A1964" s="1058"/>
      <c r="B1964" s="1058"/>
      <c r="C1964" s="1817" t="s">
        <v>1269</v>
      </c>
      <c r="D1964" s="1062">
        <f>'Civil-SOR'!$G$258</f>
        <v>392</v>
      </c>
      <c r="E1964" s="1062">
        <f>'Civil-SOR'!$H$258</f>
        <v>431.20000000000005</v>
      </c>
      <c r="F1964" s="1062">
        <f>'Civil-SOR'!$I$258</f>
        <v>470.4</v>
      </c>
      <c r="G1964" s="1062">
        <f>'Civil-SOR'!$J$258</f>
        <v>509.6</v>
      </c>
      <c r="H1964" s="1062">
        <f>'Civil-SOR'!$K$258</f>
        <v>548.79999999999995</v>
      </c>
      <c r="I1964" s="1062">
        <f>'Civil-SOR'!$L$258</f>
        <v>588</v>
      </c>
      <c r="J1964" s="1846"/>
      <c r="K1964" s="1846"/>
      <c r="L1964" s="1846"/>
    </row>
    <row r="1965" spans="1:64">
      <c r="A1965" s="1058"/>
      <c r="B1965" s="1058"/>
      <c r="C1965" s="1817" t="str">
        <f>Input!$C$47</f>
        <v>Add for MA @ 40%</v>
      </c>
      <c r="D1965" s="1062">
        <f>D1964*Input!$D$47</f>
        <v>156.80000000000001</v>
      </c>
      <c r="E1965" s="1062">
        <f>E1964*Input!$D$47</f>
        <v>172.48000000000002</v>
      </c>
      <c r="F1965" s="1062">
        <f>F1964*Input!$D$47</f>
        <v>188.16</v>
      </c>
      <c r="G1965" s="1062">
        <f>G1964*Input!$D$47</f>
        <v>203.84000000000003</v>
      </c>
      <c r="H1965" s="1062">
        <f>H1964*Input!$D$47</f>
        <v>219.51999999999998</v>
      </c>
      <c r="I1965" s="1062">
        <f>I1964*Input!$D$47</f>
        <v>235.20000000000002</v>
      </c>
      <c r="J1965" s="1846"/>
      <c r="K1965" s="1846"/>
      <c r="L1965" s="1846"/>
    </row>
    <row r="1966" spans="1:64">
      <c r="A1966" s="1058"/>
      <c r="B1966" s="1058"/>
      <c r="C1966" s="1817" t="s">
        <v>1253</v>
      </c>
      <c r="D1966" s="1062">
        <v>0</v>
      </c>
      <c r="E1966" s="1062">
        <f>ROUND(($F$1958)*10%,2)</f>
        <v>78.08</v>
      </c>
      <c r="F1966" s="1062">
        <f>ROUND(($F$1958)*20%,2)</f>
        <v>156.16</v>
      </c>
      <c r="G1966" s="1062">
        <f>ROUND(($F$1958)*30%,2)</f>
        <v>234.24</v>
      </c>
      <c r="H1966" s="1062">
        <f>ROUND(($F$1958)*40%,2)</f>
        <v>312.32</v>
      </c>
      <c r="I1966" s="1062">
        <f>ROUND(($F$1958)*50%,2)</f>
        <v>390.4</v>
      </c>
      <c r="J1966" s="1846"/>
      <c r="K1966" s="1846"/>
      <c r="L1966" s="1846"/>
    </row>
    <row r="1967" spans="1:64">
      <c r="A1967" s="1058"/>
      <c r="B1967" s="1058"/>
      <c r="C1967" s="1817" t="str">
        <f>Input!$C$47</f>
        <v>Add for MA @ 40%</v>
      </c>
      <c r="D1967" s="1062">
        <f>D1966*Input!$D$47</f>
        <v>0</v>
      </c>
      <c r="E1967" s="1062">
        <f>E1966*Input!$D$47</f>
        <v>31.231999999999999</v>
      </c>
      <c r="F1967" s="1062">
        <f>F1966*Input!$D$47</f>
        <v>62.463999999999999</v>
      </c>
      <c r="G1967" s="1062">
        <f>G1966*Input!$D$47</f>
        <v>93.696000000000012</v>
      </c>
      <c r="H1967" s="1062">
        <f>H1966*Input!$D$47</f>
        <v>124.928</v>
      </c>
      <c r="I1967" s="1062">
        <f>I1966*Input!$D$47</f>
        <v>156.16</v>
      </c>
      <c r="J1967" s="1846"/>
      <c r="K1967" s="1846"/>
      <c r="L1967" s="1846"/>
    </row>
    <row r="1968" spans="1:64">
      <c r="A1968" s="1058"/>
      <c r="B1968" s="1058"/>
      <c r="C1968" s="1816" t="s">
        <v>1032</v>
      </c>
      <c r="D1968" s="1062">
        <f t="shared" ref="D1968:I1968" si="464">SUM(D1962:D1967)</f>
        <v>5921.9035000000003</v>
      </c>
      <c r="E1968" s="1062">
        <f t="shared" si="464"/>
        <v>6086.0954999999994</v>
      </c>
      <c r="F1968" s="1062">
        <f t="shared" si="464"/>
        <v>6250.2874999999995</v>
      </c>
      <c r="G1968" s="1062">
        <f t="shared" si="464"/>
        <v>6414.4795000000004</v>
      </c>
      <c r="H1968" s="1062">
        <f t="shared" si="464"/>
        <v>6578.6715000000004</v>
      </c>
      <c r="I1968" s="1062">
        <f t="shared" si="464"/>
        <v>6742.8634999999995</v>
      </c>
      <c r="J1968" s="1846"/>
      <c r="K1968" s="1846"/>
      <c r="L1968" s="1846"/>
    </row>
    <row r="1969" spans="1:64">
      <c r="A1969" s="1058"/>
      <c r="B1969" s="1058"/>
      <c r="C1969" s="1817" t="str">
        <f>Input!$C$48</f>
        <v>Overheads &amp; Contractors Profit @ 13.615%</v>
      </c>
      <c r="D1969" s="1062">
        <f>ROUND(D1968*Input!$D$48,2)</f>
        <v>806.27</v>
      </c>
      <c r="E1969" s="1062">
        <f>ROUND(E1968*Input!$D$48,2)</f>
        <v>828.62</v>
      </c>
      <c r="F1969" s="1062">
        <f>ROUND(F1968*Input!$D$48,2)</f>
        <v>850.98</v>
      </c>
      <c r="G1969" s="1062">
        <f>ROUND(G1968*Input!$D$48,2)</f>
        <v>873.33</v>
      </c>
      <c r="H1969" s="1062">
        <f>ROUND(H1968*Input!$D$48,2)</f>
        <v>895.69</v>
      </c>
      <c r="I1969" s="1062">
        <f>ROUND(I1968*Input!$D$48,2)</f>
        <v>918.04</v>
      </c>
      <c r="J1969" s="1846"/>
      <c r="K1969" s="1846"/>
      <c r="L1969" s="1846"/>
    </row>
    <row r="1970" spans="1:64">
      <c r="A1970" s="1172"/>
      <c r="B1970" s="1172"/>
      <c r="C1970" s="1088" t="s">
        <v>1032</v>
      </c>
      <c r="D1970" s="1141">
        <f t="shared" ref="D1970:I1970" si="465">SUM(D1968:D1969)</f>
        <v>6728.1735000000008</v>
      </c>
      <c r="E1970" s="1141">
        <f t="shared" si="465"/>
        <v>6914.7154999999993</v>
      </c>
      <c r="F1970" s="1141">
        <f t="shared" si="465"/>
        <v>7101.2674999999999</v>
      </c>
      <c r="G1970" s="1141">
        <f t="shared" si="465"/>
        <v>7287.8095000000003</v>
      </c>
      <c r="H1970" s="1141">
        <f t="shared" si="465"/>
        <v>7474.3615000000009</v>
      </c>
      <c r="I1970" s="1141">
        <f t="shared" si="465"/>
        <v>7660.9034999999994</v>
      </c>
      <c r="J1970" s="1846"/>
      <c r="K1970" s="1846"/>
      <c r="L1970" s="1846"/>
      <c r="M1970" s="997"/>
      <c r="N1970" s="997"/>
      <c r="O1970" s="997"/>
      <c r="P1970" s="997"/>
      <c r="Q1970" s="997"/>
      <c r="R1970" s="997"/>
      <c r="S1970" s="997"/>
      <c r="T1970" s="997"/>
      <c r="U1970" s="997"/>
      <c r="V1970" s="997"/>
      <c r="W1970" s="997"/>
      <c r="X1970" s="997"/>
      <c r="Y1970" s="997"/>
      <c r="Z1970" s="997"/>
      <c r="AA1970" s="997"/>
      <c r="AB1970" s="997"/>
      <c r="AC1970" s="997"/>
      <c r="AD1970" s="997"/>
      <c r="AE1970" s="997"/>
      <c r="AF1970" s="997"/>
      <c r="AG1970" s="997"/>
      <c r="AH1970" s="997"/>
      <c r="AI1970" s="997"/>
      <c r="AJ1970" s="997"/>
      <c r="AK1970" s="997"/>
      <c r="AL1970" s="997"/>
      <c r="AM1970" s="997"/>
      <c r="AN1970" s="997"/>
      <c r="AO1970" s="997"/>
      <c r="AP1970" s="997"/>
      <c r="AQ1970" s="997"/>
      <c r="AR1970" s="997"/>
      <c r="AS1970" s="997"/>
      <c r="AT1970" s="997"/>
      <c r="AU1970" s="997"/>
      <c r="AV1970" s="997"/>
      <c r="AW1970" s="997"/>
      <c r="AX1970" s="997"/>
      <c r="AY1970" s="997"/>
      <c r="AZ1970" s="997"/>
      <c r="BA1970" s="997"/>
      <c r="BB1970" s="997"/>
      <c r="BC1970" s="997"/>
      <c r="BD1970" s="997"/>
      <c r="BE1970" s="997"/>
      <c r="BF1970" s="997"/>
      <c r="BG1970" s="997"/>
      <c r="BH1970" s="997"/>
      <c r="BI1970" s="997"/>
      <c r="BJ1970" s="997"/>
      <c r="BK1970" s="997"/>
      <c r="BL1970" s="997"/>
    </row>
    <row r="1971" spans="1:64">
      <c r="A1971" s="1172"/>
      <c r="B1971" s="1172"/>
      <c r="C1971" s="1118" t="s">
        <v>1034</v>
      </c>
      <c r="D1971" s="1134">
        <f t="shared" ref="D1971:I1971" si="466">ROUND(D1970,0)</f>
        <v>6728</v>
      </c>
      <c r="E1971" s="1134">
        <f t="shared" si="466"/>
        <v>6915</v>
      </c>
      <c r="F1971" s="1134">
        <f t="shared" si="466"/>
        <v>7101</v>
      </c>
      <c r="G1971" s="1134">
        <f t="shared" si="466"/>
        <v>7288</v>
      </c>
      <c r="H1971" s="1134">
        <f t="shared" si="466"/>
        <v>7474</v>
      </c>
      <c r="I1971" s="1134">
        <f t="shared" si="466"/>
        <v>7661</v>
      </c>
      <c r="J1971" s="1846"/>
      <c r="K1971" s="1846"/>
      <c r="L1971" s="1846"/>
      <c r="M1971" s="997"/>
      <c r="N1971" s="997"/>
      <c r="O1971" s="997"/>
      <c r="P1971" s="997"/>
      <c r="Q1971" s="997"/>
      <c r="R1971" s="997"/>
      <c r="S1971" s="997"/>
      <c r="T1971" s="997"/>
      <c r="U1971" s="997"/>
      <c r="V1971" s="997"/>
      <c r="W1971" s="997"/>
      <c r="X1971" s="997"/>
      <c r="Y1971" s="997"/>
      <c r="Z1971" s="997"/>
      <c r="AA1971" s="997"/>
      <c r="AB1971" s="997"/>
      <c r="AC1971" s="997"/>
      <c r="AD1971" s="997"/>
      <c r="AE1971" s="997"/>
      <c r="AF1971" s="997"/>
      <c r="AG1971" s="997"/>
      <c r="AH1971" s="997"/>
      <c r="AI1971" s="997"/>
      <c r="AJ1971" s="997"/>
      <c r="AK1971" s="997"/>
      <c r="AL1971" s="997"/>
      <c r="AM1971" s="997"/>
      <c r="AN1971" s="997"/>
      <c r="AO1971" s="997"/>
      <c r="AP1971" s="997"/>
      <c r="AQ1971" s="997"/>
      <c r="AR1971" s="997"/>
      <c r="AS1971" s="997"/>
      <c r="AT1971" s="997"/>
      <c r="AU1971" s="997"/>
      <c r="AV1971" s="997"/>
      <c r="AW1971" s="997"/>
      <c r="AX1971" s="997"/>
      <c r="AY1971" s="997"/>
      <c r="AZ1971" s="997"/>
      <c r="BA1971" s="997"/>
      <c r="BB1971" s="997"/>
      <c r="BC1971" s="997"/>
      <c r="BD1971" s="997"/>
      <c r="BE1971" s="997"/>
      <c r="BF1971" s="997"/>
      <c r="BG1971" s="997"/>
      <c r="BH1971" s="997"/>
      <c r="BI1971" s="997"/>
      <c r="BJ1971" s="997"/>
      <c r="BK1971" s="997"/>
      <c r="BL1971" s="997"/>
    </row>
    <row r="1972" spans="1:64">
      <c r="A1972" s="1818"/>
      <c r="B1972" s="1818"/>
      <c r="C1972" s="1816"/>
      <c r="D1972" s="1114"/>
      <c r="E1972" s="1114"/>
      <c r="F1972" s="1114"/>
      <c r="G1972" s="1114"/>
      <c r="H1972" s="1114"/>
      <c r="I1972" s="1009"/>
      <c r="J1972" s="1846"/>
      <c r="K1972" s="1846"/>
      <c r="L1972" s="1846"/>
    </row>
    <row r="1973" spans="1:64">
      <c r="A1973" s="1818"/>
      <c r="B1973" s="1818"/>
      <c r="C1973" s="1816" t="s">
        <v>1217</v>
      </c>
      <c r="D1973" s="1102" t="s">
        <v>1212</v>
      </c>
      <c r="E1973" s="1102" t="s">
        <v>1213</v>
      </c>
      <c r="F1973" s="1102" t="s">
        <v>1214</v>
      </c>
      <c r="G1973" s="1114"/>
      <c r="H1973" s="1114"/>
      <c r="I1973" s="1009"/>
      <c r="J1973" s="1846"/>
      <c r="K1973" s="1846"/>
      <c r="L1973" s="1846"/>
    </row>
    <row r="1974" spans="1:64">
      <c r="A1974" s="1818"/>
      <c r="B1974" s="1818"/>
      <c r="C1974" s="1817" t="s">
        <v>1317</v>
      </c>
      <c r="D1974" s="1062">
        <f>$I$1959</f>
        <v>5301.1035000000002</v>
      </c>
      <c r="E1974" s="1062">
        <f>$I$1959</f>
        <v>5301.1035000000002</v>
      </c>
      <c r="F1974" s="1062">
        <f>$I$1959</f>
        <v>5301.1035000000002</v>
      </c>
      <c r="G1974" s="1114"/>
      <c r="H1974" s="1114"/>
      <c r="I1974" s="1009"/>
      <c r="J1974" s="1846"/>
      <c r="K1974" s="1846"/>
      <c r="L1974" s="1846"/>
    </row>
    <row r="1975" spans="1:64">
      <c r="A1975" s="1818"/>
      <c r="B1975" s="1818"/>
      <c r="C1975" s="1849" t="s">
        <v>1182</v>
      </c>
      <c r="D1975" s="1062">
        <f>'Civil-SOR'!$F$258</f>
        <v>72</v>
      </c>
      <c r="E1975" s="1062">
        <f>'Civil-SOR'!$F$258</f>
        <v>72</v>
      </c>
      <c r="F1975" s="1062">
        <f>'Civil-SOR'!$F$258</f>
        <v>72</v>
      </c>
      <c r="G1975" s="1114"/>
      <c r="H1975" s="1114"/>
      <c r="I1975" s="1009"/>
      <c r="J1975" s="1846"/>
      <c r="K1975" s="1846"/>
      <c r="L1975" s="1846"/>
    </row>
    <row r="1976" spans="1:64">
      <c r="A1976" s="1818"/>
      <c r="B1976" s="1818"/>
      <c r="C1976" s="1817" t="s">
        <v>1269</v>
      </c>
      <c r="D1976" s="1062">
        <f>'Civil-SOR'!$M$258</f>
        <v>627.20000000000005</v>
      </c>
      <c r="E1976" s="1062">
        <f>'Civil-SOR'!$N$258</f>
        <v>666.4</v>
      </c>
      <c r="F1976" s="1062">
        <f>'Civil-SOR'!$O$258</f>
        <v>705.6</v>
      </c>
      <c r="G1976" s="1114"/>
      <c r="H1976" s="1114"/>
      <c r="I1976" s="1009"/>
      <c r="J1976" s="1846"/>
      <c r="K1976" s="1846"/>
      <c r="L1976" s="1846"/>
    </row>
    <row r="1977" spans="1:64">
      <c r="A1977" s="1818"/>
      <c r="B1977" s="1818"/>
      <c r="C1977" s="1817" t="str">
        <f>Input!$C$47</f>
        <v>Add for MA @ 40%</v>
      </c>
      <c r="D1977" s="1062">
        <f>D1976*Input!$D$47</f>
        <v>250.88000000000002</v>
      </c>
      <c r="E1977" s="1062">
        <f>E1976*Input!$D$47</f>
        <v>266.56</v>
      </c>
      <c r="F1977" s="1062">
        <f>F1976*Input!$D$47</f>
        <v>282.24</v>
      </c>
      <c r="G1977" s="1114"/>
      <c r="H1977" s="1114"/>
      <c r="I1977" s="1009"/>
      <c r="J1977" s="1846"/>
      <c r="K1977" s="1846"/>
      <c r="L1977" s="1846"/>
    </row>
    <row r="1978" spans="1:64">
      <c r="A1978" s="1818"/>
      <c r="B1978" s="1818"/>
      <c r="C1978" s="1817" t="s">
        <v>1253</v>
      </c>
      <c r="D1978" s="1062">
        <f>ROUND(($F$1958)*60%,2)</f>
        <v>468.48</v>
      </c>
      <c r="E1978" s="1062">
        <f>ROUND(($F$1958)*70%,2)</f>
        <v>546.55999999999995</v>
      </c>
      <c r="F1978" s="1062">
        <f>ROUND(($F$1958)*80%,2)</f>
        <v>624.64</v>
      </c>
      <c r="G1978" s="1114"/>
      <c r="H1978" s="1114"/>
      <c r="I1978" s="1009"/>
      <c r="J1978" s="1846"/>
      <c r="K1978" s="1846"/>
      <c r="L1978" s="1846"/>
    </row>
    <row r="1979" spans="1:64">
      <c r="A1979" s="1818"/>
      <c r="B1979" s="1818"/>
      <c r="C1979" s="1817" t="str">
        <f>Input!$C$47</f>
        <v>Add for MA @ 40%</v>
      </c>
      <c r="D1979" s="1062">
        <f>D1978*Input!$D$47</f>
        <v>187.39200000000002</v>
      </c>
      <c r="E1979" s="1062">
        <f>E1978*Input!$D$47</f>
        <v>218.624</v>
      </c>
      <c r="F1979" s="1062">
        <f>F1978*Input!$D$47</f>
        <v>249.85599999999999</v>
      </c>
      <c r="G1979" s="1114"/>
      <c r="H1979" s="1114"/>
      <c r="I1979" s="1009"/>
      <c r="J1979" s="1846"/>
      <c r="K1979" s="1846"/>
      <c r="L1979" s="1846"/>
    </row>
    <row r="1980" spans="1:64">
      <c r="A1980" s="1818"/>
      <c r="B1980" s="1818"/>
      <c r="C1980" s="1816" t="s">
        <v>1032</v>
      </c>
      <c r="D1980" s="1062">
        <f>SUM(D1974:D1979)</f>
        <v>6907.0555000000004</v>
      </c>
      <c r="E1980" s="1062">
        <f>SUM(E1974:E1979)</f>
        <v>7071.2474999999995</v>
      </c>
      <c r="F1980" s="1062">
        <f>SUM(F1974:F1979)</f>
        <v>7235.4395000000004</v>
      </c>
      <c r="G1980" s="1114"/>
      <c r="H1980" s="1114"/>
      <c r="I1980" s="1009"/>
      <c r="J1980" s="1846"/>
      <c r="K1980" s="1846"/>
      <c r="L1980" s="1846"/>
    </row>
    <row r="1981" spans="1:64">
      <c r="A1981" s="1818"/>
      <c r="B1981" s="1818"/>
      <c r="C1981" s="1817" t="str">
        <f>Input!$C$48</f>
        <v>Overheads &amp; Contractors Profit @ 13.615%</v>
      </c>
      <c r="D1981" s="1062">
        <f>ROUND(D1980*Input!$D$48,2)</f>
        <v>940.4</v>
      </c>
      <c r="E1981" s="1062">
        <f>ROUND(E1980*Input!$D$48,2)</f>
        <v>962.75</v>
      </c>
      <c r="F1981" s="1062">
        <f>ROUND(F1980*Input!$D$48,2)</f>
        <v>985.11</v>
      </c>
      <c r="G1981" s="1114"/>
      <c r="H1981" s="1114"/>
      <c r="I1981" s="1009"/>
      <c r="J1981" s="1846"/>
      <c r="K1981" s="1846"/>
      <c r="L1981" s="1846"/>
    </row>
    <row r="1982" spans="1:64">
      <c r="A1982" s="1818"/>
      <c r="B1982" s="1818"/>
      <c r="C1982" s="1816" t="s">
        <v>1032</v>
      </c>
      <c r="D1982" s="1141">
        <f>SUM(D1980:D1981)</f>
        <v>7847.4555</v>
      </c>
      <c r="E1982" s="1141">
        <f>SUM(E1980:E1981)</f>
        <v>8033.9974999999995</v>
      </c>
      <c r="F1982" s="1141">
        <f>SUM(F1980:F1981)</f>
        <v>8220.549500000001</v>
      </c>
      <c r="G1982" s="1114"/>
      <c r="H1982" s="1114"/>
      <c r="I1982" s="1009"/>
      <c r="J1982" s="1846"/>
      <c r="K1982" s="1846"/>
      <c r="L1982" s="1846"/>
    </row>
    <row r="1983" spans="1:64">
      <c r="A1983" s="1818"/>
      <c r="B1983" s="1818"/>
      <c r="C1983" s="1843" t="s">
        <v>1034</v>
      </c>
      <c r="D1983" s="1134">
        <f>ROUND(D1982,0)</f>
        <v>7847</v>
      </c>
      <c r="E1983" s="1134">
        <f>ROUND(E1982,0)</f>
        <v>8034</v>
      </c>
      <c r="F1983" s="1141">
        <f>ROUND(F1982,0)</f>
        <v>8221</v>
      </c>
      <c r="G1983" s="1114"/>
      <c r="H1983" s="1114"/>
      <c r="I1983" s="1009"/>
      <c r="J1983" s="1846"/>
      <c r="K1983" s="1846"/>
      <c r="L1983" s="1846"/>
    </row>
    <row r="1984" spans="1:64">
      <c r="A1984" s="1818"/>
      <c r="B1984" s="1818"/>
      <c r="C1984" s="1816"/>
      <c r="D1984" s="1114"/>
      <c r="E1984" s="1114"/>
      <c r="F1984" s="1114"/>
      <c r="G1984" s="1114"/>
      <c r="H1984" s="1114"/>
      <c r="I1984" s="1009"/>
      <c r="J1984" s="1846"/>
      <c r="K1984" s="1846"/>
      <c r="L1984" s="1846"/>
    </row>
    <row r="1985" spans="1:64" ht="90.95" customHeight="1">
      <c r="A1985" s="1818">
        <f>A1943+1</f>
        <v>22</v>
      </c>
      <c r="B1985" s="1818"/>
      <c r="C1985" s="2036" t="s">
        <v>3409</v>
      </c>
      <c r="D1985" s="2036"/>
      <c r="E1985" s="2036"/>
      <c r="F1985" s="2036"/>
      <c r="G1985" s="2036"/>
      <c r="H1985" s="2036"/>
      <c r="I1985" s="1825"/>
      <c r="J1985" s="1846"/>
      <c r="K1985" s="1846"/>
      <c r="L1985" s="1846"/>
    </row>
    <row r="1986" spans="1:64">
      <c r="A1986" s="1818"/>
      <c r="B1986" s="1818"/>
      <c r="C1986" s="1049" t="s">
        <v>1335</v>
      </c>
      <c r="D1986" s="1034"/>
      <c r="E1986" s="1044"/>
      <c r="F1986" s="1001"/>
      <c r="G1986" s="1015"/>
      <c r="H1986" s="1050"/>
      <c r="I1986" s="1030"/>
      <c r="J1986" s="1846"/>
      <c r="K1986" s="1846"/>
      <c r="L1986" s="1846"/>
    </row>
    <row r="1987" spans="1:64">
      <c r="A1987" s="1818"/>
      <c r="B1987" s="1818"/>
      <c r="C1987" s="1817" t="s">
        <v>1069</v>
      </c>
      <c r="D1987" s="1034"/>
      <c r="E1987" s="1044"/>
      <c r="F1987" s="1001"/>
      <c r="G1987" s="1015"/>
      <c r="H1987" s="1050"/>
      <c r="I1987" s="1030"/>
      <c r="J1987" s="1846"/>
      <c r="K1987" s="1846"/>
      <c r="L1987" s="1846"/>
    </row>
    <row r="1988" spans="1:64">
      <c r="A1988" s="1818"/>
      <c r="B1988" s="1818"/>
      <c r="C1988" s="1816" t="s">
        <v>1139</v>
      </c>
      <c r="D1988" s="1034"/>
      <c r="E1988" s="1044"/>
      <c r="F1988" s="1001"/>
      <c r="G1988" s="1015"/>
      <c r="H1988" s="1050"/>
      <c r="I1988" s="1030"/>
      <c r="J1988" s="1846"/>
      <c r="K1988" s="1846"/>
      <c r="L1988" s="1846"/>
    </row>
    <row r="1989" spans="1:64">
      <c r="A1989" s="1818"/>
      <c r="B1989" s="1818"/>
      <c r="C1989" s="1817" t="s">
        <v>889</v>
      </c>
      <c r="D1989" s="1034">
        <v>330</v>
      </c>
      <c r="E1989" s="1044" t="s">
        <v>1110</v>
      </c>
      <c r="F1989" s="1001">
        <f>LEAD!$N$6</f>
        <v>5200</v>
      </c>
      <c r="G1989" s="1015">
        <v>1000</v>
      </c>
      <c r="H1989" s="1085" t="str">
        <f t="shared" ref="H1989:H1992" si="467">IF(E1989="","",IF(E1989="No.","Each",IF(E1989="Nos.","Each",E1989)))</f>
        <v>Kgs</v>
      </c>
      <c r="I1989" s="1001">
        <f t="shared" ref="I1989:I1992" si="468">IF(G1989="",D1989*F1989,(D1989*F1989/G1989))</f>
        <v>1716</v>
      </c>
      <c r="J1989" s="1002"/>
      <c r="K1989" s="1002"/>
      <c r="L1989" s="1002"/>
      <c r="M1989" s="1003"/>
      <c r="N1989" s="1003"/>
      <c r="O1989" s="1003"/>
      <c r="P1989" s="1003"/>
      <c r="Q1989" s="1003"/>
      <c r="R1989" s="1003"/>
      <c r="S1989" s="1003"/>
      <c r="T1989" s="1003"/>
      <c r="U1989" s="1003"/>
      <c r="V1989" s="1003"/>
      <c r="W1989" s="1003"/>
      <c r="X1989" s="1003"/>
      <c r="Y1989" s="1003"/>
      <c r="Z1989" s="1003"/>
      <c r="AA1989" s="1003"/>
      <c r="AB1989" s="1003"/>
      <c r="AC1989" s="1003"/>
      <c r="AD1989" s="1003"/>
      <c r="AE1989" s="1003"/>
      <c r="AF1989" s="1003"/>
      <c r="AG1989" s="1003"/>
      <c r="AH1989" s="1003"/>
      <c r="AI1989" s="1003"/>
      <c r="AJ1989" s="1003"/>
      <c r="AK1989" s="1003"/>
      <c r="AL1989" s="1003"/>
      <c r="AM1989" s="1003"/>
      <c r="AN1989" s="1003"/>
      <c r="AO1989" s="1003"/>
      <c r="AP1989" s="1003"/>
      <c r="AQ1989" s="1003"/>
      <c r="AR1989" s="1003"/>
      <c r="AS1989" s="1003"/>
      <c r="AT1989" s="1003"/>
      <c r="AU1989" s="1003"/>
      <c r="AV1989" s="1003"/>
      <c r="AW1989" s="1003"/>
      <c r="AX1989" s="1003"/>
      <c r="AY1989" s="1003"/>
      <c r="AZ1989" s="1003"/>
      <c r="BA1989" s="1003"/>
      <c r="BB1989" s="1003"/>
      <c r="BC1989" s="1003"/>
      <c r="BD1989" s="1003"/>
      <c r="BE1989" s="1003"/>
      <c r="BF1989" s="1003"/>
      <c r="BG1989" s="1003"/>
      <c r="BH1989" s="1003"/>
      <c r="BI1989" s="1003"/>
      <c r="BJ1989" s="1003"/>
      <c r="BK1989" s="1003"/>
      <c r="BL1989" s="1003"/>
    </row>
    <row r="1990" spans="1:64">
      <c r="A1990" s="1818"/>
      <c r="B1990" s="1818"/>
      <c r="C1990" s="1817" t="s">
        <v>1171</v>
      </c>
      <c r="D1990" s="1000">
        <v>0.9</v>
      </c>
      <c r="E1990" s="1044" t="s">
        <v>484</v>
      </c>
      <c r="F1990" s="1001">
        <f>F16</f>
        <v>1447.96</v>
      </c>
      <c r="G1990" s="1015">
        <v>1</v>
      </c>
      <c r="H1990" s="1085" t="str">
        <f t="shared" si="467"/>
        <v>Cum</v>
      </c>
      <c r="I1990" s="1001">
        <f t="shared" si="468"/>
        <v>1303.164</v>
      </c>
      <c r="J1990" s="1002"/>
      <c r="K1990" s="1002"/>
      <c r="L1990" s="1002"/>
      <c r="M1990" s="1003"/>
      <c r="N1990" s="1003"/>
      <c r="O1990" s="1003"/>
      <c r="P1990" s="1003"/>
      <c r="Q1990" s="1003"/>
      <c r="R1990" s="1003"/>
      <c r="S1990" s="1003"/>
      <c r="T1990" s="1003"/>
      <c r="U1990" s="1003"/>
      <c r="V1990" s="1003"/>
      <c r="W1990" s="1003"/>
      <c r="X1990" s="1003"/>
      <c r="Y1990" s="1003"/>
      <c r="Z1990" s="1003"/>
      <c r="AA1990" s="1003"/>
      <c r="AB1990" s="1003"/>
      <c r="AC1990" s="1003"/>
      <c r="AD1990" s="1003"/>
      <c r="AE1990" s="1003"/>
      <c r="AF1990" s="1003"/>
      <c r="AG1990" s="1003"/>
      <c r="AH1990" s="1003"/>
      <c r="AI1990" s="1003"/>
      <c r="AJ1990" s="1003"/>
      <c r="AK1990" s="1003"/>
      <c r="AL1990" s="1003"/>
      <c r="AM1990" s="1003"/>
      <c r="AN1990" s="1003"/>
      <c r="AO1990" s="1003"/>
      <c r="AP1990" s="1003"/>
      <c r="AQ1990" s="1003"/>
      <c r="AR1990" s="1003"/>
      <c r="AS1990" s="1003"/>
      <c r="AT1990" s="1003"/>
      <c r="AU1990" s="1003"/>
      <c r="AV1990" s="1003"/>
      <c r="AW1990" s="1003"/>
      <c r="AX1990" s="1003"/>
      <c r="AY1990" s="1003"/>
      <c r="AZ1990" s="1003"/>
      <c r="BA1990" s="1003"/>
      <c r="BB1990" s="1003"/>
      <c r="BC1990" s="1003"/>
      <c r="BD1990" s="1003"/>
      <c r="BE1990" s="1003"/>
      <c r="BF1990" s="1003"/>
      <c r="BG1990" s="1003"/>
      <c r="BH1990" s="1003"/>
      <c r="BI1990" s="1003"/>
      <c r="BJ1990" s="1003"/>
      <c r="BK1990" s="1003"/>
      <c r="BL1990" s="1003"/>
    </row>
    <row r="1991" spans="1:64">
      <c r="A1991" s="1818"/>
      <c r="B1991" s="1818"/>
      <c r="C1991" s="1817" t="s">
        <v>1141</v>
      </c>
      <c r="D1991" s="1000">
        <v>0.45</v>
      </c>
      <c r="E1991" s="1044" t="s">
        <v>484</v>
      </c>
      <c r="F1991" s="1001">
        <f>LEAD!$N$12</f>
        <v>2253.91</v>
      </c>
      <c r="G1991" s="1015">
        <v>1</v>
      </c>
      <c r="H1991" s="1085" t="str">
        <f t="shared" si="467"/>
        <v>Cum</v>
      </c>
      <c r="I1991" s="1001">
        <f t="shared" si="468"/>
        <v>1014.2595</v>
      </c>
      <c r="J1991" s="1002"/>
      <c r="K1991" s="1002"/>
      <c r="L1991" s="1002"/>
      <c r="M1991" s="1003"/>
      <c r="N1991" s="1003"/>
      <c r="O1991" s="1003"/>
      <c r="P1991" s="1003"/>
      <c r="Q1991" s="1003"/>
      <c r="R1991" s="1003"/>
      <c r="S1991" s="1003"/>
      <c r="T1991" s="1003"/>
      <c r="U1991" s="1003"/>
      <c r="V1991" s="1003"/>
      <c r="W1991" s="1003"/>
      <c r="X1991" s="1003"/>
      <c r="Y1991" s="1003"/>
      <c r="Z1991" s="1003"/>
      <c r="AA1991" s="1003"/>
      <c r="AB1991" s="1003"/>
      <c r="AC1991" s="1003"/>
      <c r="AD1991" s="1003"/>
      <c r="AE1991" s="1003"/>
      <c r="AF1991" s="1003"/>
      <c r="AG1991" s="1003"/>
      <c r="AH1991" s="1003"/>
      <c r="AI1991" s="1003"/>
      <c r="AJ1991" s="1003"/>
      <c r="AK1991" s="1003"/>
      <c r="AL1991" s="1003"/>
      <c r="AM1991" s="1003"/>
      <c r="AN1991" s="1003"/>
      <c r="AO1991" s="1003"/>
      <c r="AP1991" s="1003"/>
      <c r="AQ1991" s="1003"/>
      <c r="AR1991" s="1003"/>
      <c r="AS1991" s="1003"/>
      <c r="AT1991" s="1003"/>
      <c r="AU1991" s="1003"/>
      <c r="AV1991" s="1003"/>
      <c r="AW1991" s="1003"/>
      <c r="AX1991" s="1003"/>
      <c r="AY1991" s="1003"/>
      <c r="AZ1991" s="1003"/>
      <c r="BA1991" s="1003"/>
      <c r="BB1991" s="1003"/>
      <c r="BC1991" s="1003"/>
      <c r="BD1991" s="1003"/>
      <c r="BE1991" s="1003"/>
      <c r="BF1991" s="1003"/>
      <c r="BG1991" s="1003"/>
      <c r="BH1991" s="1003"/>
      <c r="BI1991" s="1003"/>
      <c r="BJ1991" s="1003"/>
      <c r="BK1991" s="1003"/>
      <c r="BL1991" s="1003"/>
    </row>
    <row r="1992" spans="1:64">
      <c r="A1992" s="1818"/>
      <c r="B1992" s="1818"/>
      <c r="C1992" s="1817" t="s">
        <v>1142</v>
      </c>
      <c r="D1992" s="1000">
        <v>1.2</v>
      </c>
      <c r="E1992" s="1044" t="s">
        <v>1143</v>
      </c>
      <c r="F1992" s="1001">
        <f>Input!$D$53</f>
        <v>108</v>
      </c>
      <c r="G1992" s="1015">
        <v>1</v>
      </c>
      <c r="H1992" s="1085" t="str">
        <f t="shared" si="467"/>
        <v>kl</v>
      </c>
      <c r="I1992" s="1001">
        <f t="shared" si="468"/>
        <v>129.6</v>
      </c>
      <c r="J1992" s="1002"/>
      <c r="K1992" s="1002"/>
      <c r="L1992" s="1002"/>
      <c r="M1992" s="1003"/>
      <c r="N1992" s="1003"/>
      <c r="O1992" s="1003"/>
      <c r="P1992" s="1003"/>
      <c r="Q1992" s="1003"/>
      <c r="R1992" s="1003"/>
      <c r="S1992" s="1003"/>
      <c r="T1992" s="1003"/>
      <c r="U1992" s="1003"/>
      <c r="V1992" s="1003"/>
      <c r="W1992" s="1003"/>
      <c r="X1992" s="1003"/>
      <c r="Y1992" s="1003"/>
      <c r="Z1992" s="1003"/>
      <c r="AA1992" s="1003"/>
      <c r="AB1992" s="1003"/>
      <c r="AC1992" s="1003"/>
      <c r="AD1992" s="1003"/>
      <c r="AE1992" s="1003"/>
      <c r="AF1992" s="1003"/>
      <c r="AG1992" s="1003"/>
      <c r="AH1992" s="1003"/>
      <c r="AI1992" s="1003"/>
      <c r="AJ1992" s="1003"/>
      <c r="AK1992" s="1003"/>
      <c r="AL1992" s="1003"/>
      <c r="AM1992" s="1003"/>
      <c r="AN1992" s="1003"/>
      <c r="AO1992" s="1003"/>
      <c r="AP1992" s="1003"/>
      <c r="AQ1992" s="1003"/>
      <c r="AR1992" s="1003"/>
      <c r="AS1992" s="1003"/>
      <c r="AT1992" s="1003"/>
      <c r="AU1992" s="1003"/>
      <c r="AV1992" s="1003"/>
      <c r="AW1992" s="1003"/>
      <c r="AX1992" s="1003"/>
      <c r="AY1992" s="1003"/>
      <c r="AZ1992" s="1003"/>
      <c r="BA1992" s="1003"/>
      <c r="BB1992" s="1003"/>
      <c r="BC1992" s="1003"/>
      <c r="BD1992" s="1003"/>
      <c r="BE1992" s="1003"/>
      <c r="BF1992" s="1003"/>
      <c r="BG1992" s="1003"/>
      <c r="BH1992" s="1003"/>
      <c r="BI1992" s="1003"/>
      <c r="BJ1992" s="1003"/>
      <c r="BK1992" s="1003"/>
      <c r="BL1992" s="1003"/>
    </row>
    <row r="1993" spans="1:64">
      <c r="A1993" s="1818"/>
      <c r="B1993" s="1818"/>
      <c r="C1993" s="1816" t="s">
        <v>1144</v>
      </c>
      <c r="D1993" s="1000"/>
      <c r="E1993" s="1044"/>
      <c r="F1993" s="1001"/>
      <c r="G1993" s="1015"/>
      <c r="H1993" s="1085"/>
      <c r="I1993" s="1001"/>
      <c r="J1993" s="1002"/>
      <c r="K1993" s="1002"/>
      <c r="L1993" s="1002"/>
      <c r="M1993" s="1003"/>
      <c r="N1993" s="1003"/>
      <c r="O1993" s="1003"/>
      <c r="P1993" s="1003"/>
      <c r="Q1993" s="1003"/>
      <c r="R1993" s="1003"/>
      <c r="S1993" s="1003"/>
      <c r="T1993" s="1003"/>
      <c r="U1993" s="1003"/>
      <c r="V1993" s="1003"/>
      <c r="W1993" s="1003"/>
      <c r="X1993" s="1003"/>
      <c r="Y1993" s="1003"/>
      <c r="Z1993" s="1003"/>
      <c r="AA1993" s="1003"/>
      <c r="AB1993" s="1003"/>
      <c r="AC1993" s="1003"/>
      <c r="AD1993" s="1003"/>
      <c r="AE1993" s="1003"/>
      <c r="AF1993" s="1003"/>
      <c r="AG1993" s="1003"/>
      <c r="AH1993" s="1003"/>
      <c r="AI1993" s="1003"/>
      <c r="AJ1993" s="1003"/>
      <c r="AK1993" s="1003"/>
      <c r="AL1993" s="1003"/>
      <c r="AM1993" s="1003"/>
      <c r="AN1993" s="1003"/>
      <c r="AO1993" s="1003"/>
      <c r="AP1993" s="1003"/>
      <c r="AQ1993" s="1003"/>
      <c r="AR1993" s="1003"/>
      <c r="AS1993" s="1003"/>
      <c r="AT1993" s="1003"/>
      <c r="AU1993" s="1003"/>
      <c r="AV1993" s="1003"/>
      <c r="AW1993" s="1003"/>
      <c r="AX1993" s="1003"/>
      <c r="AY1993" s="1003"/>
      <c r="AZ1993" s="1003"/>
      <c r="BA1993" s="1003"/>
      <c r="BB1993" s="1003"/>
      <c r="BC1993" s="1003"/>
      <c r="BD1993" s="1003"/>
      <c r="BE1993" s="1003"/>
      <c r="BF1993" s="1003"/>
      <c r="BG1993" s="1003"/>
      <c r="BH1993" s="1003"/>
      <c r="BI1993" s="1003"/>
      <c r="BJ1993" s="1003"/>
      <c r="BK1993" s="1003"/>
      <c r="BL1993" s="1003"/>
    </row>
    <row r="1994" spans="1:64" ht="25.5">
      <c r="A1994" s="1818"/>
      <c r="B1994" s="1818"/>
      <c r="C1994" s="1817" t="s">
        <v>1145</v>
      </c>
      <c r="D1994" s="1000">
        <v>1</v>
      </c>
      <c r="E1994" s="1044" t="s">
        <v>400</v>
      </c>
      <c r="F1994" s="1001">
        <f>'Civil-SOR'!$G$330</f>
        <v>192.9</v>
      </c>
      <c r="G1994" s="1015">
        <v>1</v>
      </c>
      <c r="H1994" s="1015" t="str">
        <f t="shared" ref="H1994:H1995" si="469">IF(E1994="","",IF(E1994="No.","Each",IF(E1994="Nos.","Each",E1994)))</f>
        <v>hour</v>
      </c>
      <c r="I1994" s="1001">
        <f t="shared" ref="I1994:I1996" si="470">IF(G1994="",D1994*F1994,(D1994*F1994/G1994))</f>
        <v>192.9</v>
      </c>
      <c r="J1994" s="1002"/>
      <c r="K1994" s="1002"/>
      <c r="L1994" s="1002"/>
      <c r="M1994" s="1003"/>
      <c r="N1994" s="1003"/>
      <c r="O1994" s="1003"/>
      <c r="P1994" s="1003"/>
      <c r="Q1994" s="1003"/>
      <c r="R1994" s="1003"/>
      <c r="S1994" s="1003"/>
      <c r="T1994" s="1003"/>
      <c r="U1994" s="1003"/>
      <c r="V1994" s="1003"/>
      <c r="W1994" s="1003"/>
      <c r="X1994" s="1003"/>
      <c r="Y1994" s="1003"/>
      <c r="Z1994" s="1003"/>
      <c r="AA1994" s="1003"/>
      <c r="AB1994" s="1003"/>
      <c r="AC1994" s="1003"/>
      <c r="AD1994" s="1003"/>
      <c r="AE1994" s="1003"/>
      <c r="AF1994" s="1003"/>
      <c r="AG1994" s="1003"/>
      <c r="AH1994" s="1003"/>
      <c r="AI1994" s="1003"/>
      <c r="AJ1994" s="1003"/>
      <c r="AK1994" s="1003"/>
      <c r="AL1994" s="1003"/>
      <c r="AM1994" s="1003"/>
      <c r="AN1994" s="1003"/>
      <c r="AO1994" s="1003"/>
      <c r="AP1994" s="1003"/>
      <c r="AQ1994" s="1003"/>
      <c r="AR1994" s="1003"/>
      <c r="AS1994" s="1003"/>
      <c r="AT1994" s="1003"/>
      <c r="AU1994" s="1003"/>
      <c r="AV1994" s="1003"/>
      <c r="AW1994" s="1003"/>
      <c r="AX1994" s="1003"/>
      <c r="AY1994" s="1003"/>
      <c r="AZ1994" s="1003"/>
      <c r="BA1994" s="1003"/>
      <c r="BB1994" s="1003"/>
      <c r="BC1994" s="1003"/>
      <c r="BD1994" s="1003"/>
      <c r="BE1994" s="1003"/>
      <c r="BF1994" s="1003"/>
      <c r="BG1994" s="1003"/>
      <c r="BH1994" s="1003"/>
      <c r="BI1994" s="1003"/>
      <c r="BJ1994" s="1003"/>
      <c r="BK1994" s="1003"/>
      <c r="BL1994" s="1003"/>
    </row>
    <row r="1995" spans="1:64">
      <c r="A1995" s="1818"/>
      <c r="B1995" s="1818"/>
      <c r="C1995" s="1817" t="s">
        <v>579</v>
      </c>
      <c r="D1995" s="1000">
        <v>1</v>
      </c>
      <c r="E1995" s="1044" t="s">
        <v>400</v>
      </c>
      <c r="F1995" s="1001">
        <f>'Civil-SOR'!$J$330</f>
        <v>302.89999999999998</v>
      </c>
      <c r="G1995" s="1015">
        <v>1</v>
      </c>
      <c r="H1995" s="1015" t="str">
        <f t="shared" si="469"/>
        <v>hour</v>
      </c>
      <c r="I1995" s="1001">
        <f t="shared" si="470"/>
        <v>302.89999999999998</v>
      </c>
      <c r="J1995" s="1002"/>
      <c r="K1995" s="1002"/>
      <c r="L1995" s="1002"/>
      <c r="M1995" s="1003"/>
      <c r="N1995" s="1003"/>
      <c r="O1995" s="1003"/>
      <c r="P1995" s="1003"/>
      <c r="Q1995" s="1003"/>
      <c r="R1995" s="1003"/>
      <c r="S1995" s="1003"/>
      <c r="T1995" s="1003"/>
      <c r="U1995" s="1003"/>
      <c r="V1995" s="1003"/>
      <c r="W1995" s="1003"/>
      <c r="X1995" s="1003"/>
      <c r="Y1995" s="1003"/>
      <c r="Z1995" s="1003"/>
      <c r="AA1995" s="1003"/>
      <c r="AB1995" s="1003"/>
      <c r="AC1995" s="1003"/>
      <c r="AD1995" s="1003"/>
      <c r="AE1995" s="1003"/>
      <c r="AF1995" s="1003"/>
      <c r="AG1995" s="1003"/>
      <c r="AH1995" s="1003"/>
      <c r="AI1995" s="1003"/>
      <c r="AJ1995" s="1003"/>
      <c r="AK1995" s="1003"/>
      <c r="AL1995" s="1003"/>
      <c r="AM1995" s="1003"/>
      <c r="AN1995" s="1003"/>
      <c r="AO1995" s="1003"/>
      <c r="AP1995" s="1003"/>
      <c r="AQ1995" s="1003"/>
      <c r="AR1995" s="1003"/>
      <c r="AS1995" s="1003"/>
      <c r="AT1995" s="1003"/>
      <c r="AU1995" s="1003"/>
      <c r="AV1995" s="1003"/>
      <c r="AW1995" s="1003"/>
      <c r="AX1995" s="1003"/>
      <c r="AY1995" s="1003"/>
      <c r="AZ1995" s="1003"/>
      <c r="BA1995" s="1003"/>
      <c r="BB1995" s="1003"/>
      <c r="BC1995" s="1003"/>
      <c r="BD1995" s="1003"/>
      <c r="BE1995" s="1003"/>
      <c r="BF1995" s="1003"/>
      <c r="BG1995" s="1003"/>
      <c r="BH1995" s="1003"/>
      <c r="BI1995" s="1003"/>
      <c r="BJ1995" s="1003"/>
      <c r="BK1995" s="1003"/>
      <c r="BL1995" s="1003"/>
    </row>
    <row r="1996" spans="1:64">
      <c r="A1996" s="1818"/>
      <c r="B1996" s="1818"/>
      <c r="C1996" s="1817" t="s">
        <v>1085</v>
      </c>
      <c r="D1996" s="1034">
        <f>Input!$D$47</f>
        <v>0.4</v>
      </c>
      <c r="E1996" s="1044"/>
      <c r="F1996" s="1001">
        <f>I1995</f>
        <v>302.89999999999998</v>
      </c>
      <c r="G1996" s="1045"/>
      <c r="H1996" s="1044"/>
      <c r="I1996" s="1001">
        <f t="shared" si="470"/>
        <v>121.16</v>
      </c>
      <c r="J1996" s="1002"/>
      <c r="K1996" s="1002"/>
      <c r="L1996" s="1002"/>
      <c r="M1996" s="1003"/>
      <c r="N1996" s="1003"/>
      <c r="O1996" s="1003"/>
      <c r="P1996" s="1003"/>
      <c r="Q1996" s="1003"/>
      <c r="R1996" s="1003"/>
      <c r="S1996" s="1003"/>
      <c r="T1996" s="1003"/>
      <c r="U1996" s="1003"/>
      <c r="V1996" s="1003"/>
      <c r="W1996" s="1003"/>
      <c r="X1996" s="1003"/>
      <c r="Y1996" s="1003"/>
      <c r="Z1996" s="1003"/>
      <c r="AA1996" s="1003"/>
      <c r="AB1996" s="1003"/>
      <c r="AC1996" s="1003"/>
      <c r="AD1996" s="1003"/>
      <c r="AE1996" s="1003"/>
      <c r="AF1996" s="1003"/>
      <c r="AG1996" s="1003"/>
      <c r="AH1996" s="1003"/>
      <c r="AI1996" s="1003"/>
      <c r="AJ1996" s="1003"/>
      <c r="AK1996" s="1003"/>
      <c r="AL1996" s="1003"/>
      <c r="AM1996" s="1003"/>
      <c r="AN1996" s="1003"/>
      <c r="AO1996" s="1003"/>
      <c r="AP1996" s="1003"/>
      <c r="AQ1996" s="1003"/>
      <c r="AR1996" s="1003"/>
      <c r="AS1996" s="1003"/>
      <c r="AT1996" s="1003"/>
      <c r="AU1996" s="1003"/>
      <c r="AV1996" s="1003"/>
      <c r="AW1996" s="1003"/>
      <c r="AX1996" s="1003"/>
      <c r="AY1996" s="1003"/>
      <c r="AZ1996" s="1003"/>
      <c r="BA1996" s="1003"/>
      <c r="BB1996" s="1003"/>
      <c r="BC1996" s="1003"/>
      <c r="BD1996" s="1003"/>
      <c r="BE1996" s="1003"/>
      <c r="BF1996" s="1003"/>
      <c r="BG1996" s="1003"/>
      <c r="BH1996" s="1003"/>
      <c r="BI1996" s="1003"/>
      <c r="BJ1996" s="1003"/>
      <c r="BK1996" s="1003"/>
      <c r="BL1996" s="1003"/>
    </row>
    <row r="1997" spans="1:64">
      <c r="A1997" s="1818"/>
      <c r="B1997" s="1818"/>
      <c r="C1997" s="1816" t="s">
        <v>1146</v>
      </c>
      <c r="D1997" s="1000"/>
      <c r="E1997" s="1044"/>
      <c r="F1997" s="1001"/>
      <c r="G1997" s="1015"/>
      <c r="H1997" s="1085"/>
      <c r="I1997" s="1001"/>
      <c r="J1997" s="1002"/>
      <c r="K1997" s="1002"/>
      <c r="L1997" s="1002"/>
      <c r="M1997" s="1003"/>
      <c r="N1997" s="1003"/>
      <c r="O1997" s="1003"/>
      <c r="P1997" s="1003"/>
      <c r="Q1997" s="1003"/>
      <c r="R1997" s="1003"/>
      <c r="S1997" s="1003"/>
      <c r="T1997" s="1003"/>
      <c r="U1997" s="1003"/>
      <c r="V1997" s="1003"/>
      <c r="W1997" s="1003"/>
      <c r="X1997" s="1003"/>
      <c r="Y1997" s="1003"/>
      <c r="Z1997" s="1003"/>
      <c r="AA1997" s="1003"/>
      <c r="AB1997" s="1003"/>
      <c r="AC1997" s="1003"/>
      <c r="AD1997" s="1003"/>
      <c r="AE1997" s="1003"/>
      <c r="AF1997" s="1003"/>
      <c r="AG1997" s="1003"/>
      <c r="AH1997" s="1003"/>
      <c r="AI1997" s="1003"/>
      <c r="AJ1997" s="1003"/>
      <c r="AK1997" s="1003"/>
      <c r="AL1997" s="1003"/>
      <c r="AM1997" s="1003"/>
      <c r="AN1997" s="1003"/>
      <c r="AO1997" s="1003"/>
      <c r="AP1997" s="1003"/>
      <c r="AQ1997" s="1003"/>
      <c r="AR1997" s="1003"/>
      <c r="AS1997" s="1003"/>
      <c r="AT1997" s="1003"/>
      <c r="AU1997" s="1003"/>
      <c r="AV1997" s="1003"/>
      <c r="AW1997" s="1003"/>
      <c r="AX1997" s="1003"/>
      <c r="AY1997" s="1003"/>
      <c r="AZ1997" s="1003"/>
      <c r="BA1997" s="1003"/>
      <c r="BB1997" s="1003"/>
      <c r="BC1997" s="1003"/>
      <c r="BD1997" s="1003"/>
      <c r="BE1997" s="1003"/>
      <c r="BF1997" s="1003"/>
      <c r="BG1997" s="1003"/>
      <c r="BH1997" s="1003"/>
      <c r="BI1997" s="1003"/>
      <c r="BJ1997" s="1003"/>
      <c r="BK1997" s="1003"/>
      <c r="BL1997" s="1003"/>
    </row>
    <row r="1998" spans="1:64">
      <c r="A1998" s="1818"/>
      <c r="B1998" s="1818"/>
      <c r="C1998" s="1817" t="s">
        <v>1147</v>
      </c>
      <c r="D1998" s="1000">
        <v>0.1</v>
      </c>
      <c r="E1998" s="1044" t="s">
        <v>36</v>
      </c>
      <c r="F1998" s="1001">
        <f>'Civil-SOR'!$G$293</f>
        <v>580</v>
      </c>
      <c r="G1998" s="1015">
        <v>1</v>
      </c>
      <c r="H1998" s="1085" t="str">
        <f t="shared" ref="H1998:H1999" si="471">IF(E1998="","",IF(E1998="No.","Each",IF(E1998="Nos.","Each",E1998)))</f>
        <v>Each</v>
      </c>
      <c r="I1998" s="1001">
        <f t="shared" ref="I1998:I2000" si="472">IF(G1998="",D1998*F1998,(D1998*F1998/G1998))</f>
        <v>58</v>
      </c>
      <c r="J1998" s="1002"/>
      <c r="K1998" s="1002"/>
      <c r="L1998" s="1002"/>
      <c r="M1998" s="1003"/>
      <c r="N1998" s="1003"/>
      <c r="O1998" s="1003"/>
      <c r="P1998" s="1003"/>
      <c r="Q1998" s="1003"/>
      <c r="R1998" s="1003"/>
      <c r="S1998" s="1003"/>
      <c r="T1998" s="1003"/>
      <c r="U1998" s="1003"/>
      <c r="V1998" s="1003"/>
      <c r="W1998" s="1003"/>
      <c r="X1998" s="1003"/>
      <c r="Y1998" s="1003"/>
      <c r="Z1998" s="1003"/>
      <c r="AA1998" s="1003"/>
      <c r="AB1998" s="1003"/>
      <c r="AC1998" s="1003"/>
      <c r="AD1998" s="1003"/>
      <c r="AE1998" s="1003"/>
      <c r="AF1998" s="1003"/>
      <c r="AG1998" s="1003"/>
      <c r="AH1998" s="1003"/>
      <c r="AI1998" s="1003"/>
      <c r="AJ1998" s="1003"/>
      <c r="AK1998" s="1003"/>
      <c r="AL1998" s="1003"/>
      <c r="AM1998" s="1003"/>
      <c r="AN1998" s="1003"/>
      <c r="AO1998" s="1003"/>
      <c r="AP1998" s="1003"/>
      <c r="AQ1998" s="1003"/>
      <c r="AR1998" s="1003"/>
      <c r="AS1998" s="1003"/>
      <c r="AT1998" s="1003"/>
      <c r="AU1998" s="1003"/>
      <c r="AV1998" s="1003"/>
      <c r="AW1998" s="1003"/>
      <c r="AX1998" s="1003"/>
      <c r="AY1998" s="1003"/>
      <c r="AZ1998" s="1003"/>
      <c r="BA1998" s="1003"/>
      <c r="BB1998" s="1003"/>
      <c r="BC1998" s="1003"/>
      <c r="BD1998" s="1003"/>
      <c r="BE1998" s="1003"/>
      <c r="BF1998" s="1003"/>
      <c r="BG1998" s="1003"/>
      <c r="BH1998" s="1003"/>
      <c r="BI1998" s="1003"/>
      <c r="BJ1998" s="1003"/>
      <c r="BK1998" s="1003"/>
      <c r="BL1998" s="1003"/>
    </row>
    <row r="1999" spans="1:64">
      <c r="A1999" s="1818"/>
      <c r="B1999" s="1818"/>
      <c r="C1999" s="1817" t="s">
        <v>1148</v>
      </c>
      <c r="D1999" s="1000">
        <v>1.39</v>
      </c>
      <c r="E1999" s="1044" t="s">
        <v>36</v>
      </c>
      <c r="F1999" s="1001">
        <f>'Civil-SOR'!$G$307</f>
        <v>520</v>
      </c>
      <c r="G1999" s="1015">
        <v>1</v>
      </c>
      <c r="H1999" s="1085" t="str">
        <f t="shared" si="471"/>
        <v>Each</v>
      </c>
      <c r="I1999" s="1001">
        <f t="shared" si="472"/>
        <v>722.8</v>
      </c>
      <c r="J1999" s="1002"/>
      <c r="K1999" s="1002"/>
      <c r="L1999" s="1002"/>
      <c r="M1999" s="1003"/>
      <c r="N1999" s="1003"/>
      <c r="O1999" s="1003"/>
      <c r="P1999" s="1003"/>
      <c r="Q1999" s="1003"/>
      <c r="R1999" s="1003"/>
      <c r="S1999" s="1003"/>
      <c r="T1999" s="1003"/>
      <c r="U1999" s="1003"/>
      <c r="V1999" s="1003"/>
      <c r="W1999" s="1003"/>
      <c r="X1999" s="1003"/>
      <c r="Y1999" s="1003"/>
      <c r="Z1999" s="1003"/>
      <c r="AA1999" s="1003"/>
      <c r="AB1999" s="1003"/>
      <c r="AC1999" s="1003"/>
      <c r="AD1999" s="1003"/>
      <c r="AE1999" s="1003"/>
      <c r="AF1999" s="1003"/>
      <c r="AG1999" s="1003"/>
      <c r="AH1999" s="1003"/>
      <c r="AI1999" s="1003"/>
      <c r="AJ1999" s="1003"/>
      <c r="AK1999" s="1003"/>
      <c r="AL1999" s="1003"/>
      <c r="AM1999" s="1003"/>
      <c r="AN1999" s="1003"/>
      <c r="AO1999" s="1003"/>
      <c r="AP1999" s="1003"/>
      <c r="AQ1999" s="1003"/>
      <c r="AR1999" s="1003"/>
      <c r="AS1999" s="1003"/>
      <c r="AT1999" s="1003"/>
      <c r="AU1999" s="1003"/>
      <c r="AV1999" s="1003"/>
      <c r="AW1999" s="1003"/>
      <c r="AX1999" s="1003"/>
      <c r="AY1999" s="1003"/>
      <c r="AZ1999" s="1003"/>
      <c r="BA1999" s="1003"/>
      <c r="BB1999" s="1003"/>
      <c r="BC1999" s="1003"/>
      <c r="BD1999" s="1003"/>
      <c r="BE1999" s="1003"/>
      <c r="BF1999" s="1003"/>
      <c r="BG1999" s="1003"/>
      <c r="BH1999" s="1003"/>
      <c r="BI1999" s="1003"/>
      <c r="BJ1999" s="1003"/>
      <c r="BK1999" s="1003"/>
      <c r="BL1999" s="1003"/>
    </row>
    <row r="2000" spans="1:64">
      <c r="A2000" s="1818"/>
      <c r="B2000" s="1818"/>
      <c r="C2000" s="1817" t="str">
        <f>Input!$C$47</f>
        <v>Add for MA @ 40%</v>
      </c>
      <c r="D2000" s="1034">
        <f>Input!$D$47</f>
        <v>0.4</v>
      </c>
      <c r="E2000" s="1044"/>
      <c r="F2000" s="1001">
        <f>SUM(I1998:I1999)</f>
        <v>780.8</v>
      </c>
      <c r="G2000" s="1015"/>
      <c r="H2000" s="1085"/>
      <c r="I2000" s="1001">
        <f t="shared" si="472"/>
        <v>312.32</v>
      </c>
      <c r="J2000" s="1002"/>
      <c r="K2000" s="1002"/>
      <c r="L2000" s="1002"/>
      <c r="M2000" s="1003"/>
      <c r="N2000" s="1003"/>
      <c r="O2000" s="1003"/>
      <c r="P2000" s="1003"/>
      <c r="Q2000" s="1003"/>
      <c r="R2000" s="1003"/>
      <c r="S2000" s="1003"/>
      <c r="T2000" s="1003"/>
      <c r="U2000" s="1003"/>
      <c r="V2000" s="1003"/>
      <c r="W2000" s="1003"/>
      <c r="X2000" s="1003"/>
      <c r="Y2000" s="1003"/>
      <c r="Z2000" s="1003"/>
      <c r="AA2000" s="1003"/>
      <c r="AB2000" s="1003"/>
      <c r="AC2000" s="1003"/>
      <c r="AD2000" s="1003"/>
      <c r="AE2000" s="1003"/>
      <c r="AF2000" s="1003"/>
      <c r="AG2000" s="1003"/>
      <c r="AH2000" s="1003"/>
      <c r="AI2000" s="1003"/>
      <c r="AJ2000" s="1003"/>
      <c r="AK2000" s="1003"/>
      <c r="AL2000" s="1003"/>
      <c r="AM2000" s="1003"/>
      <c r="AN2000" s="1003"/>
      <c r="AO2000" s="1003"/>
      <c r="AP2000" s="1003"/>
      <c r="AQ2000" s="1003"/>
      <c r="AR2000" s="1003"/>
      <c r="AS2000" s="1003"/>
      <c r="AT2000" s="1003"/>
      <c r="AU2000" s="1003"/>
      <c r="AV2000" s="1003"/>
      <c r="AW2000" s="1003"/>
      <c r="AX2000" s="1003"/>
      <c r="AY2000" s="1003"/>
      <c r="AZ2000" s="1003"/>
      <c r="BA2000" s="1003"/>
      <c r="BB2000" s="1003"/>
      <c r="BC2000" s="1003"/>
      <c r="BD2000" s="1003"/>
      <c r="BE2000" s="1003"/>
      <c r="BF2000" s="1003"/>
      <c r="BG2000" s="1003"/>
      <c r="BH2000" s="1003"/>
      <c r="BI2000" s="1003"/>
      <c r="BJ2000" s="1003"/>
      <c r="BK2000" s="1003"/>
      <c r="BL2000" s="1003"/>
    </row>
    <row r="2001" spans="1:64">
      <c r="A2001" s="1818"/>
      <c r="B2001" s="1818"/>
      <c r="C2001" s="1817"/>
      <c r="D2001" s="1000"/>
      <c r="E2001" s="1044"/>
      <c r="F2001" s="1001"/>
      <c r="G2001" s="1015"/>
      <c r="H2001" s="1047"/>
      <c r="I2001" s="1001">
        <f>SUM(I1989:I2000)</f>
        <v>5873.1034999999993</v>
      </c>
      <c r="J2001" s="1002"/>
      <c r="K2001" s="1002"/>
      <c r="L2001" s="1002"/>
      <c r="M2001" s="1003"/>
      <c r="N2001" s="1003"/>
      <c r="O2001" s="1003"/>
      <c r="P2001" s="1003"/>
      <c r="Q2001" s="1003"/>
      <c r="R2001" s="1003"/>
      <c r="S2001" s="1003"/>
      <c r="T2001" s="1003"/>
      <c r="U2001" s="1003"/>
      <c r="V2001" s="1003"/>
      <c r="W2001" s="1003"/>
      <c r="X2001" s="1003"/>
      <c r="Y2001" s="1003"/>
      <c r="Z2001" s="1003"/>
      <c r="AA2001" s="1003"/>
      <c r="AB2001" s="1003"/>
      <c r="AC2001" s="1003"/>
      <c r="AD2001" s="1003"/>
      <c r="AE2001" s="1003"/>
      <c r="AF2001" s="1003"/>
      <c r="AG2001" s="1003"/>
      <c r="AH2001" s="1003"/>
      <c r="AI2001" s="1003"/>
      <c r="AJ2001" s="1003"/>
      <c r="AK2001" s="1003"/>
      <c r="AL2001" s="1003"/>
      <c r="AM2001" s="1003"/>
      <c r="AN2001" s="1003"/>
      <c r="AO2001" s="1003"/>
      <c r="AP2001" s="1003"/>
      <c r="AQ2001" s="1003"/>
      <c r="AR2001" s="1003"/>
      <c r="AS2001" s="1003"/>
      <c r="AT2001" s="1003"/>
      <c r="AU2001" s="1003"/>
      <c r="AV2001" s="1003"/>
      <c r="AW2001" s="1003"/>
      <c r="AX2001" s="1003"/>
      <c r="AY2001" s="1003"/>
      <c r="AZ2001" s="1003"/>
      <c r="BA2001" s="1003"/>
      <c r="BB2001" s="1003"/>
      <c r="BC2001" s="1003"/>
      <c r="BD2001" s="1003"/>
      <c r="BE2001" s="1003"/>
      <c r="BF2001" s="1003"/>
      <c r="BG2001" s="1003"/>
      <c r="BH2001" s="1003"/>
      <c r="BI2001" s="1003"/>
      <c r="BJ2001" s="1003"/>
      <c r="BK2001" s="1003"/>
      <c r="BL2001" s="1003"/>
    </row>
    <row r="2002" spans="1:64">
      <c r="A2002" s="1818"/>
      <c r="B2002" s="1818"/>
      <c r="C2002" s="1817" t="str">
        <f>Input!$C$48</f>
        <v>Overheads &amp; Contractors Profit @ 13.615%</v>
      </c>
      <c r="D2002" s="1095">
        <f>Input!$D$48</f>
        <v>0.13614999999999999</v>
      </c>
      <c r="E2002" s="1044"/>
      <c r="F2002" s="1001">
        <f>I2001</f>
        <v>5873.1034999999993</v>
      </c>
      <c r="G2002" s="1015"/>
      <c r="H2002" s="1047"/>
      <c r="I2002" s="1001">
        <f>IF(G2002="",D2002*F2002,(D2002*F2002/G2002))</f>
        <v>799.62304152499985</v>
      </c>
      <c r="J2002" s="1002"/>
      <c r="K2002" s="1002"/>
      <c r="L2002" s="1002"/>
      <c r="M2002" s="1003"/>
      <c r="N2002" s="1003"/>
      <c r="O2002" s="1003"/>
      <c r="P2002" s="1003"/>
      <c r="Q2002" s="1003"/>
      <c r="R2002" s="1003"/>
      <c r="S2002" s="1003"/>
      <c r="T2002" s="1003"/>
      <c r="U2002" s="1003"/>
      <c r="V2002" s="1003"/>
      <c r="W2002" s="1003"/>
      <c r="X2002" s="1003"/>
      <c r="Y2002" s="1003"/>
      <c r="Z2002" s="1003"/>
      <c r="AA2002" s="1003"/>
      <c r="AB2002" s="1003"/>
      <c r="AC2002" s="1003"/>
      <c r="AD2002" s="1003"/>
      <c r="AE2002" s="1003"/>
      <c r="AF2002" s="1003"/>
      <c r="AG2002" s="1003"/>
      <c r="AH2002" s="1003"/>
      <c r="AI2002" s="1003"/>
      <c r="AJ2002" s="1003"/>
      <c r="AK2002" s="1003"/>
      <c r="AL2002" s="1003"/>
      <c r="AM2002" s="1003"/>
      <c r="AN2002" s="1003"/>
      <c r="AO2002" s="1003"/>
      <c r="AP2002" s="1003"/>
      <c r="AQ2002" s="1003"/>
      <c r="AR2002" s="1003"/>
      <c r="AS2002" s="1003"/>
      <c r="AT2002" s="1003"/>
      <c r="AU2002" s="1003"/>
      <c r="AV2002" s="1003"/>
      <c r="AW2002" s="1003"/>
      <c r="AX2002" s="1003"/>
      <c r="AY2002" s="1003"/>
      <c r="AZ2002" s="1003"/>
      <c r="BA2002" s="1003"/>
      <c r="BB2002" s="1003"/>
      <c r="BC2002" s="1003"/>
      <c r="BD2002" s="1003"/>
      <c r="BE2002" s="1003"/>
      <c r="BF2002" s="1003"/>
      <c r="BG2002" s="1003"/>
      <c r="BH2002" s="1003"/>
      <c r="BI2002" s="1003"/>
      <c r="BJ2002" s="1003"/>
      <c r="BK2002" s="1003"/>
      <c r="BL2002" s="1003"/>
    </row>
    <row r="2003" spans="1:64">
      <c r="A2003" s="1086"/>
      <c r="B2003" s="1086"/>
      <c r="C2003" s="1088" t="s">
        <v>1032</v>
      </c>
      <c r="D2003" s="1089"/>
      <c r="E2003" s="1090"/>
      <c r="F2003" s="994"/>
      <c r="G2003" s="1091"/>
      <c r="H2003" s="996"/>
      <c r="I2003" s="1829">
        <f>SUM(I2001:I2002)</f>
        <v>6672.7265415249994</v>
      </c>
      <c r="J2003" s="996"/>
      <c r="K2003" s="996"/>
      <c r="L2003" s="996"/>
      <c r="M2003" s="997"/>
      <c r="N2003" s="997"/>
      <c r="O2003" s="997"/>
      <c r="P2003" s="997"/>
      <c r="Q2003" s="997"/>
      <c r="R2003" s="997"/>
      <c r="S2003" s="997"/>
      <c r="T2003" s="997"/>
      <c r="U2003" s="997"/>
      <c r="V2003" s="997"/>
      <c r="W2003" s="997"/>
      <c r="X2003" s="997"/>
      <c r="Y2003" s="997"/>
      <c r="Z2003" s="997"/>
      <c r="AA2003" s="997"/>
      <c r="AB2003" s="997"/>
      <c r="AC2003" s="997"/>
      <c r="AD2003" s="997"/>
      <c r="AE2003" s="997"/>
      <c r="AF2003" s="997"/>
      <c r="AG2003" s="997"/>
      <c r="AH2003" s="997"/>
      <c r="AI2003" s="997"/>
      <c r="AJ2003" s="997"/>
      <c r="AK2003" s="997"/>
      <c r="AL2003" s="997"/>
      <c r="AM2003" s="997"/>
      <c r="AN2003" s="997"/>
      <c r="AO2003" s="997"/>
      <c r="AP2003" s="997"/>
      <c r="AQ2003" s="997"/>
      <c r="AR2003" s="997"/>
      <c r="AS2003" s="997"/>
      <c r="AT2003" s="997"/>
      <c r="AU2003" s="997"/>
      <c r="AV2003" s="997"/>
      <c r="AW2003" s="997"/>
      <c r="AX2003" s="997"/>
      <c r="AY2003" s="997"/>
      <c r="AZ2003" s="997"/>
      <c r="BA2003" s="997"/>
      <c r="BB2003" s="997"/>
      <c r="BC2003" s="997"/>
      <c r="BD2003" s="997"/>
      <c r="BE2003" s="997"/>
      <c r="BF2003" s="997"/>
      <c r="BG2003" s="997"/>
      <c r="BH2003" s="997"/>
      <c r="BI2003" s="997"/>
      <c r="BJ2003" s="997"/>
      <c r="BK2003" s="997"/>
      <c r="BL2003" s="997"/>
    </row>
    <row r="2004" spans="1:64">
      <c r="A2004" s="1086"/>
      <c r="B2004" s="1086"/>
      <c r="C2004" s="1118" t="s">
        <v>1034</v>
      </c>
      <c r="D2004" s="1089"/>
      <c r="E2004" s="1090"/>
      <c r="F2004" s="994"/>
      <c r="G2004" s="1091"/>
      <c r="H2004" s="1092" t="s">
        <v>1034</v>
      </c>
      <c r="I2004" s="1826">
        <f>ROUND(I2003,0)</f>
        <v>6673</v>
      </c>
      <c r="J2004" s="996"/>
      <c r="K2004" s="996"/>
      <c r="L2004" s="996"/>
      <c r="M2004" s="997"/>
      <c r="N2004" s="997"/>
      <c r="O2004" s="997"/>
      <c r="P2004" s="997"/>
      <c r="Q2004" s="997"/>
      <c r="R2004" s="997"/>
      <c r="S2004" s="997"/>
      <c r="T2004" s="997"/>
      <c r="U2004" s="997"/>
      <c r="V2004" s="997"/>
      <c r="W2004" s="997"/>
      <c r="X2004" s="997"/>
      <c r="Y2004" s="997"/>
      <c r="Z2004" s="997"/>
      <c r="AA2004" s="997"/>
      <c r="AB2004" s="997"/>
      <c r="AC2004" s="997"/>
      <c r="AD2004" s="997"/>
      <c r="AE2004" s="997"/>
      <c r="AF2004" s="997"/>
      <c r="AG2004" s="997"/>
      <c r="AH2004" s="997"/>
      <c r="AI2004" s="997"/>
      <c r="AJ2004" s="997"/>
      <c r="AK2004" s="997"/>
      <c r="AL2004" s="997"/>
      <c r="AM2004" s="997"/>
      <c r="AN2004" s="997"/>
      <c r="AO2004" s="997"/>
      <c r="AP2004" s="997"/>
      <c r="AQ2004" s="997"/>
      <c r="AR2004" s="997"/>
      <c r="AS2004" s="997"/>
      <c r="AT2004" s="997"/>
      <c r="AU2004" s="997"/>
      <c r="AV2004" s="997"/>
      <c r="AW2004" s="997"/>
      <c r="AX2004" s="997"/>
      <c r="AY2004" s="997"/>
      <c r="AZ2004" s="997"/>
      <c r="BA2004" s="997"/>
      <c r="BB2004" s="997"/>
      <c r="BC2004" s="997"/>
      <c r="BD2004" s="997"/>
      <c r="BE2004" s="997"/>
      <c r="BF2004" s="997"/>
      <c r="BG2004" s="997"/>
      <c r="BH2004" s="997"/>
      <c r="BI2004" s="997"/>
      <c r="BJ2004" s="997"/>
      <c r="BK2004" s="997"/>
      <c r="BL2004" s="997"/>
    </row>
    <row r="2005" spans="1:64">
      <c r="A2005" s="1818"/>
      <c r="B2005" s="1818"/>
      <c r="C2005" s="1816"/>
      <c r="D2005" s="1114"/>
      <c r="E2005" s="1114"/>
      <c r="F2005" s="1114"/>
      <c r="G2005" s="1114"/>
      <c r="H2005" s="1114"/>
      <c r="I2005" s="1011"/>
      <c r="J2005" s="1846"/>
      <c r="K2005" s="1846"/>
      <c r="L2005" s="1846"/>
    </row>
    <row r="2006" spans="1:64" ht="81.75" customHeight="1">
      <c r="A2006" s="1818">
        <f>A1964+1</f>
        <v>1</v>
      </c>
      <c r="B2006" s="1818"/>
      <c r="C2006" s="2036" t="s">
        <v>3623</v>
      </c>
      <c r="D2006" s="2036"/>
      <c r="E2006" s="2036"/>
      <c r="F2006" s="2036"/>
      <c r="G2006" s="2036"/>
      <c r="H2006" s="2036"/>
      <c r="I2006" s="1825"/>
      <c r="J2006" s="1846"/>
      <c r="K2006" s="1846"/>
      <c r="L2006" s="1846"/>
    </row>
    <row r="2007" spans="1:64">
      <c r="A2007" s="1818"/>
      <c r="B2007" s="1818"/>
      <c r="C2007" s="1049" t="s">
        <v>1335</v>
      </c>
      <c r="D2007" s="1034"/>
      <c r="E2007" s="1044"/>
      <c r="F2007" s="1001"/>
      <c r="G2007" s="1015"/>
      <c r="H2007" s="1050"/>
      <c r="I2007" s="1030"/>
      <c r="J2007" s="1846"/>
      <c r="K2007" s="1846"/>
      <c r="L2007" s="1846"/>
    </row>
    <row r="2008" spans="1:64">
      <c r="A2008" s="1818"/>
      <c r="B2008" s="1818"/>
      <c r="C2008" s="1817" t="s">
        <v>1069</v>
      </c>
      <c r="D2008" s="1034"/>
      <c r="E2008" s="1044"/>
      <c r="F2008" s="1001"/>
      <c r="G2008" s="1015"/>
      <c r="H2008" s="1050"/>
      <c r="I2008" s="1030"/>
      <c r="J2008" s="1846"/>
      <c r="K2008" s="1846"/>
      <c r="L2008" s="1846"/>
    </row>
    <row r="2009" spans="1:64">
      <c r="A2009" s="1818"/>
      <c r="B2009" s="1818"/>
      <c r="C2009" s="1816" t="s">
        <v>1139</v>
      </c>
      <c r="D2009" s="1034"/>
      <c r="E2009" s="1044"/>
      <c r="F2009" s="1001"/>
      <c r="G2009" s="1015"/>
      <c r="H2009" s="1050"/>
      <c r="I2009" s="1030"/>
      <c r="J2009" s="1846"/>
      <c r="K2009" s="1846"/>
      <c r="L2009" s="1846"/>
    </row>
    <row r="2010" spans="1:64">
      <c r="A2010" s="1818"/>
      <c r="B2010" s="1818"/>
      <c r="C2010" s="1817" t="s">
        <v>889</v>
      </c>
      <c r="D2010" s="1034">
        <v>330</v>
      </c>
      <c r="E2010" s="1044" t="s">
        <v>1110</v>
      </c>
      <c r="F2010" s="1001">
        <f>LEAD!$N$6</f>
        <v>5200</v>
      </c>
      <c r="G2010" s="1015">
        <v>1000</v>
      </c>
      <c r="H2010" s="1085" t="str">
        <f t="shared" ref="H2010:H2013" si="473">IF(E2010="","",IF(E2010="No.","Each",IF(E2010="Nos.","Each",E2010)))</f>
        <v>Kgs</v>
      </c>
      <c r="I2010" s="1001">
        <f t="shared" ref="I2010:I2013" si="474">IF(G2010="",D2010*F2010,(D2010*F2010/G2010))</f>
        <v>1716</v>
      </c>
      <c r="J2010" s="1002"/>
      <c r="K2010" s="1002"/>
      <c r="L2010" s="1002"/>
      <c r="M2010" s="1003"/>
      <c r="N2010" s="1003"/>
      <c r="O2010" s="1003"/>
      <c r="P2010" s="1003"/>
      <c r="Q2010" s="1003"/>
      <c r="R2010" s="1003"/>
      <c r="S2010" s="1003"/>
      <c r="T2010" s="1003"/>
      <c r="U2010" s="1003"/>
      <c r="V2010" s="1003"/>
      <c r="W2010" s="1003"/>
      <c r="X2010" s="1003"/>
      <c r="Y2010" s="1003"/>
      <c r="Z2010" s="1003"/>
      <c r="AA2010" s="1003"/>
      <c r="AB2010" s="1003"/>
      <c r="AC2010" s="1003"/>
      <c r="AD2010" s="1003"/>
      <c r="AE2010" s="1003"/>
      <c r="AF2010" s="1003"/>
      <c r="AG2010" s="1003"/>
      <c r="AH2010" s="1003"/>
      <c r="AI2010" s="1003"/>
      <c r="AJ2010" s="1003"/>
      <c r="AK2010" s="1003"/>
      <c r="AL2010" s="1003"/>
      <c r="AM2010" s="1003"/>
      <c r="AN2010" s="1003"/>
      <c r="AO2010" s="1003"/>
      <c r="AP2010" s="1003"/>
      <c r="AQ2010" s="1003"/>
      <c r="AR2010" s="1003"/>
      <c r="AS2010" s="1003"/>
      <c r="AT2010" s="1003"/>
      <c r="AU2010" s="1003"/>
      <c r="AV2010" s="1003"/>
      <c r="AW2010" s="1003"/>
      <c r="AX2010" s="1003"/>
      <c r="AY2010" s="1003"/>
      <c r="AZ2010" s="1003"/>
      <c r="BA2010" s="1003"/>
      <c r="BB2010" s="1003"/>
      <c r="BC2010" s="1003"/>
      <c r="BD2010" s="1003"/>
      <c r="BE2010" s="1003"/>
      <c r="BF2010" s="1003"/>
      <c r="BG2010" s="1003"/>
      <c r="BH2010" s="1003"/>
      <c r="BI2010" s="1003"/>
      <c r="BJ2010" s="1003"/>
      <c r="BK2010" s="1003"/>
      <c r="BL2010" s="1003"/>
    </row>
    <row r="2011" spans="1:64">
      <c r="A2011" s="1818"/>
      <c r="B2011" s="1818"/>
      <c r="C2011" s="1817" t="s">
        <v>1171</v>
      </c>
      <c r="D2011" s="1000">
        <v>0.9</v>
      </c>
      <c r="E2011" s="1044" t="s">
        <v>484</v>
      </c>
      <c r="F2011" s="1001">
        <f>F1990</f>
        <v>1447.96</v>
      </c>
      <c r="G2011" s="1015">
        <v>1</v>
      </c>
      <c r="H2011" s="1085" t="str">
        <f t="shared" si="473"/>
        <v>Cum</v>
      </c>
      <c r="I2011" s="1001">
        <f t="shared" si="474"/>
        <v>1303.164</v>
      </c>
      <c r="J2011" s="1002"/>
      <c r="K2011" s="1002"/>
      <c r="L2011" s="1002"/>
      <c r="M2011" s="1003"/>
      <c r="N2011" s="1003"/>
      <c r="O2011" s="1003"/>
      <c r="P2011" s="1003"/>
      <c r="Q2011" s="1003"/>
      <c r="R2011" s="1003"/>
      <c r="S2011" s="1003"/>
      <c r="T2011" s="1003"/>
      <c r="U2011" s="1003"/>
      <c r="V2011" s="1003"/>
      <c r="W2011" s="1003"/>
      <c r="X2011" s="1003"/>
      <c r="Y2011" s="1003"/>
      <c r="Z2011" s="1003"/>
      <c r="AA2011" s="1003"/>
      <c r="AB2011" s="1003"/>
      <c r="AC2011" s="1003"/>
      <c r="AD2011" s="1003"/>
      <c r="AE2011" s="1003"/>
      <c r="AF2011" s="1003"/>
      <c r="AG2011" s="1003"/>
      <c r="AH2011" s="1003"/>
      <c r="AI2011" s="1003"/>
      <c r="AJ2011" s="1003"/>
      <c r="AK2011" s="1003"/>
      <c r="AL2011" s="1003"/>
      <c r="AM2011" s="1003"/>
      <c r="AN2011" s="1003"/>
      <c r="AO2011" s="1003"/>
      <c r="AP2011" s="1003"/>
      <c r="AQ2011" s="1003"/>
      <c r="AR2011" s="1003"/>
      <c r="AS2011" s="1003"/>
      <c r="AT2011" s="1003"/>
      <c r="AU2011" s="1003"/>
      <c r="AV2011" s="1003"/>
      <c r="AW2011" s="1003"/>
      <c r="AX2011" s="1003"/>
      <c r="AY2011" s="1003"/>
      <c r="AZ2011" s="1003"/>
      <c r="BA2011" s="1003"/>
      <c r="BB2011" s="1003"/>
      <c r="BC2011" s="1003"/>
      <c r="BD2011" s="1003"/>
      <c r="BE2011" s="1003"/>
      <c r="BF2011" s="1003"/>
      <c r="BG2011" s="1003"/>
      <c r="BH2011" s="1003"/>
      <c r="BI2011" s="1003"/>
      <c r="BJ2011" s="1003"/>
      <c r="BK2011" s="1003"/>
      <c r="BL2011" s="1003"/>
    </row>
    <row r="2012" spans="1:64">
      <c r="A2012" s="1818"/>
      <c r="B2012" s="1818"/>
      <c r="C2012" s="1817" t="s">
        <v>1141</v>
      </c>
      <c r="D2012" s="1000">
        <v>0.45</v>
      </c>
      <c r="E2012" s="1044" t="s">
        <v>484</v>
      </c>
      <c r="F2012" s="1001">
        <f>LEAD!$N$12</f>
        <v>2253.91</v>
      </c>
      <c r="G2012" s="1015">
        <v>1</v>
      </c>
      <c r="H2012" s="1085" t="str">
        <f t="shared" si="473"/>
        <v>Cum</v>
      </c>
      <c r="I2012" s="1001">
        <f t="shared" si="474"/>
        <v>1014.2595</v>
      </c>
      <c r="J2012" s="1002"/>
      <c r="K2012" s="1002"/>
      <c r="L2012" s="1002"/>
      <c r="M2012" s="1003"/>
      <c r="N2012" s="1003"/>
      <c r="O2012" s="1003"/>
      <c r="P2012" s="1003"/>
      <c r="Q2012" s="1003"/>
      <c r="R2012" s="1003"/>
      <c r="S2012" s="1003"/>
      <c r="T2012" s="1003"/>
      <c r="U2012" s="1003"/>
      <c r="V2012" s="1003"/>
      <c r="W2012" s="1003"/>
      <c r="X2012" s="1003"/>
      <c r="Y2012" s="1003"/>
      <c r="Z2012" s="1003"/>
      <c r="AA2012" s="1003"/>
      <c r="AB2012" s="1003"/>
      <c r="AC2012" s="1003"/>
      <c r="AD2012" s="1003"/>
      <c r="AE2012" s="1003"/>
      <c r="AF2012" s="1003"/>
      <c r="AG2012" s="1003"/>
      <c r="AH2012" s="1003"/>
      <c r="AI2012" s="1003"/>
      <c r="AJ2012" s="1003"/>
      <c r="AK2012" s="1003"/>
      <c r="AL2012" s="1003"/>
      <c r="AM2012" s="1003"/>
      <c r="AN2012" s="1003"/>
      <c r="AO2012" s="1003"/>
      <c r="AP2012" s="1003"/>
      <c r="AQ2012" s="1003"/>
      <c r="AR2012" s="1003"/>
      <c r="AS2012" s="1003"/>
      <c r="AT2012" s="1003"/>
      <c r="AU2012" s="1003"/>
      <c r="AV2012" s="1003"/>
      <c r="AW2012" s="1003"/>
      <c r="AX2012" s="1003"/>
      <c r="AY2012" s="1003"/>
      <c r="AZ2012" s="1003"/>
      <c r="BA2012" s="1003"/>
      <c r="BB2012" s="1003"/>
      <c r="BC2012" s="1003"/>
      <c r="BD2012" s="1003"/>
      <c r="BE2012" s="1003"/>
      <c r="BF2012" s="1003"/>
      <c r="BG2012" s="1003"/>
      <c r="BH2012" s="1003"/>
      <c r="BI2012" s="1003"/>
      <c r="BJ2012" s="1003"/>
      <c r="BK2012" s="1003"/>
      <c r="BL2012" s="1003"/>
    </row>
    <row r="2013" spans="1:64">
      <c r="A2013" s="1818"/>
      <c r="B2013" s="1818"/>
      <c r="C2013" s="1817" t="s">
        <v>1142</v>
      </c>
      <c r="D2013" s="1000">
        <v>1.2</v>
      </c>
      <c r="E2013" s="1044" t="s">
        <v>1143</v>
      </c>
      <c r="F2013" s="1001">
        <f>Input!$D$53</f>
        <v>108</v>
      </c>
      <c r="G2013" s="1015">
        <v>1</v>
      </c>
      <c r="H2013" s="1085" t="str">
        <f t="shared" si="473"/>
        <v>kl</v>
      </c>
      <c r="I2013" s="1001">
        <f t="shared" si="474"/>
        <v>129.6</v>
      </c>
      <c r="J2013" s="1002"/>
      <c r="K2013" s="1002"/>
      <c r="L2013" s="1002"/>
      <c r="M2013" s="1003"/>
      <c r="N2013" s="1003"/>
      <c r="O2013" s="1003"/>
      <c r="P2013" s="1003"/>
      <c r="Q2013" s="1003"/>
      <c r="R2013" s="1003"/>
      <c r="S2013" s="1003"/>
      <c r="T2013" s="1003"/>
      <c r="U2013" s="1003"/>
      <c r="V2013" s="1003"/>
      <c r="W2013" s="1003"/>
      <c r="X2013" s="1003"/>
      <c r="Y2013" s="1003"/>
      <c r="Z2013" s="1003"/>
      <c r="AA2013" s="1003"/>
      <c r="AB2013" s="1003"/>
      <c r="AC2013" s="1003"/>
      <c r="AD2013" s="1003"/>
      <c r="AE2013" s="1003"/>
      <c r="AF2013" s="1003"/>
      <c r="AG2013" s="1003"/>
      <c r="AH2013" s="1003"/>
      <c r="AI2013" s="1003"/>
      <c r="AJ2013" s="1003"/>
      <c r="AK2013" s="1003"/>
      <c r="AL2013" s="1003"/>
      <c r="AM2013" s="1003"/>
      <c r="AN2013" s="1003"/>
      <c r="AO2013" s="1003"/>
      <c r="AP2013" s="1003"/>
      <c r="AQ2013" s="1003"/>
      <c r="AR2013" s="1003"/>
      <c r="AS2013" s="1003"/>
      <c r="AT2013" s="1003"/>
      <c r="AU2013" s="1003"/>
      <c r="AV2013" s="1003"/>
      <c r="AW2013" s="1003"/>
      <c r="AX2013" s="1003"/>
      <c r="AY2013" s="1003"/>
      <c r="AZ2013" s="1003"/>
      <c r="BA2013" s="1003"/>
      <c r="BB2013" s="1003"/>
      <c r="BC2013" s="1003"/>
      <c r="BD2013" s="1003"/>
      <c r="BE2013" s="1003"/>
      <c r="BF2013" s="1003"/>
      <c r="BG2013" s="1003"/>
      <c r="BH2013" s="1003"/>
      <c r="BI2013" s="1003"/>
      <c r="BJ2013" s="1003"/>
      <c r="BK2013" s="1003"/>
      <c r="BL2013" s="1003"/>
    </row>
    <row r="2014" spans="1:64">
      <c r="A2014" s="1818"/>
      <c r="B2014" s="1818"/>
      <c r="C2014" s="1816" t="s">
        <v>1144</v>
      </c>
      <c r="D2014" s="1000"/>
      <c r="E2014" s="1044"/>
      <c r="F2014" s="1001"/>
      <c r="G2014" s="1015"/>
      <c r="H2014" s="1085"/>
      <c r="I2014" s="1001"/>
      <c r="J2014" s="1002"/>
      <c r="K2014" s="1002"/>
      <c r="L2014" s="1002"/>
      <c r="M2014" s="1003"/>
      <c r="N2014" s="1003"/>
      <c r="O2014" s="1003"/>
      <c r="P2014" s="1003"/>
      <c r="Q2014" s="1003"/>
      <c r="R2014" s="1003"/>
      <c r="S2014" s="1003"/>
      <c r="T2014" s="1003"/>
      <c r="U2014" s="1003"/>
      <c r="V2014" s="1003"/>
      <c r="W2014" s="1003"/>
      <c r="X2014" s="1003"/>
      <c r="Y2014" s="1003"/>
      <c r="Z2014" s="1003"/>
      <c r="AA2014" s="1003"/>
      <c r="AB2014" s="1003"/>
      <c r="AC2014" s="1003"/>
      <c r="AD2014" s="1003"/>
      <c r="AE2014" s="1003"/>
      <c r="AF2014" s="1003"/>
      <c r="AG2014" s="1003"/>
      <c r="AH2014" s="1003"/>
      <c r="AI2014" s="1003"/>
      <c r="AJ2014" s="1003"/>
      <c r="AK2014" s="1003"/>
      <c r="AL2014" s="1003"/>
      <c r="AM2014" s="1003"/>
      <c r="AN2014" s="1003"/>
      <c r="AO2014" s="1003"/>
      <c r="AP2014" s="1003"/>
      <c r="AQ2014" s="1003"/>
      <c r="AR2014" s="1003"/>
      <c r="AS2014" s="1003"/>
      <c r="AT2014" s="1003"/>
      <c r="AU2014" s="1003"/>
      <c r="AV2014" s="1003"/>
      <c r="AW2014" s="1003"/>
      <c r="AX2014" s="1003"/>
      <c r="AY2014" s="1003"/>
      <c r="AZ2014" s="1003"/>
      <c r="BA2014" s="1003"/>
      <c r="BB2014" s="1003"/>
      <c r="BC2014" s="1003"/>
      <c r="BD2014" s="1003"/>
      <c r="BE2014" s="1003"/>
      <c r="BF2014" s="1003"/>
      <c r="BG2014" s="1003"/>
      <c r="BH2014" s="1003"/>
      <c r="BI2014" s="1003"/>
      <c r="BJ2014" s="1003"/>
      <c r="BK2014" s="1003"/>
      <c r="BL2014" s="1003"/>
    </row>
    <row r="2015" spans="1:64" ht="25.5">
      <c r="A2015" s="1818"/>
      <c r="B2015" s="1818"/>
      <c r="C2015" s="1817" t="s">
        <v>1145</v>
      </c>
      <c r="D2015" s="1000">
        <v>1</v>
      </c>
      <c r="E2015" s="1044" t="s">
        <v>400</v>
      </c>
      <c r="F2015" s="1001">
        <f>'Civil-SOR'!$G$330</f>
        <v>192.9</v>
      </c>
      <c r="G2015" s="1015">
        <v>1</v>
      </c>
      <c r="H2015" s="1015" t="str">
        <f t="shared" ref="H2015:H2016" si="475">IF(E2015="","",IF(E2015="No.","Each",IF(E2015="Nos.","Each",E2015)))</f>
        <v>hour</v>
      </c>
      <c r="I2015" s="1001">
        <f t="shared" ref="I2015:I2017" si="476">IF(G2015="",D2015*F2015,(D2015*F2015/G2015))</f>
        <v>192.9</v>
      </c>
      <c r="J2015" s="1002"/>
      <c r="K2015" s="1002"/>
      <c r="L2015" s="1002"/>
      <c r="M2015" s="1003"/>
      <c r="N2015" s="1003"/>
      <c r="O2015" s="1003"/>
      <c r="P2015" s="1003"/>
      <c r="Q2015" s="1003"/>
      <c r="R2015" s="1003"/>
      <c r="S2015" s="1003"/>
      <c r="T2015" s="1003"/>
      <c r="U2015" s="1003"/>
      <c r="V2015" s="1003"/>
      <c r="W2015" s="1003"/>
      <c r="X2015" s="1003"/>
      <c r="Y2015" s="1003"/>
      <c r="Z2015" s="1003"/>
      <c r="AA2015" s="1003"/>
      <c r="AB2015" s="1003"/>
      <c r="AC2015" s="1003"/>
      <c r="AD2015" s="1003"/>
      <c r="AE2015" s="1003"/>
      <c r="AF2015" s="1003"/>
      <c r="AG2015" s="1003"/>
      <c r="AH2015" s="1003"/>
      <c r="AI2015" s="1003"/>
      <c r="AJ2015" s="1003"/>
      <c r="AK2015" s="1003"/>
      <c r="AL2015" s="1003"/>
      <c r="AM2015" s="1003"/>
      <c r="AN2015" s="1003"/>
      <c r="AO2015" s="1003"/>
      <c r="AP2015" s="1003"/>
      <c r="AQ2015" s="1003"/>
      <c r="AR2015" s="1003"/>
      <c r="AS2015" s="1003"/>
      <c r="AT2015" s="1003"/>
      <c r="AU2015" s="1003"/>
      <c r="AV2015" s="1003"/>
      <c r="AW2015" s="1003"/>
      <c r="AX2015" s="1003"/>
      <c r="AY2015" s="1003"/>
      <c r="AZ2015" s="1003"/>
      <c r="BA2015" s="1003"/>
      <c r="BB2015" s="1003"/>
      <c r="BC2015" s="1003"/>
      <c r="BD2015" s="1003"/>
      <c r="BE2015" s="1003"/>
      <c r="BF2015" s="1003"/>
      <c r="BG2015" s="1003"/>
      <c r="BH2015" s="1003"/>
      <c r="BI2015" s="1003"/>
      <c r="BJ2015" s="1003"/>
      <c r="BK2015" s="1003"/>
      <c r="BL2015" s="1003"/>
    </row>
    <row r="2016" spans="1:64">
      <c r="A2016" s="1818"/>
      <c r="B2016" s="1818"/>
      <c r="C2016" s="1817" t="s">
        <v>579</v>
      </c>
      <c r="D2016" s="1000">
        <v>1</v>
      </c>
      <c r="E2016" s="1044" t="s">
        <v>400</v>
      </c>
      <c r="F2016" s="1001">
        <f>'Civil-SOR'!$J$330</f>
        <v>302.89999999999998</v>
      </c>
      <c r="G2016" s="1015">
        <v>1</v>
      </c>
      <c r="H2016" s="1015" t="str">
        <f t="shared" si="475"/>
        <v>hour</v>
      </c>
      <c r="I2016" s="1001">
        <f t="shared" si="476"/>
        <v>302.89999999999998</v>
      </c>
      <c r="J2016" s="1002"/>
      <c r="K2016" s="1002"/>
      <c r="L2016" s="1002"/>
      <c r="M2016" s="1003"/>
      <c r="N2016" s="1003"/>
      <c r="O2016" s="1003"/>
      <c r="P2016" s="1003"/>
      <c r="Q2016" s="1003"/>
      <c r="R2016" s="1003"/>
      <c r="S2016" s="1003"/>
      <c r="T2016" s="1003"/>
      <c r="U2016" s="1003"/>
      <c r="V2016" s="1003"/>
      <c r="W2016" s="1003"/>
      <c r="X2016" s="1003"/>
      <c r="Y2016" s="1003"/>
      <c r="Z2016" s="1003"/>
      <c r="AA2016" s="1003"/>
      <c r="AB2016" s="1003"/>
      <c r="AC2016" s="1003"/>
      <c r="AD2016" s="1003"/>
      <c r="AE2016" s="1003"/>
      <c r="AF2016" s="1003"/>
      <c r="AG2016" s="1003"/>
      <c r="AH2016" s="1003"/>
      <c r="AI2016" s="1003"/>
      <c r="AJ2016" s="1003"/>
      <c r="AK2016" s="1003"/>
      <c r="AL2016" s="1003"/>
      <c r="AM2016" s="1003"/>
      <c r="AN2016" s="1003"/>
      <c r="AO2016" s="1003"/>
      <c r="AP2016" s="1003"/>
      <c r="AQ2016" s="1003"/>
      <c r="AR2016" s="1003"/>
      <c r="AS2016" s="1003"/>
      <c r="AT2016" s="1003"/>
      <c r="AU2016" s="1003"/>
      <c r="AV2016" s="1003"/>
      <c r="AW2016" s="1003"/>
      <c r="AX2016" s="1003"/>
      <c r="AY2016" s="1003"/>
      <c r="AZ2016" s="1003"/>
      <c r="BA2016" s="1003"/>
      <c r="BB2016" s="1003"/>
      <c r="BC2016" s="1003"/>
      <c r="BD2016" s="1003"/>
      <c r="BE2016" s="1003"/>
      <c r="BF2016" s="1003"/>
      <c r="BG2016" s="1003"/>
      <c r="BH2016" s="1003"/>
      <c r="BI2016" s="1003"/>
      <c r="BJ2016" s="1003"/>
      <c r="BK2016" s="1003"/>
      <c r="BL2016" s="1003"/>
    </row>
    <row r="2017" spans="1:64">
      <c r="A2017" s="1818"/>
      <c r="B2017" s="1818"/>
      <c r="C2017" s="1817" t="s">
        <v>1085</v>
      </c>
      <c r="D2017" s="1034">
        <f>Input!$D$47</f>
        <v>0.4</v>
      </c>
      <c r="E2017" s="1044"/>
      <c r="F2017" s="1001">
        <f>I2016</f>
        <v>302.89999999999998</v>
      </c>
      <c r="G2017" s="1045"/>
      <c r="H2017" s="1044"/>
      <c r="I2017" s="1001">
        <f t="shared" si="476"/>
        <v>121.16</v>
      </c>
      <c r="J2017" s="1002"/>
      <c r="K2017" s="1002"/>
      <c r="L2017" s="1002"/>
      <c r="M2017" s="1003"/>
      <c r="N2017" s="1003"/>
      <c r="O2017" s="1003"/>
      <c r="P2017" s="1003"/>
      <c r="Q2017" s="1003"/>
      <c r="R2017" s="1003"/>
      <c r="S2017" s="1003"/>
      <c r="T2017" s="1003"/>
      <c r="U2017" s="1003"/>
      <c r="V2017" s="1003"/>
      <c r="W2017" s="1003"/>
      <c r="X2017" s="1003"/>
      <c r="Y2017" s="1003"/>
      <c r="Z2017" s="1003"/>
      <c r="AA2017" s="1003"/>
      <c r="AB2017" s="1003"/>
      <c r="AC2017" s="1003"/>
      <c r="AD2017" s="1003"/>
      <c r="AE2017" s="1003"/>
      <c r="AF2017" s="1003"/>
      <c r="AG2017" s="1003"/>
      <c r="AH2017" s="1003"/>
      <c r="AI2017" s="1003"/>
      <c r="AJ2017" s="1003"/>
      <c r="AK2017" s="1003"/>
      <c r="AL2017" s="1003"/>
      <c r="AM2017" s="1003"/>
      <c r="AN2017" s="1003"/>
      <c r="AO2017" s="1003"/>
      <c r="AP2017" s="1003"/>
      <c r="AQ2017" s="1003"/>
      <c r="AR2017" s="1003"/>
      <c r="AS2017" s="1003"/>
      <c r="AT2017" s="1003"/>
      <c r="AU2017" s="1003"/>
      <c r="AV2017" s="1003"/>
      <c r="AW2017" s="1003"/>
      <c r="AX2017" s="1003"/>
      <c r="AY2017" s="1003"/>
      <c r="AZ2017" s="1003"/>
      <c r="BA2017" s="1003"/>
      <c r="BB2017" s="1003"/>
      <c r="BC2017" s="1003"/>
      <c r="BD2017" s="1003"/>
      <c r="BE2017" s="1003"/>
      <c r="BF2017" s="1003"/>
      <c r="BG2017" s="1003"/>
      <c r="BH2017" s="1003"/>
      <c r="BI2017" s="1003"/>
      <c r="BJ2017" s="1003"/>
      <c r="BK2017" s="1003"/>
      <c r="BL2017" s="1003"/>
    </row>
    <row r="2018" spans="1:64">
      <c r="A2018" s="1818"/>
      <c r="B2018" s="1818"/>
      <c r="C2018" s="1816" t="s">
        <v>1146</v>
      </c>
      <c r="D2018" s="1000"/>
      <c r="E2018" s="1044"/>
      <c r="F2018" s="1001"/>
      <c r="G2018" s="1015"/>
      <c r="H2018" s="1085"/>
      <c r="I2018" s="1001"/>
      <c r="J2018" s="1002"/>
      <c r="K2018" s="1002"/>
      <c r="L2018" s="1002"/>
      <c r="M2018" s="1003"/>
      <c r="N2018" s="1003"/>
      <c r="O2018" s="1003"/>
      <c r="P2018" s="1003"/>
      <c r="Q2018" s="1003"/>
      <c r="R2018" s="1003"/>
      <c r="S2018" s="1003"/>
      <c r="T2018" s="1003"/>
      <c r="U2018" s="1003"/>
      <c r="V2018" s="1003"/>
      <c r="W2018" s="1003"/>
      <c r="X2018" s="1003"/>
      <c r="Y2018" s="1003"/>
      <c r="Z2018" s="1003"/>
      <c r="AA2018" s="1003"/>
      <c r="AB2018" s="1003"/>
      <c r="AC2018" s="1003"/>
      <c r="AD2018" s="1003"/>
      <c r="AE2018" s="1003"/>
      <c r="AF2018" s="1003"/>
      <c r="AG2018" s="1003"/>
      <c r="AH2018" s="1003"/>
      <c r="AI2018" s="1003"/>
      <c r="AJ2018" s="1003"/>
      <c r="AK2018" s="1003"/>
      <c r="AL2018" s="1003"/>
      <c r="AM2018" s="1003"/>
      <c r="AN2018" s="1003"/>
      <c r="AO2018" s="1003"/>
      <c r="AP2018" s="1003"/>
      <c r="AQ2018" s="1003"/>
      <c r="AR2018" s="1003"/>
      <c r="AS2018" s="1003"/>
      <c r="AT2018" s="1003"/>
      <c r="AU2018" s="1003"/>
      <c r="AV2018" s="1003"/>
      <c r="AW2018" s="1003"/>
      <c r="AX2018" s="1003"/>
      <c r="AY2018" s="1003"/>
      <c r="AZ2018" s="1003"/>
      <c r="BA2018" s="1003"/>
      <c r="BB2018" s="1003"/>
      <c r="BC2018" s="1003"/>
      <c r="BD2018" s="1003"/>
      <c r="BE2018" s="1003"/>
      <c r="BF2018" s="1003"/>
      <c r="BG2018" s="1003"/>
      <c r="BH2018" s="1003"/>
      <c r="BI2018" s="1003"/>
      <c r="BJ2018" s="1003"/>
      <c r="BK2018" s="1003"/>
      <c r="BL2018" s="1003"/>
    </row>
    <row r="2019" spans="1:64">
      <c r="A2019" s="1818"/>
      <c r="B2019" s="1818"/>
      <c r="C2019" s="1817" t="s">
        <v>1147</v>
      </c>
      <c r="D2019" s="1000">
        <v>0.1</v>
      </c>
      <c r="E2019" s="1044" t="s">
        <v>36</v>
      </c>
      <c r="F2019" s="1001">
        <f>'Civil-SOR'!$G$293</f>
        <v>580</v>
      </c>
      <c r="G2019" s="1015">
        <v>1</v>
      </c>
      <c r="H2019" s="1085" t="str">
        <f t="shared" ref="H2019:H2020" si="477">IF(E2019="","",IF(E2019="No.","Each",IF(E2019="Nos.","Each",E2019)))</f>
        <v>Each</v>
      </c>
      <c r="I2019" s="1001">
        <f t="shared" ref="I2019:I2021" si="478">IF(G2019="",D2019*F2019,(D2019*F2019/G2019))</f>
        <v>58</v>
      </c>
      <c r="J2019" s="1002"/>
      <c r="K2019" s="1002"/>
      <c r="L2019" s="1002"/>
      <c r="M2019" s="1003"/>
      <c r="N2019" s="1003"/>
      <c r="O2019" s="1003"/>
      <c r="P2019" s="1003"/>
      <c r="Q2019" s="1003"/>
      <c r="R2019" s="1003"/>
      <c r="S2019" s="1003"/>
      <c r="T2019" s="1003"/>
      <c r="U2019" s="1003"/>
      <c r="V2019" s="1003"/>
      <c r="W2019" s="1003"/>
      <c r="X2019" s="1003"/>
      <c r="Y2019" s="1003"/>
      <c r="Z2019" s="1003"/>
      <c r="AA2019" s="1003"/>
      <c r="AB2019" s="1003"/>
      <c r="AC2019" s="1003"/>
      <c r="AD2019" s="1003"/>
      <c r="AE2019" s="1003"/>
      <c r="AF2019" s="1003"/>
      <c r="AG2019" s="1003"/>
      <c r="AH2019" s="1003"/>
      <c r="AI2019" s="1003"/>
      <c r="AJ2019" s="1003"/>
      <c r="AK2019" s="1003"/>
      <c r="AL2019" s="1003"/>
      <c r="AM2019" s="1003"/>
      <c r="AN2019" s="1003"/>
      <c r="AO2019" s="1003"/>
      <c r="AP2019" s="1003"/>
      <c r="AQ2019" s="1003"/>
      <c r="AR2019" s="1003"/>
      <c r="AS2019" s="1003"/>
      <c r="AT2019" s="1003"/>
      <c r="AU2019" s="1003"/>
      <c r="AV2019" s="1003"/>
      <c r="AW2019" s="1003"/>
      <c r="AX2019" s="1003"/>
      <c r="AY2019" s="1003"/>
      <c r="AZ2019" s="1003"/>
      <c r="BA2019" s="1003"/>
      <c r="BB2019" s="1003"/>
      <c r="BC2019" s="1003"/>
      <c r="BD2019" s="1003"/>
      <c r="BE2019" s="1003"/>
      <c r="BF2019" s="1003"/>
      <c r="BG2019" s="1003"/>
      <c r="BH2019" s="1003"/>
      <c r="BI2019" s="1003"/>
      <c r="BJ2019" s="1003"/>
      <c r="BK2019" s="1003"/>
      <c r="BL2019" s="1003"/>
    </row>
    <row r="2020" spans="1:64">
      <c r="A2020" s="1818"/>
      <c r="B2020" s="1818"/>
      <c r="C2020" s="1817" t="s">
        <v>1148</v>
      </c>
      <c r="D2020" s="1000">
        <v>1.39</v>
      </c>
      <c r="E2020" s="1044" t="s">
        <v>36</v>
      </c>
      <c r="F2020" s="1001">
        <f>'Civil-SOR'!$G$307</f>
        <v>520</v>
      </c>
      <c r="G2020" s="1015">
        <v>1</v>
      </c>
      <c r="H2020" s="1085" t="str">
        <f t="shared" si="477"/>
        <v>Each</v>
      </c>
      <c r="I2020" s="1001">
        <f t="shared" si="478"/>
        <v>722.8</v>
      </c>
      <c r="J2020" s="1002"/>
      <c r="K2020" s="1002"/>
      <c r="L2020" s="1002"/>
      <c r="M2020" s="1003"/>
      <c r="N2020" s="1003"/>
      <c r="O2020" s="1003"/>
      <c r="P2020" s="1003"/>
      <c r="Q2020" s="1003"/>
      <c r="R2020" s="1003"/>
      <c r="S2020" s="1003"/>
      <c r="T2020" s="1003"/>
      <c r="U2020" s="1003"/>
      <c r="V2020" s="1003"/>
      <c r="W2020" s="1003"/>
      <c r="X2020" s="1003"/>
      <c r="Y2020" s="1003"/>
      <c r="Z2020" s="1003"/>
      <c r="AA2020" s="1003"/>
      <c r="AB2020" s="1003"/>
      <c r="AC2020" s="1003"/>
      <c r="AD2020" s="1003"/>
      <c r="AE2020" s="1003"/>
      <c r="AF2020" s="1003"/>
      <c r="AG2020" s="1003"/>
      <c r="AH2020" s="1003"/>
      <c r="AI2020" s="1003"/>
      <c r="AJ2020" s="1003"/>
      <c r="AK2020" s="1003"/>
      <c r="AL2020" s="1003"/>
      <c r="AM2020" s="1003"/>
      <c r="AN2020" s="1003"/>
      <c r="AO2020" s="1003"/>
      <c r="AP2020" s="1003"/>
      <c r="AQ2020" s="1003"/>
      <c r="AR2020" s="1003"/>
      <c r="AS2020" s="1003"/>
      <c r="AT2020" s="1003"/>
      <c r="AU2020" s="1003"/>
      <c r="AV2020" s="1003"/>
      <c r="AW2020" s="1003"/>
      <c r="AX2020" s="1003"/>
      <c r="AY2020" s="1003"/>
      <c r="AZ2020" s="1003"/>
      <c r="BA2020" s="1003"/>
      <c r="BB2020" s="1003"/>
      <c r="BC2020" s="1003"/>
      <c r="BD2020" s="1003"/>
      <c r="BE2020" s="1003"/>
      <c r="BF2020" s="1003"/>
      <c r="BG2020" s="1003"/>
      <c r="BH2020" s="1003"/>
      <c r="BI2020" s="1003"/>
      <c r="BJ2020" s="1003"/>
      <c r="BK2020" s="1003"/>
      <c r="BL2020" s="1003"/>
    </row>
    <row r="2021" spans="1:64">
      <c r="A2021" s="1818"/>
      <c r="B2021" s="1818"/>
      <c r="C2021" s="1817" t="str">
        <f>Input!$C$47</f>
        <v>Add for MA @ 40%</v>
      </c>
      <c r="D2021" s="1034">
        <f>Input!$D$47</f>
        <v>0.4</v>
      </c>
      <c r="E2021" s="1044"/>
      <c r="F2021" s="1001">
        <f>SUM(I2019:I2020)</f>
        <v>780.8</v>
      </c>
      <c r="G2021" s="1015"/>
      <c r="H2021" s="1085"/>
      <c r="I2021" s="1001">
        <f t="shared" si="478"/>
        <v>312.32</v>
      </c>
      <c r="J2021" s="1002"/>
      <c r="K2021" s="1002"/>
      <c r="L2021" s="1002"/>
      <c r="M2021" s="1003"/>
      <c r="N2021" s="1003"/>
      <c r="O2021" s="1003"/>
      <c r="P2021" s="1003"/>
      <c r="Q2021" s="1003"/>
      <c r="R2021" s="1003"/>
      <c r="S2021" s="1003"/>
      <c r="T2021" s="1003"/>
      <c r="U2021" s="1003"/>
      <c r="V2021" s="1003"/>
      <c r="W2021" s="1003"/>
      <c r="X2021" s="1003"/>
      <c r="Y2021" s="1003"/>
      <c r="Z2021" s="1003"/>
      <c r="AA2021" s="1003"/>
      <c r="AB2021" s="1003"/>
      <c r="AC2021" s="1003"/>
      <c r="AD2021" s="1003"/>
      <c r="AE2021" s="1003"/>
      <c r="AF2021" s="1003"/>
      <c r="AG2021" s="1003"/>
      <c r="AH2021" s="1003"/>
      <c r="AI2021" s="1003"/>
      <c r="AJ2021" s="1003"/>
      <c r="AK2021" s="1003"/>
      <c r="AL2021" s="1003"/>
      <c r="AM2021" s="1003"/>
      <c r="AN2021" s="1003"/>
      <c r="AO2021" s="1003"/>
      <c r="AP2021" s="1003"/>
      <c r="AQ2021" s="1003"/>
      <c r="AR2021" s="1003"/>
      <c r="AS2021" s="1003"/>
      <c r="AT2021" s="1003"/>
      <c r="AU2021" s="1003"/>
      <c r="AV2021" s="1003"/>
      <c r="AW2021" s="1003"/>
      <c r="AX2021" s="1003"/>
      <c r="AY2021" s="1003"/>
      <c r="AZ2021" s="1003"/>
      <c r="BA2021" s="1003"/>
      <c r="BB2021" s="1003"/>
      <c r="BC2021" s="1003"/>
      <c r="BD2021" s="1003"/>
      <c r="BE2021" s="1003"/>
      <c r="BF2021" s="1003"/>
      <c r="BG2021" s="1003"/>
      <c r="BH2021" s="1003"/>
      <c r="BI2021" s="1003"/>
      <c r="BJ2021" s="1003"/>
      <c r="BK2021" s="1003"/>
      <c r="BL2021" s="1003"/>
    </row>
    <row r="2022" spans="1:64">
      <c r="A2022" s="1818"/>
      <c r="B2022" s="1818"/>
      <c r="C2022" s="1088" t="s">
        <v>1032</v>
      </c>
      <c r="D2022" s="1000"/>
      <c r="E2022" s="1044"/>
      <c r="F2022" s="1001"/>
      <c r="G2022" s="1015"/>
      <c r="H2022" s="1047"/>
      <c r="I2022" s="1001">
        <f>SUM(I2010:I2021)</f>
        <v>5873.1034999999993</v>
      </c>
      <c r="J2022" s="1002"/>
      <c r="K2022" s="1002"/>
      <c r="L2022" s="1002"/>
      <c r="M2022" s="1003"/>
      <c r="N2022" s="1003"/>
      <c r="O2022" s="1003"/>
      <c r="P2022" s="1003"/>
      <c r="Q2022" s="1003"/>
      <c r="R2022" s="1003"/>
      <c r="S2022" s="1003"/>
      <c r="T2022" s="1003"/>
      <c r="U2022" s="1003"/>
      <c r="V2022" s="1003"/>
      <c r="W2022" s="1003"/>
      <c r="X2022" s="1003"/>
      <c r="Y2022" s="1003"/>
      <c r="Z2022" s="1003"/>
      <c r="AA2022" s="1003"/>
      <c r="AB2022" s="1003"/>
      <c r="AC2022" s="1003"/>
      <c r="AD2022" s="1003"/>
      <c r="AE2022" s="1003"/>
      <c r="AF2022" s="1003"/>
      <c r="AG2022" s="1003"/>
      <c r="AH2022" s="1003"/>
      <c r="AI2022" s="1003"/>
      <c r="AJ2022" s="1003"/>
      <c r="AK2022" s="1003"/>
      <c r="AL2022" s="1003"/>
      <c r="AM2022" s="1003"/>
      <c r="AN2022" s="1003"/>
      <c r="AO2022" s="1003"/>
      <c r="AP2022" s="1003"/>
      <c r="AQ2022" s="1003"/>
      <c r="AR2022" s="1003"/>
      <c r="AS2022" s="1003"/>
      <c r="AT2022" s="1003"/>
      <c r="AU2022" s="1003"/>
      <c r="AV2022" s="1003"/>
      <c r="AW2022" s="1003"/>
      <c r="AX2022" s="1003"/>
      <c r="AY2022" s="1003"/>
      <c r="AZ2022" s="1003"/>
      <c r="BA2022" s="1003"/>
      <c r="BB2022" s="1003"/>
      <c r="BC2022" s="1003"/>
      <c r="BD2022" s="1003"/>
      <c r="BE2022" s="1003"/>
      <c r="BF2022" s="1003"/>
      <c r="BG2022" s="1003"/>
      <c r="BH2022" s="1003"/>
      <c r="BI2022" s="1003"/>
      <c r="BJ2022" s="1003"/>
      <c r="BK2022" s="1003"/>
      <c r="BL2022" s="1003"/>
    </row>
    <row r="2023" spans="1:64">
      <c r="A2023" s="1818"/>
      <c r="B2023" s="1818"/>
      <c r="C2023" s="1124" t="s">
        <v>1217</v>
      </c>
      <c r="D2023" s="1009" t="s">
        <v>1223</v>
      </c>
      <c r="E2023" s="1009" t="s">
        <v>1207</v>
      </c>
      <c r="F2023" s="1009"/>
      <c r="G2023" s="1009"/>
      <c r="H2023" s="1009"/>
      <c r="I2023" s="1009"/>
      <c r="J2023" s="1102"/>
      <c r="K2023" s="1102" t="s">
        <v>1213</v>
      </c>
      <c r="L2023" s="1102" t="s">
        <v>1214</v>
      </c>
    </row>
    <row r="2024" spans="1:64">
      <c r="A2024" s="1818"/>
      <c r="B2024" s="1818"/>
      <c r="C2024" s="1817" t="s">
        <v>1337</v>
      </c>
      <c r="D2024" s="1001">
        <f>I2022</f>
        <v>5873.1034999999993</v>
      </c>
      <c r="E2024" s="1001">
        <f>I2022</f>
        <v>5873.1034999999993</v>
      </c>
      <c r="F2024" s="1001"/>
      <c r="G2024" s="1001"/>
      <c r="H2024" s="1001"/>
      <c r="I2024" s="1001"/>
      <c r="J2024" s="1001"/>
      <c r="K2024" s="1001">
        <f>$I$2054</f>
        <v>6685.62176</v>
      </c>
      <c r="L2024" s="1001">
        <f>$I$2054</f>
        <v>6685.62176</v>
      </c>
    </row>
    <row r="2025" spans="1:64">
      <c r="A2025" s="1818"/>
      <c r="B2025" s="1818"/>
      <c r="C2025" s="1820" t="s">
        <v>1182</v>
      </c>
      <c r="D2025" s="1001"/>
      <c r="E2025" s="1001"/>
      <c r="F2025" s="1001"/>
      <c r="G2025" s="1001"/>
      <c r="H2025" s="1001"/>
      <c r="I2025" s="1001"/>
      <c r="J2025" s="1001"/>
      <c r="K2025" s="1001">
        <f>'Civil-SOR'!$F$258</f>
        <v>72</v>
      </c>
      <c r="L2025" s="1001">
        <f>'Civil-SOR'!$F$258</f>
        <v>72</v>
      </c>
    </row>
    <row r="2026" spans="1:64">
      <c r="A2026" s="1818"/>
      <c r="B2026" s="1818"/>
      <c r="C2026" s="1817" t="s">
        <v>1269</v>
      </c>
      <c r="D2026" s="1001"/>
      <c r="E2026" s="1001"/>
      <c r="F2026" s="1001"/>
      <c r="G2026" s="1001"/>
      <c r="H2026" s="1001"/>
      <c r="I2026" s="1001"/>
      <c r="J2026" s="1001"/>
      <c r="K2026" s="1001">
        <f>'Civil-SOR'!$N$258</f>
        <v>666.4</v>
      </c>
      <c r="L2026" s="1001">
        <f>'Civil-SOR'!$O$258</f>
        <v>705.6</v>
      </c>
    </row>
    <row r="2027" spans="1:64">
      <c r="A2027" s="1818"/>
      <c r="B2027" s="1818"/>
      <c r="C2027" s="1817" t="str">
        <f>Input!$C$47</f>
        <v>Add for MA @ 40%</v>
      </c>
      <c r="D2027" s="1001"/>
      <c r="E2027" s="1001"/>
      <c r="F2027" s="1001"/>
      <c r="G2027" s="1001"/>
      <c r="H2027" s="1001"/>
      <c r="I2027" s="1001"/>
      <c r="J2027" s="1001"/>
      <c r="K2027" s="1001">
        <f>K2026*Input!$D$47</f>
        <v>266.56</v>
      </c>
      <c r="L2027" s="1001">
        <f>L2026*Input!$D$47</f>
        <v>282.24</v>
      </c>
    </row>
    <row r="2028" spans="1:64">
      <c r="A2028" s="1818"/>
      <c r="B2028" s="1818"/>
      <c r="C2028" s="1817" t="s">
        <v>1253</v>
      </c>
      <c r="D2028" s="1001">
        <v>0</v>
      </c>
      <c r="E2028" s="1001">
        <f>F2021*10%</f>
        <v>78.08</v>
      </c>
      <c r="F2028" s="1001"/>
      <c r="G2028" s="1001"/>
      <c r="H2028" s="1001"/>
      <c r="I2028" s="1001"/>
      <c r="J2028" s="1001"/>
      <c r="K2028" s="1001">
        <f>$F$2053*70%</f>
        <v>1198.4349999999999</v>
      </c>
      <c r="L2028" s="1001">
        <f>$F$2053*80%</f>
        <v>1369.64</v>
      </c>
    </row>
    <row r="2029" spans="1:64">
      <c r="A2029" s="1818"/>
      <c r="B2029" s="1818"/>
      <c r="C2029" s="1817" t="str">
        <f>Input!$C$47</f>
        <v>Add for MA @ 40%</v>
      </c>
      <c r="D2029" s="1001">
        <f>D2028*Input!$D$47</f>
        <v>0</v>
      </c>
      <c r="E2029" s="1001">
        <f>E2028*Input!$D$47</f>
        <v>31.231999999999999</v>
      </c>
      <c r="F2029" s="1001"/>
      <c r="G2029" s="1001"/>
      <c r="H2029" s="1001"/>
      <c r="I2029" s="1001"/>
      <c r="J2029" s="1001"/>
      <c r="K2029" s="1001">
        <f>K2028*Input!$D$47</f>
        <v>479.37400000000002</v>
      </c>
      <c r="L2029" s="1001">
        <f>L2028*Input!$D$47</f>
        <v>547.85600000000011</v>
      </c>
    </row>
    <row r="2030" spans="1:64">
      <c r="A2030" s="1086"/>
      <c r="B2030" s="1086"/>
      <c r="C2030" s="1088" t="s">
        <v>1032</v>
      </c>
      <c r="D2030" s="994">
        <f t="shared" ref="D2030:L2030" si="479">SUM(D2024:D2029)</f>
        <v>5873.1034999999993</v>
      </c>
      <c r="E2030" s="994">
        <f t="shared" si="479"/>
        <v>5982.4154999999992</v>
      </c>
      <c r="F2030" s="994"/>
      <c r="G2030" s="994"/>
      <c r="H2030" s="994"/>
      <c r="I2030" s="994"/>
      <c r="J2030" s="994"/>
      <c r="K2030" s="994">
        <f t="shared" si="479"/>
        <v>9368.3907600000002</v>
      </c>
      <c r="L2030" s="994">
        <f t="shared" si="479"/>
        <v>9662.9577599999993</v>
      </c>
      <c r="M2030" s="997"/>
      <c r="N2030" s="997"/>
      <c r="O2030" s="997"/>
      <c r="P2030" s="997"/>
      <c r="Q2030" s="997"/>
      <c r="R2030" s="997"/>
      <c r="S2030" s="997"/>
      <c r="T2030" s="997"/>
      <c r="U2030" s="997"/>
      <c r="V2030" s="997"/>
      <c r="W2030" s="997"/>
      <c r="X2030" s="997"/>
      <c r="Y2030" s="997"/>
      <c r="Z2030" s="997"/>
      <c r="AA2030" s="997"/>
      <c r="AB2030" s="997"/>
      <c r="AC2030" s="997"/>
      <c r="AD2030" s="997"/>
      <c r="AE2030" s="997"/>
      <c r="AF2030" s="997"/>
      <c r="AG2030" s="997"/>
      <c r="AH2030" s="997"/>
      <c r="AI2030" s="997"/>
      <c r="AJ2030" s="997"/>
      <c r="AK2030" s="997"/>
      <c r="AL2030" s="997"/>
      <c r="AM2030" s="997"/>
      <c r="AN2030" s="997"/>
      <c r="AO2030" s="997"/>
      <c r="AP2030" s="997"/>
      <c r="AQ2030" s="997"/>
      <c r="AR2030" s="997"/>
      <c r="AS2030" s="997"/>
      <c r="AT2030" s="997"/>
      <c r="AU2030" s="997"/>
      <c r="AV2030" s="997"/>
      <c r="AW2030" s="997"/>
      <c r="AX2030" s="997"/>
      <c r="AY2030" s="997"/>
      <c r="AZ2030" s="997"/>
      <c r="BA2030" s="997"/>
      <c r="BB2030" s="997"/>
      <c r="BC2030" s="997"/>
      <c r="BD2030" s="997"/>
      <c r="BE2030" s="997"/>
      <c r="BF2030" s="997"/>
      <c r="BG2030" s="997"/>
      <c r="BH2030" s="997"/>
      <c r="BI2030" s="997"/>
      <c r="BJ2030" s="997"/>
      <c r="BK2030" s="997"/>
      <c r="BL2030" s="997"/>
    </row>
    <row r="2031" spans="1:64">
      <c r="A2031" s="1818"/>
      <c r="B2031" s="1818"/>
      <c r="C2031" s="1817" t="str">
        <f>Input!$C$48</f>
        <v>Overheads &amp; Contractors Profit @ 13.615%</v>
      </c>
      <c r="D2031" s="1001">
        <f>D2030*Input!$D$48</f>
        <v>799.62304152499985</v>
      </c>
      <c r="E2031" s="1001">
        <f>E2030*Input!$D$48</f>
        <v>814.50587032499982</v>
      </c>
      <c r="F2031" s="1001"/>
      <c r="G2031" s="1001"/>
      <c r="H2031" s="1001"/>
      <c r="I2031" s="1001"/>
      <c r="J2031" s="1001"/>
      <c r="K2031" s="1001">
        <f>K2030*Input!$D$48</f>
        <v>1275.506401974</v>
      </c>
      <c r="L2031" s="1001">
        <f>L2030*Input!$D$48</f>
        <v>1315.6116990239998</v>
      </c>
    </row>
    <row r="2032" spans="1:64">
      <c r="A2032" s="1086"/>
      <c r="B2032" s="1086"/>
      <c r="C2032" s="1088" t="s">
        <v>1032</v>
      </c>
      <c r="D2032" s="994">
        <f t="shared" ref="D2032:L2032" si="480">SUM(D2030:D2031)</f>
        <v>6672.7265415249994</v>
      </c>
      <c r="E2032" s="994">
        <f t="shared" si="480"/>
        <v>6796.9213703249989</v>
      </c>
      <c r="F2032" s="994"/>
      <c r="G2032" s="994"/>
      <c r="H2032" s="994"/>
      <c r="I2032" s="994"/>
      <c r="J2032" s="994"/>
      <c r="K2032" s="994">
        <f t="shared" si="480"/>
        <v>10643.897161974</v>
      </c>
      <c r="L2032" s="994">
        <f t="shared" si="480"/>
        <v>10978.569459023998</v>
      </c>
      <c r="M2032" s="997"/>
      <c r="N2032" s="997"/>
      <c r="O2032" s="997"/>
      <c r="P2032" s="997"/>
      <c r="Q2032" s="997"/>
      <c r="R2032" s="997"/>
      <c r="S2032" s="997"/>
      <c r="T2032" s="997"/>
      <c r="U2032" s="997"/>
      <c r="V2032" s="997"/>
      <c r="W2032" s="997"/>
      <c r="X2032" s="997"/>
      <c r="Y2032" s="997"/>
      <c r="Z2032" s="997"/>
      <c r="AA2032" s="997"/>
      <c r="AB2032" s="997"/>
      <c r="AC2032" s="997"/>
      <c r="AD2032" s="997"/>
      <c r="AE2032" s="997"/>
      <c r="AF2032" s="997"/>
      <c r="AG2032" s="997"/>
      <c r="AH2032" s="997"/>
      <c r="AI2032" s="997"/>
      <c r="AJ2032" s="997"/>
      <c r="AK2032" s="997"/>
      <c r="AL2032" s="997"/>
      <c r="AM2032" s="997"/>
      <c r="AN2032" s="997"/>
      <c r="AO2032" s="997"/>
      <c r="AP2032" s="997"/>
      <c r="AQ2032" s="997"/>
      <c r="AR2032" s="997"/>
      <c r="AS2032" s="997"/>
      <c r="AT2032" s="997"/>
      <c r="AU2032" s="997"/>
      <c r="AV2032" s="997"/>
      <c r="AW2032" s="997"/>
      <c r="AX2032" s="997"/>
      <c r="AY2032" s="997"/>
      <c r="AZ2032" s="997"/>
      <c r="BA2032" s="997"/>
      <c r="BB2032" s="997"/>
      <c r="BC2032" s="997"/>
      <c r="BD2032" s="997"/>
      <c r="BE2032" s="997"/>
      <c r="BF2032" s="997"/>
      <c r="BG2032" s="997"/>
      <c r="BH2032" s="997"/>
      <c r="BI2032" s="997"/>
      <c r="BJ2032" s="997"/>
      <c r="BK2032" s="997"/>
      <c r="BL2032" s="997"/>
    </row>
    <row r="2033" spans="1:64">
      <c r="A2033" s="1086"/>
      <c r="B2033" s="1086"/>
      <c r="C2033" s="1118" t="s">
        <v>1034</v>
      </c>
      <c r="D2033" s="999">
        <f t="shared" ref="D2033:L2033" si="481">ROUND(D2032,0)</f>
        <v>6673</v>
      </c>
      <c r="E2033" s="999">
        <f t="shared" si="481"/>
        <v>6797</v>
      </c>
      <c r="F2033" s="999"/>
      <c r="G2033" s="999"/>
      <c r="H2033" s="999"/>
      <c r="I2033" s="999"/>
      <c r="J2033" s="999"/>
      <c r="K2033" s="999">
        <f t="shared" si="481"/>
        <v>10644</v>
      </c>
      <c r="L2033" s="999">
        <f t="shared" si="481"/>
        <v>10979</v>
      </c>
      <c r="M2033" s="997"/>
      <c r="N2033" s="997"/>
      <c r="O2033" s="997"/>
      <c r="P2033" s="997"/>
      <c r="Q2033" s="997"/>
      <c r="R2033" s="997"/>
      <c r="S2033" s="997"/>
      <c r="T2033" s="997"/>
      <c r="U2033" s="997"/>
      <c r="V2033" s="997"/>
      <c r="W2033" s="997"/>
      <c r="X2033" s="997"/>
      <c r="Y2033" s="997"/>
      <c r="Z2033" s="997"/>
      <c r="AA2033" s="997"/>
      <c r="AB2033" s="997"/>
      <c r="AC2033" s="997"/>
      <c r="AD2033" s="997"/>
      <c r="AE2033" s="997"/>
      <c r="AF2033" s="997"/>
      <c r="AG2033" s="997"/>
      <c r="AH2033" s="997"/>
      <c r="AI2033" s="997"/>
      <c r="AJ2033" s="997"/>
      <c r="AK2033" s="997"/>
      <c r="AL2033" s="997"/>
      <c r="AM2033" s="997"/>
      <c r="AN2033" s="997"/>
      <c r="AO2033" s="997"/>
      <c r="AP2033" s="997"/>
      <c r="AQ2033" s="997"/>
      <c r="AR2033" s="997"/>
      <c r="AS2033" s="997"/>
      <c r="AT2033" s="997"/>
      <c r="AU2033" s="997"/>
      <c r="AV2033" s="997"/>
      <c r="AW2033" s="997"/>
      <c r="AX2033" s="997"/>
      <c r="AY2033" s="997"/>
      <c r="AZ2033" s="997"/>
      <c r="BA2033" s="997"/>
      <c r="BB2033" s="997"/>
      <c r="BC2033" s="997"/>
      <c r="BD2033" s="997"/>
      <c r="BE2033" s="997"/>
      <c r="BF2033" s="997"/>
      <c r="BG2033" s="997"/>
      <c r="BH2033" s="997"/>
      <c r="BI2033" s="997"/>
      <c r="BJ2033" s="997"/>
      <c r="BK2033" s="997"/>
      <c r="BL2033" s="997"/>
    </row>
    <row r="2034" spans="1:64">
      <c r="A2034" s="1818"/>
      <c r="B2034" s="1818"/>
      <c r="C2034" s="1816"/>
      <c r="D2034" s="1114"/>
      <c r="E2034" s="1114"/>
      <c r="F2034" s="1114"/>
      <c r="G2034" s="1114"/>
      <c r="H2034" s="1114"/>
      <c r="I2034" s="1011"/>
      <c r="J2034" s="1846"/>
      <c r="K2034" s="1846"/>
      <c r="L2034" s="1846"/>
    </row>
    <row r="2035" spans="1:64">
      <c r="A2035" s="1818"/>
      <c r="B2035" s="1818"/>
      <c r="C2035" s="1816"/>
      <c r="D2035" s="1114"/>
      <c r="E2035" s="1114"/>
      <c r="F2035" s="1114"/>
      <c r="G2035" s="1114"/>
      <c r="H2035" s="1114"/>
      <c r="I2035" s="1011"/>
      <c r="J2035" s="1846"/>
      <c r="K2035" s="1846"/>
      <c r="L2035" s="1846"/>
    </row>
    <row r="2036" spans="1:64" s="1152" customFormat="1" ht="83.65" customHeight="1">
      <c r="A2036" s="1173">
        <f>1+A1943</f>
        <v>22</v>
      </c>
      <c r="B2036" s="1173"/>
      <c r="C2036" s="2036" t="s">
        <v>3410</v>
      </c>
      <c r="D2036" s="2036"/>
      <c r="E2036" s="2036"/>
      <c r="F2036" s="2036"/>
      <c r="G2036" s="2036"/>
      <c r="H2036" s="2036"/>
      <c r="I2036" s="1825"/>
      <c r="J2036" s="1148"/>
      <c r="K2036" s="1148"/>
      <c r="L2036" s="1148"/>
    </row>
    <row r="2037" spans="1:64">
      <c r="A2037" s="1818"/>
      <c r="B2037" s="1818"/>
      <c r="C2037" s="1049" t="s">
        <v>1336</v>
      </c>
      <c r="D2037" s="1048"/>
      <c r="E2037" s="1048"/>
      <c r="F2037" s="1818"/>
      <c r="G2037" s="1048"/>
      <c r="H2037" s="1048"/>
      <c r="I2037" s="1001"/>
      <c r="J2037" s="1846"/>
      <c r="K2037" s="1846"/>
      <c r="L2037" s="1846"/>
    </row>
    <row r="2038" spans="1:64">
      <c r="A2038" s="1818"/>
      <c r="B2038" s="1818"/>
      <c r="C2038" s="1047" t="s">
        <v>1139</v>
      </c>
      <c r="D2038" s="1048"/>
      <c r="E2038" s="1048"/>
      <c r="F2038" s="1818"/>
      <c r="G2038" s="1048"/>
      <c r="H2038" s="1048"/>
      <c r="I2038" s="1001"/>
      <c r="J2038" s="1846"/>
      <c r="K2038" s="1846"/>
      <c r="L2038" s="1846"/>
    </row>
    <row r="2039" spans="1:64">
      <c r="A2039" s="1818"/>
      <c r="B2039" s="1818"/>
      <c r="C2039" s="1817" t="s">
        <v>1168</v>
      </c>
      <c r="D2039" s="1034">
        <v>0.8</v>
      </c>
      <c r="E2039" s="1069" t="s">
        <v>484</v>
      </c>
      <c r="F2039" s="1001">
        <f>$F$16</f>
        <v>1447.96</v>
      </c>
      <c r="G2039" s="1045">
        <v>1</v>
      </c>
      <c r="H2039" s="1069" t="str">
        <f t="shared" ref="H2039:H2042" si="482">IF(E2039="","",IF(E2039="No.","Each",IF(E2039="Nos.","Each",E2039)))</f>
        <v>Cum</v>
      </c>
      <c r="I2039" s="1030">
        <f t="shared" ref="I2039:I2042" si="483">IF(G2039="",D2039*F2039,(D2039*F2039/G2039))</f>
        <v>1158.3680000000002</v>
      </c>
      <c r="J2039" s="1846"/>
      <c r="K2039" s="1096"/>
      <c r="L2039" s="1846"/>
    </row>
    <row r="2040" spans="1:64">
      <c r="A2040" s="1818"/>
      <c r="B2040" s="1818"/>
      <c r="C2040" s="1817" t="s">
        <v>1163</v>
      </c>
      <c r="D2040" s="1034">
        <v>0.4</v>
      </c>
      <c r="E2040" s="1069" t="s">
        <v>484</v>
      </c>
      <c r="F2040" s="1001">
        <f>LEAD!$N$12</f>
        <v>2253.91</v>
      </c>
      <c r="G2040" s="1045">
        <v>1</v>
      </c>
      <c r="H2040" s="1069" t="str">
        <f t="shared" si="482"/>
        <v>Cum</v>
      </c>
      <c r="I2040" s="1030">
        <f t="shared" si="483"/>
        <v>901.56399999999996</v>
      </c>
      <c r="J2040" s="1846"/>
      <c r="K2040" s="1096"/>
      <c r="L2040" s="1846"/>
    </row>
    <row r="2041" spans="1:64">
      <c r="A2041" s="1818"/>
      <c r="B2041" s="1818"/>
      <c r="C2041" s="1817" t="s">
        <v>889</v>
      </c>
      <c r="D2041" s="1034">
        <v>330</v>
      </c>
      <c r="E2041" s="1069" t="s">
        <v>1110</v>
      </c>
      <c r="F2041" s="1001">
        <f>LEAD!$N$6</f>
        <v>5200</v>
      </c>
      <c r="G2041" s="1045">
        <v>1000</v>
      </c>
      <c r="H2041" s="1069" t="str">
        <f t="shared" si="482"/>
        <v>Kgs</v>
      </c>
      <c r="I2041" s="1030">
        <f t="shared" si="483"/>
        <v>1716</v>
      </c>
      <c r="J2041" s="1846"/>
      <c r="K2041" s="1096"/>
      <c r="L2041" s="1846"/>
    </row>
    <row r="2042" spans="1:64">
      <c r="A2042" s="1818"/>
      <c r="B2042" s="1818"/>
      <c r="C2042" s="1817" t="s">
        <v>1164</v>
      </c>
      <c r="D2042" s="1034">
        <v>1.2</v>
      </c>
      <c r="E2042" s="1069" t="s">
        <v>1124</v>
      </c>
      <c r="F2042" s="1001">
        <f>Input!$D$53</f>
        <v>108</v>
      </c>
      <c r="G2042" s="1045">
        <v>1</v>
      </c>
      <c r="H2042" s="1069" t="str">
        <f t="shared" si="482"/>
        <v>Kl</v>
      </c>
      <c r="I2042" s="1030">
        <f t="shared" si="483"/>
        <v>129.6</v>
      </c>
      <c r="J2042" s="1846"/>
      <c r="K2042" s="1096"/>
      <c r="L2042" s="1846"/>
    </row>
    <row r="2043" spans="1:64">
      <c r="A2043" s="1818"/>
      <c r="B2043" s="1818"/>
      <c r="C2043" s="1816" t="s">
        <v>1144</v>
      </c>
      <c r="D2043" s="1034"/>
      <c r="E2043" s="1069"/>
      <c r="F2043" s="1001"/>
      <c r="G2043" s="1045"/>
      <c r="H2043" s="1069"/>
      <c r="I2043" s="1030"/>
      <c r="J2043" s="1846"/>
      <c r="K2043" s="1096"/>
      <c r="L2043" s="1846"/>
    </row>
    <row r="2044" spans="1:64">
      <c r="A2044" s="1818"/>
      <c r="B2044" s="1818"/>
      <c r="C2044" s="1820" t="s">
        <v>1177</v>
      </c>
      <c r="D2044" s="1132">
        <v>0.308</v>
      </c>
      <c r="E2044" s="1052" t="s">
        <v>400</v>
      </c>
      <c r="F2044" s="1030">
        <f>'Civil-SOR'!$G$329</f>
        <v>265.79999999999995</v>
      </c>
      <c r="G2044" s="1144">
        <v>1</v>
      </c>
      <c r="H2044" s="1144" t="str">
        <f t="shared" ref="H2044:H2045" si="484">IF(E2044="","",IF(E2044="No.","Each",IF(E2044="Nos.","Each",E2044)))</f>
        <v>hour</v>
      </c>
      <c r="I2044" s="1030">
        <f t="shared" ref="I2044:I2048" si="485">IF(G2044="",D2044*F2044,(D2044*F2044/G2044))</f>
        <v>81.866399999999985</v>
      </c>
      <c r="J2044" s="1846"/>
      <c r="K2044" s="1096"/>
      <c r="L2044" s="1846"/>
    </row>
    <row r="2045" spans="1:64">
      <c r="A2045" s="1818"/>
      <c r="B2045" s="1818"/>
      <c r="C2045" s="1820" t="s">
        <v>579</v>
      </c>
      <c r="D2045" s="1132">
        <v>0.308</v>
      </c>
      <c r="E2045" s="1052" t="s">
        <v>400</v>
      </c>
      <c r="F2045" s="1030">
        <f>'Civil-SOR'!$J$329</f>
        <v>454.8</v>
      </c>
      <c r="G2045" s="1144">
        <v>1</v>
      </c>
      <c r="H2045" s="1144" t="str">
        <f t="shared" si="484"/>
        <v>hour</v>
      </c>
      <c r="I2045" s="1030">
        <f t="shared" si="485"/>
        <v>140.07839999999999</v>
      </c>
      <c r="J2045" s="1846"/>
      <c r="K2045" s="1096"/>
      <c r="L2045" s="1846"/>
    </row>
    <row r="2046" spans="1:64">
      <c r="A2046" s="1818"/>
      <c r="B2046" s="1818"/>
      <c r="C2046" s="1820" t="s">
        <v>1178</v>
      </c>
      <c r="D2046" s="1132">
        <v>0.308</v>
      </c>
      <c r="E2046" s="1846" t="s">
        <v>1083</v>
      </c>
      <c r="F2046" s="1021">
        <f>'Civil-SOR'!$G$332</f>
        <v>36.5</v>
      </c>
      <c r="G2046" s="1105">
        <v>1</v>
      </c>
      <c r="H2046" s="1846" t="s">
        <v>400</v>
      </c>
      <c r="I2046" s="1030">
        <f t="shared" si="485"/>
        <v>11.241999999999999</v>
      </c>
      <c r="J2046" s="1846"/>
      <c r="K2046" s="1096"/>
      <c r="L2046" s="1846"/>
    </row>
    <row r="2047" spans="1:64">
      <c r="A2047" s="1818"/>
      <c r="B2047" s="1818"/>
      <c r="C2047" s="1820" t="s">
        <v>579</v>
      </c>
      <c r="D2047" s="1132">
        <v>0.308</v>
      </c>
      <c r="E2047" s="1846" t="s">
        <v>1083</v>
      </c>
      <c r="F2047" s="1021">
        <f>'Civil-SOR'!$J$332</f>
        <v>218</v>
      </c>
      <c r="G2047" s="1105">
        <v>1</v>
      </c>
      <c r="H2047" s="1846" t="s">
        <v>400</v>
      </c>
      <c r="I2047" s="1030">
        <f t="shared" si="485"/>
        <v>67.144000000000005</v>
      </c>
      <c r="J2047" s="1846"/>
      <c r="K2047" s="1096"/>
      <c r="L2047" s="1846"/>
    </row>
    <row r="2048" spans="1:64">
      <c r="A2048" s="1818"/>
      <c r="B2048" s="1818"/>
      <c r="C2048" s="1817" t="s">
        <v>1085</v>
      </c>
      <c r="D2048" s="1000">
        <f>Input!$D$47</f>
        <v>0.4</v>
      </c>
      <c r="E2048" s="1044"/>
      <c r="F2048" s="1001">
        <f>I2045+I2047</f>
        <v>207.22239999999999</v>
      </c>
      <c r="G2048" s="1015"/>
      <c r="H2048" s="1015"/>
      <c r="I2048" s="1001">
        <f t="shared" si="485"/>
        <v>82.888959999999997</v>
      </c>
      <c r="J2048" s="1846"/>
      <c r="K2048" s="1096"/>
      <c r="L2048" s="1846"/>
    </row>
    <row r="2049" spans="1:64">
      <c r="A2049" s="1818"/>
      <c r="B2049" s="1818"/>
      <c r="C2049" s="1816" t="s">
        <v>1146</v>
      </c>
      <c r="D2049" s="1034"/>
      <c r="E2049" s="1069"/>
      <c r="F2049" s="1001"/>
      <c r="G2049" s="1045"/>
      <c r="H2049" s="1069"/>
      <c r="I2049" s="1030"/>
      <c r="J2049" s="1846"/>
      <c r="K2049" s="1096"/>
      <c r="L2049" s="1846"/>
    </row>
    <row r="2050" spans="1:64">
      <c r="A2050" s="1818"/>
      <c r="B2050" s="1818"/>
      <c r="C2050" s="1817" t="s">
        <v>1147</v>
      </c>
      <c r="D2050" s="1127">
        <v>6.7000000000000004E-2</v>
      </c>
      <c r="E2050" s="1069" t="s">
        <v>36</v>
      </c>
      <c r="F2050" s="1001">
        <f>'Civil-SOR'!$G$293</f>
        <v>580</v>
      </c>
      <c r="G2050" s="1045">
        <v>1</v>
      </c>
      <c r="H2050" s="1069" t="str">
        <f t="shared" ref="H2050:H2052" si="486">IF(E2050="","",IF(E2050="No.","Each",IF(E2050="Nos.","Each",E2050)))</f>
        <v>Each</v>
      </c>
      <c r="I2050" s="1030">
        <f t="shared" ref="I2050:I2053" si="487">IF(G2050="",D2050*F2050,(D2050*F2050/G2050))</f>
        <v>38.86</v>
      </c>
      <c r="J2050" s="1846"/>
      <c r="K2050" s="1096"/>
      <c r="L2050" s="1846"/>
    </row>
    <row r="2051" spans="1:64">
      <c r="A2051" s="1818"/>
      <c r="B2051" s="1818"/>
      <c r="C2051" s="1817" t="s">
        <v>1062</v>
      </c>
      <c r="D2051" s="1127">
        <v>0.13300000000000001</v>
      </c>
      <c r="E2051" s="1069" t="s">
        <v>36</v>
      </c>
      <c r="F2051" s="1001">
        <f>'Civil-SOR'!$G$302</f>
        <v>550</v>
      </c>
      <c r="G2051" s="1045">
        <v>1</v>
      </c>
      <c r="H2051" s="1069" t="str">
        <f t="shared" si="486"/>
        <v>Each</v>
      </c>
      <c r="I2051" s="1030">
        <f t="shared" si="487"/>
        <v>73.150000000000006</v>
      </c>
      <c r="J2051" s="1846"/>
      <c r="K2051" s="1096"/>
      <c r="L2051" s="1846"/>
    </row>
    <row r="2052" spans="1:64">
      <c r="A2052" s="1818"/>
      <c r="B2052" s="1818"/>
      <c r="C2052" s="1817" t="s">
        <v>1166</v>
      </c>
      <c r="D2052" s="1127">
        <v>3.077</v>
      </c>
      <c r="E2052" s="1069" t="s">
        <v>36</v>
      </c>
      <c r="F2052" s="1001">
        <f>'Civil-SOR'!$G$307</f>
        <v>520</v>
      </c>
      <c r="G2052" s="1045">
        <v>1</v>
      </c>
      <c r="H2052" s="1069" t="str">
        <f t="shared" si="486"/>
        <v>Each</v>
      </c>
      <c r="I2052" s="1030">
        <f t="shared" si="487"/>
        <v>1600.04</v>
      </c>
      <c r="J2052" s="1846"/>
      <c r="K2052" s="1096"/>
      <c r="L2052" s="1846"/>
    </row>
    <row r="2053" spans="1:64">
      <c r="A2053" s="1818"/>
      <c r="B2053" s="1818"/>
      <c r="C2053" s="1817" t="str">
        <f>Input!$C$47</f>
        <v>Add for MA @ 40%</v>
      </c>
      <c r="D2053" s="1034">
        <f>Input!$D$47</f>
        <v>0.4</v>
      </c>
      <c r="E2053" s="1069"/>
      <c r="F2053" s="1001">
        <f>SUM(I2050:I2052)</f>
        <v>1712.05</v>
      </c>
      <c r="G2053" s="1045"/>
      <c r="H2053" s="1069"/>
      <c r="I2053" s="1030">
        <f t="shared" si="487"/>
        <v>684.82</v>
      </c>
      <c r="J2053" s="1846"/>
      <c r="K2053" s="1096"/>
      <c r="L2053" s="1846"/>
    </row>
    <row r="2054" spans="1:64">
      <c r="A2054" s="1818"/>
      <c r="B2054" s="1818"/>
      <c r="C2054" s="1816" t="s">
        <v>1032</v>
      </c>
      <c r="D2054" s="1034"/>
      <c r="E2054" s="1048"/>
      <c r="F2054" s="1001"/>
      <c r="G2054" s="1045"/>
      <c r="H2054" s="1046"/>
      <c r="I2054" s="1011">
        <f>SUM(I2039:I2053)</f>
        <v>6685.62176</v>
      </c>
      <c r="J2054" s="1846"/>
      <c r="K2054" s="1096"/>
      <c r="L2054" s="1846"/>
    </row>
    <row r="2055" spans="1:64">
      <c r="A2055" s="1818"/>
      <c r="B2055" s="1818"/>
      <c r="C2055" s="1816"/>
      <c r="D2055" s="1114"/>
      <c r="E2055" s="1114"/>
      <c r="F2055" s="1114"/>
      <c r="G2055" s="1114"/>
      <c r="H2055" s="1114"/>
      <c r="I2055" s="1011"/>
      <c r="J2055" s="1846"/>
      <c r="K2055" s="1846"/>
      <c r="L2055" s="1846"/>
    </row>
    <row r="2056" spans="1:64">
      <c r="A2056" s="1818"/>
      <c r="B2056" s="1818"/>
      <c r="C2056" s="1124" t="s">
        <v>1217</v>
      </c>
      <c r="D2056" s="1009" t="s">
        <v>1223</v>
      </c>
      <c r="E2056" s="1009" t="s">
        <v>1207</v>
      </c>
      <c r="F2056" s="1009" t="s">
        <v>1208</v>
      </c>
      <c r="G2056" s="1009" t="s">
        <v>1291</v>
      </c>
      <c r="H2056" s="1009" t="s">
        <v>1292</v>
      </c>
      <c r="I2056" s="1009" t="s">
        <v>1293</v>
      </c>
      <c r="J2056" s="1102"/>
      <c r="K2056" s="1102" t="s">
        <v>1213</v>
      </c>
      <c r="L2056" s="1102" t="s">
        <v>1214</v>
      </c>
    </row>
    <row r="2057" spans="1:64">
      <c r="A2057" s="1818"/>
      <c r="B2057" s="1818"/>
      <c r="C2057" s="1817" t="s">
        <v>1337</v>
      </c>
      <c r="D2057" s="1001">
        <f t="shared" ref="D2057:L2057" si="488">$I$2054</f>
        <v>6685.62176</v>
      </c>
      <c r="E2057" s="1001">
        <f t="shared" si="488"/>
        <v>6685.62176</v>
      </c>
      <c r="F2057" s="1001">
        <f t="shared" si="488"/>
        <v>6685.62176</v>
      </c>
      <c r="G2057" s="1001">
        <f t="shared" si="488"/>
        <v>6685.62176</v>
      </c>
      <c r="H2057" s="1001">
        <f t="shared" si="488"/>
        <v>6685.62176</v>
      </c>
      <c r="I2057" s="1001">
        <f t="shared" si="488"/>
        <v>6685.62176</v>
      </c>
      <c r="J2057" s="1001"/>
      <c r="K2057" s="1001">
        <f t="shared" si="488"/>
        <v>6685.62176</v>
      </c>
      <c r="L2057" s="1001">
        <f t="shared" si="488"/>
        <v>6685.62176</v>
      </c>
    </row>
    <row r="2058" spans="1:64">
      <c r="A2058" s="1818"/>
      <c r="B2058" s="1818"/>
      <c r="C2058" s="1820" t="s">
        <v>1182</v>
      </c>
      <c r="D2058" s="1001">
        <f>'Civil-SOR'!$F$258</f>
        <v>72</v>
      </c>
      <c r="E2058" s="1001">
        <f>'Civil-SOR'!$F$258</f>
        <v>72</v>
      </c>
      <c r="F2058" s="1001">
        <f>'Civil-SOR'!$F$258</f>
        <v>72</v>
      </c>
      <c r="G2058" s="1001">
        <f>'Civil-SOR'!$F$258</f>
        <v>72</v>
      </c>
      <c r="H2058" s="1001">
        <f>'Civil-SOR'!$F$258</f>
        <v>72</v>
      </c>
      <c r="I2058" s="1001">
        <f>'Civil-SOR'!$F$258</f>
        <v>72</v>
      </c>
      <c r="J2058" s="1001"/>
      <c r="K2058" s="1001">
        <f>'Civil-SOR'!$F$258</f>
        <v>72</v>
      </c>
      <c r="L2058" s="1001">
        <f>'Civil-SOR'!$F$258</f>
        <v>72</v>
      </c>
    </row>
    <row r="2059" spans="1:64">
      <c r="A2059" s="1818"/>
      <c r="B2059" s="1818"/>
      <c r="C2059" s="1817" t="s">
        <v>1269</v>
      </c>
      <c r="D2059" s="1001">
        <f>'Civil-SOR'!$G$258</f>
        <v>392</v>
      </c>
      <c r="E2059" s="1001">
        <f>'Civil-SOR'!$H$258</f>
        <v>431.20000000000005</v>
      </c>
      <c r="F2059" s="1001">
        <f>'Civil-SOR'!$I$258</f>
        <v>470.4</v>
      </c>
      <c r="G2059" s="1001">
        <f>'Civil-SOR'!$J$258</f>
        <v>509.6</v>
      </c>
      <c r="H2059" s="1001">
        <f>'Civil-SOR'!$K$258</f>
        <v>548.79999999999995</v>
      </c>
      <c r="I2059" s="1001">
        <f>'Civil-SOR'!$L$258</f>
        <v>588</v>
      </c>
      <c r="J2059" s="1001"/>
      <c r="K2059" s="1001">
        <f>'Civil-SOR'!$N$258</f>
        <v>666.4</v>
      </c>
      <c r="L2059" s="1001">
        <f>'Civil-SOR'!$O$258</f>
        <v>705.6</v>
      </c>
    </row>
    <row r="2060" spans="1:64">
      <c r="A2060" s="1818"/>
      <c r="B2060" s="1818"/>
      <c r="C2060" s="1817" t="str">
        <f>Input!$C$47</f>
        <v>Add for MA @ 40%</v>
      </c>
      <c r="D2060" s="1001">
        <f>D2059*Input!$D$47</f>
        <v>156.80000000000001</v>
      </c>
      <c r="E2060" s="1001">
        <f>E2059*Input!$D$47</f>
        <v>172.48000000000002</v>
      </c>
      <c r="F2060" s="1001">
        <f>F2059*Input!$D$47</f>
        <v>188.16</v>
      </c>
      <c r="G2060" s="1001">
        <f>G2059*Input!$D$47</f>
        <v>203.84000000000003</v>
      </c>
      <c r="H2060" s="1001">
        <f>H2059*Input!$D$47</f>
        <v>219.51999999999998</v>
      </c>
      <c r="I2060" s="1001">
        <f>I2059*Input!$D$47</f>
        <v>235.20000000000002</v>
      </c>
      <c r="J2060" s="1001"/>
      <c r="K2060" s="1001">
        <f>K2059*Input!$D$47</f>
        <v>266.56</v>
      </c>
      <c r="L2060" s="1001">
        <f>L2059*Input!$D$47</f>
        <v>282.24</v>
      </c>
    </row>
    <row r="2061" spans="1:64">
      <c r="A2061" s="1818"/>
      <c r="B2061" s="1818"/>
      <c r="C2061" s="1817" t="s">
        <v>1253</v>
      </c>
      <c r="D2061" s="1001">
        <v>0</v>
      </c>
      <c r="E2061" s="1001">
        <f>$F$2053*10%</f>
        <v>171.20500000000001</v>
      </c>
      <c r="F2061" s="1001">
        <f>$F$2053*20%</f>
        <v>342.41</v>
      </c>
      <c r="G2061" s="1001">
        <f>$F$2053*30%</f>
        <v>513.61500000000001</v>
      </c>
      <c r="H2061" s="1001">
        <f>$F$2053*40%</f>
        <v>684.82</v>
      </c>
      <c r="I2061" s="1001">
        <f>$F$2053*50%</f>
        <v>856.02499999999998</v>
      </c>
      <c r="J2061" s="1001"/>
      <c r="K2061" s="1001">
        <f>$F$2053*70%</f>
        <v>1198.4349999999999</v>
      </c>
      <c r="L2061" s="1001">
        <f>$F$2053*80%</f>
        <v>1369.64</v>
      </c>
    </row>
    <row r="2062" spans="1:64">
      <c r="A2062" s="1818"/>
      <c r="B2062" s="1818"/>
      <c r="C2062" s="1817" t="str">
        <f>Input!$C$47</f>
        <v>Add for MA @ 40%</v>
      </c>
      <c r="D2062" s="1001">
        <f>D2061*Input!$D$47</f>
        <v>0</v>
      </c>
      <c r="E2062" s="1001">
        <f>E2061*Input!$D$47</f>
        <v>68.482000000000014</v>
      </c>
      <c r="F2062" s="1001">
        <f>F2061*Input!$D$47</f>
        <v>136.96400000000003</v>
      </c>
      <c r="G2062" s="1001">
        <f>G2061*Input!$D$47</f>
        <v>205.44600000000003</v>
      </c>
      <c r="H2062" s="1001">
        <f>H2061*Input!$D$47</f>
        <v>273.92800000000005</v>
      </c>
      <c r="I2062" s="1001">
        <f>I2061*Input!$D$47</f>
        <v>342.41</v>
      </c>
      <c r="J2062" s="1001"/>
      <c r="K2062" s="1001">
        <f>K2061*Input!$D$47</f>
        <v>479.37400000000002</v>
      </c>
      <c r="L2062" s="1001">
        <f>L2061*Input!$D$47</f>
        <v>547.85600000000011</v>
      </c>
    </row>
    <row r="2063" spans="1:64">
      <c r="A2063" s="1086"/>
      <c r="B2063" s="1086"/>
      <c r="C2063" s="1088" t="s">
        <v>1032</v>
      </c>
      <c r="D2063" s="994">
        <f t="shared" ref="D2063:L2063" si="489">SUM(D2057:D2062)</f>
        <v>7306.4217600000002</v>
      </c>
      <c r="E2063" s="994">
        <f t="shared" si="489"/>
        <v>7600.9887600000002</v>
      </c>
      <c r="F2063" s="994">
        <f t="shared" si="489"/>
        <v>7895.5557599999993</v>
      </c>
      <c r="G2063" s="994">
        <f t="shared" si="489"/>
        <v>8190.1227600000002</v>
      </c>
      <c r="H2063" s="994">
        <f t="shared" si="489"/>
        <v>8484.6897599999993</v>
      </c>
      <c r="I2063" s="994">
        <f t="shared" si="489"/>
        <v>8779.2567600000002</v>
      </c>
      <c r="J2063" s="994"/>
      <c r="K2063" s="994">
        <f t="shared" si="489"/>
        <v>9368.3907600000002</v>
      </c>
      <c r="L2063" s="994">
        <f t="shared" si="489"/>
        <v>9662.9577599999993</v>
      </c>
      <c r="M2063" s="997"/>
      <c r="N2063" s="997"/>
      <c r="O2063" s="997"/>
      <c r="P2063" s="997"/>
      <c r="Q2063" s="997"/>
      <c r="R2063" s="997"/>
      <c r="S2063" s="997"/>
      <c r="T2063" s="997"/>
      <c r="U2063" s="997"/>
      <c r="V2063" s="997"/>
      <c r="W2063" s="997"/>
      <c r="X2063" s="997"/>
      <c r="Y2063" s="997"/>
      <c r="Z2063" s="997"/>
      <c r="AA2063" s="997"/>
      <c r="AB2063" s="997"/>
      <c r="AC2063" s="997"/>
      <c r="AD2063" s="997"/>
      <c r="AE2063" s="997"/>
      <c r="AF2063" s="997"/>
      <c r="AG2063" s="997"/>
      <c r="AH2063" s="997"/>
      <c r="AI2063" s="997"/>
      <c r="AJ2063" s="997"/>
      <c r="AK2063" s="997"/>
      <c r="AL2063" s="997"/>
      <c r="AM2063" s="997"/>
      <c r="AN2063" s="997"/>
      <c r="AO2063" s="997"/>
      <c r="AP2063" s="997"/>
      <c r="AQ2063" s="997"/>
      <c r="AR2063" s="997"/>
      <c r="AS2063" s="997"/>
      <c r="AT2063" s="997"/>
      <c r="AU2063" s="997"/>
      <c r="AV2063" s="997"/>
      <c r="AW2063" s="997"/>
      <c r="AX2063" s="997"/>
      <c r="AY2063" s="997"/>
      <c r="AZ2063" s="997"/>
      <c r="BA2063" s="997"/>
      <c r="BB2063" s="997"/>
      <c r="BC2063" s="997"/>
      <c r="BD2063" s="997"/>
      <c r="BE2063" s="997"/>
      <c r="BF2063" s="997"/>
      <c r="BG2063" s="997"/>
      <c r="BH2063" s="997"/>
      <c r="BI2063" s="997"/>
      <c r="BJ2063" s="997"/>
      <c r="BK2063" s="997"/>
      <c r="BL2063" s="997"/>
    </row>
    <row r="2064" spans="1:64">
      <c r="A2064" s="1818"/>
      <c r="B2064" s="1818"/>
      <c r="C2064" s="1817" t="str">
        <f>Input!$C$48</f>
        <v>Overheads &amp; Contractors Profit @ 13.615%</v>
      </c>
      <c r="D2064" s="1001">
        <f>D2063*Input!$D$48</f>
        <v>994.76932262399998</v>
      </c>
      <c r="E2064" s="1001">
        <f>E2063*Input!$D$48</f>
        <v>1034.8746196740001</v>
      </c>
      <c r="F2064" s="1001">
        <f>F2063*Input!$D$48</f>
        <v>1074.9799167239998</v>
      </c>
      <c r="G2064" s="1001">
        <f>G2063*Input!$D$48</f>
        <v>1115.0852137740001</v>
      </c>
      <c r="H2064" s="1001">
        <f>H2063*Input!$D$48</f>
        <v>1155.1905108239998</v>
      </c>
      <c r="I2064" s="1001">
        <f>I2063*Input!$D$48</f>
        <v>1195.295807874</v>
      </c>
      <c r="J2064" s="1001"/>
      <c r="K2064" s="1001">
        <f>K2063*Input!$D$48</f>
        <v>1275.506401974</v>
      </c>
      <c r="L2064" s="1001">
        <f>L2063*Input!$D$48</f>
        <v>1315.6116990239998</v>
      </c>
    </row>
    <row r="2065" spans="1:64">
      <c r="A2065" s="1086"/>
      <c r="B2065" s="1086"/>
      <c r="C2065" s="1088" t="s">
        <v>1032</v>
      </c>
      <c r="D2065" s="994">
        <f t="shared" ref="D2065:L2065" si="490">SUM(D2063:D2064)</f>
        <v>8301.191082624</v>
      </c>
      <c r="E2065" s="994">
        <f t="shared" si="490"/>
        <v>8635.8633796739996</v>
      </c>
      <c r="F2065" s="994">
        <f t="shared" si="490"/>
        <v>8970.5356767239991</v>
      </c>
      <c r="G2065" s="994">
        <f t="shared" si="490"/>
        <v>9305.2079737740005</v>
      </c>
      <c r="H2065" s="994">
        <f t="shared" si="490"/>
        <v>9639.880270824</v>
      </c>
      <c r="I2065" s="994">
        <f t="shared" si="490"/>
        <v>9974.5525678739996</v>
      </c>
      <c r="J2065" s="994"/>
      <c r="K2065" s="994">
        <f t="shared" si="490"/>
        <v>10643.897161974</v>
      </c>
      <c r="L2065" s="994">
        <f t="shared" si="490"/>
        <v>10978.569459023998</v>
      </c>
      <c r="M2065" s="997"/>
      <c r="N2065" s="997"/>
      <c r="O2065" s="997"/>
      <c r="P2065" s="997"/>
      <c r="Q2065" s="997"/>
      <c r="R2065" s="997"/>
      <c r="S2065" s="997"/>
      <c r="T2065" s="997"/>
      <c r="U2065" s="997"/>
      <c r="V2065" s="997"/>
      <c r="W2065" s="997"/>
      <c r="X2065" s="997"/>
      <c r="Y2065" s="997"/>
      <c r="Z2065" s="997"/>
      <c r="AA2065" s="997"/>
      <c r="AB2065" s="997"/>
      <c r="AC2065" s="997"/>
      <c r="AD2065" s="997"/>
      <c r="AE2065" s="997"/>
      <c r="AF2065" s="997"/>
      <c r="AG2065" s="997"/>
      <c r="AH2065" s="997"/>
      <c r="AI2065" s="997"/>
      <c r="AJ2065" s="997"/>
      <c r="AK2065" s="997"/>
      <c r="AL2065" s="997"/>
      <c r="AM2065" s="997"/>
      <c r="AN2065" s="997"/>
      <c r="AO2065" s="997"/>
      <c r="AP2065" s="997"/>
      <c r="AQ2065" s="997"/>
      <c r="AR2065" s="997"/>
      <c r="AS2065" s="997"/>
      <c r="AT2065" s="997"/>
      <c r="AU2065" s="997"/>
      <c r="AV2065" s="997"/>
      <c r="AW2065" s="997"/>
      <c r="AX2065" s="997"/>
      <c r="AY2065" s="997"/>
      <c r="AZ2065" s="997"/>
      <c r="BA2065" s="997"/>
      <c r="BB2065" s="997"/>
      <c r="BC2065" s="997"/>
      <c r="BD2065" s="997"/>
      <c r="BE2065" s="997"/>
      <c r="BF2065" s="997"/>
      <c r="BG2065" s="997"/>
      <c r="BH2065" s="997"/>
      <c r="BI2065" s="997"/>
      <c r="BJ2065" s="997"/>
      <c r="BK2065" s="997"/>
      <c r="BL2065" s="997"/>
    </row>
    <row r="2066" spans="1:64">
      <c r="A2066" s="1086"/>
      <c r="B2066" s="1086"/>
      <c r="C2066" s="1118" t="s">
        <v>1034</v>
      </c>
      <c r="D2066" s="999">
        <f t="shared" ref="D2066:L2066" si="491">ROUND(D2065,0)</f>
        <v>8301</v>
      </c>
      <c r="E2066" s="999">
        <f t="shared" si="491"/>
        <v>8636</v>
      </c>
      <c r="F2066" s="999">
        <f t="shared" si="491"/>
        <v>8971</v>
      </c>
      <c r="G2066" s="999">
        <f t="shared" si="491"/>
        <v>9305</v>
      </c>
      <c r="H2066" s="999">
        <f t="shared" si="491"/>
        <v>9640</v>
      </c>
      <c r="I2066" s="999">
        <f t="shared" si="491"/>
        <v>9975</v>
      </c>
      <c r="J2066" s="999"/>
      <c r="K2066" s="999">
        <f t="shared" si="491"/>
        <v>10644</v>
      </c>
      <c r="L2066" s="999">
        <f t="shared" si="491"/>
        <v>10979</v>
      </c>
      <c r="M2066" s="997"/>
      <c r="N2066" s="997"/>
      <c r="O2066" s="997"/>
      <c r="P2066" s="997"/>
      <c r="Q2066" s="997"/>
      <c r="R2066" s="997"/>
      <c r="S2066" s="997"/>
      <c r="T2066" s="997"/>
      <c r="U2066" s="997"/>
      <c r="V2066" s="997"/>
      <c r="W2066" s="997"/>
      <c r="X2066" s="997"/>
      <c r="Y2066" s="997"/>
      <c r="Z2066" s="997"/>
      <c r="AA2066" s="997"/>
      <c r="AB2066" s="997"/>
      <c r="AC2066" s="997"/>
      <c r="AD2066" s="997"/>
      <c r="AE2066" s="997"/>
      <c r="AF2066" s="997"/>
      <c r="AG2066" s="997"/>
      <c r="AH2066" s="997"/>
      <c r="AI2066" s="997"/>
      <c r="AJ2066" s="997"/>
      <c r="AK2066" s="997"/>
      <c r="AL2066" s="997"/>
      <c r="AM2066" s="997"/>
      <c r="AN2066" s="997"/>
      <c r="AO2066" s="997"/>
      <c r="AP2066" s="997"/>
      <c r="AQ2066" s="997"/>
      <c r="AR2066" s="997"/>
      <c r="AS2066" s="997"/>
      <c r="AT2066" s="997"/>
      <c r="AU2066" s="997"/>
      <c r="AV2066" s="997"/>
      <c r="AW2066" s="997"/>
      <c r="AX2066" s="997"/>
      <c r="AY2066" s="997"/>
      <c r="AZ2066" s="997"/>
      <c r="BA2066" s="997"/>
      <c r="BB2066" s="997"/>
      <c r="BC2066" s="997"/>
      <c r="BD2066" s="997"/>
      <c r="BE2066" s="997"/>
      <c r="BF2066" s="997"/>
      <c r="BG2066" s="997"/>
      <c r="BH2066" s="997"/>
      <c r="BI2066" s="997"/>
      <c r="BJ2066" s="997"/>
      <c r="BK2066" s="997"/>
      <c r="BL2066" s="997"/>
    </row>
    <row r="2067" spans="1:64">
      <c r="A2067" s="1818"/>
      <c r="B2067" s="1818"/>
      <c r="C2067" s="1816"/>
      <c r="D2067" s="1114"/>
      <c r="E2067" s="1114"/>
      <c r="F2067" s="1114"/>
      <c r="G2067" s="1114"/>
      <c r="H2067" s="1114"/>
      <c r="I2067" s="1011"/>
      <c r="J2067" s="1846"/>
      <c r="K2067" s="1846"/>
      <c r="L2067" s="1846"/>
    </row>
    <row r="2068" spans="1:64">
      <c r="A2068" s="1818"/>
      <c r="B2068" s="1818"/>
      <c r="C2068" s="1124" t="s">
        <v>1217</v>
      </c>
      <c r="D2068" s="1102" t="s">
        <v>1212</v>
      </c>
      <c r="E2068" s="1102" t="s">
        <v>1213</v>
      </c>
      <c r="F2068" s="1102" t="s">
        <v>1214</v>
      </c>
      <c r="G2068" s="1114"/>
      <c r="H2068" s="1114"/>
      <c r="I2068" s="1011"/>
      <c r="J2068" s="1846"/>
      <c r="K2068" s="1846"/>
      <c r="L2068" s="1846"/>
    </row>
    <row r="2069" spans="1:64">
      <c r="A2069" s="1818"/>
      <c r="B2069" s="1818"/>
      <c r="C2069" s="1817" t="s">
        <v>1337</v>
      </c>
      <c r="D2069" s="1001">
        <f>$I$2054</f>
        <v>6685.62176</v>
      </c>
      <c r="E2069" s="1001">
        <f>$I$2054</f>
        <v>6685.62176</v>
      </c>
      <c r="F2069" s="1001">
        <f>$I$2054</f>
        <v>6685.62176</v>
      </c>
      <c r="G2069" s="1114"/>
      <c r="H2069" s="1114"/>
      <c r="I2069" s="1011"/>
      <c r="J2069" s="1846"/>
      <c r="K2069" s="1846"/>
      <c r="L2069" s="1846"/>
    </row>
    <row r="2070" spans="1:64">
      <c r="A2070" s="1818"/>
      <c r="B2070" s="1818"/>
      <c r="C2070" s="1817" t="s">
        <v>1182</v>
      </c>
      <c r="D2070" s="1001">
        <f>'Civil-SOR'!$F$258</f>
        <v>72</v>
      </c>
      <c r="E2070" s="1001">
        <f>'Civil-SOR'!$F$258</f>
        <v>72</v>
      </c>
      <c r="F2070" s="1001">
        <f>'Civil-SOR'!$F$258</f>
        <v>72</v>
      </c>
      <c r="G2070" s="1114"/>
      <c r="H2070" s="1114"/>
      <c r="I2070" s="1011"/>
      <c r="J2070" s="1846"/>
      <c r="K2070" s="1846"/>
      <c r="L2070" s="1846"/>
    </row>
    <row r="2071" spans="1:64">
      <c r="A2071" s="1818"/>
      <c r="B2071" s="1818"/>
      <c r="C2071" s="1817" t="s">
        <v>1269</v>
      </c>
      <c r="D2071" s="1001">
        <f>'Civil-SOR'!$M$258</f>
        <v>627.20000000000005</v>
      </c>
      <c r="E2071" s="1001">
        <f>'Civil-SOR'!$N$258</f>
        <v>666.4</v>
      </c>
      <c r="F2071" s="1001">
        <f>'Civil-SOR'!$O$258</f>
        <v>705.6</v>
      </c>
      <c r="G2071" s="1114"/>
      <c r="H2071" s="1114"/>
      <c r="I2071" s="1011"/>
      <c r="J2071" s="1846"/>
      <c r="K2071" s="1846"/>
      <c r="L2071" s="1846"/>
    </row>
    <row r="2072" spans="1:64">
      <c r="A2072" s="1818"/>
      <c r="B2072" s="1818"/>
      <c r="C2072" s="1817" t="str">
        <f>Input!$C$47</f>
        <v>Add for MA @ 40%</v>
      </c>
      <c r="D2072" s="1001">
        <f>D2071*Input!$D$47</f>
        <v>250.88000000000002</v>
      </c>
      <c r="E2072" s="1001">
        <f>E2071*Input!$D$47</f>
        <v>266.56</v>
      </c>
      <c r="F2072" s="1001">
        <f>F2071*Input!$D$47</f>
        <v>282.24</v>
      </c>
      <c r="G2072" s="1114"/>
      <c r="H2072" s="1114"/>
      <c r="I2072" s="1011"/>
      <c r="J2072" s="1846"/>
      <c r="K2072" s="1846"/>
      <c r="L2072" s="1846"/>
    </row>
    <row r="2073" spans="1:64">
      <c r="A2073" s="1818"/>
      <c r="B2073" s="1818"/>
      <c r="C2073" s="1817" t="s">
        <v>1253</v>
      </c>
      <c r="D2073" s="1001">
        <f>$F$2053*60%</f>
        <v>1027.23</v>
      </c>
      <c r="E2073" s="1001">
        <f>$F$2053*70%</f>
        <v>1198.4349999999999</v>
      </c>
      <c r="F2073" s="1001">
        <f>$F$2053*80%</f>
        <v>1369.64</v>
      </c>
      <c r="G2073" s="1114"/>
      <c r="H2073" s="1114"/>
      <c r="I2073" s="1011"/>
      <c r="J2073" s="1846"/>
      <c r="K2073" s="1846"/>
      <c r="L2073" s="1846"/>
    </row>
    <row r="2074" spans="1:64">
      <c r="A2074" s="1818"/>
      <c r="B2074" s="1818"/>
      <c r="C2074" s="1817" t="str">
        <f>Input!$C$47</f>
        <v>Add for MA @ 40%</v>
      </c>
      <c r="D2074" s="1001">
        <f>D2073*Input!$D$47</f>
        <v>410.89200000000005</v>
      </c>
      <c r="E2074" s="1001">
        <f>E2073*Input!$D$47</f>
        <v>479.37400000000002</v>
      </c>
      <c r="F2074" s="1001">
        <f>F2073*Input!$D$47</f>
        <v>547.85600000000011</v>
      </c>
      <c r="G2074" s="1114"/>
      <c r="H2074" s="1114"/>
      <c r="I2074" s="1011"/>
      <c r="J2074" s="1846"/>
      <c r="K2074" s="1846"/>
      <c r="L2074" s="1846"/>
    </row>
    <row r="2075" spans="1:64">
      <c r="A2075" s="1818"/>
      <c r="B2075" s="1818"/>
      <c r="C2075" s="1816" t="s">
        <v>1032</v>
      </c>
      <c r="D2075" s="994">
        <f>SUM(D2069:D2074)</f>
        <v>9073.8237599999993</v>
      </c>
      <c r="E2075" s="994">
        <f>SUM(E2069:E2074)</f>
        <v>9368.3907600000002</v>
      </c>
      <c r="F2075" s="994">
        <f>SUM(F2069:F2074)</f>
        <v>9662.9577599999993</v>
      </c>
      <c r="G2075" s="1114"/>
      <c r="H2075" s="1114"/>
      <c r="I2075" s="1011"/>
      <c r="J2075" s="1846"/>
      <c r="K2075" s="1846"/>
      <c r="L2075" s="1846"/>
    </row>
    <row r="2076" spans="1:64">
      <c r="A2076" s="1818"/>
      <c r="B2076" s="1818"/>
      <c r="C2076" s="1817" t="str">
        <f>Input!$C$48</f>
        <v>Overheads &amp; Contractors Profit @ 13.615%</v>
      </c>
      <c r="D2076" s="1001">
        <f>D2075*Input!$D$48</f>
        <v>1235.4011049239998</v>
      </c>
      <c r="E2076" s="1001">
        <f>E2075*Input!$D$48</f>
        <v>1275.506401974</v>
      </c>
      <c r="F2076" s="1001">
        <f>F2075*Input!$D$48</f>
        <v>1315.6116990239998</v>
      </c>
      <c r="G2076" s="1114"/>
      <c r="H2076" s="1114"/>
      <c r="I2076" s="1011"/>
      <c r="J2076" s="1846"/>
      <c r="K2076" s="1846"/>
      <c r="L2076" s="1846"/>
    </row>
    <row r="2077" spans="1:64">
      <c r="A2077" s="1818"/>
      <c r="B2077" s="1818"/>
      <c r="C2077" s="1816" t="s">
        <v>1032</v>
      </c>
      <c r="D2077" s="994">
        <f>SUM(D2075:D2076)</f>
        <v>10309.224864923999</v>
      </c>
      <c r="E2077" s="994">
        <f>SUM(E2075:E2076)</f>
        <v>10643.897161974</v>
      </c>
      <c r="F2077" s="994">
        <f>SUM(F2075:F2076)</f>
        <v>10978.569459023998</v>
      </c>
      <c r="G2077" s="1114"/>
      <c r="H2077" s="1114"/>
      <c r="I2077" s="1011"/>
      <c r="J2077" s="1846"/>
      <c r="K2077" s="1846"/>
      <c r="L2077" s="1846"/>
    </row>
    <row r="2078" spans="1:64">
      <c r="A2078" s="1818"/>
      <c r="B2078" s="1818"/>
      <c r="C2078" s="1843" t="s">
        <v>1034</v>
      </c>
      <c r="D2078" s="999">
        <f>ROUND(D2077,0)</f>
        <v>10309</v>
      </c>
      <c r="E2078" s="999">
        <f>ROUND(E2077,0)</f>
        <v>10644</v>
      </c>
      <c r="F2078" s="999">
        <f>ROUND(F2077,0)</f>
        <v>10979</v>
      </c>
      <c r="G2078" s="1114"/>
      <c r="H2078" s="1114"/>
      <c r="I2078" s="1011"/>
      <c r="J2078" s="1846"/>
      <c r="K2078" s="1846"/>
      <c r="L2078" s="1846"/>
    </row>
    <row r="2079" spans="1:64">
      <c r="A2079" s="1818"/>
      <c r="B2079" s="1818"/>
      <c r="C2079" s="1816"/>
      <c r="D2079" s="1114"/>
      <c r="E2079" s="1114"/>
      <c r="F2079" s="1114"/>
      <c r="G2079" s="1114"/>
      <c r="H2079" s="1114"/>
      <c r="I2079" s="1011"/>
      <c r="J2079" s="1846"/>
      <c r="K2079" s="1846"/>
      <c r="L2079" s="1846"/>
    </row>
    <row r="2080" spans="1:64" ht="88.9" customHeight="1">
      <c r="A2080" s="1818">
        <f>A2036+1</f>
        <v>23</v>
      </c>
      <c r="B2080" s="1818"/>
      <c r="C2080" s="2036" t="s">
        <v>3676</v>
      </c>
      <c r="D2080" s="2036"/>
      <c r="E2080" s="2036"/>
      <c r="F2080" s="2036"/>
      <c r="G2080" s="2036"/>
      <c r="H2080" s="2036"/>
      <c r="I2080" s="1825"/>
      <c r="J2080" s="1846"/>
      <c r="K2080" s="1846"/>
      <c r="L2080" s="1846"/>
    </row>
    <row r="2081" spans="1:64">
      <c r="A2081" s="1818"/>
      <c r="B2081" s="1818"/>
      <c r="C2081" s="1049" t="s">
        <v>1338</v>
      </c>
      <c r="D2081" s="1849"/>
      <c r="E2081" s="1849"/>
      <c r="F2081" s="1847"/>
      <c r="G2081" s="1849"/>
      <c r="H2081" s="1817"/>
      <c r="I2081" s="1848"/>
      <c r="J2081" s="1846"/>
      <c r="K2081" s="1846"/>
      <c r="L2081" s="1846"/>
    </row>
    <row r="2082" spans="1:64">
      <c r="A2082" s="1818"/>
      <c r="B2082" s="1818"/>
      <c r="C2082" s="1821" t="s">
        <v>1139</v>
      </c>
      <c r="D2082" s="1849"/>
      <c r="E2082" s="1849"/>
      <c r="F2082" s="1847"/>
      <c r="G2082" s="1849"/>
      <c r="H2082" s="1817"/>
      <c r="I2082" s="1848"/>
      <c r="J2082" s="1846"/>
      <c r="K2082" s="1846"/>
      <c r="L2082" s="1846"/>
    </row>
    <row r="2083" spans="1:64">
      <c r="A2083" s="1818"/>
      <c r="B2083" s="1818"/>
      <c r="C2083" s="1820" t="s">
        <v>889</v>
      </c>
      <c r="D2083" s="1096">
        <v>350</v>
      </c>
      <c r="E2083" s="1846" t="s">
        <v>1110</v>
      </c>
      <c r="F2083" s="1021">
        <f>LEAD!$N$6</f>
        <v>5200</v>
      </c>
      <c r="G2083" s="1105">
        <v>1000</v>
      </c>
      <c r="H2083" s="1846" t="s">
        <v>1110</v>
      </c>
      <c r="I2083" s="1030">
        <f t="shared" ref="I2083:I2085" si="492">IF(G2083="",D2083*F2083,(D2083*F2083/G2083))</f>
        <v>1820</v>
      </c>
      <c r="J2083" s="1846"/>
      <c r="K2083" s="1846"/>
      <c r="L2083" s="1846"/>
    </row>
    <row r="2084" spans="1:64">
      <c r="A2084" s="1818"/>
      <c r="B2084" s="1818"/>
      <c r="C2084" s="1820" t="s">
        <v>1289</v>
      </c>
      <c r="D2084" s="1096">
        <v>0.8</v>
      </c>
      <c r="E2084" s="1846" t="s">
        <v>484</v>
      </c>
      <c r="F2084" s="1021">
        <f>$F$22</f>
        <v>1387.96</v>
      </c>
      <c r="G2084" s="1105">
        <v>1</v>
      </c>
      <c r="H2084" s="1846" t="s">
        <v>484</v>
      </c>
      <c r="I2084" s="1030">
        <f t="shared" si="492"/>
        <v>1110.3680000000002</v>
      </c>
      <c r="J2084" s="1846"/>
      <c r="K2084" s="1846"/>
      <c r="L2084" s="1846"/>
    </row>
    <row r="2085" spans="1:64">
      <c r="A2085" s="1818"/>
      <c r="B2085" s="1818"/>
      <c r="C2085" s="1820" t="s">
        <v>1163</v>
      </c>
      <c r="D2085" s="1096">
        <v>0.4</v>
      </c>
      <c r="E2085" s="1846" t="s">
        <v>484</v>
      </c>
      <c r="F2085" s="1021">
        <f>LEAD!$N$12</f>
        <v>2253.91</v>
      </c>
      <c r="G2085" s="1105">
        <v>1</v>
      </c>
      <c r="H2085" s="1846" t="s">
        <v>484</v>
      </c>
      <c r="I2085" s="1030">
        <f t="shared" si="492"/>
        <v>901.56399999999996</v>
      </c>
      <c r="J2085" s="1846"/>
      <c r="K2085" s="1846"/>
      <c r="L2085" s="1846"/>
    </row>
    <row r="2086" spans="1:64">
      <c r="A2086" s="1818"/>
      <c r="B2086" s="1818"/>
      <c r="C2086" s="1825" t="s">
        <v>1172</v>
      </c>
      <c r="D2086" s="1846"/>
      <c r="E2086" s="1846"/>
      <c r="F2086" s="1068"/>
      <c r="G2086" s="1846"/>
      <c r="H2086" s="1846"/>
      <c r="I2086" s="1021"/>
      <c r="J2086" s="1846"/>
      <c r="K2086" s="1846"/>
      <c r="L2086" s="1846"/>
    </row>
    <row r="2087" spans="1:64">
      <c r="A2087" s="1818"/>
      <c r="B2087" s="1818"/>
      <c r="C2087" s="1820" t="s">
        <v>1173</v>
      </c>
      <c r="D2087" s="1132">
        <v>0.13300000000000001</v>
      </c>
      <c r="E2087" s="1846" t="s">
        <v>955</v>
      </c>
      <c r="F2087" s="1021">
        <f>'Civil-SOR'!$G$293</f>
        <v>580</v>
      </c>
      <c r="G2087" s="1105">
        <v>1</v>
      </c>
      <c r="H2087" s="1846" t="s">
        <v>501</v>
      </c>
      <c r="I2087" s="1030">
        <f t="shared" ref="I2087:I2090" si="493">IF(G2087="",D2087*F2087,(D2087*F2087/G2087))</f>
        <v>77.14</v>
      </c>
      <c r="J2087" s="1846"/>
      <c r="K2087" s="1846"/>
      <c r="L2087" s="1846"/>
    </row>
    <row r="2088" spans="1:64">
      <c r="A2088" s="1818"/>
      <c r="B2088" s="1818"/>
      <c r="C2088" s="1820" t="s">
        <v>1174</v>
      </c>
      <c r="D2088" s="1132">
        <v>0.26700000000000002</v>
      </c>
      <c r="E2088" s="1846" t="s">
        <v>955</v>
      </c>
      <c r="F2088" s="1021">
        <f>'Civil-SOR'!$G$302</f>
        <v>550</v>
      </c>
      <c r="G2088" s="1105">
        <v>1</v>
      </c>
      <c r="H2088" s="1846" t="str">
        <f>H2087</f>
        <v>Each</v>
      </c>
      <c r="I2088" s="1030">
        <f t="shared" si="493"/>
        <v>146.85</v>
      </c>
      <c r="J2088" s="1846"/>
      <c r="K2088" s="1846"/>
      <c r="L2088" s="1846"/>
    </row>
    <row r="2089" spans="1:64">
      <c r="A2089" s="1818"/>
      <c r="B2089" s="1818"/>
      <c r="C2089" s="1820" t="s">
        <v>1175</v>
      </c>
      <c r="D2089" s="1096">
        <v>3.6</v>
      </c>
      <c r="E2089" s="1846" t="s">
        <v>955</v>
      </c>
      <c r="F2089" s="1021">
        <f>'Civil-SOR'!$G$307</f>
        <v>520</v>
      </c>
      <c r="G2089" s="1105">
        <v>1</v>
      </c>
      <c r="H2089" s="1846" t="str">
        <f>H2087</f>
        <v>Each</v>
      </c>
      <c r="I2089" s="1030">
        <f t="shared" si="493"/>
        <v>1872</v>
      </c>
      <c r="J2089" s="1846"/>
      <c r="K2089" s="1846"/>
      <c r="L2089" s="1846"/>
    </row>
    <row r="2090" spans="1:64">
      <c r="A2090" s="1818"/>
      <c r="B2090" s="1818"/>
      <c r="C2090" s="1820" t="str">
        <f>Input!$C$47</f>
        <v>Add for MA @ 40%</v>
      </c>
      <c r="D2090" s="1096">
        <f>Input!$D$47</f>
        <v>0.4</v>
      </c>
      <c r="E2090" s="1846"/>
      <c r="F2090" s="1021">
        <f>SUM(I2087:I2089)</f>
        <v>2095.9899999999998</v>
      </c>
      <c r="G2090" s="1105"/>
      <c r="H2090" s="1846"/>
      <c r="I2090" s="1030">
        <f t="shared" si="493"/>
        <v>838.39599999999996</v>
      </c>
      <c r="J2090" s="1846"/>
      <c r="K2090" s="1846"/>
      <c r="L2090" s="1846"/>
    </row>
    <row r="2091" spans="1:64">
      <c r="A2091" s="1818"/>
      <c r="B2091" s="1818"/>
      <c r="C2091" s="1825" t="s">
        <v>1176</v>
      </c>
      <c r="D2091" s="1096"/>
      <c r="E2091" s="1846"/>
      <c r="F2091" s="1021"/>
      <c r="G2091" s="1105"/>
      <c r="H2091" s="1846"/>
      <c r="I2091" s="1030"/>
      <c r="J2091" s="1846"/>
      <c r="K2091" s="1846"/>
      <c r="L2091" s="1846"/>
    </row>
    <row r="2092" spans="1:64" ht="25.5">
      <c r="A2092" s="1818"/>
      <c r="B2092" s="1818"/>
      <c r="C2092" s="1820" t="s">
        <v>582</v>
      </c>
      <c r="D2092" s="1132">
        <v>0.308</v>
      </c>
      <c r="E2092" s="1052" t="s">
        <v>400</v>
      </c>
      <c r="F2092" s="1030">
        <f>'Civil-SOR'!G330</f>
        <v>192.9</v>
      </c>
      <c r="G2092" s="1144">
        <v>1</v>
      </c>
      <c r="H2092" s="1144" t="str">
        <f t="shared" ref="H2092:H2093" si="494">IF(E2092="","",IF(E2092="No.","Each",IF(E2092="Nos.","Each",E2092)))</f>
        <v>hour</v>
      </c>
      <c r="I2092" s="1030">
        <f t="shared" ref="I2092:I2095" si="495">IF(G2092="",D2092*F2092,(D2092*F2092/G2092))</f>
        <v>59.413200000000003</v>
      </c>
      <c r="J2092" s="1846"/>
      <c r="K2092" s="1846"/>
      <c r="L2092" s="1846"/>
    </row>
    <row r="2093" spans="1:64">
      <c r="A2093" s="1818"/>
      <c r="B2093" s="1818"/>
      <c r="C2093" s="1820" t="s">
        <v>579</v>
      </c>
      <c r="D2093" s="1132">
        <v>0.308</v>
      </c>
      <c r="E2093" s="1052" t="s">
        <v>400</v>
      </c>
      <c r="F2093" s="1030">
        <f>'Civil-SOR'!J330</f>
        <v>302.89999999999998</v>
      </c>
      <c r="G2093" s="1144">
        <v>1</v>
      </c>
      <c r="H2093" s="1144" t="str">
        <f t="shared" si="494"/>
        <v>hour</v>
      </c>
      <c r="I2093" s="1030">
        <f t="shared" si="495"/>
        <v>93.293199999999999</v>
      </c>
      <c r="J2093" s="1846"/>
      <c r="K2093" s="1846"/>
      <c r="L2093" s="1846"/>
    </row>
    <row r="2094" spans="1:64">
      <c r="A2094" s="1818"/>
      <c r="B2094" s="1818"/>
      <c r="C2094" s="1817" t="s">
        <v>1085</v>
      </c>
      <c r="D2094" s="1096">
        <f>Input!$D$47</f>
        <v>0.4</v>
      </c>
      <c r="E2094" s="1846"/>
      <c r="F2094" s="1021">
        <f>I2093</f>
        <v>93.293199999999999</v>
      </c>
      <c r="G2094" s="1105"/>
      <c r="H2094" s="1846"/>
      <c r="I2094" s="1030">
        <f t="shared" si="495"/>
        <v>37.317280000000004</v>
      </c>
      <c r="J2094" s="1846"/>
      <c r="K2094" s="1846"/>
      <c r="L2094" s="1846"/>
    </row>
    <row r="2095" spans="1:64">
      <c r="A2095" s="1818"/>
      <c r="B2095" s="1818"/>
      <c r="C2095" s="1820" t="s">
        <v>1339</v>
      </c>
      <c r="D2095" s="1000">
        <v>1.2</v>
      </c>
      <c r="E2095" s="1044" t="s">
        <v>1143</v>
      </c>
      <c r="F2095" s="1001">
        <f>Input!$D$53</f>
        <v>108</v>
      </c>
      <c r="G2095" s="1015">
        <v>1</v>
      </c>
      <c r="H2095" s="1050" t="str">
        <f>IF(E2095="","",IF(E2095="No.","Each",IF(E2095="Nos.","Each",E2095)))</f>
        <v>kl</v>
      </c>
      <c r="I2095" s="1030">
        <f t="shared" si="495"/>
        <v>129.6</v>
      </c>
      <c r="J2095" s="1846"/>
      <c r="K2095" s="1846"/>
      <c r="L2095" s="1846"/>
    </row>
    <row r="2096" spans="1:64">
      <c r="A2096" s="1086"/>
      <c r="B2096" s="1086"/>
      <c r="C2096" s="1088" t="s">
        <v>1340</v>
      </c>
      <c r="D2096" s="996"/>
      <c r="E2096" s="996"/>
      <c r="F2096" s="1023"/>
      <c r="G2096" s="1100"/>
      <c r="H2096" s="996"/>
      <c r="I2096" s="1834">
        <f>SUM(I2083:I2095)</f>
        <v>7085.9416800000008</v>
      </c>
      <c r="J2096" s="996"/>
      <c r="K2096" s="996"/>
      <c r="L2096" s="996"/>
      <c r="M2096" s="997"/>
      <c r="N2096" s="997"/>
      <c r="O2096" s="997"/>
      <c r="P2096" s="997"/>
      <c r="Q2096" s="997"/>
      <c r="R2096" s="997"/>
      <c r="S2096" s="997"/>
      <c r="T2096" s="997"/>
      <c r="U2096" s="997"/>
      <c r="V2096" s="997"/>
      <c r="W2096" s="997"/>
      <c r="X2096" s="997"/>
      <c r="Y2096" s="997"/>
      <c r="Z2096" s="997"/>
      <c r="AA2096" s="997"/>
      <c r="AB2096" s="997"/>
      <c r="AC2096" s="997"/>
      <c r="AD2096" s="997"/>
      <c r="AE2096" s="997"/>
      <c r="AF2096" s="997"/>
      <c r="AG2096" s="997"/>
      <c r="AH2096" s="997"/>
      <c r="AI2096" s="997"/>
      <c r="AJ2096" s="997"/>
      <c r="AK2096" s="997"/>
      <c r="AL2096" s="997"/>
      <c r="AM2096" s="997"/>
      <c r="AN2096" s="997"/>
      <c r="AO2096" s="997"/>
      <c r="AP2096" s="997"/>
      <c r="AQ2096" s="997"/>
      <c r="AR2096" s="997"/>
      <c r="AS2096" s="997"/>
      <c r="AT2096" s="997"/>
      <c r="AU2096" s="997"/>
      <c r="AV2096" s="997"/>
      <c r="AW2096" s="997"/>
      <c r="AX2096" s="997"/>
      <c r="AY2096" s="997"/>
      <c r="AZ2096" s="997"/>
      <c r="BA2096" s="997"/>
      <c r="BB2096" s="997"/>
      <c r="BC2096" s="997"/>
      <c r="BD2096" s="997"/>
      <c r="BE2096" s="997"/>
      <c r="BF2096" s="997"/>
      <c r="BG2096" s="997"/>
      <c r="BH2096" s="997"/>
      <c r="BI2096" s="997"/>
      <c r="BJ2096" s="997"/>
      <c r="BK2096" s="997"/>
      <c r="BL2096" s="997"/>
    </row>
    <row r="2097" spans="1:64">
      <c r="A2097" s="1818"/>
      <c r="B2097" s="1818"/>
      <c r="C2097" s="1816" t="s">
        <v>1217</v>
      </c>
      <c r="D2097" s="1009" t="s">
        <v>1341</v>
      </c>
      <c r="E2097" s="1114" t="s">
        <v>1207</v>
      </c>
      <c r="F2097" s="1106" t="s">
        <v>1208</v>
      </c>
      <c r="G2097" s="1106" t="s">
        <v>1209</v>
      </c>
      <c r="H2097" s="1106" t="s">
        <v>1210</v>
      </c>
      <c r="I2097" s="1106" t="s">
        <v>1211</v>
      </c>
      <c r="J2097" s="996"/>
      <c r="K2097" s="996"/>
      <c r="L2097" s="996"/>
    </row>
    <row r="2098" spans="1:64">
      <c r="A2098" s="1058"/>
      <c r="B2098" s="1058"/>
      <c r="C2098" s="1817" t="s">
        <v>1317</v>
      </c>
      <c r="D2098" s="1062">
        <f t="shared" ref="D2098:I2098" si="496">$I$2096</f>
        <v>7085.9416800000008</v>
      </c>
      <c r="E2098" s="1062">
        <f t="shared" si="496"/>
        <v>7085.9416800000008</v>
      </c>
      <c r="F2098" s="1062">
        <f t="shared" si="496"/>
        <v>7085.9416800000008</v>
      </c>
      <c r="G2098" s="1062">
        <f t="shared" si="496"/>
        <v>7085.9416800000008</v>
      </c>
      <c r="H2098" s="1062">
        <f t="shared" si="496"/>
        <v>7085.9416800000008</v>
      </c>
      <c r="I2098" s="1062">
        <f t="shared" si="496"/>
        <v>7085.9416800000008</v>
      </c>
      <c r="J2098" s="996"/>
      <c r="K2098" s="996"/>
      <c r="L2098" s="996"/>
    </row>
    <row r="2099" spans="1:64">
      <c r="A2099" s="1058"/>
      <c r="B2099" s="1058"/>
      <c r="C2099" s="1817" t="s">
        <v>1182</v>
      </c>
      <c r="D2099" s="1062">
        <f>'Civil-SOR'!$F$258</f>
        <v>72</v>
      </c>
      <c r="E2099" s="1062">
        <f>'Civil-SOR'!$F$258</f>
        <v>72</v>
      </c>
      <c r="F2099" s="1062">
        <f>'Civil-SOR'!$F$258</f>
        <v>72</v>
      </c>
      <c r="G2099" s="1062">
        <f>'Civil-SOR'!$F$258</f>
        <v>72</v>
      </c>
      <c r="H2099" s="1062">
        <f>'Civil-SOR'!$F$258</f>
        <v>72</v>
      </c>
      <c r="I2099" s="1062">
        <f>'Civil-SOR'!$F$258</f>
        <v>72</v>
      </c>
      <c r="J2099" s="996"/>
      <c r="K2099" s="996"/>
      <c r="L2099" s="996"/>
    </row>
    <row r="2100" spans="1:64">
      <c r="A2100" s="1058"/>
      <c r="B2100" s="1058"/>
      <c r="C2100" s="1817" t="s">
        <v>1269</v>
      </c>
      <c r="D2100" s="1062">
        <f>'Civil-SOR'!$G$258</f>
        <v>392</v>
      </c>
      <c r="E2100" s="1062">
        <f>'Civil-SOR'!$H$258</f>
        <v>431.20000000000005</v>
      </c>
      <c r="F2100" s="1062">
        <f>'Civil-SOR'!$I$258</f>
        <v>470.4</v>
      </c>
      <c r="G2100" s="1062">
        <f>'Civil-SOR'!$J$258</f>
        <v>509.6</v>
      </c>
      <c r="H2100" s="1062">
        <f>'Civil-SOR'!$K$258</f>
        <v>548.79999999999995</v>
      </c>
      <c r="I2100" s="1062">
        <f>'Civil-SOR'!$L$258</f>
        <v>588</v>
      </c>
      <c r="J2100" s="996"/>
      <c r="K2100" s="996"/>
      <c r="L2100" s="996"/>
    </row>
    <row r="2101" spans="1:64">
      <c r="A2101" s="1058"/>
      <c r="B2101" s="1058"/>
      <c r="C2101" s="1817" t="str">
        <f>Input!$C$47</f>
        <v>Add for MA @ 40%</v>
      </c>
      <c r="D2101" s="1062">
        <f>D2100*Input!$D$47</f>
        <v>156.80000000000001</v>
      </c>
      <c r="E2101" s="1062">
        <f>E2100*Input!$D$47</f>
        <v>172.48000000000002</v>
      </c>
      <c r="F2101" s="1062">
        <f>F2100*Input!$D$47</f>
        <v>188.16</v>
      </c>
      <c r="G2101" s="1062">
        <f>G2100*Input!$D$47</f>
        <v>203.84000000000003</v>
      </c>
      <c r="H2101" s="1062">
        <f>H2100*Input!$D$47</f>
        <v>219.51999999999998</v>
      </c>
      <c r="I2101" s="1062">
        <f>I2100*Input!$D$47</f>
        <v>235.20000000000002</v>
      </c>
      <c r="J2101" s="996"/>
      <c r="K2101" s="996"/>
      <c r="L2101" s="996"/>
    </row>
    <row r="2102" spans="1:64">
      <c r="A2102" s="1058"/>
      <c r="B2102" s="1058"/>
      <c r="C2102" s="1817" t="s">
        <v>1253</v>
      </c>
      <c r="D2102" s="1062">
        <v>0</v>
      </c>
      <c r="E2102" s="1062">
        <f>$F$2090*10%</f>
        <v>209.59899999999999</v>
      </c>
      <c r="F2102" s="1062">
        <f>$F$2090*20%</f>
        <v>419.19799999999998</v>
      </c>
      <c r="G2102" s="1062">
        <f>$F$2090*30%</f>
        <v>628.79699999999991</v>
      </c>
      <c r="H2102" s="1062">
        <f>$F$2090*40%</f>
        <v>838.39599999999996</v>
      </c>
      <c r="I2102" s="1062">
        <f>$F$2090*50%</f>
        <v>1047.9949999999999</v>
      </c>
      <c r="J2102" s="996"/>
      <c r="K2102" s="996"/>
      <c r="L2102" s="996"/>
    </row>
    <row r="2103" spans="1:64">
      <c r="A2103" s="1058"/>
      <c r="B2103" s="1058"/>
      <c r="C2103" s="1817" t="str">
        <f>Input!$C$47</f>
        <v>Add for MA @ 40%</v>
      </c>
      <c r="D2103" s="1062">
        <f>D2102*Input!$D$47</f>
        <v>0</v>
      </c>
      <c r="E2103" s="1062">
        <f>E2102*Input!$D$47</f>
        <v>83.839600000000004</v>
      </c>
      <c r="F2103" s="1062">
        <f>F2102*Input!$D$47</f>
        <v>167.67920000000001</v>
      </c>
      <c r="G2103" s="1062">
        <f>G2102*Input!$D$47</f>
        <v>251.51879999999997</v>
      </c>
      <c r="H2103" s="1062">
        <f>H2102*Input!$D$47</f>
        <v>335.35840000000002</v>
      </c>
      <c r="I2103" s="1062">
        <f>I2102*Input!$D$47</f>
        <v>419.19799999999998</v>
      </c>
      <c r="J2103" s="996"/>
      <c r="K2103" s="996"/>
      <c r="L2103" s="996"/>
    </row>
    <row r="2104" spans="1:64">
      <c r="A2104" s="1058"/>
      <c r="B2104" s="1058"/>
      <c r="C2104" s="1817" t="s">
        <v>1032</v>
      </c>
      <c r="D2104" s="1062">
        <f t="shared" ref="D2104:I2104" si="497">SUM(D2098:D2103)</f>
        <v>7706.741680000001</v>
      </c>
      <c r="E2104" s="1062">
        <f t="shared" si="497"/>
        <v>8055.0602800000006</v>
      </c>
      <c r="F2104" s="1062">
        <f t="shared" si="497"/>
        <v>8403.3788800000002</v>
      </c>
      <c r="G2104" s="1062">
        <f t="shared" si="497"/>
        <v>8751.6974800000007</v>
      </c>
      <c r="H2104" s="1062">
        <f t="shared" si="497"/>
        <v>9100.0160800000012</v>
      </c>
      <c r="I2104" s="1062">
        <f t="shared" si="497"/>
        <v>9448.3346799999999</v>
      </c>
      <c r="J2104" s="996"/>
      <c r="K2104" s="996"/>
      <c r="L2104" s="996"/>
    </row>
    <row r="2105" spans="1:64">
      <c r="A2105" s="1058"/>
      <c r="B2105" s="1058"/>
      <c r="C2105" s="1828" t="str">
        <f>Input!$C$48</f>
        <v>Overheads &amp; Contractors Profit @ 13.615%</v>
      </c>
      <c r="D2105" s="1062">
        <f>D2104*Input!$D$48</f>
        <v>1049.2728797320001</v>
      </c>
      <c r="E2105" s="1062">
        <f>E2104*Input!$D$48</f>
        <v>1096.6964571220001</v>
      </c>
      <c r="F2105" s="1062">
        <f>F2104*Input!$D$48</f>
        <v>1144.1200345120001</v>
      </c>
      <c r="G2105" s="1062">
        <f>G2104*Input!$D$48</f>
        <v>1191.5436119020001</v>
      </c>
      <c r="H2105" s="1062">
        <f>H2104*Input!$D$48</f>
        <v>1238.9671892920001</v>
      </c>
      <c r="I2105" s="1062">
        <f>I2104*Input!$D$48</f>
        <v>1286.3907666819998</v>
      </c>
      <c r="J2105" s="996"/>
      <c r="K2105" s="996"/>
      <c r="L2105" s="996"/>
    </row>
    <row r="2106" spans="1:64">
      <c r="A2106" s="1172"/>
      <c r="B2106" s="1172"/>
      <c r="C2106" s="1088" t="s">
        <v>1032</v>
      </c>
      <c r="D2106" s="1174">
        <f t="shared" ref="D2106:I2106" si="498">SUM(D2104:D2105)</f>
        <v>8756.0145597320006</v>
      </c>
      <c r="E2106" s="1174">
        <f t="shared" si="498"/>
        <v>9151.7567371220011</v>
      </c>
      <c r="F2106" s="1174">
        <f t="shared" si="498"/>
        <v>9547.4989145119998</v>
      </c>
      <c r="G2106" s="1174">
        <f t="shared" si="498"/>
        <v>9943.2410919020003</v>
      </c>
      <c r="H2106" s="1174">
        <f t="shared" si="498"/>
        <v>10338.983269292001</v>
      </c>
      <c r="I2106" s="1174">
        <f t="shared" si="498"/>
        <v>10734.725446682</v>
      </c>
      <c r="J2106" s="996"/>
      <c r="K2106" s="996"/>
      <c r="L2106" s="996"/>
      <c r="M2106" s="997"/>
      <c r="N2106" s="997"/>
      <c r="O2106" s="997"/>
      <c r="P2106" s="997"/>
      <c r="Q2106" s="997"/>
      <c r="R2106" s="997"/>
      <c r="S2106" s="997"/>
      <c r="T2106" s="997"/>
      <c r="U2106" s="997"/>
      <c r="V2106" s="997"/>
      <c r="W2106" s="997"/>
      <c r="X2106" s="997"/>
      <c r="Y2106" s="997"/>
      <c r="Z2106" s="997"/>
      <c r="AA2106" s="997"/>
      <c r="AB2106" s="997"/>
      <c r="AC2106" s="997"/>
      <c r="AD2106" s="997"/>
      <c r="AE2106" s="997"/>
      <c r="AF2106" s="997"/>
      <c r="AG2106" s="997"/>
      <c r="AH2106" s="997"/>
      <c r="AI2106" s="997"/>
      <c r="AJ2106" s="997"/>
      <c r="AK2106" s="997"/>
      <c r="AL2106" s="997"/>
      <c r="AM2106" s="997"/>
      <c r="AN2106" s="997"/>
      <c r="AO2106" s="997"/>
      <c r="AP2106" s="997"/>
      <c r="AQ2106" s="997"/>
      <c r="AR2106" s="997"/>
      <c r="AS2106" s="997"/>
      <c r="AT2106" s="997"/>
      <c r="AU2106" s="997"/>
      <c r="AV2106" s="997"/>
      <c r="AW2106" s="997"/>
      <c r="AX2106" s="997"/>
      <c r="AY2106" s="997"/>
      <c r="AZ2106" s="997"/>
      <c r="BA2106" s="997"/>
      <c r="BB2106" s="997"/>
      <c r="BC2106" s="997"/>
      <c r="BD2106" s="997"/>
      <c r="BE2106" s="997"/>
      <c r="BF2106" s="997"/>
      <c r="BG2106" s="997"/>
      <c r="BH2106" s="997"/>
      <c r="BI2106" s="997"/>
      <c r="BJ2106" s="997"/>
      <c r="BK2106" s="997"/>
      <c r="BL2106" s="997"/>
    </row>
    <row r="2107" spans="1:64">
      <c r="A2107" s="1172"/>
      <c r="B2107" s="1172"/>
      <c r="C2107" s="1118" t="s">
        <v>1034</v>
      </c>
      <c r="D2107" s="1134">
        <f t="shared" ref="D2107:I2107" si="499">ROUND(D2106,0)</f>
        <v>8756</v>
      </c>
      <c r="E2107" s="1134">
        <f t="shared" si="499"/>
        <v>9152</v>
      </c>
      <c r="F2107" s="1134">
        <f t="shared" si="499"/>
        <v>9547</v>
      </c>
      <c r="G2107" s="1134">
        <f t="shared" si="499"/>
        <v>9943</v>
      </c>
      <c r="H2107" s="1134">
        <f t="shared" si="499"/>
        <v>10339</v>
      </c>
      <c r="I2107" s="1134">
        <f t="shared" si="499"/>
        <v>10735</v>
      </c>
      <c r="J2107" s="996"/>
      <c r="K2107" s="996"/>
      <c r="L2107" s="996"/>
      <c r="M2107" s="997"/>
      <c r="N2107" s="997"/>
      <c r="O2107" s="997"/>
      <c r="P2107" s="997"/>
      <c r="Q2107" s="997"/>
      <c r="R2107" s="997"/>
      <c r="S2107" s="997"/>
      <c r="T2107" s="997"/>
      <c r="U2107" s="997"/>
      <c r="V2107" s="997"/>
      <c r="W2107" s="997"/>
      <c r="X2107" s="997"/>
      <c r="Y2107" s="997"/>
      <c r="Z2107" s="997"/>
      <c r="AA2107" s="997"/>
      <c r="AB2107" s="997"/>
      <c r="AC2107" s="997"/>
      <c r="AD2107" s="997"/>
      <c r="AE2107" s="997"/>
      <c r="AF2107" s="997"/>
      <c r="AG2107" s="997"/>
      <c r="AH2107" s="997"/>
      <c r="AI2107" s="997"/>
      <c r="AJ2107" s="997"/>
      <c r="AK2107" s="997"/>
      <c r="AL2107" s="997"/>
      <c r="AM2107" s="997"/>
      <c r="AN2107" s="997"/>
      <c r="AO2107" s="997"/>
      <c r="AP2107" s="997"/>
      <c r="AQ2107" s="997"/>
      <c r="AR2107" s="997"/>
      <c r="AS2107" s="997"/>
      <c r="AT2107" s="997"/>
      <c r="AU2107" s="997"/>
      <c r="AV2107" s="997"/>
      <c r="AW2107" s="997"/>
      <c r="AX2107" s="997"/>
      <c r="AY2107" s="997"/>
      <c r="AZ2107" s="997"/>
      <c r="BA2107" s="997"/>
      <c r="BB2107" s="997"/>
      <c r="BC2107" s="997"/>
      <c r="BD2107" s="997"/>
      <c r="BE2107" s="997"/>
      <c r="BF2107" s="997"/>
      <c r="BG2107" s="997"/>
      <c r="BH2107" s="997"/>
      <c r="BI2107" s="997"/>
      <c r="BJ2107" s="997"/>
      <c r="BK2107" s="997"/>
      <c r="BL2107" s="997"/>
    </row>
    <row r="2108" spans="1:64">
      <c r="A2108" s="1818"/>
      <c r="B2108" s="1818"/>
      <c r="C2108" s="1816"/>
      <c r="D2108" s="1114"/>
      <c r="E2108" s="1114"/>
      <c r="F2108" s="1114"/>
      <c r="G2108" s="1114"/>
      <c r="H2108" s="1114"/>
      <c r="I2108" s="1009"/>
      <c r="J2108" s="996"/>
      <c r="K2108" s="996"/>
      <c r="L2108" s="996"/>
    </row>
    <row r="2109" spans="1:64">
      <c r="A2109" s="1818"/>
      <c r="B2109" s="1818"/>
      <c r="C2109" s="1816"/>
      <c r="D2109" s="1114"/>
      <c r="E2109" s="1114"/>
      <c r="F2109" s="1114"/>
      <c r="G2109" s="1114"/>
      <c r="H2109" s="1114"/>
      <c r="I2109" s="1009"/>
      <c r="J2109" s="996"/>
      <c r="K2109" s="996"/>
      <c r="L2109" s="996"/>
    </row>
    <row r="2110" spans="1:64">
      <c r="A2110" s="1818"/>
      <c r="B2110" s="1818"/>
      <c r="C2110" s="1816" t="s">
        <v>1217</v>
      </c>
      <c r="D2110" s="1102" t="s">
        <v>1212</v>
      </c>
      <c r="E2110" s="1102" t="s">
        <v>1213</v>
      </c>
      <c r="F2110" s="1102" t="s">
        <v>1214</v>
      </c>
      <c r="G2110" s="1114"/>
      <c r="H2110" s="1114"/>
      <c r="I2110" s="1009"/>
      <c r="J2110" s="1846"/>
      <c r="K2110" s="1846"/>
      <c r="L2110" s="1846"/>
    </row>
    <row r="2111" spans="1:64">
      <c r="A2111" s="1818"/>
      <c r="B2111" s="1818"/>
      <c r="C2111" s="1817" t="s">
        <v>1317</v>
      </c>
      <c r="D2111" s="1062">
        <f>$I$2096</f>
        <v>7085.9416800000008</v>
      </c>
      <c r="E2111" s="1062">
        <f>$I$2096</f>
        <v>7085.9416800000008</v>
      </c>
      <c r="F2111" s="1062">
        <f>$I$2096</f>
        <v>7085.9416800000008</v>
      </c>
      <c r="G2111" s="1114"/>
      <c r="H2111" s="1114"/>
      <c r="I2111" s="1009"/>
      <c r="J2111" s="1846"/>
      <c r="K2111" s="1846"/>
      <c r="L2111" s="1846"/>
    </row>
    <row r="2112" spans="1:64">
      <c r="A2112" s="1818"/>
      <c r="B2112" s="1818"/>
      <c r="C2112" s="1817" t="s">
        <v>1182</v>
      </c>
      <c r="D2112" s="1062">
        <f>'Civil-SOR'!$F$258</f>
        <v>72</v>
      </c>
      <c r="E2112" s="1062">
        <f>'Civil-SOR'!$F$258</f>
        <v>72</v>
      </c>
      <c r="F2112" s="1062">
        <f>'Civil-SOR'!$F$258</f>
        <v>72</v>
      </c>
      <c r="G2112" s="1114"/>
      <c r="H2112" s="1114"/>
      <c r="I2112" s="1009"/>
      <c r="J2112" s="1846"/>
      <c r="K2112" s="1846"/>
      <c r="L2112" s="1846"/>
    </row>
    <row r="2113" spans="1:12">
      <c r="A2113" s="1818"/>
      <c r="B2113" s="1818"/>
      <c r="C2113" s="1817" t="s">
        <v>1269</v>
      </c>
      <c r="D2113" s="1062">
        <f>'Civil-SOR'!$M$258</f>
        <v>627.20000000000005</v>
      </c>
      <c r="E2113" s="1062">
        <f>'Civil-SOR'!$N$258</f>
        <v>666.4</v>
      </c>
      <c r="F2113" s="1062">
        <f>'Civil-SOR'!$O$258</f>
        <v>705.6</v>
      </c>
      <c r="G2113" s="1114"/>
      <c r="H2113" s="1114"/>
      <c r="I2113" s="1009"/>
      <c r="J2113" s="1846"/>
      <c r="K2113" s="1846"/>
      <c r="L2113" s="1846"/>
    </row>
    <row r="2114" spans="1:12">
      <c r="A2114" s="1818"/>
      <c r="B2114" s="1818"/>
      <c r="C2114" s="1817" t="str">
        <f>Input!$C$47</f>
        <v>Add for MA @ 40%</v>
      </c>
      <c r="D2114" s="1062">
        <f>D2113*Input!$D$47</f>
        <v>250.88000000000002</v>
      </c>
      <c r="E2114" s="1062">
        <f>E2113*Input!$D$47</f>
        <v>266.56</v>
      </c>
      <c r="F2114" s="1062">
        <f>F2113*Input!$D$47</f>
        <v>282.24</v>
      </c>
      <c r="G2114" s="1114"/>
      <c r="H2114" s="1114"/>
      <c r="I2114" s="1009"/>
      <c r="J2114" s="1846"/>
      <c r="K2114" s="1846"/>
      <c r="L2114" s="1846"/>
    </row>
    <row r="2115" spans="1:12">
      <c r="A2115" s="1818"/>
      <c r="B2115" s="1818"/>
      <c r="C2115" s="1817" t="s">
        <v>1253</v>
      </c>
      <c r="D2115" s="1062">
        <f>$F$2090*60%</f>
        <v>1257.5939999999998</v>
      </c>
      <c r="E2115" s="1062">
        <f>$F$2090*70%</f>
        <v>1467.1929999999998</v>
      </c>
      <c r="F2115" s="1062">
        <f>$F$2090*80%</f>
        <v>1676.7919999999999</v>
      </c>
      <c r="G2115" s="1114"/>
      <c r="H2115" s="1114"/>
      <c r="I2115" s="1009"/>
      <c r="J2115" s="1846"/>
      <c r="K2115" s="1846"/>
      <c r="L2115" s="1846"/>
    </row>
    <row r="2116" spans="1:12">
      <c r="A2116" s="1818"/>
      <c r="B2116" s="1818"/>
      <c r="C2116" s="1817" t="str">
        <f>Input!$C$47</f>
        <v>Add for MA @ 40%</v>
      </c>
      <c r="D2116" s="1062">
        <f>D2115*Input!$D$47</f>
        <v>503.03759999999994</v>
      </c>
      <c r="E2116" s="1062">
        <f>E2115*Input!$D$47</f>
        <v>586.8771999999999</v>
      </c>
      <c r="F2116" s="1062">
        <f>F2115*Input!$D$47</f>
        <v>670.71680000000003</v>
      </c>
      <c r="G2116" s="1114"/>
      <c r="H2116" s="1114"/>
      <c r="I2116" s="1009"/>
      <c r="J2116" s="1846"/>
      <c r="K2116" s="1846"/>
      <c r="L2116" s="1846"/>
    </row>
    <row r="2117" spans="1:12">
      <c r="A2117" s="1818"/>
      <c r="B2117" s="1818"/>
      <c r="C2117" s="1817" t="s">
        <v>1032</v>
      </c>
      <c r="D2117" s="1062">
        <f>SUM(D2111:D2116)</f>
        <v>9796.6532800000004</v>
      </c>
      <c r="E2117" s="1062">
        <f>SUM(E2111:E2116)</f>
        <v>10144.971880000001</v>
      </c>
      <c r="F2117" s="1062">
        <f>SUM(F2111:F2116)</f>
        <v>10493.290480000001</v>
      </c>
      <c r="G2117" s="1114"/>
      <c r="H2117" s="1114"/>
      <c r="I2117" s="1009"/>
      <c r="J2117" s="1846"/>
      <c r="K2117" s="1846"/>
      <c r="L2117" s="1846"/>
    </row>
    <row r="2118" spans="1:12">
      <c r="A2118" s="1818"/>
      <c r="B2118" s="1818"/>
      <c r="C2118" s="1828" t="str">
        <f>Input!$C$48</f>
        <v>Overheads &amp; Contractors Profit @ 13.615%</v>
      </c>
      <c r="D2118" s="1062">
        <f>D2117*Input!$D$48</f>
        <v>1333.814344072</v>
      </c>
      <c r="E2118" s="1062">
        <f>E2117*Input!$D$48</f>
        <v>1381.237921462</v>
      </c>
      <c r="F2118" s="1062">
        <f>F2117*Input!$D$48</f>
        <v>1428.661498852</v>
      </c>
      <c r="G2118" s="1114"/>
      <c r="H2118" s="1114"/>
      <c r="I2118" s="1009"/>
      <c r="J2118" s="1846"/>
      <c r="K2118" s="1846"/>
      <c r="L2118" s="1846"/>
    </row>
    <row r="2119" spans="1:12">
      <c r="A2119" s="1818"/>
      <c r="B2119" s="1818"/>
      <c r="C2119" s="1816" t="s">
        <v>1032</v>
      </c>
      <c r="D2119" s="1174">
        <f>SUM(D2117:D2118)</f>
        <v>11130.467624072</v>
      </c>
      <c r="E2119" s="1174">
        <f>SUM(E2117:E2118)</f>
        <v>11526.209801462001</v>
      </c>
      <c r="F2119" s="1174">
        <f>SUM(F2117:F2118)</f>
        <v>11921.951978852001</v>
      </c>
      <c r="G2119" s="1114"/>
      <c r="H2119" s="1114"/>
      <c r="I2119" s="1009"/>
      <c r="J2119" s="1846"/>
      <c r="K2119" s="1846"/>
      <c r="L2119" s="1846"/>
    </row>
    <row r="2120" spans="1:12">
      <c r="A2120" s="1818"/>
      <c r="B2120" s="1818"/>
      <c r="C2120" s="1843" t="s">
        <v>1034</v>
      </c>
      <c r="D2120" s="1134">
        <f>ROUND(D2119,0)</f>
        <v>11130</v>
      </c>
      <c r="E2120" s="1134">
        <f>ROUND(E2119,0)</f>
        <v>11526</v>
      </c>
      <c r="F2120" s="1134">
        <f>ROUND(F2119,0)</f>
        <v>11922</v>
      </c>
      <c r="G2120" s="1114"/>
      <c r="H2120" s="1114"/>
      <c r="I2120" s="1009"/>
      <c r="J2120" s="1846"/>
      <c r="K2120" s="1846"/>
      <c r="L2120" s="1846"/>
    </row>
    <row r="2121" spans="1:12">
      <c r="A2121" s="1818"/>
      <c r="B2121" s="1818"/>
      <c r="C2121" s="1816"/>
      <c r="D2121" s="1114"/>
      <c r="E2121" s="1114"/>
      <c r="F2121" s="1114"/>
      <c r="G2121" s="1114"/>
      <c r="H2121" s="1114"/>
      <c r="I2121" s="1009"/>
      <c r="J2121" s="1846"/>
      <c r="K2121" s="1846"/>
      <c r="L2121" s="1846"/>
    </row>
    <row r="2122" spans="1:12" ht="97.7" customHeight="1">
      <c r="A2122" s="1818">
        <f>1+A2036</f>
        <v>23</v>
      </c>
      <c r="B2122" s="1818"/>
      <c r="C2122" s="2036" t="s">
        <v>3675</v>
      </c>
      <c r="D2122" s="2036"/>
      <c r="E2122" s="2036"/>
      <c r="F2122" s="2036"/>
      <c r="G2122" s="2036"/>
      <c r="H2122" s="2036"/>
      <c r="I2122" s="1825"/>
      <c r="J2122" s="1846"/>
      <c r="K2122" s="1846"/>
      <c r="L2122" s="1846"/>
    </row>
    <row r="2123" spans="1:12">
      <c r="A2123" s="1818"/>
      <c r="B2123" s="1818"/>
      <c r="C2123" s="1049" t="s">
        <v>1246</v>
      </c>
      <c r="D2123" s="1849"/>
      <c r="E2123" s="1849"/>
      <c r="F2123" s="1847"/>
      <c r="G2123" s="1849"/>
      <c r="H2123" s="1817"/>
      <c r="I2123" s="1848"/>
      <c r="J2123" s="1846"/>
      <c r="K2123" s="1846"/>
      <c r="L2123" s="1846"/>
    </row>
    <row r="2124" spans="1:12">
      <c r="A2124" s="1818"/>
      <c r="B2124" s="1818"/>
      <c r="C2124" s="1821" t="s">
        <v>1139</v>
      </c>
      <c r="D2124" s="1849"/>
      <c r="E2124" s="1849"/>
      <c r="F2124" s="1847"/>
      <c r="G2124" s="1849"/>
      <c r="H2124" s="1817"/>
      <c r="I2124" s="1848"/>
      <c r="J2124" s="1846"/>
      <c r="K2124" s="1846"/>
      <c r="L2124" s="1846"/>
    </row>
    <row r="2125" spans="1:12">
      <c r="A2125" s="1818"/>
      <c r="B2125" s="1818"/>
      <c r="C2125" s="1820" t="s">
        <v>889</v>
      </c>
      <c r="D2125" s="1096">
        <v>350</v>
      </c>
      <c r="E2125" s="1846" t="s">
        <v>1110</v>
      </c>
      <c r="F2125" s="1021">
        <f>LEAD!$N$6</f>
        <v>5200</v>
      </c>
      <c r="G2125" s="1105">
        <v>1000</v>
      </c>
      <c r="H2125" s="1846" t="s">
        <v>1110</v>
      </c>
      <c r="I2125" s="1030">
        <f t="shared" ref="I2125:I2127" si="500">IF(G2125="",D2125*F2125,(D2125*F2125/G2125))</f>
        <v>1820</v>
      </c>
      <c r="J2125" s="1846"/>
      <c r="K2125" s="1846"/>
      <c r="L2125" s="1846"/>
    </row>
    <row r="2126" spans="1:12">
      <c r="A2126" s="1818"/>
      <c r="B2126" s="1818"/>
      <c r="C2126" s="1820" t="s">
        <v>1289</v>
      </c>
      <c r="D2126" s="1096">
        <v>0.8</v>
      </c>
      <c r="E2126" s="1846" t="s">
        <v>484</v>
      </c>
      <c r="F2126" s="1021">
        <f>$F$22</f>
        <v>1387.96</v>
      </c>
      <c r="G2126" s="1105">
        <v>1</v>
      </c>
      <c r="H2126" s="1846" t="s">
        <v>484</v>
      </c>
      <c r="I2126" s="1030">
        <f t="shared" si="500"/>
        <v>1110.3680000000002</v>
      </c>
      <c r="J2126" s="1846"/>
      <c r="K2126" s="1846"/>
      <c r="L2126" s="1846"/>
    </row>
    <row r="2127" spans="1:12">
      <c r="A2127" s="1818"/>
      <c r="B2127" s="1818"/>
      <c r="C2127" s="1820" t="s">
        <v>1163</v>
      </c>
      <c r="D2127" s="1096">
        <v>0.4</v>
      </c>
      <c r="E2127" s="1846" t="s">
        <v>484</v>
      </c>
      <c r="F2127" s="1021">
        <f>LEAD!$N$12</f>
        <v>2253.91</v>
      </c>
      <c r="G2127" s="1105">
        <v>1</v>
      </c>
      <c r="H2127" s="1846" t="s">
        <v>484</v>
      </c>
      <c r="I2127" s="1030">
        <f t="shared" si="500"/>
        <v>901.56399999999996</v>
      </c>
      <c r="J2127" s="1846"/>
      <c r="K2127" s="1846"/>
      <c r="L2127" s="1846"/>
    </row>
    <row r="2128" spans="1:12">
      <c r="A2128" s="1818"/>
      <c r="B2128" s="1818"/>
      <c r="C2128" s="1825" t="s">
        <v>1172</v>
      </c>
      <c r="D2128" s="1846"/>
      <c r="E2128" s="1846"/>
      <c r="F2128" s="1068"/>
      <c r="G2128" s="1846"/>
      <c r="H2128" s="1846"/>
      <c r="I2128" s="1021"/>
      <c r="J2128" s="1846"/>
      <c r="K2128" s="1846"/>
      <c r="L2128" s="1846"/>
    </row>
    <row r="2129" spans="1:64">
      <c r="A2129" s="1818"/>
      <c r="B2129" s="1818"/>
      <c r="C2129" s="1820" t="s">
        <v>1173</v>
      </c>
      <c r="D2129" s="1132">
        <v>6.7000000000000004E-2</v>
      </c>
      <c r="E2129" s="1846" t="s">
        <v>955</v>
      </c>
      <c r="F2129" s="1021">
        <f>'Civil-SOR'!$G$293</f>
        <v>580</v>
      </c>
      <c r="G2129" s="1105">
        <v>1</v>
      </c>
      <c r="H2129" s="1846" t="s">
        <v>501</v>
      </c>
      <c r="I2129" s="1030">
        <f t="shared" ref="I2129:I2132" si="501">IF(G2129="",D2129*F2129,(D2129*F2129/G2129))</f>
        <v>38.86</v>
      </c>
      <c r="J2129" s="1846"/>
      <c r="K2129" s="1846"/>
      <c r="L2129" s="1846"/>
    </row>
    <row r="2130" spans="1:64">
      <c r="A2130" s="1818"/>
      <c r="B2130" s="1818"/>
      <c r="C2130" s="1820" t="s">
        <v>1174</v>
      </c>
      <c r="D2130" s="1132">
        <v>0.13300000000000001</v>
      </c>
      <c r="E2130" s="1846" t="s">
        <v>955</v>
      </c>
      <c r="F2130" s="1021">
        <f>'Civil-SOR'!$G$302</f>
        <v>550</v>
      </c>
      <c r="G2130" s="1105">
        <v>1</v>
      </c>
      <c r="H2130" s="1846" t="str">
        <f>H2129</f>
        <v>Each</v>
      </c>
      <c r="I2130" s="1030">
        <f t="shared" si="501"/>
        <v>73.150000000000006</v>
      </c>
      <c r="J2130" s="1846"/>
      <c r="K2130" s="1846"/>
      <c r="L2130" s="1846"/>
    </row>
    <row r="2131" spans="1:64">
      <c r="A2131" s="1818"/>
      <c r="B2131" s="1818"/>
      <c r="C2131" s="1820" t="s">
        <v>1248</v>
      </c>
      <c r="D2131" s="1132">
        <v>3.077</v>
      </c>
      <c r="E2131" s="1846" t="s">
        <v>955</v>
      </c>
      <c r="F2131" s="1021">
        <f>'Civil-SOR'!$G$307</f>
        <v>520</v>
      </c>
      <c r="G2131" s="1105">
        <v>1</v>
      </c>
      <c r="H2131" s="1846" t="str">
        <f>H2129</f>
        <v>Each</v>
      </c>
      <c r="I2131" s="1030">
        <f t="shared" si="501"/>
        <v>1600.04</v>
      </c>
      <c r="J2131" s="1846"/>
      <c r="K2131" s="1846"/>
      <c r="L2131" s="1846"/>
    </row>
    <row r="2132" spans="1:64">
      <c r="A2132" s="1818"/>
      <c r="B2132" s="1818"/>
      <c r="C2132" s="1820" t="str">
        <f>Input!$C$47</f>
        <v>Add for MA @ 40%</v>
      </c>
      <c r="D2132" s="1096">
        <f>Input!$D$47</f>
        <v>0.4</v>
      </c>
      <c r="E2132" s="1846"/>
      <c r="F2132" s="1021">
        <f>SUM(I2129:I2131)</f>
        <v>1712.05</v>
      </c>
      <c r="G2132" s="1105"/>
      <c r="H2132" s="1846"/>
      <c r="I2132" s="1030">
        <f t="shared" si="501"/>
        <v>684.82</v>
      </c>
      <c r="J2132" s="1846"/>
      <c r="K2132" s="1846"/>
      <c r="L2132" s="1846"/>
    </row>
    <row r="2133" spans="1:64">
      <c r="A2133" s="1818"/>
      <c r="B2133" s="1818"/>
      <c r="C2133" s="1825" t="s">
        <v>1176</v>
      </c>
      <c r="D2133" s="1096"/>
      <c r="E2133" s="1846"/>
      <c r="F2133" s="1021"/>
      <c r="G2133" s="1105"/>
      <c r="H2133" s="1846"/>
      <c r="I2133" s="1030"/>
      <c r="J2133" s="1846"/>
      <c r="K2133" s="1846"/>
      <c r="L2133" s="1846"/>
    </row>
    <row r="2134" spans="1:64" ht="25.5">
      <c r="A2134" s="1818"/>
      <c r="B2134" s="1818"/>
      <c r="C2134" s="1820" t="s">
        <v>582</v>
      </c>
      <c r="D2134" s="1132">
        <v>0.308</v>
      </c>
      <c r="E2134" s="1052" t="s">
        <v>400</v>
      </c>
      <c r="F2134" s="1030">
        <f>'Civil-SOR'!G330</f>
        <v>192.9</v>
      </c>
      <c r="G2134" s="1144">
        <v>1</v>
      </c>
      <c r="H2134" s="1144" t="str">
        <f t="shared" ref="H2134:H2135" si="502">IF(E2134="","",IF(E2134="No.","Each",IF(E2134="Nos.","Each",E2134)))</f>
        <v>hour</v>
      </c>
      <c r="I2134" s="1030">
        <f t="shared" ref="I2134:I2137" si="503">IF(G2134="",D2134*F2134,(D2134*F2134/G2134))</f>
        <v>59.413200000000003</v>
      </c>
      <c r="J2134" s="1846"/>
      <c r="K2134" s="1846"/>
      <c r="L2134" s="1846"/>
    </row>
    <row r="2135" spans="1:64">
      <c r="A2135" s="1818"/>
      <c r="B2135" s="1818"/>
      <c r="C2135" s="1820" t="s">
        <v>579</v>
      </c>
      <c r="D2135" s="1132">
        <v>0.308</v>
      </c>
      <c r="E2135" s="1052" t="s">
        <v>400</v>
      </c>
      <c r="F2135" s="1030">
        <f>'Civil-SOR'!J330</f>
        <v>302.89999999999998</v>
      </c>
      <c r="G2135" s="1144">
        <v>1</v>
      </c>
      <c r="H2135" s="1144" t="str">
        <f t="shared" si="502"/>
        <v>hour</v>
      </c>
      <c r="I2135" s="1030">
        <f t="shared" si="503"/>
        <v>93.293199999999999</v>
      </c>
      <c r="J2135" s="1846"/>
      <c r="K2135" s="1846"/>
      <c r="L2135" s="1846"/>
    </row>
    <row r="2136" spans="1:64">
      <c r="A2136" s="1818"/>
      <c r="B2136" s="1818"/>
      <c r="C2136" s="1817" t="s">
        <v>1085</v>
      </c>
      <c r="D2136" s="1096">
        <f>Input!$D$47</f>
        <v>0.4</v>
      </c>
      <c r="E2136" s="1846"/>
      <c r="F2136" s="1021">
        <f>I2135</f>
        <v>93.293199999999999</v>
      </c>
      <c r="G2136" s="1105"/>
      <c r="H2136" s="1846"/>
      <c r="I2136" s="1030">
        <f t="shared" si="503"/>
        <v>37.317280000000004</v>
      </c>
      <c r="J2136" s="1846"/>
      <c r="K2136" s="1846"/>
      <c r="L2136" s="1846"/>
    </row>
    <row r="2137" spans="1:64">
      <c r="A2137" s="1818"/>
      <c r="B2137" s="1818"/>
      <c r="C2137" s="1820" t="s">
        <v>1179</v>
      </c>
      <c r="D2137" s="1000">
        <v>1.2</v>
      </c>
      <c r="E2137" s="1044" t="s">
        <v>1143</v>
      </c>
      <c r="F2137" s="1001">
        <f>Input!$D$53</f>
        <v>108</v>
      </c>
      <c r="G2137" s="1015">
        <v>1</v>
      </c>
      <c r="H2137" s="1050" t="str">
        <f>IF(E2137="","",IF(E2137="No.","Each",IF(E2137="Nos.","Each",E2137)))</f>
        <v>kl</v>
      </c>
      <c r="I2137" s="1030">
        <f t="shared" si="503"/>
        <v>129.6</v>
      </c>
      <c r="J2137" s="1846"/>
      <c r="K2137" s="1846"/>
      <c r="L2137" s="1846"/>
    </row>
    <row r="2138" spans="1:64">
      <c r="A2138" s="1086"/>
      <c r="B2138" s="1086"/>
      <c r="C2138" s="1088" t="s">
        <v>1342</v>
      </c>
      <c r="D2138" s="996"/>
      <c r="E2138" s="996"/>
      <c r="F2138" s="1023"/>
      <c r="G2138" s="1100"/>
      <c r="H2138" s="996"/>
      <c r="I2138" s="1834">
        <f>SUM(I2125:I2137)</f>
        <v>6548.4256800000003</v>
      </c>
      <c r="J2138" s="996"/>
      <c r="K2138" s="996"/>
      <c r="L2138" s="996"/>
      <c r="M2138" s="997"/>
      <c r="N2138" s="997"/>
      <c r="O2138" s="997"/>
      <c r="P2138" s="997"/>
      <c r="Q2138" s="997"/>
      <c r="R2138" s="997"/>
      <c r="S2138" s="997"/>
      <c r="T2138" s="997"/>
      <c r="U2138" s="997"/>
      <c r="V2138" s="997"/>
      <c r="W2138" s="997"/>
      <c r="X2138" s="997"/>
      <c r="Y2138" s="997"/>
      <c r="Z2138" s="997"/>
      <c r="AA2138" s="997"/>
      <c r="AB2138" s="997"/>
      <c r="AC2138" s="997"/>
      <c r="AD2138" s="997"/>
      <c r="AE2138" s="997"/>
      <c r="AF2138" s="997"/>
      <c r="AG2138" s="997"/>
      <c r="AH2138" s="997"/>
      <c r="AI2138" s="997"/>
      <c r="AJ2138" s="997"/>
      <c r="AK2138" s="997"/>
      <c r="AL2138" s="997"/>
      <c r="AM2138" s="997"/>
      <c r="AN2138" s="997"/>
      <c r="AO2138" s="997"/>
      <c r="AP2138" s="997"/>
      <c r="AQ2138" s="997"/>
      <c r="AR2138" s="997"/>
      <c r="AS2138" s="997"/>
      <c r="AT2138" s="997"/>
      <c r="AU2138" s="997"/>
      <c r="AV2138" s="997"/>
      <c r="AW2138" s="997"/>
      <c r="AX2138" s="997"/>
      <c r="AY2138" s="997"/>
      <c r="AZ2138" s="997"/>
      <c r="BA2138" s="997"/>
      <c r="BB2138" s="997"/>
      <c r="BC2138" s="997"/>
      <c r="BD2138" s="997"/>
      <c r="BE2138" s="997"/>
      <c r="BF2138" s="997"/>
      <c r="BG2138" s="997"/>
      <c r="BH2138" s="997"/>
      <c r="BI2138" s="997"/>
      <c r="BJ2138" s="997"/>
      <c r="BK2138" s="997"/>
      <c r="BL2138" s="997"/>
    </row>
    <row r="2139" spans="1:64">
      <c r="A2139" s="1818"/>
      <c r="B2139" s="1818"/>
      <c r="C2139" s="1816"/>
      <c r="D2139" s="1114"/>
      <c r="E2139" s="1114"/>
      <c r="F2139" s="1114"/>
      <c r="G2139" s="1114"/>
      <c r="H2139" s="1114"/>
      <c r="I2139" s="1011"/>
      <c r="J2139" s="1846"/>
      <c r="K2139" s="1846"/>
      <c r="L2139" s="1846"/>
    </row>
    <row r="2140" spans="1:64">
      <c r="A2140" s="1818"/>
      <c r="B2140" s="1106" t="s">
        <v>294</v>
      </c>
      <c r="C2140" s="1124" t="s">
        <v>1343</v>
      </c>
      <c r="D2140" s="1096"/>
      <c r="E2140" s="1846"/>
      <c r="F2140" s="1021"/>
      <c r="G2140" s="1105"/>
      <c r="H2140" s="1846"/>
      <c r="I2140" s="1021"/>
      <c r="J2140" s="1846"/>
      <c r="K2140" s="1846"/>
      <c r="L2140" s="1846"/>
    </row>
    <row r="2141" spans="1:64">
      <c r="A2141" s="1818"/>
      <c r="B2141" s="1818"/>
      <c r="C2141" s="1817" t="s">
        <v>1337</v>
      </c>
      <c r="D2141" s="1096">
        <v>0.05</v>
      </c>
      <c r="E2141" s="1175" t="s">
        <v>75</v>
      </c>
      <c r="F2141" s="1021">
        <f>$I$2138</f>
        <v>6548.4256800000003</v>
      </c>
      <c r="G2141" s="1105">
        <v>1</v>
      </c>
      <c r="H2141" s="1175" t="s">
        <v>75</v>
      </c>
      <c r="I2141" s="1011">
        <f>IF(G2141="",D2141*F2141,(D2141*F2141/G2141))</f>
        <v>327.42128400000001</v>
      </c>
      <c r="J2141" s="1846"/>
      <c r="K2141" s="1846"/>
      <c r="L2141" s="1846"/>
    </row>
    <row r="2142" spans="1:64">
      <c r="A2142" s="1818"/>
      <c r="B2142" s="1818"/>
      <c r="C2142" s="1816"/>
      <c r="D2142" s="1114"/>
      <c r="E2142" s="1114"/>
      <c r="F2142" s="1114"/>
      <c r="G2142" s="1114"/>
      <c r="H2142" s="1114"/>
      <c r="I2142" s="1011"/>
      <c r="J2142" s="1846"/>
      <c r="K2142" s="1846"/>
      <c r="L2142" s="1846"/>
    </row>
    <row r="2143" spans="1:64">
      <c r="A2143" s="1818"/>
      <c r="B2143" s="1818"/>
      <c r="C2143" s="1816"/>
      <c r="D2143" s="1114"/>
      <c r="E2143" s="1114"/>
      <c r="F2143" s="1114"/>
      <c r="G2143" s="1114"/>
      <c r="H2143" s="1114"/>
      <c r="I2143" s="1011"/>
      <c r="J2143" s="1846"/>
      <c r="K2143" s="1846"/>
      <c r="L2143" s="1846"/>
    </row>
    <row r="2144" spans="1:64">
      <c r="A2144" s="1818"/>
      <c r="B2144" s="1818"/>
      <c r="C2144" s="1816" t="s">
        <v>1217</v>
      </c>
      <c r="D2144" s="1009" t="s">
        <v>1223</v>
      </c>
      <c r="E2144" s="1114" t="s">
        <v>1207</v>
      </c>
      <c r="F2144" s="1106" t="s">
        <v>1208</v>
      </c>
      <c r="G2144" s="1106" t="s">
        <v>1209</v>
      </c>
      <c r="H2144" s="1106" t="s">
        <v>1210</v>
      </c>
      <c r="I2144" s="1106" t="s">
        <v>1211</v>
      </c>
      <c r="J2144" s="1846"/>
      <c r="K2144" s="1846"/>
      <c r="L2144" s="1846"/>
    </row>
    <row r="2145" spans="1:64">
      <c r="A2145" s="1058"/>
      <c r="B2145" s="1058"/>
      <c r="C2145" s="1817" t="s">
        <v>1317</v>
      </c>
      <c r="D2145" s="1062">
        <f t="shared" ref="D2145:I2145" si="504">$I$2141</f>
        <v>327.42128400000001</v>
      </c>
      <c r="E2145" s="1062">
        <f t="shared" si="504"/>
        <v>327.42128400000001</v>
      </c>
      <c r="F2145" s="1062">
        <f t="shared" si="504"/>
        <v>327.42128400000001</v>
      </c>
      <c r="G2145" s="1062">
        <f t="shared" si="504"/>
        <v>327.42128400000001</v>
      </c>
      <c r="H2145" s="1062">
        <f t="shared" si="504"/>
        <v>327.42128400000001</v>
      </c>
      <c r="I2145" s="1062">
        <f t="shared" si="504"/>
        <v>327.42128400000001</v>
      </c>
      <c r="J2145" s="1846"/>
      <c r="K2145" s="1846"/>
      <c r="L2145" s="1846"/>
      <c r="M2145" s="1066"/>
      <c r="N2145" s="1066"/>
      <c r="O2145" s="1066"/>
      <c r="P2145" s="1066"/>
      <c r="Q2145" s="1066"/>
      <c r="R2145" s="1066"/>
      <c r="S2145" s="1066"/>
      <c r="T2145" s="1066"/>
      <c r="U2145" s="1066"/>
      <c r="V2145" s="1066"/>
      <c r="W2145" s="1066"/>
      <c r="X2145" s="1066"/>
      <c r="Y2145" s="1066"/>
      <c r="Z2145" s="1066"/>
      <c r="AA2145" s="1066"/>
      <c r="AB2145" s="1066"/>
      <c r="AC2145" s="1066"/>
      <c r="AD2145" s="1066"/>
      <c r="AE2145" s="1066"/>
      <c r="AF2145" s="1066"/>
      <c r="AG2145" s="1066"/>
      <c r="AH2145" s="1066"/>
      <c r="AI2145" s="1066"/>
      <c r="AJ2145" s="1066"/>
      <c r="AK2145" s="1066"/>
      <c r="AL2145" s="1066"/>
      <c r="AM2145" s="1066"/>
      <c r="AN2145" s="1066"/>
      <c r="AO2145" s="1066"/>
      <c r="AP2145" s="1066"/>
      <c r="AQ2145" s="1066"/>
      <c r="AR2145" s="1066"/>
      <c r="AS2145" s="1066"/>
      <c r="AT2145" s="1066"/>
      <c r="AU2145" s="1066"/>
      <c r="AV2145" s="1066"/>
      <c r="AW2145" s="1066"/>
      <c r="AX2145" s="1066"/>
      <c r="AY2145" s="1066"/>
      <c r="AZ2145" s="1066"/>
      <c r="BA2145" s="1066"/>
      <c r="BB2145" s="1066"/>
      <c r="BC2145" s="1066"/>
      <c r="BD2145" s="1066"/>
      <c r="BE2145" s="1066"/>
      <c r="BF2145" s="1066"/>
      <c r="BG2145" s="1066"/>
      <c r="BH2145" s="1066"/>
      <c r="BI2145" s="1066"/>
      <c r="BJ2145" s="1066"/>
      <c r="BK2145" s="1066"/>
      <c r="BL2145" s="1066"/>
    </row>
    <row r="2146" spans="1:64" ht="25.5">
      <c r="A2146" s="1058"/>
      <c r="B2146" s="1058"/>
      <c r="C2146" s="1817" t="s">
        <v>1344</v>
      </c>
      <c r="D2146" s="1062">
        <f>'Civil-SOR'!$F$280*50%</f>
        <v>88.5</v>
      </c>
      <c r="E2146" s="1062">
        <f>'Civil-SOR'!$F$280*50%</f>
        <v>88.5</v>
      </c>
      <c r="F2146" s="1062">
        <f>'Civil-SOR'!$F$280*50%</f>
        <v>88.5</v>
      </c>
      <c r="G2146" s="1062">
        <f>'Civil-SOR'!$F$280*50%</f>
        <v>88.5</v>
      </c>
      <c r="H2146" s="1062">
        <f>'Civil-SOR'!$F$280*50%</f>
        <v>88.5</v>
      </c>
      <c r="I2146" s="1062">
        <f>'Civil-SOR'!$F$280*50%</f>
        <v>88.5</v>
      </c>
      <c r="J2146" s="1846"/>
      <c r="K2146" s="1846"/>
      <c r="L2146" s="1846"/>
      <c r="M2146" s="1066"/>
      <c r="N2146" s="1066"/>
      <c r="O2146" s="1066"/>
      <c r="P2146" s="1066"/>
      <c r="Q2146" s="1066"/>
      <c r="R2146" s="1066"/>
      <c r="S2146" s="1066"/>
      <c r="T2146" s="1066"/>
      <c r="U2146" s="1066"/>
      <c r="V2146" s="1066"/>
      <c r="W2146" s="1066"/>
      <c r="X2146" s="1066"/>
      <c r="Y2146" s="1066"/>
      <c r="Z2146" s="1066"/>
      <c r="AA2146" s="1066"/>
      <c r="AB2146" s="1066"/>
      <c r="AC2146" s="1066"/>
      <c r="AD2146" s="1066"/>
      <c r="AE2146" s="1066"/>
      <c r="AF2146" s="1066"/>
      <c r="AG2146" s="1066"/>
      <c r="AH2146" s="1066"/>
      <c r="AI2146" s="1066"/>
      <c r="AJ2146" s="1066"/>
      <c r="AK2146" s="1066"/>
      <c r="AL2146" s="1066"/>
      <c r="AM2146" s="1066"/>
      <c r="AN2146" s="1066"/>
      <c r="AO2146" s="1066"/>
      <c r="AP2146" s="1066"/>
      <c r="AQ2146" s="1066"/>
      <c r="AR2146" s="1066"/>
      <c r="AS2146" s="1066"/>
      <c r="AT2146" s="1066"/>
      <c r="AU2146" s="1066"/>
      <c r="AV2146" s="1066"/>
      <c r="AW2146" s="1066"/>
      <c r="AX2146" s="1066"/>
      <c r="AY2146" s="1066"/>
      <c r="AZ2146" s="1066"/>
      <c r="BA2146" s="1066"/>
      <c r="BB2146" s="1066"/>
      <c r="BC2146" s="1066"/>
      <c r="BD2146" s="1066"/>
      <c r="BE2146" s="1066"/>
      <c r="BF2146" s="1066"/>
      <c r="BG2146" s="1066"/>
      <c r="BH2146" s="1066"/>
      <c r="BI2146" s="1066"/>
      <c r="BJ2146" s="1066"/>
      <c r="BK2146" s="1066"/>
      <c r="BL2146" s="1066"/>
    </row>
    <row r="2147" spans="1:64">
      <c r="A2147" s="1058"/>
      <c r="B2147" s="1058"/>
      <c r="C2147" s="1817" t="s">
        <v>1269</v>
      </c>
      <c r="D2147" s="1062">
        <f>'Civil-SOR'!$G$280*50%</f>
        <v>99.5</v>
      </c>
      <c r="E2147" s="1062">
        <f>'Civil-SOR'!$H$280*50%</f>
        <v>109.5</v>
      </c>
      <c r="F2147" s="1062">
        <f>'Civil-SOR'!$I$280*50%</f>
        <v>119.5</v>
      </c>
      <c r="G2147" s="1062">
        <f>'Civil-SOR'!$J$280*50%</f>
        <v>129.5</v>
      </c>
      <c r="H2147" s="1062">
        <f>'Civil-SOR'!$K$280*50%</f>
        <v>139.5</v>
      </c>
      <c r="I2147" s="1062">
        <f>'Civil-SOR'!$L$280*50%</f>
        <v>149.5</v>
      </c>
      <c r="J2147" s="1846"/>
      <c r="K2147" s="1846"/>
      <c r="L2147" s="1846"/>
      <c r="M2147" s="1066"/>
      <c r="N2147" s="1066"/>
      <c r="O2147" s="1066"/>
      <c r="P2147" s="1066"/>
      <c r="Q2147" s="1066"/>
      <c r="R2147" s="1066"/>
      <c r="S2147" s="1066"/>
      <c r="T2147" s="1066"/>
      <c r="U2147" s="1066"/>
      <c r="V2147" s="1066"/>
      <c r="W2147" s="1066"/>
      <c r="X2147" s="1066"/>
      <c r="Y2147" s="1066"/>
      <c r="Z2147" s="1066"/>
      <c r="AA2147" s="1066"/>
      <c r="AB2147" s="1066"/>
      <c r="AC2147" s="1066"/>
      <c r="AD2147" s="1066"/>
      <c r="AE2147" s="1066"/>
      <c r="AF2147" s="1066"/>
      <c r="AG2147" s="1066"/>
      <c r="AH2147" s="1066"/>
      <c r="AI2147" s="1066"/>
      <c r="AJ2147" s="1066"/>
      <c r="AK2147" s="1066"/>
      <c r="AL2147" s="1066"/>
      <c r="AM2147" s="1066"/>
      <c r="AN2147" s="1066"/>
      <c r="AO2147" s="1066"/>
      <c r="AP2147" s="1066"/>
      <c r="AQ2147" s="1066"/>
      <c r="AR2147" s="1066"/>
      <c r="AS2147" s="1066"/>
      <c r="AT2147" s="1066"/>
      <c r="AU2147" s="1066"/>
      <c r="AV2147" s="1066"/>
      <c r="AW2147" s="1066"/>
      <c r="AX2147" s="1066"/>
      <c r="AY2147" s="1066"/>
      <c r="AZ2147" s="1066"/>
      <c r="BA2147" s="1066"/>
      <c r="BB2147" s="1066"/>
      <c r="BC2147" s="1066"/>
      <c r="BD2147" s="1066"/>
      <c r="BE2147" s="1066"/>
      <c r="BF2147" s="1066"/>
      <c r="BG2147" s="1066"/>
      <c r="BH2147" s="1066"/>
      <c r="BI2147" s="1066"/>
      <c r="BJ2147" s="1066"/>
      <c r="BK2147" s="1066"/>
      <c r="BL2147" s="1066"/>
    </row>
    <row r="2148" spans="1:64">
      <c r="A2148" s="1058"/>
      <c r="B2148" s="1058"/>
      <c r="C2148" s="1817" t="str">
        <f>Input!$C$47</f>
        <v>Add for MA @ 40%</v>
      </c>
      <c r="D2148" s="1062">
        <f>D2147*Input!$D$47</f>
        <v>39.800000000000004</v>
      </c>
      <c r="E2148" s="1062">
        <f>E2147*Input!$D$47</f>
        <v>43.800000000000004</v>
      </c>
      <c r="F2148" s="1062">
        <f>F2147*Input!$D$47</f>
        <v>47.800000000000004</v>
      </c>
      <c r="G2148" s="1062">
        <f>G2147*Input!$D$47</f>
        <v>51.800000000000004</v>
      </c>
      <c r="H2148" s="1062">
        <f>H2147*Input!$D$47</f>
        <v>55.800000000000004</v>
      </c>
      <c r="I2148" s="1062">
        <f>I2147*Input!$D$47</f>
        <v>59.800000000000004</v>
      </c>
      <c r="J2148" s="1846"/>
      <c r="K2148" s="1846"/>
      <c r="L2148" s="1846"/>
      <c r="M2148" s="1066"/>
      <c r="N2148" s="1066"/>
      <c r="O2148" s="1066"/>
      <c r="P2148" s="1066"/>
      <c r="Q2148" s="1066"/>
      <c r="R2148" s="1066"/>
      <c r="S2148" s="1066"/>
      <c r="T2148" s="1066"/>
      <c r="U2148" s="1066"/>
      <c r="V2148" s="1066"/>
      <c r="W2148" s="1066"/>
      <c r="X2148" s="1066"/>
      <c r="Y2148" s="1066"/>
      <c r="Z2148" s="1066"/>
      <c r="AA2148" s="1066"/>
      <c r="AB2148" s="1066"/>
      <c r="AC2148" s="1066"/>
      <c r="AD2148" s="1066"/>
      <c r="AE2148" s="1066"/>
      <c r="AF2148" s="1066"/>
      <c r="AG2148" s="1066"/>
      <c r="AH2148" s="1066"/>
      <c r="AI2148" s="1066"/>
      <c r="AJ2148" s="1066"/>
      <c r="AK2148" s="1066"/>
      <c r="AL2148" s="1066"/>
      <c r="AM2148" s="1066"/>
      <c r="AN2148" s="1066"/>
      <c r="AO2148" s="1066"/>
      <c r="AP2148" s="1066"/>
      <c r="AQ2148" s="1066"/>
      <c r="AR2148" s="1066"/>
      <c r="AS2148" s="1066"/>
      <c r="AT2148" s="1066"/>
      <c r="AU2148" s="1066"/>
      <c r="AV2148" s="1066"/>
      <c r="AW2148" s="1066"/>
      <c r="AX2148" s="1066"/>
      <c r="AY2148" s="1066"/>
      <c r="AZ2148" s="1066"/>
      <c r="BA2148" s="1066"/>
      <c r="BB2148" s="1066"/>
      <c r="BC2148" s="1066"/>
      <c r="BD2148" s="1066"/>
      <c r="BE2148" s="1066"/>
      <c r="BF2148" s="1066"/>
      <c r="BG2148" s="1066"/>
      <c r="BH2148" s="1066"/>
      <c r="BI2148" s="1066"/>
      <c r="BJ2148" s="1066"/>
      <c r="BK2148" s="1066"/>
      <c r="BL2148" s="1066"/>
    </row>
    <row r="2149" spans="1:64">
      <c r="A2149" s="1058"/>
      <c r="B2149" s="1058"/>
      <c r="C2149" s="1817" t="s">
        <v>1253</v>
      </c>
      <c r="D2149" s="1062">
        <v>0</v>
      </c>
      <c r="E2149" s="1062">
        <f>$F$2132*10%*$D$2141</f>
        <v>8.5602500000000017</v>
      </c>
      <c r="F2149" s="1062">
        <f>$F$2132*20%*$D$2141</f>
        <v>17.120500000000003</v>
      </c>
      <c r="G2149" s="1062">
        <f>$F$2132*30%*$D$2141</f>
        <v>25.680750000000003</v>
      </c>
      <c r="H2149" s="1062">
        <f>$F$2132*40%*$D$2141</f>
        <v>34.241000000000007</v>
      </c>
      <c r="I2149" s="1062">
        <f>$F$2132*50%*$D$2141</f>
        <v>42.801250000000003</v>
      </c>
      <c r="J2149" s="1846"/>
      <c r="K2149" s="1846"/>
      <c r="L2149" s="1846"/>
      <c r="M2149" s="1066"/>
      <c r="N2149" s="1066"/>
      <c r="O2149" s="1066"/>
      <c r="P2149" s="1066"/>
      <c r="Q2149" s="1066"/>
      <c r="R2149" s="1066"/>
      <c r="S2149" s="1066"/>
      <c r="T2149" s="1066"/>
      <c r="U2149" s="1066"/>
      <c r="V2149" s="1066"/>
      <c r="W2149" s="1066"/>
      <c r="X2149" s="1066"/>
      <c r="Y2149" s="1066"/>
      <c r="Z2149" s="1066"/>
      <c r="AA2149" s="1066"/>
      <c r="AB2149" s="1066"/>
      <c r="AC2149" s="1066"/>
      <c r="AD2149" s="1066"/>
      <c r="AE2149" s="1066"/>
      <c r="AF2149" s="1066"/>
      <c r="AG2149" s="1066"/>
      <c r="AH2149" s="1066"/>
      <c r="AI2149" s="1066"/>
      <c r="AJ2149" s="1066"/>
      <c r="AK2149" s="1066"/>
      <c r="AL2149" s="1066"/>
      <c r="AM2149" s="1066"/>
      <c r="AN2149" s="1066"/>
      <c r="AO2149" s="1066"/>
      <c r="AP2149" s="1066"/>
      <c r="AQ2149" s="1066"/>
      <c r="AR2149" s="1066"/>
      <c r="AS2149" s="1066"/>
      <c r="AT2149" s="1066"/>
      <c r="AU2149" s="1066"/>
      <c r="AV2149" s="1066"/>
      <c r="AW2149" s="1066"/>
      <c r="AX2149" s="1066"/>
      <c r="AY2149" s="1066"/>
      <c r="AZ2149" s="1066"/>
      <c r="BA2149" s="1066"/>
      <c r="BB2149" s="1066"/>
      <c r="BC2149" s="1066"/>
      <c r="BD2149" s="1066"/>
      <c r="BE2149" s="1066"/>
      <c r="BF2149" s="1066"/>
      <c r="BG2149" s="1066"/>
      <c r="BH2149" s="1066"/>
      <c r="BI2149" s="1066"/>
      <c r="BJ2149" s="1066"/>
      <c r="BK2149" s="1066"/>
      <c r="BL2149" s="1066"/>
    </row>
    <row r="2150" spans="1:64">
      <c r="A2150" s="1058"/>
      <c r="B2150" s="1058"/>
      <c r="C2150" s="1817" t="str">
        <f>Input!$C$47</f>
        <v>Add for MA @ 40%</v>
      </c>
      <c r="D2150" s="1062">
        <f>D2149*Input!$D$47</f>
        <v>0</v>
      </c>
      <c r="E2150" s="1062">
        <f>E2149*Input!$D$47</f>
        <v>3.424100000000001</v>
      </c>
      <c r="F2150" s="1062">
        <f>F2149*Input!$D$47</f>
        <v>6.8482000000000021</v>
      </c>
      <c r="G2150" s="1062">
        <f>G2149*Input!$D$47</f>
        <v>10.272300000000001</v>
      </c>
      <c r="H2150" s="1062">
        <f>H2149*Input!$D$47</f>
        <v>13.696400000000004</v>
      </c>
      <c r="I2150" s="1062">
        <f>I2149*Input!$D$47</f>
        <v>17.120500000000003</v>
      </c>
      <c r="J2150" s="1846"/>
      <c r="K2150" s="1846"/>
      <c r="L2150" s="1846"/>
      <c r="M2150" s="1066"/>
      <c r="N2150" s="1066"/>
      <c r="O2150" s="1066"/>
      <c r="P2150" s="1066"/>
      <c r="Q2150" s="1066"/>
      <c r="R2150" s="1066"/>
      <c r="S2150" s="1066"/>
      <c r="T2150" s="1066"/>
      <c r="U2150" s="1066"/>
      <c r="V2150" s="1066"/>
      <c r="W2150" s="1066"/>
      <c r="X2150" s="1066"/>
      <c r="Y2150" s="1066"/>
      <c r="Z2150" s="1066"/>
      <c r="AA2150" s="1066"/>
      <c r="AB2150" s="1066"/>
      <c r="AC2150" s="1066"/>
      <c r="AD2150" s="1066"/>
      <c r="AE2150" s="1066"/>
      <c r="AF2150" s="1066"/>
      <c r="AG2150" s="1066"/>
      <c r="AH2150" s="1066"/>
      <c r="AI2150" s="1066"/>
      <c r="AJ2150" s="1066"/>
      <c r="AK2150" s="1066"/>
      <c r="AL2150" s="1066"/>
      <c r="AM2150" s="1066"/>
      <c r="AN2150" s="1066"/>
      <c r="AO2150" s="1066"/>
      <c r="AP2150" s="1066"/>
      <c r="AQ2150" s="1066"/>
      <c r="AR2150" s="1066"/>
      <c r="AS2150" s="1066"/>
      <c r="AT2150" s="1066"/>
      <c r="AU2150" s="1066"/>
      <c r="AV2150" s="1066"/>
      <c r="AW2150" s="1066"/>
      <c r="AX2150" s="1066"/>
      <c r="AY2150" s="1066"/>
      <c r="AZ2150" s="1066"/>
      <c r="BA2150" s="1066"/>
      <c r="BB2150" s="1066"/>
      <c r="BC2150" s="1066"/>
      <c r="BD2150" s="1066"/>
      <c r="BE2150" s="1066"/>
      <c r="BF2150" s="1066"/>
      <c r="BG2150" s="1066"/>
      <c r="BH2150" s="1066"/>
      <c r="BI2150" s="1066"/>
      <c r="BJ2150" s="1066"/>
      <c r="BK2150" s="1066"/>
      <c r="BL2150" s="1066"/>
    </row>
    <row r="2151" spans="1:64">
      <c r="A2151" s="1058"/>
      <c r="B2151" s="1058"/>
      <c r="C2151" s="1817" t="s">
        <v>1045</v>
      </c>
      <c r="D2151" s="1065">
        <f t="shared" ref="D2151:I2151" si="505">SUM(D2145:D2150)</f>
        <v>555.22128399999997</v>
      </c>
      <c r="E2151" s="1065">
        <f t="shared" si="505"/>
        <v>581.20563399999992</v>
      </c>
      <c r="F2151" s="1065">
        <f t="shared" si="505"/>
        <v>607.18998399999998</v>
      </c>
      <c r="G2151" s="1065">
        <f t="shared" si="505"/>
        <v>633.17433399999993</v>
      </c>
      <c r="H2151" s="1065">
        <f t="shared" si="505"/>
        <v>659.15868399999999</v>
      </c>
      <c r="I2151" s="1065">
        <f t="shared" si="505"/>
        <v>685.14303399999994</v>
      </c>
      <c r="J2151" s="1846"/>
      <c r="K2151" s="1846"/>
      <c r="L2151" s="1846"/>
      <c r="M2151" s="1066"/>
      <c r="N2151" s="1066"/>
      <c r="O2151" s="1066"/>
      <c r="P2151" s="1066"/>
      <c r="Q2151" s="1066"/>
      <c r="R2151" s="1066"/>
      <c r="S2151" s="1066"/>
      <c r="T2151" s="1066"/>
      <c r="U2151" s="1066"/>
      <c r="V2151" s="1066"/>
      <c r="W2151" s="1066"/>
      <c r="X2151" s="1066"/>
      <c r="Y2151" s="1066"/>
      <c r="Z2151" s="1066"/>
      <c r="AA2151" s="1066"/>
      <c r="AB2151" s="1066"/>
      <c r="AC2151" s="1066"/>
      <c r="AD2151" s="1066"/>
      <c r="AE2151" s="1066"/>
      <c r="AF2151" s="1066"/>
      <c r="AG2151" s="1066"/>
      <c r="AH2151" s="1066"/>
      <c r="AI2151" s="1066"/>
      <c r="AJ2151" s="1066"/>
      <c r="AK2151" s="1066"/>
      <c r="AL2151" s="1066"/>
      <c r="AM2151" s="1066"/>
      <c r="AN2151" s="1066"/>
      <c r="AO2151" s="1066"/>
      <c r="AP2151" s="1066"/>
      <c r="AQ2151" s="1066"/>
      <c r="AR2151" s="1066"/>
      <c r="AS2151" s="1066"/>
      <c r="AT2151" s="1066"/>
      <c r="AU2151" s="1066"/>
      <c r="AV2151" s="1066"/>
      <c r="AW2151" s="1066"/>
      <c r="AX2151" s="1066"/>
      <c r="AY2151" s="1066"/>
      <c r="AZ2151" s="1066"/>
      <c r="BA2151" s="1066"/>
      <c r="BB2151" s="1066"/>
      <c r="BC2151" s="1066"/>
      <c r="BD2151" s="1066"/>
      <c r="BE2151" s="1066"/>
      <c r="BF2151" s="1066"/>
      <c r="BG2151" s="1066"/>
      <c r="BH2151" s="1066"/>
      <c r="BI2151" s="1066"/>
      <c r="BJ2151" s="1066"/>
      <c r="BK2151" s="1066"/>
      <c r="BL2151" s="1066"/>
    </row>
    <row r="2152" spans="1:64">
      <c r="A2152" s="1058"/>
      <c r="B2152" s="1058"/>
      <c r="C2152" s="1828" t="str">
        <f>Input!$C$48</f>
        <v>Overheads &amp; Contractors Profit @ 13.615%</v>
      </c>
      <c r="D2152" s="1062">
        <f>D2151*Input!$D$48</f>
        <v>75.593377816599997</v>
      </c>
      <c r="E2152" s="1062">
        <f>E2151*Input!$D$48</f>
        <v>79.131147069099981</v>
      </c>
      <c r="F2152" s="1062">
        <f>F2151*Input!$D$48</f>
        <v>82.668916321599994</v>
      </c>
      <c r="G2152" s="1062">
        <f>G2151*Input!$D$48</f>
        <v>86.206685574099993</v>
      </c>
      <c r="H2152" s="1062">
        <f>H2151*Input!$D$48</f>
        <v>89.744454826599991</v>
      </c>
      <c r="I2152" s="1062">
        <f>I2151*Input!$D$48</f>
        <v>93.28222407909999</v>
      </c>
      <c r="J2152" s="1846"/>
      <c r="K2152" s="1846"/>
      <c r="L2152" s="1846"/>
      <c r="M2152" s="1066"/>
      <c r="N2152" s="1066"/>
      <c r="O2152" s="1066"/>
      <c r="P2152" s="1066"/>
      <c r="Q2152" s="1066"/>
      <c r="R2152" s="1066"/>
      <c r="S2152" s="1066"/>
      <c r="T2152" s="1066"/>
      <c r="U2152" s="1066"/>
      <c r="V2152" s="1066"/>
      <c r="W2152" s="1066"/>
      <c r="X2152" s="1066"/>
      <c r="Y2152" s="1066"/>
      <c r="Z2152" s="1066"/>
      <c r="AA2152" s="1066"/>
      <c r="AB2152" s="1066"/>
      <c r="AC2152" s="1066"/>
      <c r="AD2152" s="1066"/>
      <c r="AE2152" s="1066"/>
      <c r="AF2152" s="1066"/>
      <c r="AG2152" s="1066"/>
      <c r="AH2152" s="1066"/>
      <c r="AI2152" s="1066"/>
      <c r="AJ2152" s="1066"/>
      <c r="AK2152" s="1066"/>
      <c r="AL2152" s="1066"/>
      <c r="AM2152" s="1066"/>
      <c r="AN2152" s="1066"/>
      <c r="AO2152" s="1066"/>
      <c r="AP2152" s="1066"/>
      <c r="AQ2152" s="1066"/>
      <c r="AR2152" s="1066"/>
      <c r="AS2152" s="1066"/>
      <c r="AT2152" s="1066"/>
      <c r="AU2152" s="1066"/>
      <c r="AV2152" s="1066"/>
      <c r="AW2152" s="1066"/>
      <c r="AX2152" s="1066"/>
      <c r="AY2152" s="1066"/>
      <c r="AZ2152" s="1066"/>
      <c r="BA2152" s="1066"/>
      <c r="BB2152" s="1066"/>
      <c r="BC2152" s="1066"/>
      <c r="BD2152" s="1066"/>
      <c r="BE2152" s="1066"/>
      <c r="BF2152" s="1066"/>
      <c r="BG2152" s="1066"/>
      <c r="BH2152" s="1066"/>
      <c r="BI2152" s="1066"/>
      <c r="BJ2152" s="1066"/>
      <c r="BK2152" s="1066"/>
      <c r="BL2152" s="1066"/>
    </row>
    <row r="2153" spans="1:64">
      <c r="A2153" s="1172"/>
      <c r="B2153" s="1172"/>
      <c r="C2153" s="1088" t="s">
        <v>1045</v>
      </c>
      <c r="D2153" s="1174">
        <f t="shared" ref="D2153:I2153" si="506">SUM(D2151:D2152)</f>
        <v>630.81466181659994</v>
      </c>
      <c r="E2153" s="1174">
        <f t="shared" si="506"/>
        <v>660.33678106909986</v>
      </c>
      <c r="F2153" s="1174">
        <f t="shared" si="506"/>
        <v>689.8589003216</v>
      </c>
      <c r="G2153" s="1174">
        <f t="shared" si="506"/>
        <v>719.38101957409992</v>
      </c>
      <c r="H2153" s="1174">
        <f t="shared" si="506"/>
        <v>748.90313882659996</v>
      </c>
      <c r="I2153" s="1174">
        <f t="shared" si="506"/>
        <v>778.42525807909988</v>
      </c>
      <c r="J2153" s="1846"/>
      <c r="K2153" s="1846"/>
      <c r="L2153" s="1846"/>
      <c r="M2153" s="1006"/>
      <c r="N2153" s="1006"/>
      <c r="O2153" s="1006"/>
      <c r="P2153" s="1006"/>
      <c r="Q2153" s="1006"/>
      <c r="R2153" s="1006"/>
      <c r="S2153" s="1006"/>
      <c r="T2153" s="1006"/>
      <c r="U2153" s="1006"/>
      <c r="V2153" s="1006"/>
      <c r="W2153" s="1006"/>
      <c r="X2153" s="1006"/>
      <c r="Y2153" s="1006"/>
      <c r="Z2153" s="1006"/>
      <c r="AA2153" s="1006"/>
      <c r="AB2153" s="1006"/>
      <c r="AC2153" s="1006"/>
      <c r="AD2153" s="1006"/>
      <c r="AE2153" s="1006"/>
      <c r="AF2153" s="1006"/>
      <c r="AG2153" s="1006"/>
      <c r="AH2153" s="1006"/>
      <c r="AI2153" s="1006"/>
      <c r="AJ2153" s="1006"/>
      <c r="AK2153" s="1006"/>
      <c r="AL2153" s="1006"/>
      <c r="AM2153" s="1006"/>
      <c r="AN2153" s="1006"/>
      <c r="AO2153" s="1006"/>
      <c r="AP2153" s="1006"/>
      <c r="AQ2153" s="1006"/>
      <c r="AR2153" s="1006"/>
      <c r="AS2153" s="1006"/>
      <c r="AT2153" s="1006"/>
      <c r="AU2153" s="1006"/>
      <c r="AV2153" s="1006"/>
      <c r="AW2153" s="1006"/>
      <c r="AX2153" s="1006"/>
      <c r="AY2153" s="1006"/>
      <c r="AZ2153" s="1006"/>
      <c r="BA2153" s="1006"/>
      <c r="BB2153" s="1006"/>
      <c r="BC2153" s="1006"/>
      <c r="BD2153" s="1006"/>
      <c r="BE2153" s="1006"/>
      <c r="BF2153" s="1006"/>
      <c r="BG2153" s="1006"/>
      <c r="BH2153" s="1006"/>
      <c r="BI2153" s="1006"/>
      <c r="BJ2153" s="1006"/>
      <c r="BK2153" s="1006"/>
      <c r="BL2153" s="1006"/>
    </row>
    <row r="2154" spans="1:64">
      <c r="A2154" s="1086"/>
      <c r="B2154" s="1086"/>
      <c r="C2154" s="1118" t="s">
        <v>1034</v>
      </c>
      <c r="D2154" s="999">
        <f t="shared" ref="D2154:I2154" si="507">ROUND(D2153,0)</f>
        <v>631</v>
      </c>
      <c r="E2154" s="999">
        <f t="shared" si="507"/>
        <v>660</v>
      </c>
      <c r="F2154" s="999">
        <f t="shared" si="507"/>
        <v>690</v>
      </c>
      <c r="G2154" s="999">
        <f t="shared" si="507"/>
        <v>719</v>
      </c>
      <c r="H2154" s="999">
        <f t="shared" si="507"/>
        <v>749</v>
      </c>
      <c r="I2154" s="999">
        <f t="shared" si="507"/>
        <v>778</v>
      </c>
      <c r="J2154" s="1846"/>
      <c r="K2154" s="1846"/>
      <c r="L2154" s="1846"/>
      <c r="M2154" s="997"/>
      <c r="N2154" s="997"/>
      <c r="O2154" s="997"/>
      <c r="P2154" s="997"/>
      <c r="Q2154" s="997"/>
      <c r="R2154" s="997"/>
      <c r="S2154" s="997"/>
      <c r="T2154" s="997"/>
      <c r="U2154" s="997"/>
      <c r="V2154" s="997"/>
      <c r="W2154" s="997"/>
      <c r="X2154" s="997"/>
      <c r="Y2154" s="997"/>
      <c r="Z2154" s="997"/>
      <c r="AA2154" s="997"/>
      <c r="AB2154" s="997"/>
      <c r="AC2154" s="997"/>
      <c r="AD2154" s="997"/>
      <c r="AE2154" s="997"/>
      <c r="AF2154" s="997"/>
      <c r="AG2154" s="997"/>
      <c r="AH2154" s="997"/>
      <c r="AI2154" s="997"/>
      <c r="AJ2154" s="997"/>
      <c r="AK2154" s="997"/>
      <c r="AL2154" s="997"/>
      <c r="AM2154" s="997"/>
      <c r="AN2154" s="997"/>
      <c r="AO2154" s="997"/>
      <c r="AP2154" s="997"/>
      <c r="AQ2154" s="997"/>
      <c r="AR2154" s="997"/>
      <c r="AS2154" s="997"/>
      <c r="AT2154" s="997"/>
      <c r="AU2154" s="997"/>
      <c r="AV2154" s="997"/>
      <c r="AW2154" s="997"/>
      <c r="AX2154" s="997"/>
      <c r="AY2154" s="997"/>
      <c r="AZ2154" s="997"/>
      <c r="BA2154" s="997"/>
      <c r="BB2154" s="997"/>
      <c r="BC2154" s="997"/>
      <c r="BD2154" s="997"/>
      <c r="BE2154" s="997"/>
      <c r="BF2154" s="997"/>
      <c r="BG2154" s="997"/>
      <c r="BH2154" s="997"/>
      <c r="BI2154" s="997"/>
      <c r="BJ2154" s="997"/>
      <c r="BK2154" s="997"/>
      <c r="BL2154" s="997"/>
    </row>
    <row r="2155" spans="1:64">
      <c r="A2155" s="1818"/>
      <c r="B2155" s="1818"/>
      <c r="C2155" s="1816"/>
      <c r="D2155" s="1114"/>
      <c r="E2155" s="1114"/>
      <c r="F2155" s="1114"/>
      <c r="G2155" s="1114"/>
      <c r="H2155" s="1114"/>
      <c r="I2155" s="1009"/>
      <c r="J2155" s="1846"/>
      <c r="K2155" s="1846"/>
      <c r="L2155" s="1846"/>
    </row>
    <row r="2156" spans="1:64">
      <c r="A2156" s="1818"/>
      <c r="B2156" s="1818"/>
      <c r="C2156" s="1816" t="s">
        <v>1217</v>
      </c>
      <c r="D2156" s="1106" t="s">
        <v>1212</v>
      </c>
      <c r="E2156" s="1106" t="s">
        <v>1213</v>
      </c>
      <c r="F2156" s="1106" t="s">
        <v>1214</v>
      </c>
      <c r="G2156" s="1114"/>
      <c r="H2156" s="1114"/>
      <c r="I2156" s="1009"/>
      <c r="J2156" s="1846"/>
      <c r="K2156" s="1846"/>
      <c r="L2156" s="1846"/>
    </row>
    <row r="2157" spans="1:64">
      <c r="A2157" s="1818"/>
      <c r="B2157" s="1818"/>
      <c r="C2157" s="1817" t="s">
        <v>1317</v>
      </c>
      <c r="D2157" s="1062">
        <f>$I$2141</f>
        <v>327.42128400000001</v>
      </c>
      <c r="E2157" s="1062">
        <f>$I$2141</f>
        <v>327.42128400000001</v>
      </c>
      <c r="F2157" s="1062">
        <f>$I$2141</f>
        <v>327.42128400000001</v>
      </c>
      <c r="G2157" s="1114"/>
      <c r="H2157" s="1114"/>
      <c r="I2157" s="1009"/>
      <c r="J2157" s="1846"/>
      <c r="K2157" s="1846"/>
      <c r="L2157" s="1846"/>
    </row>
    <row r="2158" spans="1:64" ht="25.5">
      <c r="A2158" s="1818"/>
      <c r="B2158" s="1818"/>
      <c r="C2158" s="1817" t="s">
        <v>1344</v>
      </c>
      <c r="D2158" s="1062">
        <f>'Civil-SOR'!$F$280*50%</f>
        <v>88.5</v>
      </c>
      <c r="E2158" s="1062">
        <f>'Civil-SOR'!$F$280*50%</f>
        <v>88.5</v>
      </c>
      <c r="F2158" s="1062">
        <f>'Civil-SOR'!$F$280*50%</f>
        <v>88.5</v>
      </c>
      <c r="G2158" s="1114"/>
      <c r="H2158" s="1114"/>
      <c r="I2158" s="1009"/>
      <c r="J2158" s="1846"/>
      <c r="K2158" s="1846"/>
      <c r="L2158" s="1846"/>
    </row>
    <row r="2159" spans="1:64">
      <c r="A2159" s="1818"/>
      <c r="B2159" s="1818"/>
      <c r="C2159" s="1817" t="s">
        <v>1269</v>
      </c>
      <c r="D2159" s="1062">
        <f>'Civil-SOR'!$M$280*50%</f>
        <v>159</v>
      </c>
      <c r="E2159" s="1062">
        <f>'Civil-SOR'!$N$280*50%</f>
        <v>169</v>
      </c>
      <c r="F2159" s="1062">
        <f>'Civil-SOR'!$O$280*50%</f>
        <v>179</v>
      </c>
      <c r="G2159" s="1114"/>
      <c r="H2159" s="1114"/>
      <c r="I2159" s="1009"/>
      <c r="J2159" s="1846"/>
      <c r="K2159" s="1846"/>
      <c r="L2159" s="1846"/>
    </row>
    <row r="2160" spans="1:64">
      <c r="A2160" s="1818"/>
      <c r="B2160" s="1818"/>
      <c r="C2160" s="1817" t="str">
        <f>Input!$C$47</f>
        <v>Add for MA @ 40%</v>
      </c>
      <c r="D2160" s="1062">
        <f>D2159*Input!$D$47</f>
        <v>63.6</v>
      </c>
      <c r="E2160" s="1062">
        <f>E2159*Input!$D$47</f>
        <v>67.600000000000009</v>
      </c>
      <c r="F2160" s="1062">
        <f>F2159*Input!$D$47</f>
        <v>71.600000000000009</v>
      </c>
      <c r="G2160" s="1114"/>
      <c r="H2160" s="1114"/>
      <c r="I2160" s="1009"/>
      <c r="J2160" s="1846"/>
      <c r="K2160" s="1846"/>
      <c r="L2160" s="1846"/>
    </row>
    <row r="2161" spans="1:64">
      <c r="A2161" s="1818"/>
      <c r="B2161" s="1818"/>
      <c r="C2161" s="1817" t="s">
        <v>1253</v>
      </c>
      <c r="D2161" s="1062">
        <f>$F$2132*60%*$D$2141</f>
        <v>51.361500000000007</v>
      </c>
      <c r="E2161" s="1062">
        <f>$F$2132*70%*$D$2141</f>
        <v>59.921750000000003</v>
      </c>
      <c r="F2161" s="1062">
        <f>$F$2132*80%*$D$2141</f>
        <v>68.482000000000014</v>
      </c>
      <c r="G2161" s="1114"/>
      <c r="H2161" s="1114"/>
      <c r="I2161" s="1009"/>
      <c r="J2161" s="1846"/>
      <c r="K2161" s="1846"/>
      <c r="L2161" s="1846"/>
    </row>
    <row r="2162" spans="1:64">
      <c r="A2162" s="1818"/>
      <c r="B2162" s="1818"/>
      <c r="C2162" s="1817" t="str">
        <f>Input!$C$47</f>
        <v>Add for MA @ 40%</v>
      </c>
      <c r="D2162" s="1062">
        <f>D2161*Input!$D$47</f>
        <v>20.544600000000003</v>
      </c>
      <c r="E2162" s="1062">
        <f>E2161*Input!$D$47</f>
        <v>23.968700000000002</v>
      </c>
      <c r="F2162" s="1062">
        <f>F2161*Input!$D$47</f>
        <v>27.392800000000008</v>
      </c>
      <c r="G2162" s="1114"/>
      <c r="H2162" s="1114"/>
      <c r="I2162" s="1009"/>
      <c r="J2162" s="1846"/>
      <c r="K2162" s="1846"/>
      <c r="L2162" s="1846"/>
    </row>
    <row r="2163" spans="1:64">
      <c r="A2163" s="1818"/>
      <c r="B2163" s="1818"/>
      <c r="C2163" s="1817" t="s">
        <v>1045</v>
      </c>
      <c r="D2163" s="1065">
        <f>SUM(D2157:D2162)</f>
        <v>710.42738400000007</v>
      </c>
      <c r="E2163" s="1065">
        <f>SUM(E2157:E2162)</f>
        <v>736.41173400000002</v>
      </c>
      <c r="F2163" s="1065">
        <f>SUM(F2157:F2162)</f>
        <v>762.39608399999997</v>
      </c>
      <c r="G2163" s="1114"/>
      <c r="H2163" s="1114"/>
      <c r="I2163" s="1009"/>
      <c r="J2163" s="1846"/>
      <c r="K2163" s="1846"/>
      <c r="L2163" s="1846"/>
    </row>
    <row r="2164" spans="1:64">
      <c r="A2164" s="1818"/>
      <c r="B2164" s="1818"/>
      <c r="C2164" s="1828" t="str">
        <f>Input!$C$48</f>
        <v>Overheads &amp; Contractors Profit @ 13.615%</v>
      </c>
      <c r="D2164" s="1062">
        <f>D2163*Input!$D$48</f>
        <v>96.724688331600007</v>
      </c>
      <c r="E2164" s="1062">
        <f>E2163*Input!$D$48</f>
        <v>100.26245758410001</v>
      </c>
      <c r="F2164" s="1062">
        <f>F2163*Input!$D$48</f>
        <v>103.80022683659999</v>
      </c>
      <c r="G2164" s="1114"/>
      <c r="H2164" s="1114"/>
      <c r="I2164" s="1009"/>
      <c r="J2164" s="1846"/>
      <c r="K2164" s="1846"/>
      <c r="L2164" s="1846"/>
    </row>
    <row r="2165" spans="1:64">
      <c r="A2165" s="1818"/>
      <c r="B2165" s="1818"/>
      <c r="C2165" s="1816" t="s">
        <v>1045</v>
      </c>
      <c r="D2165" s="1174">
        <f>SUM(D2163:D2164)</f>
        <v>807.15207233160004</v>
      </c>
      <c r="E2165" s="1174">
        <f>SUM(E2163:E2164)</f>
        <v>836.67419158410007</v>
      </c>
      <c r="F2165" s="1174">
        <f>SUM(F2163:F2164)</f>
        <v>866.19631083659999</v>
      </c>
      <c r="G2165" s="1114"/>
      <c r="H2165" s="1114"/>
      <c r="I2165" s="1009"/>
      <c r="J2165" s="1846"/>
      <c r="K2165" s="1846"/>
      <c r="L2165" s="1846"/>
    </row>
    <row r="2166" spans="1:64">
      <c r="A2166" s="1818"/>
      <c r="B2166" s="1818"/>
      <c r="C2166" s="1843" t="s">
        <v>1034</v>
      </c>
      <c r="D2166" s="999">
        <f>ROUND(D2165,0)</f>
        <v>807</v>
      </c>
      <c r="E2166" s="999">
        <f>ROUND(E2165,0)</f>
        <v>837</v>
      </c>
      <c r="F2166" s="999">
        <f>ROUND(F2165,0)</f>
        <v>866</v>
      </c>
      <c r="G2166" s="1114"/>
      <c r="H2166" s="1114"/>
      <c r="I2166" s="1009"/>
      <c r="J2166" s="1846"/>
      <c r="K2166" s="1846"/>
      <c r="L2166" s="1846"/>
    </row>
    <row r="2167" spans="1:64">
      <c r="A2167" s="1818"/>
      <c r="B2167" s="1818"/>
      <c r="C2167" s="1816"/>
      <c r="D2167" s="1114"/>
      <c r="E2167" s="1114"/>
      <c r="F2167" s="1114"/>
      <c r="G2167" s="1114"/>
      <c r="H2167" s="1114"/>
      <c r="I2167" s="1009"/>
      <c r="J2167" s="1846"/>
      <c r="K2167" s="1846"/>
      <c r="L2167" s="1846"/>
    </row>
    <row r="2168" spans="1:64">
      <c r="A2168" s="1818"/>
      <c r="B2168" s="1106" t="s">
        <v>297</v>
      </c>
      <c r="C2168" s="1816" t="s">
        <v>1345</v>
      </c>
      <c r="D2168" s="1161"/>
      <c r="E2168" s="1161"/>
      <c r="F2168" s="1162"/>
      <c r="G2168" s="1105"/>
      <c r="H2168" s="1161"/>
      <c r="I2168" s="1080"/>
      <c r="J2168" s="1846"/>
      <c r="K2168" s="1846"/>
      <c r="L2168" s="1846"/>
    </row>
    <row r="2169" spans="1:64">
      <c r="A2169" s="1818"/>
      <c r="B2169" s="1818"/>
      <c r="C2169" s="1817" t="s">
        <v>1337</v>
      </c>
      <c r="D2169" s="1132">
        <v>2.5000000000000001E-2</v>
      </c>
      <c r="E2169" s="1175" t="s">
        <v>75</v>
      </c>
      <c r="F2169" s="1021">
        <f>$I$2138</f>
        <v>6548.4256800000003</v>
      </c>
      <c r="G2169" s="1105">
        <v>1</v>
      </c>
      <c r="H2169" s="1175" t="s">
        <v>75</v>
      </c>
      <c r="I2169" s="1030">
        <f>IF(G2169="",D2169*F2169,(D2169*F2169/G2169))</f>
        <v>163.71064200000001</v>
      </c>
      <c r="J2169" s="1846"/>
      <c r="K2169" s="1846"/>
      <c r="L2169" s="1846"/>
    </row>
    <row r="2170" spans="1:64">
      <c r="A2170" s="1818"/>
      <c r="B2170" s="1818"/>
      <c r="C2170" s="1817" t="s">
        <v>1346</v>
      </c>
      <c r="D2170" s="1161"/>
      <c r="E2170" s="1161"/>
      <c r="F2170" s="1162"/>
      <c r="G2170" s="1105"/>
      <c r="H2170" s="1161"/>
      <c r="I2170" s="1080">
        <f>SUM(I2169:I2169)</f>
        <v>163.71064200000001</v>
      </c>
      <c r="J2170" s="1846"/>
      <c r="K2170" s="1846"/>
      <c r="L2170" s="1846"/>
    </row>
    <row r="2171" spans="1:64">
      <c r="A2171" s="1818"/>
      <c r="B2171" s="1818"/>
      <c r="C2171" s="1816"/>
      <c r="D2171" s="1114"/>
      <c r="E2171" s="1114"/>
      <c r="F2171" s="1114"/>
      <c r="G2171" s="1114"/>
      <c r="H2171" s="1114"/>
      <c r="I2171" s="1011"/>
      <c r="J2171" s="1846"/>
      <c r="K2171" s="1846"/>
      <c r="L2171" s="1846"/>
    </row>
    <row r="2172" spans="1:64">
      <c r="A2172" s="1818"/>
      <c r="B2172" s="1818"/>
      <c r="C2172" s="1816" t="s">
        <v>1217</v>
      </c>
      <c r="D2172" s="1009" t="s">
        <v>1223</v>
      </c>
      <c r="E2172" s="1114" t="s">
        <v>1207</v>
      </c>
      <c r="F2172" s="1106" t="s">
        <v>1208</v>
      </c>
      <c r="G2172" s="1106" t="s">
        <v>1209</v>
      </c>
      <c r="H2172" s="1106" t="s">
        <v>1210</v>
      </c>
      <c r="I2172" s="1106" t="s">
        <v>1211</v>
      </c>
      <c r="J2172" s="1106"/>
      <c r="K2172" s="1106" t="s">
        <v>1213</v>
      </c>
      <c r="L2172" s="1106" t="s">
        <v>1214</v>
      </c>
    </row>
    <row r="2173" spans="1:64">
      <c r="A2173" s="1058"/>
      <c r="B2173" s="1058"/>
      <c r="C2173" s="1817" t="s">
        <v>1317</v>
      </c>
      <c r="D2173" s="1062">
        <f t="shared" ref="D2173:L2173" si="508">$I$2170</f>
        <v>163.71064200000001</v>
      </c>
      <c r="E2173" s="1062">
        <f t="shared" si="508"/>
        <v>163.71064200000001</v>
      </c>
      <c r="F2173" s="1062">
        <f t="shared" si="508"/>
        <v>163.71064200000001</v>
      </c>
      <c r="G2173" s="1062">
        <f t="shared" si="508"/>
        <v>163.71064200000001</v>
      </c>
      <c r="H2173" s="1062">
        <f t="shared" si="508"/>
        <v>163.71064200000001</v>
      </c>
      <c r="I2173" s="1062">
        <f t="shared" si="508"/>
        <v>163.71064200000001</v>
      </c>
      <c r="J2173" s="1062"/>
      <c r="K2173" s="1062">
        <f t="shared" si="508"/>
        <v>163.71064200000001</v>
      </c>
      <c r="L2173" s="1062">
        <f t="shared" si="508"/>
        <v>163.71064200000001</v>
      </c>
      <c r="M2173" s="1066"/>
      <c r="N2173" s="1066"/>
      <c r="O2173" s="1066"/>
      <c r="P2173" s="1066"/>
      <c r="Q2173" s="1066"/>
      <c r="R2173" s="1066"/>
      <c r="S2173" s="1066"/>
      <c r="T2173" s="1066"/>
      <c r="U2173" s="1066"/>
      <c r="V2173" s="1066"/>
      <c r="W2173" s="1066"/>
      <c r="X2173" s="1066"/>
      <c r="Y2173" s="1066"/>
      <c r="Z2173" s="1066"/>
      <c r="AA2173" s="1066"/>
      <c r="AB2173" s="1066"/>
      <c r="AC2173" s="1066"/>
      <c r="AD2173" s="1066"/>
      <c r="AE2173" s="1066"/>
      <c r="AF2173" s="1066"/>
      <c r="AG2173" s="1066"/>
      <c r="AH2173" s="1066"/>
      <c r="AI2173" s="1066"/>
      <c r="AJ2173" s="1066"/>
      <c r="AK2173" s="1066"/>
      <c r="AL2173" s="1066"/>
      <c r="AM2173" s="1066"/>
      <c r="AN2173" s="1066"/>
      <c r="AO2173" s="1066"/>
      <c r="AP2173" s="1066"/>
      <c r="AQ2173" s="1066"/>
      <c r="AR2173" s="1066"/>
      <c r="AS2173" s="1066"/>
      <c r="AT2173" s="1066"/>
      <c r="AU2173" s="1066"/>
      <c r="AV2173" s="1066"/>
      <c r="AW2173" s="1066"/>
      <c r="AX2173" s="1066"/>
      <c r="AY2173" s="1066"/>
      <c r="AZ2173" s="1066"/>
      <c r="BA2173" s="1066"/>
      <c r="BB2173" s="1066"/>
      <c r="BC2173" s="1066"/>
      <c r="BD2173" s="1066"/>
      <c r="BE2173" s="1066"/>
      <c r="BF2173" s="1066"/>
      <c r="BG2173" s="1066"/>
      <c r="BH2173" s="1066"/>
      <c r="BI2173" s="1066"/>
      <c r="BJ2173" s="1066"/>
      <c r="BK2173" s="1066"/>
      <c r="BL2173" s="1066"/>
    </row>
    <row r="2174" spans="1:64" ht="25.5">
      <c r="A2174" s="1058"/>
      <c r="B2174" s="1058"/>
      <c r="C2174" s="1817" t="s">
        <v>1347</v>
      </c>
      <c r="D2174" s="1062">
        <f>'Civil-SOR'!$F$280*25%</f>
        <v>44.25</v>
      </c>
      <c r="E2174" s="1062">
        <f>'Civil-SOR'!$F$280*25%</f>
        <v>44.25</v>
      </c>
      <c r="F2174" s="1062">
        <f>'Civil-SOR'!$F$280*25%</f>
        <v>44.25</v>
      </c>
      <c r="G2174" s="1062">
        <f>'Civil-SOR'!$F$280*25%</f>
        <v>44.25</v>
      </c>
      <c r="H2174" s="1062">
        <f>'Civil-SOR'!$F$280*25%</f>
        <v>44.25</v>
      </c>
      <c r="I2174" s="1062">
        <f>'Civil-SOR'!$F$280*25%</f>
        <v>44.25</v>
      </c>
      <c r="J2174" s="1062"/>
      <c r="K2174" s="1062">
        <f>'Civil-SOR'!$F$280*25%</f>
        <v>44.25</v>
      </c>
      <c r="L2174" s="1062">
        <f>'Civil-SOR'!$F$280*25%</f>
        <v>44.25</v>
      </c>
      <c r="M2174" s="1066"/>
      <c r="N2174" s="1066"/>
      <c r="O2174" s="1066"/>
      <c r="P2174" s="1066"/>
      <c r="Q2174" s="1066"/>
      <c r="R2174" s="1066"/>
      <c r="S2174" s="1066"/>
      <c r="T2174" s="1066"/>
      <c r="U2174" s="1066"/>
      <c r="V2174" s="1066"/>
      <c r="W2174" s="1066"/>
      <c r="X2174" s="1066"/>
      <c r="Y2174" s="1066"/>
      <c r="Z2174" s="1066"/>
      <c r="AA2174" s="1066"/>
      <c r="AB2174" s="1066"/>
      <c r="AC2174" s="1066"/>
      <c r="AD2174" s="1066"/>
      <c r="AE2174" s="1066"/>
      <c r="AF2174" s="1066"/>
      <c r="AG2174" s="1066"/>
      <c r="AH2174" s="1066"/>
      <c r="AI2174" s="1066"/>
      <c r="AJ2174" s="1066"/>
      <c r="AK2174" s="1066"/>
      <c r="AL2174" s="1066"/>
      <c r="AM2174" s="1066"/>
      <c r="AN2174" s="1066"/>
      <c r="AO2174" s="1066"/>
      <c r="AP2174" s="1066"/>
      <c r="AQ2174" s="1066"/>
      <c r="AR2174" s="1066"/>
      <c r="AS2174" s="1066"/>
      <c r="AT2174" s="1066"/>
      <c r="AU2174" s="1066"/>
      <c r="AV2174" s="1066"/>
      <c r="AW2174" s="1066"/>
      <c r="AX2174" s="1066"/>
      <c r="AY2174" s="1066"/>
      <c r="AZ2174" s="1066"/>
      <c r="BA2174" s="1066"/>
      <c r="BB2174" s="1066"/>
      <c r="BC2174" s="1066"/>
      <c r="BD2174" s="1066"/>
      <c r="BE2174" s="1066"/>
      <c r="BF2174" s="1066"/>
      <c r="BG2174" s="1066"/>
      <c r="BH2174" s="1066"/>
      <c r="BI2174" s="1066"/>
      <c r="BJ2174" s="1066"/>
      <c r="BK2174" s="1066"/>
      <c r="BL2174" s="1066"/>
    </row>
    <row r="2175" spans="1:64">
      <c r="A2175" s="1058"/>
      <c r="B2175" s="1058"/>
      <c r="C2175" s="1817" t="s">
        <v>1269</v>
      </c>
      <c r="D2175" s="1062">
        <f>'Civil-SOR'!$G$280*25%</f>
        <v>49.75</v>
      </c>
      <c r="E2175" s="1062">
        <f>'Civil-SOR'!$H$280*25%</f>
        <v>54.75</v>
      </c>
      <c r="F2175" s="1062">
        <f>'Civil-SOR'!$I$280*25%</f>
        <v>59.75</v>
      </c>
      <c r="G2175" s="1062">
        <f>'Civil-SOR'!$J$280*25%</f>
        <v>64.75</v>
      </c>
      <c r="H2175" s="1062">
        <f>'Civil-SOR'!$K$280*25%</f>
        <v>69.75</v>
      </c>
      <c r="I2175" s="1062">
        <f>'Civil-SOR'!$L$280*25%</f>
        <v>74.75</v>
      </c>
      <c r="J2175" s="1062"/>
      <c r="K2175" s="1062">
        <f>'Civil-SOR'!$N$280*25%</f>
        <v>84.5</v>
      </c>
      <c r="L2175" s="1062">
        <f>'Civil-SOR'!$O$280*25%</f>
        <v>89.5</v>
      </c>
      <c r="M2175" s="1066"/>
      <c r="N2175" s="1066"/>
      <c r="O2175" s="1066"/>
      <c r="P2175" s="1066"/>
      <c r="Q2175" s="1066"/>
      <c r="R2175" s="1066"/>
      <c r="S2175" s="1066"/>
      <c r="T2175" s="1066"/>
      <c r="U2175" s="1066"/>
      <c r="V2175" s="1066"/>
      <c r="W2175" s="1066"/>
      <c r="X2175" s="1066"/>
      <c r="Y2175" s="1066"/>
      <c r="Z2175" s="1066"/>
      <c r="AA2175" s="1066"/>
      <c r="AB2175" s="1066"/>
      <c r="AC2175" s="1066"/>
      <c r="AD2175" s="1066"/>
      <c r="AE2175" s="1066"/>
      <c r="AF2175" s="1066"/>
      <c r="AG2175" s="1066"/>
      <c r="AH2175" s="1066"/>
      <c r="AI2175" s="1066"/>
      <c r="AJ2175" s="1066"/>
      <c r="AK2175" s="1066"/>
      <c r="AL2175" s="1066"/>
      <c r="AM2175" s="1066"/>
      <c r="AN2175" s="1066"/>
      <c r="AO2175" s="1066"/>
      <c r="AP2175" s="1066"/>
      <c r="AQ2175" s="1066"/>
      <c r="AR2175" s="1066"/>
      <c r="AS2175" s="1066"/>
      <c r="AT2175" s="1066"/>
      <c r="AU2175" s="1066"/>
      <c r="AV2175" s="1066"/>
      <c r="AW2175" s="1066"/>
      <c r="AX2175" s="1066"/>
      <c r="AY2175" s="1066"/>
      <c r="AZ2175" s="1066"/>
      <c r="BA2175" s="1066"/>
      <c r="BB2175" s="1066"/>
      <c r="BC2175" s="1066"/>
      <c r="BD2175" s="1066"/>
      <c r="BE2175" s="1066"/>
      <c r="BF2175" s="1066"/>
      <c r="BG2175" s="1066"/>
      <c r="BH2175" s="1066"/>
      <c r="BI2175" s="1066"/>
      <c r="BJ2175" s="1066"/>
      <c r="BK2175" s="1066"/>
      <c r="BL2175" s="1066"/>
    </row>
    <row r="2176" spans="1:64">
      <c r="A2176" s="1058"/>
      <c r="B2176" s="1058"/>
      <c r="C2176" s="1817" t="str">
        <f>Input!$C$47</f>
        <v>Add for MA @ 40%</v>
      </c>
      <c r="D2176" s="1062">
        <f>D2175*Input!$D$47</f>
        <v>19.900000000000002</v>
      </c>
      <c r="E2176" s="1062">
        <f>E2175*Input!$D$47</f>
        <v>21.900000000000002</v>
      </c>
      <c r="F2176" s="1062">
        <f>F2175*Input!$D$47</f>
        <v>23.900000000000002</v>
      </c>
      <c r="G2176" s="1062">
        <f>G2175*Input!$D$47</f>
        <v>25.900000000000002</v>
      </c>
      <c r="H2176" s="1062">
        <f>H2175*Input!$D$47</f>
        <v>27.900000000000002</v>
      </c>
      <c r="I2176" s="1062">
        <f>I2175*Input!$D$47</f>
        <v>29.900000000000002</v>
      </c>
      <c r="J2176" s="1062"/>
      <c r="K2176" s="1062">
        <f>K2175*Input!$D$47</f>
        <v>33.800000000000004</v>
      </c>
      <c r="L2176" s="1062">
        <f>L2175*Input!$D$47</f>
        <v>35.800000000000004</v>
      </c>
      <c r="M2176" s="1066"/>
      <c r="N2176" s="1066"/>
      <c r="O2176" s="1066"/>
      <c r="P2176" s="1066"/>
      <c r="Q2176" s="1066"/>
      <c r="R2176" s="1066"/>
      <c r="S2176" s="1066"/>
      <c r="T2176" s="1066"/>
      <c r="U2176" s="1066"/>
      <c r="V2176" s="1066"/>
      <c r="W2176" s="1066"/>
      <c r="X2176" s="1066"/>
      <c r="Y2176" s="1066"/>
      <c r="Z2176" s="1066"/>
      <c r="AA2176" s="1066"/>
      <c r="AB2176" s="1066"/>
      <c r="AC2176" s="1066"/>
      <c r="AD2176" s="1066"/>
      <c r="AE2176" s="1066"/>
      <c r="AF2176" s="1066"/>
      <c r="AG2176" s="1066"/>
      <c r="AH2176" s="1066"/>
      <c r="AI2176" s="1066"/>
      <c r="AJ2176" s="1066"/>
      <c r="AK2176" s="1066"/>
      <c r="AL2176" s="1066"/>
      <c r="AM2176" s="1066"/>
      <c r="AN2176" s="1066"/>
      <c r="AO2176" s="1066"/>
      <c r="AP2176" s="1066"/>
      <c r="AQ2176" s="1066"/>
      <c r="AR2176" s="1066"/>
      <c r="AS2176" s="1066"/>
      <c r="AT2176" s="1066"/>
      <c r="AU2176" s="1066"/>
      <c r="AV2176" s="1066"/>
      <c r="AW2176" s="1066"/>
      <c r="AX2176" s="1066"/>
      <c r="AY2176" s="1066"/>
      <c r="AZ2176" s="1066"/>
      <c r="BA2176" s="1066"/>
      <c r="BB2176" s="1066"/>
      <c r="BC2176" s="1066"/>
      <c r="BD2176" s="1066"/>
      <c r="BE2176" s="1066"/>
      <c r="BF2176" s="1066"/>
      <c r="BG2176" s="1066"/>
      <c r="BH2176" s="1066"/>
      <c r="BI2176" s="1066"/>
      <c r="BJ2176" s="1066"/>
      <c r="BK2176" s="1066"/>
      <c r="BL2176" s="1066"/>
    </row>
    <row r="2177" spans="1:64">
      <c r="A2177" s="1058"/>
      <c r="B2177" s="1058"/>
      <c r="C2177" s="1817" t="s">
        <v>1253</v>
      </c>
      <c r="D2177" s="1062">
        <v>0</v>
      </c>
      <c r="E2177" s="1062">
        <f>$F$2132*10%*$D$2169</f>
        <v>4.2801250000000008</v>
      </c>
      <c r="F2177" s="1062">
        <f>$F$2132*20%*$D$2169</f>
        <v>8.5602500000000017</v>
      </c>
      <c r="G2177" s="1062">
        <f>$F$2132*30%*$D$2169</f>
        <v>12.840375000000002</v>
      </c>
      <c r="H2177" s="1062">
        <f>$F$2132*40%*$D$2169</f>
        <v>17.120500000000003</v>
      </c>
      <c r="I2177" s="1062">
        <f>$F$2132*50%*$D$2169</f>
        <v>21.400625000000002</v>
      </c>
      <c r="J2177" s="1062"/>
      <c r="K2177" s="1062">
        <f>$F$2132*70%*$D$2169</f>
        <v>29.960875000000001</v>
      </c>
      <c r="L2177" s="1062">
        <f>$F$2132*80%*$D$2169</f>
        <v>34.241000000000007</v>
      </c>
      <c r="M2177" s="1066"/>
      <c r="N2177" s="1066"/>
      <c r="O2177" s="1066"/>
      <c r="P2177" s="1066"/>
      <c r="Q2177" s="1066"/>
      <c r="R2177" s="1066"/>
      <c r="S2177" s="1066"/>
      <c r="T2177" s="1066"/>
      <c r="U2177" s="1066"/>
      <c r="V2177" s="1066"/>
      <c r="W2177" s="1066"/>
      <c r="X2177" s="1066"/>
      <c r="Y2177" s="1066"/>
      <c r="Z2177" s="1066"/>
      <c r="AA2177" s="1066"/>
      <c r="AB2177" s="1066"/>
      <c r="AC2177" s="1066"/>
      <c r="AD2177" s="1066"/>
      <c r="AE2177" s="1066"/>
      <c r="AF2177" s="1066"/>
      <c r="AG2177" s="1066"/>
      <c r="AH2177" s="1066"/>
      <c r="AI2177" s="1066"/>
      <c r="AJ2177" s="1066"/>
      <c r="AK2177" s="1066"/>
      <c r="AL2177" s="1066"/>
      <c r="AM2177" s="1066"/>
      <c r="AN2177" s="1066"/>
      <c r="AO2177" s="1066"/>
      <c r="AP2177" s="1066"/>
      <c r="AQ2177" s="1066"/>
      <c r="AR2177" s="1066"/>
      <c r="AS2177" s="1066"/>
      <c r="AT2177" s="1066"/>
      <c r="AU2177" s="1066"/>
      <c r="AV2177" s="1066"/>
      <c r="AW2177" s="1066"/>
      <c r="AX2177" s="1066"/>
      <c r="AY2177" s="1066"/>
      <c r="AZ2177" s="1066"/>
      <c r="BA2177" s="1066"/>
      <c r="BB2177" s="1066"/>
      <c r="BC2177" s="1066"/>
      <c r="BD2177" s="1066"/>
      <c r="BE2177" s="1066"/>
      <c r="BF2177" s="1066"/>
      <c r="BG2177" s="1066"/>
      <c r="BH2177" s="1066"/>
      <c r="BI2177" s="1066"/>
      <c r="BJ2177" s="1066"/>
      <c r="BK2177" s="1066"/>
      <c r="BL2177" s="1066"/>
    </row>
    <row r="2178" spans="1:64">
      <c r="A2178" s="1058"/>
      <c r="B2178" s="1058"/>
      <c r="C2178" s="1817" t="str">
        <f>Input!C47</f>
        <v>Add for MA @ 40%</v>
      </c>
      <c r="D2178" s="1062">
        <f>D2177*Input!$D$47</f>
        <v>0</v>
      </c>
      <c r="E2178" s="1062">
        <f>E2177*Input!$D$47</f>
        <v>1.7120500000000005</v>
      </c>
      <c r="F2178" s="1062">
        <f>F2177*Input!$D$47</f>
        <v>3.424100000000001</v>
      </c>
      <c r="G2178" s="1062">
        <f>G2177*Input!$D$47</f>
        <v>5.1361500000000007</v>
      </c>
      <c r="H2178" s="1062">
        <f>H2177*Input!$D$47</f>
        <v>6.8482000000000021</v>
      </c>
      <c r="I2178" s="1062">
        <f>I2177*Input!$D$47</f>
        <v>8.5602500000000017</v>
      </c>
      <c r="J2178" s="1062"/>
      <c r="K2178" s="1062">
        <f>K2177*Input!$D$47</f>
        <v>11.984350000000001</v>
      </c>
      <c r="L2178" s="1062">
        <f>L2177*Input!$D$47</f>
        <v>13.696400000000004</v>
      </c>
      <c r="M2178" s="1066"/>
      <c r="N2178" s="1066"/>
      <c r="O2178" s="1066"/>
      <c r="P2178" s="1066"/>
      <c r="Q2178" s="1066"/>
      <c r="R2178" s="1066"/>
      <c r="S2178" s="1066"/>
      <c r="T2178" s="1066"/>
      <c r="U2178" s="1066"/>
      <c r="V2178" s="1066"/>
      <c r="W2178" s="1066"/>
      <c r="X2178" s="1066"/>
      <c r="Y2178" s="1066"/>
      <c r="Z2178" s="1066"/>
      <c r="AA2178" s="1066"/>
      <c r="AB2178" s="1066"/>
      <c r="AC2178" s="1066"/>
      <c r="AD2178" s="1066"/>
      <c r="AE2178" s="1066"/>
      <c r="AF2178" s="1066"/>
      <c r="AG2178" s="1066"/>
      <c r="AH2178" s="1066"/>
      <c r="AI2178" s="1066"/>
      <c r="AJ2178" s="1066"/>
      <c r="AK2178" s="1066"/>
      <c r="AL2178" s="1066"/>
      <c r="AM2178" s="1066"/>
      <c r="AN2178" s="1066"/>
      <c r="AO2178" s="1066"/>
      <c r="AP2178" s="1066"/>
      <c r="AQ2178" s="1066"/>
      <c r="AR2178" s="1066"/>
      <c r="AS2178" s="1066"/>
      <c r="AT2178" s="1066"/>
      <c r="AU2178" s="1066"/>
      <c r="AV2178" s="1066"/>
      <c r="AW2178" s="1066"/>
      <c r="AX2178" s="1066"/>
      <c r="AY2178" s="1066"/>
      <c r="AZ2178" s="1066"/>
      <c r="BA2178" s="1066"/>
      <c r="BB2178" s="1066"/>
      <c r="BC2178" s="1066"/>
      <c r="BD2178" s="1066"/>
      <c r="BE2178" s="1066"/>
      <c r="BF2178" s="1066"/>
      <c r="BG2178" s="1066"/>
      <c r="BH2178" s="1066"/>
      <c r="BI2178" s="1066"/>
      <c r="BJ2178" s="1066"/>
      <c r="BK2178" s="1066"/>
      <c r="BL2178" s="1066"/>
    </row>
    <row r="2179" spans="1:64">
      <c r="A2179" s="1058"/>
      <c r="B2179" s="1058"/>
      <c r="C2179" s="1816" t="s">
        <v>1045</v>
      </c>
      <c r="D2179" s="1065">
        <f t="shared" ref="D2179:L2179" si="509">SUM(D2173:D2178)</f>
        <v>277.61064199999998</v>
      </c>
      <c r="E2179" s="1065">
        <f t="shared" si="509"/>
        <v>290.60281699999996</v>
      </c>
      <c r="F2179" s="1065">
        <f t="shared" si="509"/>
        <v>303.59499199999999</v>
      </c>
      <c r="G2179" s="1065">
        <f t="shared" si="509"/>
        <v>316.58716699999997</v>
      </c>
      <c r="H2179" s="1065">
        <f t="shared" si="509"/>
        <v>329.579342</v>
      </c>
      <c r="I2179" s="1065">
        <f t="shared" si="509"/>
        <v>342.57151699999997</v>
      </c>
      <c r="J2179" s="1065"/>
      <c r="K2179" s="1065">
        <f t="shared" si="509"/>
        <v>368.20586700000001</v>
      </c>
      <c r="L2179" s="1065">
        <f t="shared" si="509"/>
        <v>381.19804199999999</v>
      </c>
      <c r="M2179" s="1066"/>
      <c r="N2179" s="1066"/>
      <c r="O2179" s="1066"/>
      <c r="P2179" s="1066"/>
      <c r="Q2179" s="1066"/>
      <c r="R2179" s="1066"/>
      <c r="S2179" s="1066"/>
      <c r="T2179" s="1066"/>
      <c r="U2179" s="1066"/>
      <c r="V2179" s="1066"/>
      <c r="W2179" s="1066"/>
      <c r="X2179" s="1066"/>
      <c r="Y2179" s="1066"/>
      <c r="Z2179" s="1066"/>
      <c r="AA2179" s="1066"/>
      <c r="AB2179" s="1066"/>
      <c r="AC2179" s="1066"/>
      <c r="AD2179" s="1066"/>
      <c r="AE2179" s="1066"/>
      <c r="AF2179" s="1066"/>
      <c r="AG2179" s="1066"/>
      <c r="AH2179" s="1066"/>
      <c r="AI2179" s="1066"/>
      <c r="AJ2179" s="1066"/>
      <c r="AK2179" s="1066"/>
      <c r="AL2179" s="1066"/>
      <c r="AM2179" s="1066"/>
      <c r="AN2179" s="1066"/>
      <c r="AO2179" s="1066"/>
      <c r="AP2179" s="1066"/>
      <c r="AQ2179" s="1066"/>
      <c r="AR2179" s="1066"/>
      <c r="AS2179" s="1066"/>
      <c r="AT2179" s="1066"/>
      <c r="AU2179" s="1066"/>
      <c r="AV2179" s="1066"/>
      <c r="AW2179" s="1066"/>
      <c r="AX2179" s="1066"/>
      <c r="AY2179" s="1066"/>
      <c r="AZ2179" s="1066"/>
      <c r="BA2179" s="1066"/>
      <c r="BB2179" s="1066"/>
      <c r="BC2179" s="1066"/>
      <c r="BD2179" s="1066"/>
      <c r="BE2179" s="1066"/>
      <c r="BF2179" s="1066"/>
      <c r="BG2179" s="1066"/>
      <c r="BH2179" s="1066"/>
      <c r="BI2179" s="1066"/>
      <c r="BJ2179" s="1066"/>
      <c r="BK2179" s="1066"/>
      <c r="BL2179" s="1066"/>
    </row>
    <row r="2180" spans="1:64">
      <c r="A2180" s="1058"/>
      <c r="B2180" s="1058"/>
      <c r="C2180" s="1828" t="str">
        <f>Input!C48</f>
        <v>Overheads &amp; Contractors Profit @ 13.615%</v>
      </c>
      <c r="D2180" s="1062">
        <f>D2179*Input!$D$48</f>
        <v>37.796688908299998</v>
      </c>
      <c r="E2180" s="1062">
        <f>E2179*Input!$D$48</f>
        <v>39.565573534549991</v>
      </c>
      <c r="F2180" s="1062">
        <f>F2179*Input!$D$48</f>
        <v>41.334458160799997</v>
      </c>
      <c r="G2180" s="1062">
        <f>G2179*Input!$D$48</f>
        <v>43.103342787049996</v>
      </c>
      <c r="H2180" s="1062">
        <f>H2179*Input!$D$48</f>
        <v>44.872227413299996</v>
      </c>
      <c r="I2180" s="1062">
        <f>I2179*Input!$D$48</f>
        <v>46.641112039549995</v>
      </c>
      <c r="J2180" s="1062"/>
      <c r="K2180" s="1062">
        <f>K2179*Input!$D$48</f>
        <v>50.131228792050003</v>
      </c>
      <c r="L2180" s="1062">
        <f>L2179*Input!$D$48</f>
        <v>51.900113418299995</v>
      </c>
      <c r="M2180" s="1066"/>
      <c r="N2180" s="1066"/>
      <c r="O2180" s="1066"/>
      <c r="P2180" s="1066"/>
      <c r="Q2180" s="1066"/>
      <c r="R2180" s="1066"/>
      <c r="S2180" s="1066"/>
      <c r="T2180" s="1066"/>
      <c r="U2180" s="1066"/>
      <c r="V2180" s="1066"/>
      <c r="W2180" s="1066"/>
      <c r="X2180" s="1066"/>
      <c r="Y2180" s="1066"/>
      <c r="Z2180" s="1066"/>
      <c r="AA2180" s="1066"/>
      <c r="AB2180" s="1066"/>
      <c r="AC2180" s="1066"/>
      <c r="AD2180" s="1066"/>
      <c r="AE2180" s="1066"/>
      <c r="AF2180" s="1066"/>
      <c r="AG2180" s="1066"/>
      <c r="AH2180" s="1066"/>
      <c r="AI2180" s="1066"/>
      <c r="AJ2180" s="1066"/>
      <c r="AK2180" s="1066"/>
      <c r="AL2180" s="1066"/>
      <c r="AM2180" s="1066"/>
      <c r="AN2180" s="1066"/>
      <c r="AO2180" s="1066"/>
      <c r="AP2180" s="1066"/>
      <c r="AQ2180" s="1066"/>
      <c r="AR2180" s="1066"/>
      <c r="AS2180" s="1066"/>
      <c r="AT2180" s="1066"/>
      <c r="AU2180" s="1066"/>
      <c r="AV2180" s="1066"/>
      <c r="AW2180" s="1066"/>
      <c r="AX2180" s="1066"/>
      <c r="AY2180" s="1066"/>
      <c r="AZ2180" s="1066"/>
      <c r="BA2180" s="1066"/>
      <c r="BB2180" s="1066"/>
      <c r="BC2180" s="1066"/>
      <c r="BD2180" s="1066"/>
      <c r="BE2180" s="1066"/>
      <c r="BF2180" s="1066"/>
      <c r="BG2180" s="1066"/>
      <c r="BH2180" s="1066"/>
      <c r="BI2180" s="1066"/>
      <c r="BJ2180" s="1066"/>
      <c r="BK2180" s="1066"/>
      <c r="BL2180" s="1066"/>
    </row>
    <row r="2181" spans="1:64">
      <c r="A2181" s="1172"/>
      <c r="B2181" s="1172"/>
      <c r="C2181" s="1088" t="s">
        <v>1045</v>
      </c>
      <c r="D2181" s="1174">
        <f t="shared" ref="D2181:L2181" si="510">SUM(D2179:D2180)</f>
        <v>315.40733090829997</v>
      </c>
      <c r="E2181" s="1174">
        <f t="shared" si="510"/>
        <v>330.16839053454993</v>
      </c>
      <c r="F2181" s="1174">
        <f t="shared" si="510"/>
        <v>344.9294501608</v>
      </c>
      <c r="G2181" s="1174">
        <f t="shared" si="510"/>
        <v>359.69050978704996</v>
      </c>
      <c r="H2181" s="1174">
        <f t="shared" si="510"/>
        <v>374.45156941329998</v>
      </c>
      <c r="I2181" s="1174">
        <f t="shared" si="510"/>
        <v>389.21262903954994</v>
      </c>
      <c r="J2181" s="1174"/>
      <c r="K2181" s="1174">
        <f t="shared" si="510"/>
        <v>418.33709579205004</v>
      </c>
      <c r="L2181" s="1174">
        <f t="shared" si="510"/>
        <v>433.0981554183</v>
      </c>
      <c r="M2181" s="1006"/>
      <c r="N2181" s="1006"/>
      <c r="O2181" s="1006"/>
      <c r="P2181" s="1006"/>
      <c r="Q2181" s="1006"/>
      <c r="R2181" s="1006"/>
      <c r="S2181" s="1006"/>
      <c r="T2181" s="1006"/>
      <c r="U2181" s="1006"/>
      <c r="V2181" s="1006"/>
      <c r="W2181" s="1006"/>
      <c r="X2181" s="1006"/>
      <c r="Y2181" s="1006"/>
      <c r="Z2181" s="1006"/>
      <c r="AA2181" s="1006"/>
      <c r="AB2181" s="1006"/>
      <c r="AC2181" s="1006"/>
      <c r="AD2181" s="1006"/>
      <c r="AE2181" s="1006"/>
      <c r="AF2181" s="1006"/>
      <c r="AG2181" s="1006"/>
      <c r="AH2181" s="1006"/>
      <c r="AI2181" s="1006"/>
      <c r="AJ2181" s="1006"/>
      <c r="AK2181" s="1006"/>
      <c r="AL2181" s="1006"/>
      <c r="AM2181" s="1006"/>
      <c r="AN2181" s="1006"/>
      <c r="AO2181" s="1006"/>
      <c r="AP2181" s="1006"/>
      <c r="AQ2181" s="1006"/>
      <c r="AR2181" s="1006"/>
      <c r="AS2181" s="1006"/>
      <c r="AT2181" s="1006"/>
      <c r="AU2181" s="1006"/>
      <c r="AV2181" s="1006"/>
      <c r="AW2181" s="1006"/>
      <c r="AX2181" s="1006"/>
      <c r="AY2181" s="1006"/>
      <c r="AZ2181" s="1006"/>
      <c r="BA2181" s="1006"/>
      <c r="BB2181" s="1006"/>
      <c r="BC2181" s="1006"/>
      <c r="BD2181" s="1006"/>
      <c r="BE2181" s="1006"/>
      <c r="BF2181" s="1006"/>
      <c r="BG2181" s="1006"/>
      <c r="BH2181" s="1006"/>
      <c r="BI2181" s="1006"/>
      <c r="BJ2181" s="1006"/>
      <c r="BK2181" s="1006"/>
      <c r="BL2181" s="1006"/>
    </row>
    <row r="2182" spans="1:64">
      <c r="A2182" s="1086"/>
      <c r="B2182" s="1086"/>
      <c r="C2182" s="1118" t="s">
        <v>1034</v>
      </c>
      <c r="D2182" s="999">
        <f t="shared" ref="D2182:L2182" si="511">ROUND(D2181,0)</f>
        <v>315</v>
      </c>
      <c r="E2182" s="999">
        <f t="shared" si="511"/>
        <v>330</v>
      </c>
      <c r="F2182" s="999">
        <f t="shared" si="511"/>
        <v>345</v>
      </c>
      <c r="G2182" s="999">
        <f t="shared" si="511"/>
        <v>360</v>
      </c>
      <c r="H2182" s="999">
        <f t="shared" si="511"/>
        <v>374</v>
      </c>
      <c r="I2182" s="999">
        <f t="shared" si="511"/>
        <v>389</v>
      </c>
      <c r="J2182" s="999"/>
      <c r="K2182" s="999">
        <f t="shared" si="511"/>
        <v>418</v>
      </c>
      <c r="L2182" s="999">
        <f t="shared" si="511"/>
        <v>433</v>
      </c>
      <c r="M2182" s="997"/>
      <c r="N2182" s="997"/>
      <c r="O2182" s="997"/>
      <c r="P2182" s="997"/>
      <c r="Q2182" s="997"/>
      <c r="R2182" s="997"/>
      <c r="S2182" s="997"/>
      <c r="T2182" s="997"/>
      <c r="U2182" s="997"/>
      <c r="V2182" s="997"/>
      <c r="W2182" s="997"/>
      <c r="X2182" s="997"/>
      <c r="Y2182" s="997"/>
      <c r="Z2182" s="997"/>
      <c r="AA2182" s="997"/>
      <c r="AB2182" s="997"/>
      <c r="AC2182" s="997"/>
      <c r="AD2182" s="997"/>
      <c r="AE2182" s="997"/>
      <c r="AF2182" s="997"/>
      <c r="AG2182" s="997"/>
      <c r="AH2182" s="997"/>
      <c r="AI2182" s="997"/>
      <c r="AJ2182" s="997"/>
      <c r="AK2182" s="997"/>
      <c r="AL2182" s="997"/>
      <c r="AM2182" s="997"/>
      <c r="AN2182" s="997"/>
      <c r="AO2182" s="997"/>
      <c r="AP2182" s="997"/>
      <c r="AQ2182" s="997"/>
      <c r="AR2182" s="997"/>
      <c r="AS2182" s="997"/>
      <c r="AT2182" s="997"/>
      <c r="AU2182" s="997"/>
      <c r="AV2182" s="997"/>
      <c r="AW2182" s="997"/>
      <c r="AX2182" s="997"/>
      <c r="AY2182" s="997"/>
      <c r="AZ2182" s="997"/>
      <c r="BA2182" s="997"/>
      <c r="BB2182" s="997"/>
      <c r="BC2182" s="997"/>
      <c r="BD2182" s="997"/>
      <c r="BE2182" s="997"/>
      <c r="BF2182" s="997"/>
      <c r="BG2182" s="997"/>
      <c r="BH2182" s="997"/>
      <c r="BI2182" s="997"/>
      <c r="BJ2182" s="997"/>
      <c r="BK2182" s="997"/>
      <c r="BL2182" s="997"/>
    </row>
    <row r="2183" spans="1:64">
      <c r="A2183" s="1086"/>
      <c r="B2183" s="1086"/>
      <c r="C2183" s="1118"/>
      <c r="D2183" s="999"/>
      <c r="E2183" s="999"/>
      <c r="F2183" s="999"/>
      <c r="G2183" s="999"/>
      <c r="H2183" s="999"/>
      <c r="I2183" s="999"/>
      <c r="J2183" s="999"/>
      <c r="K2183" s="999"/>
      <c r="L2183" s="999"/>
      <c r="M2183" s="997"/>
      <c r="N2183" s="997"/>
      <c r="O2183" s="997"/>
      <c r="P2183" s="997"/>
      <c r="Q2183" s="997"/>
      <c r="R2183" s="997"/>
      <c r="S2183" s="997"/>
      <c r="T2183" s="997"/>
      <c r="U2183" s="997"/>
      <c r="V2183" s="997"/>
      <c r="W2183" s="997"/>
      <c r="X2183" s="997"/>
      <c r="Y2183" s="997"/>
      <c r="Z2183" s="997"/>
      <c r="AA2183" s="997"/>
      <c r="AB2183" s="997"/>
      <c r="AC2183" s="997"/>
      <c r="AD2183" s="997"/>
      <c r="AE2183" s="997"/>
      <c r="AF2183" s="997"/>
      <c r="AG2183" s="997"/>
      <c r="AH2183" s="997"/>
      <c r="AI2183" s="997"/>
      <c r="AJ2183" s="997"/>
      <c r="AK2183" s="997"/>
      <c r="AL2183" s="997"/>
      <c r="AM2183" s="997"/>
      <c r="AN2183" s="997"/>
      <c r="AO2183" s="997"/>
      <c r="AP2183" s="997"/>
      <c r="AQ2183" s="997"/>
      <c r="AR2183" s="997"/>
      <c r="AS2183" s="997"/>
      <c r="AT2183" s="997"/>
      <c r="AU2183" s="997"/>
      <c r="AV2183" s="997"/>
      <c r="AW2183" s="997"/>
      <c r="AX2183" s="997"/>
      <c r="AY2183" s="997"/>
      <c r="AZ2183" s="997"/>
      <c r="BA2183" s="997"/>
      <c r="BB2183" s="997"/>
      <c r="BC2183" s="997"/>
      <c r="BD2183" s="997"/>
      <c r="BE2183" s="997"/>
      <c r="BF2183" s="997"/>
      <c r="BG2183" s="997"/>
      <c r="BH2183" s="997"/>
      <c r="BI2183" s="997"/>
      <c r="BJ2183" s="997"/>
      <c r="BK2183" s="997"/>
      <c r="BL2183" s="997"/>
    </row>
    <row r="2184" spans="1:64">
      <c r="A2184" s="1086"/>
      <c r="B2184" s="1086"/>
      <c r="C2184" s="1816" t="s">
        <v>1217</v>
      </c>
      <c r="D2184" s="1106" t="s">
        <v>1212</v>
      </c>
      <c r="E2184" s="1106" t="s">
        <v>1213</v>
      </c>
      <c r="F2184" s="1106" t="s">
        <v>1214</v>
      </c>
      <c r="G2184" s="999"/>
      <c r="H2184" s="999"/>
      <c r="I2184" s="999"/>
      <c r="J2184" s="999"/>
      <c r="K2184" s="999"/>
      <c r="L2184" s="999"/>
      <c r="M2184" s="997"/>
      <c r="N2184" s="997"/>
      <c r="O2184" s="997"/>
      <c r="P2184" s="997"/>
      <c r="Q2184" s="997"/>
      <c r="R2184" s="997"/>
      <c r="S2184" s="997"/>
      <c r="T2184" s="997"/>
      <c r="U2184" s="997"/>
      <c r="V2184" s="997"/>
      <c r="W2184" s="997"/>
      <c r="X2184" s="997"/>
      <c r="Y2184" s="997"/>
      <c r="Z2184" s="997"/>
      <c r="AA2184" s="997"/>
      <c r="AB2184" s="997"/>
      <c r="AC2184" s="997"/>
      <c r="AD2184" s="997"/>
      <c r="AE2184" s="997"/>
      <c r="AF2184" s="997"/>
      <c r="AG2184" s="997"/>
      <c r="AH2184" s="997"/>
      <c r="AI2184" s="997"/>
      <c r="AJ2184" s="997"/>
      <c r="AK2184" s="997"/>
      <c r="AL2184" s="997"/>
      <c r="AM2184" s="997"/>
      <c r="AN2184" s="997"/>
      <c r="AO2184" s="997"/>
      <c r="AP2184" s="997"/>
      <c r="AQ2184" s="997"/>
      <c r="AR2184" s="997"/>
      <c r="AS2184" s="997"/>
      <c r="AT2184" s="997"/>
      <c r="AU2184" s="997"/>
      <c r="AV2184" s="997"/>
      <c r="AW2184" s="997"/>
      <c r="AX2184" s="997"/>
      <c r="AY2184" s="997"/>
      <c r="AZ2184" s="997"/>
      <c r="BA2184" s="997"/>
      <c r="BB2184" s="997"/>
      <c r="BC2184" s="997"/>
      <c r="BD2184" s="997"/>
      <c r="BE2184" s="997"/>
      <c r="BF2184" s="997"/>
      <c r="BG2184" s="997"/>
      <c r="BH2184" s="997"/>
      <c r="BI2184" s="997"/>
      <c r="BJ2184" s="997"/>
      <c r="BK2184" s="997"/>
      <c r="BL2184" s="997"/>
    </row>
    <row r="2185" spans="1:64">
      <c r="A2185" s="1086"/>
      <c r="B2185" s="1086"/>
      <c r="C2185" s="1817" t="s">
        <v>1317</v>
      </c>
      <c r="D2185" s="1062">
        <f>$I$2170</f>
        <v>163.71064200000001</v>
      </c>
      <c r="E2185" s="1062">
        <f>$I$2170</f>
        <v>163.71064200000001</v>
      </c>
      <c r="F2185" s="1062">
        <f>$I$2170</f>
        <v>163.71064200000001</v>
      </c>
      <c r="G2185" s="999"/>
      <c r="H2185" s="999"/>
      <c r="I2185" s="999"/>
      <c r="J2185" s="999"/>
      <c r="K2185" s="999"/>
      <c r="L2185" s="999"/>
      <c r="M2185" s="997"/>
      <c r="N2185" s="997"/>
      <c r="O2185" s="997"/>
      <c r="P2185" s="997"/>
      <c r="Q2185" s="997"/>
      <c r="R2185" s="997"/>
      <c r="S2185" s="997"/>
      <c r="T2185" s="997"/>
      <c r="U2185" s="997"/>
      <c r="V2185" s="997"/>
      <c r="W2185" s="997"/>
      <c r="X2185" s="997"/>
      <c r="Y2185" s="997"/>
      <c r="Z2185" s="997"/>
      <c r="AA2185" s="997"/>
      <c r="AB2185" s="997"/>
      <c r="AC2185" s="997"/>
      <c r="AD2185" s="997"/>
      <c r="AE2185" s="997"/>
      <c r="AF2185" s="997"/>
      <c r="AG2185" s="997"/>
      <c r="AH2185" s="997"/>
      <c r="AI2185" s="997"/>
      <c r="AJ2185" s="997"/>
      <c r="AK2185" s="997"/>
      <c r="AL2185" s="997"/>
      <c r="AM2185" s="997"/>
      <c r="AN2185" s="997"/>
      <c r="AO2185" s="997"/>
      <c r="AP2185" s="997"/>
      <c r="AQ2185" s="997"/>
      <c r="AR2185" s="997"/>
      <c r="AS2185" s="997"/>
      <c r="AT2185" s="997"/>
      <c r="AU2185" s="997"/>
      <c r="AV2185" s="997"/>
      <c r="AW2185" s="997"/>
      <c r="AX2185" s="997"/>
      <c r="AY2185" s="997"/>
      <c r="AZ2185" s="997"/>
      <c r="BA2185" s="997"/>
      <c r="BB2185" s="997"/>
      <c r="BC2185" s="997"/>
      <c r="BD2185" s="997"/>
      <c r="BE2185" s="997"/>
      <c r="BF2185" s="997"/>
      <c r="BG2185" s="997"/>
      <c r="BH2185" s="997"/>
      <c r="BI2185" s="997"/>
      <c r="BJ2185" s="997"/>
      <c r="BK2185" s="997"/>
      <c r="BL2185" s="997"/>
    </row>
    <row r="2186" spans="1:64" ht="25.5">
      <c r="A2186" s="1086"/>
      <c r="B2186" s="1086"/>
      <c r="C2186" s="1817" t="s">
        <v>1347</v>
      </c>
      <c r="D2186" s="1062">
        <f>'Civil-SOR'!$F$280*25%</f>
        <v>44.25</v>
      </c>
      <c r="E2186" s="1062">
        <f>'Civil-SOR'!$F$280*25%</f>
        <v>44.25</v>
      </c>
      <c r="F2186" s="1062">
        <f>'Civil-SOR'!$F$280*25%</f>
        <v>44.25</v>
      </c>
      <c r="G2186" s="999"/>
      <c r="H2186" s="999"/>
      <c r="I2186" s="999"/>
      <c r="J2186" s="999"/>
      <c r="K2186" s="999"/>
      <c r="L2186" s="999"/>
      <c r="M2186" s="997"/>
      <c r="N2186" s="997"/>
      <c r="O2186" s="997"/>
      <c r="P2186" s="997"/>
      <c r="Q2186" s="997"/>
      <c r="R2186" s="997"/>
      <c r="S2186" s="997"/>
      <c r="T2186" s="997"/>
      <c r="U2186" s="997"/>
      <c r="V2186" s="997"/>
      <c r="W2186" s="997"/>
      <c r="X2186" s="997"/>
      <c r="Y2186" s="997"/>
      <c r="Z2186" s="997"/>
      <c r="AA2186" s="997"/>
      <c r="AB2186" s="997"/>
      <c r="AC2186" s="997"/>
      <c r="AD2186" s="997"/>
      <c r="AE2186" s="997"/>
      <c r="AF2186" s="997"/>
      <c r="AG2186" s="997"/>
      <c r="AH2186" s="997"/>
      <c r="AI2186" s="997"/>
      <c r="AJ2186" s="997"/>
      <c r="AK2186" s="997"/>
      <c r="AL2186" s="997"/>
      <c r="AM2186" s="997"/>
      <c r="AN2186" s="997"/>
      <c r="AO2186" s="997"/>
      <c r="AP2186" s="997"/>
      <c r="AQ2186" s="997"/>
      <c r="AR2186" s="997"/>
      <c r="AS2186" s="997"/>
      <c r="AT2186" s="997"/>
      <c r="AU2186" s="997"/>
      <c r="AV2186" s="997"/>
      <c r="AW2186" s="997"/>
      <c r="AX2186" s="997"/>
      <c r="AY2186" s="997"/>
      <c r="AZ2186" s="997"/>
      <c r="BA2186" s="997"/>
      <c r="BB2186" s="997"/>
      <c r="BC2186" s="997"/>
      <c r="BD2186" s="997"/>
      <c r="BE2186" s="997"/>
      <c r="BF2186" s="997"/>
      <c r="BG2186" s="997"/>
      <c r="BH2186" s="997"/>
      <c r="BI2186" s="997"/>
      <c r="BJ2186" s="997"/>
      <c r="BK2186" s="997"/>
      <c r="BL2186" s="997"/>
    </row>
    <row r="2187" spans="1:64">
      <c r="A2187" s="1086"/>
      <c r="B2187" s="1086"/>
      <c r="C2187" s="1817" t="s">
        <v>1269</v>
      </c>
      <c r="D2187" s="1062">
        <f>'Civil-SOR'!$M$280*25%</f>
        <v>79.5</v>
      </c>
      <c r="E2187" s="1062">
        <f>'Civil-SOR'!$N$280*25%</f>
        <v>84.5</v>
      </c>
      <c r="F2187" s="1062">
        <f>'Civil-SOR'!$O$280*25%</f>
        <v>89.5</v>
      </c>
      <c r="G2187" s="999"/>
      <c r="H2187" s="999"/>
      <c r="I2187" s="999"/>
      <c r="J2187" s="999"/>
      <c r="K2187" s="999"/>
      <c r="L2187" s="999"/>
      <c r="M2187" s="997"/>
      <c r="N2187" s="997"/>
      <c r="O2187" s="997"/>
      <c r="P2187" s="997"/>
      <c r="Q2187" s="997"/>
      <c r="R2187" s="997"/>
      <c r="S2187" s="997"/>
      <c r="T2187" s="997"/>
      <c r="U2187" s="997"/>
      <c r="V2187" s="997"/>
      <c r="W2187" s="997"/>
      <c r="X2187" s="997"/>
      <c r="Y2187" s="997"/>
      <c r="Z2187" s="997"/>
      <c r="AA2187" s="997"/>
      <c r="AB2187" s="997"/>
      <c r="AC2187" s="997"/>
      <c r="AD2187" s="997"/>
      <c r="AE2187" s="997"/>
      <c r="AF2187" s="997"/>
      <c r="AG2187" s="997"/>
      <c r="AH2187" s="997"/>
      <c r="AI2187" s="997"/>
      <c r="AJ2187" s="997"/>
      <c r="AK2187" s="997"/>
      <c r="AL2187" s="997"/>
      <c r="AM2187" s="997"/>
      <c r="AN2187" s="997"/>
      <c r="AO2187" s="997"/>
      <c r="AP2187" s="997"/>
      <c r="AQ2187" s="997"/>
      <c r="AR2187" s="997"/>
      <c r="AS2187" s="997"/>
      <c r="AT2187" s="997"/>
      <c r="AU2187" s="997"/>
      <c r="AV2187" s="997"/>
      <c r="AW2187" s="997"/>
      <c r="AX2187" s="997"/>
      <c r="AY2187" s="997"/>
      <c r="AZ2187" s="997"/>
      <c r="BA2187" s="997"/>
      <c r="BB2187" s="997"/>
      <c r="BC2187" s="997"/>
      <c r="BD2187" s="997"/>
      <c r="BE2187" s="997"/>
      <c r="BF2187" s="997"/>
      <c r="BG2187" s="997"/>
      <c r="BH2187" s="997"/>
      <c r="BI2187" s="997"/>
      <c r="BJ2187" s="997"/>
      <c r="BK2187" s="997"/>
      <c r="BL2187" s="997"/>
    </row>
    <row r="2188" spans="1:64">
      <c r="A2188" s="1086"/>
      <c r="B2188" s="1086"/>
      <c r="C2188" s="1817" t="str">
        <f>Input!$C$47</f>
        <v>Add for MA @ 40%</v>
      </c>
      <c r="D2188" s="1062">
        <f>D2187*Input!$D$47</f>
        <v>31.8</v>
      </c>
      <c r="E2188" s="1062">
        <f>E2187*Input!$D$47</f>
        <v>33.800000000000004</v>
      </c>
      <c r="F2188" s="1062">
        <f>F2187*Input!$D$47</f>
        <v>35.800000000000004</v>
      </c>
      <c r="G2188" s="999"/>
      <c r="H2188" s="999"/>
      <c r="I2188" s="999"/>
      <c r="J2188" s="999"/>
      <c r="K2188" s="999"/>
      <c r="L2188" s="999"/>
      <c r="M2188" s="997"/>
      <c r="N2188" s="997"/>
      <c r="O2188" s="997"/>
      <c r="P2188" s="997"/>
      <c r="Q2188" s="997"/>
      <c r="R2188" s="997"/>
      <c r="S2188" s="997"/>
      <c r="T2188" s="997"/>
      <c r="U2188" s="997"/>
      <c r="V2188" s="997"/>
      <c r="W2188" s="997"/>
      <c r="X2188" s="997"/>
      <c r="Y2188" s="997"/>
      <c r="Z2188" s="997"/>
      <c r="AA2188" s="997"/>
      <c r="AB2188" s="997"/>
      <c r="AC2188" s="997"/>
      <c r="AD2188" s="997"/>
      <c r="AE2188" s="997"/>
      <c r="AF2188" s="997"/>
      <c r="AG2188" s="997"/>
      <c r="AH2188" s="997"/>
      <c r="AI2188" s="997"/>
      <c r="AJ2188" s="997"/>
      <c r="AK2188" s="997"/>
      <c r="AL2188" s="997"/>
      <c r="AM2188" s="997"/>
      <c r="AN2188" s="997"/>
      <c r="AO2188" s="997"/>
      <c r="AP2188" s="997"/>
      <c r="AQ2188" s="997"/>
      <c r="AR2188" s="997"/>
      <c r="AS2188" s="997"/>
      <c r="AT2188" s="997"/>
      <c r="AU2188" s="997"/>
      <c r="AV2188" s="997"/>
      <c r="AW2188" s="997"/>
      <c r="AX2188" s="997"/>
      <c r="AY2188" s="997"/>
      <c r="AZ2188" s="997"/>
      <c r="BA2188" s="997"/>
      <c r="BB2188" s="997"/>
      <c r="BC2188" s="997"/>
      <c r="BD2188" s="997"/>
      <c r="BE2188" s="997"/>
      <c r="BF2188" s="997"/>
      <c r="BG2188" s="997"/>
      <c r="BH2188" s="997"/>
      <c r="BI2188" s="997"/>
      <c r="BJ2188" s="997"/>
      <c r="BK2188" s="997"/>
      <c r="BL2188" s="997"/>
    </row>
    <row r="2189" spans="1:64">
      <c r="A2189" s="1086"/>
      <c r="B2189" s="1086"/>
      <c r="C2189" s="1817" t="s">
        <v>1253</v>
      </c>
      <c r="D2189" s="1062">
        <f>$F$2132*60%*$D$2169</f>
        <v>25.680750000000003</v>
      </c>
      <c r="E2189" s="1062">
        <f>$F$2132*70%*$D$2169</f>
        <v>29.960875000000001</v>
      </c>
      <c r="F2189" s="1062">
        <f>$F$2132*80%*$D$2169</f>
        <v>34.241000000000007</v>
      </c>
      <c r="G2189" s="999"/>
      <c r="H2189" s="999"/>
      <c r="I2189" s="999"/>
      <c r="J2189" s="999"/>
      <c r="K2189" s="999"/>
      <c r="L2189" s="999"/>
      <c r="M2189" s="997"/>
      <c r="N2189" s="997"/>
      <c r="O2189" s="997"/>
      <c r="P2189" s="997"/>
      <c r="Q2189" s="997"/>
      <c r="R2189" s="997"/>
      <c r="S2189" s="997"/>
      <c r="T2189" s="997"/>
      <c r="U2189" s="997"/>
      <c r="V2189" s="997"/>
      <c r="W2189" s="997"/>
      <c r="X2189" s="997"/>
      <c r="Y2189" s="997"/>
      <c r="Z2189" s="997"/>
      <c r="AA2189" s="997"/>
      <c r="AB2189" s="997"/>
      <c r="AC2189" s="997"/>
      <c r="AD2189" s="997"/>
      <c r="AE2189" s="997"/>
      <c r="AF2189" s="997"/>
      <c r="AG2189" s="997"/>
      <c r="AH2189" s="997"/>
      <c r="AI2189" s="997"/>
      <c r="AJ2189" s="997"/>
      <c r="AK2189" s="997"/>
      <c r="AL2189" s="997"/>
      <c r="AM2189" s="997"/>
      <c r="AN2189" s="997"/>
      <c r="AO2189" s="997"/>
      <c r="AP2189" s="997"/>
      <c r="AQ2189" s="997"/>
      <c r="AR2189" s="997"/>
      <c r="AS2189" s="997"/>
      <c r="AT2189" s="997"/>
      <c r="AU2189" s="997"/>
      <c r="AV2189" s="997"/>
      <c r="AW2189" s="997"/>
      <c r="AX2189" s="997"/>
      <c r="AY2189" s="997"/>
      <c r="AZ2189" s="997"/>
      <c r="BA2189" s="997"/>
      <c r="BB2189" s="997"/>
      <c r="BC2189" s="997"/>
      <c r="BD2189" s="997"/>
      <c r="BE2189" s="997"/>
      <c r="BF2189" s="997"/>
      <c r="BG2189" s="997"/>
      <c r="BH2189" s="997"/>
      <c r="BI2189" s="997"/>
      <c r="BJ2189" s="997"/>
      <c r="BK2189" s="997"/>
      <c r="BL2189" s="997"/>
    </row>
    <row r="2190" spans="1:64">
      <c r="A2190" s="1086"/>
      <c r="B2190" s="1086"/>
      <c r="C2190" s="1817" t="str">
        <f>Input!$C$47</f>
        <v>Add for MA @ 40%</v>
      </c>
      <c r="D2190" s="1062">
        <f>D2189*Input!$D$47</f>
        <v>10.272300000000001</v>
      </c>
      <c r="E2190" s="1062">
        <f>E2189*Input!$D$47</f>
        <v>11.984350000000001</v>
      </c>
      <c r="F2190" s="1062">
        <f>F2189*Input!$D$47</f>
        <v>13.696400000000004</v>
      </c>
      <c r="G2190" s="999"/>
      <c r="H2190" s="999"/>
      <c r="I2190" s="999"/>
      <c r="J2190" s="999"/>
      <c r="K2190" s="999"/>
      <c r="L2190" s="999"/>
      <c r="M2190" s="997"/>
      <c r="N2190" s="997"/>
      <c r="O2190" s="997"/>
      <c r="P2190" s="997"/>
      <c r="Q2190" s="997"/>
      <c r="R2190" s="997"/>
      <c r="S2190" s="997"/>
      <c r="T2190" s="997"/>
      <c r="U2190" s="997"/>
      <c r="V2190" s="997"/>
      <c r="W2190" s="997"/>
      <c r="X2190" s="997"/>
      <c r="Y2190" s="997"/>
      <c r="Z2190" s="997"/>
      <c r="AA2190" s="997"/>
      <c r="AB2190" s="997"/>
      <c r="AC2190" s="997"/>
      <c r="AD2190" s="997"/>
      <c r="AE2190" s="997"/>
      <c r="AF2190" s="997"/>
      <c r="AG2190" s="997"/>
      <c r="AH2190" s="997"/>
      <c r="AI2190" s="997"/>
      <c r="AJ2190" s="997"/>
      <c r="AK2190" s="997"/>
      <c r="AL2190" s="997"/>
      <c r="AM2190" s="997"/>
      <c r="AN2190" s="997"/>
      <c r="AO2190" s="997"/>
      <c r="AP2190" s="997"/>
      <c r="AQ2190" s="997"/>
      <c r="AR2190" s="997"/>
      <c r="AS2190" s="997"/>
      <c r="AT2190" s="997"/>
      <c r="AU2190" s="997"/>
      <c r="AV2190" s="997"/>
      <c r="AW2190" s="997"/>
      <c r="AX2190" s="997"/>
      <c r="AY2190" s="997"/>
      <c r="AZ2190" s="997"/>
      <c r="BA2190" s="997"/>
      <c r="BB2190" s="997"/>
      <c r="BC2190" s="997"/>
      <c r="BD2190" s="997"/>
      <c r="BE2190" s="997"/>
      <c r="BF2190" s="997"/>
      <c r="BG2190" s="997"/>
      <c r="BH2190" s="997"/>
      <c r="BI2190" s="997"/>
      <c r="BJ2190" s="997"/>
      <c r="BK2190" s="997"/>
      <c r="BL2190" s="997"/>
    </row>
    <row r="2191" spans="1:64">
      <c r="A2191" s="1086"/>
      <c r="B2191" s="1086"/>
      <c r="C2191" s="1816" t="s">
        <v>1045</v>
      </c>
      <c r="D2191" s="1065">
        <f>SUM(D2185:D2190)</f>
        <v>355.21369200000004</v>
      </c>
      <c r="E2191" s="1065">
        <f>SUM(E2185:E2190)</f>
        <v>368.20586700000001</v>
      </c>
      <c r="F2191" s="1065">
        <f>SUM(F2185:F2190)</f>
        <v>381.19804199999999</v>
      </c>
      <c r="G2191" s="999"/>
      <c r="H2191" s="999"/>
      <c r="I2191" s="999"/>
      <c r="J2191" s="999"/>
      <c r="K2191" s="999"/>
      <c r="L2191" s="999"/>
      <c r="M2191" s="997"/>
      <c r="N2191" s="997"/>
      <c r="O2191" s="997"/>
      <c r="P2191" s="997"/>
      <c r="Q2191" s="997"/>
      <c r="R2191" s="997"/>
      <c r="S2191" s="997"/>
      <c r="T2191" s="997"/>
      <c r="U2191" s="997"/>
      <c r="V2191" s="997"/>
      <c r="W2191" s="997"/>
      <c r="X2191" s="997"/>
      <c r="Y2191" s="997"/>
      <c r="Z2191" s="997"/>
      <c r="AA2191" s="997"/>
      <c r="AB2191" s="997"/>
      <c r="AC2191" s="997"/>
      <c r="AD2191" s="997"/>
      <c r="AE2191" s="997"/>
      <c r="AF2191" s="997"/>
      <c r="AG2191" s="997"/>
      <c r="AH2191" s="997"/>
      <c r="AI2191" s="997"/>
      <c r="AJ2191" s="997"/>
      <c r="AK2191" s="997"/>
      <c r="AL2191" s="997"/>
      <c r="AM2191" s="997"/>
      <c r="AN2191" s="997"/>
      <c r="AO2191" s="997"/>
      <c r="AP2191" s="997"/>
      <c r="AQ2191" s="997"/>
      <c r="AR2191" s="997"/>
      <c r="AS2191" s="997"/>
      <c r="AT2191" s="997"/>
      <c r="AU2191" s="997"/>
      <c r="AV2191" s="997"/>
      <c r="AW2191" s="997"/>
      <c r="AX2191" s="997"/>
      <c r="AY2191" s="997"/>
      <c r="AZ2191" s="997"/>
      <c r="BA2191" s="997"/>
      <c r="BB2191" s="997"/>
      <c r="BC2191" s="997"/>
      <c r="BD2191" s="997"/>
      <c r="BE2191" s="997"/>
      <c r="BF2191" s="997"/>
      <c r="BG2191" s="997"/>
      <c r="BH2191" s="997"/>
      <c r="BI2191" s="997"/>
      <c r="BJ2191" s="997"/>
      <c r="BK2191" s="997"/>
      <c r="BL2191" s="997"/>
    </row>
    <row r="2192" spans="1:64">
      <c r="A2192" s="1086"/>
      <c r="B2192" s="1086"/>
      <c r="C2192" s="1828" t="str">
        <f>Input!$C$48</f>
        <v>Overheads &amp; Contractors Profit @ 13.615%</v>
      </c>
      <c r="D2192" s="1062">
        <f>D2191*Input!$D$48</f>
        <v>48.362344165800003</v>
      </c>
      <c r="E2192" s="1062">
        <f>E2191*Input!$D$48</f>
        <v>50.131228792050003</v>
      </c>
      <c r="F2192" s="1062">
        <f>F2191*Input!$D$48</f>
        <v>51.900113418299995</v>
      </c>
      <c r="G2192" s="999"/>
      <c r="H2192" s="999"/>
      <c r="I2192" s="999"/>
      <c r="J2192" s="999"/>
      <c r="K2192" s="999"/>
      <c r="L2192" s="999"/>
      <c r="M2192" s="997"/>
      <c r="N2192" s="997"/>
      <c r="O2192" s="997"/>
      <c r="P2192" s="997"/>
      <c r="Q2192" s="997"/>
      <c r="R2192" s="997"/>
      <c r="S2192" s="997"/>
      <c r="T2192" s="997"/>
      <c r="U2192" s="997"/>
      <c r="V2192" s="997"/>
      <c r="W2192" s="997"/>
      <c r="X2192" s="997"/>
      <c r="Y2192" s="997"/>
      <c r="Z2192" s="997"/>
      <c r="AA2192" s="997"/>
      <c r="AB2192" s="997"/>
      <c r="AC2192" s="997"/>
      <c r="AD2192" s="997"/>
      <c r="AE2192" s="997"/>
      <c r="AF2192" s="997"/>
      <c r="AG2192" s="997"/>
      <c r="AH2192" s="997"/>
      <c r="AI2192" s="997"/>
      <c r="AJ2192" s="997"/>
      <c r="AK2192" s="997"/>
      <c r="AL2192" s="997"/>
      <c r="AM2192" s="997"/>
      <c r="AN2192" s="997"/>
      <c r="AO2192" s="997"/>
      <c r="AP2192" s="997"/>
      <c r="AQ2192" s="997"/>
      <c r="AR2192" s="997"/>
      <c r="AS2192" s="997"/>
      <c r="AT2192" s="997"/>
      <c r="AU2192" s="997"/>
      <c r="AV2192" s="997"/>
      <c r="AW2192" s="997"/>
      <c r="AX2192" s="997"/>
      <c r="AY2192" s="997"/>
      <c r="AZ2192" s="997"/>
      <c r="BA2192" s="997"/>
      <c r="BB2192" s="997"/>
      <c r="BC2192" s="997"/>
      <c r="BD2192" s="997"/>
      <c r="BE2192" s="997"/>
      <c r="BF2192" s="997"/>
      <c r="BG2192" s="997"/>
      <c r="BH2192" s="997"/>
      <c r="BI2192" s="997"/>
      <c r="BJ2192" s="997"/>
      <c r="BK2192" s="997"/>
      <c r="BL2192" s="997"/>
    </row>
    <row r="2193" spans="1:64">
      <c r="A2193" s="1086"/>
      <c r="B2193" s="1086"/>
      <c r="C2193" s="1816" t="s">
        <v>1045</v>
      </c>
      <c r="D2193" s="1174">
        <f>SUM(D2191:D2192)</f>
        <v>403.57603616580002</v>
      </c>
      <c r="E2193" s="1174">
        <f>SUM(E2191:E2192)</f>
        <v>418.33709579205004</v>
      </c>
      <c r="F2193" s="1174">
        <f>SUM(F2191:F2192)</f>
        <v>433.0981554183</v>
      </c>
      <c r="G2193" s="999"/>
      <c r="H2193" s="999"/>
      <c r="I2193" s="999"/>
      <c r="J2193" s="999"/>
      <c r="K2193" s="999"/>
      <c r="L2193" s="999"/>
      <c r="M2193" s="997"/>
      <c r="N2193" s="997"/>
      <c r="O2193" s="997"/>
      <c r="P2193" s="997"/>
      <c r="Q2193" s="997"/>
      <c r="R2193" s="997"/>
      <c r="S2193" s="997"/>
      <c r="T2193" s="997"/>
      <c r="U2193" s="997"/>
      <c r="V2193" s="997"/>
      <c r="W2193" s="997"/>
      <c r="X2193" s="997"/>
      <c r="Y2193" s="997"/>
      <c r="Z2193" s="997"/>
      <c r="AA2193" s="997"/>
      <c r="AB2193" s="997"/>
      <c r="AC2193" s="997"/>
      <c r="AD2193" s="997"/>
      <c r="AE2193" s="997"/>
      <c r="AF2193" s="997"/>
      <c r="AG2193" s="997"/>
      <c r="AH2193" s="997"/>
      <c r="AI2193" s="997"/>
      <c r="AJ2193" s="997"/>
      <c r="AK2193" s="997"/>
      <c r="AL2193" s="997"/>
      <c r="AM2193" s="997"/>
      <c r="AN2193" s="997"/>
      <c r="AO2193" s="997"/>
      <c r="AP2193" s="997"/>
      <c r="AQ2193" s="997"/>
      <c r="AR2193" s="997"/>
      <c r="AS2193" s="997"/>
      <c r="AT2193" s="997"/>
      <c r="AU2193" s="997"/>
      <c r="AV2193" s="997"/>
      <c r="AW2193" s="997"/>
      <c r="AX2193" s="997"/>
      <c r="AY2193" s="997"/>
      <c r="AZ2193" s="997"/>
      <c r="BA2193" s="997"/>
      <c r="BB2193" s="997"/>
      <c r="BC2193" s="997"/>
      <c r="BD2193" s="997"/>
      <c r="BE2193" s="997"/>
      <c r="BF2193" s="997"/>
      <c r="BG2193" s="997"/>
      <c r="BH2193" s="997"/>
      <c r="BI2193" s="997"/>
      <c r="BJ2193" s="997"/>
      <c r="BK2193" s="997"/>
      <c r="BL2193" s="997"/>
    </row>
    <row r="2194" spans="1:64">
      <c r="A2194" s="1086"/>
      <c r="B2194" s="1086"/>
      <c r="C2194" s="1843" t="s">
        <v>1034</v>
      </c>
      <c r="D2194" s="999">
        <f>ROUND(D2193,0)</f>
        <v>404</v>
      </c>
      <c r="E2194" s="999">
        <f>ROUND(E2193,0)</f>
        <v>418</v>
      </c>
      <c r="F2194" s="999">
        <f>ROUND(F2193,0)</f>
        <v>433</v>
      </c>
      <c r="G2194" s="999"/>
      <c r="H2194" s="999"/>
      <c r="I2194" s="999"/>
      <c r="J2194" s="999"/>
      <c r="K2194" s="999"/>
      <c r="L2194" s="999"/>
      <c r="M2194" s="997"/>
      <c r="N2194" s="997"/>
      <c r="O2194" s="997"/>
      <c r="P2194" s="997"/>
      <c r="Q2194" s="997"/>
      <c r="R2194" s="997"/>
      <c r="S2194" s="997"/>
      <c r="T2194" s="997"/>
      <c r="U2194" s="997"/>
      <c r="V2194" s="997"/>
      <c r="W2194" s="997"/>
      <c r="X2194" s="997"/>
      <c r="Y2194" s="997"/>
      <c r="Z2194" s="997"/>
      <c r="AA2194" s="997"/>
      <c r="AB2194" s="997"/>
      <c r="AC2194" s="997"/>
      <c r="AD2194" s="997"/>
      <c r="AE2194" s="997"/>
      <c r="AF2194" s="997"/>
      <c r="AG2194" s="997"/>
      <c r="AH2194" s="997"/>
      <c r="AI2194" s="997"/>
      <c r="AJ2194" s="997"/>
      <c r="AK2194" s="997"/>
      <c r="AL2194" s="997"/>
      <c r="AM2194" s="997"/>
      <c r="AN2194" s="997"/>
      <c r="AO2194" s="997"/>
      <c r="AP2194" s="997"/>
      <c r="AQ2194" s="997"/>
      <c r="AR2194" s="997"/>
      <c r="AS2194" s="997"/>
      <c r="AT2194" s="997"/>
      <c r="AU2194" s="997"/>
      <c r="AV2194" s="997"/>
      <c r="AW2194" s="997"/>
      <c r="AX2194" s="997"/>
      <c r="AY2194" s="997"/>
      <c r="AZ2194" s="997"/>
      <c r="BA2194" s="997"/>
      <c r="BB2194" s="997"/>
      <c r="BC2194" s="997"/>
      <c r="BD2194" s="997"/>
      <c r="BE2194" s="997"/>
      <c r="BF2194" s="997"/>
      <c r="BG2194" s="997"/>
      <c r="BH2194" s="997"/>
      <c r="BI2194" s="997"/>
      <c r="BJ2194" s="997"/>
      <c r="BK2194" s="997"/>
      <c r="BL2194" s="997"/>
    </row>
    <row r="2195" spans="1:64">
      <c r="A2195" s="1086"/>
      <c r="B2195" s="1086"/>
      <c r="C2195" s="1118"/>
      <c r="D2195" s="999"/>
      <c r="E2195" s="999"/>
      <c r="F2195" s="999"/>
      <c r="G2195" s="999"/>
      <c r="H2195" s="999"/>
      <c r="I2195" s="999"/>
      <c r="J2195" s="999"/>
      <c r="K2195" s="999"/>
      <c r="L2195" s="999"/>
      <c r="M2195" s="997"/>
      <c r="N2195" s="997"/>
      <c r="O2195" s="997"/>
      <c r="P2195" s="997"/>
      <c r="Q2195" s="997"/>
      <c r="R2195" s="997"/>
      <c r="S2195" s="997"/>
      <c r="T2195" s="997"/>
      <c r="U2195" s="997"/>
      <c r="V2195" s="997"/>
      <c r="W2195" s="997"/>
      <c r="X2195" s="997"/>
      <c r="Y2195" s="997"/>
      <c r="Z2195" s="997"/>
      <c r="AA2195" s="997"/>
      <c r="AB2195" s="997"/>
      <c r="AC2195" s="997"/>
      <c r="AD2195" s="997"/>
      <c r="AE2195" s="997"/>
      <c r="AF2195" s="997"/>
      <c r="AG2195" s="997"/>
      <c r="AH2195" s="997"/>
      <c r="AI2195" s="997"/>
      <c r="AJ2195" s="997"/>
      <c r="AK2195" s="997"/>
      <c r="AL2195" s="997"/>
      <c r="AM2195" s="997"/>
      <c r="AN2195" s="997"/>
      <c r="AO2195" s="997"/>
      <c r="AP2195" s="997"/>
      <c r="AQ2195" s="997"/>
      <c r="AR2195" s="997"/>
      <c r="AS2195" s="997"/>
      <c r="AT2195" s="997"/>
      <c r="AU2195" s="997"/>
      <c r="AV2195" s="997"/>
      <c r="AW2195" s="997"/>
      <c r="AX2195" s="997"/>
      <c r="AY2195" s="997"/>
      <c r="AZ2195" s="997"/>
      <c r="BA2195" s="997"/>
      <c r="BB2195" s="997"/>
      <c r="BC2195" s="997"/>
      <c r="BD2195" s="997"/>
      <c r="BE2195" s="997"/>
      <c r="BF2195" s="997"/>
      <c r="BG2195" s="997"/>
      <c r="BH2195" s="997"/>
      <c r="BI2195" s="997"/>
      <c r="BJ2195" s="997"/>
      <c r="BK2195" s="997"/>
      <c r="BL2195" s="997"/>
    </row>
    <row r="2196" spans="1:64" s="1177" customFormat="1" ht="85.15" customHeight="1">
      <c r="A2196" s="1824">
        <f>A2080+1</f>
        <v>24</v>
      </c>
      <c r="B2196" s="1818"/>
      <c r="C2196" s="2036" t="s">
        <v>3411</v>
      </c>
      <c r="D2196" s="2036"/>
      <c r="E2196" s="2036"/>
      <c r="F2196" s="2036"/>
      <c r="G2196" s="2036"/>
      <c r="H2196" s="2036"/>
      <c r="I2196" s="2036"/>
      <c r="J2196" s="999"/>
      <c r="K2196" s="999"/>
      <c r="L2196" s="999"/>
      <c r="M2196" s="1176"/>
      <c r="N2196" s="1176"/>
      <c r="O2196" s="1176"/>
      <c r="P2196" s="1176"/>
      <c r="Q2196" s="1176"/>
      <c r="R2196" s="1176"/>
      <c r="S2196" s="1176"/>
      <c r="T2196" s="1176"/>
      <c r="U2196" s="1176"/>
      <c r="V2196" s="1176"/>
      <c r="W2196" s="1176"/>
      <c r="X2196" s="1176"/>
      <c r="Y2196" s="1176"/>
      <c r="Z2196" s="1176"/>
      <c r="AA2196" s="1176"/>
      <c r="AB2196" s="1176"/>
      <c r="AC2196" s="1176"/>
      <c r="AD2196" s="1176"/>
      <c r="AE2196" s="1176"/>
      <c r="AF2196" s="1176"/>
      <c r="AG2196" s="1176"/>
      <c r="AH2196" s="1176"/>
      <c r="AI2196" s="1176"/>
      <c r="AJ2196" s="1176"/>
      <c r="AK2196" s="1176"/>
      <c r="AL2196" s="1176"/>
      <c r="AM2196" s="1176"/>
      <c r="AN2196" s="1176"/>
      <c r="AO2196" s="1176"/>
      <c r="AP2196" s="1176"/>
      <c r="AQ2196" s="1176"/>
      <c r="AR2196" s="1176"/>
      <c r="AS2196" s="1176"/>
      <c r="AT2196" s="1176"/>
      <c r="AU2196" s="1176"/>
      <c r="AV2196" s="1176"/>
      <c r="AW2196" s="1176"/>
      <c r="AX2196" s="1176"/>
      <c r="AY2196" s="1176"/>
      <c r="AZ2196" s="1176"/>
      <c r="BA2196" s="1176"/>
      <c r="BB2196" s="1176"/>
      <c r="BC2196" s="1176"/>
      <c r="BD2196" s="1176"/>
      <c r="BE2196" s="1176"/>
      <c r="BF2196" s="1176"/>
      <c r="BG2196" s="1176"/>
      <c r="BH2196" s="1176"/>
      <c r="BI2196" s="1176"/>
      <c r="BJ2196" s="1176"/>
      <c r="BK2196" s="1176"/>
      <c r="BL2196" s="1176"/>
    </row>
    <row r="2197" spans="1:64" s="1177" customFormat="1">
      <c r="A2197" s="1818"/>
      <c r="B2197" s="1818"/>
      <c r="C2197" s="1078" t="s">
        <v>1246</v>
      </c>
      <c r="D2197" s="1849"/>
      <c r="E2197" s="1849"/>
      <c r="F2197" s="1847"/>
      <c r="G2197" s="1849"/>
      <c r="H2197" s="1817"/>
      <c r="I2197" s="1848"/>
      <c r="J2197" s="999"/>
      <c r="K2197" s="999"/>
      <c r="L2197" s="999"/>
      <c r="M2197" s="1176"/>
      <c r="N2197" s="1176"/>
      <c r="O2197" s="1176"/>
      <c r="P2197" s="1176"/>
      <c r="Q2197" s="1176"/>
      <c r="R2197" s="1176"/>
      <c r="S2197" s="1176"/>
      <c r="T2197" s="1176"/>
      <c r="U2197" s="1176"/>
      <c r="V2197" s="1176"/>
      <c r="W2197" s="1176"/>
      <c r="X2197" s="1176"/>
      <c r="Y2197" s="1176"/>
      <c r="Z2197" s="1176"/>
      <c r="AA2197" s="1176"/>
      <c r="AB2197" s="1176"/>
      <c r="AC2197" s="1176"/>
      <c r="AD2197" s="1176"/>
      <c r="AE2197" s="1176"/>
      <c r="AF2197" s="1176"/>
      <c r="AG2197" s="1176"/>
      <c r="AH2197" s="1176"/>
      <c r="AI2197" s="1176"/>
      <c r="AJ2197" s="1176"/>
      <c r="AK2197" s="1176"/>
      <c r="AL2197" s="1176"/>
      <c r="AM2197" s="1176"/>
      <c r="AN2197" s="1176"/>
      <c r="AO2197" s="1176"/>
      <c r="AP2197" s="1176"/>
      <c r="AQ2197" s="1176"/>
      <c r="AR2197" s="1176"/>
      <c r="AS2197" s="1176"/>
      <c r="AT2197" s="1176"/>
      <c r="AU2197" s="1176"/>
      <c r="AV2197" s="1176"/>
      <c r="AW2197" s="1176"/>
      <c r="AX2197" s="1176"/>
      <c r="AY2197" s="1176"/>
      <c r="AZ2197" s="1176"/>
      <c r="BA2197" s="1176"/>
      <c r="BB2197" s="1176"/>
      <c r="BC2197" s="1176"/>
      <c r="BD2197" s="1176"/>
      <c r="BE2197" s="1176"/>
      <c r="BF2197" s="1176"/>
      <c r="BG2197" s="1176"/>
      <c r="BH2197" s="1176"/>
      <c r="BI2197" s="1176"/>
      <c r="BJ2197" s="1176"/>
      <c r="BK2197" s="1176"/>
      <c r="BL2197" s="1176"/>
    </row>
    <row r="2198" spans="1:64" s="1177" customFormat="1">
      <c r="A2198" s="1818"/>
      <c r="B2198" s="1818"/>
      <c r="C2198" s="1821" t="s">
        <v>1139</v>
      </c>
      <c r="D2198" s="1849"/>
      <c r="E2198" s="1849"/>
      <c r="F2198" s="1847"/>
      <c r="G2198" s="1849"/>
      <c r="H2198" s="1817"/>
      <c r="I2198" s="1848"/>
      <c r="J2198" s="999"/>
      <c r="K2198" s="999"/>
      <c r="L2198" s="999"/>
      <c r="M2198" s="1176"/>
      <c r="N2198" s="1176"/>
      <c r="O2198" s="1176"/>
      <c r="P2198" s="1176"/>
      <c r="Q2198" s="1176"/>
      <c r="R2198" s="1176"/>
      <c r="S2198" s="1176"/>
      <c r="T2198" s="1176"/>
      <c r="U2198" s="1176"/>
      <c r="V2198" s="1176"/>
      <c r="W2198" s="1176"/>
      <c r="X2198" s="1176"/>
      <c r="Y2198" s="1176"/>
      <c r="Z2198" s="1176"/>
      <c r="AA2198" s="1176"/>
      <c r="AB2198" s="1176"/>
      <c r="AC2198" s="1176"/>
      <c r="AD2198" s="1176"/>
      <c r="AE2198" s="1176"/>
      <c r="AF2198" s="1176"/>
      <c r="AG2198" s="1176"/>
      <c r="AH2198" s="1176"/>
      <c r="AI2198" s="1176"/>
      <c r="AJ2198" s="1176"/>
      <c r="AK2198" s="1176"/>
      <c r="AL2198" s="1176"/>
      <c r="AM2198" s="1176"/>
      <c r="AN2198" s="1176"/>
      <c r="AO2198" s="1176"/>
      <c r="AP2198" s="1176"/>
      <c r="AQ2198" s="1176"/>
      <c r="AR2198" s="1176"/>
      <c r="AS2198" s="1176"/>
      <c r="AT2198" s="1176"/>
      <c r="AU2198" s="1176"/>
      <c r="AV2198" s="1176"/>
      <c r="AW2198" s="1176"/>
      <c r="AX2198" s="1176"/>
      <c r="AY2198" s="1176"/>
      <c r="AZ2198" s="1176"/>
      <c r="BA2198" s="1176"/>
      <c r="BB2198" s="1176"/>
      <c r="BC2198" s="1176"/>
      <c r="BD2198" s="1176"/>
      <c r="BE2198" s="1176"/>
      <c r="BF2198" s="1176"/>
      <c r="BG2198" s="1176"/>
      <c r="BH2198" s="1176"/>
      <c r="BI2198" s="1176"/>
      <c r="BJ2198" s="1176"/>
      <c r="BK2198" s="1176"/>
      <c r="BL2198" s="1176"/>
    </row>
    <row r="2199" spans="1:64" s="1177" customFormat="1">
      <c r="A2199" s="1818"/>
      <c r="B2199" s="1818"/>
      <c r="C2199" s="1817" t="s">
        <v>889</v>
      </c>
      <c r="D2199" s="1096">
        <v>350</v>
      </c>
      <c r="E2199" s="1846" t="s">
        <v>1110</v>
      </c>
      <c r="F2199" s="1021">
        <f>LEAD!$N$6</f>
        <v>5200</v>
      </c>
      <c r="G2199" s="1105">
        <v>1000</v>
      </c>
      <c r="H2199" s="1846" t="s">
        <v>1110</v>
      </c>
      <c r="I2199" s="1030">
        <f t="shared" ref="I2199:I2201" si="512">IF(G2199="",D2199*F2199,(D2199*F2199/G2199))</f>
        <v>1820</v>
      </c>
      <c r="J2199" s="999"/>
      <c r="K2199" s="999"/>
      <c r="L2199" s="999"/>
      <c r="M2199" s="1176"/>
      <c r="N2199" s="1176"/>
      <c r="O2199" s="1176"/>
      <c r="P2199" s="1176"/>
      <c r="Q2199" s="1176"/>
      <c r="R2199" s="1176"/>
      <c r="S2199" s="1176"/>
      <c r="T2199" s="1176"/>
      <c r="U2199" s="1176"/>
      <c r="V2199" s="1176"/>
      <c r="W2199" s="1176"/>
      <c r="X2199" s="1176"/>
      <c r="Y2199" s="1176"/>
      <c r="Z2199" s="1176"/>
      <c r="AA2199" s="1176"/>
      <c r="AB2199" s="1176"/>
      <c r="AC2199" s="1176"/>
      <c r="AD2199" s="1176"/>
      <c r="AE2199" s="1176"/>
      <c r="AF2199" s="1176"/>
      <c r="AG2199" s="1176"/>
      <c r="AH2199" s="1176"/>
      <c r="AI2199" s="1176"/>
      <c r="AJ2199" s="1176"/>
      <c r="AK2199" s="1176"/>
      <c r="AL2199" s="1176"/>
      <c r="AM2199" s="1176"/>
      <c r="AN2199" s="1176"/>
      <c r="AO2199" s="1176"/>
      <c r="AP2199" s="1176"/>
      <c r="AQ2199" s="1176"/>
      <c r="AR2199" s="1176"/>
      <c r="AS2199" s="1176"/>
      <c r="AT2199" s="1176"/>
      <c r="AU2199" s="1176"/>
      <c r="AV2199" s="1176"/>
      <c r="AW2199" s="1176"/>
      <c r="AX2199" s="1176"/>
      <c r="AY2199" s="1176"/>
      <c r="AZ2199" s="1176"/>
      <c r="BA2199" s="1176"/>
      <c r="BB2199" s="1176"/>
      <c r="BC2199" s="1176"/>
      <c r="BD2199" s="1176"/>
      <c r="BE2199" s="1176"/>
      <c r="BF2199" s="1176"/>
      <c r="BG2199" s="1176"/>
      <c r="BH2199" s="1176"/>
      <c r="BI2199" s="1176"/>
      <c r="BJ2199" s="1176"/>
      <c r="BK2199" s="1176"/>
      <c r="BL2199" s="1176"/>
    </row>
    <row r="2200" spans="1:64" s="1177" customFormat="1">
      <c r="A2200" s="1818"/>
      <c r="B2200" s="1818"/>
      <c r="C2200" s="1817" t="s">
        <v>1289</v>
      </c>
      <c r="D2200" s="1096">
        <v>0.8</v>
      </c>
      <c r="E2200" s="1846" t="s">
        <v>484</v>
      </c>
      <c r="F2200" s="1021">
        <f>$F$22</f>
        <v>1387.96</v>
      </c>
      <c r="G2200" s="1105">
        <v>1</v>
      </c>
      <c r="H2200" s="1846" t="s">
        <v>484</v>
      </c>
      <c r="I2200" s="1030">
        <f t="shared" si="512"/>
        <v>1110.3680000000002</v>
      </c>
      <c r="J2200" s="999"/>
      <c r="K2200" s="999"/>
      <c r="L2200" s="999"/>
      <c r="M2200" s="1176"/>
      <c r="N2200" s="1176"/>
      <c r="O2200" s="1176"/>
      <c r="P2200" s="1176"/>
      <c r="Q2200" s="1176"/>
      <c r="R2200" s="1176"/>
      <c r="S2200" s="1176"/>
      <c r="T2200" s="1176"/>
      <c r="U2200" s="1176"/>
      <c r="V2200" s="1176"/>
      <c r="W2200" s="1176"/>
      <c r="X2200" s="1176"/>
      <c r="Y2200" s="1176"/>
      <c r="Z2200" s="1176"/>
      <c r="AA2200" s="1176"/>
      <c r="AB2200" s="1176"/>
      <c r="AC2200" s="1176"/>
      <c r="AD2200" s="1176"/>
      <c r="AE2200" s="1176"/>
      <c r="AF2200" s="1176"/>
      <c r="AG2200" s="1176"/>
      <c r="AH2200" s="1176"/>
      <c r="AI2200" s="1176"/>
      <c r="AJ2200" s="1176"/>
      <c r="AK2200" s="1176"/>
      <c r="AL2200" s="1176"/>
      <c r="AM2200" s="1176"/>
      <c r="AN2200" s="1176"/>
      <c r="AO2200" s="1176"/>
      <c r="AP2200" s="1176"/>
      <c r="AQ2200" s="1176"/>
      <c r="AR2200" s="1176"/>
      <c r="AS2200" s="1176"/>
      <c r="AT2200" s="1176"/>
      <c r="AU2200" s="1176"/>
      <c r="AV2200" s="1176"/>
      <c r="AW2200" s="1176"/>
      <c r="AX2200" s="1176"/>
      <c r="AY2200" s="1176"/>
      <c r="AZ2200" s="1176"/>
      <c r="BA2200" s="1176"/>
      <c r="BB2200" s="1176"/>
      <c r="BC2200" s="1176"/>
      <c r="BD2200" s="1176"/>
      <c r="BE2200" s="1176"/>
      <c r="BF2200" s="1176"/>
      <c r="BG2200" s="1176"/>
      <c r="BH2200" s="1176"/>
      <c r="BI2200" s="1176"/>
      <c r="BJ2200" s="1176"/>
      <c r="BK2200" s="1176"/>
      <c r="BL2200" s="1176"/>
    </row>
    <row r="2201" spans="1:64" s="1177" customFormat="1">
      <c r="A2201" s="1818"/>
      <c r="B2201" s="1818"/>
      <c r="C2201" s="1817" t="s">
        <v>1163</v>
      </c>
      <c r="D2201" s="1096">
        <v>0.4</v>
      </c>
      <c r="E2201" s="1846" t="s">
        <v>484</v>
      </c>
      <c r="F2201" s="1021">
        <f>LEAD!$N$12</f>
        <v>2253.91</v>
      </c>
      <c r="G2201" s="1105">
        <v>1</v>
      </c>
      <c r="H2201" s="1846" t="s">
        <v>484</v>
      </c>
      <c r="I2201" s="1030">
        <f t="shared" si="512"/>
        <v>901.56399999999996</v>
      </c>
      <c r="J2201" s="999"/>
      <c r="K2201" s="999"/>
      <c r="L2201" s="999"/>
      <c r="M2201" s="1176"/>
      <c r="N2201" s="1176"/>
      <c r="O2201" s="1176"/>
      <c r="P2201" s="1176"/>
      <c r="Q2201" s="1176"/>
      <c r="R2201" s="1176"/>
      <c r="S2201" s="1176"/>
      <c r="T2201" s="1176"/>
      <c r="U2201" s="1176"/>
      <c r="V2201" s="1176"/>
      <c r="W2201" s="1176"/>
      <c r="X2201" s="1176"/>
      <c r="Y2201" s="1176"/>
      <c r="Z2201" s="1176"/>
      <c r="AA2201" s="1176"/>
      <c r="AB2201" s="1176"/>
      <c r="AC2201" s="1176"/>
      <c r="AD2201" s="1176"/>
      <c r="AE2201" s="1176"/>
      <c r="AF2201" s="1176"/>
      <c r="AG2201" s="1176"/>
      <c r="AH2201" s="1176"/>
      <c r="AI2201" s="1176"/>
      <c r="AJ2201" s="1176"/>
      <c r="AK2201" s="1176"/>
      <c r="AL2201" s="1176"/>
      <c r="AM2201" s="1176"/>
      <c r="AN2201" s="1176"/>
      <c r="AO2201" s="1176"/>
      <c r="AP2201" s="1176"/>
      <c r="AQ2201" s="1176"/>
      <c r="AR2201" s="1176"/>
      <c r="AS2201" s="1176"/>
      <c r="AT2201" s="1176"/>
      <c r="AU2201" s="1176"/>
      <c r="AV2201" s="1176"/>
      <c r="AW2201" s="1176"/>
      <c r="AX2201" s="1176"/>
      <c r="AY2201" s="1176"/>
      <c r="AZ2201" s="1176"/>
      <c r="BA2201" s="1176"/>
      <c r="BB2201" s="1176"/>
      <c r="BC2201" s="1176"/>
      <c r="BD2201" s="1176"/>
      <c r="BE2201" s="1176"/>
      <c r="BF2201" s="1176"/>
      <c r="BG2201" s="1176"/>
      <c r="BH2201" s="1176"/>
      <c r="BI2201" s="1176"/>
      <c r="BJ2201" s="1176"/>
      <c r="BK2201" s="1176"/>
      <c r="BL2201" s="1176"/>
    </row>
    <row r="2202" spans="1:64" s="1177" customFormat="1">
      <c r="A2202" s="1818"/>
      <c r="B2202" s="1818"/>
      <c r="C2202" s="1816" t="s">
        <v>1172</v>
      </c>
      <c r="D2202" s="1846"/>
      <c r="E2202" s="1846"/>
      <c r="F2202" s="1068"/>
      <c r="G2202" s="1846"/>
      <c r="H2202" s="1846"/>
      <c r="I2202" s="1021"/>
      <c r="J2202" s="999"/>
      <c r="K2202" s="999"/>
      <c r="L2202" s="999"/>
      <c r="M2202" s="1176"/>
      <c r="N2202" s="1176"/>
      <c r="O2202" s="1176"/>
      <c r="P2202" s="1176"/>
      <c r="Q2202" s="1176"/>
      <c r="R2202" s="1176"/>
      <c r="S2202" s="1176"/>
      <c r="T2202" s="1176"/>
      <c r="U2202" s="1176"/>
      <c r="V2202" s="1176"/>
      <c r="W2202" s="1176"/>
      <c r="X2202" s="1176"/>
      <c r="Y2202" s="1176"/>
      <c r="Z2202" s="1176"/>
      <c r="AA2202" s="1176"/>
      <c r="AB2202" s="1176"/>
      <c r="AC2202" s="1176"/>
      <c r="AD2202" s="1176"/>
      <c r="AE2202" s="1176"/>
      <c r="AF2202" s="1176"/>
      <c r="AG2202" s="1176"/>
      <c r="AH2202" s="1176"/>
      <c r="AI2202" s="1176"/>
      <c r="AJ2202" s="1176"/>
      <c r="AK2202" s="1176"/>
      <c r="AL2202" s="1176"/>
      <c r="AM2202" s="1176"/>
      <c r="AN2202" s="1176"/>
      <c r="AO2202" s="1176"/>
      <c r="AP2202" s="1176"/>
      <c r="AQ2202" s="1176"/>
      <c r="AR2202" s="1176"/>
      <c r="AS2202" s="1176"/>
      <c r="AT2202" s="1176"/>
      <c r="AU2202" s="1176"/>
      <c r="AV2202" s="1176"/>
      <c r="AW2202" s="1176"/>
      <c r="AX2202" s="1176"/>
      <c r="AY2202" s="1176"/>
      <c r="AZ2202" s="1176"/>
      <c r="BA2202" s="1176"/>
      <c r="BB2202" s="1176"/>
      <c r="BC2202" s="1176"/>
      <c r="BD2202" s="1176"/>
      <c r="BE2202" s="1176"/>
      <c r="BF2202" s="1176"/>
      <c r="BG2202" s="1176"/>
      <c r="BH2202" s="1176"/>
      <c r="BI2202" s="1176"/>
      <c r="BJ2202" s="1176"/>
      <c r="BK2202" s="1176"/>
      <c r="BL2202" s="1176"/>
    </row>
    <row r="2203" spans="1:64" s="1177" customFormat="1">
      <c r="A2203" s="1818"/>
      <c r="B2203" s="1818"/>
      <c r="C2203" s="1817" t="s">
        <v>1173</v>
      </c>
      <c r="D2203" s="1132">
        <v>6.7000000000000004E-2</v>
      </c>
      <c r="E2203" s="1846" t="s">
        <v>955</v>
      </c>
      <c r="F2203" s="1021">
        <f>'Civil-SOR'!$G$293</f>
        <v>580</v>
      </c>
      <c r="G2203" s="1105">
        <v>1</v>
      </c>
      <c r="H2203" s="1846" t="s">
        <v>501</v>
      </c>
      <c r="I2203" s="1030">
        <f t="shared" ref="I2203:I2206" si="513">IF(G2203="",D2203*F2203,(D2203*F2203/G2203))</f>
        <v>38.86</v>
      </c>
      <c r="J2203" s="999"/>
      <c r="K2203" s="999"/>
      <c r="L2203" s="999"/>
      <c r="M2203" s="1176"/>
      <c r="N2203" s="1176"/>
      <c r="O2203" s="1176"/>
      <c r="P2203" s="1176"/>
      <c r="Q2203" s="1176"/>
      <c r="R2203" s="1176"/>
      <c r="S2203" s="1176"/>
      <c r="T2203" s="1176"/>
      <c r="U2203" s="1176"/>
      <c r="V2203" s="1176"/>
      <c r="W2203" s="1176"/>
      <c r="X2203" s="1176"/>
      <c r="Y2203" s="1176"/>
      <c r="Z2203" s="1176"/>
      <c r="AA2203" s="1176"/>
      <c r="AB2203" s="1176"/>
      <c r="AC2203" s="1176"/>
      <c r="AD2203" s="1176"/>
      <c r="AE2203" s="1176"/>
      <c r="AF2203" s="1176"/>
      <c r="AG2203" s="1176"/>
      <c r="AH2203" s="1176"/>
      <c r="AI2203" s="1176"/>
      <c r="AJ2203" s="1176"/>
      <c r="AK2203" s="1176"/>
      <c r="AL2203" s="1176"/>
      <c r="AM2203" s="1176"/>
      <c r="AN2203" s="1176"/>
      <c r="AO2203" s="1176"/>
      <c r="AP2203" s="1176"/>
      <c r="AQ2203" s="1176"/>
      <c r="AR2203" s="1176"/>
      <c r="AS2203" s="1176"/>
      <c r="AT2203" s="1176"/>
      <c r="AU2203" s="1176"/>
      <c r="AV2203" s="1176"/>
      <c r="AW2203" s="1176"/>
      <c r="AX2203" s="1176"/>
      <c r="AY2203" s="1176"/>
      <c r="AZ2203" s="1176"/>
      <c r="BA2203" s="1176"/>
      <c r="BB2203" s="1176"/>
      <c r="BC2203" s="1176"/>
      <c r="BD2203" s="1176"/>
      <c r="BE2203" s="1176"/>
      <c r="BF2203" s="1176"/>
      <c r="BG2203" s="1176"/>
      <c r="BH2203" s="1176"/>
      <c r="BI2203" s="1176"/>
      <c r="BJ2203" s="1176"/>
      <c r="BK2203" s="1176"/>
      <c r="BL2203" s="1176"/>
    </row>
    <row r="2204" spans="1:64" s="1177" customFormat="1">
      <c r="A2204" s="1818"/>
      <c r="B2204" s="1818"/>
      <c r="C2204" s="1817" t="s">
        <v>1174</v>
      </c>
      <c r="D2204" s="1132">
        <v>0.13300000000000001</v>
      </c>
      <c r="E2204" s="1846" t="s">
        <v>955</v>
      </c>
      <c r="F2204" s="1021">
        <f>'Civil-SOR'!$G$302</f>
        <v>550</v>
      </c>
      <c r="G2204" s="1105">
        <v>1</v>
      </c>
      <c r="H2204" s="1846" t="str">
        <f>H2203</f>
        <v>Each</v>
      </c>
      <c r="I2204" s="1030">
        <f t="shared" si="513"/>
        <v>73.150000000000006</v>
      </c>
      <c r="J2204" s="999"/>
      <c r="K2204" s="999"/>
      <c r="L2204" s="999"/>
      <c r="M2204" s="1176"/>
      <c r="N2204" s="1176"/>
      <c r="O2204" s="1176"/>
      <c r="P2204" s="1176"/>
      <c r="Q2204" s="1176"/>
      <c r="R2204" s="1176"/>
      <c r="S2204" s="1176"/>
      <c r="T2204" s="1176"/>
      <c r="U2204" s="1176"/>
      <c r="V2204" s="1176"/>
      <c r="W2204" s="1176"/>
      <c r="X2204" s="1176"/>
      <c r="Y2204" s="1176"/>
      <c r="Z2204" s="1176"/>
      <c r="AA2204" s="1176"/>
      <c r="AB2204" s="1176"/>
      <c r="AC2204" s="1176"/>
      <c r="AD2204" s="1176"/>
      <c r="AE2204" s="1176"/>
      <c r="AF2204" s="1176"/>
      <c r="AG2204" s="1176"/>
      <c r="AH2204" s="1176"/>
      <c r="AI2204" s="1176"/>
      <c r="AJ2204" s="1176"/>
      <c r="AK2204" s="1176"/>
      <c r="AL2204" s="1176"/>
      <c r="AM2204" s="1176"/>
      <c r="AN2204" s="1176"/>
      <c r="AO2204" s="1176"/>
      <c r="AP2204" s="1176"/>
      <c r="AQ2204" s="1176"/>
      <c r="AR2204" s="1176"/>
      <c r="AS2204" s="1176"/>
      <c r="AT2204" s="1176"/>
      <c r="AU2204" s="1176"/>
      <c r="AV2204" s="1176"/>
      <c r="AW2204" s="1176"/>
      <c r="AX2204" s="1176"/>
      <c r="AY2204" s="1176"/>
      <c r="AZ2204" s="1176"/>
      <c r="BA2204" s="1176"/>
      <c r="BB2204" s="1176"/>
      <c r="BC2204" s="1176"/>
      <c r="BD2204" s="1176"/>
      <c r="BE2204" s="1176"/>
      <c r="BF2204" s="1176"/>
      <c r="BG2204" s="1176"/>
      <c r="BH2204" s="1176"/>
      <c r="BI2204" s="1176"/>
      <c r="BJ2204" s="1176"/>
      <c r="BK2204" s="1176"/>
      <c r="BL2204" s="1176"/>
    </row>
    <row r="2205" spans="1:64" s="1177" customFormat="1">
      <c r="A2205" s="1818"/>
      <c r="B2205" s="1818"/>
      <c r="C2205" s="1817" t="s">
        <v>1248</v>
      </c>
      <c r="D2205" s="1132">
        <v>3.077</v>
      </c>
      <c r="E2205" s="1846" t="s">
        <v>955</v>
      </c>
      <c r="F2205" s="1021">
        <f>'Civil-SOR'!$G$307</f>
        <v>520</v>
      </c>
      <c r="G2205" s="1105">
        <v>1</v>
      </c>
      <c r="H2205" s="1846" t="str">
        <f>H2203</f>
        <v>Each</v>
      </c>
      <c r="I2205" s="1030">
        <f t="shared" si="513"/>
        <v>1600.04</v>
      </c>
      <c r="J2205" s="999"/>
      <c r="K2205" s="999"/>
      <c r="L2205" s="999"/>
      <c r="M2205" s="1176"/>
      <c r="N2205" s="1176"/>
      <c r="O2205" s="1176"/>
      <c r="P2205" s="1176"/>
      <c r="Q2205" s="1176"/>
      <c r="R2205" s="1176"/>
      <c r="S2205" s="1176"/>
      <c r="T2205" s="1176"/>
      <c r="U2205" s="1176"/>
      <c r="V2205" s="1176"/>
      <c r="W2205" s="1176"/>
      <c r="X2205" s="1176"/>
      <c r="Y2205" s="1176"/>
      <c r="Z2205" s="1176"/>
      <c r="AA2205" s="1176"/>
      <c r="AB2205" s="1176"/>
      <c r="AC2205" s="1176"/>
      <c r="AD2205" s="1176"/>
      <c r="AE2205" s="1176"/>
      <c r="AF2205" s="1176"/>
      <c r="AG2205" s="1176"/>
      <c r="AH2205" s="1176"/>
      <c r="AI2205" s="1176"/>
      <c r="AJ2205" s="1176"/>
      <c r="AK2205" s="1176"/>
      <c r="AL2205" s="1176"/>
      <c r="AM2205" s="1176"/>
      <c r="AN2205" s="1176"/>
      <c r="AO2205" s="1176"/>
      <c r="AP2205" s="1176"/>
      <c r="AQ2205" s="1176"/>
      <c r="AR2205" s="1176"/>
      <c r="AS2205" s="1176"/>
      <c r="AT2205" s="1176"/>
      <c r="AU2205" s="1176"/>
      <c r="AV2205" s="1176"/>
      <c r="AW2205" s="1176"/>
      <c r="AX2205" s="1176"/>
      <c r="AY2205" s="1176"/>
      <c r="AZ2205" s="1176"/>
      <c r="BA2205" s="1176"/>
      <c r="BB2205" s="1176"/>
      <c r="BC2205" s="1176"/>
      <c r="BD2205" s="1176"/>
      <c r="BE2205" s="1176"/>
      <c r="BF2205" s="1176"/>
      <c r="BG2205" s="1176"/>
      <c r="BH2205" s="1176"/>
      <c r="BI2205" s="1176"/>
      <c r="BJ2205" s="1176"/>
      <c r="BK2205" s="1176"/>
      <c r="BL2205" s="1176"/>
    </row>
    <row r="2206" spans="1:64" s="1177" customFormat="1">
      <c r="A2206" s="1818"/>
      <c r="B2206" s="1818"/>
      <c r="C2206" s="1817" t="str">
        <f>Input!$C$47</f>
        <v>Add for MA @ 40%</v>
      </c>
      <c r="D2206" s="1096">
        <f>Input!$D$47</f>
        <v>0.4</v>
      </c>
      <c r="E2206" s="1846"/>
      <c r="F2206" s="1021">
        <f>SUM(I2203:I2205)</f>
        <v>1712.05</v>
      </c>
      <c r="G2206" s="1105"/>
      <c r="H2206" s="1846"/>
      <c r="I2206" s="1030">
        <f t="shared" si="513"/>
        <v>684.82</v>
      </c>
      <c r="J2206" s="999"/>
      <c r="K2206" s="999"/>
      <c r="L2206" s="999"/>
      <c r="M2206" s="1176"/>
      <c r="N2206" s="1176"/>
      <c r="O2206" s="1176"/>
      <c r="P2206" s="1176"/>
      <c r="Q2206" s="1176"/>
      <c r="R2206" s="1176"/>
      <c r="S2206" s="1176"/>
      <c r="T2206" s="1176"/>
      <c r="U2206" s="1176"/>
      <c r="V2206" s="1176"/>
      <c r="W2206" s="1176"/>
      <c r="X2206" s="1176"/>
      <c r="Y2206" s="1176"/>
      <c r="Z2206" s="1176"/>
      <c r="AA2206" s="1176"/>
      <c r="AB2206" s="1176"/>
      <c r="AC2206" s="1176"/>
      <c r="AD2206" s="1176"/>
      <c r="AE2206" s="1176"/>
      <c r="AF2206" s="1176"/>
      <c r="AG2206" s="1176"/>
      <c r="AH2206" s="1176"/>
      <c r="AI2206" s="1176"/>
      <c r="AJ2206" s="1176"/>
      <c r="AK2206" s="1176"/>
      <c r="AL2206" s="1176"/>
      <c r="AM2206" s="1176"/>
      <c r="AN2206" s="1176"/>
      <c r="AO2206" s="1176"/>
      <c r="AP2206" s="1176"/>
      <c r="AQ2206" s="1176"/>
      <c r="AR2206" s="1176"/>
      <c r="AS2206" s="1176"/>
      <c r="AT2206" s="1176"/>
      <c r="AU2206" s="1176"/>
      <c r="AV2206" s="1176"/>
      <c r="AW2206" s="1176"/>
      <c r="AX2206" s="1176"/>
      <c r="AY2206" s="1176"/>
      <c r="AZ2206" s="1176"/>
      <c r="BA2206" s="1176"/>
      <c r="BB2206" s="1176"/>
      <c r="BC2206" s="1176"/>
      <c r="BD2206" s="1176"/>
      <c r="BE2206" s="1176"/>
      <c r="BF2206" s="1176"/>
      <c r="BG2206" s="1176"/>
      <c r="BH2206" s="1176"/>
      <c r="BI2206" s="1176"/>
      <c r="BJ2206" s="1176"/>
      <c r="BK2206" s="1176"/>
      <c r="BL2206" s="1176"/>
    </row>
    <row r="2207" spans="1:64" s="1177" customFormat="1">
      <c r="A2207" s="1818"/>
      <c r="B2207" s="1818"/>
      <c r="C2207" s="1816" t="s">
        <v>1176</v>
      </c>
      <c r="D2207" s="1096"/>
      <c r="E2207" s="1846"/>
      <c r="F2207" s="1021"/>
      <c r="G2207" s="1105"/>
      <c r="H2207" s="1846"/>
      <c r="I2207" s="1030"/>
      <c r="J2207" s="999"/>
      <c r="K2207" s="999"/>
      <c r="L2207" s="999"/>
      <c r="M2207" s="1176"/>
      <c r="N2207" s="1176"/>
      <c r="O2207" s="1176"/>
      <c r="P2207" s="1176"/>
      <c r="Q2207" s="1176"/>
      <c r="R2207" s="1176"/>
      <c r="S2207" s="1176"/>
      <c r="T2207" s="1176"/>
      <c r="U2207" s="1176"/>
      <c r="V2207" s="1176"/>
      <c r="W2207" s="1176"/>
      <c r="X2207" s="1176"/>
      <c r="Y2207" s="1176"/>
      <c r="Z2207" s="1176"/>
      <c r="AA2207" s="1176"/>
      <c r="AB2207" s="1176"/>
      <c r="AC2207" s="1176"/>
      <c r="AD2207" s="1176"/>
      <c r="AE2207" s="1176"/>
      <c r="AF2207" s="1176"/>
      <c r="AG2207" s="1176"/>
      <c r="AH2207" s="1176"/>
      <c r="AI2207" s="1176"/>
      <c r="AJ2207" s="1176"/>
      <c r="AK2207" s="1176"/>
      <c r="AL2207" s="1176"/>
      <c r="AM2207" s="1176"/>
      <c r="AN2207" s="1176"/>
      <c r="AO2207" s="1176"/>
      <c r="AP2207" s="1176"/>
      <c r="AQ2207" s="1176"/>
      <c r="AR2207" s="1176"/>
      <c r="AS2207" s="1176"/>
      <c r="AT2207" s="1176"/>
      <c r="AU2207" s="1176"/>
      <c r="AV2207" s="1176"/>
      <c r="AW2207" s="1176"/>
      <c r="AX2207" s="1176"/>
      <c r="AY2207" s="1176"/>
      <c r="AZ2207" s="1176"/>
      <c r="BA2207" s="1176"/>
      <c r="BB2207" s="1176"/>
      <c r="BC2207" s="1176"/>
      <c r="BD2207" s="1176"/>
      <c r="BE2207" s="1176"/>
      <c r="BF2207" s="1176"/>
      <c r="BG2207" s="1176"/>
      <c r="BH2207" s="1176"/>
      <c r="BI2207" s="1176"/>
      <c r="BJ2207" s="1176"/>
      <c r="BK2207" s="1176"/>
      <c r="BL2207" s="1176"/>
    </row>
    <row r="2208" spans="1:64" s="1177" customFormat="1">
      <c r="A2208" s="1818"/>
      <c r="B2208" s="1818"/>
      <c r="C2208" s="1817" t="s">
        <v>1177</v>
      </c>
      <c r="D2208" s="1132">
        <v>0.308</v>
      </c>
      <c r="E2208" s="1052" t="s">
        <v>400</v>
      </c>
      <c r="F2208" s="1030">
        <f>'Civil-SOR'!$G$329</f>
        <v>265.79999999999995</v>
      </c>
      <c r="G2208" s="1144">
        <v>1</v>
      </c>
      <c r="H2208" s="1144" t="str">
        <f t="shared" ref="H2208:H2209" si="514">IF(E2208="","",IF(E2208="No.","Each",IF(E2208="Nos.","Each",E2208)))</f>
        <v>hour</v>
      </c>
      <c r="I2208" s="1030">
        <f t="shared" ref="I2208:I2211" si="515">IF(G2208="",D2208*F2208,(D2208*F2208/G2208))</f>
        <v>81.866399999999985</v>
      </c>
      <c r="J2208" s="999"/>
      <c r="K2208" s="999"/>
      <c r="L2208" s="999"/>
      <c r="M2208" s="1176"/>
      <c r="N2208" s="1176"/>
      <c r="O2208" s="1176"/>
      <c r="P2208" s="1176"/>
      <c r="Q2208" s="1176"/>
      <c r="R2208" s="1176"/>
      <c r="S2208" s="1176"/>
      <c r="T2208" s="1176"/>
      <c r="U2208" s="1176"/>
      <c r="V2208" s="1176"/>
      <c r="W2208" s="1176"/>
      <c r="X2208" s="1176"/>
      <c r="Y2208" s="1176"/>
      <c r="Z2208" s="1176"/>
      <c r="AA2208" s="1176"/>
      <c r="AB2208" s="1176"/>
      <c r="AC2208" s="1176"/>
      <c r="AD2208" s="1176"/>
      <c r="AE2208" s="1176"/>
      <c r="AF2208" s="1176"/>
      <c r="AG2208" s="1176"/>
      <c r="AH2208" s="1176"/>
      <c r="AI2208" s="1176"/>
      <c r="AJ2208" s="1176"/>
      <c r="AK2208" s="1176"/>
      <c r="AL2208" s="1176"/>
      <c r="AM2208" s="1176"/>
      <c r="AN2208" s="1176"/>
      <c r="AO2208" s="1176"/>
      <c r="AP2208" s="1176"/>
      <c r="AQ2208" s="1176"/>
      <c r="AR2208" s="1176"/>
      <c r="AS2208" s="1176"/>
      <c r="AT2208" s="1176"/>
      <c r="AU2208" s="1176"/>
      <c r="AV2208" s="1176"/>
      <c r="AW2208" s="1176"/>
      <c r="AX2208" s="1176"/>
      <c r="AY2208" s="1176"/>
      <c r="AZ2208" s="1176"/>
      <c r="BA2208" s="1176"/>
      <c r="BB2208" s="1176"/>
      <c r="BC2208" s="1176"/>
      <c r="BD2208" s="1176"/>
      <c r="BE2208" s="1176"/>
      <c r="BF2208" s="1176"/>
      <c r="BG2208" s="1176"/>
      <c r="BH2208" s="1176"/>
      <c r="BI2208" s="1176"/>
      <c r="BJ2208" s="1176"/>
      <c r="BK2208" s="1176"/>
      <c r="BL2208" s="1176"/>
    </row>
    <row r="2209" spans="1:64" s="1177" customFormat="1">
      <c r="A2209" s="1818"/>
      <c r="B2209" s="1818"/>
      <c r="C2209" s="1817" t="s">
        <v>579</v>
      </c>
      <c r="D2209" s="1132">
        <v>0.308</v>
      </c>
      <c r="E2209" s="1052" t="s">
        <v>400</v>
      </c>
      <c r="F2209" s="1030">
        <f>'Civil-SOR'!$J$329</f>
        <v>454.8</v>
      </c>
      <c r="G2209" s="1144">
        <v>1</v>
      </c>
      <c r="H2209" s="1144" t="str">
        <f t="shared" si="514"/>
        <v>hour</v>
      </c>
      <c r="I2209" s="1030">
        <f t="shared" si="515"/>
        <v>140.07839999999999</v>
      </c>
      <c r="J2209" s="999"/>
      <c r="K2209" s="999"/>
      <c r="L2209" s="999"/>
      <c r="M2209" s="1176"/>
      <c r="N2209" s="1176"/>
      <c r="O2209" s="1176"/>
      <c r="P2209" s="1176"/>
      <c r="Q2209" s="1176"/>
      <c r="R2209" s="1176"/>
      <c r="S2209" s="1176"/>
      <c r="T2209" s="1176"/>
      <c r="U2209" s="1176"/>
      <c r="V2209" s="1176"/>
      <c r="W2209" s="1176"/>
      <c r="X2209" s="1176"/>
      <c r="Y2209" s="1176"/>
      <c r="Z2209" s="1176"/>
      <c r="AA2209" s="1176"/>
      <c r="AB2209" s="1176"/>
      <c r="AC2209" s="1176"/>
      <c r="AD2209" s="1176"/>
      <c r="AE2209" s="1176"/>
      <c r="AF2209" s="1176"/>
      <c r="AG2209" s="1176"/>
      <c r="AH2209" s="1176"/>
      <c r="AI2209" s="1176"/>
      <c r="AJ2209" s="1176"/>
      <c r="AK2209" s="1176"/>
      <c r="AL2209" s="1176"/>
      <c r="AM2209" s="1176"/>
      <c r="AN2209" s="1176"/>
      <c r="AO2209" s="1176"/>
      <c r="AP2209" s="1176"/>
      <c r="AQ2209" s="1176"/>
      <c r="AR2209" s="1176"/>
      <c r="AS2209" s="1176"/>
      <c r="AT2209" s="1176"/>
      <c r="AU2209" s="1176"/>
      <c r="AV2209" s="1176"/>
      <c r="AW2209" s="1176"/>
      <c r="AX2209" s="1176"/>
      <c r="AY2209" s="1176"/>
      <c r="AZ2209" s="1176"/>
      <c r="BA2209" s="1176"/>
      <c r="BB2209" s="1176"/>
      <c r="BC2209" s="1176"/>
      <c r="BD2209" s="1176"/>
      <c r="BE2209" s="1176"/>
      <c r="BF2209" s="1176"/>
      <c r="BG2209" s="1176"/>
      <c r="BH2209" s="1176"/>
      <c r="BI2209" s="1176"/>
      <c r="BJ2209" s="1176"/>
      <c r="BK2209" s="1176"/>
      <c r="BL2209" s="1176"/>
    </row>
    <row r="2210" spans="1:64" s="1177" customFormat="1">
      <c r="A2210" s="1818"/>
      <c r="B2210" s="1818"/>
      <c r="C2210" s="1817" t="s">
        <v>1085</v>
      </c>
      <c r="D2210" s="1096">
        <f>Input!$D$47</f>
        <v>0.4</v>
      </c>
      <c r="E2210" s="1846"/>
      <c r="F2210" s="1021">
        <f>I2209</f>
        <v>140.07839999999999</v>
      </c>
      <c r="G2210" s="1105"/>
      <c r="H2210" s="1846"/>
      <c r="I2210" s="1030">
        <f t="shared" si="515"/>
        <v>56.031359999999999</v>
      </c>
      <c r="J2210" s="999"/>
      <c r="K2210" s="999"/>
      <c r="L2210" s="999"/>
      <c r="M2210" s="1176"/>
      <c r="N2210" s="1176"/>
      <c r="O2210" s="1176"/>
      <c r="P2210" s="1176"/>
      <c r="Q2210" s="1176"/>
      <c r="R2210" s="1176"/>
      <c r="S2210" s="1176"/>
      <c r="T2210" s="1176"/>
      <c r="U2210" s="1176"/>
      <c r="V2210" s="1176"/>
      <c r="W2210" s="1176"/>
      <c r="X2210" s="1176"/>
      <c r="Y2210" s="1176"/>
      <c r="Z2210" s="1176"/>
      <c r="AA2210" s="1176"/>
      <c r="AB2210" s="1176"/>
      <c r="AC2210" s="1176"/>
      <c r="AD2210" s="1176"/>
      <c r="AE2210" s="1176"/>
      <c r="AF2210" s="1176"/>
      <c r="AG2210" s="1176"/>
      <c r="AH2210" s="1176"/>
      <c r="AI2210" s="1176"/>
      <c r="AJ2210" s="1176"/>
      <c r="AK2210" s="1176"/>
      <c r="AL2210" s="1176"/>
      <c r="AM2210" s="1176"/>
      <c r="AN2210" s="1176"/>
      <c r="AO2210" s="1176"/>
      <c r="AP2210" s="1176"/>
      <c r="AQ2210" s="1176"/>
      <c r="AR2210" s="1176"/>
      <c r="AS2210" s="1176"/>
      <c r="AT2210" s="1176"/>
      <c r="AU2210" s="1176"/>
      <c r="AV2210" s="1176"/>
      <c r="AW2210" s="1176"/>
      <c r="AX2210" s="1176"/>
      <c r="AY2210" s="1176"/>
      <c r="AZ2210" s="1176"/>
      <c r="BA2210" s="1176"/>
      <c r="BB2210" s="1176"/>
      <c r="BC2210" s="1176"/>
      <c r="BD2210" s="1176"/>
      <c r="BE2210" s="1176"/>
      <c r="BF2210" s="1176"/>
      <c r="BG2210" s="1176"/>
      <c r="BH2210" s="1176"/>
      <c r="BI2210" s="1176"/>
      <c r="BJ2210" s="1176"/>
      <c r="BK2210" s="1176"/>
      <c r="BL2210" s="1176"/>
    </row>
    <row r="2211" spans="1:64" s="1177" customFormat="1">
      <c r="A2211" s="1818"/>
      <c r="B2211" s="1818"/>
      <c r="C2211" s="1817" t="s">
        <v>1179</v>
      </c>
      <c r="D2211" s="1000">
        <v>1.2</v>
      </c>
      <c r="E2211" s="1044" t="s">
        <v>1143</v>
      </c>
      <c r="F2211" s="1001">
        <f>Input!$D$53</f>
        <v>108</v>
      </c>
      <c r="G2211" s="1015">
        <v>1</v>
      </c>
      <c r="H2211" s="1050" t="str">
        <f>IF(E2211="","",IF(E2211="No.","Each",IF(E2211="Nos.","Each",E2211)))</f>
        <v>kl</v>
      </c>
      <c r="I2211" s="1030">
        <f t="shared" si="515"/>
        <v>129.6</v>
      </c>
      <c r="J2211" s="999"/>
      <c r="K2211" s="999"/>
      <c r="L2211" s="999"/>
      <c r="M2211" s="1176"/>
      <c r="N2211" s="1176"/>
      <c r="O2211" s="1176"/>
      <c r="P2211" s="1176"/>
      <c r="Q2211" s="1176"/>
      <c r="R2211" s="1176"/>
      <c r="S2211" s="1176"/>
      <c r="T2211" s="1176"/>
      <c r="U2211" s="1176"/>
      <c r="V2211" s="1176"/>
      <c r="W2211" s="1176"/>
      <c r="X2211" s="1176"/>
      <c r="Y2211" s="1176"/>
      <c r="Z2211" s="1176"/>
      <c r="AA2211" s="1176"/>
      <c r="AB2211" s="1176"/>
      <c r="AC2211" s="1176"/>
      <c r="AD2211" s="1176"/>
      <c r="AE2211" s="1176"/>
      <c r="AF2211" s="1176"/>
      <c r="AG2211" s="1176"/>
      <c r="AH2211" s="1176"/>
      <c r="AI2211" s="1176"/>
      <c r="AJ2211" s="1176"/>
      <c r="AK2211" s="1176"/>
      <c r="AL2211" s="1176"/>
      <c r="AM2211" s="1176"/>
      <c r="AN2211" s="1176"/>
      <c r="AO2211" s="1176"/>
      <c r="AP2211" s="1176"/>
      <c r="AQ2211" s="1176"/>
      <c r="AR2211" s="1176"/>
      <c r="AS2211" s="1176"/>
      <c r="AT2211" s="1176"/>
      <c r="AU2211" s="1176"/>
      <c r="AV2211" s="1176"/>
      <c r="AW2211" s="1176"/>
      <c r="AX2211" s="1176"/>
      <c r="AY2211" s="1176"/>
      <c r="AZ2211" s="1176"/>
      <c r="BA2211" s="1176"/>
      <c r="BB2211" s="1176"/>
      <c r="BC2211" s="1176"/>
      <c r="BD2211" s="1176"/>
      <c r="BE2211" s="1176"/>
      <c r="BF2211" s="1176"/>
      <c r="BG2211" s="1176"/>
      <c r="BH2211" s="1176"/>
      <c r="BI2211" s="1176"/>
      <c r="BJ2211" s="1176"/>
      <c r="BK2211" s="1176"/>
      <c r="BL2211" s="1176"/>
    </row>
    <row r="2212" spans="1:64" s="1177" customFormat="1">
      <c r="A2212" s="1086"/>
      <c r="B2212" s="1086"/>
      <c r="C2212" s="1816" t="s">
        <v>1342</v>
      </c>
      <c r="D2212" s="996"/>
      <c r="E2212" s="996"/>
      <c r="F2212" s="1023"/>
      <c r="G2212" s="1100"/>
      <c r="H2212" s="996"/>
      <c r="I2212" s="1834">
        <f>SUM(I2199:I2211)</f>
        <v>6636.3781600000002</v>
      </c>
      <c r="J2212" s="999"/>
      <c r="K2212" s="999"/>
      <c r="L2212" s="999"/>
      <c r="M2212" s="1176"/>
      <c r="N2212" s="1176"/>
      <c r="O2212" s="1176"/>
      <c r="P2212" s="1176"/>
      <c r="Q2212" s="1176"/>
      <c r="R2212" s="1176"/>
      <c r="S2212" s="1176"/>
      <c r="T2212" s="1176"/>
      <c r="U2212" s="1176"/>
      <c r="V2212" s="1176"/>
      <c r="W2212" s="1176"/>
      <c r="X2212" s="1176"/>
      <c r="Y2212" s="1176"/>
      <c r="Z2212" s="1176"/>
      <c r="AA2212" s="1176"/>
      <c r="AB2212" s="1176"/>
      <c r="AC2212" s="1176"/>
      <c r="AD2212" s="1176"/>
      <c r="AE2212" s="1176"/>
      <c r="AF2212" s="1176"/>
      <c r="AG2212" s="1176"/>
      <c r="AH2212" s="1176"/>
      <c r="AI2212" s="1176"/>
      <c r="AJ2212" s="1176"/>
      <c r="AK2212" s="1176"/>
      <c r="AL2212" s="1176"/>
      <c r="AM2212" s="1176"/>
      <c r="AN2212" s="1176"/>
      <c r="AO2212" s="1176"/>
      <c r="AP2212" s="1176"/>
      <c r="AQ2212" s="1176"/>
      <c r="AR2212" s="1176"/>
      <c r="AS2212" s="1176"/>
      <c r="AT2212" s="1176"/>
      <c r="AU2212" s="1176"/>
      <c r="AV2212" s="1176"/>
      <c r="AW2212" s="1176"/>
      <c r="AX2212" s="1176"/>
      <c r="AY2212" s="1176"/>
      <c r="AZ2212" s="1176"/>
      <c r="BA2212" s="1176"/>
      <c r="BB2212" s="1176"/>
      <c r="BC2212" s="1176"/>
      <c r="BD2212" s="1176"/>
      <c r="BE2212" s="1176"/>
      <c r="BF2212" s="1176"/>
      <c r="BG2212" s="1176"/>
      <c r="BH2212" s="1176"/>
      <c r="BI2212" s="1176"/>
      <c r="BJ2212" s="1176"/>
      <c r="BK2212" s="1176"/>
      <c r="BL2212" s="1176"/>
    </row>
    <row r="2213" spans="1:64" s="1177" customFormat="1">
      <c r="A2213" s="1818"/>
      <c r="B2213" s="1818"/>
      <c r="C2213" s="1816"/>
      <c r="D2213" s="1114"/>
      <c r="E2213" s="1114"/>
      <c r="F2213" s="1114"/>
      <c r="G2213" s="1114"/>
      <c r="H2213" s="1114"/>
      <c r="I2213" s="1011"/>
      <c r="J2213" s="999"/>
      <c r="K2213" s="999"/>
      <c r="L2213" s="999"/>
      <c r="M2213" s="1176"/>
      <c r="N2213" s="1176"/>
      <c r="O2213" s="1176"/>
      <c r="P2213" s="1176"/>
      <c r="Q2213" s="1176"/>
      <c r="R2213" s="1176"/>
      <c r="S2213" s="1176"/>
      <c r="T2213" s="1176"/>
      <c r="U2213" s="1176"/>
      <c r="V2213" s="1176"/>
      <c r="W2213" s="1176"/>
      <c r="X2213" s="1176"/>
      <c r="Y2213" s="1176"/>
      <c r="Z2213" s="1176"/>
      <c r="AA2213" s="1176"/>
      <c r="AB2213" s="1176"/>
      <c r="AC2213" s="1176"/>
      <c r="AD2213" s="1176"/>
      <c r="AE2213" s="1176"/>
      <c r="AF2213" s="1176"/>
      <c r="AG2213" s="1176"/>
      <c r="AH2213" s="1176"/>
      <c r="AI2213" s="1176"/>
      <c r="AJ2213" s="1176"/>
      <c r="AK2213" s="1176"/>
      <c r="AL2213" s="1176"/>
      <c r="AM2213" s="1176"/>
      <c r="AN2213" s="1176"/>
      <c r="AO2213" s="1176"/>
      <c r="AP2213" s="1176"/>
      <c r="AQ2213" s="1176"/>
      <c r="AR2213" s="1176"/>
      <c r="AS2213" s="1176"/>
      <c r="AT2213" s="1176"/>
      <c r="AU2213" s="1176"/>
      <c r="AV2213" s="1176"/>
      <c r="AW2213" s="1176"/>
      <c r="AX2213" s="1176"/>
      <c r="AY2213" s="1176"/>
      <c r="AZ2213" s="1176"/>
      <c r="BA2213" s="1176"/>
      <c r="BB2213" s="1176"/>
      <c r="BC2213" s="1176"/>
      <c r="BD2213" s="1176"/>
      <c r="BE2213" s="1176"/>
      <c r="BF2213" s="1176"/>
      <c r="BG2213" s="1176"/>
      <c r="BH2213" s="1176"/>
      <c r="BI2213" s="1176"/>
      <c r="BJ2213" s="1176"/>
      <c r="BK2213" s="1176"/>
      <c r="BL2213" s="1176"/>
    </row>
    <row r="2214" spans="1:64" s="1177" customFormat="1">
      <c r="A2214" s="1818"/>
      <c r="B2214" s="1106" t="s">
        <v>294</v>
      </c>
      <c r="C2214" s="1124" t="s">
        <v>1343</v>
      </c>
      <c r="D2214" s="1096"/>
      <c r="E2214" s="1846"/>
      <c r="F2214" s="1021"/>
      <c r="G2214" s="1105"/>
      <c r="H2214" s="1846"/>
      <c r="I2214" s="1021"/>
      <c r="J2214" s="999"/>
      <c r="K2214" s="999"/>
      <c r="L2214" s="999"/>
      <c r="M2214" s="1176"/>
      <c r="N2214" s="1176"/>
      <c r="O2214" s="1176"/>
      <c r="P2214" s="1176"/>
      <c r="Q2214" s="1176"/>
      <c r="R2214" s="1176"/>
      <c r="S2214" s="1176"/>
      <c r="T2214" s="1176"/>
      <c r="U2214" s="1176"/>
      <c r="V2214" s="1176"/>
      <c r="W2214" s="1176"/>
      <c r="X2214" s="1176"/>
      <c r="Y2214" s="1176"/>
      <c r="Z2214" s="1176"/>
      <c r="AA2214" s="1176"/>
      <c r="AB2214" s="1176"/>
      <c r="AC2214" s="1176"/>
      <c r="AD2214" s="1176"/>
      <c r="AE2214" s="1176"/>
      <c r="AF2214" s="1176"/>
      <c r="AG2214" s="1176"/>
      <c r="AH2214" s="1176"/>
      <c r="AI2214" s="1176"/>
      <c r="AJ2214" s="1176"/>
      <c r="AK2214" s="1176"/>
      <c r="AL2214" s="1176"/>
      <c r="AM2214" s="1176"/>
      <c r="AN2214" s="1176"/>
      <c r="AO2214" s="1176"/>
      <c r="AP2214" s="1176"/>
      <c r="AQ2214" s="1176"/>
      <c r="AR2214" s="1176"/>
      <c r="AS2214" s="1176"/>
      <c r="AT2214" s="1176"/>
      <c r="AU2214" s="1176"/>
      <c r="AV2214" s="1176"/>
      <c r="AW2214" s="1176"/>
      <c r="AX2214" s="1176"/>
      <c r="AY2214" s="1176"/>
      <c r="AZ2214" s="1176"/>
      <c r="BA2214" s="1176"/>
      <c r="BB2214" s="1176"/>
      <c r="BC2214" s="1176"/>
      <c r="BD2214" s="1176"/>
      <c r="BE2214" s="1176"/>
      <c r="BF2214" s="1176"/>
      <c r="BG2214" s="1176"/>
      <c r="BH2214" s="1176"/>
      <c r="BI2214" s="1176"/>
      <c r="BJ2214" s="1176"/>
      <c r="BK2214" s="1176"/>
      <c r="BL2214" s="1176"/>
    </row>
    <row r="2215" spans="1:64" s="1177" customFormat="1">
      <c r="A2215" s="1818"/>
      <c r="B2215" s="1818"/>
      <c r="C2215" s="1817" t="s">
        <v>1337</v>
      </c>
      <c r="D2215" s="1096">
        <v>0.05</v>
      </c>
      <c r="E2215" s="1175" t="s">
        <v>75</v>
      </c>
      <c r="F2215" s="1021">
        <f>$I$2212</f>
        <v>6636.3781600000002</v>
      </c>
      <c r="G2215" s="1105">
        <v>1</v>
      </c>
      <c r="H2215" s="1175" t="s">
        <v>75</v>
      </c>
      <c r="I2215" s="1011">
        <f>IF(G2215="",D2215*F2215,(D2215*F2215/G2215))</f>
        <v>331.81890800000002</v>
      </c>
      <c r="J2215" s="999"/>
      <c r="K2215" s="999"/>
      <c r="L2215" s="999"/>
      <c r="M2215" s="1176"/>
      <c r="N2215" s="1176"/>
      <c r="O2215" s="1176"/>
      <c r="P2215" s="1176"/>
      <c r="Q2215" s="1176"/>
      <c r="R2215" s="1176"/>
      <c r="S2215" s="1176"/>
      <c r="T2215" s="1176"/>
      <c r="U2215" s="1176"/>
      <c r="V2215" s="1176"/>
      <c r="W2215" s="1176"/>
      <c r="X2215" s="1176"/>
      <c r="Y2215" s="1176"/>
      <c r="Z2215" s="1176"/>
      <c r="AA2215" s="1176"/>
      <c r="AB2215" s="1176"/>
      <c r="AC2215" s="1176"/>
      <c r="AD2215" s="1176"/>
      <c r="AE2215" s="1176"/>
      <c r="AF2215" s="1176"/>
      <c r="AG2215" s="1176"/>
      <c r="AH2215" s="1176"/>
      <c r="AI2215" s="1176"/>
      <c r="AJ2215" s="1176"/>
      <c r="AK2215" s="1176"/>
      <c r="AL2215" s="1176"/>
      <c r="AM2215" s="1176"/>
      <c r="AN2215" s="1176"/>
      <c r="AO2215" s="1176"/>
      <c r="AP2215" s="1176"/>
      <c r="AQ2215" s="1176"/>
      <c r="AR2215" s="1176"/>
      <c r="AS2215" s="1176"/>
      <c r="AT2215" s="1176"/>
      <c r="AU2215" s="1176"/>
      <c r="AV2215" s="1176"/>
      <c r="AW2215" s="1176"/>
      <c r="AX2215" s="1176"/>
      <c r="AY2215" s="1176"/>
      <c r="AZ2215" s="1176"/>
      <c r="BA2215" s="1176"/>
      <c r="BB2215" s="1176"/>
      <c r="BC2215" s="1176"/>
      <c r="BD2215" s="1176"/>
      <c r="BE2215" s="1176"/>
      <c r="BF2215" s="1176"/>
      <c r="BG2215" s="1176"/>
      <c r="BH2215" s="1176"/>
      <c r="BI2215" s="1176"/>
      <c r="BJ2215" s="1176"/>
      <c r="BK2215" s="1176"/>
      <c r="BL2215" s="1176"/>
    </row>
    <row r="2216" spans="1:64" s="1177" customFormat="1">
      <c r="A2216" s="1818"/>
      <c r="B2216" s="1818"/>
      <c r="C2216" s="1816"/>
      <c r="D2216" s="1114"/>
      <c r="E2216" s="1114"/>
      <c r="F2216" s="1114"/>
      <c r="G2216" s="1114"/>
      <c r="H2216" s="1114"/>
      <c r="I2216" s="1011"/>
      <c r="J2216" s="999"/>
      <c r="K2216" s="999"/>
      <c r="L2216" s="999"/>
      <c r="M2216" s="1176"/>
      <c r="N2216" s="1176"/>
      <c r="O2216" s="1176"/>
      <c r="P2216" s="1176"/>
      <c r="Q2216" s="1176"/>
      <c r="R2216" s="1176"/>
      <c r="S2216" s="1176"/>
      <c r="T2216" s="1176"/>
      <c r="U2216" s="1176"/>
      <c r="V2216" s="1176"/>
      <c r="W2216" s="1176"/>
      <c r="X2216" s="1176"/>
      <c r="Y2216" s="1176"/>
      <c r="Z2216" s="1176"/>
      <c r="AA2216" s="1176"/>
      <c r="AB2216" s="1176"/>
      <c r="AC2216" s="1176"/>
      <c r="AD2216" s="1176"/>
      <c r="AE2216" s="1176"/>
      <c r="AF2216" s="1176"/>
      <c r="AG2216" s="1176"/>
      <c r="AH2216" s="1176"/>
      <c r="AI2216" s="1176"/>
      <c r="AJ2216" s="1176"/>
      <c r="AK2216" s="1176"/>
      <c r="AL2216" s="1176"/>
      <c r="AM2216" s="1176"/>
      <c r="AN2216" s="1176"/>
      <c r="AO2216" s="1176"/>
      <c r="AP2216" s="1176"/>
      <c r="AQ2216" s="1176"/>
      <c r="AR2216" s="1176"/>
      <c r="AS2216" s="1176"/>
      <c r="AT2216" s="1176"/>
      <c r="AU2216" s="1176"/>
      <c r="AV2216" s="1176"/>
      <c r="AW2216" s="1176"/>
      <c r="AX2216" s="1176"/>
      <c r="AY2216" s="1176"/>
      <c r="AZ2216" s="1176"/>
      <c r="BA2216" s="1176"/>
      <c r="BB2216" s="1176"/>
      <c r="BC2216" s="1176"/>
      <c r="BD2216" s="1176"/>
      <c r="BE2216" s="1176"/>
      <c r="BF2216" s="1176"/>
      <c r="BG2216" s="1176"/>
      <c r="BH2216" s="1176"/>
      <c r="BI2216" s="1176"/>
      <c r="BJ2216" s="1176"/>
      <c r="BK2216" s="1176"/>
      <c r="BL2216" s="1176"/>
    </row>
    <row r="2217" spans="1:64" s="1177" customFormat="1">
      <c r="A2217" s="1818"/>
      <c r="B2217" s="1818"/>
      <c r="C2217" s="1816"/>
      <c r="D2217" s="1114"/>
      <c r="E2217" s="1114"/>
      <c r="F2217" s="1114"/>
      <c r="G2217" s="1114"/>
      <c r="H2217" s="1114"/>
      <c r="I2217" s="1011"/>
      <c r="J2217" s="999"/>
      <c r="K2217" s="999"/>
      <c r="L2217" s="999"/>
      <c r="M2217" s="1176"/>
      <c r="N2217" s="1176"/>
      <c r="O2217" s="1176"/>
      <c r="P2217" s="1176"/>
      <c r="Q2217" s="1176"/>
      <c r="R2217" s="1176"/>
      <c r="S2217" s="1176"/>
      <c r="T2217" s="1176"/>
      <c r="U2217" s="1176"/>
      <c r="V2217" s="1176"/>
      <c r="W2217" s="1176"/>
      <c r="X2217" s="1176"/>
      <c r="Y2217" s="1176"/>
      <c r="Z2217" s="1176"/>
      <c r="AA2217" s="1176"/>
      <c r="AB2217" s="1176"/>
      <c r="AC2217" s="1176"/>
      <c r="AD2217" s="1176"/>
      <c r="AE2217" s="1176"/>
      <c r="AF2217" s="1176"/>
      <c r="AG2217" s="1176"/>
      <c r="AH2217" s="1176"/>
      <c r="AI2217" s="1176"/>
      <c r="AJ2217" s="1176"/>
      <c r="AK2217" s="1176"/>
      <c r="AL2217" s="1176"/>
      <c r="AM2217" s="1176"/>
      <c r="AN2217" s="1176"/>
      <c r="AO2217" s="1176"/>
      <c r="AP2217" s="1176"/>
      <c r="AQ2217" s="1176"/>
      <c r="AR2217" s="1176"/>
      <c r="AS2217" s="1176"/>
      <c r="AT2217" s="1176"/>
      <c r="AU2217" s="1176"/>
      <c r="AV2217" s="1176"/>
      <c r="AW2217" s="1176"/>
      <c r="AX2217" s="1176"/>
      <c r="AY2217" s="1176"/>
      <c r="AZ2217" s="1176"/>
      <c r="BA2217" s="1176"/>
      <c r="BB2217" s="1176"/>
      <c r="BC2217" s="1176"/>
      <c r="BD2217" s="1176"/>
      <c r="BE2217" s="1176"/>
      <c r="BF2217" s="1176"/>
      <c r="BG2217" s="1176"/>
      <c r="BH2217" s="1176"/>
      <c r="BI2217" s="1176"/>
      <c r="BJ2217" s="1176"/>
      <c r="BK2217" s="1176"/>
      <c r="BL2217" s="1176"/>
    </row>
    <row r="2218" spans="1:64" s="1177" customFormat="1">
      <c r="A2218" s="1818"/>
      <c r="B2218" s="1818"/>
      <c r="C2218" s="1816" t="s">
        <v>1217</v>
      </c>
      <c r="D2218" s="1009" t="s">
        <v>1223</v>
      </c>
      <c r="E2218" s="1114" t="s">
        <v>1207</v>
      </c>
      <c r="F2218" s="1106" t="s">
        <v>1208</v>
      </c>
      <c r="G2218" s="1106" t="s">
        <v>1209</v>
      </c>
      <c r="H2218" s="1106" t="s">
        <v>1210</v>
      </c>
      <c r="I2218" s="1106" t="s">
        <v>1211</v>
      </c>
      <c r="J2218" s="999"/>
      <c r="K2218" s="999"/>
      <c r="L2218" s="999"/>
      <c r="M2218" s="1176"/>
      <c r="N2218" s="1176"/>
      <c r="O2218" s="1176"/>
      <c r="P2218" s="1176"/>
      <c r="Q2218" s="1176"/>
      <c r="R2218" s="1176"/>
      <c r="S2218" s="1176"/>
      <c r="T2218" s="1176"/>
      <c r="U2218" s="1176"/>
      <c r="V2218" s="1176"/>
      <c r="W2218" s="1176"/>
      <c r="X2218" s="1176"/>
      <c r="Y2218" s="1176"/>
      <c r="Z2218" s="1176"/>
      <c r="AA2218" s="1176"/>
      <c r="AB2218" s="1176"/>
      <c r="AC2218" s="1176"/>
      <c r="AD2218" s="1176"/>
      <c r="AE2218" s="1176"/>
      <c r="AF2218" s="1176"/>
      <c r="AG2218" s="1176"/>
      <c r="AH2218" s="1176"/>
      <c r="AI2218" s="1176"/>
      <c r="AJ2218" s="1176"/>
      <c r="AK2218" s="1176"/>
      <c r="AL2218" s="1176"/>
      <c r="AM2218" s="1176"/>
      <c r="AN2218" s="1176"/>
      <c r="AO2218" s="1176"/>
      <c r="AP2218" s="1176"/>
      <c r="AQ2218" s="1176"/>
      <c r="AR2218" s="1176"/>
      <c r="AS2218" s="1176"/>
      <c r="AT2218" s="1176"/>
      <c r="AU2218" s="1176"/>
      <c r="AV2218" s="1176"/>
      <c r="AW2218" s="1176"/>
      <c r="AX2218" s="1176"/>
      <c r="AY2218" s="1176"/>
      <c r="AZ2218" s="1176"/>
      <c r="BA2218" s="1176"/>
      <c r="BB2218" s="1176"/>
      <c r="BC2218" s="1176"/>
      <c r="BD2218" s="1176"/>
      <c r="BE2218" s="1176"/>
      <c r="BF2218" s="1176"/>
      <c r="BG2218" s="1176"/>
      <c r="BH2218" s="1176"/>
      <c r="BI2218" s="1176"/>
      <c r="BJ2218" s="1176"/>
      <c r="BK2218" s="1176"/>
      <c r="BL2218" s="1176"/>
    </row>
    <row r="2219" spans="1:64" s="1177" customFormat="1">
      <c r="A2219" s="1058"/>
      <c r="B2219" s="1058"/>
      <c r="C2219" s="1817" t="s">
        <v>1317</v>
      </c>
      <c r="D2219" s="1062">
        <f t="shared" ref="D2219:I2219" si="516">$I$2215</f>
        <v>331.81890800000002</v>
      </c>
      <c r="E2219" s="1062">
        <f t="shared" si="516"/>
        <v>331.81890800000002</v>
      </c>
      <c r="F2219" s="1062">
        <f t="shared" si="516"/>
        <v>331.81890800000002</v>
      </c>
      <c r="G2219" s="1062">
        <f t="shared" si="516"/>
        <v>331.81890800000002</v>
      </c>
      <c r="H2219" s="1062">
        <f t="shared" si="516"/>
        <v>331.81890800000002</v>
      </c>
      <c r="I2219" s="1062">
        <f t="shared" si="516"/>
        <v>331.81890800000002</v>
      </c>
      <c r="J2219" s="999"/>
      <c r="K2219" s="999"/>
      <c r="L2219" s="999"/>
      <c r="M2219" s="1176"/>
      <c r="N2219" s="1176"/>
      <c r="O2219" s="1176"/>
      <c r="P2219" s="1176"/>
      <c r="Q2219" s="1176"/>
      <c r="R2219" s="1176"/>
      <c r="S2219" s="1176"/>
      <c r="T2219" s="1176"/>
      <c r="U2219" s="1176"/>
      <c r="V2219" s="1176"/>
      <c r="W2219" s="1176"/>
      <c r="X2219" s="1176"/>
      <c r="Y2219" s="1176"/>
      <c r="Z2219" s="1176"/>
      <c r="AA2219" s="1176"/>
      <c r="AB2219" s="1176"/>
      <c r="AC2219" s="1176"/>
      <c r="AD2219" s="1176"/>
      <c r="AE2219" s="1176"/>
      <c r="AF2219" s="1176"/>
      <c r="AG2219" s="1176"/>
      <c r="AH2219" s="1176"/>
      <c r="AI2219" s="1176"/>
      <c r="AJ2219" s="1176"/>
      <c r="AK2219" s="1176"/>
      <c r="AL2219" s="1176"/>
      <c r="AM2219" s="1176"/>
      <c r="AN2219" s="1176"/>
      <c r="AO2219" s="1176"/>
      <c r="AP2219" s="1176"/>
      <c r="AQ2219" s="1176"/>
      <c r="AR2219" s="1176"/>
      <c r="AS2219" s="1176"/>
      <c r="AT2219" s="1176"/>
      <c r="AU2219" s="1176"/>
      <c r="AV2219" s="1176"/>
      <c r="AW2219" s="1176"/>
      <c r="AX2219" s="1176"/>
      <c r="AY2219" s="1176"/>
      <c r="AZ2219" s="1176"/>
      <c r="BA2219" s="1176"/>
      <c r="BB2219" s="1176"/>
      <c r="BC2219" s="1176"/>
      <c r="BD2219" s="1176"/>
      <c r="BE2219" s="1176"/>
      <c r="BF2219" s="1176"/>
      <c r="BG2219" s="1176"/>
      <c r="BH2219" s="1176"/>
      <c r="BI2219" s="1176"/>
      <c r="BJ2219" s="1176"/>
      <c r="BK2219" s="1176"/>
      <c r="BL2219" s="1176"/>
    </row>
    <row r="2220" spans="1:64" s="1177" customFormat="1" ht="25.5">
      <c r="A2220" s="1058"/>
      <c r="B2220" s="1058"/>
      <c r="C2220" s="1817" t="s">
        <v>1344</v>
      </c>
      <c r="D2220" s="1062">
        <f>'Civil-SOR'!$F$280*50%</f>
        <v>88.5</v>
      </c>
      <c r="E2220" s="1062">
        <f>'Civil-SOR'!$F$280*50%</f>
        <v>88.5</v>
      </c>
      <c r="F2220" s="1062">
        <f>'Civil-SOR'!$F$280*50%</f>
        <v>88.5</v>
      </c>
      <c r="G2220" s="1062">
        <f>'Civil-SOR'!$F$280*50%</f>
        <v>88.5</v>
      </c>
      <c r="H2220" s="1062">
        <f>'Civil-SOR'!$F$280*50%</f>
        <v>88.5</v>
      </c>
      <c r="I2220" s="1062">
        <f>'Civil-SOR'!$F$280*50%</f>
        <v>88.5</v>
      </c>
      <c r="J2220" s="999"/>
      <c r="K2220" s="999"/>
      <c r="L2220" s="999"/>
      <c r="M2220" s="1176"/>
      <c r="N2220" s="1176"/>
      <c r="O2220" s="1176"/>
      <c r="P2220" s="1176"/>
      <c r="Q2220" s="1176"/>
      <c r="R2220" s="1176"/>
      <c r="S2220" s="1176"/>
      <c r="T2220" s="1176"/>
      <c r="U2220" s="1176"/>
      <c r="V2220" s="1176"/>
      <c r="W2220" s="1176"/>
      <c r="X2220" s="1176"/>
      <c r="Y2220" s="1176"/>
      <c r="Z2220" s="1176"/>
      <c r="AA2220" s="1176"/>
      <c r="AB2220" s="1176"/>
      <c r="AC2220" s="1176"/>
      <c r="AD2220" s="1176"/>
      <c r="AE2220" s="1176"/>
      <c r="AF2220" s="1176"/>
      <c r="AG2220" s="1176"/>
      <c r="AH2220" s="1176"/>
      <c r="AI2220" s="1176"/>
      <c r="AJ2220" s="1176"/>
      <c r="AK2220" s="1176"/>
      <c r="AL2220" s="1176"/>
      <c r="AM2220" s="1176"/>
      <c r="AN2220" s="1176"/>
      <c r="AO2220" s="1176"/>
      <c r="AP2220" s="1176"/>
      <c r="AQ2220" s="1176"/>
      <c r="AR2220" s="1176"/>
      <c r="AS2220" s="1176"/>
      <c r="AT2220" s="1176"/>
      <c r="AU2220" s="1176"/>
      <c r="AV2220" s="1176"/>
      <c r="AW2220" s="1176"/>
      <c r="AX2220" s="1176"/>
      <c r="AY2220" s="1176"/>
      <c r="AZ2220" s="1176"/>
      <c r="BA2220" s="1176"/>
      <c r="BB2220" s="1176"/>
      <c r="BC2220" s="1176"/>
      <c r="BD2220" s="1176"/>
      <c r="BE2220" s="1176"/>
      <c r="BF2220" s="1176"/>
      <c r="BG2220" s="1176"/>
      <c r="BH2220" s="1176"/>
      <c r="BI2220" s="1176"/>
      <c r="BJ2220" s="1176"/>
      <c r="BK2220" s="1176"/>
      <c r="BL2220" s="1176"/>
    </row>
    <row r="2221" spans="1:64" s="1177" customFormat="1">
      <c r="A2221" s="1058"/>
      <c r="B2221" s="1058"/>
      <c r="C2221" s="1817" t="s">
        <v>1269</v>
      </c>
      <c r="D2221" s="1062">
        <f>'Civil-SOR'!$G$280*50%</f>
        <v>99.5</v>
      </c>
      <c r="E2221" s="1062">
        <f>'Civil-SOR'!$H$280*50%</f>
        <v>109.5</v>
      </c>
      <c r="F2221" s="1062">
        <f>'Civil-SOR'!$I$280*50%</f>
        <v>119.5</v>
      </c>
      <c r="G2221" s="1062">
        <f>'Civil-SOR'!$J$280*50%</f>
        <v>129.5</v>
      </c>
      <c r="H2221" s="1062">
        <f>'Civil-SOR'!$K$280*50%</f>
        <v>139.5</v>
      </c>
      <c r="I2221" s="1062">
        <f>'Civil-SOR'!$L$280*50%</f>
        <v>149.5</v>
      </c>
      <c r="J2221" s="999"/>
      <c r="K2221" s="999"/>
      <c r="L2221" s="999"/>
      <c r="M2221" s="1176"/>
      <c r="N2221" s="1176"/>
      <c r="O2221" s="1176"/>
      <c r="P2221" s="1176"/>
      <c r="Q2221" s="1176"/>
      <c r="R2221" s="1176"/>
      <c r="S2221" s="1176"/>
      <c r="T2221" s="1176"/>
      <c r="U2221" s="1176"/>
      <c r="V2221" s="1176"/>
      <c r="W2221" s="1176"/>
      <c r="X2221" s="1176"/>
      <c r="Y2221" s="1176"/>
      <c r="Z2221" s="1176"/>
      <c r="AA2221" s="1176"/>
      <c r="AB2221" s="1176"/>
      <c r="AC2221" s="1176"/>
      <c r="AD2221" s="1176"/>
      <c r="AE2221" s="1176"/>
      <c r="AF2221" s="1176"/>
      <c r="AG2221" s="1176"/>
      <c r="AH2221" s="1176"/>
      <c r="AI2221" s="1176"/>
      <c r="AJ2221" s="1176"/>
      <c r="AK2221" s="1176"/>
      <c r="AL2221" s="1176"/>
      <c r="AM2221" s="1176"/>
      <c r="AN2221" s="1176"/>
      <c r="AO2221" s="1176"/>
      <c r="AP2221" s="1176"/>
      <c r="AQ2221" s="1176"/>
      <c r="AR2221" s="1176"/>
      <c r="AS2221" s="1176"/>
      <c r="AT2221" s="1176"/>
      <c r="AU2221" s="1176"/>
      <c r="AV2221" s="1176"/>
      <c r="AW2221" s="1176"/>
      <c r="AX2221" s="1176"/>
      <c r="AY2221" s="1176"/>
      <c r="AZ2221" s="1176"/>
      <c r="BA2221" s="1176"/>
      <c r="BB2221" s="1176"/>
      <c r="BC2221" s="1176"/>
      <c r="BD2221" s="1176"/>
      <c r="BE2221" s="1176"/>
      <c r="BF2221" s="1176"/>
      <c r="BG2221" s="1176"/>
      <c r="BH2221" s="1176"/>
      <c r="BI2221" s="1176"/>
      <c r="BJ2221" s="1176"/>
      <c r="BK2221" s="1176"/>
      <c r="BL2221" s="1176"/>
    </row>
    <row r="2222" spans="1:64" s="1177" customFormat="1">
      <c r="A2222" s="1058"/>
      <c r="B2222" s="1058"/>
      <c r="C2222" s="1817" t="str">
        <f>Input!$C$47</f>
        <v>Add for MA @ 40%</v>
      </c>
      <c r="D2222" s="1062">
        <f>D2221*Input!$D$47</f>
        <v>39.800000000000004</v>
      </c>
      <c r="E2222" s="1062">
        <f>E2221*Input!$D$47</f>
        <v>43.800000000000004</v>
      </c>
      <c r="F2222" s="1062">
        <f>F2221*Input!$D$47</f>
        <v>47.800000000000004</v>
      </c>
      <c r="G2222" s="1062">
        <f>G2221*Input!$D$47</f>
        <v>51.800000000000004</v>
      </c>
      <c r="H2222" s="1062">
        <f>H2221*Input!$D$47</f>
        <v>55.800000000000004</v>
      </c>
      <c r="I2222" s="1062">
        <f>I2221*Input!$D$47</f>
        <v>59.800000000000004</v>
      </c>
      <c r="J2222" s="999"/>
      <c r="K2222" s="999"/>
      <c r="L2222" s="999"/>
      <c r="M2222" s="1176"/>
      <c r="N2222" s="1176"/>
      <c r="O2222" s="1176"/>
      <c r="P2222" s="1176"/>
      <c r="Q2222" s="1176"/>
      <c r="R2222" s="1176"/>
      <c r="S2222" s="1176"/>
      <c r="T2222" s="1176"/>
      <c r="U2222" s="1176"/>
      <c r="V2222" s="1176"/>
      <c r="W2222" s="1176"/>
      <c r="X2222" s="1176"/>
      <c r="Y2222" s="1176"/>
      <c r="Z2222" s="1176"/>
      <c r="AA2222" s="1176"/>
      <c r="AB2222" s="1176"/>
      <c r="AC2222" s="1176"/>
      <c r="AD2222" s="1176"/>
      <c r="AE2222" s="1176"/>
      <c r="AF2222" s="1176"/>
      <c r="AG2222" s="1176"/>
      <c r="AH2222" s="1176"/>
      <c r="AI2222" s="1176"/>
      <c r="AJ2222" s="1176"/>
      <c r="AK2222" s="1176"/>
      <c r="AL2222" s="1176"/>
      <c r="AM2222" s="1176"/>
      <c r="AN2222" s="1176"/>
      <c r="AO2222" s="1176"/>
      <c r="AP2222" s="1176"/>
      <c r="AQ2222" s="1176"/>
      <c r="AR2222" s="1176"/>
      <c r="AS2222" s="1176"/>
      <c r="AT2222" s="1176"/>
      <c r="AU2222" s="1176"/>
      <c r="AV2222" s="1176"/>
      <c r="AW2222" s="1176"/>
      <c r="AX2222" s="1176"/>
      <c r="AY2222" s="1176"/>
      <c r="AZ2222" s="1176"/>
      <c r="BA2222" s="1176"/>
      <c r="BB2222" s="1176"/>
      <c r="BC2222" s="1176"/>
      <c r="BD2222" s="1176"/>
      <c r="BE2222" s="1176"/>
      <c r="BF2222" s="1176"/>
      <c r="BG2222" s="1176"/>
      <c r="BH2222" s="1176"/>
      <c r="BI2222" s="1176"/>
      <c r="BJ2222" s="1176"/>
      <c r="BK2222" s="1176"/>
      <c r="BL2222" s="1176"/>
    </row>
    <row r="2223" spans="1:64" s="1177" customFormat="1">
      <c r="A2223" s="1058"/>
      <c r="B2223" s="1058"/>
      <c r="C2223" s="1817" t="s">
        <v>1253</v>
      </c>
      <c r="D2223" s="1062">
        <v>0</v>
      </c>
      <c r="E2223" s="1062">
        <f>$F$2206*10%*$D$2215</f>
        <v>8.5602500000000017</v>
      </c>
      <c r="F2223" s="1062">
        <f>$F$2206*20%*$D$2215</f>
        <v>17.120500000000003</v>
      </c>
      <c r="G2223" s="1062">
        <f>$F$2206*30%*$D$2215</f>
        <v>25.680750000000003</v>
      </c>
      <c r="H2223" s="1062">
        <f>$F$2206*40%*$D$2215</f>
        <v>34.241000000000007</v>
      </c>
      <c r="I2223" s="1062">
        <f>$F$2206*50%*$D$2215</f>
        <v>42.801250000000003</v>
      </c>
      <c r="J2223" s="999"/>
      <c r="K2223" s="999"/>
      <c r="L2223" s="999"/>
      <c r="M2223" s="1176"/>
      <c r="N2223" s="1176"/>
      <c r="O2223" s="1176"/>
      <c r="P2223" s="1176"/>
      <c r="Q2223" s="1176"/>
      <c r="R2223" s="1176"/>
      <c r="S2223" s="1176"/>
      <c r="T2223" s="1176"/>
      <c r="U2223" s="1176"/>
      <c r="V2223" s="1176"/>
      <c r="W2223" s="1176"/>
      <c r="X2223" s="1176"/>
      <c r="Y2223" s="1176"/>
      <c r="Z2223" s="1176"/>
      <c r="AA2223" s="1176"/>
      <c r="AB2223" s="1176"/>
      <c r="AC2223" s="1176"/>
      <c r="AD2223" s="1176"/>
      <c r="AE2223" s="1176"/>
      <c r="AF2223" s="1176"/>
      <c r="AG2223" s="1176"/>
      <c r="AH2223" s="1176"/>
      <c r="AI2223" s="1176"/>
      <c r="AJ2223" s="1176"/>
      <c r="AK2223" s="1176"/>
      <c r="AL2223" s="1176"/>
      <c r="AM2223" s="1176"/>
      <c r="AN2223" s="1176"/>
      <c r="AO2223" s="1176"/>
      <c r="AP2223" s="1176"/>
      <c r="AQ2223" s="1176"/>
      <c r="AR2223" s="1176"/>
      <c r="AS2223" s="1176"/>
      <c r="AT2223" s="1176"/>
      <c r="AU2223" s="1176"/>
      <c r="AV2223" s="1176"/>
      <c r="AW2223" s="1176"/>
      <c r="AX2223" s="1176"/>
      <c r="AY2223" s="1176"/>
      <c r="AZ2223" s="1176"/>
      <c r="BA2223" s="1176"/>
      <c r="BB2223" s="1176"/>
      <c r="BC2223" s="1176"/>
      <c r="BD2223" s="1176"/>
      <c r="BE2223" s="1176"/>
      <c r="BF2223" s="1176"/>
      <c r="BG2223" s="1176"/>
      <c r="BH2223" s="1176"/>
      <c r="BI2223" s="1176"/>
      <c r="BJ2223" s="1176"/>
      <c r="BK2223" s="1176"/>
      <c r="BL2223" s="1176"/>
    </row>
    <row r="2224" spans="1:64" s="1177" customFormat="1">
      <c r="A2224" s="1058"/>
      <c r="B2224" s="1058"/>
      <c r="C2224" s="1817" t="str">
        <f>Input!$C$47</f>
        <v>Add for MA @ 40%</v>
      </c>
      <c r="D2224" s="1062">
        <f>D2223*Input!$D$47</f>
        <v>0</v>
      </c>
      <c r="E2224" s="1062">
        <f>E2223*Input!$D$47</f>
        <v>3.424100000000001</v>
      </c>
      <c r="F2224" s="1062">
        <f>F2223*Input!$D$47</f>
        <v>6.8482000000000021</v>
      </c>
      <c r="G2224" s="1062">
        <f>G2223*Input!$D$47</f>
        <v>10.272300000000001</v>
      </c>
      <c r="H2224" s="1062">
        <f>H2223*Input!$D$47</f>
        <v>13.696400000000004</v>
      </c>
      <c r="I2224" s="1062">
        <f>I2223*Input!$D$47</f>
        <v>17.120500000000003</v>
      </c>
      <c r="J2224" s="999"/>
      <c r="K2224" s="999"/>
      <c r="L2224" s="999"/>
      <c r="M2224" s="1176"/>
      <c r="N2224" s="1176"/>
      <c r="O2224" s="1176"/>
      <c r="P2224" s="1176"/>
      <c r="Q2224" s="1176"/>
      <c r="R2224" s="1176"/>
      <c r="S2224" s="1176"/>
      <c r="T2224" s="1176"/>
      <c r="U2224" s="1176"/>
      <c r="V2224" s="1176"/>
      <c r="W2224" s="1176"/>
      <c r="X2224" s="1176"/>
      <c r="Y2224" s="1176"/>
      <c r="Z2224" s="1176"/>
      <c r="AA2224" s="1176"/>
      <c r="AB2224" s="1176"/>
      <c r="AC2224" s="1176"/>
      <c r="AD2224" s="1176"/>
      <c r="AE2224" s="1176"/>
      <c r="AF2224" s="1176"/>
      <c r="AG2224" s="1176"/>
      <c r="AH2224" s="1176"/>
      <c r="AI2224" s="1176"/>
      <c r="AJ2224" s="1176"/>
      <c r="AK2224" s="1176"/>
      <c r="AL2224" s="1176"/>
      <c r="AM2224" s="1176"/>
      <c r="AN2224" s="1176"/>
      <c r="AO2224" s="1176"/>
      <c r="AP2224" s="1176"/>
      <c r="AQ2224" s="1176"/>
      <c r="AR2224" s="1176"/>
      <c r="AS2224" s="1176"/>
      <c r="AT2224" s="1176"/>
      <c r="AU2224" s="1176"/>
      <c r="AV2224" s="1176"/>
      <c r="AW2224" s="1176"/>
      <c r="AX2224" s="1176"/>
      <c r="AY2224" s="1176"/>
      <c r="AZ2224" s="1176"/>
      <c r="BA2224" s="1176"/>
      <c r="BB2224" s="1176"/>
      <c r="BC2224" s="1176"/>
      <c r="BD2224" s="1176"/>
      <c r="BE2224" s="1176"/>
      <c r="BF2224" s="1176"/>
      <c r="BG2224" s="1176"/>
      <c r="BH2224" s="1176"/>
      <c r="BI2224" s="1176"/>
      <c r="BJ2224" s="1176"/>
      <c r="BK2224" s="1176"/>
      <c r="BL2224" s="1176"/>
    </row>
    <row r="2225" spans="1:64" s="1177" customFormat="1">
      <c r="A2225" s="1058"/>
      <c r="B2225" s="1058"/>
      <c r="C2225" s="1817" t="s">
        <v>1045</v>
      </c>
      <c r="D2225" s="1065">
        <f t="shared" ref="D2225:I2225" si="517">SUM(D2219:D2224)</f>
        <v>559.61890799999992</v>
      </c>
      <c r="E2225" s="1065">
        <f t="shared" si="517"/>
        <v>585.60325799999987</v>
      </c>
      <c r="F2225" s="1065">
        <f t="shared" si="517"/>
        <v>611.58760799999993</v>
      </c>
      <c r="G2225" s="1065">
        <f t="shared" si="517"/>
        <v>637.57195799999988</v>
      </c>
      <c r="H2225" s="1065">
        <f t="shared" si="517"/>
        <v>663.55630799999994</v>
      </c>
      <c r="I2225" s="1065">
        <f t="shared" si="517"/>
        <v>689.54065799999989</v>
      </c>
      <c r="J2225" s="999"/>
      <c r="K2225" s="999"/>
      <c r="L2225" s="999"/>
      <c r="M2225" s="1176"/>
      <c r="N2225" s="1176"/>
      <c r="O2225" s="1176"/>
      <c r="P2225" s="1176"/>
      <c r="Q2225" s="1176"/>
      <c r="R2225" s="1176"/>
      <c r="S2225" s="1176"/>
      <c r="T2225" s="1176"/>
      <c r="U2225" s="1176"/>
      <c r="V2225" s="1176"/>
      <c r="W2225" s="1176"/>
      <c r="X2225" s="1176"/>
      <c r="Y2225" s="1176"/>
      <c r="Z2225" s="1176"/>
      <c r="AA2225" s="1176"/>
      <c r="AB2225" s="1176"/>
      <c r="AC2225" s="1176"/>
      <c r="AD2225" s="1176"/>
      <c r="AE2225" s="1176"/>
      <c r="AF2225" s="1176"/>
      <c r="AG2225" s="1176"/>
      <c r="AH2225" s="1176"/>
      <c r="AI2225" s="1176"/>
      <c r="AJ2225" s="1176"/>
      <c r="AK2225" s="1176"/>
      <c r="AL2225" s="1176"/>
      <c r="AM2225" s="1176"/>
      <c r="AN2225" s="1176"/>
      <c r="AO2225" s="1176"/>
      <c r="AP2225" s="1176"/>
      <c r="AQ2225" s="1176"/>
      <c r="AR2225" s="1176"/>
      <c r="AS2225" s="1176"/>
      <c r="AT2225" s="1176"/>
      <c r="AU2225" s="1176"/>
      <c r="AV2225" s="1176"/>
      <c r="AW2225" s="1176"/>
      <c r="AX2225" s="1176"/>
      <c r="AY2225" s="1176"/>
      <c r="AZ2225" s="1176"/>
      <c r="BA2225" s="1176"/>
      <c r="BB2225" s="1176"/>
      <c r="BC2225" s="1176"/>
      <c r="BD2225" s="1176"/>
      <c r="BE2225" s="1176"/>
      <c r="BF2225" s="1176"/>
      <c r="BG2225" s="1176"/>
      <c r="BH2225" s="1176"/>
      <c r="BI2225" s="1176"/>
      <c r="BJ2225" s="1176"/>
      <c r="BK2225" s="1176"/>
      <c r="BL2225" s="1176"/>
    </row>
    <row r="2226" spans="1:64" s="1177" customFormat="1">
      <c r="A2226" s="1058"/>
      <c r="B2226" s="1058"/>
      <c r="C2226" s="1828" t="str">
        <f>Input!$C$48</f>
        <v>Overheads &amp; Contractors Profit @ 13.615%</v>
      </c>
      <c r="D2226" s="1062">
        <f>D2225*Input!$D$48</f>
        <v>76.192114324199991</v>
      </c>
      <c r="E2226" s="1062">
        <f>E2225*Input!$D$48</f>
        <v>79.729883576699976</v>
      </c>
      <c r="F2226" s="1062">
        <f>F2225*Input!$D$48</f>
        <v>83.267652829199989</v>
      </c>
      <c r="G2226" s="1062">
        <f>G2225*Input!$D$48</f>
        <v>86.805422081699973</v>
      </c>
      <c r="H2226" s="1062">
        <f>H2225*Input!$D$48</f>
        <v>90.343191334199986</v>
      </c>
      <c r="I2226" s="1062">
        <f>I2225*Input!$D$48</f>
        <v>93.880960586699985</v>
      </c>
      <c r="J2226" s="999"/>
      <c r="K2226" s="999"/>
      <c r="L2226" s="999"/>
      <c r="M2226" s="1176"/>
      <c r="N2226" s="1176"/>
      <c r="O2226" s="1176"/>
      <c r="P2226" s="1176"/>
      <c r="Q2226" s="1176"/>
      <c r="R2226" s="1176"/>
      <c r="S2226" s="1176"/>
      <c r="T2226" s="1176"/>
      <c r="U2226" s="1176"/>
      <c r="V2226" s="1176"/>
      <c r="W2226" s="1176"/>
      <c r="X2226" s="1176"/>
      <c r="Y2226" s="1176"/>
      <c r="Z2226" s="1176"/>
      <c r="AA2226" s="1176"/>
      <c r="AB2226" s="1176"/>
      <c r="AC2226" s="1176"/>
      <c r="AD2226" s="1176"/>
      <c r="AE2226" s="1176"/>
      <c r="AF2226" s="1176"/>
      <c r="AG2226" s="1176"/>
      <c r="AH2226" s="1176"/>
      <c r="AI2226" s="1176"/>
      <c r="AJ2226" s="1176"/>
      <c r="AK2226" s="1176"/>
      <c r="AL2226" s="1176"/>
      <c r="AM2226" s="1176"/>
      <c r="AN2226" s="1176"/>
      <c r="AO2226" s="1176"/>
      <c r="AP2226" s="1176"/>
      <c r="AQ2226" s="1176"/>
      <c r="AR2226" s="1176"/>
      <c r="AS2226" s="1176"/>
      <c r="AT2226" s="1176"/>
      <c r="AU2226" s="1176"/>
      <c r="AV2226" s="1176"/>
      <c r="AW2226" s="1176"/>
      <c r="AX2226" s="1176"/>
      <c r="AY2226" s="1176"/>
      <c r="AZ2226" s="1176"/>
      <c r="BA2226" s="1176"/>
      <c r="BB2226" s="1176"/>
      <c r="BC2226" s="1176"/>
      <c r="BD2226" s="1176"/>
      <c r="BE2226" s="1176"/>
      <c r="BF2226" s="1176"/>
      <c r="BG2226" s="1176"/>
      <c r="BH2226" s="1176"/>
      <c r="BI2226" s="1176"/>
      <c r="BJ2226" s="1176"/>
      <c r="BK2226" s="1176"/>
      <c r="BL2226" s="1176"/>
    </row>
    <row r="2227" spans="1:64" s="1177" customFormat="1">
      <c r="A2227" s="1172"/>
      <c r="B2227" s="1172"/>
      <c r="C2227" s="1816" t="s">
        <v>1045</v>
      </c>
      <c r="D2227" s="1174">
        <f t="shared" ref="D2227:I2227" si="518">SUM(D2225:D2226)</f>
        <v>635.81102232419994</v>
      </c>
      <c r="E2227" s="1174">
        <f t="shared" si="518"/>
        <v>665.33314157669986</v>
      </c>
      <c r="F2227" s="1174">
        <f t="shared" si="518"/>
        <v>694.85526082919989</v>
      </c>
      <c r="G2227" s="1174">
        <f t="shared" si="518"/>
        <v>724.37738008169981</v>
      </c>
      <c r="H2227" s="1174">
        <f t="shared" si="518"/>
        <v>753.89949933419996</v>
      </c>
      <c r="I2227" s="1174">
        <f t="shared" si="518"/>
        <v>783.42161858669988</v>
      </c>
      <c r="J2227" s="999"/>
      <c r="K2227" s="999"/>
      <c r="L2227" s="999"/>
      <c r="M2227" s="1176"/>
      <c r="N2227" s="1176"/>
      <c r="O2227" s="1176"/>
      <c r="P2227" s="1176"/>
      <c r="Q2227" s="1176"/>
      <c r="R2227" s="1176"/>
      <c r="S2227" s="1176"/>
      <c r="T2227" s="1176"/>
      <c r="U2227" s="1176"/>
      <c r="V2227" s="1176"/>
      <c r="W2227" s="1176"/>
      <c r="X2227" s="1176"/>
      <c r="Y2227" s="1176"/>
      <c r="Z2227" s="1176"/>
      <c r="AA2227" s="1176"/>
      <c r="AB2227" s="1176"/>
      <c r="AC2227" s="1176"/>
      <c r="AD2227" s="1176"/>
      <c r="AE2227" s="1176"/>
      <c r="AF2227" s="1176"/>
      <c r="AG2227" s="1176"/>
      <c r="AH2227" s="1176"/>
      <c r="AI2227" s="1176"/>
      <c r="AJ2227" s="1176"/>
      <c r="AK2227" s="1176"/>
      <c r="AL2227" s="1176"/>
      <c r="AM2227" s="1176"/>
      <c r="AN2227" s="1176"/>
      <c r="AO2227" s="1176"/>
      <c r="AP2227" s="1176"/>
      <c r="AQ2227" s="1176"/>
      <c r="AR2227" s="1176"/>
      <c r="AS2227" s="1176"/>
      <c r="AT2227" s="1176"/>
      <c r="AU2227" s="1176"/>
      <c r="AV2227" s="1176"/>
      <c r="AW2227" s="1176"/>
      <c r="AX2227" s="1176"/>
      <c r="AY2227" s="1176"/>
      <c r="AZ2227" s="1176"/>
      <c r="BA2227" s="1176"/>
      <c r="BB2227" s="1176"/>
      <c r="BC2227" s="1176"/>
      <c r="BD2227" s="1176"/>
      <c r="BE2227" s="1176"/>
      <c r="BF2227" s="1176"/>
      <c r="BG2227" s="1176"/>
      <c r="BH2227" s="1176"/>
      <c r="BI2227" s="1176"/>
      <c r="BJ2227" s="1176"/>
      <c r="BK2227" s="1176"/>
      <c r="BL2227" s="1176"/>
    </row>
    <row r="2228" spans="1:64" s="1177" customFormat="1">
      <c r="A2228" s="1086"/>
      <c r="B2228" s="1086"/>
      <c r="C2228" s="1843" t="s">
        <v>1034</v>
      </c>
      <c r="D2228" s="999">
        <f t="shared" ref="D2228:I2228" si="519">ROUND(D2227,0)</f>
        <v>636</v>
      </c>
      <c r="E2228" s="999">
        <f t="shared" si="519"/>
        <v>665</v>
      </c>
      <c r="F2228" s="999">
        <f t="shared" si="519"/>
        <v>695</v>
      </c>
      <c r="G2228" s="999">
        <f t="shared" si="519"/>
        <v>724</v>
      </c>
      <c r="H2228" s="999">
        <f t="shared" si="519"/>
        <v>754</v>
      </c>
      <c r="I2228" s="999">
        <f t="shared" si="519"/>
        <v>783</v>
      </c>
      <c r="J2228" s="999"/>
      <c r="K2228" s="999"/>
      <c r="L2228" s="999"/>
      <c r="M2228" s="1176"/>
      <c r="N2228" s="1176"/>
      <c r="O2228" s="1176"/>
      <c r="P2228" s="1176"/>
      <c r="Q2228" s="1176"/>
      <c r="R2228" s="1176"/>
      <c r="S2228" s="1176"/>
      <c r="T2228" s="1176"/>
      <c r="U2228" s="1176"/>
      <c r="V2228" s="1176"/>
      <c r="W2228" s="1176"/>
      <c r="X2228" s="1176"/>
      <c r="Y2228" s="1176"/>
      <c r="Z2228" s="1176"/>
      <c r="AA2228" s="1176"/>
      <c r="AB2228" s="1176"/>
      <c r="AC2228" s="1176"/>
      <c r="AD2228" s="1176"/>
      <c r="AE2228" s="1176"/>
      <c r="AF2228" s="1176"/>
      <c r="AG2228" s="1176"/>
      <c r="AH2228" s="1176"/>
      <c r="AI2228" s="1176"/>
      <c r="AJ2228" s="1176"/>
      <c r="AK2228" s="1176"/>
      <c r="AL2228" s="1176"/>
      <c r="AM2228" s="1176"/>
      <c r="AN2228" s="1176"/>
      <c r="AO2228" s="1176"/>
      <c r="AP2228" s="1176"/>
      <c r="AQ2228" s="1176"/>
      <c r="AR2228" s="1176"/>
      <c r="AS2228" s="1176"/>
      <c r="AT2228" s="1176"/>
      <c r="AU2228" s="1176"/>
      <c r="AV2228" s="1176"/>
      <c r="AW2228" s="1176"/>
      <c r="AX2228" s="1176"/>
      <c r="AY2228" s="1176"/>
      <c r="AZ2228" s="1176"/>
      <c r="BA2228" s="1176"/>
      <c r="BB2228" s="1176"/>
      <c r="BC2228" s="1176"/>
      <c r="BD2228" s="1176"/>
      <c r="BE2228" s="1176"/>
      <c r="BF2228" s="1176"/>
      <c r="BG2228" s="1176"/>
      <c r="BH2228" s="1176"/>
      <c r="BI2228" s="1176"/>
      <c r="BJ2228" s="1176"/>
      <c r="BK2228" s="1176"/>
      <c r="BL2228" s="1176"/>
    </row>
    <row r="2229" spans="1:64" s="1177" customFormat="1">
      <c r="A2229" s="1086"/>
      <c r="B2229" s="1086"/>
      <c r="C2229" s="1843"/>
      <c r="D2229" s="999"/>
      <c r="E2229" s="999"/>
      <c r="F2229" s="999"/>
      <c r="G2229" s="999"/>
      <c r="H2229" s="999"/>
      <c r="I2229" s="999"/>
      <c r="J2229" s="999"/>
      <c r="K2229" s="999"/>
      <c r="L2229" s="999"/>
      <c r="M2229" s="1176"/>
      <c r="N2229" s="1176"/>
      <c r="O2229" s="1176"/>
      <c r="P2229" s="1176"/>
      <c r="Q2229" s="1176"/>
      <c r="R2229" s="1176"/>
      <c r="S2229" s="1176"/>
      <c r="T2229" s="1176"/>
      <c r="U2229" s="1176"/>
      <c r="V2229" s="1176"/>
      <c r="W2229" s="1176"/>
      <c r="X2229" s="1176"/>
      <c r="Y2229" s="1176"/>
      <c r="Z2229" s="1176"/>
      <c r="AA2229" s="1176"/>
      <c r="AB2229" s="1176"/>
      <c r="AC2229" s="1176"/>
      <c r="AD2229" s="1176"/>
      <c r="AE2229" s="1176"/>
      <c r="AF2229" s="1176"/>
      <c r="AG2229" s="1176"/>
      <c r="AH2229" s="1176"/>
      <c r="AI2229" s="1176"/>
      <c r="AJ2229" s="1176"/>
      <c r="AK2229" s="1176"/>
      <c r="AL2229" s="1176"/>
      <c r="AM2229" s="1176"/>
      <c r="AN2229" s="1176"/>
      <c r="AO2229" s="1176"/>
      <c r="AP2229" s="1176"/>
      <c r="AQ2229" s="1176"/>
      <c r="AR2229" s="1176"/>
      <c r="AS2229" s="1176"/>
      <c r="AT2229" s="1176"/>
      <c r="AU2229" s="1176"/>
      <c r="AV2229" s="1176"/>
      <c r="AW2229" s="1176"/>
      <c r="AX2229" s="1176"/>
      <c r="AY2229" s="1176"/>
      <c r="AZ2229" s="1176"/>
      <c r="BA2229" s="1176"/>
      <c r="BB2229" s="1176"/>
      <c r="BC2229" s="1176"/>
      <c r="BD2229" s="1176"/>
      <c r="BE2229" s="1176"/>
      <c r="BF2229" s="1176"/>
      <c r="BG2229" s="1176"/>
      <c r="BH2229" s="1176"/>
      <c r="BI2229" s="1176"/>
      <c r="BJ2229" s="1176"/>
      <c r="BK2229" s="1176"/>
      <c r="BL2229" s="1176"/>
    </row>
    <row r="2230" spans="1:64" s="1177" customFormat="1">
      <c r="A2230" s="1818"/>
      <c r="B2230" s="1106" t="s">
        <v>294</v>
      </c>
      <c r="C2230" s="1124" t="s">
        <v>1348</v>
      </c>
      <c r="D2230" s="1096"/>
      <c r="E2230" s="1846"/>
      <c r="F2230" s="1021"/>
      <c r="G2230" s="1105"/>
      <c r="H2230" s="1846"/>
      <c r="I2230" s="1021"/>
      <c r="J2230" s="999"/>
      <c r="K2230" s="999"/>
      <c r="L2230" s="999"/>
      <c r="M2230" s="1176"/>
      <c r="N2230" s="1176"/>
      <c r="O2230" s="1176"/>
      <c r="P2230" s="1176"/>
      <c r="Q2230" s="1176"/>
      <c r="R2230" s="1176"/>
      <c r="S2230" s="1176"/>
      <c r="T2230" s="1176"/>
      <c r="U2230" s="1176"/>
      <c r="V2230" s="1176"/>
      <c r="W2230" s="1176"/>
      <c r="X2230" s="1176"/>
      <c r="Y2230" s="1176"/>
      <c r="Z2230" s="1176"/>
      <c r="AA2230" s="1176"/>
      <c r="AB2230" s="1176"/>
      <c r="AC2230" s="1176"/>
      <c r="AD2230" s="1176"/>
      <c r="AE2230" s="1176"/>
      <c r="AF2230" s="1176"/>
      <c r="AG2230" s="1176"/>
      <c r="AH2230" s="1176"/>
      <c r="AI2230" s="1176"/>
      <c r="AJ2230" s="1176"/>
      <c r="AK2230" s="1176"/>
      <c r="AL2230" s="1176"/>
      <c r="AM2230" s="1176"/>
      <c r="AN2230" s="1176"/>
      <c r="AO2230" s="1176"/>
      <c r="AP2230" s="1176"/>
      <c r="AQ2230" s="1176"/>
      <c r="AR2230" s="1176"/>
      <c r="AS2230" s="1176"/>
      <c r="AT2230" s="1176"/>
      <c r="AU2230" s="1176"/>
      <c r="AV2230" s="1176"/>
      <c r="AW2230" s="1176"/>
      <c r="AX2230" s="1176"/>
      <c r="AY2230" s="1176"/>
      <c r="AZ2230" s="1176"/>
      <c r="BA2230" s="1176"/>
      <c r="BB2230" s="1176"/>
      <c r="BC2230" s="1176"/>
      <c r="BD2230" s="1176"/>
      <c r="BE2230" s="1176"/>
      <c r="BF2230" s="1176"/>
      <c r="BG2230" s="1176"/>
      <c r="BH2230" s="1176"/>
      <c r="BI2230" s="1176"/>
      <c r="BJ2230" s="1176"/>
      <c r="BK2230" s="1176"/>
      <c r="BL2230" s="1176"/>
    </row>
    <row r="2231" spans="1:64" s="1177" customFormat="1">
      <c r="A2231" s="1818"/>
      <c r="B2231" s="1818"/>
      <c r="C2231" s="1817" t="s">
        <v>1337</v>
      </c>
      <c r="D2231" s="1096">
        <v>7.4999999999999997E-2</v>
      </c>
      <c r="E2231" s="1175" t="s">
        <v>75</v>
      </c>
      <c r="F2231" s="1021">
        <f>$I$2212</f>
        <v>6636.3781600000002</v>
      </c>
      <c r="G2231" s="1105">
        <v>1</v>
      </c>
      <c r="H2231" s="1175" t="s">
        <v>75</v>
      </c>
      <c r="I2231" s="1011">
        <f>IF(G2231="",D2231*F2231,(D2231*F2231/G2231))</f>
        <v>497.728362</v>
      </c>
      <c r="J2231" s="999"/>
      <c r="K2231" s="999"/>
      <c r="L2231" s="999"/>
      <c r="M2231" s="1176"/>
      <c r="N2231" s="1176"/>
      <c r="O2231" s="1176"/>
      <c r="P2231" s="1176"/>
      <c r="Q2231" s="1176"/>
      <c r="R2231" s="1176"/>
      <c r="S2231" s="1176"/>
      <c r="T2231" s="1176"/>
      <c r="U2231" s="1176"/>
      <c r="V2231" s="1176"/>
      <c r="W2231" s="1176"/>
      <c r="X2231" s="1176"/>
      <c r="Y2231" s="1176"/>
      <c r="Z2231" s="1176"/>
      <c r="AA2231" s="1176"/>
      <c r="AB2231" s="1176"/>
      <c r="AC2231" s="1176"/>
      <c r="AD2231" s="1176"/>
      <c r="AE2231" s="1176"/>
      <c r="AF2231" s="1176"/>
      <c r="AG2231" s="1176"/>
      <c r="AH2231" s="1176"/>
      <c r="AI2231" s="1176"/>
      <c r="AJ2231" s="1176"/>
      <c r="AK2231" s="1176"/>
      <c r="AL2231" s="1176"/>
      <c r="AM2231" s="1176"/>
      <c r="AN2231" s="1176"/>
      <c r="AO2231" s="1176"/>
      <c r="AP2231" s="1176"/>
      <c r="AQ2231" s="1176"/>
      <c r="AR2231" s="1176"/>
      <c r="AS2231" s="1176"/>
      <c r="AT2231" s="1176"/>
      <c r="AU2231" s="1176"/>
      <c r="AV2231" s="1176"/>
      <c r="AW2231" s="1176"/>
      <c r="AX2231" s="1176"/>
      <c r="AY2231" s="1176"/>
      <c r="AZ2231" s="1176"/>
      <c r="BA2231" s="1176"/>
      <c r="BB2231" s="1176"/>
      <c r="BC2231" s="1176"/>
      <c r="BD2231" s="1176"/>
      <c r="BE2231" s="1176"/>
      <c r="BF2231" s="1176"/>
      <c r="BG2231" s="1176"/>
      <c r="BH2231" s="1176"/>
      <c r="BI2231" s="1176"/>
      <c r="BJ2231" s="1176"/>
      <c r="BK2231" s="1176"/>
      <c r="BL2231" s="1176"/>
    </row>
    <row r="2232" spans="1:64" s="1177" customFormat="1">
      <c r="A2232" s="1818"/>
      <c r="B2232" s="1818"/>
      <c r="C2232" s="1816"/>
      <c r="D2232" s="1114"/>
      <c r="E2232" s="1114"/>
      <c r="F2232" s="1114"/>
      <c r="G2232" s="1114"/>
      <c r="H2232" s="1114"/>
      <c r="I2232" s="1011"/>
      <c r="J2232" s="999"/>
      <c r="K2232" s="999"/>
      <c r="L2232" s="999"/>
      <c r="M2232" s="1176"/>
      <c r="N2232" s="1176"/>
      <c r="O2232" s="1176"/>
      <c r="P2232" s="1176"/>
      <c r="Q2232" s="1176"/>
      <c r="R2232" s="1176"/>
      <c r="S2232" s="1176"/>
      <c r="T2232" s="1176"/>
      <c r="U2232" s="1176"/>
      <c r="V2232" s="1176"/>
      <c r="W2232" s="1176"/>
      <c r="X2232" s="1176"/>
      <c r="Y2232" s="1176"/>
      <c r="Z2232" s="1176"/>
      <c r="AA2232" s="1176"/>
      <c r="AB2232" s="1176"/>
      <c r="AC2232" s="1176"/>
      <c r="AD2232" s="1176"/>
      <c r="AE2232" s="1176"/>
      <c r="AF2232" s="1176"/>
      <c r="AG2232" s="1176"/>
      <c r="AH2232" s="1176"/>
      <c r="AI2232" s="1176"/>
      <c r="AJ2232" s="1176"/>
      <c r="AK2232" s="1176"/>
      <c r="AL2232" s="1176"/>
      <c r="AM2232" s="1176"/>
      <c r="AN2232" s="1176"/>
      <c r="AO2232" s="1176"/>
      <c r="AP2232" s="1176"/>
      <c r="AQ2232" s="1176"/>
      <c r="AR2232" s="1176"/>
      <c r="AS2232" s="1176"/>
      <c r="AT2232" s="1176"/>
      <c r="AU2232" s="1176"/>
      <c r="AV2232" s="1176"/>
      <c r="AW2232" s="1176"/>
      <c r="AX2232" s="1176"/>
      <c r="AY2232" s="1176"/>
      <c r="AZ2232" s="1176"/>
      <c r="BA2232" s="1176"/>
      <c r="BB2232" s="1176"/>
      <c r="BC2232" s="1176"/>
      <c r="BD2232" s="1176"/>
      <c r="BE2232" s="1176"/>
      <c r="BF2232" s="1176"/>
      <c r="BG2232" s="1176"/>
      <c r="BH2232" s="1176"/>
      <c r="BI2232" s="1176"/>
      <c r="BJ2232" s="1176"/>
      <c r="BK2232" s="1176"/>
      <c r="BL2232" s="1176"/>
    </row>
    <row r="2233" spans="1:64" s="1177" customFormat="1">
      <c r="A2233" s="1818"/>
      <c r="B2233" s="1818"/>
      <c r="C2233" s="1816"/>
      <c r="D2233" s="1114"/>
      <c r="E2233" s="1114"/>
      <c r="F2233" s="1114"/>
      <c r="G2233" s="1114"/>
      <c r="H2233" s="1114"/>
      <c r="I2233" s="1011"/>
      <c r="J2233" s="999"/>
      <c r="K2233" s="999"/>
      <c r="L2233" s="999"/>
      <c r="M2233" s="1176"/>
      <c r="N2233" s="1176"/>
      <c r="O2233" s="1176"/>
      <c r="P2233" s="1176"/>
      <c r="Q2233" s="1176"/>
      <c r="R2233" s="1176"/>
      <c r="S2233" s="1176"/>
      <c r="T2233" s="1176"/>
      <c r="U2233" s="1176"/>
      <c r="V2233" s="1176"/>
      <c r="W2233" s="1176"/>
      <c r="X2233" s="1176"/>
      <c r="Y2233" s="1176"/>
      <c r="Z2233" s="1176"/>
      <c r="AA2233" s="1176"/>
      <c r="AB2233" s="1176"/>
      <c r="AC2233" s="1176"/>
      <c r="AD2233" s="1176"/>
      <c r="AE2233" s="1176"/>
      <c r="AF2233" s="1176"/>
      <c r="AG2233" s="1176"/>
      <c r="AH2233" s="1176"/>
      <c r="AI2233" s="1176"/>
      <c r="AJ2233" s="1176"/>
      <c r="AK2233" s="1176"/>
      <c r="AL2233" s="1176"/>
      <c r="AM2233" s="1176"/>
      <c r="AN2233" s="1176"/>
      <c r="AO2233" s="1176"/>
      <c r="AP2233" s="1176"/>
      <c r="AQ2233" s="1176"/>
      <c r="AR2233" s="1176"/>
      <c r="AS2233" s="1176"/>
      <c r="AT2233" s="1176"/>
      <c r="AU2233" s="1176"/>
      <c r="AV2233" s="1176"/>
      <c r="AW2233" s="1176"/>
      <c r="AX2233" s="1176"/>
      <c r="AY2233" s="1176"/>
      <c r="AZ2233" s="1176"/>
      <c r="BA2233" s="1176"/>
      <c r="BB2233" s="1176"/>
      <c r="BC2233" s="1176"/>
      <c r="BD2233" s="1176"/>
      <c r="BE2233" s="1176"/>
      <c r="BF2233" s="1176"/>
      <c r="BG2233" s="1176"/>
      <c r="BH2233" s="1176"/>
      <c r="BI2233" s="1176"/>
      <c r="BJ2233" s="1176"/>
      <c r="BK2233" s="1176"/>
      <c r="BL2233" s="1176"/>
    </row>
    <row r="2234" spans="1:64" s="1177" customFormat="1">
      <c r="A2234" s="1818"/>
      <c r="B2234" s="1818"/>
      <c r="C2234" s="1816" t="s">
        <v>1217</v>
      </c>
      <c r="D2234" s="1009" t="s">
        <v>1223</v>
      </c>
      <c r="E2234" s="1114" t="s">
        <v>1207</v>
      </c>
      <c r="F2234" s="1106" t="s">
        <v>1208</v>
      </c>
      <c r="G2234" s="1106" t="s">
        <v>1209</v>
      </c>
      <c r="H2234" s="1106" t="s">
        <v>1210</v>
      </c>
      <c r="I2234" s="1106" t="s">
        <v>1211</v>
      </c>
      <c r="J2234" s="999"/>
      <c r="K2234" s="999"/>
      <c r="L2234" s="999"/>
      <c r="M2234" s="1176"/>
      <c r="N2234" s="1176"/>
      <c r="O2234" s="1176"/>
      <c r="P2234" s="1176"/>
      <c r="Q2234" s="1176"/>
      <c r="R2234" s="1176"/>
      <c r="S2234" s="1176"/>
      <c r="T2234" s="1176"/>
      <c r="U2234" s="1176"/>
      <c r="V2234" s="1176"/>
      <c r="W2234" s="1176"/>
      <c r="X2234" s="1176"/>
      <c r="Y2234" s="1176"/>
      <c r="Z2234" s="1176"/>
      <c r="AA2234" s="1176"/>
      <c r="AB2234" s="1176"/>
      <c r="AC2234" s="1176"/>
      <c r="AD2234" s="1176"/>
      <c r="AE2234" s="1176"/>
      <c r="AF2234" s="1176"/>
      <c r="AG2234" s="1176"/>
      <c r="AH2234" s="1176"/>
      <c r="AI2234" s="1176"/>
      <c r="AJ2234" s="1176"/>
      <c r="AK2234" s="1176"/>
      <c r="AL2234" s="1176"/>
      <c r="AM2234" s="1176"/>
      <c r="AN2234" s="1176"/>
      <c r="AO2234" s="1176"/>
      <c r="AP2234" s="1176"/>
      <c r="AQ2234" s="1176"/>
      <c r="AR2234" s="1176"/>
      <c r="AS2234" s="1176"/>
      <c r="AT2234" s="1176"/>
      <c r="AU2234" s="1176"/>
      <c r="AV2234" s="1176"/>
      <c r="AW2234" s="1176"/>
      <c r="AX2234" s="1176"/>
      <c r="AY2234" s="1176"/>
      <c r="AZ2234" s="1176"/>
      <c r="BA2234" s="1176"/>
      <c r="BB2234" s="1176"/>
      <c r="BC2234" s="1176"/>
      <c r="BD2234" s="1176"/>
      <c r="BE2234" s="1176"/>
      <c r="BF2234" s="1176"/>
      <c r="BG2234" s="1176"/>
      <c r="BH2234" s="1176"/>
      <c r="BI2234" s="1176"/>
      <c r="BJ2234" s="1176"/>
      <c r="BK2234" s="1176"/>
      <c r="BL2234" s="1176"/>
    </row>
    <row r="2235" spans="1:64" s="1177" customFormat="1">
      <c r="A2235" s="1058"/>
      <c r="B2235" s="1058"/>
      <c r="C2235" s="1817" t="s">
        <v>1317</v>
      </c>
      <c r="D2235" s="1062">
        <f t="shared" ref="D2235:I2235" si="520">$I$2231</f>
        <v>497.728362</v>
      </c>
      <c r="E2235" s="1062">
        <f t="shared" si="520"/>
        <v>497.728362</v>
      </c>
      <c r="F2235" s="1062">
        <f t="shared" si="520"/>
        <v>497.728362</v>
      </c>
      <c r="G2235" s="1062">
        <f t="shared" si="520"/>
        <v>497.728362</v>
      </c>
      <c r="H2235" s="1062">
        <f t="shared" si="520"/>
        <v>497.728362</v>
      </c>
      <c r="I2235" s="1062">
        <f t="shared" si="520"/>
        <v>497.728362</v>
      </c>
      <c r="J2235" s="999"/>
      <c r="K2235" s="999"/>
      <c r="L2235" s="999"/>
      <c r="M2235" s="1176"/>
      <c r="N2235" s="1176"/>
      <c r="O2235" s="1176"/>
      <c r="P2235" s="1176"/>
      <c r="Q2235" s="1176"/>
      <c r="R2235" s="1176"/>
      <c r="S2235" s="1176"/>
      <c r="T2235" s="1176"/>
      <c r="U2235" s="1176"/>
      <c r="V2235" s="1176"/>
      <c r="W2235" s="1176"/>
      <c r="X2235" s="1176"/>
      <c r="Y2235" s="1176"/>
      <c r="Z2235" s="1176"/>
      <c r="AA2235" s="1176"/>
      <c r="AB2235" s="1176"/>
      <c r="AC2235" s="1176"/>
      <c r="AD2235" s="1176"/>
      <c r="AE2235" s="1176"/>
      <c r="AF2235" s="1176"/>
      <c r="AG2235" s="1176"/>
      <c r="AH2235" s="1176"/>
      <c r="AI2235" s="1176"/>
      <c r="AJ2235" s="1176"/>
      <c r="AK2235" s="1176"/>
      <c r="AL2235" s="1176"/>
      <c r="AM2235" s="1176"/>
      <c r="AN2235" s="1176"/>
      <c r="AO2235" s="1176"/>
      <c r="AP2235" s="1176"/>
      <c r="AQ2235" s="1176"/>
      <c r="AR2235" s="1176"/>
      <c r="AS2235" s="1176"/>
      <c r="AT2235" s="1176"/>
      <c r="AU2235" s="1176"/>
      <c r="AV2235" s="1176"/>
      <c r="AW2235" s="1176"/>
      <c r="AX2235" s="1176"/>
      <c r="AY2235" s="1176"/>
      <c r="AZ2235" s="1176"/>
      <c r="BA2235" s="1176"/>
      <c r="BB2235" s="1176"/>
      <c r="BC2235" s="1176"/>
      <c r="BD2235" s="1176"/>
      <c r="BE2235" s="1176"/>
      <c r="BF2235" s="1176"/>
      <c r="BG2235" s="1176"/>
      <c r="BH2235" s="1176"/>
      <c r="BI2235" s="1176"/>
      <c r="BJ2235" s="1176"/>
      <c r="BK2235" s="1176"/>
      <c r="BL2235" s="1176"/>
    </row>
    <row r="2236" spans="1:64" s="1177" customFormat="1" ht="25.5">
      <c r="A2236" s="1058"/>
      <c r="B2236" s="1058"/>
      <c r="C2236" s="1817" t="s">
        <v>1344</v>
      </c>
      <c r="D2236" s="1062">
        <f>'Civil-SOR'!$F$280*50%</f>
        <v>88.5</v>
      </c>
      <c r="E2236" s="1062">
        <f>'Civil-SOR'!$F$280*50%</f>
        <v>88.5</v>
      </c>
      <c r="F2236" s="1062">
        <f>'Civil-SOR'!$F$280*50%</f>
        <v>88.5</v>
      </c>
      <c r="G2236" s="1062">
        <f>'Civil-SOR'!$F$280*50%</f>
        <v>88.5</v>
      </c>
      <c r="H2236" s="1062">
        <f>'Civil-SOR'!$F$280*50%</f>
        <v>88.5</v>
      </c>
      <c r="I2236" s="1062">
        <f>'Civil-SOR'!$F$280*50%</f>
        <v>88.5</v>
      </c>
      <c r="J2236" s="999"/>
      <c r="K2236" s="999"/>
      <c r="L2236" s="999"/>
      <c r="M2236" s="1176"/>
      <c r="N2236" s="1176"/>
      <c r="O2236" s="1176"/>
      <c r="P2236" s="1176"/>
      <c r="Q2236" s="1176"/>
      <c r="R2236" s="1176"/>
      <c r="S2236" s="1176"/>
      <c r="T2236" s="1176"/>
      <c r="U2236" s="1176"/>
      <c r="V2236" s="1176"/>
      <c r="W2236" s="1176"/>
      <c r="X2236" s="1176"/>
      <c r="Y2236" s="1176"/>
      <c r="Z2236" s="1176"/>
      <c r="AA2236" s="1176"/>
      <c r="AB2236" s="1176"/>
      <c r="AC2236" s="1176"/>
      <c r="AD2236" s="1176"/>
      <c r="AE2236" s="1176"/>
      <c r="AF2236" s="1176"/>
      <c r="AG2236" s="1176"/>
      <c r="AH2236" s="1176"/>
      <c r="AI2236" s="1176"/>
      <c r="AJ2236" s="1176"/>
      <c r="AK2236" s="1176"/>
      <c r="AL2236" s="1176"/>
      <c r="AM2236" s="1176"/>
      <c r="AN2236" s="1176"/>
      <c r="AO2236" s="1176"/>
      <c r="AP2236" s="1176"/>
      <c r="AQ2236" s="1176"/>
      <c r="AR2236" s="1176"/>
      <c r="AS2236" s="1176"/>
      <c r="AT2236" s="1176"/>
      <c r="AU2236" s="1176"/>
      <c r="AV2236" s="1176"/>
      <c r="AW2236" s="1176"/>
      <c r="AX2236" s="1176"/>
      <c r="AY2236" s="1176"/>
      <c r="AZ2236" s="1176"/>
      <c r="BA2236" s="1176"/>
      <c r="BB2236" s="1176"/>
      <c r="BC2236" s="1176"/>
      <c r="BD2236" s="1176"/>
      <c r="BE2236" s="1176"/>
      <c r="BF2236" s="1176"/>
      <c r="BG2236" s="1176"/>
      <c r="BH2236" s="1176"/>
      <c r="BI2236" s="1176"/>
      <c r="BJ2236" s="1176"/>
      <c r="BK2236" s="1176"/>
      <c r="BL2236" s="1176"/>
    </row>
    <row r="2237" spans="1:64" s="1177" customFormat="1">
      <c r="A2237" s="1058"/>
      <c r="B2237" s="1058"/>
      <c r="C2237" s="1817" t="s">
        <v>1269</v>
      </c>
      <c r="D2237" s="1062">
        <f>'Civil-SOR'!$G$280*50%</f>
        <v>99.5</v>
      </c>
      <c r="E2237" s="1062">
        <f>'Civil-SOR'!$H$280*50%</f>
        <v>109.5</v>
      </c>
      <c r="F2237" s="1062">
        <f>'Civil-SOR'!$I$280*50%</f>
        <v>119.5</v>
      </c>
      <c r="G2237" s="1062">
        <f>'Civil-SOR'!$J$280*50%</f>
        <v>129.5</v>
      </c>
      <c r="H2237" s="1062">
        <f>'Civil-SOR'!$K$280*50%</f>
        <v>139.5</v>
      </c>
      <c r="I2237" s="1062">
        <f>'Civil-SOR'!$L$280*50%</f>
        <v>149.5</v>
      </c>
      <c r="J2237" s="999"/>
      <c r="K2237" s="999"/>
      <c r="L2237" s="999"/>
      <c r="M2237" s="1176"/>
      <c r="N2237" s="1176"/>
      <c r="O2237" s="1176"/>
      <c r="P2237" s="1176"/>
      <c r="Q2237" s="1176"/>
      <c r="R2237" s="1176"/>
      <c r="S2237" s="1176"/>
      <c r="T2237" s="1176"/>
      <c r="U2237" s="1176"/>
      <c r="V2237" s="1176"/>
      <c r="W2237" s="1176"/>
      <c r="X2237" s="1176"/>
      <c r="Y2237" s="1176"/>
      <c r="Z2237" s="1176"/>
      <c r="AA2237" s="1176"/>
      <c r="AB2237" s="1176"/>
      <c r="AC2237" s="1176"/>
      <c r="AD2237" s="1176"/>
      <c r="AE2237" s="1176"/>
      <c r="AF2237" s="1176"/>
      <c r="AG2237" s="1176"/>
      <c r="AH2237" s="1176"/>
      <c r="AI2237" s="1176"/>
      <c r="AJ2237" s="1176"/>
      <c r="AK2237" s="1176"/>
      <c r="AL2237" s="1176"/>
      <c r="AM2237" s="1176"/>
      <c r="AN2237" s="1176"/>
      <c r="AO2237" s="1176"/>
      <c r="AP2237" s="1176"/>
      <c r="AQ2237" s="1176"/>
      <c r="AR2237" s="1176"/>
      <c r="AS2237" s="1176"/>
      <c r="AT2237" s="1176"/>
      <c r="AU2237" s="1176"/>
      <c r="AV2237" s="1176"/>
      <c r="AW2237" s="1176"/>
      <c r="AX2237" s="1176"/>
      <c r="AY2237" s="1176"/>
      <c r="AZ2237" s="1176"/>
      <c r="BA2237" s="1176"/>
      <c r="BB2237" s="1176"/>
      <c r="BC2237" s="1176"/>
      <c r="BD2237" s="1176"/>
      <c r="BE2237" s="1176"/>
      <c r="BF2237" s="1176"/>
      <c r="BG2237" s="1176"/>
      <c r="BH2237" s="1176"/>
      <c r="BI2237" s="1176"/>
      <c r="BJ2237" s="1176"/>
      <c r="BK2237" s="1176"/>
      <c r="BL2237" s="1176"/>
    </row>
    <row r="2238" spans="1:64" s="1177" customFormat="1">
      <c r="A2238" s="1058"/>
      <c r="B2238" s="1058"/>
      <c r="C2238" s="1817" t="str">
        <f>Input!$C$47</f>
        <v>Add for MA @ 40%</v>
      </c>
      <c r="D2238" s="1062">
        <f>D2237*Input!$D$47</f>
        <v>39.800000000000004</v>
      </c>
      <c r="E2238" s="1062">
        <f>E2237*Input!$D$47</f>
        <v>43.800000000000004</v>
      </c>
      <c r="F2238" s="1062">
        <f>F2237*Input!$D$47</f>
        <v>47.800000000000004</v>
      </c>
      <c r="G2238" s="1062">
        <f>G2237*Input!$D$47</f>
        <v>51.800000000000004</v>
      </c>
      <c r="H2238" s="1062">
        <f>H2237*Input!$D$47</f>
        <v>55.800000000000004</v>
      </c>
      <c r="I2238" s="1062">
        <f>I2237*Input!$D$47</f>
        <v>59.800000000000004</v>
      </c>
      <c r="J2238" s="999"/>
      <c r="K2238" s="999"/>
      <c r="L2238" s="999"/>
      <c r="M2238" s="1176"/>
      <c r="N2238" s="1176"/>
      <c r="O2238" s="1176"/>
      <c r="P2238" s="1176"/>
      <c r="Q2238" s="1176"/>
      <c r="R2238" s="1176"/>
      <c r="S2238" s="1176"/>
      <c r="T2238" s="1176"/>
      <c r="U2238" s="1176"/>
      <c r="V2238" s="1176"/>
      <c r="W2238" s="1176"/>
      <c r="X2238" s="1176"/>
      <c r="Y2238" s="1176"/>
      <c r="Z2238" s="1176"/>
      <c r="AA2238" s="1176"/>
      <c r="AB2238" s="1176"/>
      <c r="AC2238" s="1176"/>
      <c r="AD2238" s="1176"/>
      <c r="AE2238" s="1176"/>
      <c r="AF2238" s="1176"/>
      <c r="AG2238" s="1176"/>
      <c r="AH2238" s="1176"/>
      <c r="AI2238" s="1176"/>
      <c r="AJ2238" s="1176"/>
      <c r="AK2238" s="1176"/>
      <c r="AL2238" s="1176"/>
      <c r="AM2238" s="1176"/>
      <c r="AN2238" s="1176"/>
      <c r="AO2238" s="1176"/>
      <c r="AP2238" s="1176"/>
      <c r="AQ2238" s="1176"/>
      <c r="AR2238" s="1176"/>
      <c r="AS2238" s="1176"/>
      <c r="AT2238" s="1176"/>
      <c r="AU2238" s="1176"/>
      <c r="AV2238" s="1176"/>
      <c r="AW2238" s="1176"/>
      <c r="AX2238" s="1176"/>
      <c r="AY2238" s="1176"/>
      <c r="AZ2238" s="1176"/>
      <c r="BA2238" s="1176"/>
      <c r="BB2238" s="1176"/>
      <c r="BC2238" s="1176"/>
      <c r="BD2238" s="1176"/>
      <c r="BE2238" s="1176"/>
      <c r="BF2238" s="1176"/>
      <c r="BG2238" s="1176"/>
      <c r="BH2238" s="1176"/>
      <c r="BI2238" s="1176"/>
      <c r="BJ2238" s="1176"/>
      <c r="BK2238" s="1176"/>
      <c r="BL2238" s="1176"/>
    </row>
    <row r="2239" spans="1:64" s="1177" customFormat="1">
      <c r="A2239" s="1058"/>
      <c r="B2239" s="1058"/>
      <c r="C2239" s="1817" t="s">
        <v>1253</v>
      </c>
      <c r="D2239" s="1062">
        <v>0</v>
      </c>
      <c r="E2239" s="1062">
        <f>$F$2206*10%*$D$2215</f>
        <v>8.5602500000000017</v>
      </c>
      <c r="F2239" s="1062">
        <f>$F$2206*20%*$D$2215</f>
        <v>17.120500000000003</v>
      </c>
      <c r="G2239" s="1062">
        <f>$F$2206*30%*$D$2215</f>
        <v>25.680750000000003</v>
      </c>
      <c r="H2239" s="1062">
        <f>$F$2206*40%*$D$2215</f>
        <v>34.241000000000007</v>
      </c>
      <c r="I2239" s="1062">
        <f>$F$2206*50%*$D$2215</f>
        <v>42.801250000000003</v>
      </c>
      <c r="J2239" s="999"/>
      <c r="K2239" s="999"/>
      <c r="L2239" s="999"/>
      <c r="M2239" s="1176"/>
      <c r="N2239" s="1176"/>
      <c r="O2239" s="1176"/>
      <c r="P2239" s="1176"/>
      <c r="Q2239" s="1176"/>
      <c r="R2239" s="1176"/>
      <c r="S2239" s="1176"/>
      <c r="T2239" s="1176"/>
      <c r="U2239" s="1176"/>
      <c r="V2239" s="1176"/>
      <c r="W2239" s="1176"/>
      <c r="X2239" s="1176"/>
      <c r="Y2239" s="1176"/>
      <c r="Z2239" s="1176"/>
      <c r="AA2239" s="1176"/>
      <c r="AB2239" s="1176"/>
      <c r="AC2239" s="1176"/>
      <c r="AD2239" s="1176"/>
      <c r="AE2239" s="1176"/>
      <c r="AF2239" s="1176"/>
      <c r="AG2239" s="1176"/>
      <c r="AH2239" s="1176"/>
      <c r="AI2239" s="1176"/>
      <c r="AJ2239" s="1176"/>
      <c r="AK2239" s="1176"/>
      <c r="AL2239" s="1176"/>
      <c r="AM2239" s="1176"/>
      <c r="AN2239" s="1176"/>
      <c r="AO2239" s="1176"/>
      <c r="AP2239" s="1176"/>
      <c r="AQ2239" s="1176"/>
      <c r="AR2239" s="1176"/>
      <c r="AS2239" s="1176"/>
      <c r="AT2239" s="1176"/>
      <c r="AU2239" s="1176"/>
      <c r="AV2239" s="1176"/>
      <c r="AW2239" s="1176"/>
      <c r="AX2239" s="1176"/>
      <c r="AY2239" s="1176"/>
      <c r="AZ2239" s="1176"/>
      <c r="BA2239" s="1176"/>
      <c r="BB2239" s="1176"/>
      <c r="BC2239" s="1176"/>
      <c r="BD2239" s="1176"/>
      <c r="BE2239" s="1176"/>
      <c r="BF2239" s="1176"/>
      <c r="BG2239" s="1176"/>
      <c r="BH2239" s="1176"/>
      <c r="BI2239" s="1176"/>
      <c r="BJ2239" s="1176"/>
      <c r="BK2239" s="1176"/>
      <c r="BL2239" s="1176"/>
    </row>
    <row r="2240" spans="1:64" s="1177" customFormat="1">
      <c r="A2240" s="1058"/>
      <c r="B2240" s="1058"/>
      <c r="C2240" s="1817" t="str">
        <f>Input!$C$47</f>
        <v>Add for MA @ 40%</v>
      </c>
      <c r="D2240" s="1062">
        <f>D2239*Input!$D$47</f>
        <v>0</v>
      </c>
      <c r="E2240" s="1062">
        <f>E2239*Input!$D$47</f>
        <v>3.424100000000001</v>
      </c>
      <c r="F2240" s="1062">
        <f>F2239*Input!$D$47</f>
        <v>6.8482000000000021</v>
      </c>
      <c r="G2240" s="1062">
        <f>G2239*Input!$D$47</f>
        <v>10.272300000000001</v>
      </c>
      <c r="H2240" s="1062">
        <f>H2239*Input!$D$47</f>
        <v>13.696400000000004</v>
      </c>
      <c r="I2240" s="1062">
        <f>I2239*Input!$D$47</f>
        <v>17.120500000000003</v>
      </c>
      <c r="J2240" s="999"/>
      <c r="K2240" s="999"/>
      <c r="L2240" s="999"/>
      <c r="M2240" s="1176"/>
      <c r="N2240" s="1176"/>
      <c r="O2240" s="1176"/>
      <c r="P2240" s="1176"/>
      <c r="Q2240" s="1176"/>
      <c r="R2240" s="1176"/>
      <c r="S2240" s="1176"/>
      <c r="T2240" s="1176"/>
      <c r="U2240" s="1176"/>
      <c r="V2240" s="1176"/>
      <c r="W2240" s="1176"/>
      <c r="X2240" s="1176"/>
      <c r="Y2240" s="1176"/>
      <c r="Z2240" s="1176"/>
      <c r="AA2240" s="1176"/>
      <c r="AB2240" s="1176"/>
      <c r="AC2240" s="1176"/>
      <c r="AD2240" s="1176"/>
      <c r="AE2240" s="1176"/>
      <c r="AF2240" s="1176"/>
      <c r="AG2240" s="1176"/>
      <c r="AH2240" s="1176"/>
      <c r="AI2240" s="1176"/>
      <c r="AJ2240" s="1176"/>
      <c r="AK2240" s="1176"/>
      <c r="AL2240" s="1176"/>
      <c r="AM2240" s="1176"/>
      <c r="AN2240" s="1176"/>
      <c r="AO2240" s="1176"/>
      <c r="AP2240" s="1176"/>
      <c r="AQ2240" s="1176"/>
      <c r="AR2240" s="1176"/>
      <c r="AS2240" s="1176"/>
      <c r="AT2240" s="1176"/>
      <c r="AU2240" s="1176"/>
      <c r="AV2240" s="1176"/>
      <c r="AW2240" s="1176"/>
      <c r="AX2240" s="1176"/>
      <c r="AY2240" s="1176"/>
      <c r="AZ2240" s="1176"/>
      <c r="BA2240" s="1176"/>
      <c r="BB2240" s="1176"/>
      <c r="BC2240" s="1176"/>
      <c r="BD2240" s="1176"/>
      <c r="BE2240" s="1176"/>
      <c r="BF2240" s="1176"/>
      <c r="BG2240" s="1176"/>
      <c r="BH2240" s="1176"/>
      <c r="BI2240" s="1176"/>
      <c r="BJ2240" s="1176"/>
      <c r="BK2240" s="1176"/>
      <c r="BL2240" s="1176"/>
    </row>
    <row r="2241" spans="1:64" s="1177" customFormat="1">
      <c r="A2241" s="1058"/>
      <c r="B2241" s="1058"/>
      <c r="C2241" s="1817" t="s">
        <v>1045</v>
      </c>
      <c r="D2241" s="1065">
        <f t="shared" ref="D2241:I2241" si="521">SUM(D2235:D2240)</f>
        <v>725.52836200000002</v>
      </c>
      <c r="E2241" s="1065">
        <f t="shared" si="521"/>
        <v>751.51271199999996</v>
      </c>
      <c r="F2241" s="1065">
        <f t="shared" si="521"/>
        <v>777.49706200000003</v>
      </c>
      <c r="G2241" s="1065">
        <f t="shared" si="521"/>
        <v>803.48141199999998</v>
      </c>
      <c r="H2241" s="1065">
        <f t="shared" si="521"/>
        <v>829.46576200000004</v>
      </c>
      <c r="I2241" s="1065">
        <f t="shared" si="521"/>
        <v>855.45011199999999</v>
      </c>
      <c r="J2241" s="999"/>
      <c r="K2241" s="999"/>
      <c r="L2241" s="999"/>
      <c r="M2241" s="1176"/>
      <c r="N2241" s="1176"/>
      <c r="O2241" s="1176"/>
      <c r="P2241" s="1176"/>
      <c r="Q2241" s="1176"/>
      <c r="R2241" s="1176"/>
      <c r="S2241" s="1176"/>
      <c r="T2241" s="1176"/>
      <c r="U2241" s="1176"/>
      <c r="V2241" s="1176"/>
      <c r="W2241" s="1176"/>
      <c r="X2241" s="1176"/>
      <c r="Y2241" s="1176"/>
      <c r="Z2241" s="1176"/>
      <c r="AA2241" s="1176"/>
      <c r="AB2241" s="1176"/>
      <c r="AC2241" s="1176"/>
      <c r="AD2241" s="1176"/>
      <c r="AE2241" s="1176"/>
      <c r="AF2241" s="1176"/>
      <c r="AG2241" s="1176"/>
      <c r="AH2241" s="1176"/>
      <c r="AI2241" s="1176"/>
      <c r="AJ2241" s="1176"/>
      <c r="AK2241" s="1176"/>
      <c r="AL2241" s="1176"/>
      <c r="AM2241" s="1176"/>
      <c r="AN2241" s="1176"/>
      <c r="AO2241" s="1176"/>
      <c r="AP2241" s="1176"/>
      <c r="AQ2241" s="1176"/>
      <c r="AR2241" s="1176"/>
      <c r="AS2241" s="1176"/>
      <c r="AT2241" s="1176"/>
      <c r="AU2241" s="1176"/>
      <c r="AV2241" s="1176"/>
      <c r="AW2241" s="1176"/>
      <c r="AX2241" s="1176"/>
      <c r="AY2241" s="1176"/>
      <c r="AZ2241" s="1176"/>
      <c r="BA2241" s="1176"/>
      <c r="BB2241" s="1176"/>
      <c r="BC2241" s="1176"/>
      <c r="BD2241" s="1176"/>
      <c r="BE2241" s="1176"/>
      <c r="BF2241" s="1176"/>
      <c r="BG2241" s="1176"/>
      <c r="BH2241" s="1176"/>
      <c r="BI2241" s="1176"/>
      <c r="BJ2241" s="1176"/>
      <c r="BK2241" s="1176"/>
      <c r="BL2241" s="1176"/>
    </row>
    <row r="2242" spans="1:64" s="1177" customFormat="1">
      <c r="A2242" s="1058"/>
      <c r="B2242" s="1058"/>
      <c r="C2242" s="1828" t="str">
        <f>Input!$C$48</f>
        <v>Overheads &amp; Contractors Profit @ 13.615%</v>
      </c>
      <c r="D2242" s="1062">
        <f>D2241*Input!$D$48</f>
        <v>98.780686486299999</v>
      </c>
      <c r="E2242" s="1062">
        <f>E2241*Input!$D$48</f>
        <v>102.31845573879998</v>
      </c>
      <c r="F2242" s="1062">
        <f>F2241*Input!$D$48</f>
        <v>105.8562249913</v>
      </c>
      <c r="G2242" s="1062">
        <f>G2241*Input!$D$48</f>
        <v>109.39399424379999</v>
      </c>
      <c r="H2242" s="1062">
        <f>H2241*Input!$D$48</f>
        <v>112.93176349629999</v>
      </c>
      <c r="I2242" s="1062">
        <f>I2241*Input!$D$48</f>
        <v>116.46953274879999</v>
      </c>
      <c r="J2242" s="999"/>
      <c r="K2242" s="999"/>
      <c r="L2242" s="999"/>
      <c r="M2242" s="1176"/>
      <c r="N2242" s="1176"/>
      <c r="O2242" s="1176"/>
      <c r="P2242" s="1176"/>
      <c r="Q2242" s="1176"/>
      <c r="R2242" s="1176"/>
      <c r="S2242" s="1176"/>
      <c r="T2242" s="1176"/>
      <c r="U2242" s="1176"/>
      <c r="V2242" s="1176"/>
      <c r="W2242" s="1176"/>
      <c r="X2242" s="1176"/>
      <c r="Y2242" s="1176"/>
      <c r="Z2242" s="1176"/>
      <c r="AA2242" s="1176"/>
      <c r="AB2242" s="1176"/>
      <c r="AC2242" s="1176"/>
      <c r="AD2242" s="1176"/>
      <c r="AE2242" s="1176"/>
      <c r="AF2242" s="1176"/>
      <c r="AG2242" s="1176"/>
      <c r="AH2242" s="1176"/>
      <c r="AI2242" s="1176"/>
      <c r="AJ2242" s="1176"/>
      <c r="AK2242" s="1176"/>
      <c r="AL2242" s="1176"/>
      <c r="AM2242" s="1176"/>
      <c r="AN2242" s="1176"/>
      <c r="AO2242" s="1176"/>
      <c r="AP2242" s="1176"/>
      <c r="AQ2242" s="1176"/>
      <c r="AR2242" s="1176"/>
      <c r="AS2242" s="1176"/>
      <c r="AT2242" s="1176"/>
      <c r="AU2242" s="1176"/>
      <c r="AV2242" s="1176"/>
      <c r="AW2242" s="1176"/>
      <c r="AX2242" s="1176"/>
      <c r="AY2242" s="1176"/>
      <c r="AZ2242" s="1176"/>
      <c r="BA2242" s="1176"/>
      <c r="BB2242" s="1176"/>
      <c r="BC2242" s="1176"/>
      <c r="BD2242" s="1176"/>
      <c r="BE2242" s="1176"/>
      <c r="BF2242" s="1176"/>
      <c r="BG2242" s="1176"/>
      <c r="BH2242" s="1176"/>
      <c r="BI2242" s="1176"/>
      <c r="BJ2242" s="1176"/>
      <c r="BK2242" s="1176"/>
      <c r="BL2242" s="1176"/>
    </row>
    <row r="2243" spans="1:64" s="1177" customFormat="1">
      <c r="A2243" s="1172"/>
      <c r="B2243" s="1172"/>
      <c r="C2243" s="1816" t="s">
        <v>1045</v>
      </c>
      <c r="D2243" s="1174">
        <f t="shared" ref="D2243:I2243" si="522">SUM(D2241:D2242)</f>
        <v>824.30904848630007</v>
      </c>
      <c r="E2243" s="1174">
        <f t="shared" si="522"/>
        <v>853.83116773879999</v>
      </c>
      <c r="F2243" s="1174">
        <f t="shared" si="522"/>
        <v>883.35328699130002</v>
      </c>
      <c r="G2243" s="1174">
        <f t="shared" si="522"/>
        <v>912.87540624379994</v>
      </c>
      <c r="H2243" s="1174">
        <f t="shared" si="522"/>
        <v>942.39752549629998</v>
      </c>
      <c r="I2243" s="1174">
        <f t="shared" si="522"/>
        <v>971.91964474880001</v>
      </c>
      <c r="J2243" s="999"/>
      <c r="K2243" s="999"/>
      <c r="L2243" s="999"/>
      <c r="M2243" s="1176"/>
      <c r="N2243" s="1176"/>
      <c r="O2243" s="1176"/>
      <c r="P2243" s="1176"/>
      <c r="Q2243" s="1176"/>
      <c r="R2243" s="1176"/>
      <c r="S2243" s="1176"/>
      <c r="T2243" s="1176"/>
      <c r="U2243" s="1176"/>
      <c r="V2243" s="1176"/>
      <c r="W2243" s="1176"/>
      <c r="X2243" s="1176"/>
      <c r="Y2243" s="1176"/>
      <c r="Z2243" s="1176"/>
      <c r="AA2243" s="1176"/>
      <c r="AB2243" s="1176"/>
      <c r="AC2243" s="1176"/>
      <c r="AD2243" s="1176"/>
      <c r="AE2243" s="1176"/>
      <c r="AF2243" s="1176"/>
      <c r="AG2243" s="1176"/>
      <c r="AH2243" s="1176"/>
      <c r="AI2243" s="1176"/>
      <c r="AJ2243" s="1176"/>
      <c r="AK2243" s="1176"/>
      <c r="AL2243" s="1176"/>
      <c r="AM2243" s="1176"/>
      <c r="AN2243" s="1176"/>
      <c r="AO2243" s="1176"/>
      <c r="AP2243" s="1176"/>
      <c r="AQ2243" s="1176"/>
      <c r="AR2243" s="1176"/>
      <c r="AS2243" s="1176"/>
      <c r="AT2243" s="1176"/>
      <c r="AU2243" s="1176"/>
      <c r="AV2243" s="1176"/>
      <c r="AW2243" s="1176"/>
      <c r="AX2243" s="1176"/>
      <c r="AY2243" s="1176"/>
      <c r="AZ2243" s="1176"/>
      <c r="BA2243" s="1176"/>
      <c r="BB2243" s="1176"/>
      <c r="BC2243" s="1176"/>
      <c r="BD2243" s="1176"/>
      <c r="BE2243" s="1176"/>
      <c r="BF2243" s="1176"/>
      <c r="BG2243" s="1176"/>
      <c r="BH2243" s="1176"/>
      <c r="BI2243" s="1176"/>
      <c r="BJ2243" s="1176"/>
      <c r="BK2243" s="1176"/>
      <c r="BL2243" s="1176"/>
    </row>
    <row r="2244" spans="1:64" s="1177" customFormat="1">
      <c r="A2244" s="1086"/>
      <c r="B2244" s="1086"/>
      <c r="C2244" s="1843" t="s">
        <v>1034</v>
      </c>
      <c r="D2244" s="999">
        <f t="shared" ref="D2244:I2244" si="523">ROUND(D2243,0)</f>
        <v>824</v>
      </c>
      <c r="E2244" s="999">
        <f t="shared" si="523"/>
        <v>854</v>
      </c>
      <c r="F2244" s="999">
        <f t="shared" si="523"/>
        <v>883</v>
      </c>
      <c r="G2244" s="999">
        <f t="shared" si="523"/>
        <v>913</v>
      </c>
      <c r="H2244" s="999">
        <f t="shared" si="523"/>
        <v>942</v>
      </c>
      <c r="I2244" s="999">
        <f t="shared" si="523"/>
        <v>972</v>
      </c>
      <c r="J2244" s="999"/>
      <c r="K2244" s="999"/>
      <c r="L2244" s="999"/>
      <c r="M2244" s="1176"/>
      <c r="N2244" s="1176"/>
      <c r="O2244" s="1176"/>
      <c r="P2244" s="1176"/>
      <c r="Q2244" s="1176"/>
      <c r="R2244" s="1176"/>
      <c r="S2244" s="1176"/>
      <c r="T2244" s="1176"/>
      <c r="U2244" s="1176"/>
      <c r="V2244" s="1176"/>
      <c r="W2244" s="1176"/>
      <c r="X2244" s="1176"/>
      <c r="Y2244" s="1176"/>
      <c r="Z2244" s="1176"/>
      <c r="AA2244" s="1176"/>
      <c r="AB2244" s="1176"/>
      <c r="AC2244" s="1176"/>
      <c r="AD2244" s="1176"/>
      <c r="AE2244" s="1176"/>
      <c r="AF2244" s="1176"/>
      <c r="AG2244" s="1176"/>
      <c r="AH2244" s="1176"/>
      <c r="AI2244" s="1176"/>
      <c r="AJ2244" s="1176"/>
      <c r="AK2244" s="1176"/>
      <c r="AL2244" s="1176"/>
      <c r="AM2244" s="1176"/>
      <c r="AN2244" s="1176"/>
      <c r="AO2244" s="1176"/>
      <c r="AP2244" s="1176"/>
      <c r="AQ2244" s="1176"/>
      <c r="AR2244" s="1176"/>
      <c r="AS2244" s="1176"/>
      <c r="AT2244" s="1176"/>
      <c r="AU2244" s="1176"/>
      <c r="AV2244" s="1176"/>
      <c r="AW2244" s="1176"/>
      <c r="AX2244" s="1176"/>
      <c r="AY2244" s="1176"/>
      <c r="AZ2244" s="1176"/>
      <c r="BA2244" s="1176"/>
      <c r="BB2244" s="1176"/>
      <c r="BC2244" s="1176"/>
      <c r="BD2244" s="1176"/>
      <c r="BE2244" s="1176"/>
      <c r="BF2244" s="1176"/>
      <c r="BG2244" s="1176"/>
      <c r="BH2244" s="1176"/>
      <c r="BI2244" s="1176"/>
      <c r="BJ2244" s="1176"/>
      <c r="BK2244" s="1176"/>
      <c r="BL2244" s="1176"/>
    </row>
    <row r="2245" spans="1:64" s="1177" customFormat="1">
      <c r="A2245" s="1086"/>
      <c r="B2245" s="1086"/>
      <c r="C2245" s="1843"/>
      <c r="D2245" s="999"/>
      <c r="E2245" s="999"/>
      <c r="F2245" s="999"/>
      <c r="G2245" s="999"/>
      <c r="H2245" s="999"/>
      <c r="I2245" s="999"/>
      <c r="J2245" s="999"/>
      <c r="K2245" s="999"/>
      <c r="L2245" s="999"/>
      <c r="M2245" s="1176"/>
      <c r="N2245" s="1176"/>
      <c r="O2245" s="1176"/>
      <c r="P2245" s="1176"/>
      <c r="Q2245" s="1176"/>
      <c r="R2245" s="1176"/>
      <c r="S2245" s="1176"/>
      <c r="T2245" s="1176"/>
      <c r="U2245" s="1176"/>
      <c r="V2245" s="1176"/>
      <c r="W2245" s="1176"/>
      <c r="X2245" s="1176"/>
      <c r="Y2245" s="1176"/>
      <c r="Z2245" s="1176"/>
      <c r="AA2245" s="1176"/>
      <c r="AB2245" s="1176"/>
      <c r="AC2245" s="1176"/>
      <c r="AD2245" s="1176"/>
      <c r="AE2245" s="1176"/>
      <c r="AF2245" s="1176"/>
      <c r="AG2245" s="1176"/>
      <c r="AH2245" s="1176"/>
      <c r="AI2245" s="1176"/>
      <c r="AJ2245" s="1176"/>
      <c r="AK2245" s="1176"/>
      <c r="AL2245" s="1176"/>
      <c r="AM2245" s="1176"/>
      <c r="AN2245" s="1176"/>
      <c r="AO2245" s="1176"/>
      <c r="AP2245" s="1176"/>
      <c r="AQ2245" s="1176"/>
      <c r="AR2245" s="1176"/>
      <c r="AS2245" s="1176"/>
      <c r="AT2245" s="1176"/>
      <c r="AU2245" s="1176"/>
      <c r="AV2245" s="1176"/>
      <c r="AW2245" s="1176"/>
      <c r="AX2245" s="1176"/>
      <c r="AY2245" s="1176"/>
      <c r="AZ2245" s="1176"/>
      <c r="BA2245" s="1176"/>
      <c r="BB2245" s="1176"/>
      <c r="BC2245" s="1176"/>
      <c r="BD2245" s="1176"/>
      <c r="BE2245" s="1176"/>
      <c r="BF2245" s="1176"/>
      <c r="BG2245" s="1176"/>
      <c r="BH2245" s="1176"/>
      <c r="BI2245" s="1176"/>
      <c r="BJ2245" s="1176"/>
      <c r="BK2245" s="1176"/>
      <c r="BL2245" s="1176"/>
    </row>
    <row r="2246" spans="1:64" s="1177" customFormat="1">
      <c r="A2246" s="1818"/>
      <c r="B2246" s="1106" t="s">
        <v>297</v>
      </c>
      <c r="C2246" s="1816" t="s">
        <v>1345</v>
      </c>
      <c r="D2246" s="1161"/>
      <c r="E2246" s="1161"/>
      <c r="F2246" s="1162"/>
      <c r="G2246" s="1105"/>
      <c r="H2246" s="1161"/>
      <c r="I2246" s="1080"/>
      <c r="J2246" s="999"/>
      <c r="K2246" s="999"/>
      <c r="L2246" s="999"/>
      <c r="M2246" s="1176"/>
      <c r="N2246" s="1176"/>
      <c r="O2246" s="1176"/>
      <c r="P2246" s="1176"/>
      <c r="Q2246" s="1176"/>
      <c r="R2246" s="1176"/>
      <c r="S2246" s="1176"/>
      <c r="T2246" s="1176"/>
      <c r="U2246" s="1176"/>
      <c r="V2246" s="1176"/>
      <c r="W2246" s="1176"/>
      <c r="X2246" s="1176"/>
      <c r="Y2246" s="1176"/>
      <c r="Z2246" s="1176"/>
      <c r="AA2246" s="1176"/>
      <c r="AB2246" s="1176"/>
      <c r="AC2246" s="1176"/>
      <c r="AD2246" s="1176"/>
      <c r="AE2246" s="1176"/>
      <c r="AF2246" s="1176"/>
      <c r="AG2246" s="1176"/>
      <c r="AH2246" s="1176"/>
      <c r="AI2246" s="1176"/>
      <c r="AJ2246" s="1176"/>
      <c r="AK2246" s="1176"/>
      <c r="AL2246" s="1176"/>
      <c r="AM2246" s="1176"/>
      <c r="AN2246" s="1176"/>
      <c r="AO2246" s="1176"/>
      <c r="AP2246" s="1176"/>
      <c r="AQ2246" s="1176"/>
      <c r="AR2246" s="1176"/>
      <c r="AS2246" s="1176"/>
      <c r="AT2246" s="1176"/>
      <c r="AU2246" s="1176"/>
      <c r="AV2246" s="1176"/>
      <c r="AW2246" s="1176"/>
      <c r="AX2246" s="1176"/>
      <c r="AY2246" s="1176"/>
      <c r="AZ2246" s="1176"/>
      <c r="BA2246" s="1176"/>
      <c r="BB2246" s="1176"/>
      <c r="BC2246" s="1176"/>
      <c r="BD2246" s="1176"/>
      <c r="BE2246" s="1176"/>
      <c r="BF2246" s="1176"/>
      <c r="BG2246" s="1176"/>
      <c r="BH2246" s="1176"/>
      <c r="BI2246" s="1176"/>
      <c r="BJ2246" s="1176"/>
      <c r="BK2246" s="1176"/>
      <c r="BL2246" s="1176"/>
    </row>
    <row r="2247" spans="1:64" s="1177" customFormat="1">
      <c r="A2247" s="1818"/>
      <c r="B2247" s="1818"/>
      <c r="C2247" s="1817" t="s">
        <v>1337</v>
      </c>
      <c r="D2247" s="1132">
        <v>2.5000000000000001E-2</v>
      </c>
      <c r="E2247" s="1175" t="s">
        <v>75</v>
      </c>
      <c r="F2247" s="1021">
        <f>$I$2212</f>
        <v>6636.3781600000002</v>
      </c>
      <c r="G2247" s="1105">
        <v>1</v>
      </c>
      <c r="H2247" s="1175" t="s">
        <v>75</v>
      </c>
      <c r="I2247" s="1030">
        <f>IF(G2247="",D2247*F2247,(D2247*F2247/G2247))</f>
        <v>165.90945400000001</v>
      </c>
      <c r="J2247" s="999"/>
      <c r="K2247" s="999"/>
      <c r="L2247" s="999"/>
      <c r="M2247" s="1176"/>
      <c r="N2247" s="1176"/>
      <c r="O2247" s="1176"/>
      <c r="P2247" s="1176"/>
      <c r="Q2247" s="1176"/>
      <c r="R2247" s="1176"/>
      <c r="S2247" s="1176"/>
      <c r="T2247" s="1176"/>
      <c r="U2247" s="1176"/>
      <c r="V2247" s="1176"/>
      <c r="W2247" s="1176"/>
      <c r="X2247" s="1176"/>
      <c r="Y2247" s="1176"/>
      <c r="Z2247" s="1176"/>
      <c r="AA2247" s="1176"/>
      <c r="AB2247" s="1176"/>
      <c r="AC2247" s="1176"/>
      <c r="AD2247" s="1176"/>
      <c r="AE2247" s="1176"/>
      <c r="AF2247" s="1176"/>
      <c r="AG2247" s="1176"/>
      <c r="AH2247" s="1176"/>
      <c r="AI2247" s="1176"/>
      <c r="AJ2247" s="1176"/>
      <c r="AK2247" s="1176"/>
      <c r="AL2247" s="1176"/>
      <c r="AM2247" s="1176"/>
      <c r="AN2247" s="1176"/>
      <c r="AO2247" s="1176"/>
      <c r="AP2247" s="1176"/>
      <c r="AQ2247" s="1176"/>
      <c r="AR2247" s="1176"/>
      <c r="AS2247" s="1176"/>
      <c r="AT2247" s="1176"/>
      <c r="AU2247" s="1176"/>
      <c r="AV2247" s="1176"/>
      <c r="AW2247" s="1176"/>
      <c r="AX2247" s="1176"/>
      <c r="AY2247" s="1176"/>
      <c r="AZ2247" s="1176"/>
      <c r="BA2247" s="1176"/>
      <c r="BB2247" s="1176"/>
      <c r="BC2247" s="1176"/>
      <c r="BD2247" s="1176"/>
      <c r="BE2247" s="1176"/>
      <c r="BF2247" s="1176"/>
      <c r="BG2247" s="1176"/>
      <c r="BH2247" s="1176"/>
      <c r="BI2247" s="1176"/>
      <c r="BJ2247" s="1176"/>
      <c r="BK2247" s="1176"/>
      <c r="BL2247" s="1176"/>
    </row>
    <row r="2248" spans="1:64" s="1177" customFormat="1">
      <c r="A2248" s="1818"/>
      <c r="B2248" s="1818"/>
      <c r="C2248" s="1817" t="s">
        <v>1346</v>
      </c>
      <c r="D2248" s="1161"/>
      <c r="E2248" s="1161"/>
      <c r="F2248" s="1162"/>
      <c r="G2248" s="1105"/>
      <c r="H2248" s="1161"/>
      <c r="I2248" s="1080">
        <f>SUM(I2247:I2247)</f>
        <v>165.90945400000001</v>
      </c>
      <c r="J2248" s="999"/>
      <c r="K2248" s="999"/>
      <c r="L2248" s="999"/>
      <c r="M2248" s="1176"/>
      <c r="N2248" s="1176"/>
      <c r="O2248" s="1176"/>
      <c r="P2248" s="1176"/>
      <c r="Q2248" s="1176"/>
      <c r="R2248" s="1176"/>
      <c r="S2248" s="1176"/>
      <c r="T2248" s="1176"/>
      <c r="U2248" s="1176"/>
      <c r="V2248" s="1176"/>
      <c r="W2248" s="1176"/>
      <c r="X2248" s="1176"/>
      <c r="Y2248" s="1176"/>
      <c r="Z2248" s="1176"/>
      <c r="AA2248" s="1176"/>
      <c r="AB2248" s="1176"/>
      <c r="AC2248" s="1176"/>
      <c r="AD2248" s="1176"/>
      <c r="AE2248" s="1176"/>
      <c r="AF2248" s="1176"/>
      <c r="AG2248" s="1176"/>
      <c r="AH2248" s="1176"/>
      <c r="AI2248" s="1176"/>
      <c r="AJ2248" s="1176"/>
      <c r="AK2248" s="1176"/>
      <c r="AL2248" s="1176"/>
      <c r="AM2248" s="1176"/>
      <c r="AN2248" s="1176"/>
      <c r="AO2248" s="1176"/>
      <c r="AP2248" s="1176"/>
      <c r="AQ2248" s="1176"/>
      <c r="AR2248" s="1176"/>
      <c r="AS2248" s="1176"/>
      <c r="AT2248" s="1176"/>
      <c r="AU2248" s="1176"/>
      <c r="AV2248" s="1176"/>
      <c r="AW2248" s="1176"/>
      <c r="AX2248" s="1176"/>
      <c r="AY2248" s="1176"/>
      <c r="AZ2248" s="1176"/>
      <c r="BA2248" s="1176"/>
      <c r="BB2248" s="1176"/>
      <c r="BC2248" s="1176"/>
      <c r="BD2248" s="1176"/>
      <c r="BE2248" s="1176"/>
      <c r="BF2248" s="1176"/>
      <c r="BG2248" s="1176"/>
      <c r="BH2248" s="1176"/>
      <c r="BI2248" s="1176"/>
      <c r="BJ2248" s="1176"/>
      <c r="BK2248" s="1176"/>
      <c r="BL2248" s="1176"/>
    </row>
    <row r="2249" spans="1:64" s="1177" customFormat="1">
      <c r="A2249" s="1818"/>
      <c r="B2249" s="1818"/>
      <c r="C2249" s="1816"/>
      <c r="D2249" s="1114"/>
      <c r="E2249" s="1114"/>
      <c r="F2249" s="1114"/>
      <c r="G2249" s="1114"/>
      <c r="H2249" s="1114"/>
      <c r="I2249" s="1011"/>
      <c r="J2249" s="999"/>
      <c r="K2249" s="999"/>
      <c r="L2249" s="999"/>
      <c r="M2249" s="1176"/>
      <c r="N2249" s="1176"/>
      <c r="O2249" s="1176"/>
      <c r="P2249" s="1176"/>
      <c r="Q2249" s="1176"/>
      <c r="R2249" s="1176"/>
      <c r="S2249" s="1176"/>
      <c r="T2249" s="1176"/>
      <c r="U2249" s="1176"/>
      <c r="V2249" s="1176"/>
      <c r="W2249" s="1176"/>
      <c r="X2249" s="1176"/>
      <c r="Y2249" s="1176"/>
      <c r="Z2249" s="1176"/>
      <c r="AA2249" s="1176"/>
      <c r="AB2249" s="1176"/>
      <c r="AC2249" s="1176"/>
      <c r="AD2249" s="1176"/>
      <c r="AE2249" s="1176"/>
      <c r="AF2249" s="1176"/>
      <c r="AG2249" s="1176"/>
      <c r="AH2249" s="1176"/>
      <c r="AI2249" s="1176"/>
      <c r="AJ2249" s="1176"/>
      <c r="AK2249" s="1176"/>
      <c r="AL2249" s="1176"/>
      <c r="AM2249" s="1176"/>
      <c r="AN2249" s="1176"/>
      <c r="AO2249" s="1176"/>
      <c r="AP2249" s="1176"/>
      <c r="AQ2249" s="1176"/>
      <c r="AR2249" s="1176"/>
      <c r="AS2249" s="1176"/>
      <c r="AT2249" s="1176"/>
      <c r="AU2249" s="1176"/>
      <c r="AV2249" s="1176"/>
      <c r="AW2249" s="1176"/>
      <c r="AX2249" s="1176"/>
      <c r="AY2249" s="1176"/>
      <c r="AZ2249" s="1176"/>
      <c r="BA2249" s="1176"/>
      <c r="BB2249" s="1176"/>
      <c r="BC2249" s="1176"/>
      <c r="BD2249" s="1176"/>
      <c r="BE2249" s="1176"/>
      <c r="BF2249" s="1176"/>
      <c r="BG2249" s="1176"/>
      <c r="BH2249" s="1176"/>
      <c r="BI2249" s="1176"/>
      <c r="BJ2249" s="1176"/>
      <c r="BK2249" s="1176"/>
      <c r="BL2249" s="1176"/>
    </row>
    <row r="2250" spans="1:64" s="1177" customFormat="1">
      <c r="A2250" s="1818"/>
      <c r="B2250" s="1818"/>
      <c r="C2250" s="1816" t="s">
        <v>1217</v>
      </c>
      <c r="D2250" s="1009" t="s">
        <v>1223</v>
      </c>
      <c r="E2250" s="1114" t="s">
        <v>1207</v>
      </c>
      <c r="F2250" s="1106" t="s">
        <v>1208</v>
      </c>
      <c r="G2250" s="1106" t="s">
        <v>1209</v>
      </c>
      <c r="H2250" s="1106" t="s">
        <v>1210</v>
      </c>
      <c r="I2250" s="1106" t="s">
        <v>1211</v>
      </c>
      <c r="J2250" s="999"/>
      <c r="K2250" s="999"/>
      <c r="L2250" s="999"/>
      <c r="M2250" s="1176"/>
      <c r="N2250" s="1176"/>
      <c r="O2250" s="1176"/>
      <c r="P2250" s="1176"/>
      <c r="Q2250" s="1176"/>
      <c r="R2250" s="1176"/>
      <c r="S2250" s="1176"/>
      <c r="T2250" s="1176"/>
      <c r="U2250" s="1176"/>
      <c r="V2250" s="1176"/>
      <c r="W2250" s="1176"/>
      <c r="X2250" s="1176"/>
      <c r="Y2250" s="1176"/>
      <c r="Z2250" s="1176"/>
      <c r="AA2250" s="1176"/>
      <c r="AB2250" s="1176"/>
      <c r="AC2250" s="1176"/>
      <c r="AD2250" s="1176"/>
      <c r="AE2250" s="1176"/>
      <c r="AF2250" s="1176"/>
      <c r="AG2250" s="1176"/>
      <c r="AH2250" s="1176"/>
      <c r="AI2250" s="1176"/>
      <c r="AJ2250" s="1176"/>
      <c r="AK2250" s="1176"/>
      <c r="AL2250" s="1176"/>
      <c r="AM2250" s="1176"/>
      <c r="AN2250" s="1176"/>
      <c r="AO2250" s="1176"/>
      <c r="AP2250" s="1176"/>
      <c r="AQ2250" s="1176"/>
      <c r="AR2250" s="1176"/>
      <c r="AS2250" s="1176"/>
      <c r="AT2250" s="1176"/>
      <c r="AU2250" s="1176"/>
      <c r="AV2250" s="1176"/>
      <c r="AW2250" s="1176"/>
      <c r="AX2250" s="1176"/>
      <c r="AY2250" s="1176"/>
      <c r="AZ2250" s="1176"/>
      <c r="BA2250" s="1176"/>
      <c r="BB2250" s="1176"/>
      <c r="BC2250" s="1176"/>
      <c r="BD2250" s="1176"/>
      <c r="BE2250" s="1176"/>
      <c r="BF2250" s="1176"/>
      <c r="BG2250" s="1176"/>
      <c r="BH2250" s="1176"/>
      <c r="BI2250" s="1176"/>
      <c r="BJ2250" s="1176"/>
      <c r="BK2250" s="1176"/>
      <c r="BL2250" s="1176"/>
    </row>
    <row r="2251" spans="1:64" s="1177" customFormat="1">
      <c r="A2251" s="1058"/>
      <c r="B2251" s="1058"/>
      <c r="C2251" s="1817" t="s">
        <v>1317</v>
      </c>
      <c r="D2251" s="1062">
        <f t="shared" ref="D2251:I2251" si="524">$I$2247</f>
        <v>165.90945400000001</v>
      </c>
      <c r="E2251" s="1062">
        <f t="shared" si="524"/>
        <v>165.90945400000001</v>
      </c>
      <c r="F2251" s="1062">
        <f t="shared" si="524"/>
        <v>165.90945400000001</v>
      </c>
      <c r="G2251" s="1062">
        <f t="shared" si="524"/>
        <v>165.90945400000001</v>
      </c>
      <c r="H2251" s="1062">
        <f t="shared" si="524"/>
        <v>165.90945400000001</v>
      </c>
      <c r="I2251" s="1062">
        <f t="shared" si="524"/>
        <v>165.90945400000001</v>
      </c>
      <c r="J2251" s="999"/>
      <c r="K2251" s="999"/>
      <c r="L2251" s="999"/>
      <c r="M2251" s="1176"/>
      <c r="N2251" s="1176"/>
      <c r="O2251" s="1176"/>
      <c r="P2251" s="1176"/>
      <c r="Q2251" s="1176"/>
      <c r="R2251" s="1176"/>
      <c r="S2251" s="1176"/>
      <c r="T2251" s="1176"/>
      <c r="U2251" s="1176"/>
      <c r="V2251" s="1176"/>
      <c r="W2251" s="1176"/>
      <c r="X2251" s="1176"/>
      <c r="Y2251" s="1176"/>
      <c r="Z2251" s="1176"/>
      <c r="AA2251" s="1176"/>
      <c r="AB2251" s="1176"/>
      <c r="AC2251" s="1176"/>
      <c r="AD2251" s="1176"/>
      <c r="AE2251" s="1176"/>
      <c r="AF2251" s="1176"/>
      <c r="AG2251" s="1176"/>
      <c r="AH2251" s="1176"/>
      <c r="AI2251" s="1176"/>
      <c r="AJ2251" s="1176"/>
      <c r="AK2251" s="1176"/>
      <c r="AL2251" s="1176"/>
      <c r="AM2251" s="1176"/>
      <c r="AN2251" s="1176"/>
      <c r="AO2251" s="1176"/>
      <c r="AP2251" s="1176"/>
      <c r="AQ2251" s="1176"/>
      <c r="AR2251" s="1176"/>
      <c r="AS2251" s="1176"/>
      <c r="AT2251" s="1176"/>
      <c r="AU2251" s="1176"/>
      <c r="AV2251" s="1176"/>
      <c r="AW2251" s="1176"/>
      <c r="AX2251" s="1176"/>
      <c r="AY2251" s="1176"/>
      <c r="AZ2251" s="1176"/>
      <c r="BA2251" s="1176"/>
      <c r="BB2251" s="1176"/>
      <c r="BC2251" s="1176"/>
      <c r="BD2251" s="1176"/>
      <c r="BE2251" s="1176"/>
      <c r="BF2251" s="1176"/>
      <c r="BG2251" s="1176"/>
      <c r="BH2251" s="1176"/>
      <c r="BI2251" s="1176"/>
      <c r="BJ2251" s="1176"/>
      <c r="BK2251" s="1176"/>
      <c r="BL2251" s="1176"/>
    </row>
    <row r="2252" spans="1:64" s="1177" customFormat="1" ht="25.5">
      <c r="A2252" s="1058"/>
      <c r="B2252" s="1058"/>
      <c r="C2252" s="1817" t="s">
        <v>1347</v>
      </c>
      <c r="D2252" s="1062">
        <f>'Civil-SOR'!$F$280*25%</f>
        <v>44.25</v>
      </c>
      <c r="E2252" s="1062">
        <f>'Civil-SOR'!$F$280*25%</f>
        <v>44.25</v>
      </c>
      <c r="F2252" s="1062">
        <f>'Civil-SOR'!$F$280*25%</f>
        <v>44.25</v>
      </c>
      <c r="G2252" s="1062">
        <f>'Civil-SOR'!$F$280*25%</f>
        <v>44.25</v>
      </c>
      <c r="H2252" s="1062">
        <f>'Civil-SOR'!$F$280*25%</f>
        <v>44.25</v>
      </c>
      <c r="I2252" s="1062">
        <f>'Civil-SOR'!$F$280*25%</f>
        <v>44.25</v>
      </c>
      <c r="J2252" s="999"/>
      <c r="K2252" s="999"/>
      <c r="L2252" s="999"/>
      <c r="M2252" s="1176"/>
      <c r="N2252" s="1176"/>
      <c r="O2252" s="1176"/>
      <c r="P2252" s="1176"/>
      <c r="Q2252" s="1176"/>
      <c r="R2252" s="1176"/>
      <c r="S2252" s="1176"/>
      <c r="T2252" s="1176"/>
      <c r="U2252" s="1176"/>
      <c r="V2252" s="1176"/>
      <c r="W2252" s="1176"/>
      <c r="X2252" s="1176"/>
      <c r="Y2252" s="1176"/>
      <c r="Z2252" s="1176"/>
      <c r="AA2252" s="1176"/>
      <c r="AB2252" s="1176"/>
      <c r="AC2252" s="1176"/>
      <c r="AD2252" s="1176"/>
      <c r="AE2252" s="1176"/>
      <c r="AF2252" s="1176"/>
      <c r="AG2252" s="1176"/>
      <c r="AH2252" s="1176"/>
      <c r="AI2252" s="1176"/>
      <c r="AJ2252" s="1176"/>
      <c r="AK2252" s="1176"/>
      <c r="AL2252" s="1176"/>
      <c r="AM2252" s="1176"/>
      <c r="AN2252" s="1176"/>
      <c r="AO2252" s="1176"/>
      <c r="AP2252" s="1176"/>
      <c r="AQ2252" s="1176"/>
      <c r="AR2252" s="1176"/>
      <c r="AS2252" s="1176"/>
      <c r="AT2252" s="1176"/>
      <c r="AU2252" s="1176"/>
      <c r="AV2252" s="1176"/>
      <c r="AW2252" s="1176"/>
      <c r="AX2252" s="1176"/>
      <c r="AY2252" s="1176"/>
      <c r="AZ2252" s="1176"/>
      <c r="BA2252" s="1176"/>
      <c r="BB2252" s="1176"/>
      <c r="BC2252" s="1176"/>
      <c r="BD2252" s="1176"/>
      <c r="BE2252" s="1176"/>
      <c r="BF2252" s="1176"/>
      <c r="BG2252" s="1176"/>
      <c r="BH2252" s="1176"/>
      <c r="BI2252" s="1176"/>
      <c r="BJ2252" s="1176"/>
      <c r="BK2252" s="1176"/>
      <c r="BL2252" s="1176"/>
    </row>
    <row r="2253" spans="1:64" s="1177" customFormat="1">
      <c r="A2253" s="1058"/>
      <c r="B2253" s="1058"/>
      <c r="C2253" s="1817" t="s">
        <v>1269</v>
      </c>
      <c r="D2253" s="1062">
        <f>'Civil-SOR'!$G$280*25%</f>
        <v>49.75</v>
      </c>
      <c r="E2253" s="1062">
        <f>'Civil-SOR'!$H$280*25%</f>
        <v>54.75</v>
      </c>
      <c r="F2253" s="1062">
        <f>'Civil-SOR'!$I$280*25%</f>
        <v>59.75</v>
      </c>
      <c r="G2253" s="1062">
        <f>'Civil-SOR'!$J$280*25%</f>
        <v>64.75</v>
      </c>
      <c r="H2253" s="1062">
        <f>'Civil-SOR'!$K$280*25%</f>
        <v>69.75</v>
      </c>
      <c r="I2253" s="1062">
        <f>'Civil-SOR'!$L$280*25%</f>
        <v>74.75</v>
      </c>
      <c r="J2253" s="999"/>
      <c r="K2253" s="999"/>
      <c r="L2253" s="999"/>
      <c r="M2253" s="1176"/>
      <c r="N2253" s="1176"/>
      <c r="O2253" s="1176"/>
      <c r="P2253" s="1176"/>
      <c r="Q2253" s="1176"/>
      <c r="R2253" s="1176"/>
      <c r="S2253" s="1176"/>
      <c r="T2253" s="1176"/>
      <c r="U2253" s="1176"/>
      <c r="V2253" s="1176"/>
      <c r="W2253" s="1176"/>
      <c r="X2253" s="1176"/>
      <c r="Y2253" s="1176"/>
      <c r="Z2253" s="1176"/>
      <c r="AA2253" s="1176"/>
      <c r="AB2253" s="1176"/>
      <c r="AC2253" s="1176"/>
      <c r="AD2253" s="1176"/>
      <c r="AE2253" s="1176"/>
      <c r="AF2253" s="1176"/>
      <c r="AG2253" s="1176"/>
      <c r="AH2253" s="1176"/>
      <c r="AI2253" s="1176"/>
      <c r="AJ2253" s="1176"/>
      <c r="AK2253" s="1176"/>
      <c r="AL2253" s="1176"/>
      <c r="AM2253" s="1176"/>
      <c r="AN2253" s="1176"/>
      <c r="AO2253" s="1176"/>
      <c r="AP2253" s="1176"/>
      <c r="AQ2253" s="1176"/>
      <c r="AR2253" s="1176"/>
      <c r="AS2253" s="1176"/>
      <c r="AT2253" s="1176"/>
      <c r="AU2253" s="1176"/>
      <c r="AV2253" s="1176"/>
      <c r="AW2253" s="1176"/>
      <c r="AX2253" s="1176"/>
      <c r="AY2253" s="1176"/>
      <c r="AZ2253" s="1176"/>
      <c r="BA2253" s="1176"/>
      <c r="BB2253" s="1176"/>
      <c r="BC2253" s="1176"/>
      <c r="BD2253" s="1176"/>
      <c r="BE2253" s="1176"/>
      <c r="BF2253" s="1176"/>
      <c r="BG2253" s="1176"/>
      <c r="BH2253" s="1176"/>
      <c r="BI2253" s="1176"/>
      <c r="BJ2253" s="1176"/>
      <c r="BK2253" s="1176"/>
      <c r="BL2253" s="1176"/>
    </row>
    <row r="2254" spans="1:64" s="1177" customFormat="1">
      <c r="A2254" s="1058"/>
      <c r="B2254" s="1058"/>
      <c r="C2254" s="1817" t="str">
        <f>Input!$C$47</f>
        <v>Add for MA @ 40%</v>
      </c>
      <c r="D2254" s="1062">
        <f>D2253*Input!$D$47</f>
        <v>19.900000000000002</v>
      </c>
      <c r="E2254" s="1062">
        <f>E2253*Input!$D$47</f>
        <v>21.900000000000002</v>
      </c>
      <c r="F2254" s="1062">
        <f>F2253*Input!$D$47</f>
        <v>23.900000000000002</v>
      </c>
      <c r="G2254" s="1062">
        <f>G2253*Input!$D$47</f>
        <v>25.900000000000002</v>
      </c>
      <c r="H2254" s="1062">
        <f>H2253*Input!$D$47</f>
        <v>27.900000000000002</v>
      </c>
      <c r="I2254" s="1062">
        <f>I2253*Input!$D$47</f>
        <v>29.900000000000002</v>
      </c>
      <c r="J2254" s="999"/>
      <c r="K2254" s="999"/>
      <c r="L2254" s="999"/>
      <c r="M2254" s="1176"/>
      <c r="N2254" s="1176"/>
      <c r="O2254" s="1176"/>
      <c r="P2254" s="1176"/>
      <c r="Q2254" s="1176"/>
      <c r="R2254" s="1176"/>
      <c r="S2254" s="1176"/>
      <c r="T2254" s="1176"/>
      <c r="U2254" s="1176"/>
      <c r="V2254" s="1176"/>
      <c r="W2254" s="1176"/>
      <c r="X2254" s="1176"/>
      <c r="Y2254" s="1176"/>
      <c r="Z2254" s="1176"/>
      <c r="AA2254" s="1176"/>
      <c r="AB2254" s="1176"/>
      <c r="AC2254" s="1176"/>
      <c r="AD2254" s="1176"/>
      <c r="AE2254" s="1176"/>
      <c r="AF2254" s="1176"/>
      <c r="AG2254" s="1176"/>
      <c r="AH2254" s="1176"/>
      <c r="AI2254" s="1176"/>
      <c r="AJ2254" s="1176"/>
      <c r="AK2254" s="1176"/>
      <c r="AL2254" s="1176"/>
      <c r="AM2254" s="1176"/>
      <c r="AN2254" s="1176"/>
      <c r="AO2254" s="1176"/>
      <c r="AP2254" s="1176"/>
      <c r="AQ2254" s="1176"/>
      <c r="AR2254" s="1176"/>
      <c r="AS2254" s="1176"/>
      <c r="AT2254" s="1176"/>
      <c r="AU2254" s="1176"/>
      <c r="AV2254" s="1176"/>
      <c r="AW2254" s="1176"/>
      <c r="AX2254" s="1176"/>
      <c r="AY2254" s="1176"/>
      <c r="AZ2254" s="1176"/>
      <c r="BA2254" s="1176"/>
      <c r="BB2254" s="1176"/>
      <c r="BC2254" s="1176"/>
      <c r="BD2254" s="1176"/>
      <c r="BE2254" s="1176"/>
      <c r="BF2254" s="1176"/>
      <c r="BG2254" s="1176"/>
      <c r="BH2254" s="1176"/>
      <c r="BI2254" s="1176"/>
      <c r="BJ2254" s="1176"/>
      <c r="BK2254" s="1176"/>
      <c r="BL2254" s="1176"/>
    </row>
    <row r="2255" spans="1:64" s="1177" customFormat="1">
      <c r="A2255" s="1058"/>
      <c r="B2255" s="1058"/>
      <c r="C2255" s="1817" t="s">
        <v>1253</v>
      </c>
      <c r="D2255" s="1062">
        <v>0</v>
      </c>
      <c r="E2255" s="1062">
        <f>$F$2206*10%*$D$2247</f>
        <v>4.2801250000000008</v>
      </c>
      <c r="F2255" s="1062">
        <f>$F$2206*20%*$D$2247</f>
        <v>8.5602500000000017</v>
      </c>
      <c r="G2255" s="1062">
        <f>$F$2206*30%*$D$2247</f>
        <v>12.840375000000002</v>
      </c>
      <c r="H2255" s="1062">
        <f>$F$2206*40%*$D$2247</f>
        <v>17.120500000000003</v>
      </c>
      <c r="I2255" s="1062">
        <f>$F$2206*50%*$D$2247</f>
        <v>21.400625000000002</v>
      </c>
      <c r="J2255" s="999"/>
      <c r="K2255" s="999"/>
      <c r="L2255" s="999"/>
      <c r="M2255" s="1176"/>
      <c r="N2255" s="1176"/>
      <c r="O2255" s="1176"/>
      <c r="P2255" s="1176"/>
      <c r="Q2255" s="1176"/>
      <c r="R2255" s="1176"/>
      <c r="S2255" s="1176"/>
      <c r="T2255" s="1176"/>
      <c r="U2255" s="1176"/>
      <c r="V2255" s="1176"/>
      <c r="W2255" s="1176"/>
      <c r="X2255" s="1176"/>
      <c r="Y2255" s="1176"/>
      <c r="Z2255" s="1176"/>
      <c r="AA2255" s="1176"/>
      <c r="AB2255" s="1176"/>
      <c r="AC2255" s="1176"/>
      <c r="AD2255" s="1176"/>
      <c r="AE2255" s="1176"/>
      <c r="AF2255" s="1176"/>
      <c r="AG2255" s="1176"/>
      <c r="AH2255" s="1176"/>
      <c r="AI2255" s="1176"/>
      <c r="AJ2255" s="1176"/>
      <c r="AK2255" s="1176"/>
      <c r="AL2255" s="1176"/>
      <c r="AM2255" s="1176"/>
      <c r="AN2255" s="1176"/>
      <c r="AO2255" s="1176"/>
      <c r="AP2255" s="1176"/>
      <c r="AQ2255" s="1176"/>
      <c r="AR2255" s="1176"/>
      <c r="AS2255" s="1176"/>
      <c r="AT2255" s="1176"/>
      <c r="AU2255" s="1176"/>
      <c r="AV2255" s="1176"/>
      <c r="AW2255" s="1176"/>
      <c r="AX2255" s="1176"/>
      <c r="AY2255" s="1176"/>
      <c r="AZ2255" s="1176"/>
      <c r="BA2255" s="1176"/>
      <c r="BB2255" s="1176"/>
      <c r="BC2255" s="1176"/>
      <c r="BD2255" s="1176"/>
      <c r="BE2255" s="1176"/>
      <c r="BF2255" s="1176"/>
      <c r="BG2255" s="1176"/>
      <c r="BH2255" s="1176"/>
      <c r="BI2255" s="1176"/>
      <c r="BJ2255" s="1176"/>
      <c r="BK2255" s="1176"/>
      <c r="BL2255" s="1176"/>
    </row>
    <row r="2256" spans="1:64" s="1177" customFormat="1">
      <c r="A2256" s="1058"/>
      <c r="B2256" s="1058"/>
      <c r="C2256" s="1817" t="str">
        <f>Input!$C$47</f>
        <v>Add for MA @ 40%</v>
      </c>
      <c r="D2256" s="1062">
        <f>D2255*Input!$D$47</f>
        <v>0</v>
      </c>
      <c r="E2256" s="1062">
        <f>E2255*Input!$D$47</f>
        <v>1.7120500000000005</v>
      </c>
      <c r="F2256" s="1062">
        <f>F2255*Input!$D$47</f>
        <v>3.424100000000001</v>
      </c>
      <c r="G2256" s="1062">
        <f>G2255*Input!$D$47</f>
        <v>5.1361500000000007</v>
      </c>
      <c r="H2256" s="1062">
        <f>H2255*Input!$D$47</f>
        <v>6.8482000000000021</v>
      </c>
      <c r="I2256" s="1062">
        <f>I2255*Input!$D$47</f>
        <v>8.5602500000000017</v>
      </c>
      <c r="J2256" s="999"/>
      <c r="K2256" s="999"/>
      <c r="L2256" s="999"/>
      <c r="M2256" s="1176"/>
      <c r="N2256" s="1176"/>
      <c r="O2256" s="1176"/>
      <c r="P2256" s="1176"/>
      <c r="Q2256" s="1176"/>
      <c r="R2256" s="1176"/>
      <c r="S2256" s="1176"/>
      <c r="T2256" s="1176"/>
      <c r="U2256" s="1176"/>
      <c r="V2256" s="1176"/>
      <c r="W2256" s="1176"/>
      <c r="X2256" s="1176"/>
      <c r="Y2256" s="1176"/>
      <c r="Z2256" s="1176"/>
      <c r="AA2256" s="1176"/>
      <c r="AB2256" s="1176"/>
      <c r="AC2256" s="1176"/>
      <c r="AD2256" s="1176"/>
      <c r="AE2256" s="1176"/>
      <c r="AF2256" s="1176"/>
      <c r="AG2256" s="1176"/>
      <c r="AH2256" s="1176"/>
      <c r="AI2256" s="1176"/>
      <c r="AJ2256" s="1176"/>
      <c r="AK2256" s="1176"/>
      <c r="AL2256" s="1176"/>
      <c r="AM2256" s="1176"/>
      <c r="AN2256" s="1176"/>
      <c r="AO2256" s="1176"/>
      <c r="AP2256" s="1176"/>
      <c r="AQ2256" s="1176"/>
      <c r="AR2256" s="1176"/>
      <c r="AS2256" s="1176"/>
      <c r="AT2256" s="1176"/>
      <c r="AU2256" s="1176"/>
      <c r="AV2256" s="1176"/>
      <c r="AW2256" s="1176"/>
      <c r="AX2256" s="1176"/>
      <c r="AY2256" s="1176"/>
      <c r="AZ2256" s="1176"/>
      <c r="BA2256" s="1176"/>
      <c r="BB2256" s="1176"/>
      <c r="BC2256" s="1176"/>
      <c r="BD2256" s="1176"/>
      <c r="BE2256" s="1176"/>
      <c r="BF2256" s="1176"/>
      <c r="BG2256" s="1176"/>
      <c r="BH2256" s="1176"/>
      <c r="BI2256" s="1176"/>
      <c r="BJ2256" s="1176"/>
      <c r="BK2256" s="1176"/>
      <c r="BL2256" s="1176"/>
    </row>
    <row r="2257" spans="1:64" s="1177" customFormat="1">
      <c r="A2257" s="1058"/>
      <c r="B2257" s="1058"/>
      <c r="C2257" s="1816" t="s">
        <v>1045</v>
      </c>
      <c r="D2257" s="1065">
        <f t="shared" ref="D2257:I2257" si="525">SUM(D2251:D2256)</f>
        <v>279.80945399999996</v>
      </c>
      <c r="E2257" s="1065">
        <f t="shared" si="525"/>
        <v>292.80162899999993</v>
      </c>
      <c r="F2257" s="1065">
        <f t="shared" si="525"/>
        <v>305.79380399999997</v>
      </c>
      <c r="G2257" s="1065">
        <f t="shared" si="525"/>
        <v>318.78597899999994</v>
      </c>
      <c r="H2257" s="1065">
        <f t="shared" si="525"/>
        <v>331.77815399999997</v>
      </c>
      <c r="I2257" s="1065">
        <f t="shared" si="525"/>
        <v>344.77032899999995</v>
      </c>
      <c r="J2257" s="999"/>
      <c r="K2257" s="999"/>
      <c r="L2257" s="999"/>
      <c r="M2257" s="1176"/>
      <c r="N2257" s="1176"/>
      <c r="O2257" s="1176"/>
      <c r="P2257" s="1176"/>
      <c r="Q2257" s="1176"/>
      <c r="R2257" s="1176"/>
      <c r="S2257" s="1176"/>
      <c r="T2257" s="1176"/>
      <c r="U2257" s="1176"/>
      <c r="V2257" s="1176"/>
      <c r="W2257" s="1176"/>
      <c r="X2257" s="1176"/>
      <c r="Y2257" s="1176"/>
      <c r="Z2257" s="1176"/>
      <c r="AA2257" s="1176"/>
      <c r="AB2257" s="1176"/>
      <c r="AC2257" s="1176"/>
      <c r="AD2257" s="1176"/>
      <c r="AE2257" s="1176"/>
      <c r="AF2257" s="1176"/>
      <c r="AG2257" s="1176"/>
      <c r="AH2257" s="1176"/>
      <c r="AI2257" s="1176"/>
      <c r="AJ2257" s="1176"/>
      <c r="AK2257" s="1176"/>
      <c r="AL2257" s="1176"/>
      <c r="AM2257" s="1176"/>
      <c r="AN2257" s="1176"/>
      <c r="AO2257" s="1176"/>
      <c r="AP2257" s="1176"/>
      <c r="AQ2257" s="1176"/>
      <c r="AR2257" s="1176"/>
      <c r="AS2257" s="1176"/>
      <c r="AT2257" s="1176"/>
      <c r="AU2257" s="1176"/>
      <c r="AV2257" s="1176"/>
      <c r="AW2257" s="1176"/>
      <c r="AX2257" s="1176"/>
      <c r="AY2257" s="1176"/>
      <c r="AZ2257" s="1176"/>
      <c r="BA2257" s="1176"/>
      <c r="BB2257" s="1176"/>
      <c r="BC2257" s="1176"/>
      <c r="BD2257" s="1176"/>
      <c r="BE2257" s="1176"/>
      <c r="BF2257" s="1176"/>
      <c r="BG2257" s="1176"/>
      <c r="BH2257" s="1176"/>
      <c r="BI2257" s="1176"/>
      <c r="BJ2257" s="1176"/>
      <c r="BK2257" s="1176"/>
      <c r="BL2257" s="1176"/>
    </row>
    <row r="2258" spans="1:64" s="1177" customFormat="1">
      <c r="A2258" s="1058"/>
      <c r="B2258" s="1058"/>
      <c r="C2258" s="1828" t="str">
        <f>Input!$C$48</f>
        <v>Overheads &amp; Contractors Profit @ 13.615%</v>
      </c>
      <c r="D2258" s="1062">
        <f>D2257*Input!$D$48</f>
        <v>38.096057162099996</v>
      </c>
      <c r="E2258" s="1062">
        <f>E2257*Input!$D$48</f>
        <v>39.864941788349988</v>
      </c>
      <c r="F2258" s="1062">
        <f>F2257*Input!$D$48</f>
        <v>41.633826414599994</v>
      </c>
      <c r="G2258" s="1062">
        <f>G2257*Input!$D$48</f>
        <v>43.402711040849987</v>
      </c>
      <c r="H2258" s="1062">
        <f>H2257*Input!$D$48</f>
        <v>45.171595667099993</v>
      </c>
      <c r="I2258" s="1062">
        <f>I2257*Input!$D$48</f>
        <v>46.940480293349992</v>
      </c>
      <c r="J2258" s="999"/>
      <c r="K2258" s="999"/>
      <c r="L2258" s="999"/>
      <c r="M2258" s="1176"/>
      <c r="N2258" s="1176"/>
      <c r="O2258" s="1176"/>
      <c r="P2258" s="1176"/>
      <c r="Q2258" s="1176"/>
      <c r="R2258" s="1176"/>
      <c r="S2258" s="1176"/>
      <c r="T2258" s="1176"/>
      <c r="U2258" s="1176"/>
      <c r="V2258" s="1176"/>
      <c r="W2258" s="1176"/>
      <c r="X2258" s="1176"/>
      <c r="Y2258" s="1176"/>
      <c r="Z2258" s="1176"/>
      <c r="AA2258" s="1176"/>
      <c r="AB2258" s="1176"/>
      <c r="AC2258" s="1176"/>
      <c r="AD2258" s="1176"/>
      <c r="AE2258" s="1176"/>
      <c r="AF2258" s="1176"/>
      <c r="AG2258" s="1176"/>
      <c r="AH2258" s="1176"/>
      <c r="AI2258" s="1176"/>
      <c r="AJ2258" s="1176"/>
      <c r="AK2258" s="1176"/>
      <c r="AL2258" s="1176"/>
      <c r="AM2258" s="1176"/>
      <c r="AN2258" s="1176"/>
      <c r="AO2258" s="1176"/>
      <c r="AP2258" s="1176"/>
      <c r="AQ2258" s="1176"/>
      <c r="AR2258" s="1176"/>
      <c r="AS2258" s="1176"/>
      <c r="AT2258" s="1176"/>
      <c r="AU2258" s="1176"/>
      <c r="AV2258" s="1176"/>
      <c r="AW2258" s="1176"/>
      <c r="AX2258" s="1176"/>
      <c r="AY2258" s="1176"/>
      <c r="AZ2258" s="1176"/>
      <c r="BA2258" s="1176"/>
      <c r="BB2258" s="1176"/>
      <c r="BC2258" s="1176"/>
      <c r="BD2258" s="1176"/>
      <c r="BE2258" s="1176"/>
      <c r="BF2258" s="1176"/>
      <c r="BG2258" s="1176"/>
      <c r="BH2258" s="1176"/>
      <c r="BI2258" s="1176"/>
      <c r="BJ2258" s="1176"/>
      <c r="BK2258" s="1176"/>
      <c r="BL2258" s="1176"/>
    </row>
    <row r="2259" spans="1:64" s="1177" customFormat="1">
      <c r="A2259" s="1172"/>
      <c r="B2259" s="1172"/>
      <c r="C2259" s="1816" t="s">
        <v>1045</v>
      </c>
      <c r="D2259" s="1174">
        <f t="shared" ref="D2259:I2259" si="526">SUM(D2257:D2258)</f>
        <v>317.90551116209997</v>
      </c>
      <c r="E2259" s="1174">
        <f t="shared" si="526"/>
        <v>332.66657078834993</v>
      </c>
      <c r="F2259" s="1174">
        <f t="shared" si="526"/>
        <v>347.42763041459995</v>
      </c>
      <c r="G2259" s="1174">
        <f t="shared" si="526"/>
        <v>362.18869004084991</v>
      </c>
      <c r="H2259" s="1174">
        <f t="shared" si="526"/>
        <v>376.94974966709998</v>
      </c>
      <c r="I2259" s="1174">
        <f t="shared" si="526"/>
        <v>391.71080929334994</v>
      </c>
      <c r="J2259" s="999"/>
      <c r="K2259" s="999"/>
      <c r="L2259" s="999"/>
      <c r="M2259" s="1176"/>
      <c r="N2259" s="1176"/>
      <c r="O2259" s="1176"/>
      <c r="P2259" s="1176"/>
      <c r="Q2259" s="1176"/>
      <c r="R2259" s="1176"/>
      <c r="S2259" s="1176"/>
      <c r="T2259" s="1176"/>
      <c r="U2259" s="1176"/>
      <c r="V2259" s="1176"/>
      <c r="W2259" s="1176"/>
      <c r="X2259" s="1176"/>
      <c r="Y2259" s="1176"/>
      <c r="Z2259" s="1176"/>
      <c r="AA2259" s="1176"/>
      <c r="AB2259" s="1176"/>
      <c r="AC2259" s="1176"/>
      <c r="AD2259" s="1176"/>
      <c r="AE2259" s="1176"/>
      <c r="AF2259" s="1176"/>
      <c r="AG2259" s="1176"/>
      <c r="AH2259" s="1176"/>
      <c r="AI2259" s="1176"/>
      <c r="AJ2259" s="1176"/>
      <c r="AK2259" s="1176"/>
      <c r="AL2259" s="1176"/>
      <c r="AM2259" s="1176"/>
      <c r="AN2259" s="1176"/>
      <c r="AO2259" s="1176"/>
      <c r="AP2259" s="1176"/>
      <c r="AQ2259" s="1176"/>
      <c r="AR2259" s="1176"/>
      <c r="AS2259" s="1176"/>
      <c r="AT2259" s="1176"/>
      <c r="AU2259" s="1176"/>
      <c r="AV2259" s="1176"/>
      <c r="AW2259" s="1176"/>
      <c r="AX2259" s="1176"/>
      <c r="AY2259" s="1176"/>
      <c r="AZ2259" s="1176"/>
      <c r="BA2259" s="1176"/>
      <c r="BB2259" s="1176"/>
      <c r="BC2259" s="1176"/>
      <c r="BD2259" s="1176"/>
      <c r="BE2259" s="1176"/>
      <c r="BF2259" s="1176"/>
      <c r="BG2259" s="1176"/>
      <c r="BH2259" s="1176"/>
      <c r="BI2259" s="1176"/>
      <c r="BJ2259" s="1176"/>
      <c r="BK2259" s="1176"/>
      <c r="BL2259" s="1176"/>
    </row>
    <row r="2260" spans="1:64" s="1177" customFormat="1">
      <c r="A2260" s="1086"/>
      <c r="B2260" s="1086"/>
      <c r="C2260" s="1843" t="s">
        <v>1034</v>
      </c>
      <c r="D2260" s="999">
        <f t="shared" ref="D2260:I2260" si="527">ROUND(D2259,0)</f>
        <v>318</v>
      </c>
      <c r="E2260" s="999">
        <f t="shared" si="527"/>
        <v>333</v>
      </c>
      <c r="F2260" s="999">
        <f t="shared" si="527"/>
        <v>347</v>
      </c>
      <c r="G2260" s="999">
        <f t="shared" si="527"/>
        <v>362</v>
      </c>
      <c r="H2260" s="999">
        <f t="shared" si="527"/>
        <v>377</v>
      </c>
      <c r="I2260" s="999">
        <f t="shared" si="527"/>
        <v>392</v>
      </c>
      <c r="J2260" s="999"/>
      <c r="K2260" s="999"/>
      <c r="L2260" s="999"/>
      <c r="M2260" s="1176"/>
      <c r="N2260" s="1176"/>
      <c r="O2260" s="1176"/>
      <c r="P2260" s="1176"/>
      <c r="Q2260" s="1176"/>
      <c r="R2260" s="1176"/>
      <c r="S2260" s="1176"/>
      <c r="T2260" s="1176"/>
      <c r="U2260" s="1176"/>
      <c r="V2260" s="1176"/>
      <c r="W2260" s="1176"/>
      <c r="X2260" s="1176"/>
      <c r="Y2260" s="1176"/>
      <c r="Z2260" s="1176"/>
      <c r="AA2260" s="1176"/>
      <c r="AB2260" s="1176"/>
      <c r="AC2260" s="1176"/>
      <c r="AD2260" s="1176"/>
      <c r="AE2260" s="1176"/>
      <c r="AF2260" s="1176"/>
      <c r="AG2260" s="1176"/>
      <c r="AH2260" s="1176"/>
      <c r="AI2260" s="1176"/>
      <c r="AJ2260" s="1176"/>
      <c r="AK2260" s="1176"/>
      <c r="AL2260" s="1176"/>
      <c r="AM2260" s="1176"/>
      <c r="AN2260" s="1176"/>
      <c r="AO2260" s="1176"/>
      <c r="AP2260" s="1176"/>
      <c r="AQ2260" s="1176"/>
      <c r="AR2260" s="1176"/>
      <c r="AS2260" s="1176"/>
      <c r="AT2260" s="1176"/>
      <c r="AU2260" s="1176"/>
      <c r="AV2260" s="1176"/>
      <c r="AW2260" s="1176"/>
      <c r="AX2260" s="1176"/>
      <c r="AY2260" s="1176"/>
      <c r="AZ2260" s="1176"/>
      <c r="BA2260" s="1176"/>
      <c r="BB2260" s="1176"/>
      <c r="BC2260" s="1176"/>
      <c r="BD2260" s="1176"/>
      <c r="BE2260" s="1176"/>
      <c r="BF2260" s="1176"/>
      <c r="BG2260" s="1176"/>
      <c r="BH2260" s="1176"/>
      <c r="BI2260" s="1176"/>
      <c r="BJ2260" s="1176"/>
      <c r="BK2260" s="1176"/>
      <c r="BL2260" s="1176"/>
    </row>
    <row r="2261" spans="1:64" s="1177" customFormat="1">
      <c r="A2261" s="1086"/>
      <c r="B2261" s="1086"/>
      <c r="C2261" s="1843"/>
      <c r="D2261" s="999"/>
      <c r="E2261" s="999"/>
      <c r="F2261" s="999"/>
      <c r="G2261" s="999"/>
      <c r="H2261" s="999"/>
      <c r="I2261" s="999"/>
      <c r="J2261" s="999"/>
      <c r="K2261" s="999"/>
      <c r="L2261" s="999"/>
      <c r="M2261" s="1176"/>
      <c r="N2261" s="1176"/>
      <c r="O2261" s="1176"/>
      <c r="P2261" s="1176"/>
      <c r="Q2261" s="1176"/>
      <c r="R2261" s="1176"/>
      <c r="S2261" s="1176"/>
      <c r="T2261" s="1176"/>
      <c r="U2261" s="1176"/>
      <c r="V2261" s="1176"/>
      <c r="W2261" s="1176"/>
      <c r="X2261" s="1176"/>
      <c r="Y2261" s="1176"/>
      <c r="Z2261" s="1176"/>
      <c r="AA2261" s="1176"/>
      <c r="AB2261" s="1176"/>
      <c r="AC2261" s="1176"/>
      <c r="AD2261" s="1176"/>
      <c r="AE2261" s="1176"/>
      <c r="AF2261" s="1176"/>
      <c r="AG2261" s="1176"/>
      <c r="AH2261" s="1176"/>
      <c r="AI2261" s="1176"/>
      <c r="AJ2261" s="1176"/>
      <c r="AK2261" s="1176"/>
      <c r="AL2261" s="1176"/>
      <c r="AM2261" s="1176"/>
      <c r="AN2261" s="1176"/>
      <c r="AO2261" s="1176"/>
      <c r="AP2261" s="1176"/>
      <c r="AQ2261" s="1176"/>
      <c r="AR2261" s="1176"/>
      <c r="AS2261" s="1176"/>
      <c r="AT2261" s="1176"/>
      <c r="AU2261" s="1176"/>
      <c r="AV2261" s="1176"/>
      <c r="AW2261" s="1176"/>
      <c r="AX2261" s="1176"/>
      <c r="AY2261" s="1176"/>
      <c r="AZ2261" s="1176"/>
      <c r="BA2261" s="1176"/>
      <c r="BB2261" s="1176"/>
      <c r="BC2261" s="1176"/>
      <c r="BD2261" s="1176"/>
      <c r="BE2261" s="1176"/>
      <c r="BF2261" s="1176"/>
      <c r="BG2261" s="1176"/>
      <c r="BH2261" s="1176"/>
      <c r="BI2261" s="1176"/>
      <c r="BJ2261" s="1176"/>
      <c r="BK2261" s="1176"/>
      <c r="BL2261" s="1176"/>
    </row>
    <row r="2262" spans="1:64" ht="114.2" customHeight="1">
      <c r="A2262" s="1823">
        <f>1+A2196</f>
        <v>25</v>
      </c>
      <c r="B2262" s="1823"/>
      <c r="C2262" s="2036" t="s">
        <v>3634</v>
      </c>
      <c r="D2262" s="2036"/>
      <c r="E2262" s="2036"/>
      <c r="F2262" s="2036"/>
      <c r="G2262" s="2036"/>
      <c r="H2262" s="2036"/>
      <c r="I2262" s="1825"/>
      <c r="J2262" s="1846"/>
      <c r="K2262" s="1846"/>
      <c r="L2262" s="1846"/>
    </row>
    <row r="2263" spans="1:64">
      <c r="A2263" s="1823"/>
      <c r="B2263" s="1068"/>
      <c r="C2263" s="1049" t="s">
        <v>1349</v>
      </c>
      <c r="D2263" s="1816"/>
      <c r="E2263" s="1816"/>
      <c r="F2263" s="1839"/>
      <c r="G2263" s="1816"/>
      <c r="H2263" s="1816"/>
      <c r="I2263" s="1035"/>
      <c r="J2263" s="1846"/>
      <c r="K2263" s="1846"/>
      <c r="L2263" s="1846"/>
    </row>
    <row r="2264" spans="1:64">
      <c r="A2264" s="1823"/>
      <c r="B2264" s="1068"/>
      <c r="C2264" s="1816" t="s">
        <v>1350</v>
      </c>
      <c r="D2264" s="1816"/>
      <c r="E2264" s="1816"/>
      <c r="F2264" s="1839"/>
      <c r="G2264" s="1816"/>
      <c r="H2264" s="1816"/>
      <c r="I2264" s="1035"/>
      <c r="J2264" s="1846"/>
      <c r="K2264" s="1846"/>
      <c r="L2264" s="1846"/>
    </row>
    <row r="2265" spans="1:64">
      <c r="A2265" s="1823"/>
      <c r="B2265" s="1068" t="s">
        <v>294</v>
      </c>
      <c r="C2265" s="1816" t="s">
        <v>886</v>
      </c>
      <c r="D2265" s="1816"/>
      <c r="E2265" s="1816"/>
      <c r="F2265" s="1839"/>
      <c r="G2265" s="1816"/>
      <c r="H2265" s="1816"/>
      <c r="I2265" s="1035"/>
      <c r="J2265" s="1846"/>
      <c r="K2265" s="1846"/>
      <c r="L2265" s="1846"/>
    </row>
    <row r="2266" spans="1:64" ht="25.5">
      <c r="A2266" s="1847"/>
      <c r="B2266" s="1847"/>
      <c r="C2266" s="1817" t="s">
        <v>1351</v>
      </c>
      <c r="D2266" s="1060">
        <v>1.05</v>
      </c>
      <c r="E2266" s="1178" t="s">
        <v>948</v>
      </c>
      <c r="F2266" s="1062">
        <f>LEAD!$N$7</f>
        <v>60000</v>
      </c>
      <c r="G2266" s="1063">
        <v>1</v>
      </c>
      <c r="H2266" s="1178" t="str">
        <f t="shared" ref="H2266:H2267" si="528">IF(E2266="","",IF(E2266="No.","Each",IF(E2266="Nos.","Each",E2266)))</f>
        <v>MT</v>
      </c>
      <c r="I2266" s="1062">
        <f t="shared" ref="I2266:I2267" si="529">IF(G2266="",D2266*F2266,(D2266*F2266/G2266))</f>
        <v>63000</v>
      </c>
      <c r="J2266" s="1022"/>
      <c r="K2266" s="1022"/>
      <c r="L2266" s="1022"/>
      <c r="M2266" s="1066"/>
      <c r="N2266" s="1066"/>
      <c r="O2266" s="1066"/>
      <c r="P2266" s="1066"/>
      <c r="Q2266" s="1066"/>
      <c r="R2266" s="1066"/>
      <c r="S2266" s="1066"/>
      <c r="T2266" s="1066"/>
      <c r="U2266" s="1066"/>
      <c r="V2266" s="1066"/>
      <c r="W2266" s="1066"/>
      <c r="X2266" s="1066"/>
      <c r="Y2266" s="1066"/>
      <c r="Z2266" s="1066"/>
      <c r="AA2266" s="1066"/>
      <c r="AB2266" s="1066"/>
      <c r="AC2266" s="1066"/>
      <c r="AD2266" s="1066"/>
      <c r="AE2266" s="1066"/>
      <c r="AF2266" s="1066"/>
      <c r="AG2266" s="1066"/>
      <c r="AH2266" s="1066"/>
      <c r="AI2266" s="1066"/>
      <c r="AJ2266" s="1066"/>
      <c r="AK2266" s="1066"/>
      <c r="AL2266" s="1066"/>
      <c r="AM2266" s="1066"/>
      <c r="AN2266" s="1066"/>
      <c r="AO2266" s="1066"/>
      <c r="AP2266" s="1066"/>
      <c r="AQ2266" s="1066"/>
      <c r="AR2266" s="1066"/>
      <c r="AS2266" s="1066"/>
      <c r="AT2266" s="1066"/>
      <c r="AU2266" s="1066"/>
      <c r="AV2266" s="1066"/>
      <c r="AW2266" s="1066"/>
      <c r="AX2266" s="1066"/>
      <c r="AY2266" s="1066"/>
      <c r="AZ2266" s="1066"/>
      <c r="BA2266" s="1066"/>
      <c r="BB2266" s="1066"/>
      <c r="BC2266" s="1066"/>
      <c r="BD2266" s="1066"/>
      <c r="BE2266" s="1066"/>
      <c r="BF2266" s="1066"/>
      <c r="BG2266" s="1066"/>
      <c r="BH2266" s="1066"/>
      <c r="BI2266" s="1066"/>
      <c r="BJ2266" s="1066"/>
      <c r="BK2266" s="1066"/>
      <c r="BL2266" s="1066"/>
    </row>
    <row r="2267" spans="1:64">
      <c r="A2267" s="1847"/>
      <c r="B2267" s="1847"/>
      <c r="C2267" s="1817" t="s">
        <v>545</v>
      </c>
      <c r="D2267" s="1060">
        <v>6</v>
      </c>
      <c r="E2267" s="1178" t="s">
        <v>1110</v>
      </c>
      <c r="F2267" s="1062">
        <f>'Civil-SOR'!$G$309</f>
        <v>71</v>
      </c>
      <c r="G2267" s="1063">
        <v>1</v>
      </c>
      <c r="H2267" s="1178" t="str">
        <f t="shared" si="528"/>
        <v>Kgs</v>
      </c>
      <c r="I2267" s="1062">
        <f t="shared" si="529"/>
        <v>426</v>
      </c>
      <c r="J2267" s="1022"/>
      <c r="K2267" s="1022"/>
      <c r="L2267" s="1022"/>
      <c r="M2267" s="1066"/>
      <c r="N2267" s="1066"/>
      <c r="O2267" s="1066"/>
      <c r="P2267" s="1066"/>
      <c r="Q2267" s="1066"/>
      <c r="R2267" s="1066"/>
      <c r="S2267" s="1066"/>
      <c r="T2267" s="1066"/>
      <c r="U2267" s="1066"/>
      <c r="V2267" s="1066"/>
      <c r="W2267" s="1066"/>
      <c r="X2267" s="1066"/>
      <c r="Y2267" s="1066"/>
      <c r="Z2267" s="1066"/>
      <c r="AA2267" s="1066"/>
      <c r="AB2267" s="1066"/>
      <c r="AC2267" s="1066"/>
      <c r="AD2267" s="1066"/>
      <c r="AE2267" s="1066"/>
      <c r="AF2267" s="1066"/>
      <c r="AG2267" s="1066"/>
      <c r="AH2267" s="1066"/>
      <c r="AI2267" s="1066"/>
      <c r="AJ2267" s="1066"/>
      <c r="AK2267" s="1066"/>
      <c r="AL2267" s="1066"/>
      <c r="AM2267" s="1066"/>
      <c r="AN2267" s="1066"/>
      <c r="AO2267" s="1066"/>
      <c r="AP2267" s="1066"/>
      <c r="AQ2267" s="1066"/>
      <c r="AR2267" s="1066"/>
      <c r="AS2267" s="1066"/>
      <c r="AT2267" s="1066"/>
      <c r="AU2267" s="1066"/>
      <c r="AV2267" s="1066"/>
      <c r="AW2267" s="1066"/>
      <c r="AX2267" s="1066"/>
      <c r="AY2267" s="1066"/>
      <c r="AZ2267" s="1066"/>
      <c r="BA2267" s="1066"/>
      <c r="BB2267" s="1066"/>
      <c r="BC2267" s="1066"/>
      <c r="BD2267" s="1066"/>
      <c r="BE2267" s="1066"/>
      <c r="BF2267" s="1066"/>
      <c r="BG2267" s="1066"/>
      <c r="BH2267" s="1066"/>
      <c r="BI2267" s="1066"/>
      <c r="BJ2267" s="1066"/>
      <c r="BK2267" s="1066"/>
      <c r="BL2267" s="1066"/>
    </row>
    <row r="2268" spans="1:64" ht="25.5">
      <c r="A2268" s="1847"/>
      <c r="B2268" s="1847" t="s">
        <v>297</v>
      </c>
      <c r="C2268" s="1816" t="s">
        <v>3635</v>
      </c>
      <c r="D2268" s="1137"/>
      <c r="E2268" s="1022"/>
      <c r="F2268" s="1848"/>
      <c r="G2268" s="1076"/>
      <c r="H2268" s="1022"/>
      <c r="I2268" s="1848"/>
      <c r="J2268" s="1022"/>
      <c r="K2268" s="1022"/>
      <c r="L2268" s="1022"/>
      <c r="M2268" s="1066"/>
      <c r="N2268" s="1066"/>
      <c r="O2268" s="1066"/>
      <c r="P2268" s="1066"/>
      <c r="Q2268" s="1066"/>
      <c r="R2268" s="1066"/>
      <c r="S2268" s="1066"/>
      <c r="T2268" s="1066"/>
      <c r="U2268" s="1066"/>
      <c r="V2268" s="1066"/>
      <c r="W2268" s="1066"/>
      <c r="X2268" s="1066"/>
      <c r="Y2268" s="1066"/>
      <c r="Z2268" s="1066"/>
      <c r="AA2268" s="1066"/>
      <c r="AB2268" s="1066"/>
      <c r="AC2268" s="1066"/>
      <c r="AD2268" s="1066"/>
      <c r="AE2268" s="1066"/>
      <c r="AF2268" s="1066"/>
      <c r="AG2268" s="1066"/>
      <c r="AH2268" s="1066"/>
      <c r="AI2268" s="1066"/>
      <c r="AJ2268" s="1066"/>
      <c r="AK2268" s="1066"/>
      <c r="AL2268" s="1066"/>
      <c r="AM2268" s="1066"/>
      <c r="AN2268" s="1066"/>
      <c r="AO2268" s="1066"/>
      <c r="AP2268" s="1066"/>
      <c r="AQ2268" s="1066"/>
      <c r="AR2268" s="1066"/>
      <c r="AS2268" s="1066"/>
      <c r="AT2268" s="1066"/>
      <c r="AU2268" s="1066"/>
      <c r="AV2268" s="1066"/>
      <c r="AW2268" s="1066"/>
      <c r="AX2268" s="1066"/>
      <c r="AY2268" s="1066"/>
      <c r="AZ2268" s="1066"/>
      <c r="BA2268" s="1066"/>
      <c r="BB2268" s="1066"/>
      <c r="BC2268" s="1066"/>
      <c r="BD2268" s="1066"/>
      <c r="BE2268" s="1066"/>
      <c r="BF2268" s="1066"/>
      <c r="BG2268" s="1066"/>
      <c r="BH2268" s="1066"/>
      <c r="BI2268" s="1066"/>
      <c r="BJ2268" s="1066"/>
      <c r="BK2268" s="1066"/>
      <c r="BL2268" s="1066"/>
    </row>
    <row r="2269" spans="1:64">
      <c r="A2269" s="1847"/>
      <c r="B2269" s="1847"/>
      <c r="C2269" s="1817" t="s">
        <v>1352</v>
      </c>
      <c r="D2269" s="1139">
        <v>3</v>
      </c>
      <c r="E2269" s="1061" t="s">
        <v>36</v>
      </c>
      <c r="F2269" s="1062">
        <f>'Civil-SOR'!$G$288</f>
        <v>685</v>
      </c>
      <c r="G2269" s="1081">
        <v>1</v>
      </c>
      <c r="H2269" s="1140" t="str">
        <f t="shared" ref="H2269:H2271" si="530">IF(E2269="","",IF(E2269="No.","Each",IF(E2269="Nos.","Each",E2269)))</f>
        <v>Each</v>
      </c>
      <c r="I2269" s="1062">
        <f t="shared" ref="I2269:I2272" si="531">IF(G2269="",D2269*F2269,(D2269*F2269/G2269))</f>
        <v>2055</v>
      </c>
      <c r="J2269" s="1022"/>
      <c r="K2269" s="1022"/>
      <c r="L2269" s="1022"/>
      <c r="M2269" s="1066"/>
      <c r="N2269" s="1066"/>
      <c r="O2269" s="1066"/>
      <c r="P2269" s="1066"/>
      <c r="Q2269" s="1066"/>
      <c r="R2269" s="1066"/>
      <c r="S2269" s="1066"/>
      <c r="T2269" s="1066"/>
      <c r="U2269" s="1066"/>
      <c r="V2269" s="1066"/>
      <c r="W2269" s="1066"/>
      <c r="X2269" s="1066"/>
      <c r="Y2269" s="1066"/>
      <c r="Z2269" s="1066"/>
      <c r="AA2269" s="1066"/>
      <c r="AB2269" s="1066"/>
      <c r="AC2269" s="1066"/>
      <c r="AD2269" s="1066"/>
      <c r="AE2269" s="1066"/>
      <c r="AF2269" s="1066"/>
      <c r="AG2269" s="1066"/>
      <c r="AH2269" s="1066"/>
      <c r="AI2269" s="1066"/>
      <c r="AJ2269" s="1066"/>
      <c r="AK2269" s="1066"/>
      <c r="AL2269" s="1066"/>
      <c r="AM2269" s="1066"/>
      <c r="AN2269" s="1066"/>
      <c r="AO2269" s="1066"/>
      <c r="AP2269" s="1066"/>
      <c r="AQ2269" s="1066"/>
      <c r="AR2269" s="1066"/>
      <c r="AS2269" s="1066"/>
      <c r="AT2269" s="1066"/>
      <c r="AU2269" s="1066"/>
      <c r="AV2269" s="1066"/>
      <c r="AW2269" s="1066"/>
      <c r="AX2269" s="1066"/>
      <c r="AY2269" s="1066"/>
      <c r="AZ2269" s="1066"/>
      <c r="BA2269" s="1066"/>
      <c r="BB2269" s="1066"/>
      <c r="BC2269" s="1066"/>
      <c r="BD2269" s="1066"/>
      <c r="BE2269" s="1066"/>
      <c r="BF2269" s="1066"/>
      <c r="BG2269" s="1066"/>
      <c r="BH2269" s="1066"/>
      <c r="BI2269" s="1066"/>
      <c r="BJ2269" s="1066"/>
      <c r="BK2269" s="1066"/>
      <c r="BL2269" s="1066"/>
    </row>
    <row r="2270" spans="1:64">
      <c r="A2270" s="1847"/>
      <c r="B2270" s="1847"/>
      <c r="C2270" s="1817" t="s">
        <v>1353</v>
      </c>
      <c r="D2270" s="1139">
        <v>7</v>
      </c>
      <c r="E2270" s="1061" t="s">
        <v>36</v>
      </c>
      <c r="F2270" s="1062">
        <f>'Civil-SOR'!$G$289</f>
        <v>575</v>
      </c>
      <c r="G2270" s="1081">
        <v>1</v>
      </c>
      <c r="H2270" s="1140" t="str">
        <f t="shared" si="530"/>
        <v>Each</v>
      </c>
      <c r="I2270" s="1062">
        <f t="shared" si="531"/>
        <v>4025</v>
      </c>
      <c r="J2270" s="1022"/>
      <c r="K2270" s="1022"/>
      <c r="L2270" s="1022"/>
      <c r="M2270" s="1066"/>
      <c r="N2270" s="1066"/>
      <c r="O2270" s="1066"/>
      <c r="P2270" s="1066"/>
      <c r="Q2270" s="1066"/>
      <c r="R2270" s="1066"/>
      <c r="S2270" s="1066"/>
      <c r="T2270" s="1066"/>
      <c r="U2270" s="1066"/>
      <c r="V2270" s="1066"/>
      <c r="W2270" s="1066"/>
      <c r="X2270" s="1066"/>
      <c r="Y2270" s="1066"/>
      <c r="Z2270" s="1066"/>
      <c r="AA2270" s="1066"/>
      <c r="AB2270" s="1066"/>
      <c r="AC2270" s="1066"/>
      <c r="AD2270" s="1066"/>
      <c r="AE2270" s="1066"/>
      <c r="AF2270" s="1066"/>
      <c r="AG2270" s="1066"/>
      <c r="AH2270" s="1066"/>
      <c r="AI2270" s="1066"/>
      <c r="AJ2270" s="1066"/>
      <c r="AK2270" s="1066"/>
      <c r="AL2270" s="1066"/>
      <c r="AM2270" s="1066"/>
      <c r="AN2270" s="1066"/>
      <c r="AO2270" s="1066"/>
      <c r="AP2270" s="1066"/>
      <c r="AQ2270" s="1066"/>
      <c r="AR2270" s="1066"/>
      <c r="AS2270" s="1066"/>
      <c r="AT2270" s="1066"/>
      <c r="AU2270" s="1066"/>
      <c r="AV2270" s="1066"/>
      <c r="AW2270" s="1066"/>
      <c r="AX2270" s="1066"/>
      <c r="AY2270" s="1066"/>
      <c r="AZ2270" s="1066"/>
      <c r="BA2270" s="1066"/>
      <c r="BB2270" s="1066"/>
      <c r="BC2270" s="1066"/>
      <c r="BD2270" s="1066"/>
      <c r="BE2270" s="1066"/>
      <c r="BF2270" s="1066"/>
      <c r="BG2270" s="1066"/>
      <c r="BH2270" s="1066"/>
      <c r="BI2270" s="1066"/>
      <c r="BJ2270" s="1066"/>
      <c r="BK2270" s="1066"/>
      <c r="BL2270" s="1066"/>
    </row>
    <row r="2271" spans="1:64">
      <c r="A2271" s="1847"/>
      <c r="B2271" s="1847"/>
      <c r="C2271" s="1817" t="s">
        <v>1354</v>
      </c>
      <c r="D2271" s="1139">
        <v>10</v>
      </c>
      <c r="E2271" s="1061" t="s">
        <v>36</v>
      </c>
      <c r="F2271" s="1062">
        <f>'Civil-SOR'!$G$307</f>
        <v>520</v>
      </c>
      <c r="G2271" s="1081">
        <v>1</v>
      </c>
      <c r="H2271" s="1140" t="str">
        <f t="shared" si="530"/>
        <v>Each</v>
      </c>
      <c r="I2271" s="1062">
        <f t="shared" si="531"/>
        <v>5200</v>
      </c>
      <c r="J2271" s="1022"/>
      <c r="K2271" s="1022"/>
      <c r="L2271" s="1022"/>
      <c r="M2271" s="1066"/>
      <c r="N2271" s="1066"/>
      <c r="O2271" s="1066"/>
      <c r="P2271" s="1066"/>
      <c r="Q2271" s="1066"/>
      <c r="R2271" s="1066"/>
      <c r="S2271" s="1066"/>
      <c r="T2271" s="1066"/>
      <c r="U2271" s="1066"/>
      <c r="V2271" s="1066"/>
      <c r="W2271" s="1066"/>
      <c r="X2271" s="1066"/>
      <c r="Y2271" s="1066"/>
      <c r="Z2271" s="1066"/>
      <c r="AA2271" s="1066"/>
      <c r="AB2271" s="1066"/>
      <c r="AC2271" s="1066"/>
      <c r="AD2271" s="1066"/>
      <c r="AE2271" s="1066"/>
      <c r="AF2271" s="1066"/>
      <c r="AG2271" s="1066"/>
      <c r="AH2271" s="1066"/>
      <c r="AI2271" s="1066"/>
      <c r="AJ2271" s="1066"/>
      <c r="AK2271" s="1066"/>
      <c r="AL2271" s="1066"/>
      <c r="AM2271" s="1066"/>
      <c r="AN2271" s="1066"/>
      <c r="AO2271" s="1066"/>
      <c r="AP2271" s="1066"/>
      <c r="AQ2271" s="1066"/>
      <c r="AR2271" s="1066"/>
      <c r="AS2271" s="1066"/>
      <c r="AT2271" s="1066"/>
      <c r="AU2271" s="1066"/>
      <c r="AV2271" s="1066"/>
      <c r="AW2271" s="1066"/>
      <c r="AX2271" s="1066"/>
      <c r="AY2271" s="1066"/>
      <c r="AZ2271" s="1066"/>
      <c r="BA2271" s="1066"/>
      <c r="BB2271" s="1066"/>
      <c r="BC2271" s="1066"/>
      <c r="BD2271" s="1066"/>
      <c r="BE2271" s="1066"/>
      <c r="BF2271" s="1066"/>
      <c r="BG2271" s="1066"/>
      <c r="BH2271" s="1066"/>
      <c r="BI2271" s="1066"/>
      <c r="BJ2271" s="1066"/>
      <c r="BK2271" s="1066"/>
      <c r="BL2271" s="1066"/>
    </row>
    <row r="2272" spans="1:64">
      <c r="A2272" s="1847"/>
      <c r="B2272" s="1847"/>
      <c r="C2272" s="1817" t="str">
        <f>Input!$C$47</f>
        <v>Add for MA @ 40%</v>
      </c>
      <c r="D2272" s="1139">
        <f>Input!$D$47</f>
        <v>0.4</v>
      </c>
      <c r="E2272" s="1061"/>
      <c r="F2272" s="1062">
        <f>SUM(I2269:I2271)</f>
        <v>11280</v>
      </c>
      <c r="G2272" s="1081"/>
      <c r="H2272" s="1140"/>
      <c r="I2272" s="1062">
        <f t="shared" si="531"/>
        <v>4512</v>
      </c>
      <c r="J2272" s="1022"/>
      <c r="K2272" s="1022"/>
      <c r="L2272" s="1022"/>
      <c r="M2272" s="1066"/>
      <c r="N2272" s="1066"/>
      <c r="O2272" s="1066"/>
      <c r="P2272" s="1066"/>
      <c r="Q2272" s="1066"/>
      <c r="R2272" s="1066"/>
      <c r="S2272" s="1066"/>
      <c r="T2272" s="1066"/>
      <c r="U2272" s="1066"/>
      <c r="V2272" s="1066"/>
      <c r="W2272" s="1066"/>
      <c r="X2272" s="1066"/>
      <c r="Y2272" s="1066"/>
      <c r="Z2272" s="1066"/>
      <c r="AA2272" s="1066"/>
      <c r="AB2272" s="1066"/>
      <c r="AC2272" s="1066"/>
      <c r="AD2272" s="1066"/>
      <c r="AE2272" s="1066"/>
      <c r="AF2272" s="1066"/>
      <c r="AG2272" s="1066"/>
      <c r="AH2272" s="1066"/>
      <c r="AI2272" s="1066"/>
      <c r="AJ2272" s="1066"/>
      <c r="AK2272" s="1066"/>
      <c r="AL2272" s="1066"/>
      <c r="AM2272" s="1066"/>
      <c r="AN2272" s="1066"/>
      <c r="AO2272" s="1066"/>
      <c r="AP2272" s="1066"/>
      <c r="AQ2272" s="1066"/>
      <c r="AR2272" s="1066"/>
      <c r="AS2272" s="1066"/>
      <c r="AT2272" s="1066"/>
      <c r="AU2272" s="1066"/>
      <c r="AV2272" s="1066"/>
      <c r="AW2272" s="1066"/>
      <c r="AX2272" s="1066"/>
      <c r="AY2272" s="1066"/>
      <c r="AZ2272" s="1066"/>
      <c r="BA2272" s="1066"/>
      <c r="BB2272" s="1066"/>
      <c r="BC2272" s="1066"/>
      <c r="BD2272" s="1066"/>
      <c r="BE2272" s="1066"/>
      <c r="BF2272" s="1066"/>
      <c r="BG2272" s="1066"/>
      <c r="BH2272" s="1066"/>
      <c r="BI2272" s="1066"/>
      <c r="BJ2272" s="1066"/>
      <c r="BK2272" s="1066"/>
      <c r="BL2272" s="1066"/>
    </row>
    <row r="2273" spans="1:64">
      <c r="A2273" s="1023"/>
      <c r="B2273" s="1023"/>
      <c r="C2273" s="1088"/>
      <c r="D2273" s="1088"/>
      <c r="E2273" s="1088"/>
      <c r="F2273" s="1841"/>
      <c r="G2273" s="1088"/>
      <c r="H2273" s="1088"/>
      <c r="I2273" s="1826">
        <f>SUM(I2266:I2272)</f>
        <v>79218</v>
      </c>
      <c r="J2273" s="1117"/>
      <c r="K2273" s="1117"/>
      <c r="L2273" s="1117"/>
      <c r="M2273" s="1179"/>
      <c r="N2273" s="1179"/>
      <c r="O2273" s="1179"/>
      <c r="P2273" s="1179"/>
      <c r="Q2273" s="1179"/>
      <c r="R2273" s="1179"/>
      <c r="S2273" s="997"/>
      <c r="T2273" s="997"/>
      <c r="U2273" s="997"/>
      <c r="V2273" s="997"/>
      <c r="W2273" s="997"/>
      <c r="X2273" s="997"/>
      <c r="Y2273" s="997"/>
      <c r="Z2273" s="997"/>
      <c r="AA2273" s="997"/>
      <c r="AB2273" s="997"/>
      <c r="AC2273" s="997"/>
      <c r="AD2273" s="997"/>
      <c r="AE2273" s="997"/>
      <c r="AF2273" s="997"/>
      <c r="AG2273" s="997"/>
      <c r="AH2273" s="997"/>
      <c r="AI2273" s="997"/>
      <c r="AJ2273" s="997"/>
      <c r="AK2273" s="997"/>
      <c r="AL2273" s="997"/>
      <c r="AM2273" s="997"/>
      <c r="AN2273" s="997"/>
      <c r="AO2273" s="997"/>
      <c r="AP2273" s="997"/>
      <c r="AQ2273" s="997"/>
      <c r="AR2273" s="997"/>
      <c r="AS2273" s="997"/>
      <c r="AT2273" s="997"/>
      <c r="AU2273" s="997"/>
      <c r="AV2273" s="997"/>
      <c r="AW2273" s="997"/>
      <c r="AX2273" s="997"/>
      <c r="AY2273" s="997"/>
      <c r="AZ2273" s="997"/>
      <c r="BA2273" s="997"/>
      <c r="BB2273" s="997"/>
      <c r="BC2273" s="997"/>
      <c r="BD2273" s="997"/>
      <c r="BE2273" s="997"/>
      <c r="BF2273" s="997"/>
      <c r="BG2273" s="997"/>
      <c r="BH2273" s="997"/>
      <c r="BI2273" s="997"/>
      <c r="BJ2273" s="997"/>
      <c r="BK2273" s="997"/>
      <c r="BL2273" s="997"/>
    </row>
    <row r="2274" spans="1:64">
      <c r="A2274" s="1823"/>
      <c r="B2274" s="1068"/>
      <c r="C2274" s="1816"/>
      <c r="D2274" s="1816"/>
      <c r="E2274" s="1816"/>
      <c r="F2274" s="1839"/>
      <c r="G2274" s="1816"/>
      <c r="H2274" s="1816"/>
      <c r="I2274" s="1035"/>
      <c r="J2274" s="1117"/>
      <c r="K2274" s="1117"/>
      <c r="L2274" s="1117"/>
    </row>
    <row r="2275" spans="1:64">
      <c r="A2275" s="1823"/>
      <c r="B2275" s="1068"/>
      <c r="C2275" s="1816" t="s">
        <v>1217</v>
      </c>
      <c r="D2275" s="1009" t="s">
        <v>1223</v>
      </c>
      <c r="E2275" s="1114" t="s">
        <v>1207</v>
      </c>
      <c r="F2275" s="1106" t="s">
        <v>1208</v>
      </c>
      <c r="G2275" s="1106" t="s">
        <v>1291</v>
      </c>
      <c r="H2275" s="1106" t="s">
        <v>1292</v>
      </c>
      <c r="I2275" s="1009" t="s">
        <v>1293</v>
      </c>
      <c r="J2275" s="1117"/>
      <c r="K2275" s="1117"/>
      <c r="L2275" s="1117"/>
    </row>
    <row r="2276" spans="1:64">
      <c r="A2276" s="1823"/>
      <c r="B2276" s="1068"/>
      <c r="C2276" s="1817" t="s">
        <v>1317</v>
      </c>
      <c r="D2276" s="1001">
        <f t="shared" ref="D2276:I2276" si="532">$I$2273</f>
        <v>79218</v>
      </c>
      <c r="E2276" s="1001">
        <f t="shared" si="532"/>
        <v>79218</v>
      </c>
      <c r="F2276" s="1001">
        <f t="shared" si="532"/>
        <v>79218</v>
      </c>
      <c r="G2276" s="1001">
        <f t="shared" si="532"/>
        <v>79218</v>
      </c>
      <c r="H2276" s="1001">
        <f t="shared" si="532"/>
        <v>79218</v>
      </c>
      <c r="I2276" s="1001">
        <f t="shared" si="532"/>
        <v>79218</v>
      </c>
      <c r="J2276" s="1117"/>
      <c r="K2276" s="1117"/>
      <c r="L2276" s="1117"/>
    </row>
    <row r="2277" spans="1:64">
      <c r="A2277" s="1823"/>
      <c r="B2277" s="1068"/>
      <c r="C2277" s="1817" t="s">
        <v>1355</v>
      </c>
      <c r="D2277" s="1001">
        <v>0</v>
      </c>
      <c r="E2277" s="1001">
        <f>$F$2272*10%</f>
        <v>1128</v>
      </c>
      <c r="F2277" s="1001">
        <f>$F$2272*20%</f>
        <v>2256</v>
      </c>
      <c r="G2277" s="1001">
        <f>$F$2272*30%</f>
        <v>3384</v>
      </c>
      <c r="H2277" s="1001">
        <f>$F$2272*40%</f>
        <v>4512</v>
      </c>
      <c r="I2277" s="1001">
        <f>$F$2272*50%</f>
        <v>5640</v>
      </c>
      <c r="J2277" s="1117"/>
      <c r="K2277" s="1117"/>
      <c r="L2277" s="1117"/>
    </row>
    <row r="2278" spans="1:64">
      <c r="A2278" s="1823"/>
      <c r="B2278" s="1068"/>
      <c r="C2278" s="1817" t="str">
        <f>Input!$C$47</f>
        <v>Add for MA @ 40%</v>
      </c>
      <c r="D2278" s="1001">
        <f>D2277*Input!$D$47</f>
        <v>0</v>
      </c>
      <c r="E2278" s="1001">
        <f>E2277*Input!$D$47</f>
        <v>451.20000000000005</v>
      </c>
      <c r="F2278" s="1001">
        <f>F2277*Input!$D$47</f>
        <v>902.40000000000009</v>
      </c>
      <c r="G2278" s="1001">
        <f>G2277*Input!$D$47</f>
        <v>1353.6000000000001</v>
      </c>
      <c r="H2278" s="1001">
        <f>H2277*Input!$D$47</f>
        <v>1804.8000000000002</v>
      </c>
      <c r="I2278" s="1001">
        <f>I2277*Input!$D$47</f>
        <v>2256</v>
      </c>
      <c r="J2278" s="1117"/>
      <c r="K2278" s="1117"/>
      <c r="L2278" s="1117"/>
    </row>
    <row r="2279" spans="1:64">
      <c r="A2279" s="1823"/>
      <c r="B2279" s="1068"/>
      <c r="C2279" s="1816" t="s">
        <v>1356</v>
      </c>
      <c r="D2279" s="1001">
        <f t="shared" ref="D2279:I2279" si="533">SUM(D2276:D2278)</f>
        <v>79218</v>
      </c>
      <c r="E2279" s="1001">
        <f t="shared" si="533"/>
        <v>80797.2</v>
      </c>
      <c r="F2279" s="1001">
        <f t="shared" si="533"/>
        <v>82376.399999999994</v>
      </c>
      <c r="G2279" s="1001">
        <f t="shared" si="533"/>
        <v>83955.6</v>
      </c>
      <c r="H2279" s="1001">
        <f t="shared" si="533"/>
        <v>85534.8</v>
      </c>
      <c r="I2279" s="1001">
        <f t="shared" si="533"/>
        <v>87114</v>
      </c>
      <c r="J2279" s="1117"/>
      <c r="K2279" s="1117"/>
      <c r="L2279" s="1117"/>
    </row>
    <row r="2280" spans="1:64">
      <c r="A2280" s="1823"/>
      <c r="B2280" s="1068"/>
      <c r="C2280" s="1817" t="str">
        <f>Input!$C$48</f>
        <v>Overheads &amp; Contractors Profit @ 13.615%</v>
      </c>
      <c r="D2280" s="1030">
        <f>ROUND(D2279*Input!$D$48,2)</f>
        <v>10785.53</v>
      </c>
      <c r="E2280" s="1030">
        <f>ROUND(E2279*Input!$D$48,2)</f>
        <v>11000.54</v>
      </c>
      <c r="F2280" s="1030">
        <f>ROUND(F2279*Input!$D$48,2)</f>
        <v>11215.55</v>
      </c>
      <c r="G2280" s="1030">
        <f>ROUND(G2279*Input!$D$48,2)</f>
        <v>11430.55</v>
      </c>
      <c r="H2280" s="1030">
        <f>ROUND(H2279*Input!$D$48,2)</f>
        <v>11645.56</v>
      </c>
      <c r="I2280" s="1030">
        <f>ROUND(I2279*Input!$D$48,2)</f>
        <v>11860.57</v>
      </c>
      <c r="J2280" s="1117"/>
      <c r="K2280" s="1117"/>
      <c r="L2280" s="1117"/>
    </row>
    <row r="2281" spans="1:64">
      <c r="A2281" s="1023"/>
      <c r="B2281" s="1023"/>
      <c r="C2281" s="1088" t="s">
        <v>1356</v>
      </c>
      <c r="D2281" s="994">
        <f t="shared" ref="D2281:I2281" si="534">SUM(D2279:D2280)</f>
        <v>90003.53</v>
      </c>
      <c r="E2281" s="994">
        <f t="shared" si="534"/>
        <v>91797.739999999991</v>
      </c>
      <c r="F2281" s="994">
        <f t="shared" si="534"/>
        <v>93591.95</v>
      </c>
      <c r="G2281" s="994">
        <f t="shared" si="534"/>
        <v>95386.150000000009</v>
      </c>
      <c r="H2281" s="994">
        <f t="shared" si="534"/>
        <v>97180.36</v>
      </c>
      <c r="I2281" s="994">
        <f t="shared" si="534"/>
        <v>98974.57</v>
      </c>
      <c r="J2281" s="1117"/>
      <c r="K2281" s="1117"/>
      <c r="L2281" s="1117"/>
      <c r="M2281" s="997"/>
      <c r="N2281" s="997"/>
      <c r="O2281" s="997"/>
      <c r="P2281" s="997"/>
      <c r="Q2281" s="997"/>
      <c r="R2281" s="997"/>
      <c r="S2281" s="997"/>
      <c r="T2281" s="997"/>
      <c r="U2281" s="997"/>
      <c r="V2281" s="997"/>
      <c r="W2281" s="997"/>
      <c r="X2281" s="997"/>
      <c r="Y2281" s="997"/>
      <c r="Z2281" s="997"/>
      <c r="AA2281" s="997"/>
      <c r="AB2281" s="997"/>
      <c r="AC2281" s="997"/>
      <c r="AD2281" s="997"/>
      <c r="AE2281" s="997"/>
      <c r="AF2281" s="997"/>
      <c r="AG2281" s="997"/>
      <c r="AH2281" s="997"/>
      <c r="AI2281" s="997"/>
      <c r="AJ2281" s="997"/>
      <c r="AK2281" s="997"/>
      <c r="AL2281" s="997"/>
      <c r="AM2281" s="997"/>
      <c r="AN2281" s="997"/>
      <c r="AO2281" s="997"/>
      <c r="AP2281" s="997"/>
      <c r="AQ2281" s="997"/>
      <c r="AR2281" s="997"/>
      <c r="AS2281" s="997"/>
      <c r="AT2281" s="997"/>
      <c r="AU2281" s="997"/>
      <c r="AV2281" s="997"/>
      <c r="AW2281" s="997"/>
      <c r="AX2281" s="997"/>
      <c r="AY2281" s="997"/>
      <c r="AZ2281" s="997"/>
      <c r="BA2281" s="997"/>
      <c r="BB2281" s="997"/>
      <c r="BC2281" s="997"/>
      <c r="BD2281" s="997"/>
      <c r="BE2281" s="997"/>
      <c r="BF2281" s="997"/>
      <c r="BG2281" s="997"/>
      <c r="BH2281" s="997"/>
      <c r="BI2281" s="997"/>
      <c r="BJ2281" s="997"/>
      <c r="BK2281" s="997"/>
      <c r="BL2281" s="997"/>
    </row>
    <row r="2282" spans="1:64">
      <c r="A2282" s="1023"/>
      <c r="B2282" s="1023"/>
      <c r="C2282" s="1118" t="s">
        <v>1034</v>
      </c>
      <c r="D2282" s="999">
        <f t="shared" ref="D2282:I2282" si="535">ROUND(D2281,0)</f>
        <v>90004</v>
      </c>
      <c r="E2282" s="999">
        <f t="shared" si="535"/>
        <v>91798</v>
      </c>
      <c r="F2282" s="999">
        <f t="shared" si="535"/>
        <v>93592</v>
      </c>
      <c r="G2282" s="999">
        <f t="shared" si="535"/>
        <v>95386</v>
      </c>
      <c r="H2282" s="999">
        <f t="shared" si="535"/>
        <v>97180</v>
      </c>
      <c r="I2282" s="999">
        <f t="shared" si="535"/>
        <v>98975</v>
      </c>
      <c r="J2282" s="1117"/>
      <c r="K2282" s="1117"/>
      <c r="L2282" s="1117"/>
      <c r="M2282" s="997"/>
      <c r="N2282" s="997"/>
      <c r="O2282" s="997"/>
      <c r="P2282" s="997"/>
      <c r="Q2282" s="997"/>
      <c r="R2282" s="997"/>
      <c r="S2282" s="997"/>
      <c r="T2282" s="997"/>
      <c r="U2282" s="997"/>
      <c r="V2282" s="997"/>
      <c r="W2282" s="997"/>
      <c r="X2282" s="997"/>
      <c r="Y2282" s="997"/>
      <c r="Z2282" s="997"/>
      <c r="AA2282" s="997"/>
      <c r="AB2282" s="997"/>
      <c r="AC2282" s="997"/>
      <c r="AD2282" s="997"/>
      <c r="AE2282" s="997"/>
      <c r="AF2282" s="997"/>
      <c r="AG2282" s="997"/>
      <c r="AH2282" s="997"/>
      <c r="AI2282" s="997"/>
      <c r="AJ2282" s="997"/>
      <c r="AK2282" s="997"/>
      <c r="AL2282" s="997"/>
      <c r="AM2282" s="997"/>
      <c r="AN2282" s="997"/>
      <c r="AO2282" s="997"/>
      <c r="AP2282" s="997"/>
      <c r="AQ2282" s="997"/>
      <c r="AR2282" s="997"/>
      <c r="AS2282" s="997"/>
      <c r="AT2282" s="997"/>
      <c r="AU2282" s="997"/>
      <c r="AV2282" s="997"/>
      <c r="AW2282" s="997"/>
      <c r="AX2282" s="997"/>
      <c r="AY2282" s="997"/>
      <c r="AZ2282" s="997"/>
      <c r="BA2282" s="997"/>
      <c r="BB2282" s="997"/>
      <c r="BC2282" s="997"/>
      <c r="BD2282" s="997"/>
      <c r="BE2282" s="997"/>
      <c r="BF2282" s="997"/>
      <c r="BG2282" s="997"/>
      <c r="BH2282" s="997"/>
      <c r="BI2282" s="997"/>
      <c r="BJ2282" s="997"/>
      <c r="BK2282" s="997"/>
      <c r="BL2282" s="997"/>
    </row>
    <row r="2283" spans="1:64">
      <c r="A2283" s="1823"/>
      <c r="B2283" s="1068"/>
      <c r="C2283" s="1816"/>
      <c r="D2283" s="1816"/>
      <c r="E2283" s="1816"/>
      <c r="F2283" s="1839"/>
      <c r="G2283" s="1816"/>
      <c r="H2283" s="1816"/>
      <c r="I2283" s="1035"/>
      <c r="J2283" s="1117"/>
      <c r="K2283" s="1117"/>
      <c r="L2283" s="1117"/>
    </row>
    <row r="2284" spans="1:64">
      <c r="A2284" s="1823"/>
      <c r="B2284" s="1068"/>
      <c r="C2284" s="1816" t="s">
        <v>1217</v>
      </c>
      <c r="D2284" s="1106" t="s">
        <v>1357</v>
      </c>
      <c r="E2284" s="1106" t="s">
        <v>1358</v>
      </c>
      <c r="F2284" s="1009" t="s">
        <v>1359</v>
      </c>
      <c r="G2284" s="1816"/>
      <c r="H2284" s="1816"/>
      <c r="I2284" s="1035"/>
      <c r="J2284" s="1846"/>
      <c r="K2284" s="1846"/>
      <c r="L2284" s="1846"/>
    </row>
    <row r="2285" spans="1:64">
      <c r="A2285" s="1823"/>
      <c r="B2285" s="1068"/>
      <c r="C2285" s="1817" t="s">
        <v>1317</v>
      </c>
      <c r="D2285" s="1001">
        <f>$I$2273</f>
        <v>79218</v>
      </c>
      <c r="E2285" s="1001">
        <f>$I$2273</f>
        <v>79218</v>
      </c>
      <c r="F2285" s="1001">
        <f>$I$2273</f>
        <v>79218</v>
      </c>
      <c r="G2285" s="1816"/>
      <c r="H2285" s="1816"/>
      <c r="I2285" s="1035"/>
      <c r="J2285" s="1846"/>
      <c r="K2285" s="1846"/>
      <c r="L2285" s="1846"/>
    </row>
    <row r="2286" spans="1:64">
      <c r="A2286" s="1823"/>
      <c r="B2286" s="1068"/>
      <c r="C2286" s="1817" t="s">
        <v>1355</v>
      </c>
      <c r="D2286" s="1001">
        <f>$F$2272*60%</f>
        <v>6768</v>
      </c>
      <c r="E2286" s="1001">
        <f>$F$2272*70%</f>
        <v>7895.9999999999991</v>
      </c>
      <c r="F2286" s="1001">
        <f>$F$2272*80%</f>
        <v>9024</v>
      </c>
      <c r="G2286" s="1816"/>
      <c r="H2286" s="1816"/>
      <c r="I2286" s="1035"/>
      <c r="J2286" s="1846"/>
      <c r="K2286" s="1846"/>
      <c r="L2286" s="1846"/>
    </row>
    <row r="2287" spans="1:64">
      <c r="A2287" s="1823"/>
      <c r="B2287" s="1068"/>
      <c r="C2287" s="1817" t="str">
        <f>Input!$C$47</f>
        <v>Add for MA @ 40%</v>
      </c>
      <c r="D2287" s="1001">
        <f>D2286*Input!$D$47</f>
        <v>2707.2000000000003</v>
      </c>
      <c r="E2287" s="1001">
        <f>E2286*Input!$D$47</f>
        <v>3158.3999999999996</v>
      </c>
      <c r="F2287" s="1001">
        <f>F2286*Input!$D$47</f>
        <v>3609.6000000000004</v>
      </c>
      <c r="G2287" s="1816"/>
      <c r="H2287" s="1816"/>
      <c r="I2287" s="1035"/>
      <c r="J2287" s="1846"/>
      <c r="K2287" s="1846"/>
      <c r="L2287" s="1846"/>
    </row>
    <row r="2288" spans="1:64">
      <c r="A2288" s="1823"/>
      <c r="B2288" s="1068"/>
      <c r="C2288" s="1816" t="s">
        <v>1356</v>
      </c>
      <c r="D2288" s="1001">
        <f>SUM(D2285:D2287)</f>
        <v>88693.2</v>
      </c>
      <c r="E2288" s="1001">
        <f>SUM(E2285:E2287)</f>
        <v>90272.4</v>
      </c>
      <c r="F2288" s="1001">
        <f>SUM(F2285:F2287)</f>
        <v>91851.6</v>
      </c>
      <c r="G2288" s="1816"/>
      <c r="H2288" s="1816"/>
      <c r="I2288" s="1035"/>
      <c r="J2288" s="1846"/>
      <c r="K2288" s="1846"/>
      <c r="L2288" s="1846"/>
    </row>
    <row r="2289" spans="1:64">
      <c r="A2289" s="1823"/>
      <c r="B2289" s="1068"/>
      <c r="C2289" s="1817" t="str">
        <f>Input!$C$48</f>
        <v>Overheads &amp; Contractors Profit @ 13.615%</v>
      </c>
      <c r="D2289" s="1030">
        <f>ROUND(D2288*Input!$D$48,2)</f>
        <v>12075.58</v>
      </c>
      <c r="E2289" s="1030">
        <f>ROUND(E2288*Input!$D$48,2)</f>
        <v>12290.59</v>
      </c>
      <c r="F2289" s="1030">
        <f>ROUND(F2288*Input!$D$48,2)</f>
        <v>12505.6</v>
      </c>
      <c r="G2289" s="1816"/>
      <c r="H2289" s="1816"/>
      <c r="I2289" s="1035"/>
      <c r="J2289" s="1846"/>
      <c r="K2289" s="1846"/>
      <c r="L2289" s="1846"/>
    </row>
    <row r="2290" spans="1:64">
      <c r="A2290" s="1823"/>
      <c r="B2290" s="1068"/>
      <c r="C2290" s="1816" t="s">
        <v>1356</v>
      </c>
      <c r="D2290" s="994">
        <f>SUM(D2288:D2289)</f>
        <v>100768.78</v>
      </c>
      <c r="E2290" s="994">
        <f>SUM(E2288:E2289)</f>
        <v>102562.98999999999</v>
      </c>
      <c r="F2290" s="994">
        <f>SUM(F2288:F2289)</f>
        <v>104357.20000000001</v>
      </c>
      <c r="G2290" s="1816"/>
      <c r="H2290" s="1816"/>
      <c r="I2290" s="1035"/>
      <c r="J2290" s="1846"/>
      <c r="K2290" s="1846"/>
      <c r="L2290" s="1846"/>
    </row>
    <row r="2291" spans="1:64">
      <c r="A2291" s="1823"/>
      <c r="B2291" s="1068"/>
      <c r="C2291" s="1843" t="s">
        <v>1034</v>
      </c>
      <c r="D2291" s="999">
        <f>ROUND(D2290,0)</f>
        <v>100769</v>
      </c>
      <c r="E2291" s="999">
        <f>ROUND(E2290,0)</f>
        <v>102563</v>
      </c>
      <c r="F2291" s="999">
        <f>ROUND(F2290,0)</f>
        <v>104357</v>
      </c>
      <c r="G2291" s="1816"/>
      <c r="H2291" s="1816"/>
      <c r="I2291" s="1035"/>
      <c r="J2291" s="1846"/>
      <c r="K2291" s="1846"/>
      <c r="L2291" s="1846"/>
    </row>
    <row r="2292" spans="1:64">
      <c r="A2292" s="1823"/>
      <c r="B2292" s="1068"/>
      <c r="C2292" s="1816"/>
      <c r="D2292" s="1816"/>
      <c r="E2292" s="1816"/>
      <c r="F2292" s="1839"/>
      <c r="G2292" s="1816"/>
      <c r="H2292" s="1816"/>
      <c r="I2292" s="1035"/>
      <c r="J2292" s="1846"/>
      <c r="K2292" s="1846"/>
      <c r="L2292" s="1846"/>
    </row>
    <row r="2293" spans="1:64" ht="100.7" customHeight="1">
      <c r="A2293" s="1818">
        <f>A2262+1</f>
        <v>26</v>
      </c>
      <c r="B2293" s="1818"/>
      <c r="C2293" s="2036" t="s">
        <v>3412</v>
      </c>
      <c r="D2293" s="2036"/>
      <c r="E2293" s="2036"/>
      <c r="F2293" s="2036"/>
      <c r="G2293" s="2036"/>
      <c r="H2293" s="2036"/>
      <c r="I2293" s="1825"/>
      <c r="J2293" s="1846"/>
      <c r="K2293" s="1846"/>
      <c r="L2293" s="1846"/>
    </row>
    <row r="2294" spans="1:64">
      <c r="A2294" s="1818"/>
      <c r="B2294" s="1068"/>
      <c r="C2294" s="1049" t="s">
        <v>1349</v>
      </c>
      <c r="D2294" s="1816"/>
      <c r="E2294" s="1816"/>
      <c r="F2294" s="1839"/>
      <c r="G2294" s="1816"/>
      <c r="H2294" s="1816"/>
      <c r="I2294" s="1035"/>
      <c r="J2294" s="1846"/>
      <c r="K2294" s="1846"/>
      <c r="L2294" s="1846"/>
    </row>
    <row r="2295" spans="1:64">
      <c r="A2295" s="1818"/>
      <c r="B2295" s="1068"/>
      <c r="C2295" s="1816" t="s">
        <v>1350</v>
      </c>
      <c r="D2295" s="1816"/>
      <c r="E2295" s="1816"/>
      <c r="F2295" s="1839"/>
      <c r="G2295" s="1816"/>
      <c r="H2295" s="1816"/>
      <c r="I2295" s="1035"/>
      <c r="J2295" s="1846"/>
      <c r="K2295" s="1846"/>
      <c r="L2295" s="1846"/>
    </row>
    <row r="2296" spans="1:64">
      <c r="A2296" s="1818"/>
      <c r="B2296" s="1098" t="s">
        <v>294</v>
      </c>
      <c r="C2296" s="1816" t="s">
        <v>886</v>
      </c>
      <c r="D2296" s="1816"/>
      <c r="E2296" s="1816"/>
      <c r="F2296" s="1839"/>
      <c r="G2296" s="1816"/>
      <c r="H2296" s="1816"/>
      <c r="I2296" s="1035"/>
      <c r="J2296" s="1846"/>
      <c r="K2296" s="1846"/>
      <c r="L2296" s="1846"/>
    </row>
    <row r="2297" spans="1:64" ht="25.5">
      <c r="A2297" s="1058"/>
      <c r="B2297" s="1839"/>
      <c r="C2297" s="1817" t="s">
        <v>1360</v>
      </c>
      <c r="D2297" s="1060">
        <v>1.05</v>
      </c>
      <c r="E2297" s="1178" t="s">
        <v>948</v>
      </c>
      <c r="F2297" s="1062">
        <f>LEAD!$N$9</f>
        <v>60000</v>
      </c>
      <c r="G2297" s="1063">
        <v>1</v>
      </c>
      <c r="H2297" s="1178" t="str">
        <f t="shared" ref="H2297:H2298" si="536">IF(E2297="","",IF(E2297="No.","Each",IF(E2297="Nos.","Each",E2297)))</f>
        <v>MT</v>
      </c>
      <c r="I2297" s="1062">
        <f t="shared" ref="I2297:I2298" si="537">IF(G2297="",D2297*F2297,(D2297*F2297/G2297))</f>
        <v>63000</v>
      </c>
      <c r="J2297" s="1022"/>
      <c r="K2297" s="1022"/>
      <c r="L2297" s="1022"/>
      <c r="M2297" s="1066"/>
      <c r="N2297" s="1066"/>
      <c r="O2297" s="1066"/>
      <c r="P2297" s="1066"/>
      <c r="Q2297" s="1066"/>
      <c r="R2297" s="1066"/>
      <c r="S2297" s="1066"/>
      <c r="T2297" s="1066"/>
      <c r="U2297" s="1066"/>
      <c r="V2297" s="1066"/>
      <c r="W2297" s="1066"/>
      <c r="X2297" s="1066"/>
      <c r="Y2297" s="1066"/>
      <c r="Z2297" s="1066"/>
      <c r="AA2297" s="1066"/>
      <c r="AB2297" s="1066"/>
      <c r="AC2297" s="1066"/>
      <c r="AD2297" s="1066"/>
      <c r="AE2297" s="1066"/>
      <c r="AF2297" s="1066"/>
      <c r="AG2297" s="1066"/>
      <c r="AH2297" s="1066"/>
      <c r="AI2297" s="1066"/>
      <c r="AJ2297" s="1066"/>
      <c r="AK2297" s="1066"/>
      <c r="AL2297" s="1066"/>
      <c r="AM2297" s="1066"/>
      <c r="AN2297" s="1066"/>
      <c r="AO2297" s="1066"/>
      <c r="AP2297" s="1066"/>
      <c r="AQ2297" s="1066"/>
      <c r="AR2297" s="1066"/>
      <c r="AS2297" s="1066"/>
      <c r="AT2297" s="1066"/>
      <c r="AU2297" s="1066"/>
      <c r="AV2297" s="1066"/>
      <c r="AW2297" s="1066"/>
      <c r="AX2297" s="1066"/>
      <c r="AY2297" s="1066"/>
      <c r="AZ2297" s="1066"/>
      <c r="BA2297" s="1066"/>
      <c r="BB2297" s="1066"/>
      <c r="BC2297" s="1066"/>
      <c r="BD2297" s="1066"/>
      <c r="BE2297" s="1066"/>
      <c r="BF2297" s="1066"/>
      <c r="BG2297" s="1066"/>
      <c r="BH2297" s="1066"/>
      <c r="BI2297" s="1066"/>
      <c r="BJ2297" s="1066"/>
      <c r="BK2297" s="1066"/>
      <c r="BL2297" s="1066"/>
    </row>
    <row r="2298" spans="1:64">
      <c r="A2298" s="1058"/>
      <c r="B2298" s="1839"/>
      <c r="C2298" s="1817" t="s">
        <v>545</v>
      </c>
      <c r="D2298" s="1060">
        <v>6</v>
      </c>
      <c r="E2298" s="1178" t="s">
        <v>1110</v>
      </c>
      <c r="F2298" s="1062">
        <f>'Civil-SOR'!$G$309</f>
        <v>71</v>
      </c>
      <c r="G2298" s="1063">
        <v>1</v>
      </c>
      <c r="H2298" s="1178" t="str">
        <f t="shared" si="536"/>
        <v>Kgs</v>
      </c>
      <c r="I2298" s="1062">
        <f t="shared" si="537"/>
        <v>426</v>
      </c>
      <c r="J2298" s="1022"/>
      <c r="K2298" s="1022"/>
      <c r="L2298" s="1022"/>
      <c r="M2298" s="1066"/>
      <c r="N2298" s="1066"/>
      <c r="O2298" s="1066"/>
      <c r="P2298" s="1066"/>
      <c r="Q2298" s="1066"/>
      <c r="R2298" s="1066"/>
      <c r="S2298" s="1066"/>
      <c r="T2298" s="1066"/>
      <c r="U2298" s="1066"/>
      <c r="V2298" s="1066"/>
      <c r="W2298" s="1066"/>
      <c r="X2298" s="1066"/>
      <c r="Y2298" s="1066"/>
      <c r="Z2298" s="1066"/>
      <c r="AA2298" s="1066"/>
      <c r="AB2298" s="1066"/>
      <c r="AC2298" s="1066"/>
      <c r="AD2298" s="1066"/>
      <c r="AE2298" s="1066"/>
      <c r="AF2298" s="1066"/>
      <c r="AG2298" s="1066"/>
      <c r="AH2298" s="1066"/>
      <c r="AI2298" s="1066"/>
      <c r="AJ2298" s="1066"/>
      <c r="AK2298" s="1066"/>
      <c r="AL2298" s="1066"/>
      <c r="AM2298" s="1066"/>
      <c r="AN2298" s="1066"/>
      <c r="AO2298" s="1066"/>
      <c r="AP2298" s="1066"/>
      <c r="AQ2298" s="1066"/>
      <c r="AR2298" s="1066"/>
      <c r="AS2298" s="1066"/>
      <c r="AT2298" s="1066"/>
      <c r="AU2298" s="1066"/>
      <c r="AV2298" s="1066"/>
      <c r="AW2298" s="1066"/>
      <c r="AX2298" s="1066"/>
      <c r="AY2298" s="1066"/>
      <c r="AZ2298" s="1066"/>
      <c r="BA2298" s="1066"/>
      <c r="BB2298" s="1066"/>
      <c r="BC2298" s="1066"/>
      <c r="BD2298" s="1066"/>
      <c r="BE2298" s="1066"/>
      <c r="BF2298" s="1066"/>
      <c r="BG2298" s="1066"/>
      <c r="BH2298" s="1066"/>
      <c r="BI2298" s="1066"/>
      <c r="BJ2298" s="1066"/>
      <c r="BK2298" s="1066"/>
      <c r="BL2298" s="1066"/>
    </row>
    <row r="2299" spans="1:64" ht="25.5">
      <c r="A2299" s="1058"/>
      <c r="B2299" s="1839" t="s">
        <v>297</v>
      </c>
      <c r="C2299" s="1817" t="s">
        <v>1361</v>
      </c>
      <c r="D2299" s="1137"/>
      <c r="E2299" s="1022"/>
      <c r="F2299" s="1848"/>
      <c r="G2299" s="1076"/>
      <c r="H2299" s="1022"/>
      <c r="I2299" s="1848"/>
      <c r="J2299" s="1022"/>
      <c r="K2299" s="1022"/>
      <c r="L2299" s="1022"/>
      <c r="M2299" s="1066"/>
      <c r="N2299" s="1066"/>
      <c r="O2299" s="1066"/>
      <c r="P2299" s="1066"/>
      <c r="Q2299" s="1066"/>
      <c r="R2299" s="1066"/>
      <c r="S2299" s="1066"/>
      <c r="T2299" s="1066"/>
      <c r="U2299" s="1066"/>
      <c r="V2299" s="1066"/>
      <c r="W2299" s="1066"/>
      <c r="X2299" s="1066"/>
      <c r="Y2299" s="1066"/>
      <c r="Z2299" s="1066"/>
      <c r="AA2299" s="1066"/>
      <c r="AB2299" s="1066"/>
      <c r="AC2299" s="1066"/>
      <c r="AD2299" s="1066"/>
      <c r="AE2299" s="1066"/>
      <c r="AF2299" s="1066"/>
      <c r="AG2299" s="1066"/>
      <c r="AH2299" s="1066"/>
      <c r="AI2299" s="1066"/>
      <c r="AJ2299" s="1066"/>
      <c r="AK2299" s="1066"/>
      <c r="AL2299" s="1066"/>
      <c r="AM2299" s="1066"/>
      <c r="AN2299" s="1066"/>
      <c r="AO2299" s="1066"/>
      <c r="AP2299" s="1066"/>
      <c r="AQ2299" s="1066"/>
      <c r="AR2299" s="1066"/>
      <c r="AS2299" s="1066"/>
      <c r="AT2299" s="1066"/>
      <c r="AU2299" s="1066"/>
      <c r="AV2299" s="1066"/>
      <c r="AW2299" s="1066"/>
      <c r="AX2299" s="1066"/>
      <c r="AY2299" s="1066"/>
      <c r="AZ2299" s="1066"/>
      <c r="BA2299" s="1066"/>
      <c r="BB2299" s="1066"/>
      <c r="BC2299" s="1066"/>
      <c r="BD2299" s="1066"/>
      <c r="BE2299" s="1066"/>
      <c r="BF2299" s="1066"/>
      <c r="BG2299" s="1066"/>
      <c r="BH2299" s="1066"/>
      <c r="BI2299" s="1066"/>
      <c r="BJ2299" s="1066"/>
      <c r="BK2299" s="1066"/>
      <c r="BL2299" s="1066"/>
    </row>
    <row r="2300" spans="1:64">
      <c r="A2300" s="1058"/>
      <c r="B2300" s="1847"/>
      <c r="C2300" s="1817" t="s">
        <v>1352</v>
      </c>
      <c r="D2300" s="1139">
        <v>3</v>
      </c>
      <c r="E2300" s="1061" t="s">
        <v>36</v>
      </c>
      <c r="F2300" s="1062">
        <f>'Civil-SOR'!$G$288</f>
        <v>685</v>
      </c>
      <c r="G2300" s="1081">
        <v>1</v>
      </c>
      <c r="H2300" s="1140" t="str">
        <f t="shared" ref="H2300:H2302" si="538">IF(E2300="","",IF(E2300="No.","Each",IF(E2300="Nos.","Each",E2300)))</f>
        <v>Each</v>
      </c>
      <c r="I2300" s="1062">
        <f t="shared" ref="I2300:I2303" si="539">IF(G2300="",D2300*F2300,(D2300*F2300/G2300))</f>
        <v>2055</v>
      </c>
      <c r="J2300" s="1022"/>
      <c r="K2300" s="1022"/>
      <c r="L2300" s="1022"/>
      <c r="M2300" s="1066"/>
      <c r="N2300" s="1066"/>
      <c r="O2300" s="1066"/>
      <c r="P2300" s="1066"/>
      <c r="Q2300" s="1066"/>
      <c r="R2300" s="1066"/>
      <c r="S2300" s="1066"/>
      <c r="T2300" s="1066"/>
      <c r="U2300" s="1066"/>
      <c r="V2300" s="1066"/>
      <c r="W2300" s="1066"/>
      <c r="X2300" s="1066"/>
      <c r="Y2300" s="1066"/>
      <c r="Z2300" s="1066"/>
      <c r="AA2300" s="1066"/>
      <c r="AB2300" s="1066"/>
      <c r="AC2300" s="1066"/>
      <c r="AD2300" s="1066"/>
      <c r="AE2300" s="1066"/>
      <c r="AF2300" s="1066"/>
      <c r="AG2300" s="1066"/>
      <c r="AH2300" s="1066"/>
      <c r="AI2300" s="1066"/>
      <c r="AJ2300" s="1066"/>
      <c r="AK2300" s="1066"/>
      <c r="AL2300" s="1066"/>
      <c r="AM2300" s="1066"/>
      <c r="AN2300" s="1066"/>
      <c r="AO2300" s="1066"/>
      <c r="AP2300" s="1066"/>
      <c r="AQ2300" s="1066"/>
      <c r="AR2300" s="1066"/>
      <c r="AS2300" s="1066"/>
      <c r="AT2300" s="1066"/>
      <c r="AU2300" s="1066"/>
      <c r="AV2300" s="1066"/>
      <c r="AW2300" s="1066"/>
      <c r="AX2300" s="1066"/>
      <c r="AY2300" s="1066"/>
      <c r="AZ2300" s="1066"/>
      <c r="BA2300" s="1066"/>
      <c r="BB2300" s="1066"/>
      <c r="BC2300" s="1066"/>
      <c r="BD2300" s="1066"/>
      <c r="BE2300" s="1066"/>
      <c r="BF2300" s="1066"/>
      <c r="BG2300" s="1066"/>
      <c r="BH2300" s="1066"/>
      <c r="BI2300" s="1066"/>
      <c r="BJ2300" s="1066"/>
      <c r="BK2300" s="1066"/>
      <c r="BL2300" s="1066"/>
    </row>
    <row r="2301" spans="1:64">
      <c r="A2301" s="1058"/>
      <c r="B2301" s="1847"/>
      <c r="C2301" s="1817" t="s">
        <v>1353</v>
      </c>
      <c r="D2301" s="1139">
        <v>7</v>
      </c>
      <c r="E2301" s="1061" t="s">
        <v>36</v>
      </c>
      <c r="F2301" s="1062">
        <f>'Civil-SOR'!$G$289</f>
        <v>575</v>
      </c>
      <c r="G2301" s="1081">
        <v>1</v>
      </c>
      <c r="H2301" s="1140" t="str">
        <f t="shared" si="538"/>
        <v>Each</v>
      </c>
      <c r="I2301" s="1062">
        <f t="shared" si="539"/>
        <v>4025</v>
      </c>
      <c r="J2301" s="1022"/>
      <c r="K2301" s="1022"/>
      <c r="L2301" s="1022"/>
      <c r="M2301" s="1066"/>
      <c r="N2301" s="1066"/>
      <c r="O2301" s="1066"/>
      <c r="P2301" s="1066"/>
      <c r="Q2301" s="1066"/>
      <c r="R2301" s="1066"/>
      <c r="S2301" s="1066"/>
      <c r="T2301" s="1066"/>
      <c r="U2301" s="1066"/>
      <c r="V2301" s="1066"/>
      <c r="W2301" s="1066"/>
      <c r="X2301" s="1066"/>
      <c r="Y2301" s="1066"/>
      <c r="Z2301" s="1066"/>
      <c r="AA2301" s="1066"/>
      <c r="AB2301" s="1066"/>
      <c r="AC2301" s="1066"/>
      <c r="AD2301" s="1066"/>
      <c r="AE2301" s="1066"/>
      <c r="AF2301" s="1066"/>
      <c r="AG2301" s="1066"/>
      <c r="AH2301" s="1066"/>
      <c r="AI2301" s="1066"/>
      <c r="AJ2301" s="1066"/>
      <c r="AK2301" s="1066"/>
      <c r="AL2301" s="1066"/>
      <c r="AM2301" s="1066"/>
      <c r="AN2301" s="1066"/>
      <c r="AO2301" s="1066"/>
      <c r="AP2301" s="1066"/>
      <c r="AQ2301" s="1066"/>
      <c r="AR2301" s="1066"/>
      <c r="AS2301" s="1066"/>
      <c r="AT2301" s="1066"/>
      <c r="AU2301" s="1066"/>
      <c r="AV2301" s="1066"/>
      <c r="AW2301" s="1066"/>
      <c r="AX2301" s="1066"/>
      <c r="AY2301" s="1066"/>
      <c r="AZ2301" s="1066"/>
      <c r="BA2301" s="1066"/>
      <c r="BB2301" s="1066"/>
      <c r="BC2301" s="1066"/>
      <c r="BD2301" s="1066"/>
      <c r="BE2301" s="1066"/>
      <c r="BF2301" s="1066"/>
      <c r="BG2301" s="1066"/>
      <c r="BH2301" s="1066"/>
      <c r="BI2301" s="1066"/>
      <c r="BJ2301" s="1066"/>
      <c r="BK2301" s="1066"/>
      <c r="BL2301" s="1066"/>
    </row>
    <row r="2302" spans="1:64">
      <c r="A2302" s="1058"/>
      <c r="B2302" s="1847"/>
      <c r="C2302" s="1817" t="s">
        <v>1354</v>
      </c>
      <c r="D2302" s="1139">
        <v>10</v>
      </c>
      <c r="E2302" s="1061" t="s">
        <v>36</v>
      </c>
      <c r="F2302" s="1062">
        <f>'Civil-SOR'!$G$307</f>
        <v>520</v>
      </c>
      <c r="G2302" s="1081">
        <v>1</v>
      </c>
      <c r="H2302" s="1140" t="str">
        <f t="shared" si="538"/>
        <v>Each</v>
      </c>
      <c r="I2302" s="1062">
        <f t="shared" si="539"/>
        <v>5200</v>
      </c>
      <c r="J2302" s="1022"/>
      <c r="K2302" s="1022"/>
      <c r="L2302" s="1022"/>
      <c r="M2302" s="1066"/>
      <c r="N2302" s="1066"/>
      <c r="O2302" s="1066"/>
      <c r="P2302" s="1066"/>
      <c r="Q2302" s="1066"/>
      <c r="R2302" s="1066"/>
      <c r="S2302" s="1066"/>
      <c r="T2302" s="1066"/>
      <c r="U2302" s="1066"/>
      <c r="V2302" s="1066"/>
      <c r="W2302" s="1066"/>
      <c r="X2302" s="1066"/>
      <c r="Y2302" s="1066"/>
      <c r="Z2302" s="1066"/>
      <c r="AA2302" s="1066"/>
      <c r="AB2302" s="1066"/>
      <c r="AC2302" s="1066"/>
      <c r="AD2302" s="1066"/>
      <c r="AE2302" s="1066"/>
      <c r="AF2302" s="1066"/>
      <c r="AG2302" s="1066"/>
      <c r="AH2302" s="1066"/>
      <c r="AI2302" s="1066"/>
      <c r="AJ2302" s="1066"/>
      <c r="AK2302" s="1066"/>
      <c r="AL2302" s="1066"/>
      <c r="AM2302" s="1066"/>
      <c r="AN2302" s="1066"/>
      <c r="AO2302" s="1066"/>
      <c r="AP2302" s="1066"/>
      <c r="AQ2302" s="1066"/>
      <c r="AR2302" s="1066"/>
      <c r="AS2302" s="1066"/>
      <c r="AT2302" s="1066"/>
      <c r="AU2302" s="1066"/>
      <c r="AV2302" s="1066"/>
      <c r="AW2302" s="1066"/>
      <c r="AX2302" s="1066"/>
      <c r="AY2302" s="1066"/>
      <c r="AZ2302" s="1066"/>
      <c r="BA2302" s="1066"/>
      <c r="BB2302" s="1066"/>
      <c r="BC2302" s="1066"/>
      <c r="BD2302" s="1066"/>
      <c r="BE2302" s="1066"/>
      <c r="BF2302" s="1066"/>
      <c r="BG2302" s="1066"/>
      <c r="BH2302" s="1066"/>
      <c r="BI2302" s="1066"/>
      <c r="BJ2302" s="1066"/>
      <c r="BK2302" s="1066"/>
      <c r="BL2302" s="1066"/>
    </row>
    <row r="2303" spans="1:64">
      <c r="A2303" s="1058"/>
      <c r="B2303" s="1847"/>
      <c r="C2303" s="1817" t="str">
        <f>Input!$C$47</f>
        <v>Add for MA @ 40%</v>
      </c>
      <c r="D2303" s="1139">
        <f>Input!$D$47</f>
        <v>0.4</v>
      </c>
      <c r="E2303" s="1061"/>
      <c r="F2303" s="1062">
        <f>SUM(I2300:I2302)</f>
        <v>11280</v>
      </c>
      <c r="G2303" s="1081"/>
      <c r="H2303" s="1140"/>
      <c r="I2303" s="1062">
        <f t="shared" si="539"/>
        <v>4512</v>
      </c>
      <c r="J2303" s="1022"/>
      <c r="K2303" s="1022"/>
      <c r="L2303" s="1022"/>
      <c r="M2303" s="1066"/>
      <c r="N2303" s="1066"/>
      <c r="O2303" s="1066"/>
      <c r="P2303" s="1066"/>
      <c r="Q2303" s="1066"/>
      <c r="R2303" s="1066"/>
      <c r="S2303" s="1066"/>
      <c r="T2303" s="1066"/>
      <c r="U2303" s="1066"/>
      <c r="V2303" s="1066"/>
      <c r="W2303" s="1066"/>
      <c r="X2303" s="1066"/>
      <c r="Y2303" s="1066"/>
      <c r="Z2303" s="1066"/>
      <c r="AA2303" s="1066"/>
      <c r="AB2303" s="1066"/>
      <c r="AC2303" s="1066"/>
      <c r="AD2303" s="1066"/>
      <c r="AE2303" s="1066"/>
      <c r="AF2303" s="1066"/>
      <c r="AG2303" s="1066"/>
      <c r="AH2303" s="1066"/>
      <c r="AI2303" s="1066"/>
      <c r="AJ2303" s="1066"/>
      <c r="AK2303" s="1066"/>
      <c r="AL2303" s="1066"/>
      <c r="AM2303" s="1066"/>
      <c r="AN2303" s="1066"/>
      <c r="AO2303" s="1066"/>
      <c r="AP2303" s="1066"/>
      <c r="AQ2303" s="1066"/>
      <c r="AR2303" s="1066"/>
      <c r="AS2303" s="1066"/>
      <c r="AT2303" s="1066"/>
      <c r="AU2303" s="1066"/>
      <c r="AV2303" s="1066"/>
      <c r="AW2303" s="1066"/>
      <c r="AX2303" s="1066"/>
      <c r="AY2303" s="1066"/>
      <c r="AZ2303" s="1066"/>
      <c r="BA2303" s="1066"/>
      <c r="BB2303" s="1066"/>
      <c r="BC2303" s="1066"/>
      <c r="BD2303" s="1066"/>
      <c r="BE2303" s="1066"/>
      <c r="BF2303" s="1066"/>
      <c r="BG2303" s="1066"/>
      <c r="BH2303" s="1066"/>
      <c r="BI2303" s="1066"/>
      <c r="BJ2303" s="1066"/>
      <c r="BK2303" s="1066"/>
      <c r="BL2303" s="1066"/>
    </row>
    <row r="2304" spans="1:64">
      <c r="A2304" s="1086"/>
      <c r="B2304" s="1023"/>
      <c r="C2304" s="1088"/>
      <c r="D2304" s="1088"/>
      <c r="E2304" s="1088"/>
      <c r="F2304" s="1841"/>
      <c r="G2304" s="1088"/>
      <c r="H2304" s="1088"/>
      <c r="I2304" s="1826">
        <f>SUM(I2297:I2303)</f>
        <v>79218</v>
      </c>
      <c r="J2304" s="996"/>
      <c r="K2304" s="996"/>
      <c r="L2304" s="996"/>
      <c r="M2304" s="997"/>
      <c r="N2304" s="997"/>
      <c r="O2304" s="997"/>
      <c r="P2304" s="997"/>
      <c r="Q2304" s="997"/>
      <c r="R2304" s="997"/>
      <c r="S2304" s="997"/>
      <c r="T2304" s="997"/>
      <c r="U2304" s="997"/>
      <c r="V2304" s="997"/>
      <c r="W2304" s="997"/>
      <c r="X2304" s="997"/>
      <c r="Y2304" s="997"/>
      <c r="Z2304" s="997"/>
      <c r="AA2304" s="997"/>
      <c r="AB2304" s="997"/>
      <c r="AC2304" s="997"/>
      <c r="AD2304" s="997"/>
      <c r="AE2304" s="997"/>
      <c r="AF2304" s="997"/>
      <c r="AG2304" s="997"/>
      <c r="AH2304" s="997"/>
      <c r="AI2304" s="997"/>
      <c r="AJ2304" s="997"/>
      <c r="AK2304" s="997"/>
      <c r="AL2304" s="997"/>
      <c r="AM2304" s="997"/>
      <c r="AN2304" s="997"/>
      <c r="AO2304" s="997"/>
      <c r="AP2304" s="997"/>
      <c r="AQ2304" s="997"/>
      <c r="AR2304" s="997"/>
      <c r="AS2304" s="997"/>
      <c r="AT2304" s="997"/>
      <c r="AU2304" s="997"/>
      <c r="AV2304" s="997"/>
      <c r="AW2304" s="997"/>
      <c r="AX2304" s="997"/>
      <c r="AY2304" s="997"/>
      <c r="AZ2304" s="997"/>
      <c r="BA2304" s="997"/>
      <c r="BB2304" s="997"/>
      <c r="BC2304" s="997"/>
      <c r="BD2304" s="997"/>
      <c r="BE2304" s="997"/>
      <c r="BF2304" s="997"/>
      <c r="BG2304" s="997"/>
      <c r="BH2304" s="997"/>
      <c r="BI2304" s="997"/>
      <c r="BJ2304" s="997"/>
      <c r="BK2304" s="997"/>
      <c r="BL2304" s="997"/>
    </row>
    <row r="2305" spans="1:64">
      <c r="A2305" s="1818"/>
      <c r="B2305" s="1068"/>
      <c r="C2305" s="1816"/>
      <c r="D2305" s="1816"/>
      <c r="E2305" s="1816"/>
      <c r="F2305" s="1839"/>
      <c r="G2305" s="1816"/>
      <c r="H2305" s="1816"/>
      <c r="I2305" s="1035"/>
      <c r="J2305" s="996"/>
      <c r="K2305" s="996"/>
      <c r="L2305" s="996"/>
    </row>
    <row r="2306" spans="1:64">
      <c r="A2306" s="1818"/>
      <c r="B2306" s="1068"/>
      <c r="C2306" s="1816" t="s">
        <v>1217</v>
      </c>
      <c r="D2306" s="1009" t="s">
        <v>1223</v>
      </c>
      <c r="E2306" s="1114" t="s">
        <v>1207</v>
      </c>
      <c r="F2306" s="1106" t="s">
        <v>1208</v>
      </c>
      <c r="G2306" s="1106" t="s">
        <v>1291</v>
      </c>
      <c r="H2306" s="1106" t="s">
        <v>1292</v>
      </c>
      <c r="I2306" s="1106" t="s">
        <v>1293</v>
      </c>
      <c r="J2306" s="996"/>
      <c r="K2306" s="996"/>
      <c r="L2306" s="996"/>
    </row>
    <row r="2307" spans="1:64">
      <c r="A2307" s="1818"/>
      <c r="B2307" s="1068"/>
      <c r="C2307" s="1817" t="s">
        <v>1317</v>
      </c>
      <c r="D2307" s="1001">
        <f t="shared" ref="D2307:I2307" si="540">$I$2304</f>
        <v>79218</v>
      </c>
      <c r="E2307" s="1001">
        <f t="shared" si="540"/>
        <v>79218</v>
      </c>
      <c r="F2307" s="1001">
        <f t="shared" si="540"/>
        <v>79218</v>
      </c>
      <c r="G2307" s="1001">
        <f t="shared" si="540"/>
        <v>79218</v>
      </c>
      <c r="H2307" s="1001">
        <f t="shared" si="540"/>
        <v>79218</v>
      </c>
      <c r="I2307" s="1001">
        <f t="shared" si="540"/>
        <v>79218</v>
      </c>
      <c r="J2307" s="996"/>
      <c r="K2307" s="996"/>
      <c r="L2307" s="996"/>
    </row>
    <row r="2308" spans="1:64">
      <c r="A2308" s="1818"/>
      <c r="B2308" s="1068"/>
      <c r="C2308" s="1817" t="s">
        <v>1362</v>
      </c>
      <c r="D2308" s="1001">
        <v>0</v>
      </c>
      <c r="E2308" s="1001">
        <f>ROUND(($F$2303)*10%,2)</f>
        <v>1128</v>
      </c>
      <c r="F2308" s="1001">
        <f>ROUND(($F$2303)*20%,2)</f>
        <v>2256</v>
      </c>
      <c r="G2308" s="1001">
        <f>ROUND(($F$2303)*30%,2)</f>
        <v>3384</v>
      </c>
      <c r="H2308" s="1001">
        <f>ROUND(($F$2303)*40%,2)</f>
        <v>4512</v>
      </c>
      <c r="I2308" s="1001">
        <f>ROUND(($F$2303)*50%,2)</f>
        <v>5640</v>
      </c>
      <c r="J2308" s="996"/>
      <c r="K2308" s="996"/>
      <c r="L2308" s="996"/>
    </row>
    <row r="2309" spans="1:64">
      <c r="A2309" s="1818"/>
      <c r="B2309" s="1068"/>
      <c r="C2309" s="1817" t="str">
        <f>Input!$C$47</f>
        <v>Add for MA @ 40%</v>
      </c>
      <c r="D2309" s="1001">
        <f>D2308*Input!$D$47</f>
        <v>0</v>
      </c>
      <c r="E2309" s="1001">
        <f>E2308*Input!$D$47</f>
        <v>451.20000000000005</v>
      </c>
      <c r="F2309" s="1001">
        <f>F2308*Input!$D$47</f>
        <v>902.40000000000009</v>
      </c>
      <c r="G2309" s="1001">
        <f>G2308*Input!$D$47</f>
        <v>1353.6000000000001</v>
      </c>
      <c r="H2309" s="1001">
        <f>H2308*Input!$D$47</f>
        <v>1804.8000000000002</v>
      </c>
      <c r="I2309" s="1001">
        <f>I2308*Input!$D$47</f>
        <v>2256</v>
      </c>
      <c r="J2309" s="996"/>
      <c r="K2309" s="996"/>
      <c r="L2309" s="996"/>
    </row>
    <row r="2310" spans="1:64">
      <c r="A2310" s="1818"/>
      <c r="B2310" s="1068"/>
      <c r="C2310" s="1816" t="s">
        <v>1356</v>
      </c>
      <c r="D2310" s="1001">
        <f t="shared" ref="D2310:I2310" si="541">SUM(D2307:D2309)</f>
        <v>79218</v>
      </c>
      <c r="E2310" s="1001">
        <f t="shared" si="541"/>
        <v>80797.2</v>
      </c>
      <c r="F2310" s="1001">
        <f t="shared" si="541"/>
        <v>82376.399999999994</v>
      </c>
      <c r="G2310" s="1001">
        <f t="shared" si="541"/>
        <v>83955.6</v>
      </c>
      <c r="H2310" s="1001">
        <f t="shared" si="541"/>
        <v>85534.8</v>
      </c>
      <c r="I2310" s="1001">
        <f t="shared" si="541"/>
        <v>87114</v>
      </c>
      <c r="J2310" s="996"/>
      <c r="K2310" s="996"/>
      <c r="L2310" s="996"/>
    </row>
    <row r="2311" spans="1:64">
      <c r="A2311" s="1818"/>
      <c r="B2311" s="1068"/>
      <c r="C2311" s="1817" t="str">
        <f>Input!$C$48</f>
        <v>Overheads &amp; Contractors Profit @ 13.615%</v>
      </c>
      <c r="D2311" s="1030">
        <f>ROUND(D2310*Input!$D$48,2)</f>
        <v>10785.53</v>
      </c>
      <c r="E2311" s="1030">
        <f>ROUND(E2310*Input!$D$48,2)</f>
        <v>11000.54</v>
      </c>
      <c r="F2311" s="1030">
        <f>ROUND(F2310*Input!$D$48,2)</f>
        <v>11215.55</v>
      </c>
      <c r="G2311" s="1030">
        <f>ROUND(G2310*Input!$D$48,2)</f>
        <v>11430.55</v>
      </c>
      <c r="H2311" s="1030">
        <f>ROUND(H2310*Input!$D$48,2)</f>
        <v>11645.56</v>
      </c>
      <c r="I2311" s="1030">
        <f>ROUND(I2310*Input!$D$48,2)</f>
        <v>11860.57</v>
      </c>
      <c r="J2311" s="996"/>
      <c r="K2311" s="996"/>
      <c r="L2311" s="996"/>
    </row>
    <row r="2312" spans="1:64">
      <c r="A2312" s="1086"/>
      <c r="B2312" s="1023"/>
      <c r="C2312" s="1088" t="s">
        <v>1356</v>
      </c>
      <c r="D2312" s="994">
        <f t="shared" ref="D2312:I2312" si="542">SUM(D2310:D2311)</f>
        <v>90003.53</v>
      </c>
      <c r="E2312" s="994">
        <f t="shared" si="542"/>
        <v>91797.739999999991</v>
      </c>
      <c r="F2312" s="994">
        <f t="shared" si="542"/>
        <v>93591.95</v>
      </c>
      <c r="G2312" s="994">
        <f t="shared" si="542"/>
        <v>95386.150000000009</v>
      </c>
      <c r="H2312" s="994">
        <f t="shared" si="542"/>
        <v>97180.36</v>
      </c>
      <c r="I2312" s="994">
        <f t="shared" si="542"/>
        <v>98974.57</v>
      </c>
      <c r="J2312" s="996"/>
      <c r="K2312" s="996"/>
      <c r="L2312" s="996"/>
      <c r="M2312" s="997"/>
      <c r="N2312" s="997"/>
      <c r="O2312" s="997"/>
      <c r="P2312" s="997"/>
      <c r="Q2312" s="997"/>
      <c r="R2312" s="997"/>
      <c r="S2312" s="997"/>
      <c r="T2312" s="997"/>
      <c r="U2312" s="997"/>
      <c r="V2312" s="997"/>
      <c r="W2312" s="997"/>
      <c r="X2312" s="997"/>
      <c r="Y2312" s="997"/>
      <c r="Z2312" s="997"/>
      <c r="AA2312" s="997"/>
      <c r="AB2312" s="997"/>
      <c r="AC2312" s="997"/>
      <c r="AD2312" s="997"/>
      <c r="AE2312" s="997"/>
      <c r="AF2312" s="997"/>
      <c r="AG2312" s="997"/>
      <c r="AH2312" s="997"/>
      <c r="AI2312" s="997"/>
      <c r="AJ2312" s="997"/>
      <c r="AK2312" s="997"/>
      <c r="AL2312" s="997"/>
      <c r="AM2312" s="997"/>
      <c r="AN2312" s="997"/>
      <c r="AO2312" s="997"/>
      <c r="AP2312" s="997"/>
      <c r="AQ2312" s="997"/>
      <c r="AR2312" s="997"/>
      <c r="AS2312" s="997"/>
      <c r="AT2312" s="997"/>
      <c r="AU2312" s="997"/>
      <c r="AV2312" s="997"/>
      <c r="AW2312" s="997"/>
      <c r="AX2312" s="997"/>
      <c r="AY2312" s="997"/>
      <c r="AZ2312" s="997"/>
      <c r="BA2312" s="997"/>
      <c r="BB2312" s="997"/>
      <c r="BC2312" s="997"/>
      <c r="BD2312" s="997"/>
      <c r="BE2312" s="997"/>
      <c r="BF2312" s="997"/>
      <c r="BG2312" s="997"/>
      <c r="BH2312" s="997"/>
      <c r="BI2312" s="997"/>
      <c r="BJ2312" s="997"/>
      <c r="BK2312" s="997"/>
      <c r="BL2312" s="997"/>
    </row>
    <row r="2313" spans="1:64">
      <c r="A2313" s="1086"/>
      <c r="B2313" s="1023"/>
      <c r="C2313" s="1118" t="s">
        <v>1034</v>
      </c>
      <c r="D2313" s="999">
        <f t="shared" ref="D2313:I2313" si="543">ROUND(D2312,0)</f>
        <v>90004</v>
      </c>
      <c r="E2313" s="999">
        <f t="shared" si="543"/>
        <v>91798</v>
      </c>
      <c r="F2313" s="999">
        <f t="shared" si="543"/>
        <v>93592</v>
      </c>
      <c r="G2313" s="999">
        <f t="shared" si="543"/>
        <v>95386</v>
      </c>
      <c r="H2313" s="999">
        <f t="shared" si="543"/>
        <v>97180</v>
      </c>
      <c r="I2313" s="999">
        <f t="shared" si="543"/>
        <v>98975</v>
      </c>
      <c r="J2313" s="996"/>
      <c r="K2313" s="996"/>
      <c r="L2313" s="996"/>
      <c r="M2313" s="997"/>
      <c r="N2313" s="997"/>
      <c r="O2313" s="997"/>
      <c r="P2313" s="997"/>
      <c r="Q2313" s="997"/>
      <c r="R2313" s="997"/>
      <c r="S2313" s="997"/>
      <c r="T2313" s="997"/>
      <c r="U2313" s="997"/>
      <c r="V2313" s="997"/>
      <c r="W2313" s="997"/>
      <c r="X2313" s="997"/>
      <c r="Y2313" s="997"/>
      <c r="Z2313" s="997"/>
      <c r="AA2313" s="997"/>
      <c r="AB2313" s="997"/>
      <c r="AC2313" s="997"/>
      <c r="AD2313" s="997"/>
      <c r="AE2313" s="997"/>
      <c r="AF2313" s="997"/>
      <c r="AG2313" s="997"/>
      <c r="AH2313" s="997"/>
      <c r="AI2313" s="997"/>
      <c r="AJ2313" s="997"/>
      <c r="AK2313" s="997"/>
      <c r="AL2313" s="997"/>
      <c r="AM2313" s="997"/>
      <c r="AN2313" s="997"/>
      <c r="AO2313" s="997"/>
      <c r="AP2313" s="997"/>
      <c r="AQ2313" s="997"/>
      <c r="AR2313" s="997"/>
      <c r="AS2313" s="997"/>
      <c r="AT2313" s="997"/>
      <c r="AU2313" s="997"/>
      <c r="AV2313" s="997"/>
      <c r="AW2313" s="997"/>
      <c r="AX2313" s="997"/>
      <c r="AY2313" s="997"/>
      <c r="AZ2313" s="997"/>
      <c r="BA2313" s="997"/>
      <c r="BB2313" s="997"/>
      <c r="BC2313" s="997"/>
      <c r="BD2313" s="997"/>
      <c r="BE2313" s="997"/>
      <c r="BF2313" s="997"/>
      <c r="BG2313" s="997"/>
      <c r="BH2313" s="997"/>
      <c r="BI2313" s="997"/>
      <c r="BJ2313" s="997"/>
      <c r="BK2313" s="997"/>
      <c r="BL2313" s="997"/>
    </row>
    <row r="2314" spans="1:64">
      <c r="A2314" s="1818"/>
      <c r="B2314" s="1818"/>
      <c r="C2314" s="1816"/>
      <c r="D2314" s="1000"/>
      <c r="E2314" s="1094"/>
      <c r="F2314" s="1001"/>
      <c r="G2314" s="1015"/>
      <c r="H2314" s="1047"/>
      <c r="I2314" s="1011"/>
      <c r="J2314" s="996"/>
      <c r="K2314" s="996"/>
      <c r="L2314" s="996"/>
    </row>
    <row r="2315" spans="1:64">
      <c r="A2315" s="1818"/>
      <c r="B2315" s="1818"/>
      <c r="C2315" s="1816" t="s">
        <v>1217</v>
      </c>
      <c r="D2315" s="1106" t="s">
        <v>1357</v>
      </c>
      <c r="E2315" s="1106" t="s">
        <v>1358</v>
      </c>
      <c r="F2315" s="1106" t="s">
        <v>1359</v>
      </c>
      <c r="G2315" s="1015"/>
      <c r="H2315" s="1047"/>
      <c r="I2315" s="1011"/>
      <c r="J2315" s="1846"/>
      <c r="K2315" s="1846"/>
      <c r="L2315" s="1846"/>
    </row>
    <row r="2316" spans="1:64">
      <c r="A2316" s="1818"/>
      <c r="B2316" s="1818"/>
      <c r="C2316" s="1817" t="s">
        <v>1317</v>
      </c>
      <c r="D2316" s="1001">
        <f>$I$2304</f>
        <v>79218</v>
      </c>
      <c r="E2316" s="1001">
        <f>$I$2304</f>
        <v>79218</v>
      </c>
      <c r="F2316" s="1001">
        <f>$I$2304</f>
        <v>79218</v>
      </c>
      <c r="G2316" s="1015"/>
      <c r="H2316" s="1047"/>
      <c r="I2316" s="1011"/>
      <c r="J2316" s="1846"/>
      <c r="K2316" s="1846"/>
      <c r="L2316" s="1846"/>
    </row>
    <row r="2317" spans="1:64">
      <c r="A2317" s="1818"/>
      <c r="B2317" s="1818"/>
      <c r="C2317" s="1817" t="s">
        <v>1362</v>
      </c>
      <c r="D2317" s="1001">
        <f>ROUND(($F$2303)*60%,2)</f>
        <v>6768</v>
      </c>
      <c r="E2317" s="1001">
        <f>ROUND(($F$2303)*70%,2)</f>
        <v>7896</v>
      </c>
      <c r="F2317" s="1001">
        <f>ROUND(($F$2303)*80%,2)</f>
        <v>9024</v>
      </c>
      <c r="G2317" s="1015"/>
      <c r="H2317" s="1047"/>
      <c r="I2317" s="1011"/>
      <c r="J2317" s="1846"/>
      <c r="K2317" s="1846"/>
      <c r="L2317" s="1846"/>
    </row>
    <row r="2318" spans="1:64">
      <c r="A2318" s="1818"/>
      <c r="B2318" s="1818"/>
      <c r="C2318" s="1817" t="str">
        <f>Input!$C$47</f>
        <v>Add for MA @ 40%</v>
      </c>
      <c r="D2318" s="1001">
        <f>D2317*Input!$D$47</f>
        <v>2707.2000000000003</v>
      </c>
      <c r="E2318" s="1001">
        <f>E2317*Input!$D$47</f>
        <v>3158.4</v>
      </c>
      <c r="F2318" s="1001">
        <f>F2317*Input!$D$47</f>
        <v>3609.6000000000004</v>
      </c>
      <c r="G2318" s="1015"/>
      <c r="H2318" s="1047"/>
      <c r="I2318" s="1011"/>
      <c r="J2318" s="1846"/>
      <c r="K2318" s="1846"/>
      <c r="L2318" s="1846"/>
    </row>
    <row r="2319" spans="1:64">
      <c r="A2319" s="1818"/>
      <c r="B2319" s="1818"/>
      <c r="C2319" s="1816" t="s">
        <v>1356</v>
      </c>
      <c r="D2319" s="1001">
        <f>SUM(D2316:D2318)</f>
        <v>88693.2</v>
      </c>
      <c r="E2319" s="1001">
        <f>SUM(E2316:E2318)</f>
        <v>90272.4</v>
      </c>
      <c r="F2319" s="1001">
        <f>SUM(F2316:F2318)</f>
        <v>91851.6</v>
      </c>
      <c r="G2319" s="1015"/>
      <c r="H2319" s="1047"/>
      <c r="I2319" s="1011"/>
      <c r="J2319" s="1846"/>
      <c r="K2319" s="1846"/>
      <c r="L2319" s="1846"/>
    </row>
    <row r="2320" spans="1:64">
      <c r="A2320" s="1818"/>
      <c r="B2320" s="1818"/>
      <c r="C2320" s="1817" t="str">
        <f>Input!$C$48</f>
        <v>Overheads &amp; Contractors Profit @ 13.615%</v>
      </c>
      <c r="D2320" s="1030">
        <f>ROUND(D2319*Input!$D$48,2)</f>
        <v>12075.58</v>
      </c>
      <c r="E2320" s="1030">
        <f>ROUND(E2319*Input!$D$48,2)</f>
        <v>12290.59</v>
      </c>
      <c r="F2320" s="1030">
        <f>ROUND(F2319*Input!$D$48,2)</f>
        <v>12505.6</v>
      </c>
      <c r="G2320" s="1015"/>
      <c r="H2320" s="1047"/>
      <c r="I2320" s="1011"/>
      <c r="J2320" s="1846"/>
      <c r="K2320" s="1846"/>
      <c r="L2320" s="1846"/>
    </row>
    <row r="2321" spans="1:12">
      <c r="A2321" s="1818"/>
      <c r="B2321" s="1818"/>
      <c r="C2321" s="1816" t="s">
        <v>1356</v>
      </c>
      <c r="D2321" s="994">
        <f>SUM(D2319:D2320)</f>
        <v>100768.78</v>
      </c>
      <c r="E2321" s="994">
        <f>SUM(E2319:E2320)</f>
        <v>102562.98999999999</v>
      </c>
      <c r="F2321" s="994">
        <f>SUM(F2319:F2320)</f>
        <v>104357.20000000001</v>
      </c>
      <c r="G2321" s="1015"/>
      <c r="H2321" s="1047"/>
      <c r="I2321" s="1011"/>
      <c r="J2321" s="1846"/>
      <c r="K2321" s="1846"/>
      <c r="L2321" s="1846"/>
    </row>
    <row r="2322" spans="1:12">
      <c r="A2322" s="1818"/>
      <c r="B2322" s="1818"/>
      <c r="C2322" s="1843" t="s">
        <v>1034</v>
      </c>
      <c r="D2322" s="999">
        <f>ROUND(D2321,0)</f>
        <v>100769</v>
      </c>
      <c r="E2322" s="999">
        <f>ROUND(E2321,0)</f>
        <v>102563</v>
      </c>
      <c r="F2322" s="999">
        <f>ROUND(F2321,0)</f>
        <v>104357</v>
      </c>
      <c r="G2322" s="1015"/>
      <c r="H2322" s="1047"/>
      <c r="I2322" s="1011"/>
      <c r="J2322" s="1846"/>
      <c r="K2322" s="1846"/>
      <c r="L2322" s="1846"/>
    </row>
    <row r="2323" spans="1:12">
      <c r="A2323" s="1818"/>
      <c r="B2323" s="1818"/>
      <c r="C2323" s="1816"/>
      <c r="D2323" s="1000"/>
      <c r="E2323" s="1094"/>
      <c r="F2323" s="1001"/>
      <c r="G2323" s="1015"/>
      <c r="H2323" s="1047"/>
      <c r="I2323" s="1011"/>
      <c r="J2323" s="1846"/>
      <c r="K2323" s="1846"/>
      <c r="L2323" s="1846"/>
    </row>
    <row r="2324" spans="1:12" ht="80.650000000000006" customHeight="1">
      <c r="A2324" s="1818">
        <f>A2293+1</f>
        <v>27</v>
      </c>
      <c r="B2324" s="1818"/>
      <c r="C2324" s="2036" t="s">
        <v>3413</v>
      </c>
      <c r="D2324" s="2036"/>
      <c r="E2324" s="2036"/>
      <c r="F2324" s="2036"/>
      <c r="G2324" s="2036"/>
      <c r="H2324" s="2036"/>
      <c r="I2324" s="1825"/>
      <c r="J2324" s="1846"/>
      <c r="K2324" s="1846"/>
      <c r="L2324" s="1846"/>
    </row>
    <row r="2325" spans="1:12">
      <c r="A2325" s="1818"/>
      <c r="B2325" s="1818"/>
      <c r="C2325" s="1049" t="s">
        <v>1363</v>
      </c>
      <c r="D2325" s="1000"/>
      <c r="E2325" s="1069"/>
      <c r="F2325" s="1001"/>
      <c r="G2325" s="1015"/>
      <c r="H2325" s="1094"/>
      <c r="I2325" s="1030"/>
      <c r="J2325" s="1846"/>
      <c r="K2325" s="1846"/>
      <c r="L2325" s="1846"/>
    </row>
    <row r="2326" spans="1:12">
      <c r="A2326" s="1818"/>
      <c r="B2326" s="1818"/>
      <c r="C2326" s="1846" t="s">
        <v>1364</v>
      </c>
      <c r="D2326" s="1000"/>
      <c r="E2326" s="1069"/>
      <c r="F2326" s="1001"/>
      <c r="G2326" s="1015"/>
      <c r="H2326" s="1094"/>
      <c r="I2326" s="1030"/>
      <c r="J2326" s="1846"/>
      <c r="K2326" s="1846"/>
      <c r="L2326" s="1846"/>
    </row>
    <row r="2327" spans="1:12">
      <c r="A2327" s="1818"/>
      <c r="B2327" s="1818"/>
      <c r="C2327" s="1816" t="s">
        <v>1139</v>
      </c>
      <c r="D2327" s="1000"/>
      <c r="E2327" s="1069"/>
      <c r="F2327" s="1001"/>
      <c r="G2327" s="1015"/>
      <c r="H2327" s="1094"/>
      <c r="I2327" s="1030"/>
      <c r="J2327" s="1846"/>
      <c r="K2327" s="1846"/>
      <c r="L2327" s="1846"/>
    </row>
    <row r="2328" spans="1:12">
      <c r="A2328" s="1818"/>
      <c r="B2328" s="1818"/>
      <c r="C2328" s="1817" t="s">
        <v>1365</v>
      </c>
      <c r="D2328" s="1000"/>
      <c r="E2328" s="1069"/>
      <c r="F2328" s="1001"/>
      <c r="G2328" s="1015"/>
      <c r="H2328" s="1094"/>
      <c r="I2328" s="1030"/>
      <c r="J2328" s="1846"/>
      <c r="K2328" s="1846"/>
      <c r="L2328" s="1846"/>
    </row>
    <row r="2329" spans="1:12">
      <c r="A2329" s="1818"/>
      <c r="B2329" s="1818"/>
      <c r="C2329" s="1817" t="s">
        <v>1366</v>
      </c>
      <c r="D2329" s="1000">
        <v>26.4</v>
      </c>
      <c r="E2329" s="1069" t="s">
        <v>1110</v>
      </c>
      <c r="F2329" s="1001">
        <f>LEAD!$N$6</f>
        <v>5200</v>
      </c>
      <c r="G2329" s="1015">
        <v>1000</v>
      </c>
      <c r="H2329" s="1050" t="str">
        <f t="shared" ref="H2329:H2330" si="544">IF(E2329="","",IF(E2329="No.","Each",IF(E2329="Nos.","Each",E2329)))</f>
        <v>Kgs</v>
      </c>
      <c r="I2329" s="1030">
        <f t="shared" ref="I2329:I2330" si="545">IF(G2329="",D2329*F2329,(D2329*F2329/G2329))</f>
        <v>137.28</v>
      </c>
      <c r="J2329" s="1096"/>
      <c r="K2329" s="1846"/>
      <c r="L2329" s="1846"/>
    </row>
    <row r="2330" spans="1:12">
      <c r="A2330" s="1818"/>
      <c r="B2330" s="1818"/>
      <c r="C2330" s="1817" t="s">
        <v>1367</v>
      </c>
      <c r="D2330" s="1000">
        <v>0.11</v>
      </c>
      <c r="E2330" s="1069" t="s">
        <v>484</v>
      </c>
      <c r="F2330" s="1001">
        <f>LEAD!$N$13</f>
        <v>2453.91</v>
      </c>
      <c r="G2330" s="1015">
        <v>1</v>
      </c>
      <c r="H2330" s="1050" t="str">
        <f t="shared" si="544"/>
        <v>Cum</v>
      </c>
      <c r="I2330" s="1030">
        <f t="shared" si="545"/>
        <v>269.93009999999998</v>
      </c>
      <c r="J2330" s="1096"/>
      <c r="K2330" s="1846"/>
      <c r="L2330" s="1846"/>
    </row>
    <row r="2331" spans="1:12">
      <c r="A2331" s="1818"/>
      <c r="B2331" s="1818"/>
      <c r="C2331" s="1817" t="s">
        <v>1368</v>
      </c>
      <c r="D2331" s="1000"/>
      <c r="E2331" s="1069"/>
      <c r="F2331" s="1001"/>
      <c r="G2331" s="1015"/>
      <c r="H2331" s="1050"/>
      <c r="I2331" s="1030"/>
      <c r="J2331" s="1096"/>
      <c r="K2331" s="1846"/>
      <c r="L2331" s="1846"/>
    </row>
    <row r="2332" spans="1:12">
      <c r="A2332" s="1818"/>
      <c r="B2332" s="1818"/>
      <c r="C2332" s="1817" t="s">
        <v>1366</v>
      </c>
      <c r="D2332" s="1000">
        <v>14.4</v>
      </c>
      <c r="E2332" s="1069" t="s">
        <v>1110</v>
      </c>
      <c r="F2332" s="1001">
        <f>LEAD!$N$6</f>
        <v>5200</v>
      </c>
      <c r="G2332" s="1015">
        <v>1000</v>
      </c>
      <c r="H2332" s="1050" t="str">
        <f t="shared" ref="H2332:H2333" si="546">IF(E2332="","",IF(E2332="No.","Each",IF(E2332="Nos.","Each",E2332)))</f>
        <v>Kgs</v>
      </c>
      <c r="I2332" s="1030">
        <f t="shared" ref="I2332:I2333" si="547">IF(G2332="",D2332*F2332,(D2332*F2332/G2332))</f>
        <v>74.88</v>
      </c>
      <c r="J2332" s="1096"/>
      <c r="K2332" s="1846"/>
      <c r="L2332" s="1846"/>
    </row>
    <row r="2333" spans="1:12">
      <c r="A2333" s="1818"/>
      <c r="B2333" s="1818"/>
      <c r="C2333" s="1817" t="s">
        <v>1367</v>
      </c>
      <c r="D2333" s="1000">
        <v>0.04</v>
      </c>
      <c r="E2333" s="1069" t="s">
        <v>484</v>
      </c>
      <c r="F2333" s="1001">
        <f>LEAD!$N$13</f>
        <v>2453.91</v>
      </c>
      <c r="G2333" s="1015">
        <v>1</v>
      </c>
      <c r="H2333" s="1050" t="str">
        <f t="shared" si="546"/>
        <v>Cum</v>
      </c>
      <c r="I2333" s="1030">
        <f t="shared" si="547"/>
        <v>98.156399999999991</v>
      </c>
      <c r="J2333" s="1096"/>
      <c r="K2333" s="1846"/>
      <c r="L2333" s="1846"/>
    </row>
    <row r="2334" spans="1:12">
      <c r="A2334" s="1818"/>
      <c r="B2334" s="1818"/>
      <c r="C2334" s="1816" t="s">
        <v>1172</v>
      </c>
      <c r="D2334" s="1000"/>
      <c r="E2334" s="1069"/>
      <c r="F2334" s="1001"/>
      <c r="G2334" s="1015"/>
      <c r="H2334" s="1050"/>
      <c r="I2334" s="1030"/>
      <c r="J2334" s="1096"/>
      <c r="K2334" s="1846"/>
      <c r="L2334" s="1846"/>
    </row>
    <row r="2335" spans="1:12">
      <c r="A2335" s="1818"/>
      <c r="B2335" s="1818"/>
      <c r="C2335" s="1817" t="s">
        <v>1369</v>
      </c>
      <c r="D2335" s="1000">
        <v>0.63</v>
      </c>
      <c r="E2335" s="1044" t="s">
        <v>36</v>
      </c>
      <c r="F2335" s="1001">
        <f>'Civil-SOR'!$G$293</f>
        <v>580</v>
      </c>
      <c r="G2335" s="1015">
        <v>1</v>
      </c>
      <c r="H2335" s="1050" t="str">
        <f t="shared" ref="H2335:H2337" si="548">IF(E2335="","",IF(E2335="No.","Each",IF(E2335="Nos.","Each",E2335)))</f>
        <v>Each</v>
      </c>
      <c r="I2335" s="1030">
        <f t="shared" ref="I2335:I2339" si="549">IF(G2335="",D2335*F2335,(D2335*F2335/G2335))</f>
        <v>365.4</v>
      </c>
      <c r="J2335" s="1096"/>
      <c r="K2335" s="1846"/>
      <c r="L2335" s="1846"/>
    </row>
    <row r="2336" spans="1:12">
      <c r="A2336" s="1818"/>
      <c r="B2336" s="1818"/>
      <c r="C2336" s="1817" t="s">
        <v>1370</v>
      </c>
      <c r="D2336" s="1000">
        <v>1.47</v>
      </c>
      <c r="E2336" s="1044" t="s">
        <v>36</v>
      </c>
      <c r="F2336" s="1001">
        <f>'Civil-SOR'!$G$302</f>
        <v>550</v>
      </c>
      <c r="G2336" s="1015">
        <v>1</v>
      </c>
      <c r="H2336" s="1050" t="str">
        <f t="shared" si="548"/>
        <v>Each</v>
      </c>
      <c r="I2336" s="1030">
        <f t="shared" si="549"/>
        <v>808.5</v>
      </c>
      <c r="J2336" s="1096"/>
      <c r="K2336" s="1846"/>
      <c r="L2336" s="1846"/>
    </row>
    <row r="2337" spans="1:64">
      <c r="A2337" s="1818"/>
      <c r="B2337" s="1818"/>
      <c r="C2337" s="1817" t="s">
        <v>1166</v>
      </c>
      <c r="D2337" s="1000">
        <v>3.9</v>
      </c>
      <c r="E2337" s="1069" t="s">
        <v>36</v>
      </c>
      <c r="F2337" s="1001">
        <f>'Civil-SOR'!$G$307</f>
        <v>520</v>
      </c>
      <c r="G2337" s="1015">
        <v>1</v>
      </c>
      <c r="H2337" s="1050" t="str">
        <f t="shared" si="548"/>
        <v>Each</v>
      </c>
      <c r="I2337" s="1030">
        <f t="shared" si="549"/>
        <v>2028</v>
      </c>
      <c r="J2337" s="1096"/>
      <c r="K2337" s="1846"/>
      <c r="L2337" s="1846"/>
    </row>
    <row r="2338" spans="1:64">
      <c r="A2338" s="1818"/>
      <c r="B2338" s="1818"/>
      <c r="C2338" s="1817" t="str">
        <f>Input!$C$47</f>
        <v>Add for MA @ 40%</v>
      </c>
      <c r="D2338" s="1158">
        <f>Input!$D$47</f>
        <v>0.4</v>
      </c>
      <c r="E2338" s="1094"/>
      <c r="F2338" s="1001">
        <f>SUM(I2335:I2337)</f>
        <v>3201.9</v>
      </c>
      <c r="G2338" s="1020"/>
      <c r="H2338" s="1057"/>
      <c r="I2338" s="1030">
        <f t="shared" si="549"/>
        <v>1280.7600000000002</v>
      </c>
      <c r="J2338" s="1096"/>
      <c r="K2338" s="1846"/>
      <c r="L2338" s="1846"/>
    </row>
    <row r="2339" spans="1:64">
      <c r="A2339" s="1818"/>
      <c r="B2339" s="1818"/>
      <c r="C2339" s="1817" t="s">
        <v>1312</v>
      </c>
      <c r="D2339" s="1034">
        <v>0.01</v>
      </c>
      <c r="E2339" s="1044"/>
      <c r="F2339" s="1001">
        <f>SUM(I2329:I2338)</f>
        <v>5062.9065000000001</v>
      </c>
      <c r="G2339" s="1015"/>
      <c r="H2339" s="1050"/>
      <c r="I2339" s="1030">
        <f t="shared" si="549"/>
        <v>50.629065000000004</v>
      </c>
      <c r="J2339" s="1096"/>
      <c r="K2339" s="1846"/>
      <c r="L2339" s="1846"/>
    </row>
    <row r="2340" spans="1:64">
      <c r="A2340" s="1086"/>
      <c r="B2340" s="1086"/>
      <c r="C2340" s="1088" t="s">
        <v>1302</v>
      </c>
      <c r="D2340" s="1180"/>
      <c r="E2340" s="1107"/>
      <c r="F2340" s="994"/>
      <c r="G2340" s="1108"/>
      <c r="H2340" s="1830"/>
      <c r="I2340" s="1826">
        <f>SUM(I2329:I2339)</f>
        <v>5113.5355650000001</v>
      </c>
      <c r="J2340" s="1117"/>
      <c r="K2340" s="996"/>
      <c r="L2340" s="996"/>
      <c r="M2340" s="997"/>
      <c r="N2340" s="997"/>
      <c r="O2340" s="997"/>
      <c r="P2340" s="997"/>
      <c r="Q2340" s="997"/>
      <c r="R2340" s="997"/>
      <c r="S2340" s="997"/>
      <c r="T2340" s="997"/>
      <c r="U2340" s="997"/>
      <c r="V2340" s="997"/>
      <c r="W2340" s="997"/>
      <c r="X2340" s="997"/>
      <c r="Y2340" s="997"/>
      <c r="Z2340" s="997"/>
      <c r="AA2340" s="997"/>
      <c r="AB2340" s="997"/>
      <c r="AC2340" s="997"/>
      <c r="AD2340" s="997"/>
      <c r="AE2340" s="997"/>
      <c r="AF2340" s="997"/>
      <c r="AG2340" s="997"/>
      <c r="AH2340" s="997"/>
      <c r="AI2340" s="997"/>
      <c r="AJ2340" s="997"/>
      <c r="AK2340" s="997"/>
      <c r="AL2340" s="997"/>
      <c r="AM2340" s="997"/>
      <c r="AN2340" s="997"/>
      <c r="AO2340" s="997"/>
      <c r="AP2340" s="997"/>
      <c r="AQ2340" s="997"/>
      <c r="AR2340" s="997"/>
      <c r="AS2340" s="997"/>
      <c r="AT2340" s="997"/>
      <c r="AU2340" s="997"/>
      <c r="AV2340" s="997"/>
      <c r="AW2340" s="997"/>
      <c r="AX2340" s="997"/>
      <c r="AY2340" s="997"/>
      <c r="AZ2340" s="997"/>
      <c r="BA2340" s="997"/>
      <c r="BB2340" s="997"/>
      <c r="BC2340" s="997"/>
      <c r="BD2340" s="997"/>
      <c r="BE2340" s="997"/>
      <c r="BF2340" s="997"/>
      <c r="BG2340" s="997"/>
      <c r="BH2340" s="997"/>
      <c r="BI2340" s="997"/>
      <c r="BJ2340" s="997"/>
      <c r="BK2340" s="997"/>
      <c r="BL2340" s="997"/>
    </row>
    <row r="2341" spans="1:64">
      <c r="A2341" s="1086"/>
      <c r="B2341" s="1086"/>
      <c r="C2341" s="1088" t="s">
        <v>1117</v>
      </c>
      <c r="D2341" s="1089"/>
      <c r="E2341" s="1107"/>
      <c r="F2341" s="994"/>
      <c r="G2341" s="1091"/>
      <c r="H2341" s="1181"/>
      <c r="I2341" s="1826">
        <f>ROUND(I2340/10,2)</f>
        <v>511.35</v>
      </c>
      <c r="J2341" s="1117"/>
      <c r="K2341" s="996"/>
      <c r="L2341" s="996"/>
      <c r="M2341" s="997"/>
      <c r="N2341" s="997"/>
      <c r="O2341" s="997"/>
      <c r="P2341" s="997"/>
      <c r="Q2341" s="997"/>
      <c r="R2341" s="997"/>
      <c r="S2341" s="997"/>
      <c r="T2341" s="997"/>
      <c r="U2341" s="997"/>
      <c r="V2341" s="997"/>
      <c r="W2341" s="997"/>
      <c r="X2341" s="997"/>
      <c r="Y2341" s="997"/>
      <c r="Z2341" s="997"/>
      <c r="AA2341" s="997"/>
      <c r="AB2341" s="997"/>
      <c r="AC2341" s="997"/>
      <c r="AD2341" s="997"/>
      <c r="AE2341" s="997"/>
      <c r="AF2341" s="997"/>
      <c r="AG2341" s="997"/>
      <c r="AH2341" s="997"/>
      <c r="AI2341" s="997"/>
      <c r="AJ2341" s="997"/>
      <c r="AK2341" s="997"/>
      <c r="AL2341" s="997"/>
      <c r="AM2341" s="997"/>
      <c r="AN2341" s="997"/>
      <c r="AO2341" s="997"/>
      <c r="AP2341" s="997"/>
      <c r="AQ2341" s="997"/>
      <c r="AR2341" s="997"/>
      <c r="AS2341" s="997"/>
      <c r="AT2341" s="997"/>
      <c r="AU2341" s="997"/>
      <c r="AV2341" s="997"/>
      <c r="AW2341" s="997"/>
      <c r="AX2341" s="997"/>
      <c r="AY2341" s="997"/>
      <c r="AZ2341" s="997"/>
      <c r="BA2341" s="997"/>
      <c r="BB2341" s="997"/>
      <c r="BC2341" s="997"/>
      <c r="BD2341" s="997"/>
      <c r="BE2341" s="997"/>
      <c r="BF2341" s="997"/>
      <c r="BG2341" s="997"/>
      <c r="BH2341" s="997"/>
      <c r="BI2341" s="997"/>
      <c r="BJ2341" s="997"/>
      <c r="BK2341" s="997"/>
      <c r="BL2341" s="997"/>
    </row>
    <row r="2342" spans="1:64">
      <c r="A2342" s="1818"/>
      <c r="B2342" s="1818"/>
      <c r="C2342" s="1817"/>
      <c r="D2342" s="1000"/>
      <c r="E2342" s="1069"/>
      <c r="F2342" s="1001"/>
      <c r="G2342" s="1015"/>
      <c r="H2342" s="1050"/>
      <c r="I2342" s="1030"/>
      <c r="J2342" s="1846"/>
      <c r="K2342" s="1846"/>
      <c r="L2342" s="1846"/>
    </row>
    <row r="2343" spans="1:64">
      <c r="A2343" s="1818"/>
      <c r="B2343" s="1818"/>
      <c r="C2343" s="1816" t="s">
        <v>1217</v>
      </c>
      <c r="D2343" s="1009" t="s">
        <v>1223</v>
      </c>
      <c r="E2343" s="1114" t="s">
        <v>1207</v>
      </c>
      <c r="F2343" s="1106" t="s">
        <v>1208</v>
      </c>
      <c r="G2343" s="1009" t="s">
        <v>1291</v>
      </c>
      <c r="H2343" s="1009" t="s">
        <v>1292</v>
      </c>
      <c r="I2343" s="1009" t="s">
        <v>1293</v>
      </c>
      <c r="J2343" s="1009"/>
      <c r="K2343" s="1009" t="s">
        <v>1358</v>
      </c>
      <c r="L2343" s="1009" t="s">
        <v>1359</v>
      </c>
    </row>
    <row r="2344" spans="1:64">
      <c r="A2344" s="1818"/>
      <c r="B2344" s="1818"/>
      <c r="C2344" s="1817" t="s">
        <v>1317</v>
      </c>
      <c r="D2344" s="1001">
        <f t="shared" ref="D2344:L2344" si="550">$I$2341</f>
        <v>511.35</v>
      </c>
      <c r="E2344" s="1001">
        <f t="shared" si="550"/>
        <v>511.35</v>
      </c>
      <c r="F2344" s="1001">
        <f t="shared" si="550"/>
        <v>511.35</v>
      </c>
      <c r="G2344" s="1001">
        <f t="shared" si="550"/>
        <v>511.35</v>
      </c>
      <c r="H2344" s="1001">
        <f t="shared" si="550"/>
        <v>511.35</v>
      </c>
      <c r="I2344" s="1001">
        <f t="shared" si="550"/>
        <v>511.35</v>
      </c>
      <c r="J2344" s="1001"/>
      <c r="K2344" s="1001">
        <f t="shared" si="550"/>
        <v>511.35</v>
      </c>
      <c r="L2344" s="1001">
        <f t="shared" si="550"/>
        <v>511.35</v>
      </c>
    </row>
    <row r="2345" spans="1:64">
      <c r="A2345" s="1818"/>
      <c r="B2345" s="1818"/>
      <c r="C2345" s="1817" t="s">
        <v>450</v>
      </c>
      <c r="D2345" s="1030">
        <f>'Civil-SOR'!$F$245</f>
        <v>2.78</v>
      </c>
      <c r="E2345" s="1030">
        <f>'Civil-SOR'!$F$246</f>
        <v>2.78</v>
      </c>
      <c r="F2345" s="1030">
        <f>'Civil-SOR'!$F$247</f>
        <v>2.78</v>
      </c>
      <c r="G2345" s="1030">
        <f>'Civil-SOR'!$F$248</f>
        <v>2.78</v>
      </c>
      <c r="H2345" s="1030">
        <f>'Civil-SOR'!$F$248</f>
        <v>2.78</v>
      </c>
      <c r="I2345" s="1030">
        <f>'Civil-SOR'!$F$248</f>
        <v>2.78</v>
      </c>
      <c r="J2345" s="1030"/>
      <c r="K2345" s="1030">
        <f>'Civil-SOR'!$F$248</f>
        <v>2.78</v>
      </c>
      <c r="L2345" s="1030">
        <f>'Civil-SOR'!$F$248</f>
        <v>2.78</v>
      </c>
    </row>
    <row r="2346" spans="1:64">
      <c r="A2346" s="1818"/>
      <c r="B2346" s="1818"/>
      <c r="C2346" s="1817" t="s">
        <v>1314</v>
      </c>
      <c r="D2346" s="1030">
        <f>'Civil-SOR'!$G$245</f>
        <v>18.940000000000001</v>
      </c>
      <c r="E2346" s="1030">
        <f>'Civil-SOR'!$G$246</f>
        <v>27.03</v>
      </c>
      <c r="F2346" s="1030">
        <f>'Civil-SOR'!$G$247</f>
        <v>35.11</v>
      </c>
      <c r="G2346" s="1030">
        <f>'Civil-SOR'!$G$248</f>
        <v>43.2</v>
      </c>
      <c r="H2346" s="1030">
        <f>'Civil-SOR'!$G$249</f>
        <v>51.28</v>
      </c>
      <c r="I2346" s="1030">
        <f>'Civil-SOR'!$G$250</f>
        <v>59.37</v>
      </c>
      <c r="J2346" s="1030"/>
      <c r="K2346" s="1030">
        <f>'Civil-SOR'!$G$252</f>
        <v>75.540000000000006</v>
      </c>
      <c r="L2346" s="1030">
        <f>'Civil-SOR'!$G$253</f>
        <v>83.62</v>
      </c>
    </row>
    <row r="2347" spans="1:64">
      <c r="A2347" s="1818"/>
      <c r="B2347" s="1818"/>
      <c r="C2347" s="1817" t="str">
        <f>Input!$C$47</f>
        <v>Add for MA @ 40%</v>
      </c>
      <c r="D2347" s="1001">
        <f>ROUND(D2346*Input!$D$47,2)</f>
        <v>7.58</v>
      </c>
      <c r="E2347" s="1001">
        <f>ROUND(E2346*Input!$D$47,2)</f>
        <v>10.81</v>
      </c>
      <c r="F2347" s="1001">
        <f>ROUND(F2346*Input!$D$47,2)</f>
        <v>14.04</v>
      </c>
      <c r="G2347" s="1001">
        <f>ROUND(G2346*Input!$D$47,2)</f>
        <v>17.28</v>
      </c>
      <c r="H2347" s="1001">
        <f>ROUND(H2346*Input!$D$47,2)</f>
        <v>20.51</v>
      </c>
      <c r="I2347" s="1001">
        <f>ROUND(I2346*Input!$D$47,2)</f>
        <v>23.75</v>
      </c>
      <c r="J2347" s="1001"/>
      <c r="K2347" s="1001">
        <f>ROUND(K2346*Input!$D$47,2)</f>
        <v>30.22</v>
      </c>
      <c r="L2347" s="1001">
        <f>ROUND(L2346*Input!$D$47,2)</f>
        <v>33.450000000000003</v>
      </c>
    </row>
    <row r="2348" spans="1:64">
      <c r="A2348" s="1818"/>
      <c r="B2348" s="1818"/>
      <c r="C2348" s="1817" t="s">
        <v>1253</v>
      </c>
      <c r="D2348" s="1001">
        <v>0</v>
      </c>
      <c r="E2348" s="1001">
        <f>ROUND($F$2338/10*10%,2)</f>
        <v>32.020000000000003</v>
      </c>
      <c r="F2348" s="1001">
        <f>ROUND($F$2338/10*20%,2)</f>
        <v>64.040000000000006</v>
      </c>
      <c r="G2348" s="1001">
        <f>ROUND($F$2338/10*30%,2)</f>
        <v>96.06</v>
      </c>
      <c r="H2348" s="1001">
        <f>ROUND($F$2338/10*40%,2)</f>
        <v>128.08000000000001</v>
      </c>
      <c r="I2348" s="1001">
        <f>ROUND($F$2338/10*50%,2)</f>
        <v>160.1</v>
      </c>
      <c r="J2348" s="1001"/>
      <c r="K2348" s="1001">
        <f>ROUND($F$2338/10*70%,2)</f>
        <v>224.13</v>
      </c>
      <c r="L2348" s="1001">
        <f>ROUND($F$2338/10*80%,2)</f>
        <v>256.14999999999998</v>
      </c>
    </row>
    <row r="2349" spans="1:64">
      <c r="A2349" s="1818"/>
      <c r="B2349" s="1818"/>
      <c r="C2349" s="1817" t="str">
        <f>Input!$C$47</f>
        <v>Add for MA @ 40%</v>
      </c>
      <c r="D2349" s="1001">
        <f>D2348*Input!$D$47</f>
        <v>0</v>
      </c>
      <c r="E2349" s="1001">
        <f>E2348*Input!$D$47</f>
        <v>12.808000000000002</v>
      </c>
      <c r="F2349" s="1001">
        <f>F2348*Input!$D$47</f>
        <v>25.616000000000003</v>
      </c>
      <c r="G2349" s="1001">
        <f>G2348*Input!$D$47</f>
        <v>38.424000000000007</v>
      </c>
      <c r="H2349" s="1001">
        <f>H2348*Input!$D$47</f>
        <v>51.232000000000006</v>
      </c>
      <c r="I2349" s="1001">
        <f>I2348*Input!$D$47</f>
        <v>64.040000000000006</v>
      </c>
      <c r="J2349" s="1001"/>
      <c r="K2349" s="1001">
        <f>K2348*Input!$D$47</f>
        <v>89.652000000000001</v>
      </c>
      <c r="L2349" s="1001">
        <f>L2348*Input!$D$47</f>
        <v>102.46</v>
      </c>
    </row>
    <row r="2350" spans="1:64">
      <c r="A2350" s="1818"/>
      <c r="B2350" s="1818"/>
      <c r="C2350" s="1816" t="s">
        <v>1117</v>
      </c>
      <c r="D2350" s="1001">
        <f t="shared" ref="D2350:L2350" si="551">SUM(D2344:D2349)</f>
        <v>540.65000000000009</v>
      </c>
      <c r="E2350" s="1001">
        <f t="shared" si="551"/>
        <v>596.79799999999989</v>
      </c>
      <c r="F2350" s="1001">
        <f t="shared" si="551"/>
        <v>652.93599999999992</v>
      </c>
      <c r="G2350" s="1001">
        <f t="shared" si="551"/>
        <v>709.09400000000005</v>
      </c>
      <c r="H2350" s="1001">
        <f t="shared" si="551"/>
        <v>765.23199999999997</v>
      </c>
      <c r="I2350" s="1001">
        <f t="shared" si="551"/>
        <v>821.39</v>
      </c>
      <c r="J2350" s="1001"/>
      <c r="K2350" s="1001">
        <f t="shared" si="551"/>
        <v>933.67200000000003</v>
      </c>
      <c r="L2350" s="1001">
        <f t="shared" si="551"/>
        <v>989.81000000000006</v>
      </c>
    </row>
    <row r="2351" spans="1:64">
      <c r="A2351" s="1818"/>
      <c r="B2351" s="1818"/>
      <c r="C2351" s="1817" t="str">
        <f>Input!$C$48</f>
        <v>Overheads &amp; Contractors Profit @ 13.615%</v>
      </c>
      <c r="D2351" s="1001">
        <f>ROUND(D2350*Input!$D$48,2)</f>
        <v>73.61</v>
      </c>
      <c r="E2351" s="1001">
        <f>ROUND(E2350*Input!$D$48,2)</f>
        <v>81.25</v>
      </c>
      <c r="F2351" s="1001">
        <f>ROUND(F2350*Input!$D$48,2)</f>
        <v>88.9</v>
      </c>
      <c r="G2351" s="1001">
        <f>ROUND(G2350*Input!$D$48,2)</f>
        <v>96.54</v>
      </c>
      <c r="H2351" s="1001">
        <f>ROUND(H2350*Input!$D$48,2)</f>
        <v>104.19</v>
      </c>
      <c r="I2351" s="1001">
        <f>ROUND(I2350*Input!$D$48,2)</f>
        <v>111.83</v>
      </c>
      <c r="J2351" s="1001"/>
      <c r="K2351" s="1001">
        <f>ROUND(K2350*Input!$D$48,2)</f>
        <v>127.12</v>
      </c>
      <c r="L2351" s="1001">
        <f>ROUND(L2350*Input!$D$48,2)</f>
        <v>134.76</v>
      </c>
    </row>
    <row r="2352" spans="1:64">
      <c r="A2352" s="1818"/>
      <c r="B2352" s="1818"/>
      <c r="C2352" s="1816" t="s">
        <v>1117</v>
      </c>
      <c r="D2352" s="1008">
        <f t="shared" ref="D2352:L2352" si="552">SUM(D2350:D2351)</f>
        <v>614.2600000000001</v>
      </c>
      <c r="E2352" s="1008">
        <f t="shared" si="552"/>
        <v>678.04799999999989</v>
      </c>
      <c r="F2352" s="1009">
        <f t="shared" si="552"/>
        <v>741.8359999999999</v>
      </c>
      <c r="G2352" s="1008">
        <f t="shared" si="552"/>
        <v>805.63400000000001</v>
      </c>
      <c r="H2352" s="1008">
        <f t="shared" si="552"/>
        <v>869.42200000000003</v>
      </c>
      <c r="I2352" s="1009">
        <f t="shared" si="552"/>
        <v>933.22</v>
      </c>
      <c r="J2352" s="1008"/>
      <c r="K2352" s="1008">
        <f t="shared" si="552"/>
        <v>1060.7919999999999</v>
      </c>
      <c r="L2352" s="1009">
        <f t="shared" si="552"/>
        <v>1124.5700000000002</v>
      </c>
    </row>
    <row r="2353" spans="1:12">
      <c r="A2353" s="1818"/>
      <c r="B2353" s="1818"/>
      <c r="C2353" s="1118" t="s">
        <v>1034</v>
      </c>
      <c r="D2353" s="1114">
        <f t="shared" ref="D2353:L2353" si="553">ROUND(D2352,0)</f>
        <v>614</v>
      </c>
      <c r="E2353" s="1114">
        <f t="shared" si="553"/>
        <v>678</v>
      </c>
      <c r="F2353" s="1114">
        <f t="shared" si="553"/>
        <v>742</v>
      </c>
      <c r="G2353" s="1114">
        <f t="shared" si="553"/>
        <v>806</v>
      </c>
      <c r="H2353" s="1114">
        <f t="shared" si="553"/>
        <v>869</v>
      </c>
      <c r="I2353" s="1009">
        <f t="shared" si="553"/>
        <v>933</v>
      </c>
      <c r="J2353" s="1114"/>
      <c r="K2353" s="1114">
        <f t="shared" si="553"/>
        <v>1061</v>
      </c>
      <c r="L2353" s="1009">
        <f t="shared" si="553"/>
        <v>1125</v>
      </c>
    </row>
    <row r="2354" spans="1:12">
      <c r="A2354" s="1818"/>
      <c r="B2354" s="1818"/>
      <c r="C2354" s="1816"/>
      <c r="D2354" s="1170"/>
      <c r="E2354" s="1094"/>
      <c r="F2354" s="1001"/>
      <c r="G2354" s="1015"/>
      <c r="H2354" s="1047"/>
      <c r="I2354" s="1011"/>
      <c r="J2354" s="1846"/>
      <c r="K2354" s="1846"/>
      <c r="L2354" s="1846"/>
    </row>
    <row r="2355" spans="1:12">
      <c r="A2355" s="1818"/>
      <c r="B2355" s="1818"/>
      <c r="C2355" s="1816" t="s">
        <v>1217</v>
      </c>
      <c r="D2355" s="1009" t="s">
        <v>1357</v>
      </c>
      <c r="E2355" s="1009" t="s">
        <v>1358</v>
      </c>
      <c r="F2355" s="1009" t="s">
        <v>1359</v>
      </c>
      <c r="G2355" s="1015"/>
      <c r="H2355" s="1047"/>
      <c r="I2355" s="1011"/>
      <c r="J2355" s="1846"/>
      <c r="K2355" s="1846"/>
      <c r="L2355" s="1846"/>
    </row>
    <row r="2356" spans="1:12">
      <c r="A2356" s="1818"/>
      <c r="B2356" s="1818"/>
      <c r="C2356" s="1817" t="s">
        <v>1317</v>
      </c>
      <c r="D2356" s="1001">
        <f>$I$2341</f>
        <v>511.35</v>
      </c>
      <c r="E2356" s="1001">
        <f>$I$2341</f>
        <v>511.35</v>
      </c>
      <c r="F2356" s="1001">
        <f>$I$2341</f>
        <v>511.35</v>
      </c>
      <c r="G2356" s="1015"/>
      <c r="H2356" s="1047"/>
      <c r="I2356" s="1011"/>
      <c r="J2356" s="1846"/>
      <c r="K2356" s="1846"/>
      <c r="L2356" s="1846"/>
    </row>
    <row r="2357" spans="1:12">
      <c r="A2357" s="1818"/>
      <c r="B2357" s="1818"/>
      <c r="C2357" s="1817" t="s">
        <v>450</v>
      </c>
      <c r="D2357" s="1030">
        <f>'Civil-SOR'!$F$248</f>
        <v>2.78</v>
      </c>
      <c r="E2357" s="1030">
        <f>'Civil-SOR'!$F$248</f>
        <v>2.78</v>
      </c>
      <c r="F2357" s="1030">
        <f>'Civil-SOR'!$F$248</f>
        <v>2.78</v>
      </c>
      <c r="G2357" s="1015"/>
      <c r="H2357" s="1047"/>
      <c r="I2357" s="1011"/>
      <c r="J2357" s="1846"/>
      <c r="K2357" s="1846"/>
      <c r="L2357" s="1846"/>
    </row>
    <row r="2358" spans="1:12">
      <c r="A2358" s="1818"/>
      <c r="B2358" s="1818"/>
      <c r="C2358" s="1817" t="s">
        <v>1314</v>
      </c>
      <c r="D2358" s="1030">
        <f>'Civil-SOR'!$G$251</f>
        <v>67.45</v>
      </c>
      <c r="E2358" s="1030">
        <f>'Civil-SOR'!$G$252</f>
        <v>75.540000000000006</v>
      </c>
      <c r="F2358" s="1030">
        <f>'Civil-SOR'!$G$253</f>
        <v>83.62</v>
      </c>
      <c r="G2358" s="1015"/>
      <c r="H2358" s="1047"/>
      <c r="I2358" s="1011"/>
      <c r="J2358" s="1846"/>
      <c r="K2358" s="1846"/>
      <c r="L2358" s="1846"/>
    </row>
    <row r="2359" spans="1:12">
      <c r="A2359" s="1818"/>
      <c r="B2359" s="1818"/>
      <c r="C2359" s="1817" t="str">
        <f>Input!$C$47</f>
        <v>Add for MA @ 40%</v>
      </c>
      <c r="D2359" s="1001">
        <f>ROUND(D2358*Input!$D$47,2)</f>
        <v>26.98</v>
      </c>
      <c r="E2359" s="1001">
        <f>ROUND(E2358*Input!$D$47,2)</f>
        <v>30.22</v>
      </c>
      <c r="F2359" s="1001">
        <f>ROUND(F2358*Input!$D$47,2)</f>
        <v>33.450000000000003</v>
      </c>
      <c r="G2359" s="1015"/>
      <c r="H2359" s="1047"/>
      <c r="I2359" s="1011"/>
      <c r="J2359" s="1846"/>
      <c r="K2359" s="1846"/>
      <c r="L2359" s="1846"/>
    </row>
    <row r="2360" spans="1:12">
      <c r="A2360" s="1818"/>
      <c r="B2360" s="1818"/>
      <c r="C2360" s="1817" t="s">
        <v>1253</v>
      </c>
      <c r="D2360" s="1001">
        <f>ROUND($F$2338/10*60%,2)</f>
        <v>192.11</v>
      </c>
      <c r="E2360" s="1001">
        <f>ROUND($F$2338/10*70%,2)</f>
        <v>224.13</v>
      </c>
      <c r="F2360" s="1001">
        <f>ROUND($F$2338/10*80%,2)</f>
        <v>256.14999999999998</v>
      </c>
      <c r="G2360" s="1015"/>
      <c r="H2360" s="1047"/>
      <c r="I2360" s="1011"/>
      <c r="J2360" s="1846"/>
      <c r="K2360" s="1846"/>
      <c r="L2360" s="1846"/>
    </row>
    <row r="2361" spans="1:12">
      <c r="A2361" s="1818"/>
      <c r="B2361" s="1818"/>
      <c r="C2361" s="1817" t="str">
        <f>Input!$C$47</f>
        <v>Add for MA @ 40%</v>
      </c>
      <c r="D2361" s="1001">
        <f>D2360*Input!$D$47</f>
        <v>76.844000000000008</v>
      </c>
      <c r="E2361" s="1001">
        <f>E2360*Input!$D$47</f>
        <v>89.652000000000001</v>
      </c>
      <c r="F2361" s="1001">
        <f>F2360*Input!$D$47</f>
        <v>102.46</v>
      </c>
      <c r="G2361" s="1015"/>
      <c r="H2361" s="1047"/>
      <c r="I2361" s="1011"/>
      <c r="J2361" s="1846"/>
      <c r="K2361" s="1846"/>
      <c r="L2361" s="1846"/>
    </row>
    <row r="2362" spans="1:12">
      <c r="A2362" s="1818"/>
      <c r="B2362" s="1818"/>
      <c r="C2362" s="1816" t="s">
        <v>1117</v>
      </c>
      <c r="D2362" s="1001">
        <f>SUM(D2356:D2361)</f>
        <v>877.51400000000012</v>
      </c>
      <c r="E2362" s="1001">
        <f>SUM(E2356:E2361)</f>
        <v>933.67200000000003</v>
      </c>
      <c r="F2362" s="1001">
        <f>SUM(F2356:F2361)</f>
        <v>989.81000000000006</v>
      </c>
      <c r="G2362" s="1015"/>
      <c r="H2362" s="1047"/>
      <c r="I2362" s="1011"/>
      <c r="J2362" s="1846"/>
      <c r="K2362" s="1846"/>
      <c r="L2362" s="1846"/>
    </row>
    <row r="2363" spans="1:12">
      <c r="A2363" s="1818"/>
      <c r="B2363" s="1818"/>
      <c r="C2363" s="1817" t="str">
        <f>Input!$C$48</f>
        <v>Overheads &amp; Contractors Profit @ 13.615%</v>
      </c>
      <c r="D2363" s="1001">
        <f>ROUND(D2362*Input!$D$48,2)</f>
        <v>119.47</v>
      </c>
      <c r="E2363" s="1001">
        <f>ROUND(E2362*Input!$D$48,2)</f>
        <v>127.12</v>
      </c>
      <c r="F2363" s="1001">
        <f>ROUND(F2362*Input!$D$48,2)</f>
        <v>134.76</v>
      </c>
      <c r="G2363" s="1015"/>
      <c r="H2363" s="1047"/>
      <c r="I2363" s="1011"/>
      <c r="J2363" s="1846"/>
      <c r="K2363" s="1846"/>
      <c r="L2363" s="1846"/>
    </row>
    <row r="2364" spans="1:12">
      <c r="A2364" s="1818"/>
      <c r="B2364" s="1818"/>
      <c r="C2364" s="1816" t="s">
        <v>1117</v>
      </c>
      <c r="D2364" s="1008">
        <f>SUM(D2362:D2363)</f>
        <v>996.98400000000015</v>
      </c>
      <c r="E2364" s="1008">
        <f>SUM(E2362:E2363)</f>
        <v>1060.7919999999999</v>
      </c>
      <c r="F2364" s="1009">
        <f>SUM(F2362:F2363)</f>
        <v>1124.5700000000002</v>
      </c>
      <c r="G2364" s="1015"/>
      <c r="H2364" s="1047"/>
      <c r="I2364" s="1011"/>
      <c r="J2364" s="1846"/>
      <c r="K2364" s="1846"/>
      <c r="L2364" s="1846"/>
    </row>
    <row r="2365" spans="1:12">
      <c r="A2365" s="1818"/>
      <c r="B2365" s="1818"/>
      <c r="C2365" s="1843" t="s">
        <v>1034</v>
      </c>
      <c r="D2365" s="1114">
        <f>ROUND(D2364,0)</f>
        <v>997</v>
      </c>
      <c r="E2365" s="1114">
        <f>ROUND(E2364,0)</f>
        <v>1061</v>
      </c>
      <c r="F2365" s="1009">
        <f>ROUND(F2364,0)</f>
        <v>1125</v>
      </c>
      <c r="G2365" s="1015"/>
      <c r="H2365" s="1047"/>
      <c r="I2365" s="1011"/>
      <c r="J2365" s="1846"/>
      <c r="K2365" s="1846"/>
      <c r="L2365" s="1846"/>
    </row>
    <row r="2366" spans="1:12">
      <c r="A2366" s="1818"/>
      <c r="B2366" s="1818"/>
      <c r="C2366" s="1816"/>
      <c r="D2366" s="1170"/>
      <c r="E2366" s="1094"/>
      <c r="F2366" s="1001"/>
      <c r="G2366" s="1015"/>
      <c r="H2366" s="1047"/>
      <c r="I2366" s="1011"/>
      <c r="J2366" s="1846"/>
      <c r="K2366" s="1846"/>
      <c r="L2366" s="1846"/>
    </row>
    <row r="2367" spans="1:12" ht="71.25" customHeight="1">
      <c r="A2367" s="1818">
        <f>A2324+1</f>
        <v>28</v>
      </c>
      <c r="B2367" s="1818"/>
      <c r="C2367" s="2039" t="s">
        <v>3636</v>
      </c>
      <c r="D2367" s="2040"/>
      <c r="E2367" s="2040"/>
      <c r="F2367" s="2040"/>
      <c r="G2367" s="2040"/>
      <c r="H2367" s="2040"/>
      <c r="I2367" s="2041"/>
      <c r="J2367" s="1846"/>
      <c r="K2367" s="1846"/>
      <c r="L2367" s="1846"/>
    </row>
    <row r="2368" spans="1:12">
      <c r="A2368" s="1818"/>
      <c r="B2368" s="1818"/>
      <c r="C2368" s="1049" t="s">
        <v>1371</v>
      </c>
      <c r="D2368" s="1000"/>
      <c r="E2368" s="1069"/>
      <c r="F2368" s="1001"/>
      <c r="G2368" s="1015"/>
      <c r="H2368" s="1094"/>
      <c r="I2368" s="1030"/>
      <c r="J2368" s="1846"/>
      <c r="K2368" s="1846"/>
      <c r="L2368" s="1846"/>
    </row>
    <row r="2369" spans="1:64">
      <c r="A2369" s="1818"/>
      <c r="B2369" s="1818"/>
      <c r="C2369" s="1846" t="s">
        <v>1364</v>
      </c>
      <c r="D2369" s="1000"/>
      <c r="E2369" s="1069"/>
      <c r="F2369" s="1001"/>
      <c r="G2369" s="1015"/>
      <c r="H2369" s="1094"/>
      <c r="I2369" s="1030"/>
      <c r="J2369" s="1846"/>
      <c r="K2369" s="1846"/>
      <c r="L2369" s="1846"/>
    </row>
    <row r="2370" spans="1:64">
      <c r="A2370" s="1818"/>
      <c r="B2370" s="1818"/>
      <c r="C2370" s="1816" t="s">
        <v>1139</v>
      </c>
      <c r="D2370" s="1000"/>
      <c r="E2370" s="1069"/>
      <c r="F2370" s="1001"/>
      <c r="G2370" s="1015"/>
      <c r="H2370" s="1094"/>
      <c r="I2370" s="1030"/>
      <c r="J2370" s="1846"/>
      <c r="K2370" s="1846"/>
      <c r="L2370" s="1846"/>
    </row>
    <row r="2371" spans="1:64">
      <c r="A2371" s="1818"/>
      <c r="B2371" s="1818"/>
      <c r="C2371" s="1816" t="s">
        <v>1365</v>
      </c>
      <c r="D2371" s="1000"/>
      <c r="E2371" s="1069"/>
      <c r="F2371" s="1001"/>
      <c r="G2371" s="1015"/>
      <c r="H2371" s="1094"/>
      <c r="I2371" s="1030"/>
      <c r="J2371" s="1846"/>
      <c r="K2371" s="1846"/>
      <c r="L2371" s="1846"/>
    </row>
    <row r="2372" spans="1:64">
      <c r="A2372" s="1818"/>
      <c r="B2372" s="1818"/>
      <c r="C2372" s="1817" t="s">
        <v>1366</v>
      </c>
      <c r="D2372" s="1000">
        <v>26.4</v>
      </c>
      <c r="E2372" s="1069" t="s">
        <v>1110</v>
      </c>
      <c r="F2372" s="1001">
        <f>LEAD!$N$6</f>
        <v>5200</v>
      </c>
      <c r="G2372" s="1015">
        <v>1000</v>
      </c>
      <c r="H2372" s="1050" t="str">
        <f t="shared" ref="H2372:H2373" si="554">IF(E2372="","",IF(E2372="No.","Each",IF(E2372="Nos.","Each",E2372)))</f>
        <v>Kgs</v>
      </c>
      <c r="I2372" s="1030">
        <f t="shared" ref="I2372:I2373" si="555">IF(G2372="",D2372*F2372,(D2372*F2372/G2372))</f>
        <v>137.28</v>
      </c>
      <c r="J2372" s="1846"/>
      <c r="K2372" s="1846"/>
      <c r="L2372" s="1846"/>
    </row>
    <row r="2373" spans="1:64">
      <c r="A2373" s="1818"/>
      <c r="B2373" s="1818"/>
      <c r="C2373" s="1817" t="s">
        <v>1367</v>
      </c>
      <c r="D2373" s="1000">
        <v>0.11</v>
      </c>
      <c r="E2373" s="1069" t="s">
        <v>484</v>
      </c>
      <c r="F2373" s="1001">
        <f>LEAD!$N$13</f>
        <v>2453.91</v>
      </c>
      <c r="G2373" s="1015">
        <v>1</v>
      </c>
      <c r="H2373" s="1050" t="str">
        <f t="shared" si="554"/>
        <v>Cum</v>
      </c>
      <c r="I2373" s="1030">
        <f t="shared" si="555"/>
        <v>269.93009999999998</v>
      </c>
      <c r="J2373" s="1846"/>
      <c r="K2373" s="1846"/>
      <c r="L2373" s="1846"/>
    </row>
    <row r="2374" spans="1:64">
      <c r="A2374" s="1818"/>
      <c r="B2374" s="1818"/>
      <c r="C2374" s="1816" t="s">
        <v>1368</v>
      </c>
      <c r="D2374" s="1000"/>
      <c r="E2374" s="1069"/>
      <c r="F2374" s="1001"/>
      <c r="G2374" s="1015"/>
      <c r="H2374" s="1050"/>
      <c r="I2374" s="1030"/>
      <c r="J2374" s="1846"/>
      <c r="K2374" s="1846"/>
      <c r="L2374" s="1846"/>
    </row>
    <row r="2375" spans="1:64">
      <c r="A2375" s="1818"/>
      <c r="B2375" s="1818"/>
      <c r="C2375" s="1817" t="s">
        <v>1366</v>
      </c>
      <c r="D2375" s="1000">
        <v>14.4</v>
      </c>
      <c r="E2375" s="1069" t="s">
        <v>1110</v>
      </c>
      <c r="F2375" s="1001">
        <f>LEAD!$N$6</f>
        <v>5200</v>
      </c>
      <c r="G2375" s="1015">
        <v>1000</v>
      </c>
      <c r="H2375" s="1050" t="str">
        <f t="shared" ref="H2375:H2376" si="556">IF(E2375="","",IF(E2375="No.","Each",IF(E2375="Nos.","Each",E2375)))</f>
        <v>Kgs</v>
      </c>
      <c r="I2375" s="1030">
        <f t="shared" ref="I2375:I2376" si="557">IF(G2375="",D2375*F2375,(D2375*F2375/G2375))</f>
        <v>74.88</v>
      </c>
      <c r="J2375" s="1846"/>
      <c r="K2375" s="1846"/>
      <c r="L2375" s="1846"/>
    </row>
    <row r="2376" spans="1:64">
      <c r="A2376" s="1818"/>
      <c r="B2376" s="1818"/>
      <c r="C2376" s="1817" t="s">
        <v>1367</v>
      </c>
      <c r="D2376" s="1000">
        <v>0.04</v>
      </c>
      <c r="E2376" s="1069" t="s">
        <v>484</v>
      </c>
      <c r="F2376" s="1001">
        <f>LEAD!$N$13</f>
        <v>2453.91</v>
      </c>
      <c r="G2376" s="1015">
        <v>1</v>
      </c>
      <c r="H2376" s="1050" t="str">
        <f t="shared" si="556"/>
        <v>Cum</v>
      </c>
      <c r="I2376" s="1030">
        <f t="shared" si="557"/>
        <v>98.156399999999991</v>
      </c>
      <c r="J2376" s="1846"/>
      <c r="K2376" s="1846"/>
      <c r="L2376" s="1846"/>
    </row>
    <row r="2377" spans="1:64">
      <c r="A2377" s="1818"/>
      <c r="B2377" s="1818"/>
      <c r="C2377" s="1816" t="s">
        <v>1172</v>
      </c>
      <c r="D2377" s="1000"/>
      <c r="E2377" s="1069"/>
      <c r="F2377" s="1001"/>
      <c r="G2377" s="1015"/>
      <c r="H2377" s="1050"/>
      <c r="I2377" s="1030"/>
      <c r="J2377" s="1846"/>
      <c r="K2377" s="1846"/>
      <c r="L2377" s="1846"/>
    </row>
    <row r="2378" spans="1:64">
      <c r="A2378" s="1818"/>
      <c r="B2378" s="1818"/>
      <c r="C2378" s="1817" t="s">
        <v>1369</v>
      </c>
      <c r="D2378" s="1000">
        <v>0.63</v>
      </c>
      <c r="E2378" s="1044" t="s">
        <v>36</v>
      </c>
      <c r="F2378" s="1001">
        <f>'Civil-SOR'!$G$293</f>
        <v>580</v>
      </c>
      <c r="G2378" s="1015">
        <v>1</v>
      </c>
      <c r="H2378" s="1050" t="str">
        <f t="shared" ref="H2378:H2380" si="558">IF(E2378="","",IF(E2378="No.","Each",IF(E2378="Nos.","Each",E2378)))</f>
        <v>Each</v>
      </c>
      <c r="I2378" s="1030">
        <f t="shared" ref="I2378:I2382" si="559">IF(G2378="",D2378*F2378,(D2378*F2378/G2378))</f>
        <v>365.4</v>
      </c>
      <c r="J2378" s="1846"/>
      <c r="K2378" s="1846"/>
      <c r="L2378" s="1846"/>
    </row>
    <row r="2379" spans="1:64">
      <c r="A2379" s="1818"/>
      <c r="B2379" s="1818"/>
      <c r="C2379" s="1817" t="s">
        <v>1370</v>
      </c>
      <c r="D2379" s="1000">
        <v>1.47</v>
      </c>
      <c r="E2379" s="1044" t="s">
        <v>36</v>
      </c>
      <c r="F2379" s="1001">
        <f>'Civil-SOR'!$G$302</f>
        <v>550</v>
      </c>
      <c r="G2379" s="1015">
        <v>1</v>
      </c>
      <c r="H2379" s="1050" t="str">
        <f t="shared" si="558"/>
        <v>Each</v>
      </c>
      <c r="I2379" s="1030">
        <f t="shared" si="559"/>
        <v>808.5</v>
      </c>
      <c r="J2379" s="1846"/>
      <c r="K2379" s="1846"/>
      <c r="L2379" s="1846"/>
    </row>
    <row r="2380" spans="1:64">
      <c r="A2380" s="1818"/>
      <c r="B2380" s="1818"/>
      <c r="C2380" s="1817" t="s">
        <v>1166</v>
      </c>
      <c r="D2380" s="1000">
        <v>3.9</v>
      </c>
      <c r="E2380" s="1069" t="s">
        <v>36</v>
      </c>
      <c r="F2380" s="1001">
        <f>'Civil-SOR'!$G$307</f>
        <v>520</v>
      </c>
      <c r="G2380" s="1015">
        <v>1</v>
      </c>
      <c r="H2380" s="1050" t="str">
        <f t="shared" si="558"/>
        <v>Each</v>
      </c>
      <c r="I2380" s="1030">
        <f t="shared" si="559"/>
        <v>2028</v>
      </c>
      <c r="J2380" s="1846"/>
      <c r="K2380" s="1846"/>
      <c r="L2380" s="1846"/>
    </row>
    <row r="2381" spans="1:64">
      <c r="A2381" s="1818"/>
      <c r="B2381" s="1818"/>
      <c r="C2381" s="1817" t="str">
        <f>Input!$C$47</f>
        <v>Add for MA @ 40%</v>
      </c>
      <c r="D2381" s="1158">
        <f>Input!$D$47</f>
        <v>0.4</v>
      </c>
      <c r="E2381" s="1094"/>
      <c r="F2381" s="1001">
        <f>SUM(I2378:I2380)</f>
        <v>3201.9</v>
      </c>
      <c r="G2381" s="1020"/>
      <c r="H2381" s="1057"/>
      <c r="I2381" s="1030">
        <f t="shared" si="559"/>
        <v>1280.7600000000002</v>
      </c>
      <c r="J2381" s="1846"/>
      <c r="K2381" s="1846"/>
      <c r="L2381" s="1846"/>
    </row>
    <row r="2382" spans="1:64">
      <c r="A2382" s="1818"/>
      <c r="B2382" s="1818"/>
      <c r="C2382" s="1817" t="s">
        <v>1312</v>
      </c>
      <c r="D2382" s="1034">
        <v>0.01</v>
      </c>
      <c r="E2382" s="1044"/>
      <c r="F2382" s="1001">
        <f>SUM(I2372:I2381)</f>
        <v>5062.9065000000001</v>
      </c>
      <c r="G2382" s="1015"/>
      <c r="H2382" s="1050"/>
      <c r="I2382" s="1030">
        <f t="shared" si="559"/>
        <v>50.629065000000004</v>
      </c>
      <c r="J2382" s="1846"/>
      <c r="K2382" s="1846"/>
      <c r="L2382" s="1846"/>
    </row>
    <row r="2383" spans="1:64">
      <c r="A2383" s="1086"/>
      <c r="B2383" s="1086"/>
      <c r="C2383" s="1088" t="s">
        <v>1302</v>
      </c>
      <c r="D2383" s="1180"/>
      <c r="E2383" s="1107"/>
      <c r="F2383" s="994"/>
      <c r="G2383" s="1108"/>
      <c r="H2383" s="1830"/>
      <c r="I2383" s="994">
        <f>SUM(I2372:I2382)</f>
        <v>5113.5355650000001</v>
      </c>
      <c r="J2383" s="996"/>
      <c r="K2383" s="996"/>
      <c r="L2383" s="996"/>
      <c r="M2383" s="997"/>
      <c r="N2383" s="997"/>
      <c r="O2383" s="997"/>
      <c r="P2383" s="997"/>
      <c r="Q2383" s="997"/>
      <c r="R2383" s="997"/>
      <c r="S2383" s="997"/>
      <c r="T2383" s="997"/>
      <c r="U2383" s="997"/>
      <c r="V2383" s="997"/>
      <c r="W2383" s="997"/>
      <c r="X2383" s="997"/>
      <c r="Y2383" s="997"/>
      <c r="Z2383" s="997"/>
      <c r="AA2383" s="997"/>
      <c r="AB2383" s="997"/>
      <c r="AC2383" s="997"/>
      <c r="AD2383" s="997"/>
      <c r="AE2383" s="997"/>
      <c r="AF2383" s="997"/>
      <c r="AG2383" s="997"/>
      <c r="AH2383" s="997"/>
      <c r="AI2383" s="997"/>
      <c r="AJ2383" s="997"/>
      <c r="AK2383" s="997"/>
      <c r="AL2383" s="997"/>
      <c r="AM2383" s="997"/>
      <c r="AN2383" s="997"/>
      <c r="AO2383" s="997"/>
      <c r="AP2383" s="997"/>
      <c r="AQ2383" s="997"/>
      <c r="AR2383" s="997"/>
      <c r="AS2383" s="997"/>
      <c r="AT2383" s="997"/>
      <c r="AU2383" s="997"/>
      <c r="AV2383" s="997"/>
      <c r="AW2383" s="997"/>
      <c r="AX2383" s="997"/>
      <c r="AY2383" s="997"/>
      <c r="AZ2383" s="997"/>
      <c r="BA2383" s="997"/>
      <c r="BB2383" s="997"/>
      <c r="BC2383" s="997"/>
      <c r="BD2383" s="997"/>
      <c r="BE2383" s="997"/>
      <c r="BF2383" s="997"/>
      <c r="BG2383" s="997"/>
      <c r="BH2383" s="997"/>
      <c r="BI2383" s="997"/>
      <c r="BJ2383" s="997"/>
      <c r="BK2383" s="997"/>
      <c r="BL2383" s="997"/>
    </row>
    <row r="2384" spans="1:64">
      <c r="A2384" s="1086"/>
      <c r="B2384" s="1086"/>
      <c r="C2384" s="1088" t="s">
        <v>1117</v>
      </c>
      <c r="D2384" s="1089"/>
      <c r="E2384" s="1107"/>
      <c r="F2384" s="994"/>
      <c r="G2384" s="1091"/>
      <c r="H2384" s="1181"/>
      <c r="I2384" s="1826">
        <f>ROUND(I2383/10,2)</f>
        <v>511.35</v>
      </c>
      <c r="J2384" s="996"/>
      <c r="K2384" s="996"/>
      <c r="L2384" s="996"/>
      <c r="M2384" s="997"/>
      <c r="N2384" s="997"/>
      <c r="O2384" s="997"/>
      <c r="P2384" s="997"/>
      <c r="Q2384" s="997"/>
      <c r="R2384" s="997"/>
      <c r="S2384" s="997"/>
      <c r="T2384" s="997"/>
      <c r="U2384" s="997"/>
      <c r="V2384" s="997"/>
      <c r="W2384" s="997"/>
      <c r="X2384" s="997"/>
      <c r="Y2384" s="997"/>
      <c r="Z2384" s="997"/>
      <c r="AA2384" s="997"/>
      <c r="AB2384" s="997"/>
      <c r="AC2384" s="997"/>
      <c r="AD2384" s="997"/>
      <c r="AE2384" s="997"/>
      <c r="AF2384" s="997"/>
      <c r="AG2384" s="997"/>
      <c r="AH2384" s="997"/>
      <c r="AI2384" s="997"/>
      <c r="AJ2384" s="997"/>
      <c r="AK2384" s="997"/>
      <c r="AL2384" s="997"/>
      <c r="AM2384" s="997"/>
      <c r="AN2384" s="997"/>
      <c r="AO2384" s="997"/>
      <c r="AP2384" s="997"/>
      <c r="AQ2384" s="997"/>
      <c r="AR2384" s="997"/>
      <c r="AS2384" s="997"/>
      <c r="AT2384" s="997"/>
      <c r="AU2384" s="997"/>
      <c r="AV2384" s="997"/>
      <c r="AW2384" s="997"/>
      <c r="AX2384" s="997"/>
      <c r="AY2384" s="997"/>
      <c r="AZ2384" s="997"/>
      <c r="BA2384" s="997"/>
      <c r="BB2384" s="997"/>
      <c r="BC2384" s="997"/>
      <c r="BD2384" s="997"/>
      <c r="BE2384" s="997"/>
      <c r="BF2384" s="997"/>
      <c r="BG2384" s="997"/>
      <c r="BH2384" s="997"/>
      <c r="BI2384" s="997"/>
      <c r="BJ2384" s="997"/>
      <c r="BK2384" s="997"/>
      <c r="BL2384" s="997"/>
    </row>
    <row r="2385" spans="1:12">
      <c r="A2385" s="1818"/>
      <c r="B2385" s="1818"/>
      <c r="C2385" s="1817"/>
      <c r="D2385" s="1000"/>
      <c r="E2385" s="1069"/>
      <c r="F2385" s="1001"/>
      <c r="G2385" s="1015"/>
      <c r="H2385" s="1050"/>
      <c r="I2385" s="1030"/>
      <c r="J2385" s="1846"/>
      <c r="K2385" s="1846"/>
      <c r="L2385" s="1846"/>
    </row>
    <row r="2386" spans="1:12">
      <c r="A2386" s="1818"/>
      <c r="B2386" s="1818"/>
      <c r="C2386" s="1124" t="s">
        <v>1372</v>
      </c>
      <c r="D2386" s="1114"/>
      <c r="E2386" s="1114"/>
      <c r="F2386" s="1114"/>
      <c r="G2386" s="1114"/>
      <c r="H2386" s="1114"/>
      <c r="I2386" s="1011"/>
      <c r="J2386" s="1114"/>
      <c r="K2386" s="1114"/>
      <c r="L2386" s="1011"/>
    </row>
    <row r="2387" spans="1:12">
      <c r="A2387" s="1818"/>
      <c r="B2387" s="1818"/>
      <c r="C2387" s="1816" t="s">
        <v>1217</v>
      </c>
      <c r="D2387" s="1009" t="s">
        <v>1223</v>
      </c>
      <c r="E2387" s="1114" t="s">
        <v>1207</v>
      </c>
      <c r="F2387" s="1106" t="s">
        <v>1208</v>
      </c>
      <c r="G2387" s="1009" t="s">
        <v>1291</v>
      </c>
      <c r="H2387" s="1009" t="s">
        <v>1292</v>
      </c>
      <c r="I2387" s="1009" t="s">
        <v>1293</v>
      </c>
      <c r="J2387" s="1114"/>
      <c r="K2387" s="1114"/>
      <c r="L2387" s="1011"/>
    </row>
    <row r="2388" spans="1:12">
      <c r="A2388" s="1818"/>
      <c r="B2388" s="1818"/>
      <c r="C2388" s="1817" t="s">
        <v>1317</v>
      </c>
      <c r="D2388" s="1001">
        <f t="shared" ref="D2388:I2388" si="560">$I$2384</f>
        <v>511.35</v>
      </c>
      <c r="E2388" s="1001">
        <f t="shared" si="560"/>
        <v>511.35</v>
      </c>
      <c r="F2388" s="1001">
        <f t="shared" si="560"/>
        <v>511.35</v>
      </c>
      <c r="G2388" s="1001">
        <f t="shared" si="560"/>
        <v>511.35</v>
      </c>
      <c r="H2388" s="1001">
        <f t="shared" si="560"/>
        <v>511.35</v>
      </c>
      <c r="I2388" s="1001">
        <f t="shared" si="560"/>
        <v>511.35</v>
      </c>
      <c r="J2388" s="1114"/>
      <c r="K2388" s="1114"/>
      <c r="L2388" s="1011"/>
    </row>
    <row r="2389" spans="1:12">
      <c r="A2389" s="1818"/>
      <c r="B2389" s="1818"/>
      <c r="C2389" s="1817" t="s">
        <v>450</v>
      </c>
      <c r="D2389" s="1030">
        <f>'Civil-SOR'!$F$233</f>
        <v>1.17</v>
      </c>
      <c r="E2389" s="1030">
        <f>'Civil-SOR'!$F$234</f>
        <v>1.17</v>
      </c>
      <c r="F2389" s="1030">
        <f>'Civil-SOR'!$F$235</f>
        <v>1.17</v>
      </c>
      <c r="G2389" s="1030">
        <f>'Civil-SOR'!$F$236</f>
        <v>1.17</v>
      </c>
      <c r="H2389" s="1030">
        <f>'Civil-SOR'!$F$236</f>
        <v>1.17</v>
      </c>
      <c r="I2389" s="1030">
        <f>'Civil-SOR'!$F$236</f>
        <v>1.17</v>
      </c>
      <c r="J2389" s="1114"/>
      <c r="K2389" s="1114"/>
      <c r="L2389" s="1011"/>
    </row>
    <row r="2390" spans="1:12">
      <c r="A2390" s="1818"/>
      <c r="B2390" s="1818"/>
      <c r="C2390" s="1817" t="s">
        <v>1314</v>
      </c>
      <c r="D2390" s="1030">
        <f>'Civil-SOR'!$G$233</f>
        <v>9.43</v>
      </c>
      <c r="E2390" s="1030">
        <f>'Civil-SOR'!$G$234</f>
        <v>13.56</v>
      </c>
      <c r="F2390" s="1030">
        <f>'Civil-SOR'!$G$235</f>
        <v>17.690000000000001</v>
      </c>
      <c r="G2390" s="1030">
        <f>'Civil-SOR'!$G$236</f>
        <v>21.82</v>
      </c>
      <c r="H2390" s="1030">
        <f>'Civil-SOR'!$G$237</f>
        <v>25.96</v>
      </c>
      <c r="I2390" s="1030">
        <f>'Civil-SOR'!$G$238</f>
        <v>30.09</v>
      </c>
      <c r="J2390" s="1114"/>
      <c r="K2390" s="1114"/>
      <c r="L2390" s="1011"/>
    </row>
    <row r="2391" spans="1:12">
      <c r="A2391" s="1818"/>
      <c r="B2391" s="1818"/>
      <c r="C2391" s="1817" t="str">
        <f>Input!$C$47</f>
        <v>Add for MA @ 40%</v>
      </c>
      <c r="D2391" s="1001">
        <f>ROUND(D2390*Input!$D$47,2)</f>
        <v>3.77</v>
      </c>
      <c r="E2391" s="1001">
        <f>ROUND(E2390*Input!$D$47,2)</f>
        <v>5.42</v>
      </c>
      <c r="F2391" s="1001">
        <f>ROUND(F2390*Input!$D$47,2)</f>
        <v>7.08</v>
      </c>
      <c r="G2391" s="1001">
        <f>ROUND(G2390*Input!$D$47,2)</f>
        <v>8.73</v>
      </c>
      <c r="H2391" s="1001">
        <f>ROUND(H2390*Input!$D$47,2)</f>
        <v>10.38</v>
      </c>
      <c r="I2391" s="1001">
        <f>ROUND(I2390*Input!$D$47,2)</f>
        <v>12.04</v>
      </c>
      <c r="J2391" s="1114"/>
      <c r="K2391" s="1114"/>
      <c r="L2391" s="1011"/>
    </row>
    <row r="2392" spans="1:12">
      <c r="A2392" s="1818"/>
      <c r="B2392" s="1818"/>
      <c r="C2392" s="1817" t="s">
        <v>1253</v>
      </c>
      <c r="D2392" s="1001">
        <v>0</v>
      </c>
      <c r="E2392" s="1001">
        <f>ROUND($F$2381/10*10%,2)</f>
        <v>32.020000000000003</v>
      </c>
      <c r="F2392" s="1001">
        <f>ROUND($F$2381/10*20%,2)</f>
        <v>64.040000000000006</v>
      </c>
      <c r="G2392" s="1001">
        <f>ROUND($F$2381/10*30%,2)</f>
        <v>96.06</v>
      </c>
      <c r="H2392" s="1001">
        <f>ROUND($F$2381/10*40%,2)</f>
        <v>128.08000000000001</v>
      </c>
      <c r="I2392" s="1001">
        <f>ROUND($F$2381/10*50%,2)</f>
        <v>160.1</v>
      </c>
      <c r="J2392" s="1114"/>
      <c r="K2392" s="1114"/>
      <c r="L2392" s="1011"/>
    </row>
    <row r="2393" spans="1:12">
      <c r="A2393" s="1818"/>
      <c r="B2393" s="1818"/>
      <c r="C2393" s="1817" t="str">
        <f>Input!$C$47</f>
        <v>Add for MA @ 40%</v>
      </c>
      <c r="D2393" s="1001">
        <f>D2392*Input!$D$47</f>
        <v>0</v>
      </c>
      <c r="E2393" s="1001">
        <f>E2392*Input!$D$47</f>
        <v>12.808000000000002</v>
      </c>
      <c r="F2393" s="1001">
        <f>F2392*Input!$D$47</f>
        <v>25.616000000000003</v>
      </c>
      <c r="G2393" s="1001">
        <f>G2392*Input!$D$47</f>
        <v>38.424000000000007</v>
      </c>
      <c r="H2393" s="1001">
        <f>H2392*Input!$D$47</f>
        <v>51.232000000000006</v>
      </c>
      <c r="I2393" s="1001">
        <f>I2392*Input!$D$47</f>
        <v>64.040000000000006</v>
      </c>
      <c r="J2393" s="1114"/>
      <c r="K2393" s="1114"/>
      <c r="L2393" s="1011"/>
    </row>
    <row r="2394" spans="1:12">
      <c r="A2394" s="1818"/>
      <c r="B2394" s="1818"/>
      <c r="C2394" s="1816" t="s">
        <v>1117</v>
      </c>
      <c r="D2394" s="1001">
        <f t="shared" ref="D2394:I2394" si="561">SUM(D2388:D2393)</f>
        <v>525.71999999999991</v>
      </c>
      <c r="E2394" s="1001">
        <f t="shared" si="561"/>
        <v>576.32799999999986</v>
      </c>
      <c r="F2394" s="1001">
        <f t="shared" si="561"/>
        <v>626.94600000000003</v>
      </c>
      <c r="G2394" s="1001">
        <f t="shared" si="561"/>
        <v>677.55400000000009</v>
      </c>
      <c r="H2394" s="1001">
        <f t="shared" si="561"/>
        <v>728.17200000000003</v>
      </c>
      <c r="I2394" s="1001">
        <f t="shared" si="561"/>
        <v>778.79</v>
      </c>
      <c r="J2394" s="1114"/>
      <c r="K2394" s="1114"/>
      <c r="L2394" s="1011"/>
    </row>
    <row r="2395" spans="1:12">
      <c r="A2395" s="1818"/>
      <c r="B2395" s="1818"/>
      <c r="C2395" s="1817" t="str">
        <f>Input!$C$48</f>
        <v>Overheads &amp; Contractors Profit @ 13.615%</v>
      </c>
      <c r="D2395" s="1001">
        <f>ROUND(D2394*Input!$D$48,2)</f>
        <v>71.58</v>
      </c>
      <c r="E2395" s="1001">
        <f>ROUND(E2394*Input!$D$48,2)</f>
        <v>78.47</v>
      </c>
      <c r="F2395" s="1001">
        <f>ROUND(F2394*Input!$D$48,2)</f>
        <v>85.36</v>
      </c>
      <c r="G2395" s="1001">
        <f>ROUND(G2394*Input!$D$48,2)</f>
        <v>92.25</v>
      </c>
      <c r="H2395" s="1001">
        <f>ROUND(H2394*Input!$D$48,2)</f>
        <v>99.14</v>
      </c>
      <c r="I2395" s="1001">
        <f>ROUND(I2394*Input!$D$48,2)</f>
        <v>106.03</v>
      </c>
      <c r="J2395" s="1114"/>
      <c r="K2395" s="1114"/>
      <c r="L2395" s="1011"/>
    </row>
    <row r="2396" spans="1:12">
      <c r="A2396" s="1818"/>
      <c r="B2396" s="1818"/>
      <c r="C2396" s="1817"/>
      <c r="D2396" s="1001">
        <f t="shared" ref="D2396:I2396" si="562">SUM(D2394:D2395)</f>
        <v>597.29999999999995</v>
      </c>
      <c r="E2396" s="1001">
        <f t="shared" si="562"/>
        <v>654.79799999999989</v>
      </c>
      <c r="F2396" s="1001">
        <f t="shared" si="562"/>
        <v>712.30600000000004</v>
      </c>
      <c r="G2396" s="1001">
        <f t="shared" si="562"/>
        <v>769.80400000000009</v>
      </c>
      <c r="H2396" s="1001">
        <f t="shared" si="562"/>
        <v>827.31200000000001</v>
      </c>
      <c r="I2396" s="1001">
        <f t="shared" si="562"/>
        <v>884.81999999999994</v>
      </c>
      <c r="J2396" s="1114"/>
      <c r="K2396" s="1114"/>
      <c r="L2396" s="1011"/>
    </row>
    <row r="2397" spans="1:12">
      <c r="A2397" s="1818"/>
      <c r="B2397" s="1818"/>
      <c r="C2397" s="1118" t="s">
        <v>1034</v>
      </c>
      <c r="D2397" s="1114">
        <f t="shared" ref="D2397:I2397" si="563">ROUND(D2396,0)</f>
        <v>597</v>
      </c>
      <c r="E2397" s="1114">
        <f t="shared" si="563"/>
        <v>655</v>
      </c>
      <c r="F2397" s="1114">
        <f t="shared" si="563"/>
        <v>712</v>
      </c>
      <c r="G2397" s="1114">
        <f t="shared" si="563"/>
        <v>770</v>
      </c>
      <c r="H2397" s="1114">
        <f t="shared" si="563"/>
        <v>827</v>
      </c>
      <c r="I2397" s="1009">
        <f t="shared" si="563"/>
        <v>885</v>
      </c>
      <c r="J2397" s="1114"/>
      <c r="K2397" s="1114"/>
      <c r="L2397" s="1011"/>
    </row>
    <row r="2398" spans="1:12">
      <c r="A2398" s="1818"/>
      <c r="B2398" s="1818"/>
      <c r="C2398" s="1817"/>
      <c r="D2398" s="1000"/>
      <c r="E2398" s="1069"/>
      <c r="F2398" s="1001"/>
      <c r="G2398" s="1015"/>
      <c r="H2398" s="1050"/>
      <c r="I2398" s="1030"/>
      <c r="J2398" s="1114"/>
      <c r="K2398" s="1114"/>
      <c r="L2398" s="1011"/>
    </row>
    <row r="2399" spans="1:12">
      <c r="A2399" s="1818"/>
      <c r="B2399" s="1818"/>
      <c r="C2399" s="1816" t="s">
        <v>1217</v>
      </c>
      <c r="D2399" s="1009" t="s">
        <v>1357</v>
      </c>
      <c r="E2399" s="1009" t="s">
        <v>1358</v>
      </c>
      <c r="F2399" s="1009" t="s">
        <v>1359</v>
      </c>
      <c r="G2399" s="1015"/>
      <c r="H2399" s="1050"/>
      <c r="I2399" s="1030"/>
      <c r="J2399" s="1846"/>
      <c r="K2399" s="1846"/>
      <c r="L2399" s="1846"/>
    </row>
    <row r="2400" spans="1:12">
      <c r="A2400" s="1818"/>
      <c r="B2400" s="1818"/>
      <c r="C2400" s="1817" t="s">
        <v>1317</v>
      </c>
      <c r="D2400" s="1001">
        <f>$I$2384</f>
        <v>511.35</v>
      </c>
      <c r="E2400" s="1001">
        <f>$I$2384</f>
        <v>511.35</v>
      </c>
      <c r="F2400" s="1001">
        <f>$I$2384</f>
        <v>511.35</v>
      </c>
      <c r="G2400" s="1015"/>
      <c r="H2400" s="1050"/>
      <c r="I2400" s="1030"/>
      <c r="J2400" s="1846"/>
      <c r="K2400" s="1846"/>
      <c r="L2400" s="1846"/>
    </row>
    <row r="2401" spans="1:12">
      <c r="A2401" s="1818"/>
      <c r="B2401" s="1818"/>
      <c r="C2401" s="1817" t="s">
        <v>450</v>
      </c>
      <c r="D2401" s="1030">
        <f>'Civil-SOR'!$F$236</f>
        <v>1.17</v>
      </c>
      <c r="E2401" s="1030">
        <f>'Civil-SOR'!$F$236</f>
        <v>1.17</v>
      </c>
      <c r="F2401" s="1030">
        <f>'Civil-SOR'!$F$236</f>
        <v>1.17</v>
      </c>
      <c r="G2401" s="1015"/>
      <c r="H2401" s="1050"/>
      <c r="I2401" s="1030"/>
      <c r="J2401" s="1846"/>
      <c r="K2401" s="1846"/>
      <c r="L2401" s="1846"/>
    </row>
    <row r="2402" spans="1:12">
      <c r="A2402" s="1818"/>
      <c r="B2402" s="1818"/>
      <c r="C2402" s="1817" t="s">
        <v>1314</v>
      </c>
      <c r="D2402" s="1030">
        <f>'Civil-SOR'!$G$239</f>
        <v>34.22</v>
      </c>
      <c r="E2402" s="1030">
        <f>'Civil-SOR'!$G$240</f>
        <v>38.35</v>
      </c>
      <c r="F2402" s="1030">
        <f>'Civil-SOR'!$G$241</f>
        <v>42.48</v>
      </c>
      <c r="G2402" s="1015"/>
      <c r="H2402" s="1050"/>
      <c r="I2402" s="1030"/>
      <c r="J2402" s="1846"/>
      <c r="K2402" s="1846"/>
      <c r="L2402" s="1846"/>
    </row>
    <row r="2403" spans="1:12">
      <c r="A2403" s="1818"/>
      <c r="B2403" s="1818"/>
      <c r="C2403" s="1817" t="str">
        <f>Input!$C$47</f>
        <v>Add for MA @ 40%</v>
      </c>
      <c r="D2403" s="1001">
        <f>ROUND(D2402*Input!$D$47,2)</f>
        <v>13.69</v>
      </c>
      <c r="E2403" s="1001">
        <f>ROUND(E2402*Input!$D$47,2)</f>
        <v>15.34</v>
      </c>
      <c r="F2403" s="1001">
        <f>ROUND(F2402*Input!$D$47,2)</f>
        <v>16.989999999999998</v>
      </c>
      <c r="G2403" s="1015"/>
      <c r="H2403" s="1050"/>
      <c r="I2403" s="1030"/>
      <c r="J2403" s="1846"/>
      <c r="K2403" s="1846"/>
      <c r="L2403" s="1846"/>
    </row>
    <row r="2404" spans="1:12">
      <c r="A2404" s="1818"/>
      <c r="B2404" s="1818"/>
      <c r="C2404" s="1817" t="s">
        <v>1253</v>
      </c>
      <c r="D2404" s="1001">
        <f>ROUND($F$2381/10*60%,2)</f>
        <v>192.11</v>
      </c>
      <c r="E2404" s="1001">
        <f>ROUND($F$2381/10*70%,2)</f>
        <v>224.13</v>
      </c>
      <c r="F2404" s="1001">
        <f>ROUND($F$2381/10*80%,2)</f>
        <v>256.14999999999998</v>
      </c>
      <c r="G2404" s="1015"/>
      <c r="H2404" s="1050"/>
      <c r="I2404" s="1030"/>
      <c r="J2404" s="1846"/>
      <c r="K2404" s="1846"/>
      <c r="L2404" s="1846"/>
    </row>
    <row r="2405" spans="1:12">
      <c r="A2405" s="1818"/>
      <c r="B2405" s="1818"/>
      <c r="C2405" s="1817" t="str">
        <f>Input!$C$47</f>
        <v>Add for MA @ 40%</v>
      </c>
      <c r="D2405" s="1001">
        <f>D2404*Input!$D$47</f>
        <v>76.844000000000008</v>
      </c>
      <c r="E2405" s="1001">
        <f>E2404*Input!$D$47</f>
        <v>89.652000000000001</v>
      </c>
      <c r="F2405" s="1001">
        <f>F2404*Input!$D$47</f>
        <v>102.46</v>
      </c>
      <c r="G2405" s="1015"/>
      <c r="H2405" s="1050"/>
      <c r="I2405" s="1030"/>
      <c r="J2405" s="1846"/>
      <c r="K2405" s="1846"/>
      <c r="L2405" s="1846"/>
    </row>
    <row r="2406" spans="1:12">
      <c r="A2406" s="1818"/>
      <c r="B2406" s="1818"/>
      <c r="C2406" s="1816" t="s">
        <v>1117</v>
      </c>
      <c r="D2406" s="1001">
        <f>SUM(D2400:D2405)</f>
        <v>829.38400000000013</v>
      </c>
      <c r="E2406" s="1001">
        <f>SUM(E2400:E2405)</f>
        <v>879.99200000000008</v>
      </c>
      <c r="F2406" s="1001">
        <f>SUM(F2400:F2405)</f>
        <v>930.6</v>
      </c>
      <c r="G2406" s="1015"/>
      <c r="H2406" s="1050"/>
      <c r="I2406" s="1030"/>
      <c r="J2406" s="1846"/>
      <c r="K2406" s="1846"/>
      <c r="L2406" s="1846"/>
    </row>
    <row r="2407" spans="1:12">
      <c r="A2407" s="1818"/>
      <c r="B2407" s="1818"/>
      <c r="C2407" s="1817" t="str">
        <f>Input!$C$48</f>
        <v>Overheads &amp; Contractors Profit @ 13.615%</v>
      </c>
      <c r="D2407" s="1001">
        <f>ROUND(D2406*Input!$D$48,2)</f>
        <v>112.92</v>
      </c>
      <c r="E2407" s="1001">
        <f>ROUND(E2406*Input!$D$48,2)</f>
        <v>119.81</v>
      </c>
      <c r="F2407" s="1001">
        <f>ROUND(F2406*Input!$D$48,2)</f>
        <v>126.7</v>
      </c>
      <c r="G2407" s="1015"/>
      <c r="H2407" s="1050"/>
      <c r="I2407" s="1030"/>
      <c r="J2407" s="1846"/>
      <c r="K2407" s="1846"/>
      <c r="L2407" s="1846"/>
    </row>
    <row r="2408" spans="1:12">
      <c r="A2408" s="1818"/>
      <c r="B2408" s="1818"/>
      <c r="C2408" s="1817"/>
      <c r="D2408" s="1001">
        <f>SUM(D2406:D2407)</f>
        <v>942.30400000000009</v>
      </c>
      <c r="E2408" s="1001">
        <f>SUM(E2406:E2407)</f>
        <v>999.80200000000013</v>
      </c>
      <c r="F2408" s="1001">
        <f>SUM(F2406:F2407)</f>
        <v>1057.3</v>
      </c>
      <c r="G2408" s="1015"/>
      <c r="H2408" s="1050"/>
      <c r="I2408" s="1030"/>
      <c r="J2408" s="1846"/>
      <c r="K2408" s="1846"/>
      <c r="L2408" s="1846"/>
    </row>
    <row r="2409" spans="1:12">
      <c r="A2409" s="1818"/>
      <c r="B2409" s="1818"/>
      <c r="C2409" s="1843" t="s">
        <v>1034</v>
      </c>
      <c r="D2409" s="1114">
        <f>ROUND(D2408,0)</f>
        <v>942</v>
      </c>
      <c r="E2409" s="1114">
        <f>ROUND(E2408,0)</f>
        <v>1000</v>
      </c>
      <c r="F2409" s="1009">
        <f>ROUND(F2408,0)</f>
        <v>1057</v>
      </c>
      <c r="G2409" s="1015"/>
      <c r="H2409" s="1050"/>
      <c r="I2409" s="1030"/>
      <c r="J2409" s="1846"/>
      <c r="K2409" s="1846"/>
      <c r="L2409" s="1846"/>
    </row>
    <row r="2410" spans="1:12">
      <c r="A2410" s="1818"/>
      <c r="B2410" s="1818"/>
      <c r="C2410" s="1843"/>
      <c r="D2410" s="1114"/>
      <c r="E2410" s="1114"/>
      <c r="F2410" s="1009"/>
      <c r="G2410" s="1015"/>
      <c r="H2410" s="1050"/>
      <c r="I2410" s="1030"/>
      <c r="J2410" s="1846"/>
      <c r="K2410" s="1846"/>
      <c r="L2410" s="1846"/>
    </row>
    <row r="2411" spans="1:12" ht="66.400000000000006" customHeight="1">
      <c r="A2411" s="1818">
        <f>A2367+1</f>
        <v>29</v>
      </c>
      <c r="B2411" s="1818"/>
      <c r="C2411" s="2036" t="s">
        <v>3414</v>
      </c>
      <c r="D2411" s="2036"/>
      <c r="E2411" s="2036"/>
      <c r="F2411" s="2036"/>
      <c r="G2411" s="2036"/>
      <c r="H2411" s="2036"/>
      <c r="I2411" s="1825"/>
      <c r="J2411" s="1846"/>
      <c r="K2411" s="1846"/>
      <c r="L2411" s="1846"/>
    </row>
    <row r="2412" spans="1:12">
      <c r="A2412" s="1818"/>
      <c r="B2412" s="1818"/>
      <c r="C2412" s="1049" t="s">
        <v>1363</v>
      </c>
      <c r="D2412" s="1000"/>
      <c r="E2412" s="1069"/>
      <c r="F2412" s="1001"/>
      <c r="G2412" s="1015"/>
      <c r="H2412" s="1094"/>
      <c r="I2412" s="1030"/>
      <c r="J2412" s="1846"/>
      <c r="K2412" s="1846"/>
      <c r="L2412" s="1846"/>
    </row>
    <row r="2413" spans="1:12">
      <c r="A2413" s="1818"/>
      <c r="B2413" s="1818"/>
      <c r="C2413" s="1846" t="s">
        <v>1364</v>
      </c>
      <c r="D2413" s="1000"/>
      <c r="E2413" s="1069"/>
      <c r="F2413" s="1001"/>
      <c r="G2413" s="1015"/>
      <c r="H2413" s="1094"/>
      <c r="I2413" s="1030"/>
      <c r="J2413" s="1846"/>
      <c r="K2413" s="1846"/>
      <c r="L2413" s="1846"/>
    </row>
    <row r="2414" spans="1:12">
      <c r="A2414" s="1818"/>
      <c r="B2414" s="1818"/>
      <c r="C2414" s="1816" t="s">
        <v>1139</v>
      </c>
      <c r="D2414" s="1000"/>
      <c r="E2414" s="1069"/>
      <c r="F2414" s="1001"/>
      <c r="G2414" s="1015"/>
      <c r="H2414" s="1094"/>
      <c r="I2414" s="1030"/>
      <c r="J2414" s="1846"/>
      <c r="K2414" s="1846"/>
      <c r="L2414" s="1846"/>
    </row>
    <row r="2415" spans="1:12">
      <c r="A2415" s="1818"/>
      <c r="B2415" s="1818"/>
      <c r="C2415" s="1817" t="s">
        <v>889</v>
      </c>
      <c r="D2415" s="1034">
        <v>43.2</v>
      </c>
      <c r="E2415" s="1044" t="s">
        <v>1110</v>
      </c>
      <c r="F2415" s="1001">
        <f>LEAD!$N$6</f>
        <v>5200</v>
      </c>
      <c r="G2415" s="1015">
        <v>1000</v>
      </c>
      <c r="H2415" s="1050" t="str">
        <f t="shared" ref="H2415:H2416" si="564">IF(E2415="","",IF(E2415="No.","Each",IF(E2415="Nos.","Each",E2415)))</f>
        <v>Kgs</v>
      </c>
      <c r="I2415" s="1030">
        <f t="shared" ref="I2415:I2416" si="565">IF(G2415="",D2415*F2415,(D2415*F2415/G2415))</f>
        <v>224.64000000000004</v>
      </c>
      <c r="J2415" s="1846"/>
      <c r="K2415" s="1846"/>
      <c r="L2415" s="1846"/>
    </row>
    <row r="2416" spans="1:12">
      <c r="A2416" s="1818"/>
      <c r="B2416" s="1818"/>
      <c r="C2416" s="1817" t="s">
        <v>1141</v>
      </c>
      <c r="D2416" s="1034">
        <v>0.15</v>
      </c>
      <c r="E2416" s="1044" t="s">
        <v>1315</v>
      </c>
      <c r="F2416" s="1001">
        <f>LEAD!$N$13</f>
        <v>2453.91</v>
      </c>
      <c r="G2416" s="1015">
        <v>1</v>
      </c>
      <c r="H2416" s="1050" t="str">
        <f t="shared" si="564"/>
        <v>cu.m.</v>
      </c>
      <c r="I2416" s="1030">
        <f t="shared" si="565"/>
        <v>368.08649999999994</v>
      </c>
      <c r="J2416" s="1846"/>
      <c r="K2416" s="1846"/>
      <c r="L2416" s="1846"/>
    </row>
    <row r="2417" spans="1:12">
      <c r="A2417" s="1818"/>
      <c r="B2417" s="1818"/>
      <c r="C2417" s="1816" t="s">
        <v>1172</v>
      </c>
      <c r="D2417" s="1000"/>
      <c r="E2417" s="1069"/>
      <c r="F2417" s="1001"/>
      <c r="G2417" s="1015"/>
      <c r="H2417" s="1050"/>
      <c r="I2417" s="1030"/>
      <c r="J2417" s="1846"/>
      <c r="K2417" s="1846"/>
      <c r="L2417" s="1846"/>
    </row>
    <row r="2418" spans="1:12">
      <c r="A2418" s="1818"/>
      <c r="B2418" s="1818"/>
      <c r="C2418" s="1817" t="s">
        <v>1369</v>
      </c>
      <c r="D2418" s="1000">
        <v>0.6</v>
      </c>
      <c r="E2418" s="1044" t="s">
        <v>36</v>
      </c>
      <c r="F2418" s="1001">
        <f>'Civil-SOR'!$G$293</f>
        <v>580</v>
      </c>
      <c r="G2418" s="1015">
        <v>1</v>
      </c>
      <c r="H2418" s="1050" t="str">
        <f t="shared" ref="H2418:H2419" si="566">IF(E2418="","",IF(E2418="No.","Each",IF(E2418="Nos.","Each",E2418)))</f>
        <v>Each</v>
      </c>
      <c r="I2418" s="1030">
        <f t="shared" ref="I2418:I2421" si="567">IF(G2418="",D2418*F2418,(D2418*F2418/G2418))</f>
        <v>348</v>
      </c>
      <c r="J2418" s="1846"/>
      <c r="K2418" s="1846"/>
      <c r="L2418" s="1846"/>
    </row>
    <row r="2419" spans="1:12">
      <c r="A2419" s="1818"/>
      <c r="B2419" s="1818"/>
      <c r="C2419" s="1817" t="s">
        <v>1166</v>
      </c>
      <c r="D2419" s="1000">
        <v>0.96</v>
      </c>
      <c r="E2419" s="1069" t="s">
        <v>36</v>
      </c>
      <c r="F2419" s="1001">
        <f>'Civil-SOR'!$G$307</f>
        <v>520</v>
      </c>
      <c r="G2419" s="1015">
        <v>1</v>
      </c>
      <c r="H2419" s="1050" t="str">
        <f t="shared" si="566"/>
        <v>Each</v>
      </c>
      <c r="I2419" s="1030">
        <f t="shared" si="567"/>
        <v>499.2</v>
      </c>
      <c r="J2419" s="1846"/>
      <c r="K2419" s="1846"/>
      <c r="L2419" s="1846"/>
    </row>
    <row r="2420" spans="1:12">
      <c r="A2420" s="1818"/>
      <c r="B2420" s="1818"/>
      <c r="C2420" s="1817" t="str">
        <f>Input!$C$47</f>
        <v>Add for MA @ 40%</v>
      </c>
      <c r="D2420" s="1158">
        <f>Input!$D$47</f>
        <v>0.4</v>
      </c>
      <c r="E2420" s="1094"/>
      <c r="F2420" s="1001">
        <f>SUM(I2418:I2419)</f>
        <v>847.2</v>
      </c>
      <c r="G2420" s="1020"/>
      <c r="H2420" s="1057"/>
      <c r="I2420" s="1030">
        <f t="shared" si="567"/>
        <v>338.88000000000005</v>
      </c>
      <c r="J2420" s="1846"/>
      <c r="K2420" s="1846"/>
      <c r="L2420" s="1846"/>
    </row>
    <row r="2421" spans="1:12">
      <c r="A2421" s="1818"/>
      <c r="B2421" s="1818"/>
      <c r="C2421" s="1817" t="s">
        <v>1312</v>
      </c>
      <c r="D2421" s="1034">
        <v>0.01</v>
      </c>
      <c r="E2421" s="1044"/>
      <c r="F2421" s="1001">
        <f>SUM(I2415:I2420)</f>
        <v>1778.8065000000001</v>
      </c>
      <c r="G2421" s="1015"/>
      <c r="H2421" s="1050"/>
      <c r="I2421" s="1030">
        <f t="shared" si="567"/>
        <v>17.788065000000003</v>
      </c>
      <c r="J2421" s="1846"/>
      <c r="K2421" s="1846"/>
      <c r="L2421" s="1846"/>
    </row>
    <row r="2422" spans="1:12" s="997" customFormat="1">
      <c r="A2422" s="1086"/>
      <c r="B2422" s="1086"/>
      <c r="C2422" s="1088" t="s">
        <v>1302</v>
      </c>
      <c r="D2422" s="1180"/>
      <c r="E2422" s="1107"/>
      <c r="F2422" s="994"/>
      <c r="G2422" s="1108"/>
      <c r="H2422" s="1830"/>
      <c r="I2422" s="1826">
        <f>SUM(I2415:I2421)</f>
        <v>1796.5945650000001</v>
      </c>
      <c r="J2422" s="996"/>
      <c r="K2422" s="996"/>
      <c r="L2422" s="996"/>
    </row>
    <row r="2423" spans="1:12" s="997" customFormat="1">
      <c r="A2423" s="1086"/>
      <c r="B2423" s="1086"/>
      <c r="C2423" s="1088" t="s">
        <v>1117</v>
      </c>
      <c r="D2423" s="1089"/>
      <c r="E2423" s="1107"/>
      <c r="F2423" s="994"/>
      <c r="G2423" s="1091"/>
      <c r="H2423" s="1181"/>
      <c r="I2423" s="1826">
        <f>ROUND(I2422/10,2)</f>
        <v>179.66</v>
      </c>
      <c r="J2423" s="996"/>
      <c r="K2423" s="996"/>
      <c r="L2423" s="996"/>
    </row>
    <row r="2424" spans="1:12">
      <c r="A2424" s="1818"/>
      <c r="B2424" s="1818"/>
      <c r="C2424" s="1816"/>
      <c r="D2424" s="1000"/>
      <c r="E2424" s="1094"/>
      <c r="F2424" s="1001"/>
      <c r="G2424" s="1015"/>
      <c r="H2424" s="1069"/>
      <c r="I2424" s="1011"/>
      <c r="J2424" s="1846"/>
      <c r="K2424" s="1846"/>
      <c r="L2424" s="1846"/>
    </row>
    <row r="2425" spans="1:12">
      <c r="A2425" s="1818"/>
      <c r="B2425" s="1106" t="s">
        <v>294</v>
      </c>
      <c r="C2425" s="1124" t="s">
        <v>1373</v>
      </c>
      <c r="D2425" s="1000"/>
      <c r="E2425" s="1094"/>
      <c r="F2425" s="1001"/>
      <c r="G2425" s="1015"/>
      <c r="H2425" s="1069"/>
      <c r="I2425" s="1011"/>
      <c r="J2425" s="1846"/>
      <c r="K2425" s="1846"/>
      <c r="L2425" s="1846"/>
    </row>
    <row r="2426" spans="1:12">
      <c r="A2426" s="1818"/>
      <c r="B2426" s="1818"/>
      <c r="C2426" s="1816" t="s">
        <v>1117</v>
      </c>
      <c r="D2426" s="1000">
        <v>1</v>
      </c>
      <c r="E2426" s="1094" t="s">
        <v>94</v>
      </c>
      <c r="F2426" s="1001">
        <f>$I$2423</f>
        <v>179.66</v>
      </c>
      <c r="G2426" s="1015">
        <v>1</v>
      </c>
      <c r="H2426" s="1069" t="s">
        <v>94</v>
      </c>
      <c r="I2426" s="1030">
        <f t="shared" ref="I2426:I2427" si="568">IF(G2426="",D2426*F2426,(D2426*F2426/G2426))</f>
        <v>179.66</v>
      </c>
      <c r="J2426" s="1846"/>
      <c r="K2426" s="1846"/>
      <c r="L2426" s="1846"/>
    </row>
    <row r="2427" spans="1:12">
      <c r="A2427" s="1818"/>
      <c r="B2427" s="1818"/>
      <c r="C2427" s="1817" t="str">
        <f>Input!$C$48</f>
        <v>Overheads &amp; Contractors Profit @ 13.615%</v>
      </c>
      <c r="D2427" s="1095">
        <f>Input!$D$48</f>
        <v>0.13614999999999999</v>
      </c>
      <c r="E2427" s="1094"/>
      <c r="F2427" s="1001">
        <f>I2426</f>
        <v>179.66</v>
      </c>
      <c r="G2427" s="1015"/>
      <c r="H2427" s="1069"/>
      <c r="I2427" s="1030">
        <f t="shared" si="568"/>
        <v>24.460708999999998</v>
      </c>
      <c r="J2427" s="1846"/>
      <c r="K2427" s="1846"/>
      <c r="L2427" s="1846"/>
    </row>
    <row r="2428" spans="1:12">
      <c r="A2428" s="1818"/>
      <c r="B2428" s="1818"/>
      <c r="C2428" s="1816" t="s">
        <v>1117</v>
      </c>
      <c r="D2428" s="1000"/>
      <c r="E2428" s="1094"/>
      <c r="F2428" s="1001"/>
      <c r="G2428" s="1015"/>
      <c r="H2428" s="1069"/>
      <c r="I2428" s="1030">
        <f>SUM(I2426:I2427)</f>
        <v>204.12070900000001</v>
      </c>
      <c r="J2428" s="1846"/>
      <c r="K2428" s="1846"/>
      <c r="L2428" s="1846"/>
    </row>
    <row r="2429" spans="1:12">
      <c r="A2429" s="1818"/>
      <c r="B2429" s="1818"/>
      <c r="C2429" s="1817"/>
      <c r="D2429" s="1000"/>
      <c r="E2429" s="1094"/>
      <c r="F2429" s="1001"/>
      <c r="G2429" s="1015"/>
      <c r="H2429" s="1852" t="s">
        <v>1065</v>
      </c>
      <c r="I2429" s="1009">
        <f>ROUND(I2428,0)</f>
        <v>204</v>
      </c>
      <c r="J2429" s="1846"/>
      <c r="K2429" s="1846"/>
      <c r="L2429" s="1846"/>
    </row>
    <row r="2430" spans="1:12">
      <c r="A2430" s="1818"/>
      <c r="B2430" s="1818"/>
      <c r="C2430" s="1817"/>
      <c r="D2430" s="1000"/>
      <c r="E2430" s="1094"/>
      <c r="F2430" s="1001"/>
      <c r="G2430" s="1015"/>
      <c r="H2430" s="1852"/>
      <c r="I2430" s="1009"/>
      <c r="J2430" s="1846"/>
      <c r="K2430" s="1846"/>
      <c r="L2430" s="1846"/>
    </row>
    <row r="2431" spans="1:12">
      <c r="A2431" s="1818"/>
      <c r="B2431" s="1106" t="s">
        <v>297</v>
      </c>
      <c r="C2431" s="1124" t="s">
        <v>1372</v>
      </c>
      <c r="D2431" s="1114"/>
      <c r="E2431" s="1094"/>
      <c r="F2431" s="1001"/>
      <c r="G2431" s="1015"/>
      <c r="H2431" s="1047"/>
      <c r="I2431" s="1011"/>
      <c r="J2431" s="1015"/>
      <c r="K2431" s="1047"/>
      <c r="L2431" s="1011"/>
    </row>
    <row r="2432" spans="1:12">
      <c r="A2432" s="1818"/>
      <c r="B2432" s="1818"/>
      <c r="C2432" s="1816" t="s">
        <v>1217</v>
      </c>
      <c r="D2432" s="1009" t="s">
        <v>1223</v>
      </c>
      <c r="E2432" s="1114" t="s">
        <v>1207</v>
      </c>
      <c r="F2432" s="1106" t="s">
        <v>1208</v>
      </c>
      <c r="G2432" s="1009" t="s">
        <v>1291</v>
      </c>
      <c r="H2432" s="1009" t="s">
        <v>1292</v>
      </c>
      <c r="I2432" s="1009" t="s">
        <v>1293</v>
      </c>
      <c r="J2432" s="1009"/>
      <c r="K2432" s="1009" t="s">
        <v>1358</v>
      </c>
      <c r="L2432" s="1009" t="s">
        <v>1359</v>
      </c>
    </row>
    <row r="2433" spans="1:12">
      <c r="A2433" s="1818"/>
      <c r="B2433" s="1818"/>
      <c r="C2433" s="1817" t="s">
        <v>1317</v>
      </c>
      <c r="D2433" s="1001">
        <f t="shared" ref="D2433:L2433" si="569">$I$2423</f>
        <v>179.66</v>
      </c>
      <c r="E2433" s="1001">
        <f t="shared" si="569"/>
        <v>179.66</v>
      </c>
      <c r="F2433" s="1001">
        <f t="shared" si="569"/>
        <v>179.66</v>
      </c>
      <c r="G2433" s="1001">
        <f t="shared" si="569"/>
        <v>179.66</v>
      </c>
      <c r="H2433" s="1001">
        <f t="shared" si="569"/>
        <v>179.66</v>
      </c>
      <c r="I2433" s="1001">
        <f t="shared" si="569"/>
        <v>179.66</v>
      </c>
      <c r="J2433" s="1001"/>
      <c r="K2433" s="1001">
        <f t="shared" si="569"/>
        <v>179.66</v>
      </c>
      <c r="L2433" s="1001">
        <f t="shared" si="569"/>
        <v>179.66</v>
      </c>
    </row>
    <row r="2434" spans="1:12">
      <c r="A2434" s="1818"/>
      <c r="B2434" s="1818"/>
      <c r="C2434" s="1817" t="s">
        <v>450</v>
      </c>
      <c r="D2434" s="1021">
        <f>'Civil-SOR'!$F$233</f>
        <v>1.17</v>
      </c>
      <c r="E2434" s="1021">
        <f>'Civil-SOR'!$F$234</f>
        <v>1.17</v>
      </c>
      <c r="F2434" s="1021">
        <f>'Civil-SOR'!$F$235</f>
        <v>1.17</v>
      </c>
      <c r="G2434" s="1021">
        <f>'Civil-SOR'!$F$236</f>
        <v>1.17</v>
      </c>
      <c r="H2434" s="1021">
        <f>'Civil-SOR'!$F$236</f>
        <v>1.17</v>
      </c>
      <c r="I2434" s="1021">
        <f>'Civil-SOR'!$F$236</f>
        <v>1.17</v>
      </c>
      <c r="J2434" s="1021"/>
      <c r="K2434" s="1021">
        <f>'Civil-SOR'!$F$236</f>
        <v>1.17</v>
      </c>
      <c r="L2434" s="1021">
        <f>'Civil-SOR'!$F$236</f>
        <v>1.17</v>
      </c>
    </row>
    <row r="2435" spans="1:12">
      <c r="A2435" s="1818"/>
      <c r="B2435" s="1818"/>
      <c r="C2435" s="1817" t="s">
        <v>1314</v>
      </c>
      <c r="D2435" s="1030">
        <f>'Civil-SOR'!$G$233</f>
        <v>9.43</v>
      </c>
      <c r="E2435" s="1030">
        <f>'Civil-SOR'!$G$234</f>
        <v>13.56</v>
      </c>
      <c r="F2435" s="1030">
        <f>'Civil-SOR'!$G$235</f>
        <v>17.690000000000001</v>
      </c>
      <c r="G2435" s="1030">
        <f>'Civil-SOR'!$G$236</f>
        <v>21.82</v>
      </c>
      <c r="H2435" s="1030">
        <f>'Civil-SOR'!$G$237</f>
        <v>25.96</v>
      </c>
      <c r="I2435" s="1030">
        <f>'Civil-SOR'!$G$238</f>
        <v>30.09</v>
      </c>
      <c r="J2435" s="1030"/>
      <c r="K2435" s="1030">
        <f>'Civil-SOR'!$G$240</f>
        <v>38.35</v>
      </c>
      <c r="L2435" s="1030">
        <f>'Civil-SOR'!$G$241</f>
        <v>42.48</v>
      </c>
    </row>
    <row r="2436" spans="1:12">
      <c r="A2436" s="1818"/>
      <c r="B2436" s="1818"/>
      <c r="C2436" s="1817" t="str">
        <f>Input!$C$47</f>
        <v>Add for MA @ 40%</v>
      </c>
      <c r="D2436" s="1001">
        <f>D2435*Input!$D$47</f>
        <v>3.7720000000000002</v>
      </c>
      <c r="E2436" s="1001">
        <f>E2435*Input!$D$47</f>
        <v>5.4240000000000004</v>
      </c>
      <c r="F2436" s="1001">
        <f>F2435*Input!$D$47</f>
        <v>7.0760000000000005</v>
      </c>
      <c r="G2436" s="1001">
        <f>G2435*Input!$D$47</f>
        <v>8.7279999999999998</v>
      </c>
      <c r="H2436" s="1001">
        <f>H2435*Input!$D$47</f>
        <v>10.384</v>
      </c>
      <c r="I2436" s="1001">
        <f>I2435*Input!$D$47</f>
        <v>12.036000000000001</v>
      </c>
      <c r="J2436" s="1001"/>
      <c r="K2436" s="1001">
        <f>K2435*Input!$D$47</f>
        <v>15.340000000000002</v>
      </c>
      <c r="L2436" s="1001">
        <f>L2435*Input!$D$47</f>
        <v>16.992000000000001</v>
      </c>
    </row>
    <row r="2437" spans="1:12">
      <c r="A2437" s="1818"/>
      <c r="B2437" s="1818"/>
      <c r="C2437" s="1817" t="s">
        <v>1253</v>
      </c>
      <c r="D2437" s="1001">
        <v>0</v>
      </c>
      <c r="E2437" s="1001">
        <f>ROUND($F$2420/10*10%,2)</f>
        <v>8.4700000000000006</v>
      </c>
      <c r="F2437" s="1001">
        <f>ROUND($F$2420/10*20%,2)</f>
        <v>16.940000000000001</v>
      </c>
      <c r="G2437" s="1001">
        <f>ROUND($F$2420/10*30%,2)</f>
        <v>25.42</v>
      </c>
      <c r="H2437" s="1001">
        <f>ROUND($F$2420/10*40%,2)</f>
        <v>33.89</v>
      </c>
      <c r="I2437" s="1001">
        <f>ROUND($F$2420/10*50%,2)</f>
        <v>42.36</v>
      </c>
      <c r="J2437" s="1001"/>
      <c r="K2437" s="1001">
        <f>ROUND($F$2420/10*70%,2)</f>
        <v>59.3</v>
      </c>
      <c r="L2437" s="1001">
        <f>ROUND($F$2420/10*80%,2)</f>
        <v>67.78</v>
      </c>
    </row>
    <row r="2438" spans="1:12">
      <c r="A2438" s="1818"/>
      <c r="B2438" s="1818"/>
      <c r="C2438" s="1817" t="str">
        <f>Input!$C$47</f>
        <v>Add for MA @ 40%</v>
      </c>
      <c r="D2438" s="1001">
        <f>D2437*Input!$D$47</f>
        <v>0</v>
      </c>
      <c r="E2438" s="1001">
        <f>E2437*Input!$D$47</f>
        <v>3.3880000000000003</v>
      </c>
      <c r="F2438" s="1001">
        <f>F2437*Input!$D$47</f>
        <v>6.7760000000000007</v>
      </c>
      <c r="G2438" s="1001">
        <f>G2437*Input!$D$47</f>
        <v>10.168000000000001</v>
      </c>
      <c r="H2438" s="1001">
        <f>H2437*Input!$D$47</f>
        <v>13.556000000000001</v>
      </c>
      <c r="I2438" s="1001">
        <f>I2437*Input!$D$47</f>
        <v>16.943999999999999</v>
      </c>
      <c r="J2438" s="1001"/>
      <c r="K2438" s="1001">
        <f>K2437*Input!$D$47</f>
        <v>23.72</v>
      </c>
      <c r="L2438" s="1001">
        <f>L2437*Input!$D$47</f>
        <v>27.112000000000002</v>
      </c>
    </row>
    <row r="2439" spans="1:12">
      <c r="A2439" s="1818"/>
      <c r="B2439" s="1818"/>
      <c r="C2439" s="1846"/>
      <c r="D2439" s="1009">
        <f t="shared" ref="D2439:L2439" si="570">SUM(D2433:D2438)</f>
        <v>194.03199999999998</v>
      </c>
      <c r="E2439" s="1009">
        <f t="shared" si="570"/>
        <v>211.672</v>
      </c>
      <c r="F2439" s="1009">
        <f t="shared" si="570"/>
        <v>229.31199999999998</v>
      </c>
      <c r="G2439" s="1009">
        <f t="shared" si="570"/>
        <v>246.96600000000001</v>
      </c>
      <c r="H2439" s="1009">
        <f t="shared" si="570"/>
        <v>264.61999999999995</v>
      </c>
      <c r="I2439" s="1009">
        <f t="shared" si="570"/>
        <v>282.26</v>
      </c>
      <c r="J2439" s="1009"/>
      <c r="K2439" s="1009">
        <f t="shared" si="570"/>
        <v>317.53999999999996</v>
      </c>
      <c r="L2439" s="1009">
        <f t="shared" si="570"/>
        <v>335.19400000000002</v>
      </c>
    </row>
    <row r="2440" spans="1:12">
      <c r="A2440" s="1818"/>
      <c r="B2440" s="1818"/>
      <c r="C2440" s="1817" t="str">
        <f>Input!$C$48</f>
        <v>Overheads &amp; Contractors Profit @ 13.615%</v>
      </c>
      <c r="D2440" s="1001">
        <f>ROUND(D2439*Input!$D$48,2)</f>
        <v>26.42</v>
      </c>
      <c r="E2440" s="1001">
        <f>ROUND(E2439*Input!$D$48,2)</f>
        <v>28.82</v>
      </c>
      <c r="F2440" s="1001">
        <f>ROUND(F2439*Input!$D$48,2)</f>
        <v>31.22</v>
      </c>
      <c r="G2440" s="1001">
        <f>ROUND(G2439*Input!$D$48,2)</f>
        <v>33.619999999999997</v>
      </c>
      <c r="H2440" s="1001">
        <f>ROUND(H2439*Input!$D$48,2)</f>
        <v>36.03</v>
      </c>
      <c r="I2440" s="1001">
        <f>ROUND(I2439*Input!$D$48,2)</f>
        <v>38.43</v>
      </c>
      <c r="J2440" s="1001"/>
      <c r="K2440" s="1001">
        <f>ROUND(K2439*Input!$D$48,2)</f>
        <v>43.23</v>
      </c>
      <c r="L2440" s="1001">
        <f>ROUND(L2439*Input!$D$48,2)</f>
        <v>45.64</v>
      </c>
    </row>
    <row r="2441" spans="1:12" s="997" customFormat="1">
      <c r="A2441" s="1086"/>
      <c r="B2441" s="1086"/>
      <c r="C2441" s="1088" t="s">
        <v>1117</v>
      </c>
      <c r="D2441" s="1826">
        <f t="shared" ref="D2441:L2441" si="571">SUM(D2439:D2440)</f>
        <v>220.452</v>
      </c>
      <c r="E2441" s="1826">
        <f t="shared" si="571"/>
        <v>240.49199999999999</v>
      </c>
      <c r="F2441" s="1826">
        <f t="shared" si="571"/>
        <v>260.53199999999998</v>
      </c>
      <c r="G2441" s="1826">
        <f t="shared" si="571"/>
        <v>280.58600000000001</v>
      </c>
      <c r="H2441" s="1826">
        <f t="shared" si="571"/>
        <v>300.64999999999998</v>
      </c>
      <c r="I2441" s="1826">
        <f t="shared" si="571"/>
        <v>320.69</v>
      </c>
      <c r="J2441" s="1826"/>
      <c r="K2441" s="1826">
        <f t="shared" si="571"/>
        <v>360.77</v>
      </c>
      <c r="L2441" s="1826">
        <f t="shared" si="571"/>
        <v>380.834</v>
      </c>
    </row>
    <row r="2442" spans="1:12" s="997" customFormat="1">
      <c r="A2442" s="1086"/>
      <c r="B2442" s="1086"/>
      <c r="C2442" s="1118" t="s">
        <v>1034</v>
      </c>
      <c r="D2442" s="999">
        <f t="shared" ref="D2442:L2442" si="572">ROUND(D2441,0)</f>
        <v>220</v>
      </c>
      <c r="E2442" s="999">
        <f t="shared" si="572"/>
        <v>240</v>
      </c>
      <c r="F2442" s="999">
        <f t="shared" si="572"/>
        <v>261</v>
      </c>
      <c r="G2442" s="999">
        <f t="shared" si="572"/>
        <v>281</v>
      </c>
      <c r="H2442" s="999">
        <f t="shared" si="572"/>
        <v>301</v>
      </c>
      <c r="I2442" s="999">
        <f t="shared" si="572"/>
        <v>321</v>
      </c>
      <c r="J2442" s="999"/>
      <c r="K2442" s="999">
        <f t="shared" si="572"/>
        <v>361</v>
      </c>
      <c r="L2442" s="999">
        <f t="shared" si="572"/>
        <v>381</v>
      </c>
    </row>
    <row r="2443" spans="1:12">
      <c r="A2443" s="1818"/>
      <c r="B2443" s="1818"/>
      <c r="C2443" s="1817"/>
      <c r="D2443" s="1114"/>
      <c r="E2443" s="1094"/>
      <c r="F2443" s="1001"/>
      <c r="G2443" s="1015"/>
      <c r="H2443" s="1047"/>
      <c r="I2443" s="1011"/>
      <c r="J2443" s="1846"/>
      <c r="K2443" s="1846"/>
      <c r="L2443" s="1846"/>
    </row>
    <row r="2444" spans="1:12" ht="80.650000000000006" customHeight="1">
      <c r="A2444" s="1818">
        <f>A2411+1</f>
        <v>30</v>
      </c>
      <c r="B2444" s="1818"/>
      <c r="C2444" s="2036" t="s">
        <v>3415</v>
      </c>
      <c r="D2444" s="2036"/>
      <c r="E2444" s="2036"/>
      <c r="F2444" s="2036"/>
      <c r="G2444" s="2036"/>
      <c r="H2444" s="2036"/>
      <c r="I2444" s="1825"/>
      <c r="J2444" s="1846"/>
      <c r="K2444" s="1846"/>
      <c r="L2444" s="1846"/>
    </row>
    <row r="2445" spans="1:12">
      <c r="A2445" s="1818"/>
      <c r="B2445" s="1818"/>
      <c r="C2445" s="1049" t="s">
        <v>1374</v>
      </c>
      <c r="D2445" s="1000"/>
      <c r="E2445" s="1069"/>
      <c r="F2445" s="1001"/>
      <c r="G2445" s="1015"/>
      <c r="H2445" s="1094"/>
      <c r="I2445" s="1030"/>
      <c r="J2445" s="1846"/>
      <c r="K2445" s="1846"/>
      <c r="L2445" s="1846"/>
    </row>
    <row r="2446" spans="1:12">
      <c r="A2446" s="1818"/>
      <c r="B2446" s="1818"/>
      <c r="C2446" s="1846" t="s">
        <v>1364</v>
      </c>
      <c r="D2446" s="1000"/>
      <c r="E2446" s="1069"/>
      <c r="F2446" s="1001"/>
      <c r="G2446" s="1015"/>
      <c r="H2446" s="1094"/>
      <c r="I2446" s="1030"/>
      <c r="J2446" s="1846"/>
      <c r="K2446" s="1846"/>
      <c r="L2446" s="1846"/>
    </row>
    <row r="2447" spans="1:12">
      <c r="A2447" s="1818"/>
      <c r="B2447" s="1818"/>
      <c r="C2447" s="1816" t="s">
        <v>1139</v>
      </c>
      <c r="D2447" s="1000"/>
      <c r="E2447" s="1069"/>
      <c r="F2447" s="1001"/>
      <c r="G2447" s="1015"/>
      <c r="H2447" s="1094"/>
      <c r="I2447" s="1030"/>
      <c r="J2447" s="1846"/>
      <c r="K2447" s="1846"/>
      <c r="L2447" s="1846"/>
    </row>
    <row r="2448" spans="1:12">
      <c r="A2448" s="1818"/>
      <c r="B2448" s="1818"/>
      <c r="C2448" s="1816" t="s">
        <v>1375</v>
      </c>
      <c r="D2448" s="1000"/>
      <c r="E2448" s="1069"/>
      <c r="F2448" s="1001"/>
      <c r="G2448" s="1015"/>
      <c r="H2448" s="1094"/>
      <c r="I2448" s="1030"/>
      <c r="J2448" s="1846"/>
      <c r="K2448" s="1846"/>
      <c r="L2448" s="1846"/>
    </row>
    <row r="2449" spans="1:12">
      <c r="A2449" s="1818"/>
      <c r="B2449" s="1818"/>
      <c r="C2449" s="1817" t="s">
        <v>1366</v>
      </c>
      <c r="D2449" s="1000">
        <v>43.2</v>
      </c>
      <c r="E2449" s="1069" t="s">
        <v>1110</v>
      </c>
      <c r="F2449" s="1001">
        <f>LEAD!$N$6</f>
        <v>5200</v>
      </c>
      <c r="G2449" s="1015">
        <v>1000</v>
      </c>
      <c r="H2449" s="1050" t="str">
        <f t="shared" ref="H2449:H2450" si="573">IF(E2449="","",IF(E2449="No.","Each",IF(E2449="Nos.","Each",E2449)))</f>
        <v>Kgs</v>
      </c>
      <c r="I2449" s="1030">
        <f t="shared" ref="I2449:I2450" si="574">IF(G2449="",D2449*F2449,(D2449*F2449/G2449))</f>
        <v>224.64000000000004</v>
      </c>
      <c r="J2449" s="1846"/>
      <c r="K2449" s="1846"/>
      <c r="L2449" s="1846"/>
    </row>
    <row r="2450" spans="1:12">
      <c r="A2450" s="1818"/>
      <c r="B2450" s="1818"/>
      <c r="C2450" s="1817" t="s">
        <v>1367</v>
      </c>
      <c r="D2450" s="1000">
        <v>0.18</v>
      </c>
      <c r="E2450" s="1069" t="s">
        <v>484</v>
      </c>
      <c r="F2450" s="1001">
        <f>LEAD!$N$13</f>
        <v>2453.91</v>
      </c>
      <c r="G2450" s="1015">
        <v>1</v>
      </c>
      <c r="H2450" s="1050" t="str">
        <f t="shared" si="573"/>
        <v>Cum</v>
      </c>
      <c r="I2450" s="1030">
        <f t="shared" si="574"/>
        <v>441.70379999999994</v>
      </c>
      <c r="J2450" s="1846"/>
      <c r="K2450" s="1846"/>
      <c r="L2450" s="1846"/>
    </row>
    <row r="2451" spans="1:12">
      <c r="A2451" s="1818"/>
      <c r="B2451" s="1818"/>
      <c r="C2451" s="1816" t="s">
        <v>1376</v>
      </c>
      <c r="D2451" s="1000"/>
      <c r="E2451" s="1069"/>
      <c r="F2451" s="1001"/>
      <c r="G2451" s="1015"/>
      <c r="H2451" s="1050"/>
      <c r="I2451" s="1030"/>
      <c r="J2451" s="1846"/>
      <c r="K2451" s="1846"/>
      <c r="L2451" s="1846"/>
    </row>
    <row r="2452" spans="1:12">
      <c r="A2452" s="1818"/>
      <c r="B2452" s="1818"/>
      <c r="C2452" s="1817" t="s">
        <v>1366</v>
      </c>
      <c r="D2452" s="1000">
        <v>14.4</v>
      </c>
      <c r="E2452" s="1069" t="s">
        <v>1110</v>
      </c>
      <c r="F2452" s="1001">
        <f>LEAD!$N$6</f>
        <v>5200</v>
      </c>
      <c r="G2452" s="1015">
        <v>1000</v>
      </c>
      <c r="H2452" s="1050" t="str">
        <f t="shared" ref="H2452:H2453" si="575">IF(E2452="","",IF(E2452="No.","Each",IF(E2452="Nos.","Each",E2452)))</f>
        <v>Kgs</v>
      </c>
      <c r="I2452" s="1030">
        <f t="shared" ref="I2452:I2453" si="576">IF(G2452="",D2452*F2452,(D2452*F2452/G2452))</f>
        <v>74.88</v>
      </c>
      <c r="J2452" s="1846"/>
      <c r="K2452" s="1846"/>
      <c r="L2452" s="1846"/>
    </row>
    <row r="2453" spans="1:12">
      <c r="A2453" s="1818"/>
      <c r="B2453" s="1818"/>
      <c r="C2453" s="1817" t="s">
        <v>1367</v>
      </c>
      <c r="D2453" s="1000">
        <v>0.04</v>
      </c>
      <c r="E2453" s="1069" t="s">
        <v>484</v>
      </c>
      <c r="F2453" s="1001">
        <f>LEAD!$N$13</f>
        <v>2453.91</v>
      </c>
      <c r="G2453" s="1015">
        <v>1</v>
      </c>
      <c r="H2453" s="1050" t="str">
        <f t="shared" si="575"/>
        <v>Cum</v>
      </c>
      <c r="I2453" s="1030">
        <f t="shared" si="576"/>
        <v>98.156399999999991</v>
      </c>
      <c r="J2453" s="1846"/>
      <c r="K2453" s="1846"/>
      <c r="L2453" s="1846"/>
    </row>
    <row r="2454" spans="1:12">
      <c r="A2454" s="1818"/>
      <c r="B2454" s="1818"/>
      <c r="C2454" s="1816" t="s">
        <v>1172</v>
      </c>
      <c r="D2454" s="1000"/>
      <c r="E2454" s="1069"/>
      <c r="F2454" s="1001"/>
      <c r="G2454" s="1015"/>
      <c r="H2454" s="1050"/>
      <c r="I2454" s="1030"/>
      <c r="J2454" s="1846"/>
      <c r="K2454" s="1846"/>
      <c r="L2454" s="1846"/>
    </row>
    <row r="2455" spans="1:12">
      <c r="A2455" s="1818"/>
      <c r="B2455" s="1818"/>
      <c r="C2455" s="1817" t="s">
        <v>1369</v>
      </c>
      <c r="D2455" s="1000">
        <v>0.63</v>
      </c>
      <c r="E2455" s="1044" t="s">
        <v>36</v>
      </c>
      <c r="F2455" s="1001">
        <f>'Civil-SOR'!$G$293</f>
        <v>580</v>
      </c>
      <c r="G2455" s="1015">
        <v>1</v>
      </c>
      <c r="H2455" s="1050" t="str">
        <f t="shared" ref="H2455:H2457" si="577">IF(E2455="","",IF(E2455="No.","Each",IF(E2455="Nos.","Each",E2455)))</f>
        <v>Each</v>
      </c>
      <c r="I2455" s="1030">
        <f t="shared" ref="I2455:I2459" si="578">IF(G2455="",D2455*F2455,(D2455*F2455/G2455))</f>
        <v>365.4</v>
      </c>
      <c r="J2455" s="1846"/>
      <c r="K2455" s="1846"/>
      <c r="L2455" s="1846"/>
    </row>
    <row r="2456" spans="1:12">
      <c r="A2456" s="1818"/>
      <c r="B2456" s="1818"/>
      <c r="C2456" s="1817" t="s">
        <v>1370</v>
      </c>
      <c r="D2456" s="1000">
        <v>1.47</v>
      </c>
      <c r="E2456" s="1044" t="s">
        <v>36</v>
      </c>
      <c r="F2456" s="1001">
        <f>'Civil-SOR'!$G$302</f>
        <v>550</v>
      </c>
      <c r="G2456" s="1015">
        <v>1</v>
      </c>
      <c r="H2456" s="1050" t="str">
        <f t="shared" si="577"/>
        <v>Each</v>
      </c>
      <c r="I2456" s="1030">
        <f t="shared" si="578"/>
        <v>808.5</v>
      </c>
      <c r="J2456" s="1846"/>
      <c r="K2456" s="1846"/>
      <c r="L2456" s="1846"/>
    </row>
    <row r="2457" spans="1:12">
      <c r="A2457" s="1818"/>
      <c r="B2457" s="1818"/>
      <c r="C2457" s="1817" t="s">
        <v>1166</v>
      </c>
      <c r="D2457" s="1000">
        <v>3.9</v>
      </c>
      <c r="E2457" s="1069" t="s">
        <v>36</v>
      </c>
      <c r="F2457" s="1001">
        <f>'Civil-SOR'!$G$307</f>
        <v>520</v>
      </c>
      <c r="G2457" s="1015">
        <v>1</v>
      </c>
      <c r="H2457" s="1050" t="str">
        <f t="shared" si="577"/>
        <v>Each</v>
      </c>
      <c r="I2457" s="1030">
        <f t="shared" si="578"/>
        <v>2028</v>
      </c>
      <c r="J2457" s="1846"/>
      <c r="K2457" s="1846"/>
      <c r="L2457" s="1846"/>
    </row>
    <row r="2458" spans="1:12">
      <c r="A2458" s="1818"/>
      <c r="B2458" s="1818"/>
      <c r="C2458" s="1817" t="str">
        <f>Input!$C$47</f>
        <v>Add for MA @ 40%</v>
      </c>
      <c r="D2458" s="1158">
        <f>Input!$D$47</f>
        <v>0.4</v>
      </c>
      <c r="E2458" s="1094"/>
      <c r="F2458" s="1001">
        <f>SUM(I2455:I2457)</f>
        <v>3201.9</v>
      </c>
      <c r="G2458" s="1020"/>
      <c r="H2458" s="1057"/>
      <c r="I2458" s="1030">
        <f t="shared" si="578"/>
        <v>1280.7600000000002</v>
      </c>
      <c r="J2458" s="1846"/>
      <c r="K2458" s="1846"/>
      <c r="L2458" s="1846"/>
    </row>
    <row r="2459" spans="1:12">
      <c r="A2459" s="1818"/>
      <c r="B2459" s="1818"/>
      <c r="C2459" s="1817" t="s">
        <v>1312</v>
      </c>
      <c r="D2459" s="1034">
        <v>0.01</v>
      </c>
      <c r="E2459" s="1044"/>
      <c r="F2459" s="1001">
        <f>SUM(I2449:I2458)</f>
        <v>5322.0402000000004</v>
      </c>
      <c r="G2459" s="1015"/>
      <c r="H2459" s="1050"/>
      <c r="I2459" s="1030">
        <f t="shared" si="578"/>
        <v>53.220402000000007</v>
      </c>
      <c r="J2459" s="1846"/>
      <c r="K2459" s="1846"/>
      <c r="L2459" s="1846"/>
    </row>
    <row r="2460" spans="1:12">
      <c r="A2460" s="1818"/>
      <c r="B2460" s="1818"/>
      <c r="C2460" s="1816" t="s">
        <v>1302</v>
      </c>
      <c r="D2460" s="1158"/>
      <c r="E2460" s="1094"/>
      <c r="F2460" s="1001"/>
      <c r="G2460" s="1020"/>
      <c r="H2460" s="1057"/>
      <c r="I2460" s="1011">
        <f>SUM(I2449:I2459)</f>
        <v>5375.2606020000003</v>
      </c>
      <c r="J2460" s="1846"/>
      <c r="K2460" s="1846"/>
      <c r="L2460" s="1846"/>
    </row>
    <row r="2461" spans="1:12">
      <c r="A2461" s="1818"/>
      <c r="B2461" s="1818"/>
      <c r="C2461" s="1816" t="s">
        <v>1117</v>
      </c>
      <c r="D2461" s="1000"/>
      <c r="E2461" s="1094"/>
      <c r="F2461" s="1001"/>
      <c r="G2461" s="1015"/>
      <c r="H2461" s="1069"/>
      <c r="I2461" s="1011">
        <f>ROUND(I2460/10,2)</f>
        <v>537.53</v>
      </c>
      <c r="J2461" s="1846"/>
      <c r="K2461" s="1846"/>
      <c r="L2461" s="1846"/>
    </row>
    <row r="2462" spans="1:12">
      <c r="A2462" s="1818"/>
      <c r="B2462" s="1818"/>
      <c r="C2462" s="1816"/>
      <c r="D2462" s="1000"/>
      <c r="E2462" s="1094"/>
      <c r="F2462" s="1001"/>
      <c r="G2462" s="1015"/>
      <c r="H2462" s="1069"/>
      <c r="I2462" s="1011"/>
      <c r="J2462" s="1846"/>
      <c r="K2462" s="1846"/>
      <c r="L2462" s="1846"/>
    </row>
    <row r="2463" spans="1:12">
      <c r="A2463" s="1818"/>
      <c r="B2463" s="1818"/>
      <c r="C2463" s="1124" t="s">
        <v>1372</v>
      </c>
      <c r="D2463" s="1000"/>
      <c r="E2463" s="1069"/>
      <c r="F2463" s="1001"/>
      <c r="G2463" s="1015"/>
      <c r="H2463" s="1050"/>
      <c r="I2463" s="1030"/>
      <c r="J2463" s="1015"/>
      <c r="K2463" s="1050"/>
      <c r="L2463" s="1030"/>
    </row>
    <row r="2464" spans="1:12">
      <c r="A2464" s="1818"/>
      <c r="B2464" s="1818"/>
      <c r="C2464" s="1816" t="s">
        <v>1217</v>
      </c>
      <c r="D2464" s="1009" t="s">
        <v>1223</v>
      </c>
      <c r="E2464" s="1114" t="s">
        <v>1207</v>
      </c>
      <c r="F2464" s="1106" t="s">
        <v>1208</v>
      </c>
      <c r="G2464" s="1009" t="s">
        <v>1291</v>
      </c>
      <c r="H2464" s="1009" t="s">
        <v>1292</v>
      </c>
      <c r="I2464" s="1009" t="s">
        <v>1293</v>
      </c>
      <c r="J2464" s="1009"/>
      <c r="K2464" s="1009" t="s">
        <v>1358</v>
      </c>
      <c r="L2464" s="1009" t="s">
        <v>1358</v>
      </c>
    </row>
    <row r="2465" spans="1:18" s="1003" customFormat="1">
      <c r="A2465" s="1818"/>
      <c r="B2465" s="1818"/>
      <c r="C2465" s="1817" t="s">
        <v>1317</v>
      </c>
      <c r="D2465" s="1001">
        <f t="shared" ref="D2465:L2465" si="579">$I$2461</f>
        <v>537.53</v>
      </c>
      <c r="E2465" s="1001">
        <f t="shared" si="579"/>
        <v>537.53</v>
      </c>
      <c r="F2465" s="1001">
        <f t="shared" si="579"/>
        <v>537.53</v>
      </c>
      <c r="G2465" s="1001">
        <f t="shared" si="579"/>
        <v>537.53</v>
      </c>
      <c r="H2465" s="1001">
        <f t="shared" si="579"/>
        <v>537.53</v>
      </c>
      <c r="I2465" s="1001">
        <f t="shared" si="579"/>
        <v>537.53</v>
      </c>
      <c r="J2465" s="1001"/>
      <c r="K2465" s="1001">
        <f t="shared" si="579"/>
        <v>537.53</v>
      </c>
      <c r="L2465" s="1001">
        <f t="shared" si="579"/>
        <v>537.53</v>
      </c>
      <c r="M2465" s="1182"/>
      <c r="N2465" s="1182"/>
      <c r="O2465" s="1182"/>
      <c r="P2465" s="1182"/>
      <c r="Q2465" s="1182"/>
      <c r="R2465" s="1182"/>
    </row>
    <row r="2466" spans="1:18" s="1003" customFormat="1">
      <c r="A2466" s="1818"/>
      <c r="B2466" s="1818"/>
      <c r="C2466" s="1817" t="s">
        <v>450</v>
      </c>
      <c r="D2466" s="1001">
        <f>'Civil-SOR'!$F$233</f>
        <v>1.17</v>
      </c>
      <c r="E2466" s="1001">
        <f>'Civil-SOR'!$F$234</f>
        <v>1.17</v>
      </c>
      <c r="F2466" s="1001">
        <f>'Civil-SOR'!$F$235</f>
        <v>1.17</v>
      </c>
      <c r="G2466" s="1001">
        <f>'Civil-SOR'!$F$236</f>
        <v>1.17</v>
      </c>
      <c r="H2466" s="1001">
        <f>'Civil-SOR'!$F$236</f>
        <v>1.17</v>
      </c>
      <c r="I2466" s="1001">
        <f>'Civil-SOR'!$F$236</f>
        <v>1.17</v>
      </c>
      <c r="J2466" s="1001"/>
      <c r="K2466" s="1001">
        <f>'Civil-SOR'!$F$236</f>
        <v>1.17</v>
      </c>
      <c r="L2466" s="1001">
        <f>'Civil-SOR'!$F$236</f>
        <v>1.17</v>
      </c>
    </row>
    <row r="2467" spans="1:18" s="1003" customFormat="1">
      <c r="A2467" s="1818"/>
      <c r="B2467" s="1818"/>
      <c r="C2467" s="1817" t="s">
        <v>1314</v>
      </c>
      <c r="D2467" s="1001">
        <f>'Civil-SOR'!$G$233</f>
        <v>9.43</v>
      </c>
      <c r="E2467" s="1001">
        <f>'Civil-SOR'!$G$234</f>
        <v>13.56</v>
      </c>
      <c r="F2467" s="1001">
        <f>'Civil-SOR'!$G$235</f>
        <v>17.690000000000001</v>
      </c>
      <c r="G2467" s="1001">
        <f>'Civil-SOR'!$G$236</f>
        <v>21.82</v>
      </c>
      <c r="H2467" s="1001">
        <f>'Civil-SOR'!$G$237</f>
        <v>25.96</v>
      </c>
      <c r="I2467" s="1001">
        <f>'Civil-SOR'!$G$238</f>
        <v>30.09</v>
      </c>
      <c r="J2467" s="1001"/>
      <c r="K2467" s="1001">
        <f>'Civil-SOR'!$G$240</f>
        <v>38.35</v>
      </c>
      <c r="L2467" s="1001">
        <f>'Civil-SOR'!$G$241</f>
        <v>42.48</v>
      </c>
    </row>
    <row r="2468" spans="1:18" s="1003" customFormat="1">
      <c r="A2468" s="1818"/>
      <c r="B2468" s="1818"/>
      <c r="C2468" s="1817" t="str">
        <f>Input!$C$47</f>
        <v>Add for MA @ 40%</v>
      </c>
      <c r="D2468" s="1001">
        <f>ROUND(D2467*Input!$D$47,2)</f>
        <v>3.77</v>
      </c>
      <c r="E2468" s="1001">
        <f>ROUND(E2467*Input!$D$47,2)</f>
        <v>5.42</v>
      </c>
      <c r="F2468" s="1001">
        <f>ROUND(F2467*Input!$D$47,2)</f>
        <v>7.08</v>
      </c>
      <c r="G2468" s="1001">
        <f>ROUND(G2467*Input!$D$47,2)</f>
        <v>8.73</v>
      </c>
      <c r="H2468" s="1001">
        <f>ROUND(H2467*Input!$D$47,2)</f>
        <v>10.38</v>
      </c>
      <c r="I2468" s="1001">
        <f>ROUND(I2467*Input!$D$47,2)</f>
        <v>12.04</v>
      </c>
      <c r="J2468" s="1001"/>
      <c r="K2468" s="1001">
        <f>ROUND(K2467*Input!$D$47,2)</f>
        <v>15.34</v>
      </c>
      <c r="L2468" s="1001">
        <f>ROUND(L2467*Input!$D$47,2)</f>
        <v>16.989999999999998</v>
      </c>
    </row>
    <row r="2469" spans="1:18" s="1003" customFormat="1">
      <c r="A2469" s="1818"/>
      <c r="B2469" s="1818"/>
      <c r="C2469" s="1817" t="s">
        <v>1253</v>
      </c>
      <c r="D2469" s="1001">
        <v>0</v>
      </c>
      <c r="E2469" s="1001">
        <f>ROUND($F$2458/10*10%,2)</f>
        <v>32.020000000000003</v>
      </c>
      <c r="F2469" s="1001">
        <f>ROUND($F$2458/10*20%,2)</f>
        <v>64.040000000000006</v>
      </c>
      <c r="G2469" s="1001">
        <f>ROUND($F$2458/10*30%,2)</f>
        <v>96.06</v>
      </c>
      <c r="H2469" s="1001">
        <f>ROUND($F$2458/10*40%,2)</f>
        <v>128.08000000000001</v>
      </c>
      <c r="I2469" s="1001">
        <f>ROUND($F$2458/10*50%,2)</f>
        <v>160.1</v>
      </c>
      <c r="J2469" s="1001"/>
      <c r="K2469" s="1001">
        <f>ROUND($F$2458/10*70%,2)</f>
        <v>224.13</v>
      </c>
      <c r="L2469" s="1001">
        <f>ROUND($F$2458/10*80%,2)</f>
        <v>256.14999999999998</v>
      </c>
    </row>
    <row r="2470" spans="1:18" s="1003" customFormat="1">
      <c r="A2470" s="1818"/>
      <c r="B2470" s="1818"/>
      <c r="C2470" s="1828" t="str">
        <f>Input!$C$47</f>
        <v>Add for MA @ 40%</v>
      </c>
      <c r="D2470" s="1001">
        <f>D2469*Input!$D$47</f>
        <v>0</v>
      </c>
      <c r="E2470" s="1001">
        <f>E2469*Input!$D$47</f>
        <v>12.808000000000002</v>
      </c>
      <c r="F2470" s="1001">
        <f>F2469*Input!$D$47</f>
        <v>25.616000000000003</v>
      </c>
      <c r="G2470" s="1001">
        <f>G2469*Input!$D$47</f>
        <v>38.424000000000007</v>
      </c>
      <c r="H2470" s="1001">
        <f>H2469*Input!$D$47</f>
        <v>51.232000000000006</v>
      </c>
      <c r="I2470" s="1001">
        <f>I2469*Input!$D$47</f>
        <v>64.040000000000006</v>
      </c>
      <c r="J2470" s="1001"/>
      <c r="K2470" s="1001">
        <f>K2469*Input!$D$47</f>
        <v>89.652000000000001</v>
      </c>
      <c r="L2470" s="1001">
        <f>L2469*Input!$D$47</f>
        <v>102.46</v>
      </c>
    </row>
    <row r="2471" spans="1:18" s="1003" customFormat="1">
      <c r="A2471" s="1818"/>
      <c r="B2471" s="1818"/>
      <c r="C2471" s="1002"/>
      <c r="D2471" s="1001">
        <f t="shared" ref="D2471:L2471" si="580">SUM(D2465:D2470)</f>
        <v>551.89999999999986</v>
      </c>
      <c r="E2471" s="1001">
        <f t="shared" si="580"/>
        <v>602.50799999999981</v>
      </c>
      <c r="F2471" s="1001">
        <f t="shared" si="580"/>
        <v>653.12599999999998</v>
      </c>
      <c r="G2471" s="1001">
        <f t="shared" si="580"/>
        <v>703.73399999999992</v>
      </c>
      <c r="H2471" s="1001">
        <f t="shared" si="580"/>
        <v>754.35199999999998</v>
      </c>
      <c r="I2471" s="1001">
        <f t="shared" si="580"/>
        <v>804.96999999999991</v>
      </c>
      <c r="J2471" s="1001"/>
      <c r="K2471" s="1001">
        <f t="shared" si="580"/>
        <v>906.17200000000003</v>
      </c>
      <c r="L2471" s="1001">
        <f t="shared" si="580"/>
        <v>956.78</v>
      </c>
    </row>
    <row r="2472" spans="1:18" s="1003" customFormat="1">
      <c r="A2472" s="1818"/>
      <c r="B2472" s="1818"/>
      <c r="C2472" s="1817" t="str">
        <f>Input!$C$48</f>
        <v>Overheads &amp; Contractors Profit @ 13.615%</v>
      </c>
      <c r="D2472" s="1001">
        <f>ROUND(D2471*Input!$D$48,2)</f>
        <v>75.14</v>
      </c>
      <c r="E2472" s="1001">
        <f>ROUND(E2471*Input!$D$48,2)</f>
        <v>82.03</v>
      </c>
      <c r="F2472" s="1001">
        <f>ROUND(F2471*Input!$D$48,2)</f>
        <v>88.92</v>
      </c>
      <c r="G2472" s="1001">
        <f>ROUND(G2471*Input!$D$48,2)</f>
        <v>95.81</v>
      </c>
      <c r="H2472" s="1001">
        <f>ROUND(H2471*Input!$D$48,2)</f>
        <v>102.71</v>
      </c>
      <c r="I2472" s="1001">
        <f>ROUND(I2471*Input!$D$48,2)</f>
        <v>109.6</v>
      </c>
      <c r="J2472" s="1001"/>
      <c r="K2472" s="1001">
        <f>ROUND(K2471*Input!$D$48,2)</f>
        <v>123.38</v>
      </c>
      <c r="L2472" s="1001">
        <f>ROUND(L2471*Input!$D$48,2)</f>
        <v>130.27000000000001</v>
      </c>
    </row>
    <row r="2473" spans="1:18" s="997" customFormat="1">
      <c r="A2473" s="1086"/>
      <c r="B2473" s="1086"/>
      <c r="C2473" s="1088" t="s">
        <v>1117</v>
      </c>
      <c r="D2473" s="1826">
        <f t="shared" ref="D2473:L2473" si="581">SUM(D2471:D2472)</f>
        <v>627.03999999999985</v>
      </c>
      <c r="E2473" s="1826">
        <f t="shared" si="581"/>
        <v>684.53799999999978</v>
      </c>
      <c r="F2473" s="1826">
        <f t="shared" si="581"/>
        <v>742.04599999999994</v>
      </c>
      <c r="G2473" s="1826">
        <f t="shared" si="581"/>
        <v>799.54399999999987</v>
      </c>
      <c r="H2473" s="1826">
        <f t="shared" si="581"/>
        <v>857.06200000000001</v>
      </c>
      <c r="I2473" s="1826">
        <f t="shared" si="581"/>
        <v>914.56999999999994</v>
      </c>
      <c r="J2473" s="1826"/>
      <c r="K2473" s="1826">
        <f t="shared" si="581"/>
        <v>1029.5520000000001</v>
      </c>
      <c r="L2473" s="1826">
        <f t="shared" si="581"/>
        <v>1087.05</v>
      </c>
    </row>
    <row r="2474" spans="1:18" s="997" customFormat="1">
      <c r="A2474" s="1086"/>
      <c r="B2474" s="1086"/>
      <c r="C2474" s="1118" t="s">
        <v>1034</v>
      </c>
      <c r="D2474" s="999">
        <f t="shared" ref="D2474:L2474" si="582">ROUND(D2473,0)</f>
        <v>627</v>
      </c>
      <c r="E2474" s="999">
        <f t="shared" si="582"/>
        <v>685</v>
      </c>
      <c r="F2474" s="999">
        <f t="shared" si="582"/>
        <v>742</v>
      </c>
      <c r="G2474" s="999">
        <f t="shared" si="582"/>
        <v>800</v>
      </c>
      <c r="H2474" s="999">
        <f t="shared" si="582"/>
        <v>857</v>
      </c>
      <c r="I2474" s="999">
        <f t="shared" si="582"/>
        <v>915</v>
      </c>
      <c r="J2474" s="999"/>
      <c r="K2474" s="999">
        <f t="shared" si="582"/>
        <v>1030</v>
      </c>
      <c r="L2474" s="999">
        <f t="shared" si="582"/>
        <v>1087</v>
      </c>
    </row>
    <row r="2475" spans="1:18">
      <c r="A2475" s="1818"/>
      <c r="B2475" s="1818"/>
      <c r="C2475" s="1817"/>
      <c r="D2475" s="1000"/>
      <c r="E2475" s="1069"/>
      <c r="F2475" s="1001"/>
      <c r="G2475" s="1015"/>
      <c r="H2475" s="1050"/>
      <c r="I2475" s="1030"/>
      <c r="J2475" s="1846"/>
      <c r="K2475" s="1846"/>
      <c r="L2475" s="1846"/>
    </row>
    <row r="2476" spans="1:18" ht="68.650000000000006" customHeight="1">
      <c r="A2476" s="1818">
        <f>A2444+1</f>
        <v>31</v>
      </c>
      <c r="B2476" s="1818"/>
      <c r="C2476" s="2036" t="s">
        <v>3416</v>
      </c>
      <c r="D2476" s="2036"/>
      <c r="E2476" s="2036"/>
      <c r="F2476" s="2036"/>
      <c r="G2476" s="2036"/>
      <c r="H2476" s="2036"/>
      <c r="I2476" s="1825"/>
      <c r="J2476" s="1846"/>
      <c r="K2476" s="1846"/>
      <c r="L2476" s="1846"/>
    </row>
    <row r="2477" spans="1:18">
      <c r="A2477" s="1818"/>
      <c r="B2477" s="1818"/>
      <c r="C2477" s="1049" t="s">
        <v>1377</v>
      </c>
      <c r="D2477" s="1000"/>
      <c r="E2477" s="1069"/>
      <c r="F2477" s="1001"/>
      <c r="G2477" s="1015"/>
      <c r="H2477" s="1094"/>
      <c r="I2477" s="1030"/>
      <c r="J2477" s="1846"/>
      <c r="K2477" s="1846"/>
      <c r="L2477" s="1846"/>
    </row>
    <row r="2478" spans="1:18">
      <c r="A2478" s="1818"/>
      <c r="B2478" s="1818"/>
      <c r="C2478" s="1846" t="s">
        <v>1364</v>
      </c>
      <c r="D2478" s="1000"/>
      <c r="E2478" s="1069"/>
      <c r="F2478" s="1001"/>
      <c r="G2478" s="1015"/>
      <c r="H2478" s="1094"/>
      <c r="I2478" s="1030"/>
      <c r="J2478" s="1846"/>
      <c r="K2478" s="1846"/>
      <c r="L2478" s="1846"/>
    </row>
    <row r="2479" spans="1:18">
      <c r="A2479" s="1818"/>
      <c r="B2479" s="1818"/>
      <c r="C2479" s="1816" t="s">
        <v>1139</v>
      </c>
      <c r="D2479" s="1000"/>
      <c r="E2479" s="1069"/>
      <c r="F2479" s="1001"/>
      <c r="G2479" s="1015"/>
      <c r="H2479" s="1094"/>
      <c r="I2479" s="1030"/>
      <c r="J2479" s="1846"/>
      <c r="K2479" s="1846"/>
      <c r="L2479" s="1846"/>
    </row>
    <row r="2480" spans="1:18">
      <c r="A2480" s="1818"/>
      <c r="B2480" s="1818"/>
      <c r="C2480" s="1817" t="s">
        <v>1366</v>
      </c>
      <c r="D2480" s="1000">
        <v>60.48</v>
      </c>
      <c r="E2480" s="1069" t="s">
        <v>1110</v>
      </c>
      <c r="F2480" s="1001">
        <f>LEAD!$N$6</f>
        <v>5200</v>
      </c>
      <c r="G2480" s="1015">
        <v>1000</v>
      </c>
      <c r="H2480" s="1050" t="str">
        <f t="shared" ref="H2480:H2481" si="583">IF(E2480="","",IF(E2480="No.","Each",IF(E2480="Nos.","Each",E2480)))</f>
        <v>Kgs</v>
      </c>
      <c r="I2480" s="1030">
        <f t="shared" ref="I2480:I2481" si="584">IF(G2480="",D2480*F2480,(D2480*F2480/G2480))</f>
        <v>314.49599999999998</v>
      </c>
      <c r="J2480" s="1846"/>
      <c r="K2480" s="1846"/>
      <c r="L2480" s="1846"/>
    </row>
    <row r="2481" spans="1:12">
      <c r="A2481" s="1818"/>
      <c r="B2481" s="1818"/>
      <c r="C2481" s="1817" t="s">
        <v>1367</v>
      </c>
      <c r="D2481" s="1000">
        <v>0.21</v>
      </c>
      <c r="E2481" s="1069" t="s">
        <v>484</v>
      </c>
      <c r="F2481" s="1001">
        <f>LEAD!$N$13</f>
        <v>2453.91</v>
      </c>
      <c r="G2481" s="1015">
        <v>1</v>
      </c>
      <c r="H2481" s="1050" t="str">
        <f t="shared" si="583"/>
        <v>Cum</v>
      </c>
      <c r="I2481" s="1030">
        <f t="shared" si="584"/>
        <v>515.3211</v>
      </c>
      <c r="J2481" s="1846"/>
      <c r="K2481" s="1846"/>
      <c r="L2481" s="1846"/>
    </row>
    <row r="2482" spans="1:12">
      <c r="A2482" s="1818"/>
      <c r="B2482" s="1818"/>
      <c r="C2482" s="1816" t="s">
        <v>1172</v>
      </c>
      <c r="D2482" s="1000"/>
      <c r="E2482" s="1069"/>
      <c r="F2482" s="1001"/>
      <c r="G2482" s="1015"/>
      <c r="H2482" s="1050"/>
      <c r="I2482" s="1030"/>
      <c r="J2482" s="1846"/>
      <c r="K2482" s="1846"/>
      <c r="L2482" s="1846"/>
    </row>
    <row r="2483" spans="1:12">
      <c r="A2483" s="1818"/>
      <c r="B2483" s="1818"/>
      <c r="C2483" s="1817" t="s">
        <v>1370</v>
      </c>
      <c r="D2483" s="1000">
        <v>0.94</v>
      </c>
      <c r="E2483" s="1044" t="s">
        <v>36</v>
      </c>
      <c r="F2483" s="1001">
        <f>'Civil-SOR'!$G$302</f>
        <v>550</v>
      </c>
      <c r="G2483" s="1015">
        <v>1</v>
      </c>
      <c r="H2483" s="1050" t="str">
        <f t="shared" ref="H2483:H2484" si="585">IF(E2483="","",IF(E2483="No.","Each",IF(E2483="Nos.","Each",E2483)))</f>
        <v>Each</v>
      </c>
      <c r="I2483" s="1030">
        <f t="shared" ref="I2483:I2486" si="586">IF(G2483="",D2483*F2483,(D2483*F2483/G2483))</f>
        <v>517</v>
      </c>
      <c r="J2483" s="1846"/>
      <c r="K2483" s="1846"/>
      <c r="L2483" s="1846"/>
    </row>
    <row r="2484" spans="1:12">
      <c r="A2484" s="1818"/>
      <c r="B2484" s="1818"/>
      <c r="C2484" s="1817" t="s">
        <v>1166</v>
      </c>
      <c r="D2484" s="1000">
        <v>1.6</v>
      </c>
      <c r="E2484" s="1069" t="s">
        <v>36</v>
      </c>
      <c r="F2484" s="1001">
        <f>'Civil-SOR'!$G$307</f>
        <v>520</v>
      </c>
      <c r="G2484" s="1015">
        <v>1</v>
      </c>
      <c r="H2484" s="1050" t="str">
        <f t="shared" si="585"/>
        <v>Each</v>
      </c>
      <c r="I2484" s="1030">
        <f t="shared" si="586"/>
        <v>832</v>
      </c>
      <c r="J2484" s="1846"/>
      <c r="K2484" s="1846"/>
      <c r="L2484" s="1846"/>
    </row>
    <row r="2485" spans="1:12">
      <c r="A2485" s="1818"/>
      <c r="B2485" s="1818"/>
      <c r="C2485" s="1817" t="str">
        <f>Input!$C$47</f>
        <v>Add for MA @ 40%</v>
      </c>
      <c r="D2485" s="1158">
        <f>Input!$D$47</f>
        <v>0.4</v>
      </c>
      <c r="E2485" s="1094"/>
      <c r="F2485" s="1001">
        <f>SUM(I2483:I2484)</f>
        <v>1349</v>
      </c>
      <c r="G2485" s="1020"/>
      <c r="H2485" s="1057"/>
      <c r="I2485" s="1030">
        <f t="shared" si="586"/>
        <v>539.6</v>
      </c>
      <c r="J2485" s="1846"/>
      <c r="K2485" s="1846"/>
      <c r="L2485" s="1846"/>
    </row>
    <row r="2486" spans="1:12">
      <c r="A2486" s="1818"/>
      <c r="B2486" s="1818"/>
      <c r="C2486" s="1817" t="s">
        <v>1312</v>
      </c>
      <c r="D2486" s="1034">
        <v>0.01</v>
      </c>
      <c r="E2486" s="1044"/>
      <c r="F2486" s="1001">
        <f>SUM(I2480:I2485)</f>
        <v>2718.4171000000001</v>
      </c>
      <c r="G2486" s="1015"/>
      <c r="H2486" s="1050"/>
      <c r="I2486" s="1030">
        <f t="shared" si="586"/>
        <v>27.184171000000003</v>
      </c>
      <c r="J2486" s="1846"/>
      <c r="K2486" s="1846"/>
      <c r="L2486" s="1846"/>
    </row>
    <row r="2487" spans="1:12" s="997" customFormat="1">
      <c r="A2487" s="1086"/>
      <c r="B2487" s="1086"/>
      <c r="C2487" s="1088" t="s">
        <v>1302</v>
      </c>
      <c r="D2487" s="1180"/>
      <c r="E2487" s="1107"/>
      <c r="F2487" s="994"/>
      <c r="G2487" s="1108"/>
      <c r="H2487" s="1830"/>
      <c r="I2487" s="1826">
        <f>SUM(I2480:I2486)</f>
        <v>2745.601271</v>
      </c>
      <c r="J2487" s="996"/>
      <c r="K2487" s="996"/>
      <c r="L2487" s="996"/>
    </row>
    <row r="2488" spans="1:12" s="997" customFormat="1">
      <c r="A2488" s="1086"/>
      <c r="B2488" s="1086"/>
      <c r="C2488" s="1088" t="s">
        <v>1117</v>
      </c>
      <c r="D2488" s="1089"/>
      <c r="E2488" s="1107"/>
      <c r="F2488" s="994"/>
      <c r="G2488" s="1091"/>
      <c r="H2488" s="1181"/>
      <c r="I2488" s="1826">
        <f>ROUND(I2487/10,2)</f>
        <v>274.56</v>
      </c>
      <c r="J2488" s="996"/>
      <c r="K2488" s="996"/>
      <c r="L2488" s="996"/>
    </row>
    <row r="2489" spans="1:12">
      <c r="A2489" s="1818"/>
      <c r="B2489" s="1818"/>
      <c r="C2489" s="1816"/>
      <c r="D2489" s="1114"/>
      <c r="E2489" s="1094"/>
      <c r="F2489" s="1001"/>
      <c r="G2489" s="1015"/>
      <c r="H2489" s="1816"/>
      <c r="I2489" s="1009"/>
      <c r="J2489" s="1846"/>
      <c r="K2489" s="1846"/>
      <c r="L2489" s="1846"/>
    </row>
    <row r="2490" spans="1:12">
      <c r="A2490" s="1818"/>
      <c r="B2490" s="1106" t="s">
        <v>294</v>
      </c>
      <c r="C2490" s="1816" t="s">
        <v>1373</v>
      </c>
      <c r="D2490" s="1000"/>
      <c r="E2490" s="1094"/>
      <c r="F2490" s="1001"/>
      <c r="G2490" s="1015"/>
      <c r="H2490" s="1069"/>
      <c r="I2490" s="1011"/>
      <c r="J2490" s="1846"/>
      <c r="K2490" s="1846"/>
      <c r="L2490" s="1846"/>
    </row>
    <row r="2491" spans="1:12">
      <c r="A2491" s="1818"/>
      <c r="B2491" s="1106"/>
      <c r="C2491" s="1816" t="s">
        <v>1117</v>
      </c>
      <c r="D2491" s="1000">
        <v>1</v>
      </c>
      <c r="E2491" s="1094" t="s">
        <v>94</v>
      </c>
      <c r="F2491" s="1001">
        <f>$I$2488</f>
        <v>274.56</v>
      </c>
      <c r="G2491" s="1015">
        <v>1</v>
      </c>
      <c r="H2491" s="1069" t="s">
        <v>94</v>
      </c>
      <c r="I2491" s="1030">
        <f t="shared" ref="I2491:I2492" si="587">IF(G2491="",D2491*F2491,(D2491*F2491/G2491))</f>
        <v>274.56</v>
      </c>
      <c r="J2491" s="1846"/>
      <c r="K2491" s="1846"/>
      <c r="L2491" s="1846"/>
    </row>
    <row r="2492" spans="1:12">
      <c r="A2492" s="1818"/>
      <c r="B2492" s="1106"/>
      <c r="C2492" s="1817" t="str">
        <f>Input!$C$48</f>
        <v>Overheads &amp; Contractors Profit @ 13.615%</v>
      </c>
      <c r="D2492" s="1095">
        <f>Input!$D$48</f>
        <v>0.13614999999999999</v>
      </c>
      <c r="E2492" s="1094"/>
      <c r="F2492" s="1001">
        <f>I2491</f>
        <v>274.56</v>
      </c>
      <c r="G2492" s="1015"/>
      <c r="H2492" s="1069"/>
      <c r="I2492" s="1030">
        <f t="shared" si="587"/>
        <v>37.381343999999999</v>
      </c>
      <c r="J2492" s="1846"/>
      <c r="K2492" s="1846"/>
      <c r="L2492" s="1846"/>
    </row>
    <row r="2493" spans="1:12">
      <c r="A2493" s="1818"/>
      <c r="B2493" s="1106"/>
      <c r="C2493" s="1816" t="s">
        <v>1117</v>
      </c>
      <c r="D2493" s="1000"/>
      <c r="E2493" s="1094"/>
      <c r="F2493" s="1001"/>
      <c r="G2493" s="1015"/>
      <c r="H2493" s="1069"/>
      <c r="I2493" s="1011">
        <f>SUM(I2491:I2492)</f>
        <v>311.94134400000002</v>
      </c>
      <c r="J2493" s="1846"/>
      <c r="K2493" s="1846"/>
      <c r="L2493" s="1846"/>
    </row>
    <row r="2494" spans="1:12">
      <c r="A2494" s="1818"/>
      <c r="B2494" s="1106"/>
      <c r="C2494" s="1118" t="s">
        <v>1034</v>
      </c>
      <c r="D2494" s="1114"/>
      <c r="E2494" s="1094"/>
      <c r="F2494" s="1001"/>
      <c r="G2494" s="1015"/>
      <c r="H2494" s="1852" t="s">
        <v>1065</v>
      </c>
      <c r="I2494" s="1009">
        <f>ROUND(I2493,0)</f>
        <v>312</v>
      </c>
      <c r="J2494" s="1846"/>
      <c r="K2494" s="1846"/>
      <c r="L2494" s="1846"/>
    </row>
    <row r="2495" spans="1:12">
      <c r="A2495" s="1818"/>
      <c r="B2495" s="1106"/>
      <c r="C2495" s="1817"/>
      <c r="D2495" s="1114"/>
      <c r="E2495" s="1094"/>
      <c r="F2495" s="1001"/>
      <c r="G2495" s="1015"/>
      <c r="H2495" s="1047"/>
      <c r="I2495" s="1011"/>
      <c r="J2495" s="1846"/>
      <c r="K2495" s="1846"/>
      <c r="L2495" s="1846"/>
    </row>
    <row r="2496" spans="1:12">
      <c r="A2496" s="1818"/>
      <c r="B2496" s="1106" t="s">
        <v>297</v>
      </c>
      <c r="C2496" s="1124" t="s">
        <v>1372</v>
      </c>
      <c r="D2496" s="1114"/>
      <c r="E2496" s="1094"/>
      <c r="F2496" s="1001"/>
      <c r="G2496" s="1015"/>
      <c r="H2496" s="1047"/>
      <c r="I2496" s="1011"/>
      <c r="J2496" s="1015"/>
      <c r="K2496" s="1047"/>
      <c r="L2496" s="1011"/>
    </row>
    <row r="2497" spans="1:12">
      <c r="A2497" s="1818"/>
      <c r="B2497" s="1818"/>
      <c r="C2497" s="1816" t="s">
        <v>1217</v>
      </c>
      <c r="D2497" s="1009" t="s">
        <v>1223</v>
      </c>
      <c r="E2497" s="1114" t="s">
        <v>1207</v>
      </c>
      <c r="F2497" s="1106" t="s">
        <v>1208</v>
      </c>
      <c r="G2497" s="1009" t="s">
        <v>1291</v>
      </c>
      <c r="H2497" s="1009" t="s">
        <v>1292</v>
      </c>
      <c r="I2497" s="1009" t="s">
        <v>1293</v>
      </c>
      <c r="J2497" s="1009"/>
      <c r="K2497" s="1009" t="s">
        <v>1358</v>
      </c>
      <c r="L2497" s="1009" t="s">
        <v>1359</v>
      </c>
    </row>
    <row r="2498" spans="1:12" s="1003" customFormat="1">
      <c r="A2498" s="1818"/>
      <c r="B2498" s="1818"/>
      <c r="C2498" s="1817" t="s">
        <v>1317</v>
      </c>
      <c r="D2498" s="1001">
        <f t="shared" ref="D2498:L2498" si="588">$I$2488</f>
        <v>274.56</v>
      </c>
      <c r="E2498" s="1001">
        <f t="shared" si="588"/>
        <v>274.56</v>
      </c>
      <c r="F2498" s="1001">
        <f t="shared" si="588"/>
        <v>274.56</v>
      </c>
      <c r="G2498" s="1001">
        <f t="shared" si="588"/>
        <v>274.56</v>
      </c>
      <c r="H2498" s="1001">
        <f t="shared" si="588"/>
        <v>274.56</v>
      </c>
      <c r="I2498" s="1001">
        <f t="shared" si="588"/>
        <v>274.56</v>
      </c>
      <c r="J2498" s="1001"/>
      <c r="K2498" s="1001">
        <f t="shared" si="588"/>
        <v>274.56</v>
      </c>
      <c r="L2498" s="1001">
        <f t="shared" si="588"/>
        <v>274.56</v>
      </c>
    </row>
    <row r="2499" spans="1:12" s="1003" customFormat="1">
      <c r="A2499" s="1818"/>
      <c r="B2499" s="1818"/>
      <c r="C2499" s="1817" t="s">
        <v>450</v>
      </c>
      <c r="D2499" s="1001">
        <f>'Civil-SOR'!$F$233</f>
        <v>1.17</v>
      </c>
      <c r="E2499" s="1001">
        <f>'Civil-SOR'!$F$234</f>
        <v>1.17</v>
      </c>
      <c r="F2499" s="1001">
        <f>'Civil-SOR'!$F$235</f>
        <v>1.17</v>
      </c>
      <c r="G2499" s="1001">
        <f>'Civil-SOR'!$F$236</f>
        <v>1.17</v>
      </c>
      <c r="H2499" s="1001">
        <f>'Civil-SOR'!$F$236</f>
        <v>1.17</v>
      </c>
      <c r="I2499" s="1001">
        <f>'Civil-SOR'!$F$236</f>
        <v>1.17</v>
      </c>
      <c r="J2499" s="1001"/>
      <c r="K2499" s="1001">
        <f>'Civil-SOR'!$F$236</f>
        <v>1.17</v>
      </c>
      <c r="L2499" s="1001">
        <f>'Civil-SOR'!$F$236</f>
        <v>1.17</v>
      </c>
    </row>
    <row r="2500" spans="1:12" s="1003" customFormat="1">
      <c r="A2500" s="1818"/>
      <c r="B2500" s="1818"/>
      <c r="C2500" s="1817" t="s">
        <v>1314</v>
      </c>
      <c r="D2500" s="1001">
        <f>'Civil-SOR'!$G$233</f>
        <v>9.43</v>
      </c>
      <c r="E2500" s="1001">
        <f>'Civil-SOR'!$G$234</f>
        <v>13.56</v>
      </c>
      <c r="F2500" s="1001">
        <f>'Civil-SOR'!$G$235</f>
        <v>17.690000000000001</v>
      </c>
      <c r="G2500" s="1001">
        <f>'Civil-SOR'!$G$236</f>
        <v>21.82</v>
      </c>
      <c r="H2500" s="1001">
        <f>'Civil-SOR'!$G$237</f>
        <v>25.96</v>
      </c>
      <c r="I2500" s="1001">
        <f>'Civil-SOR'!$G$238</f>
        <v>30.09</v>
      </c>
      <c r="J2500" s="1001"/>
      <c r="K2500" s="1001">
        <f>'Civil-SOR'!$G$240</f>
        <v>38.35</v>
      </c>
      <c r="L2500" s="1001">
        <f>'Civil-SOR'!$G$241</f>
        <v>42.48</v>
      </c>
    </row>
    <row r="2501" spans="1:12" s="1003" customFormat="1">
      <c r="A2501" s="1818"/>
      <c r="B2501" s="1818"/>
      <c r="C2501" s="1817" t="str">
        <f>Input!$C$47</f>
        <v>Add for MA @ 40%</v>
      </c>
      <c r="D2501" s="1001">
        <f>ROUND(D2500*Input!$D$47,2)</f>
        <v>3.77</v>
      </c>
      <c r="E2501" s="1001">
        <f>ROUND(E2500*Input!$D$47,2)</f>
        <v>5.42</v>
      </c>
      <c r="F2501" s="1001">
        <f>ROUND(F2500*Input!$D$47,2)</f>
        <v>7.08</v>
      </c>
      <c r="G2501" s="1001">
        <f>ROUND(G2500*Input!$D$47,2)</f>
        <v>8.73</v>
      </c>
      <c r="H2501" s="1001">
        <f>ROUND(H2500*Input!$D$47,2)</f>
        <v>10.38</v>
      </c>
      <c r="I2501" s="1001">
        <f>ROUND(I2500*Input!$D$47,2)</f>
        <v>12.04</v>
      </c>
      <c r="J2501" s="1001"/>
      <c r="K2501" s="1001">
        <f>ROUND(K2500*Input!$D$47,2)</f>
        <v>15.34</v>
      </c>
      <c r="L2501" s="1001">
        <f>ROUND(L2500*Input!$D$47,2)</f>
        <v>16.989999999999998</v>
      </c>
    </row>
    <row r="2502" spans="1:12" s="1003" customFormat="1">
      <c r="A2502" s="1818"/>
      <c r="B2502" s="1818"/>
      <c r="C2502" s="1817" t="s">
        <v>1253</v>
      </c>
      <c r="D2502" s="1001">
        <v>0</v>
      </c>
      <c r="E2502" s="1001">
        <f>ROUND($F$2485/10*10%,2)</f>
        <v>13.49</v>
      </c>
      <c r="F2502" s="1001">
        <f>ROUND($F$2485/10*20%,2)</f>
        <v>26.98</v>
      </c>
      <c r="G2502" s="1001">
        <f>ROUND($F$2485/10*30%,2)</f>
        <v>40.47</v>
      </c>
      <c r="H2502" s="1001">
        <f>ROUND($F$2485/10*40%,2)</f>
        <v>53.96</v>
      </c>
      <c r="I2502" s="1001">
        <f>ROUND($F$2485/10*50%,2)</f>
        <v>67.45</v>
      </c>
      <c r="J2502" s="1001"/>
      <c r="K2502" s="1001">
        <f>ROUND($F$2485/10*70%,2)</f>
        <v>94.43</v>
      </c>
      <c r="L2502" s="1001">
        <f>ROUND($F$2485/10*80%,2)</f>
        <v>107.92</v>
      </c>
    </row>
    <row r="2503" spans="1:12" s="1003" customFormat="1">
      <c r="A2503" s="1818"/>
      <c r="B2503" s="1818"/>
      <c r="C2503" s="1817" t="str">
        <f>Input!$C$47</f>
        <v>Add for MA @ 40%</v>
      </c>
      <c r="D2503" s="1001">
        <f>D2502*Input!$D$47</f>
        <v>0</v>
      </c>
      <c r="E2503" s="1001">
        <f>E2502*Input!$D$47</f>
        <v>5.3960000000000008</v>
      </c>
      <c r="F2503" s="1001">
        <f>F2502*Input!$D$47</f>
        <v>10.792000000000002</v>
      </c>
      <c r="G2503" s="1001">
        <f>G2502*Input!$D$47</f>
        <v>16.187999999999999</v>
      </c>
      <c r="H2503" s="1001">
        <f>H2502*Input!$D$47</f>
        <v>21.584000000000003</v>
      </c>
      <c r="I2503" s="1001">
        <f>I2502*Input!$D$47</f>
        <v>26.980000000000004</v>
      </c>
      <c r="J2503" s="1001"/>
      <c r="K2503" s="1001">
        <f>K2502*Input!$D$47</f>
        <v>37.772000000000006</v>
      </c>
      <c r="L2503" s="1001">
        <f>L2502*Input!$D$47</f>
        <v>43.168000000000006</v>
      </c>
    </row>
    <row r="2504" spans="1:12" s="1003" customFormat="1">
      <c r="A2504" s="1818"/>
      <c r="B2504" s="1818"/>
      <c r="C2504" s="1002"/>
      <c r="D2504" s="1001">
        <f t="shared" ref="D2504:L2504" si="589">SUM(D2498:D2503)</f>
        <v>288.93</v>
      </c>
      <c r="E2504" s="1001">
        <f t="shared" si="589"/>
        <v>313.59600000000006</v>
      </c>
      <c r="F2504" s="1001">
        <f t="shared" si="589"/>
        <v>338.27200000000005</v>
      </c>
      <c r="G2504" s="1001">
        <f t="shared" si="589"/>
        <v>362.93799999999999</v>
      </c>
      <c r="H2504" s="1001">
        <f t="shared" si="589"/>
        <v>387.61399999999998</v>
      </c>
      <c r="I2504" s="1001">
        <f t="shared" si="589"/>
        <v>412.29</v>
      </c>
      <c r="J2504" s="1001"/>
      <c r="K2504" s="1001">
        <f t="shared" si="589"/>
        <v>461.62200000000001</v>
      </c>
      <c r="L2504" s="1001">
        <f t="shared" si="589"/>
        <v>486.28800000000007</v>
      </c>
    </row>
    <row r="2505" spans="1:12" s="1003" customFormat="1">
      <c r="A2505" s="1818"/>
      <c r="B2505" s="1818"/>
      <c r="C2505" s="1817" t="str">
        <f>Input!$C$48</f>
        <v>Overheads &amp; Contractors Profit @ 13.615%</v>
      </c>
      <c r="D2505" s="1001">
        <f>ROUND(D2504*Input!$D$48,2)</f>
        <v>39.340000000000003</v>
      </c>
      <c r="E2505" s="1001">
        <f>ROUND(E2504*Input!$D$48,2)</f>
        <v>42.7</v>
      </c>
      <c r="F2505" s="1001">
        <f>ROUND(F2504*Input!$D$48,2)</f>
        <v>46.06</v>
      </c>
      <c r="G2505" s="1001">
        <f>ROUND(G2504*Input!$D$48,2)</f>
        <v>49.41</v>
      </c>
      <c r="H2505" s="1001">
        <f>ROUND(H2504*Input!$D$48,2)</f>
        <v>52.77</v>
      </c>
      <c r="I2505" s="1001">
        <f>ROUND(I2504*Input!$D$48,2)</f>
        <v>56.13</v>
      </c>
      <c r="J2505" s="1001"/>
      <c r="K2505" s="1001">
        <f>ROUND(K2504*Input!$D$48,2)</f>
        <v>62.85</v>
      </c>
      <c r="L2505" s="1001">
        <f>ROUND(L2504*Input!$D$48,2)</f>
        <v>66.209999999999994</v>
      </c>
    </row>
    <row r="2506" spans="1:12">
      <c r="A2506" s="1818"/>
      <c r="B2506" s="1818"/>
      <c r="C2506" s="1816" t="s">
        <v>1117</v>
      </c>
      <c r="D2506" s="1009">
        <f t="shared" ref="D2506:L2506" si="590">SUM(D2504:D2505)</f>
        <v>328.27</v>
      </c>
      <c r="E2506" s="1009">
        <f t="shared" si="590"/>
        <v>356.29600000000005</v>
      </c>
      <c r="F2506" s="1009">
        <f t="shared" si="590"/>
        <v>384.33200000000005</v>
      </c>
      <c r="G2506" s="1009">
        <f t="shared" si="590"/>
        <v>412.34799999999996</v>
      </c>
      <c r="H2506" s="1009">
        <f t="shared" si="590"/>
        <v>440.38399999999996</v>
      </c>
      <c r="I2506" s="1009">
        <f t="shared" si="590"/>
        <v>468.42</v>
      </c>
      <c r="J2506" s="1009"/>
      <c r="K2506" s="1009">
        <f t="shared" si="590"/>
        <v>524.47199999999998</v>
      </c>
      <c r="L2506" s="1009">
        <f t="shared" si="590"/>
        <v>552.49800000000005</v>
      </c>
    </row>
    <row r="2507" spans="1:12">
      <c r="A2507" s="1818"/>
      <c r="B2507" s="1818"/>
      <c r="C2507" s="1118" t="s">
        <v>1034</v>
      </c>
      <c r="D2507" s="1114">
        <f t="shared" ref="D2507:L2507" si="591">ROUND(D2506,0)</f>
        <v>328</v>
      </c>
      <c r="E2507" s="1114">
        <f t="shared" si="591"/>
        <v>356</v>
      </c>
      <c r="F2507" s="1114">
        <f t="shared" si="591"/>
        <v>384</v>
      </c>
      <c r="G2507" s="1114">
        <f t="shared" si="591"/>
        <v>412</v>
      </c>
      <c r="H2507" s="1114">
        <f t="shared" si="591"/>
        <v>440</v>
      </c>
      <c r="I2507" s="1114">
        <f t="shared" si="591"/>
        <v>468</v>
      </c>
      <c r="J2507" s="1114"/>
      <c r="K2507" s="1114">
        <f t="shared" si="591"/>
        <v>524</v>
      </c>
      <c r="L2507" s="1114">
        <f t="shared" si="591"/>
        <v>552</v>
      </c>
    </row>
    <row r="2508" spans="1:12">
      <c r="A2508" s="1818"/>
      <c r="B2508" s="1818"/>
      <c r="C2508" s="1817"/>
      <c r="D2508" s="1114"/>
      <c r="E2508" s="1094"/>
      <c r="F2508" s="1001"/>
      <c r="G2508" s="1015"/>
      <c r="H2508" s="1047"/>
      <c r="I2508" s="1011"/>
      <c r="J2508" s="1846"/>
      <c r="K2508" s="1846"/>
      <c r="L2508" s="1846"/>
    </row>
    <row r="2509" spans="1:12" ht="117.95" customHeight="1">
      <c r="A2509" s="1818">
        <f>1+A2411</f>
        <v>30</v>
      </c>
      <c r="B2509" s="1818"/>
      <c r="C2509" s="2036" t="s">
        <v>3417</v>
      </c>
      <c r="D2509" s="2036"/>
      <c r="E2509" s="2036"/>
      <c r="F2509" s="2036"/>
      <c r="G2509" s="2036"/>
      <c r="H2509" s="2036"/>
      <c r="I2509" s="1825"/>
      <c r="J2509" s="1846"/>
      <c r="K2509" s="1846"/>
      <c r="L2509" s="1846"/>
    </row>
    <row r="2510" spans="1:12">
      <c r="A2510" s="1818"/>
      <c r="B2510" s="1818"/>
      <c r="C2510" s="1049" t="s">
        <v>1378</v>
      </c>
      <c r="D2510" s="1000"/>
      <c r="E2510" s="1069"/>
      <c r="F2510" s="1001"/>
      <c r="G2510" s="1015"/>
      <c r="H2510" s="1094"/>
      <c r="I2510" s="1030"/>
      <c r="J2510" s="1846"/>
      <c r="K2510" s="1846"/>
      <c r="L2510" s="1846"/>
    </row>
    <row r="2511" spans="1:12">
      <c r="A2511" s="1818"/>
      <c r="B2511" s="1818"/>
      <c r="C2511" s="1846" t="s">
        <v>1364</v>
      </c>
      <c r="D2511" s="1000"/>
      <c r="E2511" s="1069"/>
      <c r="F2511" s="1001"/>
      <c r="G2511" s="1015"/>
      <c r="H2511" s="1094"/>
      <c r="I2511" s="1030"/>
      <c r="J2511" s="1846"/>
      <c r="K2511" s="1846"/>
      <c r="L2511" s="1846"/>
    </row>
    <row r="2512" spans="1:12">
      <c r="A2512" s="1818"/>
      <c r="B2512" s="1818"/>
      <c r="C2512" s="1816" t="s">
        <v>1139</v>
      </c>
      <c r="D2512" s="1000"/>
      <c r="E2512" s="1069"/>
      <c r="F2512" s="1001"/>
      <c r="G2512" s="1015"/>
      <c r="H2512" s="1094"/>
      <c r="I2512" s="1030"/>
      <c r="J2512" s="1846"/>
      <c r="K2512" s="1846"/>
      <c r="L2512" s="1846"/>
    </row>
    <row r="2513" spans="1:64">
      <c r="A2513" s="1818"/>
      <c r="B2513" s="1818"/>
      <c r="C2513" s="1817" t="s">
        <v>1366</v>
      </c>
      <c r="D2513" s="1000">
        <v>100.8</v>
      </c>
      <c r="E2513" s="1069" t="s">
        <v>1110</v>
      </c>
      <c r="F2513" s="1001">
        <f>LEAD!$N$6</f>
        <v>5200</v>
      </c>
      <c r="G2513" s="1015">
        <v>1000</v>
      </c>
      <c r="H2513" s="1050" t="str">
        <f t="shared" ref="H2513:H2515" si="592">IF(E2513="","",IF(E2513="No.","Each",IF(E2513="Nos.","Each",E2513)))</f>
        <v>Kgs</v>
      </c>
      <c r="I2513" s="1030">
        <f t="shared" ref="I2513:I2515" si="593">IF(G2513="",D2513*F2513,(D2513*F2513/G2513))</f>
        <v>524.16</v>
      </c>
      <c r="J2513" s="1846"/>
      <c r="K2513" s="1846"/>
      <c r="L2513" s="1846"/>
    </row>
    <row r="2514" spans="1:64">
      <c r="A2514" s="1818"/>
      <c r="B2514" s="1818"/>
      <c r="C2514" s="1817" t="s">
        <v>1367</v>
      </c>
      <c r="D2514" s="1000">
        <v>0.21</v>
      </c>
      <c r="E2514" s="1069" t="s">
        <v>484</v>
      </c>
      <c r="F2514" s="1001">
        <f>LEAD!$N$13</f>
        <v>2453.91</v>
      </c>
      <c r="G2514" s="1015">
        <v>1</v>
      </c>
      <c r="H2514" s="1050" t="str">
        <f t="shared" si="592"/>
        <v>Cum</v>
      </c>
      <c r="I2514" s="1030">
        <f t="shared" si="593"/>
        <v>515.3211</v>
      </c>
      <c r="J2514" s="1846"/>
      <c r="K2514" s="1846"/>
      <c r="L2514" s="1846"/>
    </row>
    <row r="2515" spans="1:64">
      <c r="A2515" s="1818"/>
      <c r="B2515" s="1818"/>
      <c r="C2515" s="1817" t="s">
        <v>1379</v>
      </c>
      <c r="D2515" s="1000">
        <v>0.4</v>
      </c>
      <c r="E2515" s="1094" t="s">
        <v>1380</v>
      </c>
      <c r="F2515" s="1001">
        <f>'Civil-SOR'!$G$180</f>
        <v>215</v>
      </c>
      <c r="G2515" s="1000">
        <f>'Civil-SOR'!$H$314</f>
        <v>1</v>
      </c>
      <c r="H2515" s="1050" t="str">
        <f t="shared" si="592"/>
        <v>Ltrs</v>
      </c>
      <c r="I2515" s="1030">
        <f t="shared" si="593"/>
        <v>86</v>
      </c>
      <c r="J2515" s="1846"/>
      <c r="K2515" s="1846"/>
      <c r="L2515" s="1846"/>
    </row>
    <row r="2516" spans="1:64">
      <c r="A2516" s="1818"/>
      <c r="B2516" s="1818"/>
      <c r="C2516" s="1816" t="s">
        <v>1172</v>
      </c>
      <c r="D2516" s="1000"/>
      <c r="E2516" s="1069"/>
      <c r="F2516" s="1001"/>
      <c r="G2516" s="1015"/>
      <c r="H2516" s="1050"/>
      <c r="I2516" s="1030"/>
      <c r="J2516" s="1846"/>
      <c r="K2516" s="1846"/>
      <c r="L2516" s="1846"/>
    </row>
    <row r="2517" spans="1:64">
      <c r="A2517" s="1818"/>
      <c r="B2517" s="1818"/>
      <c r="C2517" s="1817" t="s">
        <v>1369</v>
      </c>
      <c r="D2517" s="1000">
        <v>0.66</v>
      </c>
      <c r="E2517" s="1044" t="s">
        <v>36</v>
      </c>
      <c r="F2517" s="1001">
        <f>'Civil-SOR'!$G$293</f>
        <v>580</v>
      </c>
      <c r="G2517" s="1015">
        <v>1</v>
      </c>
      <c r="H2517" s="1050" t="str">
        <f t="shared" ref="H2517:H2519" si="594">IF(E2517="","",IF(E2517="No.","Each",IF(E2517="Nos.","Each",E2517)))</f>
        <v>Each</v>
      </c>
      <c r="I2517" s="1030">
        <f t="shared" ref="I2517:I2521" si="595">IF(G2517="",D2517*F2517,(D2517*F2517/G2517))</f>
        <v>382.8</v>
      </c>
      <c r="J2517" s="1846"/>
      <c r="K2517" s="1846"/>
      <c r="L2517" s="1846"/>
    </row>
    <row r="2518" spans="1:64">
      <c r="A2518" s="1818"/>
      <c r="B2518" s="1818"/>
      <c r="C2518" s="1817" t="s">
        <v>1370</v>
      </c>
      <c r="D2518" s="1000">
        <v>1.54</v>
      </c>
      <c r="E2518" s="1044" t="s">
        <v>36</v>
      </c>
      <c r="F2518" s="1001">
        <f>'Civil-SOR'!$G$302</f>
        <v>550</v>
      </c>
      <c r="G2518" s="1015">
        <v>1</v>
      </c>
      <c r="H2518" s="1050" t="str">
        <f t="shared" si="594"/>
        <v>Each</v>
      </c>
      <c r="I2518" s="1030">
        <f t="shared" si="595"/>
        <v>847</v>
      </c>
      <c r="J2518" s="1846"/>
      <c r="K2518" s="1846"/>
      <c r="L2518" s="1846"/>
    </row>
    <row r="2519" spans="1:64">
      <c r="A2519" s="1818"/>
      <c r="B2519" s="1818"/>
      <c r="C2519" s="1817" t="s">
        <v>1166</v>
      </c>
      <c r="D2519" s="1000">
        <v>3.7</v>
      </c>
      <c r="E2519" s="1069" t="s">
        <v>36</v>
      </c>
      <c r="F2519" s="1001">
        <f>'Civil-SOR'!$G$307</f>
        <v>520</v>
      </c>
      <c r="G2519" s="1015">
        <v>1</v>
      </c>
      <c r="H2519" s="1050" t="str">
        <f t="shared" si="594"/>
        <v>Each</v>
      </c>
      <c r="I2519" s="1030">
        <f t="shared" si="595"/>
        <v>1924</v>
      </c>
      <c r="J2519" s="1846"/>
      <c r="K2519" s="1846"/>
      <c r="L2519" s="1846"/>
    </row>
    <row r="2520" spans="1:64">
      <c r="A2520" s="1818"/>
      <c r="B2520" s="1818"/>
      <c r="C2520" s="1817" t="str">
        <f>Input!$C$47</f>
        <v>Add for MA @ 40%</v>
      </c>
      <c r="D2520" s="1158">
        <f>Input!$D$47</f>
        <v>0.4</v>
      </c>
      <c r="E2520" s="1094"/>
      <c r="F2520" s="1001">
        <f>SUM(I2517:I2519)</f>
        <v>3153.8</v>
      </c>
      <c r="G2520" s="1020"/>
      <c r="H2520" s="1057"/>
      <c r="I2520" s="1030">
        <f t="shared" si="595"/>
        <v>1261.5200000000002</v>
      </c>
      <c r="J2520" s="1846"/>
      <c r="K2520" s="1846"/>
      <c r="L2520" s="1846"/>
    </row>
    <row r="2521" spans="1:64">
      <c r="A2521" s="1818"/>
      <c r="B2521" s="1818"/>
      <c r="C2521" s="1817" t="s">
        <v>1312</v>
      </c>
      <c r="D2521" s="1034">
        <v>0.01</v>
      </c>
      <c r="E2521" s="1044"/>
      <c r="F2521" s="1001">
        <f>SUM(I2513:I2520)</f>
        <v>5540.8011000000006</v>
      </c>
      <c r="G2521" s="1015"/>
      <c r="H2521" s="1050"/>
      <c r="I2521" s="1030">
        <f t="shared" si="595"/>
        <v>55.408011000000009</v>
      </c>
      <c r="J2521" s="1846"/>
      <c r="K2521" s="1846"/>
      <c r="L2521" s="1846"/>
    </row>
    <row r="2522" spans="1:64">
      <c r="A2522" s="1086"/>
      <c r="B2522" s="1086"/>
      <c r="C2522" s="1088" t="s">
        <v>1302</v>
      </c>
      <c r="D2522" s="1180"/>
      <c r="E2522" s="1107"/>
      <c r="F2522" s="994"/>
      <c r="G2522" s="1108"/>
      <c r="H2522" s="1830"/>
      <c r="I2522" s="1826">
        <f>SUM(I2513:I2521)</f>
        <v>5596.209111000001</v>
      </c>
      <c r="J2522" s="996"/>
      <c r="K2522" s="996">
        <f>12/20*100.8</f>
        <v>60.48</v>
      </c>
      <c r="L2522" s="996"/>
      <c r="M2522" s="997"/>
      <c r="N2522" s="997"/>
      <c r="O2522" s="997"/>
      <c r="P2522" s="997"/>
      <c r="Q2522" s="997"/>
      <c r="R2522" s="997"/>
      <c r="S2522" s="997"/>
      <c r="T2522" s="997"/>
      <c r="U2522" s="997"/>
      <c r="V2522" s="997"/>
      <c r="W2522" s="997"/>
      <c r="X2522" s="997"/>
      <c r="Y2522" s="997"/>
      <c r="Z2522" s="997"/>
      <c r="AA2522" s="997"/>
      <c r="AB2522" s="997"/>
      <c r="AC2522" s="997"/>
      <c r="AD2522" s="997"/>
      <c r="AE2522" s="997"/>
      <c r="AF2522" s="997"/>
      <c r="AG2522" s="997"/>
      <c r="AH2522" s="997"/>
      <c r="AI2522" s="997"/>
      <c r="AJ2522" s="997"/>
      <c r="AK2522" s="997"/>
      <c r="AL2522" s="997"/>
      <c r="AM2522" s="997"/>
      <c r="AN2522" s="997"/>
      <c r="AO2522" s="997"/>
      <c r="AP2522" s="997"/>
      <c r="AQ2522" s="997"/>
      <c r="AR2522" s="997"/>
      <c r="AS2522" s="997"/>
      <c r="AT2522" s="997"/>
      <c r="AU2522" s="997"/>
      <c r="AV2522" s="997"/>
      <c r="AW2522" s="997"/>
      <c r="AX2522" s="997"/>
      <c r="AY2522" s="997"/>
      <c r="AZ2522" s="997"/>
      <c r="BA2522" s="997"/>
      <c r="BB2522" s="997"/>
      <c r="BC2522" s="997"/>
      <c r="BD2522" s="997"/>
      <c r="BE2522" s="997"/>
      <c r="BF2522" s="997"/>
      <c r="BG2522" s="997"/>
      <c r="BH2522" s="997"/>
      <c r="BI2522" s="997"/>
      <c r="BJ2522" s="997"/>
      <c r="BK2522" s="997"/>
      <c r="BL2522" s="997"/>
    </row>
    <row r="2523" spans="1:64">
      <c r="A2523" s="1818"/>
      <c r="B2523" s="1818"/>
      <c r="C2523" s="1817"/>
      <c r="D2523" s="1000"/>
      <c r="E2523" s="1069"/>
      <c r="F2523" s="1001"/>
      <c r="G2523" s="1015"/>
      <c r="H2523" s="1050"/>
      <c r="I2523" s="1030"/>
      <c r="J2523" s="1846"/>
      <c r="K2523" s="1846"/>
      <c r="L2523" s="1846"/>
    </row>
    <row r="2524" spans="1:64">
      <c r="A2524" s="1818"/>
      <c r="B2524" s="1818"/>
      <c r="C2524" s="1816" t="s">
        <v>1217</v>
      </c>
      <c r="D2524" s="1009" t="s">
        <v>1223</v>
      </c>
      <c r="E2524" s="1114" t="s">
        <v>1207</v>
      </c>
      <c r="F2524" s="1106" t="s">
        <v>1208</v>
      </c>
      <c r="G2524" s="1009" t="s">
        <v>1291</v>
      </c>
      <c r="H2524" s="1009" t="s">
        <v>1292</v>
      </c>
      <c r="I2524" s="1009" t="s">
        <v>1293</v>
      </c>
      <c r="J2524" s="1846"/>
      <c r="K2524" s="1846"/>
      <c r="L2524" s="1846"/>
    </row>
    <row r="2525" spans="1:64">
      <c r="A2525" s="1818"/>
      <c r="B2525" s="1818"/>
      <c r="C2525" s="1817" t="s">
        <v>1317</v>
      </c>
      <c r="D2525" s="1001">
        <f t="shared" ref="D2525:I2525" si="596">$I$2522</f>
        <v>5596.209111000001</v>
      </c>
      <c r="E2525" s="1001">
        <f t="shared" si="596"/>
        <v>5596.209111000001</v>
      </c>
      <c r="F2525" s="1001">
        <f t="shared" si="596"/>
        <v>5596.209111000001</v>
      </c>
      <c r="G2525" s="1001">
        <f t="shared" si="596"/>
        <v>5596.209111000001</v>
      </c>
      <c r="H2525" s="1001">
        <f t="shared" si="596"/>
        <v>5596.209111000001</v>
      </c>
      <c r="I2525" s="1001">
        <f t="shared" si="596"/>
        <v>5596.209111000001</v>
      </c>
      <c r="J2525" s="1846"/>
      <c r="K2525" s="1846"/>
      <c r="L2525" s="1846"/>
      <c r="M2525" s="1003"/>
      <c r="N2525" s="1003"/>
      <c r="O2525" s="1003"/>
      <c r="P2525" s="1003"/>
      <c r="Q2525" s="1003"/>
      <c r="R2525" s="1003"/>
      <c r="S2525" s="1003"/>
      <c r="T2525" s="1003"/>
      <c r="U2525" s="1003"/>
      <c r="V2525" s="1003"/>
      <c r="W2525" s="1003"/>
      <c r="X2525" s="1003"/>
      <c r="Y2525" s="1003"/>
      <c r="Z2525" s="1003"/>
      <c r="AA2525" s="1003"/>
      <c r="AB2525" s="1003"/>
      <c r="AC2525" s="1003"/>
      <c r="AD2525" s="1003"/>
      <c r="AE2525" s="1003"/>
      <c r="AF2525" s="1003"/>
      <c r="AG2525" s="1003"/>
      <c r="AH2525" s="1003"/>
      <c r="AI2525" s="1003"/>
      <c r="AJ2525" s="1003"/>
      <c r="AK2525" s="1003"/>
      <c r="AL2525" s="1003"/>
      <c r="AM2525" s="1003"/>
      <c r="AN2525" s="1003"/>
      <c r="AO2525" s="1003"/>
      <c r="AP2525" s="1003"/>
      <c r="AQ2525" s="1003"/>
      <c r="AR2525" s="1003"/>
      <c r="AS2525" s="1003"/>
      <c r="AT2525" s="1003"/>
      <c r="AU2525" s="1003"/>
      <c r="AV2525" s="1003"/>
      <c r="AW2525" s="1003"/>
      <c r="AX2525" s="1003"/>
      <c r="AY2525" s="1003"/>
      <c r="AZ2525" s="1003"/>
      <c r="BA2525" s="1003"/>
      <c r="BB2525" s="1003"/>
      <c r="BC2525" s="1003"/>
      <c r="BD2525" s="1003"/>
      <c r="BE2525" s="1003"/>
      <c r="BF2525" s="1003"/>
      <c r="BG2525" s="1003"/>
      <c r="BH2525" s="1003"/>
      <c r="BI2525" s="1003"/>
      <c r="BJ2525" s="1003"/>
      <c r="BK2525" s="1003"/>
      <c r="BL2525" s="1003"/>
    </row>
    <row r="2526" spans="1:64">
      <c r="A2526" s="1818"/>
      <c r="B2526" s="1818"/>
      <c r="C2526" s="1817" t="s">
        <v>1253</v>
      </c>
      <c r="D2526" s="1001">
        <v>0</v>
      </c>
      <c r="E2526" s="1001">
        <f>ROUND($F$2520*10%,2)</f>
        <v>315.38</v>
      </c>
      <c r="F2526" s="1001">
        <f>ROUND($F$2520*20%,2)</f>
        <v>630.76</v>
      </c>
      <c r="G2526" s="1001">
        <f>ROUND($F$2520*30%,2)</f>
        <v>946.14</v>
      </c>
      <c r="H2526" s="1001">
        <f>ROUND($F$2520*40%,2)</f>
        <v>1261.52</v>
      </c>
      <c r="I2526" s="1001">
        <f>ROUND($F$2520*50%,2)</f>
        <v>1576.9</v>
      </c>
      <c r="J2526" s="1846"/>
      <c r="K2526" s="1846"/>
      <c r="L2526" s="1846"/>
      <c r="M2526" s="1003"/>
      <c r="N2526" s="1003"/>
      <c r="O2526" s="1003"/>
      <c r="P2526" s="1003"/>
      <c r="Q2526" s="1003"/>
      <c r="R2526" s="1003"/>
      <c r="S2526" s="1003"/>
      <c r="T2526" s="1003"/>
      <c r="U2526" s="1003"/>
      <c r="V2526" s="1003"/>
      <c r="W2526" s="1003"/>
      <c r="X2526" s="1003"/>
      <c r="Y2526" s="1003"/>
      <c r="Z2526" s="1003"/>
      <c r="AA2526" s="1003"/>
      <c r="AB2526" s="1003"/>
      <c r="AC2526" s="1003"/>
      <c r="AD2526" s="1003"/>
      <c r="AE2526" s="1003"/>
      <c r="AF2526" s="1003"/>
      <c r="AG2526" s="1003"/>
      <c r="AH2526" s="1003"/>
      <c r="AI2526" s="1003"/>
      <c r="AJ2526" s="1003"/>
      <c r="AK2526" s="1003"/>
      <c r="AL2526" s="1003"/>
      <c r="AM2526" s="1003"/>
      <c r="AN2526" s="1003"/>
      <c r="AO2526" s="1003"/>
      <c r="AP2526" s="1003"/>
      <c r="AQ2526" s="1003"/>
      <c r="AR2526" s="1003"/>
      <c r="AS2526" s="1003"/>
      <c r="AT2526" s="1003"/>
      <c r="AU2526" s="1003"/>
      <c r="AV2526" s="1003"/>
      <c r="AW2526" s="1003"/>
      <c r="AX2526" s="1003"/>
      <c r="AY2526" s="1003"/>
      <c r="AZ2526" s="1003"/>
      <c r="BA2526" s="1003"/>
      <c r="BB2526" s="1003"/>
      <c r="BC2526" s="1003"/>
      <c r="BD2526" s="1003"/>
      <c r="BE2526" s="1003"/>
      <c r="BF2526" s="1003"/>
      <c r="BG2526" s="1003"/>
      <c r="BH2526" s="1003"/>
      <c r="BI2526" s="1003"/>
      <c r="BJ2526" s="1003"/>
      <c r="BK2526" s="1003"/>
      <c r="BL2526" s="1003"/>
    </row>
    <row r="2527" spans="1:64">
      <c r="A2527" s="1818"/>
      <c r="B2527" s="1818"/>
      <c r="C2527" s="1817" t="str">
        <f>Input!$C$47</f>
        <v>Add for MA @ 40%</v>
      </c>
      <c r="D2527" s="1001">
        <f>D2526*Input!$D$47</f>
        <v>0</v>
      </c>
      <c r="E2527" s="1001">
        <f>E2526*Input!$D$47</f>
        <v>126.152</v>
      </c>
      <c r="F2527" s="1001">
        <f>F2526*Input!$D$47</f>
        <v>252.304</v>
      </c>
      <c r="G2527" s="1001">
        <f>G2526*Input!$D$47</f>
        <v>378.45600000000002</v>
      </c>
      <c r="H2527" s="1001">
        <f>H2526*Input!$D$47</f>
        <v>504.608</v>
      </c>
      <c r="I2527" s="1001">
        <f>I2526*Input!$D$47</f>
        <v>630.7600000000001</v>
      </c>
      <c r="J2527" s="1846"/>
      <c r="K2527" s="1846"/>
      <c r="L2527" s="1846"/>
      <c r="M2527" s="1003"/>
      <c r="N2527" s="1003"/>
      <c r="O2527" s="1003"/>
      <c r="P2527" s="1003"/>
      <c r="Q2527" s="1003"/>
      <c r="R2527" s="1003"/>
      <c r="S2527" s="1003"/>
      <c r="T2527" s="1003"/>
      <c r="U2527" s="1003"/>
      <c r="V2527" s="1003"/>
      <c r="W2527" s="1003"/>
      <c r="X2527" s="1003"/>
      <c r="Y2527" s="1003"/>
      <c r="Z2527" s="1003"/>
      <c r="AA2527" s="1003"/>
      <c r="AB2527" s="1003"/>
      <c r="AC2527" s="1003"/>
      <c r="AD2527" s="1003"/>
      <c r="AE2527" s="1003"/>
      <c r="AF2527" s="1003"/>
      <c r="AG2527" s="1003"/>
      <c r="AH2527" s="1003"/>
      <c r="AI2527" s="1003"/>
      <c r="AJ2527" s="1003"/>
      <c r="AK2527" s="1003"/>
      <c r="AL2527" s="1003"/>
      <c r="AM2527" s="1003"/>
      <c r="AN2527" s="1003"/>
      <c r="AO2527" s="1003"/>
      <c r="AP2527" s="1003"/>
      <c r="AQ2527" s="1003"/>
      <c r="AR2527" s="1003"/>
      <c r="AS2527" s="1003"/>
      <c r="AT2527" s="1003"/>
      <c r="AU2527" s="1003"/>
      <c r="AV2527" s="1003"/>
      <c r="AW2527" s="1003"/>
      <c r="AX2527" s="1003"/>
      <c r="AY2527" s="1003"/>
      <c r="AZ2527" s="1003"/>
      <c r="BA2527" s="1003"/>
      <c r="BB2527" s="1003"/>
      <c r="BC2527" s="1003"/>
      <c r="BD2527" s="1003"/>
      <c r="BE2527" s="1003"/>
      <c r="BF2527" s="1003"/>
      <c r="BG2527" s="1003"/>
      <c r="BH2527" s="1003"/>
      <c r="BI2527" s="1003"/>
      <c r="BJ2527" s="1003"/>
      <c r="BK2527" s="1003"/>
      <c r="BL2527" s="1003"/>
    </row>
    <row r="2528" spans="1:64">
      <c r="A2528" s="1818"/>
      <c r="B2528" s="1818"/>
      <c r="C2528" s="1002"/>
      <c r="D2528" s="1001">
        <f t="shared" ref="D2528:I2528" si="597">SUM(D2525:D2527)</f>
        <v>5596.209111000001</v>
      </c>
      <c r="E2528" s="1001">
        <f t="shared" si="597"/>
        <v>6037.7411110000012</v>
      </c>
      <c r="F2528" s="1001">
        <f t="shared" si="597"/>
        <v>6479.2731110000013</v>
      </c>
      <c r="G2528" s="1001">
        <f t="shared" si="597"/>
        <v>6920.8051110000015</v>
      </c>
      <c r="H2528" s="1001">
        <f t="shared" si="597"/>
        <v>7362.3371110000007</v>
      </c>
      <c r="I2528" s="1001">
        <f t="shared" si="597"/>
        <v>7803.8691110000018</v>
      </c>
      <c r="J2528" s="1846"/>
      <c r="K2528" s="1846"/>
      <c r="L2528" s="1846"/>
      <c r="M2528" s="1003"/>
      <c r="N2528" s="1003"/>
      <c r="O2528" s="1003"/>
      <c r="P2528" s="1003"/>
      <c r="Q2528" s="1003"/>
      <c r="R2528" s="1003"/>
      <c r="S2528" s="1003"/>
      <c r="T2528" s="1003"/>
      <c r="U2528" s="1003"/>
      <c r="V2528" s="1003"/>
      <c r="W2528" s="1003"/>
      <c r="X2528" s="1003"/>
      <c r="Y2528" s="1003"/>
      <c r="Z2528" s="1003"/>
      <c r="AA2528" s="1003"/>
      <c r="AB2528" s="1003"/>
      <c r="AC2528" s="1003"/>
      <c r="AD2528" s="1003"/>
      <c r="AE2528" s="1003"/>
      <c r="AF2528" s="1003"/>
      <c r="AG2528" s="1003"/>
      <c r="AH2528" s="1003"/>
      <c r="AI2528" s="1003"/>
      <c r="AJ2528" s="1003"/>
      <c r="AK2528" s="1003"/>
      <c r="AL2528" s="1003"/>
      <c r="AM2528" s="1003"/>
      <c r="AN2528" s="1003"/>
      <c r="AO2528" s="1003"/>
      <c r="AP2528" s="1003"/>
      <c r="AQ2528" s="1003"/>
      <c r="AR2528" s="1003"/>
      <c r="AS2528" s="1003"/>
      <c r="AT2528" s="1003"/>
      <c r="AU2528" s="1003"/>
      <c r="AV2528" s="1003"/>
      <c r="AW2528" s="1003"/>
      <c r="AX2528" s="1003"/>
      <c r="AY2528" s="1003"/>
      <c r="AZ2528" s="1003"/>
      <c r="BA2528" s="1003"/>
      <c r="BB2528" s="1003"/>
      <c r="BC2528" s="1003"/>
      <c r="BD2528" s="1003"/>
      <c r="BE2528" s="1003"/>
      <c r="BF2528" s="1003"/>
      <c r="BG2528" s="1003"/>
      <c r="BH2528" s="1003"/>
      <c r="BI2528" s="1003"/>
      <c r="BJ2528" s="1003"/>
      <c r="BK2528" s="1003"/>
      <c r="BL2528" s="1003"/>
    </row>
    <row r="2529" spans="1:64">
      <c r="A2529" s="1818"/>
      <c r="B2529" s="1818"/>
      <c r="C2529" s="1817" t="str">
        <f>Input!$C$48</f>
        <v>Overheads &amp; Contractors Profit @ 13.615%</v>
      </c>
      <c r="D2529" s="1001">
        <f>ROUND(D2528*Input!$D$48,2)</f>
        <v>761.92</v>
      </c>
      <c r="E2529" s="1001">
        <f>ROUND(E2528*Input!$D$48,2)</f>
        <v>822.04</v>
      </c>
      <c r="F2529" s="1001">
        <f>ROUND(F2528*Input!$D$48,2)</f>
        <v>882.15</v>
      </c>
      <c r="G2529" s="1001">
        <f>ROUND(G2528*Input!$D$48,2)</f>
        <v>942.27</v>
      </c>
      <c r="H2529" s="1001">
        <f>ROUND(H2528*Input!$D$48,2)</f>
        <v>1002.38</v>
      </c>
      <c r="I2529" s="1001">
        <f>ROUND(I2528*Input!$D$48,2)</f>
        <v>1062.5</v>
      </c>
      <c r="J2529" s="1846"/>
      <c r="K2529" s="1846"/>
      <c r="L2529" s="1846"/>
      <c r="M2529" s="1003"/>
      <c r="N2529" s="1003"/>
      <c r="O2529" s="1003"/>
      <c r="P2529" s="1003"/>
      <c r="Q2529" s="1003"/>
      <c r="R2529" s="1003"/>
      <c r="S2529" s="1003"/>
      <c r="T2529" s="1003"/>
      <c r="U2529" s="1003"/>
      <c r="V2529" s="1003"/>
      <c r="W2529" s="1003"/>
      <c r="X2529" s="1003"/>
      <c r="Y2529" s="1003"/>
      <c r="Z2529" s="1003"/>
      <c r="AA2529" s="1003"/>
      <c r="AB2529" s="1003"/>
      <c r="AC2529" s="1003"/>
      <c r="AD2529" s="1003"/>
      <c r="AE2529" s="1003"/>
      <c r="AF2529" s="1003"/>
      <c r="AG2529" s="1003"/>
      <c r="AH2529" s="1003"/>
      <c r="AI2529" s="1003"/>
      <c r="AJ2529" s="1003"/>
      <c r="AK2529" s="1003"/>
      <c r="AL2529" s="1003"/>
      <c r="AM2529" s="1003"/>
      <c r="AN2529" s="1003"/>
      <c r="AO2529" s="1003"/>
      <c r="AP2529" s="1003"/>
      <c r="AQ2529" s="1003"/>
      <c r="AR2529" s="1003"/>
      <c r="AS2529" s="1003"/>
      <c r="AT2529" s="1003"/>
      <c r="AU2529" s="1003"/>
      <c r="AV2529" s="1003"/>
      <c r="AW2529" s="1003"/>
      <c r="AX2529" s="1003"/>
      <c r="AY2529" s="1003"/>
      <c r="AZ2529" s="1003"/>
      <c r="BA2529" s="1003"/>
      <c r="BB2529" s="1003"/>
      <c r="BC2529" s="1003"/>
      <c r="BD2529" s="1003"/>
      <c r="BE2529" s="1003"/>
      <c r="BF2529" s="1003"/>
      <c r="BG2529" s="1003"/>
      <c r="BH2529" s="1003"/>
      <c r="BI2529" s="1003"/>
      <c r="BJ2529" s="1003"/>
      <c r="BK2529" s="1003"/>
      <c r="BL2529" s="1003"/>
    </row>
    <row r="2530" spans="1:64">
      <c r="A2530" s="1818"/>
      <c r="B2530" s="1818"/>
      <c r="C2530" s="1002"/>
      <c r="D2530" s="1001">
        <f t="shared" ref="D2530:I2530" si="598">SUM(D2528:D2529)</f>
        <v>6358.1291110000011</v>
      </c>
      <c r="E2530" s="1001">
        <f t="shared" si="598"/>
        <v>6859.7811110000011</v>
      </c>
      <c r="F2530" s="1001">
        <f t="shared" si="598"/>
        <v>7361.423111000001</v>
      </c>
      <c r="G2530" s="1001">
        <f t="shared" si="598"/>
        <v>7863.0751110000019</v>
      </c>
      <c r="H2530" s="1001">
        <f t="shared" si="598"/>
        <v>8364.7171109999999</v>
      </c>
      <c r="I2530" s="1001">
        <f t="shared" si="598"/>
        <v>8866.3691110000018</v>
      </c>
      <c r="J2530" s="1846"/>
      <c r="K2530" s="1846"/>
      <c r="L2530" s="1846"/>
      <c r="M2530" s="1003"/>
      <c r="N2530" s="1003"/>
      <c r="O2530" s="1003"/>
      <c r="P2530" s="1003"/>
      <c r="Q2530" s="1003"/>
      <c r="R2530" s="1003"/>
      <c r="S2530" s="1003"/>
      <c r="T2530" s="1003"/>
      <c r="U2530" s="1003"/>
      <c r="V2530" s="1003"/>
      <c r="W2530" s="1003"/>
      <c r="X2530" s="1003"/>
      <c r="Y2530" s="1003"/>
      <c r="Z2530" s="1003"/>
      <c r="AA2530" s="1003"/>
      <c r="AB2530" s="1003"/>
      <c r="AC2530" s="1003"/>
      <c r="AD2530" s="1003"/>
      <c r="AE2530" s="1003"/>
      <c r="AF2530" s="1003"/>
      <c r="AG2530" s="1003"/>
      <c r="AH2530" s="1003"/>
      <c r="AI2530" s="1003"/>
      <c r="AJ2530" s="1003"/>
      <c r="AK2530" s="1003"/>
      <c r="AL2530" s="1003"/>
      <c r="AM2530" s="1003"/>
      <c r="AN2530" s="1003"/>
      <c r="AO2530" s="1003"/>
      <c r="AP2530" s="1003"/>
      <c r="AQ2530" s="1003"/>
      <c r="AR2530" s="1003"/>
      <c r="AS2530" s="1003"/>
      <c r="AT2530" s="1003"/>
      <c r="AU2530" s="1003"/>
      <c r="AV2530" s="1003"/>
      <c r="AW2530" s="1003"/>
      <c r="AX2530" s="1003"/>
      <c r="AY2530" s="1003"/>
      <c r="AZ2530" s="1003"/>
      <c r="BA2530" s="1003"/>
      <c r="BB2530" s="1003"/>
      <c r="BC2530" s="1003"/>
      <c r="BD2530" s="1003"/>
      <c r="BE2530" s="1003"/>
      <c r="BF2530" s="1003"/>
      <c r="BG2530" s="1003"/>
      <c r="BH2530" s="1003"/>
      <c r="BI2530" s="1003"/>
      <c r="BJ2530" s="1003"/>
      <c r="BK2530" s="1003"/>
      <c r="BL2530" s="1003"/>
    </row>
    <row r="2531" spans="1:64">
      <c r="A2531" s="1818"/>
      <c r="B2531" s="1818"/>
      <c r="C2531" s="1816" t="s">
        <v>1117</v>
      </c>
      <c r="D2531" s="1009">
        <f t="shared" ref="D2531:I2531" si="599">D2530/10</f>
        <v>635.81291110000006</v>
      </c>
      <c r="E2531" s="1009">
        <f t="shared" si="599"/>
        <v>685.97811110000009</v>
      </c>
      <c r="F2531" s="1009">
        <f t="shared" si="599"/>
        <v>736.14231110000014</v>
      </c>
      <c r="G2531" s="1009">
        <f t="shared" si="599"/>
        <v>786.30751110000017</v>
      </c>
      <c r="H2531" s="1009">
        <f t="shared" si="599"/>
        <v>836.47171109999999</v>
      </c>
      <c r="I2531" s="1009">
        <f t="shared" si="599"/>
        <v>886.63691110000013</v>
      </c>
      <c r="J2531" s="1846"/>
      <c r="K2531" s="1846"/>
      <c r="L2531" s="1846"/>
      <c r="M2531" s="1003"/>
      <c r="N2531" s="1003"/>
      <c r="O2531" s="1003"/>
      <c r="P2531" s="1003"/>
      <c r="Q2531" s="1003"/>
      <c r="R2531" s="1003"/>
      <c r="S2531" s="1003"/>
      <c r="T2531" s="1003"/>
      <c r="U2531" s="1003"/>
      <c r="V2531" s="1003"/>
      <c r="W2531" s="1003"/>
      <c r="X2531" s="1003"/>
      <c r="Y2531" s="1003"/>
      <c r="Z2531" s="1003"/>
      <c r="AA2531" s="1003"/>
      <c r="AB2531" s="1003"/>
      <c r="AC2531" s="1003"/>
      <c r="AD2531" s="1003"/>
      <c r="AE2531" s="1003"/>
      <c r="AF2531" s="1003"/>
      <c r="AG2531" s="1003"/>
      <c r="AH2531" s="1003"/>
      <c r="AI2531" s="1003"/>
      <c r="AJ2531" s="1003"/>
      <c r="AK2531" s="1003"/>
      <c r="AL2531" s="1003"/>
      <c r="AM2531" s="1003"/>
      <c r="AN2531" s="1003"/>
      <c r="AO2531" s="1003"/>
      <c r="AP2531" s="1003"/>
      <c r="AQ2531" s="1003"/>
      <c r="AR2531" s="1003"/>
      <c r="AS2531" s="1003"/>
      <c r="AT2531" s="1003"/>
      <c r="AU2531" s="1003"/>
      <c r="AV2531" s="1003"/>
      <c r="AW2531" s="1003"/>
      <c r="AX2531" s="1003"/>
      <c r="AY2531" s="1003"/>
      <c r="AZ2531" s="1003"/>
      <c r="BA2531" s="1003"/>
      <c r="BB2531" s="1003"/>
      <c r="BC2531" s="1003"/>
      <c r="BD2531" s="1003"/>
      <c r="BE2531" s="1003"/>
      <c r="BF2531" s="1003"/>
      <c r="BG2531" s="1003"/>
      <c r="BH2531" s="1003"/>
      <c r="BI2531" s="1003"/>
      <c r="BJ2531" s="1003"/>
      <c r="BK2531" s="1003"/>
      <c r="BL2531" s="1003"/>
    </row>
    <row r="2532" spans="1:64">
      <c r="A2532" s="1818"/>
      <c r="B2532" s="1818"/>
      <c r="C2532" s="1118" t="s">
        <v>1034</v>
      </c>
      <c r="D2532" s="1114">
        <f t="shared" ref="D2532:I2532" si="600">ROUND(D2531,0)</f>
        <v>636</v>
      </c>
      <c r="E2532" s="1114">
        <f t="shared" si="600"/>
        <v>686</v>
      </c>
      <c r="F2532" s="1114">
        <f t="shared" si="600"/>
        <v>736</v>
      </c>
      <c r="G2532" s="1114">
        <f t="shared" si="600"/>
        <v>786</v>
      </c>
      <c r="H2532" s="1114">
        <f t="shared" si="600"/>
        <v>836</v>
      </c>
      <c r="I2532" s="1114">
        <f t="shared" si="600"/>
        <v>887</v>
      </c>
      <c r="J2532" s="1846"/>
      <c r="K2532" s="1846"/>
      <c r="L2532" s="1846"/>
    </row>
    <row r="2533" spans="1:64">
      <c r="A2533" s="1818"/>
      <c r="B2533" s="1818"/>
      <c r="C2533" s="1816"/>
      <c r="D2533" s="1114"/>
      <c r="E2533" s="1114"/>
      <c r="F2533" s="1114"/>
      <c r="G2533" s="1114"/>
      <c r="H2533" s="1114"/>
      <c r="I2533" s="1009"/>
      <c r="J2533" s="1846"/>
      <c r="K2533" s="1846"/>
      <c r="L2533" s="1846"/>
    </row>
    <row r="2534" spans="1:64">
      <c r="A2534" s="1818"/>
      <c r="B2534" s="1818"/>
      <c r="C2534" s="1816" t="s">
        <v>1217</v>
      </c>
      <c r="D2534" s="1009" t="s">
        <v>1357</v>
      </c>
      <c r="E2534" s="1009" t="s">
        <v>1358</v>
      </c>
      <c r="F2534" s="1009" t="s">
        <v>1359</v>
      </c>
      <c r="G2534" s="1114"/>
      <c r="H2534" s="1114"/>
      <c r="I2534" s="1009"/>
      <c r="J2534" s="1846"/>
      <c r="K2534" s="1846"/>
      <c r="L2534" s="1846"/>
    </row>
    <row r="2535" spans="1:64">
      <c r="A2535" s="1818"/>
      <c r="B2535" s="1818"/>
      <c r="C2535" s="1817" t="s">
        <v>1317</v>
      </c>
      <c r="D2535" s="1001">
        <f>$I$2522</f>
        <v>5596.209111000001</v>
      </c>
      <c r="E2535" s="1001">
        <f>$I$2522</f>
        <v>5596.209111000001</v>
      </c>
      <c r="F2535" s="1001">
        <f>$I$2522</f>
        <v>5596.209111000001</v>
      </c>
      <c r="G2535" s="1114"/>
      <c r="H2535" s="1114"/>
      <c r="I2535" s="1009"/>
      <c r="J2535" s="1846"/>
      <c r="K2535" s="1846"/>
      <c r="L2535" s="1846"/>
    </row>
    <row r="2536" spans="1:64">
      <c r="A2536" s="1818"/>
      <c r="B2536" s="1818"/>
      <c r="C2536" s="1817" t="s">
        <v>1253</v>
      </c>
      <c r="D2536" s="1001">
        <f>ROUND($F$2520*60%,2)</f>
        <v>1892.28</v>
      </c>
      <c r="E2536" s="1001">
        <f>ROUND($F$2520*70%,2)</f>
        <v>2207.66</v>
      </c>
      <c r="F2536" s="1001">
        <f>ROUND($F$2520*80%,2)</f>
        <v>2523.04</v>
      </c>
      <c r="G2536" s="1114"/>
      <c r="H2536" s="1114"/>
      <c r="I2536" s="1009"/>
      <c r="J2536" s="1846"/>
      <c r="K2536" s="1846"/>
      <c r="L2536" s="1846"/>
    </row>
    <row r="2537" spans="1:64">
      <c r="A2537" s="1818"/>
      <c r="B2537" s="1818"/>
      <c r="C2537" s="1817" t="str">
        <f>Input!$C$47</f>
        <v>Add for MA @ 40%</v>
      </c>
      <c r="D2537" s="1001">
        <f>D2536*Input!$D$47</f>
        <v>756.91200000000003</v>
      </c>
      <c r="E2537" s="1001">
        <f>E2536*Input!$D$47</f>
        <v>883.06399999999996</v>
      </c>
      <c r="F2537" s="1001">
        <f>F2536*Input!$D$47</f>
        <v>1009.216</v>
      </c>
      <c r="G2537" s="1114"/>
      <c r="H2537" s="1114"/>
      <c r="I2537" s="1009"/>
      <c r="J2537" s="1846"/>
      <c r="K2537" s="1846"/>
      <c r="L2537" s="1846"/>
    </row>
    <row r="2538" spans="1:64">
      <c r="A2538" s="1818"/>
      <c r="B2538" s="1818"/>
      <c r="C2538" s="1022"/>
      <c r="D2538" s="1001">
        <f>SUM(D2535:D2537)</f>
        <v>8245.401111000001</v>
      </c>
      <c r="E2538" s="1001">
        <f>SUM(E2535:E2537)</f>
        <v>8686.9331110000003</v>
      </c>
      <c r="F2538" s="1001">
        <f>SUM(F2535:F2537)</f>
        <v>9128.4651110000013</v>
      </c>
      <c r="G2538" s="1114"/>
      <c r="H2538" s="1114"/>
      <c r="I2538" s="1009"/>
      <c r="J2538" s="1846"/>
      <c r="K2538" s="1846"/>
      <c r="L2538" s="1846"/>
    </row>
    <row r="2539" spans="1:64">
      <c r="A2539" s="1818"/>
      <c r="B2539" s="1818"/>
      <c r="C2539" s="1817" t="str">
        <f>Input!$C$48</f>
        <v>Overheads &amp; Contractors Profit @ 13.615%</v>
      </c>
      <c r="D2539" s="1001">
        <f>ROUND(D2538*Input!$D$48,2)</f>
        <v>1122.6099999999999</v>
      </c>
      <c r="E2539" s="1001">
        <f>ROUND(E2538*Input!$D$48,2)</f>
        <v>1182.73</v>
      </c>
      <c r="F2539" s="1001">
        <f>ROUND(F2538*Input!$D$48,2)</f>
        <v>1242.8399999999999</v>
      </c>
      <c r="G2539" s="1114"/>
      <c r="H2539" s="1114"/>
      <c r="I2539" s="1009"/>
      <c r="J2539" s="1846"/>
      <c r="K2539" s="1846"/>
      <c r="L2539" s="1846"/>
    </row>
    <row r="2540" spans="1:64">
      <c r="A2540" s="1818"/>
      <c r="B2540" s="1818"/>
      <c r="C2540" s="1022"/>
      <c r="D2540" s="1001">
        <f>SUM(D2538:D2539)</f>
        <v>9368.0111110000016</v>
      </c>
      <c r="E2540" s="1001">
        <f>SUM(E2538:E2539)</f>
        <v>9869.6631109999998</v>
      </c>
      <c r="F2540" s="1001">
        <f>SUM(F2538:F2539)</f>
        <v>10371.305111000001</v>
      </c>
      <c r="G2540" s="1114"/>
      <c r="H2540" s="1114"/>
      <c r="I2540" s="1009"/>
      <c r="J2540" s="1846"/>
      <c r="K2540" s="1846"/>
      <c r="L2540" s="1846"/>
    </row>
    <row r="2541" spans="1:64">
      <c r="A2541" s="1818"/>
      <c r="B2541" s="1818"/>
      <c r="C2541" s="1816" t="s">
        <v>1117</v>
      </c>
      <c r="D2541" s="1009">
        <f>D2540/10</f>
        <v>936.80111110000018</v>
      </c>
      <c r="E2541" s="1009">
        <f>E2540/10</f>
        <v>986.96631109999998</v>
      </c>
      <c r="F2541" s="1009">
        <f>F2540/10</f>
        <v>1037.1305111000001</v>
      </c>
      <c r="G2541" s="1114"/>
      <c r="H2541" s="1114"/>
      <c r="I2541" s="1009"/>
      <c r="J2541" s="1846"/>
      <c r="K2541" s="1846"/>
      <c r="L2541" s="1846"/>
    </row>
    <row r="2542" spans="1:64">
      <c r="A2542" s="1818"/>
      <c r="B2542" s="1818"/>
      <c r="C2542" s="1843" t="s">
        <v>1034</v>
      </c>
      <c r="D2542" s="1114">
        <f>ROUND(D2541,0)</f>
        <v>937</v>
      </c>
      <c r="E2542" s="1114">
        <f>ROUND(E2541,0)</f>
        <v>987</v>
      </c>
      <c r="F2542" s="1114">
        <f>ROUND(F2541,0)</f>
        <v>1037</v>
      </c>
      <c r="G2542" s="1114"/>
      <c r="H2542" s="1114"/>
      <c r="I2542" s="1009"/>
      <c r="J2542" s="1846"/>
      <c r="K2542" s="1846"/>
      <c r="L2542" s="1846"/>
    </row>
    <row r="2543" spans="1:64">
      <c r="A2543" s="1818"/>
      <c r="B2543" s="1818"/>
      <c r="C2543" s="1816"/>
      <c r="D2543" s="1114"/>
      <c r="E2543" s="1114"/>
      <c r="F2543" s="1114"/>
      <c r="G2543" s="1114"/>
      <c r="H2543" s="1114"/>
      <c r="I2543" s="1009"/>
      <c r="J2543" s="1846"/>
      <c r="K2543" s="1846"/>
      <c r="L2543" s="1846"/>
    </row>
    <row r="2544" spans="1:64" ht="129.94999999999999" customHeight="1">
      <c r="A2544" s="1818">
        <f>A2509+1</f>
        <v>31</v>
      </c>
      <c r="B2544" s="1818"/>
      <c r="C2544" s="2036" t="s">
        <v>3418</v>
      </c>
      <c r="D2544" s="2036"/>
      <c r="E2544" s="2036"/>
      <c r="F2544" s="2036"/>
      <c r="G2544" s="2036"/>
      <c r="H2544" s="2036"/>
      <c r="I2544" s="1825"/>
      <c r="J2544" s="1846"/>
      <c r="K2544" s="1846"/>
      <c r="L2544" s="1846"/>
    </row>
    <row r="2545" spans="1:64">
      <c r="A2545" s="1818"/>
      <c r="B2545" s="1818"/>
      <c r="C2545" s="1049" t="s">
        <v>1381</v>
      </c>
      <c r="D2545" s="1000"/>
      <c r="E2545" s="1069"/>
      <c r="F2545" s="1001"/>
      <c r="G2545" s="1015"/>
      <c r="H2545" s="1094"/>
      <c r="I2545" s="1030"/>
      <c r="J2545" s="1846"/>
      <c r="K2545" s="1846"/>
      <c r="L2545" s="1846"/>
    </row>
    <row r="2546" spans="1:64">
      <c r="A2546" s="1818"/>
      <c r="B2546" s="1818"/>
      <c r="C2546" s="1816" t="s">
        <v>1139</v>
      </c>
      <c r="D2546" s="1000"/>
      <c r="E2546" s="1069"/>
      <c r="F2546" s="1001"/>
      <c r="G2546" s="1015"/>
      <c r="H2546" s="1094"/>
      <c r="I2546" s="1030"/>
      <c r="J2546" s="1846"/>
      <c r="K2546" s="1846"/>
      <c r="L2546" s="1846"/>
    </row>
    <row r="2547" spans="1:64">
      <c r="A2547" s="1818"/>
      <c r="B2547" s="1818"/>
      <c r="C2547" s="1817" t="s">
        <v>1366</v>
      </c>
      <c r="D2547" s="1000">
        <v>72</v>
      </c>
      <c r="E2547" s="1069" t="s">
        <v>1110</v>
      </c>
      <c r="F2547" s="1001">
        <f>LEAD!$N$6</f>
        <v>5200</v>
      </c>
      <c r="G2547" s="1015">
        <v>1000</v>
      </c>
      <c r="H2547" s="1050" t="str">
        <f t="shared" ref="H2547:H2549" si="601">IF(E2547="","",IF(E2547="No.","Each",IF(E2547="Nos.","Each",E2547)))</f>
        <v>Kgs</v>
      </c>
      <c r="I2547" s="1030">
        <f t="shared" ref="I2547:I2549" si="602">IF(G2547="",D2547*F2547,(D2547*F2547/G2547))</f>
        <v>374.4</v>
      </c>
      <c r="J2547" s="1846"/>
      <c r="K2547" s="1846"/>
      <c r="L2547" s="1846"/>
    </row>
    <row r="2548" spans="1:64">
      <c r="A2548" s="1818"/>
      <c r="B2548" s="1818"/>
      <c r="C2548" s="1817" t="s">
        <v>1367</v>
      </c>
      <c r="D2548" s="1000">
        <v>0.15</v>
      </c>
      <c r="E2548" s="1069" t="s">
        <v>484</v>
      </c>
      <c r="F2548" s="1001">
        <f>LEAD!$N$13</f>
        <v>2453.91</v>
      </c>
      <c r="G2548" s="1015">
        <v>1</v>
      </c>
      <c r="H2548" s="1050" t="str">
        <f t="shared" si="601"/>
        <v>Cum</v>
      </c>
      <c r="I2548" s="1030">
        <f t="shared" si="602"/>
        <v>368.08649999999994</v>
      </c>
      <c r="J2548" s="1846"/>
      <c r="K2548" s="1846"/>
      <c r="L2548" s="1846"/>
    </row>
    <row r="2549" spans="1:64">
      <c r="A2549" s="1818"/>
      <c r="B2549" s="1818"/>
      <c r="C2549" s="1817" t="s">
        <v>1379</v>
      </c>
      <c r="D2549" s="1000">
        <v>0.28999999999999998</v>
      </c>
      <c r="E2549" s="1094" t="s">
        <v>1380</v>
      </c>
      <c r="F2549" s="1001">
        <f>'Civil-SOR'!$G$180</f>
        <v>215</v>
      </c>
      <c r="G2549" s="1000">
        <f>'Civil-SOR'!$H$314</f>
        <v>1</v>
      </c>
      <c r="H2549" s="1050" t="str">
        <f t="shared" si="601"/>
        <v>Ltrs</v>
      </c>
      <c r="I2549" s="1030">
        <f t="shared" si="602"/>
        <v>62.349999999999994</v>
      </c>
      <c r="J2549" s="1846"/>
      <c r="K2549" s="1846"/>
      <c r="L2549" s="1846"/>
    </row>
    <row r="2550" spans="1:64">
      <c r="A2550" s="1818"/>
      <c r="B2550" s="1818"/>
      <c r="C2550" s="1816" t="s">
        <v>1172</v>
      </c>
      <c r="D2550" s="1000"/>
      <c r="E2550" s="1069"/>
      <c r="F2550" s="1001"/>
      <c r="G2550" s="1015"/>
      <c r="H2550" s="1050"/>
      <c r="I2550" s="1030"/>
      <c r="J2550" s="1846"/>
      <c r="K2550" s="1846"/>
      <c r="L2550" s="1846"/>
    </row>
    <row r="2551" spans="1:64">
      <c r="A2551" s="1818"/>
      <c r="B2551" s="1818"/>
      <c r="C2551" s="1817" t="s">
        <v>1369</v>
      </c>
      <c r="D2551" s="1000">
        <v>0.6</v>
      </c>
      <c r="E2551" s="1044" t="s">
        <v>36</v>
      </c>
      <c r="F2551" s="1001">
        <f>'Civil-SOR'!$G$293</f>
        <v>580</v>
      </c>
      <c r="G2551" s="1015">
        <v>1</v>
      </c>
      <c r="H2551" s="1050" t="str">
        <f t="shared" ref="H2551:H2552" si="603">IF(E2551="","",IF(E2551="No.","Each",IF(E2551="Nos.","Each",E2551)))</f>
        <v>Each</v>
      </c>
      <c r="I2551" s="1030">
        <f t="shared" ref="I2551:I2554" si="604">IF(G2551="",D2551*F2551,(D2551*F2551/G2551))</f>
        <v>348</v>
      </c>
      <c r="J2551" s="1846"/>
      <c r="K2551" s="1846"/>
      <c r="L2551" s="1846"/>
    </row>
    <row r="2552" spans="1:64">
      <c r="A2552" s="1818"/>
      <c r="B2552" s="1818"/>
      <c r="C2552" s="1817" t="s">
        <v>1166</v>
      </c>
      <c r="D2552" s="1000">
        <v>0.96</v>
      </c>
      <c r="E2552" s="1069" t="s">
        <v>36</v>
      </c>
      <c r="F2552" s="1001">
        <f>'Civil-SOR'!$G$307</f>
        <v>520</v>
      </c>
      <c r="G2552" s="1015">
        <v>1</v>
      </c>
      <c r="H2552" s="1050" t="str">
        <f t="shared" si="603"/>
        <v>Each</v>
      </c>
      <c r="I2552" s="1030">
        <f t="shared" si="604"/>
        <v>499.2</v>
      </c>
      <c r="J2552" s="1846"/>
      <c r="K2552" s="1846"/>
      <c r="L2552" s="1846"/>
    </row>
    <row r="2553" spans="1:64">
      <c r="A2553" s="1818"/>
      <c r="B2553" s="1818"/>
      <c r="C2553" s="1817" t="str">
        <f>Input!$C$47</f>
        <v>Add for MA @ 40%</v>
      </c>
      <c r="D2553" s="1158">
        <f>Input!$D$47</f>
        <v>0.4</v>
      </c>
      <c r="E2553" s="1094"/>
      <c r="F2553" s="1001">
        <f>SUM(I2551:I2552)</f>
        <v>847.2</v>
      </c>
      <c r="G2553" s="1020"/>
      <c r="H2553" s="1057"/>
      <c r="I2553" s="1030">
        <f t="shared" si="604"/>
        <v>338.88000000000005</v>
      </c>
      <c r="J2553" s="1846"/>
      <c r="K2553" s="1846"/>
      <c r="L2553" s="1846"/>
    </row>
    <row r="2554" spans="1:64">
      <c r="A2554" s="1818"/>
      <c r="B2554" s="1818"/>
      <c r="C2554" s="1817" t="s">
        <v>1312</v>
      </c>
      <c r="D2554" s="1034">
        <v>0.01</v>
      </c>
      <c r="E2554" s="1044"/>
      <c r="F2554" s="1001">
        <f>SUM(I2547:I2553)</f>
        <v>1990.9165</v>
      </c>
      <c r="G2554" s="1015"/>
      <c r="H2554" s="1050"/>
      <c r="I2554" s="1030">
        <f t="shared" si="604"/>
        <v>19.909165000000002</v>
      </c>
      <c r="J2554" s="1846"/>
      <c r="K2554" s="1846"/>
      <c r="L2554" s="1846"/>
    </row>
    <row r="2555" spans="1:64">
      <c r="A2555" s="1086"/>
      <c r="B2555" s="1086"/>
      <c r="C2555" s="1088" t="s">
        <v>1302</v>
      </c>
      <c r="D2555" s="1180"/>
      <c r="E2555" s="1107"/>
      <c r="F2555" s="994"/>
      <c r="G2555" s="1108"/>
      <c r="H2555" s="1830"/>
      <c r="I2555" s="1826">
        <f>SUM(I2547:I2554)</f>
        <v>2010.8256650000001</v>
      </c>
      <c r="J2555" s="996"/>
      <c r="K2555" s="996"/>
      <c r="L2555" s="996"/>
      <c r="M2555" s="997"/>
      <c r="N2555" s="997"/>
      <c r="O2555" s="997"/>
      <c r="P2555" s="997"/>
      <c r="Q2555" s="997"/>
      <c r="R2555" s="997"/>
      <c r="S2555" s="997"/>
      <c r="T2555" s="997"/>
      <c r="U2555" s="997"/>
      <c r="V2555" s="997"/>
      <c r="W2555" s="997"/>
      <c r="X2555" s="997"/>
      <c r="Y2555" s="997"/>
      <c r="Z2555" s="997"/>
      <c r="AA2555" s="997"/>
      <c r="AB2555" s="997"/>
      <c r="AC2555" s="997"/>
      <c r="AD2555" s="997"/>
      <c r="AE2555" s="997"/>
      <c r="AF2555" s="997"/>
      <c r="AG2555" s="997"/>
      <c r="AH2555" s="997"/>
      <c r="AI2555" s="997"/>
      <c r="AJ2555" s="997"/>
      <c r="AK2555" s="997"/>
      <c r="AL2555" s="997"/>
      <c r="AM2555" s="997"/>
      <c r="AN2555" s="997"/>
      <c r="AO2555" s="997"/>
      <c r="AP2555" s="997"/>
      <c r="AQ2555" s="997"/>
      <c r="AR2555" s="997"/>
      <c r="AS2555" s="997"/>
      <c r="AT2555" s="997"/>
      <c r="AU2555" s="997"/>
      <c r="AV2555" s="997"/>
      <c r="AW2555" s="997"/>
      <c r="AX2555" s="997"/>
      <c r="AY2555" s="997"/>
      <c r="AZ2555" s="997"/>
      <c r="BA2555" s="997"/>
      <c r="BB2555" s="997"/>
      <c r="BC2555" s="997"/>
      <c r="BD2555" s="997"/>
      <c r="BE2555" s="997"/>
      <c r="BF2555" s="997"/>
      <c r="BG2555" s="997"/>
      <c r="BH2555" s="997"/>
      <c r="BI2555" s="997"/>
      <c r="BJ2555" s="997"/>
      <c r="BK2555" s="997"/>
      <c r="BL2555" s="997"/>
    </row>
    <row r="2556" spans="1:64">
      <c r="A2556" s="1818"/>
      <c r="B2556" s="1818"/>
      <c r="C2556" s="1817"/>
      <c r="D2556" s="1000"/>
      <c r="E2556" s="1069"/>
      <c r="F2556" s="1001"/>
      <c r="G2556" s="1015"/>
      <c r="H2556" s="1050"/>
      <c r="I2556" s="1030"/>
      <c r="J2556" s="1846"/>
      <c r="K2556" s="1846"/>
      <c r="L2556" s="1846"/>
    </row>
    <row r="2557" spans="1:64">
      <c r="A2557" s="1818"/>
      <c r="B2557" s="1818"/>
      <c r="C2557" s="1816" t="s">
        <v>1217</v>
      </c>
      <c r="D2557" s="1009" t="s">
        <v>1223</v>
      </c>
      <c r="E2557" s="1114" t="s">
        <v>1207</v>
      </c>
      <c r="F2557" s="1106" t="s">
        <v>1208</v>
      </c>
      <c r="G2557" s="1009" t="s">
        <v>1291</v>
      </c>
      <c r="H2557" s="1009" t="s">
        <v>1292</v>
      </c>
      <c r="I2557" s="1009" t="s">
        <v>1293</v>
      </c>
      <c r="J2557" s="1846"/>
      <c r="K2557" s="1846"/>
      <c r="L2557" s="1846"/>
    </row>
    <row r="2558" spans="1:64">
      <c r="A2558" s="1818"/>
      <c r="B2558" s="1818"/>
      <c r="C2558" s="1817" t="s">
        <v>1317</v>
      </c>
      <c r="D2558" s="1001">
        <f t="shared" ref="D2558:I2558" si="605">$I$2555</f>
        <v>2010.8256650000001</v>
      </c>
      <c r="E2558" s="1001">
        <f t="shared" si="605"/>
        <v>2010.8256650000001</v>
      </c>
      <c r="F2558" s="1001">
        <f t="shared" si="605"/>
        <v>2010.8256650000001</v>
      </c>
      <c r="G2558" s="1001">
        <f t="shared" si="605"/>
        <v>2010.8256650000001</v>
      </c>
      <c r="H2558" s="1001">
        <f t="shared" si="605"/>
        <v>2010.8256650000001</v>
      </c>
      <c r="I2558" s="1001">
        <f t="shared" si="605"/>
        <v>2010.8256650000001</v>
      </c>
      <c r="J2558" s="1846"/>
      <c r="K2558" s="1846"/>
      <c r="L2558" s="1846"/>
    </row>
    <row r="2559" spans="1:64">
      <c r="A2559" s="1818"/>
      <c r="B2559" s="1818"/>
      <c r="C2559" s="1817" t="s">
        <v>1253</v>
      </c>
      <c r="D2559" s="1001">
        <v>0</v>
      </c>
      <c r="E2559" s="1001">
        <f>ROUND($F$2553*10%,2)</f>
        <v>84.72</v>
      </c>
      <c r="F2559" s="1001">
        <f>ROUND($F$2553*20%,2)</f>
        <v>169.44</v>
      </c>
      <c r="G2559" s="1001">
        <f>ROUND($F$2553*30%,2)</f>
        <v>254.16</v>
      </c>
      <c r="H2559" s="1001">
        <f>ROUND($F$2553*40%,2)</f>
        <v>338.88</v>
      </c>
      <c r="I2559" s="1001">
        <f>ROUND($F$2553*50%,2)</f>
        <v>423.6</v>
      </c>
      <c r="J2559" s="1846"/>
      <c r="K2559" s="1846"/>
      <c r="L2559" s="1846"/>
    </row>
    <row r="2560" spans="1:64">
      <c r="A2560" s="1818"/>
      <c r="B2560" s="1818"/>
      <c r="C2560" s="1817" t="str">
        <f>Input!$C$47</f>
        <v>Add for MA @ 40%</v>
      </c>
      <c r="D2560" s="1001">
        <f>D2559*Input!$D$47</f>
        <v>0</v>
      </c>
      <c r="E2560" s="1001">
        <f>E2559*Input!$D$47</f>
        <v>33.887999999999998</v>
      </c>
      <c r="F2560" s="1001">
        <f>F2559*Input!$D$47</f>
        <v>67.775999999999996</v>
      </c>
      <c r="G2560" s="1001">
        <f>G2559*Input!$D$47</f>
        <v>101.664</v>
      </c>
      <c r="H2560" s="1001">
        <f>H2559*Input!$D$47</f>
        <v>135.55199999999999</v>
      </c>
      <c r="I2560" s="1001">
        <f>I2559*Input!$D$47</f>
        <v>169.44000000000003</v>
      </c>
      <c r="J2560" s="1846"/>
      <c r="K2560" s="1846"/>
      <c r="L2560" s="1846"/>
    </row>
    <row r="2561" spans="1:64">
      <c r="A2561" s="1818"/>
      <c r="B2561" s="1818"/>
      <c r="C2561" s="1846"/>
      <c r="D2561" s="1001">
        <f t="shared" ref="D2561:I2561" si="606">SUM(D2558:D2560)</f>
        <v>2010.8256650000001</v>
      </c>
      <c r="E2561" s="1001">
        <f t="shared" si="606"/>
        <v>2129.433665</v>
      </c>
      <c r="F2561" s="1001">
        <f t="shared" si="606"/>
        <v>2248.0416649999997</v>
      </c>
      <c r="G2561" s="1001">
        <f t="shared" si="606"/>
        <v>2366.6496650000004</v>
      </c>
      <c r="H2561" s="1001">
        <f t="shared" si="606"/>
        <v>2485.2576650000001</v>
      </c>
      <c r="I2561" s="1001">
        <f t="shared" si="606"/>
        <v>2603.8656650000003</v>
      </c>
      <c r="J2561" s="1846"/>
      <c r="K2561" s="1846"/>
      <c r="L2561" s="1846"/>
    </row>
    <row r="2562" spans="1:64">
      <c r="A2562" s="1818"/>
      <c r="B2562" s="1818"/>
      <c r="C2562" s="1817" t="str">
        <f>Input!$C$48</f>
        <v>Overheads &amp; Contractors Profit @ 13.615%</v>
      </c>
      <c r="D2562" s="1001">
        <f>ROUND(D2561*Input!$D$48,2)</f>
        <v>273.77</v>
      </c>
      <c r="E2562" s="1001">
        <f>ROUND(E2561*Input!$D$48,2)</f>
        <v>289.92</v>
      </c>
      <c r="F2562" s="1001">
        <f>ROUND(F2561*Input!$D$48,2)</f>
        <v>306.07</v>
      </c>
      <c r="G2562" s="1001">
        <f>ROUND(G2561*Input!$D$48,2)</f>
        <v>322.22000000000003</v>
      </c>
      <c r="H2562" s="1001">
        <f>ROUND(H2561*Input!$D$48,2)</f>
        <v>338.37</v>
      </c>
      <c r="I2562" s="1001">
        <f>ROUND(I2561*Input!$D$48,2)</f>
        <v>354.52</v>
      </c>
      <c r="J2562" s="1846"/>
      <c r="K2562" s="1846"/>
      <c r="L2562" s="1846"/>
    </row>
    <row r="2563" spans="1:64">
      <c r="A2563" s="1818"/>
      <c r="B2563" s="1818"/>
      <c r="C2563" s="1816" t="s">
        <v>1302</v>
      </c>
      <c r="D2563" s="1001">
        <f t="shared" ref="D2563:I2563" si="607">SUM(D2561:D2562)</f>
        <v>2284.5956649999998</v>
      </c>
      <c r="E2563" s="1001">
        <f t="shared" si="607"/>
        <v>2419.3536650000001</v>
      </c>
      <c r="F2563" s="1001">
        <f t="shared" si="607"/>
        <v>2554.1116649999999</v>
      </c>
      <c r="G2563" s="1001">
        <f t="shared" si="607"/>
        <v>2688.8696650000002</v>
      </c>
      <c r="H2563" s="1001">
        <f t="shared" si="607"/>
        <v>2823.627665</v>
      </c>
      <c r="I2563" s="1001">
        <f t="shared" si="607"/>
        <v>2958.3856650000002</v>
      </c>
      <c r="J2563" s="1846"/>
      <c r="K2563" s="1846"/>
      <c r="L2563" s="1846"/>
    </row>
    <row r="2564" spans="1:64">
      <c r="A2564" s="1818"/>
      <c r="B2564" s="1818"/>
      <c r="C2564" s="1816" t="s">
        <v>1117</v>
      </c>
      <c r="D2564" s="1009">
        <f t="shared" ref="D2564:I2564" si="608">D2563/10</f>
        <v>228.45956649999999</v>
      </c>
      <c r="E2564" s="1009">
        <f t="shared" si="608"/>
        <v>241.93536650000001</v>
      </c>
      <c r="F2564" s="1009">
        <f t="shared" si="608"/>
        <v>255.41116649999998</v>
      </c>
      <c r="G2564" s="1009">
        <f t="shared" si="608"/>
        <v>268.88696650000003</v>
      </c>
      <c r="H2564" s="1009">
        <f t="shared" si="608"/>
        <v>282.36276650000002</v>
      </c>
      <c r="I2564" s="1009">
        <f t="shared" si="608"/>
        <v>295.83856650000001</v>
      </c>
      <c r="J2564" s="1846"/>
      <c r="K2564" s="1846"/>
      <c r="L2564" s="1846"/>
    </row>
    <row r="2565" spans="1:64">
      <c r="A2565" s="1086"/>
      <c r="B2565" s="1086"/>
      <c r="C2565" s="1118" t="s">
        <v>1034</v>
      </c>
      <c r="D2565" s="999">
        <f t="shared" ref="D2565:I2565" si="609">ROUND(D2564,0)</f>
        <v>228</v>
      </c>
      <c r="E2565" s="999">
        <f t="shared" si="609"/>
        <v>242</v>
      </c>
      <c r="F2565" s="999">
        <f t="shared" si="609"/>
        <v>255</v>
      </c>
      <c r="G2565" s="999">
        <f t="shared" si="609"/>
        <v>269</v>
      </c>
      <c r="H2565" s="999">
        <f t="shared" si="609"/>
        <v>282</v>
      </c>
      <c r="I2565" s="999">
        <f t="shared" si="609"/>
        <v>296</v>
      </c>
      <c r="J2565" s="1846"/>
      <c r="K2565" s="1846"/>
      <c r="L2565" s="1846"/>
      <c r="M2565" s="997"/>
      <c r="N2565" s="997"/>
      <c r="O2565" s="997"/>
      <c r="P2565" s="997"/>
      <c r="Q2565" s="997"/>
      <c r="R2565" s="997"/>
      <c r="S2565" s="997"/>
      <c r="T2565" s="997"/>
      <c r="U2565" s="997"/>
      <c r="V2565" s="997"/>
      <c r="W2565" s="997"/>
      <c r="X2565" s="997"/>
      <c r="Y2565" s="997"/>
      <c r="Z2565" s="997"/>
      <c r="AA2565" s="997"/>
      <c r="AB2565" s="997"/>
      <c r="AC2565" s="997"/>
      <c r="AD2565" s="997"/>
      <c r="AE2565" s="997"/>
      <c r="AF2565" s="997"/>
      <c r="AG2565" s="997"/>
      <c r="AH2565" s="997"/>
      <c r="AI2565" s="997"/>
      <c r="AJ2565" s="997"/>
      <c r="AK2565" s="997"/>
      <c r="AL2565" s="997"/>
      <c r="AM2565" s="997"/>
      <c r="AN2565" s="997"/>
      <c r="AO2565" s="997"/>
      <c r="AP2565" s="997"/>
      <c r="AQ2565" s="997"/>
      <c r="AR2565" s="997"/>
      <c r="AS2565" s="997"/>
      <c r="AT2565" s="997"/>
      <c r="AU2565" s="997"/>
      <c r="AV2565" s="997"/>
      <c r="AW2565" s="997"/>
      <c r="AX2565" s="997"/>
      <c r="AY2565" s="997"/>
      <c r="AZ2565" s="997"/>
      <c r="BA2565" s="997"/>
      <c r="BB2565" s="997"/>
      <c r="BC2565" s="997"/>
      <c r="BD2565" s="997"/>
      <c r="BE2565" s="997"/>
      <c r="BF2565" s="997"/>
      <c r="BG2565" s="997"/>
      <c r="BH2565" s="997"/>
      <c r="BI2565" s="997"/>
      <c r="BJ2565" s="997"/>
      <c r="BK2565" s="997"/>
      <c r="BL2565" s="997"/>
    </row>
    <row r="2566" spans="1:64">
      <c r="A2566" s="1818"/>
      <c r="B2566" s="1818"/>
      <c r="C2566" s="1816"/>
      <c r="D2566" s="1170"/>
      <c r="E2566" s="1114"/>
      <c r="F2566" s="1114"/>
      <c r="G2566" s="1114"/>
      <c r="H2566" s="1114"/>
      <c r="I2566" s="1011"/>
      <c r="J2566" s="1846"/>
      <c r="K2566" s="1846"/>
      <c r="L2566" s="1846"/>
    </row>
    <row r="2567" spans="1:64">
      <c r="A2567" s="1818"/>
      <c r="B2567" s="1818"/>
      <c r="C2567" s="1816" t="s">
        <v>1217</v>
      </c>
      <c r="D2567" s="1009" t="s">
        <v>1357</v>
      </c>
      <c r="E2567" s="1009" t="s">
        <v>1358</v>
      </c>
      <c r="F2567" s="1009" t="s">
        <v>1359</v>
      </c>
      <c r="G2567" s="1114"/>
      <c r="H2567" s="1114"/>
      <c r="I2567" s="1011"/>
      <c r="J2567" s="1846"/>
      <c r="K2567" s="1846"/>
      <c r="L2567" s="1846"/>
    </row>
    <row r="2568" spans="1:64">
      <c r="A2568" s="1818"/>
      <c r="B2568" s="1818"/>
      <c r="C2568" s="1817" t="s">
        <v>1317</v>
      </c>
      <c r="D2568" s="1001">
        <f>$I$2555</f>
        <v>2010.8256650000001</v>
      </c>
      <c r="E2568" s="1001">
        <f>$I$2555</f>
        <v>2010.8256650000001</v>
      </c>
      <c r="F2568" s="1001">
        <f>$I$2555</f>
        <v>2010.8256650000001</v>
      </c>
      <c r="G2568" s="1114"/>
      <c r="H2568" s="1114"/>
      <c r="I2568" s="1011"/>
      <c r="J2568" s="1846"/>
      <c r="K2568" s="1846"/>
      <c r="L2568" s="1846"/>
    </row>
    <row r="2569" spans="1:64">
      <c r="A2569" s="1818"/>
      <c r="B2569" s="1818"/>
      <c r="C2569" s="1817" t="s">
        <v>1253</v>
      </c>
      <c r="D2569" s="1001">
        <f>ROUND($F$2553*60%,2)</f>
        <v>508.32</v>
      </c>
      <c r="E2569" s="1001">
        <f>ROUND($F$2553*70%,2)</f>
        <v>593.04</v>
      </c>
      <c r="F2569" s="1001">
        <f>ROUND($F$2553*80%,2)</f>
        <v>677.76</v>
      </c>
      <c r="G2569" s="1114"/>
      <c r="H2569" s="1114"/>
      <c r="I2569" s="1011"/>
      <c r="J2569" s="1846"/>
      <c r="K2569" s="1846"/>
      <c r="L2569" s="1846"/>
    </row>
    <row r="2570" spans="1:64">
      <c r="A2570" s="1818"/>
      <c r="B2570" s="1818"/>
      <c r="C2570" s="1817" t="str">
        <f>Input!$C$47</f>
        <v>Add for MA @ 40%</v>
      </c>
      <c r="D2570" s="1001">
        <f>D2569*Input!$D$47</f>
        <v>203.328</v>
      </c>
      <c r="E2570" s="1001">
        <f>E2569*Input!$D$47</f>
        <v>237.21600000000001</v>
      </c>
      <c r="F2570" s="1001">
        <f>F2569*Input!$D$47</f>
        <v>271.10399999999998</v>
      </c>
      <c r="G2570" s="1114"/>
      <c r="H2570" s="1114"/>
      <c r="I2570" s="1011"/>
      <c r="J2570" s="1846"/>
      <c r="K2570" s="1846"/>
      <c r="L2570" s="1846"/>
    </row>
    <row r="2571" spans="1:64">
      <c r="A2571" s="1818"/>
      <c r="B2571" s="1818"/>
      <c r="C2571" s="1022"/>
      <c r="D2571" s="1001">
        <f>SUM(D2568:D2570)</f>
        <v>2722.473665</v>
      </c>
      <c r="E2571" s="1001">
        <f>SUM(E2568:E2570)</f>
        <v>2841.0816650000002</v>
      </c>
      <c r="F2571" s="1001">
        <f>SUM(F2568:F2570)</f>
        <v>2959.6896649999999</v>
      </c>
      <c r="G2571" s="1114"/>
      <c r="H2571" s="1114"/>
      <c r="I2571" s="1011"/>
      <c r="J2571" s="1846"/>
      <c r="K2571" s="1846"/>
      <c r="L2571" s="1846"/>
    </row>
    <row r="2572" spans="1:64">
      <c r="A2572" s="1818"/>
      <c r="B2572" s="1818"/>
      <c r="C2572" s="1817" t="str">
        <f>Input!$C$48</f>
        <v>Overheads &amp; Contractors Profit @ 13.615%</v>
      </c>
      <c r="D2572" s="1001">
        <f>ROUND(D2571*Input!$D$48,2)</f>
        <v>370.66</v>
      </c>
      <c r="E2572" s="1001">
        <f>ROUND(E2571*Input!$D$48,2)</f>
        <v>386.81</v>
      </c>
      <c r="F2572" s="1001">
        <f>ROUND(F2571*Input!$D$48,2)</f>
        <v>402.96</v>
      </c>
      <c r="G2572" s="1114"/>
      <c r="H2572" s="1114"/>
      <c r="I2572" s="1011"/>
      <c r="J2572" s="1846"/>
      <c r="K2572" s="1846"/>
      <c r="L2572" s="1846"/>
    </row>
    <row r="2573" spans="1:64">
      <c r="A2573" s="1818"/>
      <c r="B2573" s="1818"/>
      <c r="C2573" s="1816" t="s">
        <v>1302</v>
      </c>
      <c r="D2573" s="1001">
        <f>SUM(D2571:D2572)</f>
        <v>3093.1336649999998</v>
      </c>
      <c r="E2573" s="1001">
        <f>SUM(E2571:E2572)</f>
        <v>3227.8916650000001</v>
      </c>
      <c r="F2573" s="1001">
        <f>SUM(F2571:F2572)</f>
        <v>3362.6496649999999</v>
      </c>
      <c r="G2573" s="1114"/>
      <c r="H2573" s="1114"/>
      <c r="I2573" s="1011"/>
      <c r="J2573" s="1846"/>
      <c r="K2573" s="1846"/>
      <c r="L2573" s="1846"/>
    </row>
    <row r="2574" spans="1:64">
      <c r="A2574" s="1818"/>
      <c r="B2574" s="1818"/>
      <c r="C2574" s="1816" t="s">
        <v>1117</v>
      </c>
      <c r="D2574" s="1009">
        <f>D2573/10</f>
        <v>309.31336649999997</v>
      </c>
      <c r="E2574" s="1009">
        <f>E2573/10</f>
        <v>322.78916650000002</v>
      </c>
      <c r="F2574" s="1009">
        <f>F2573/10</f>
        <v>336.26496650000001</v>
      </c>
      <c r="G2574" s="1114"/>
      <c r="H2574" s="1114"/>
      <c r="I2574" s="1011"/>
      <c r="J2574" s="1846"/>
      <c r="K2574" s="1846"/>
      <c r="L2574" s="1846"/>
    </row>
    <row r="2575" spans="1:64">
      <c r="A2575" s="1818"/>
      <c r="B2575" s="1818"/>
      <c r="C2575" s="1843" t="s">
        <v>1034</v>
      </c>
      <c r="D2575" s="999">
        <f>ROUND(D2574,0)</f>
        <v>309</v>
      </c>
      <c r="E2575" s="999">
        <f>ROUND(E2574,0)</f>
        <v>323</v>
      </c>
      <c r="F2575" s="999">
        <f>ROUND(F2574,0)</f>
        <v>336</v>
      </c>
      <c r="G2575" s="1114"/>
      <c r="H2575" s="1114"/>
      <c r="I2575" s="1011"/>
      <c r="J2575" s="1846"/>
      <c r="K2575" s="1846"/>
      <c r="L2575" s="1846"/>
    </row>
    <row r="2576" spans="1:64">
      <c r="A2576" s="1818"/>
      <c r="B2576" s="1818"/>
      <c r="C2576" s="1816"/>
      <c r="D2576" s="1170"/>
      <c r="E2576" s="1114"/>
      <c r="F2576" s="1114"/>
      <c r="G2576" s="1114"/>
      <c r="H2576" s="1114"/>
      <c r="I2576" s="1011"/>
      <c r="J2576" s="1846"/>
      <c r="K2576" s="1846"/>
      <c r="L2576" s="1846"/>
    </row>
    <row r="2577" spans="1:64" ht="84.4" customHeight="1">
      <c r="A2577" s="1818">
        <f>A2544+1</f>
        <v>32</v>
      </c>
      <c r="B2577" s="1818"/>
      <c r="C2577" s="2036" t="s">
        <v>3419</v>
      </c>
      <c r="D2577" s="2036"/>
      <c r="E2577" s="2036"/>
      <c r="F2577" s="2036"/>
      <c r="G2577" s="2036"/>
      <c r="H2577" s="2036"/>
      <c r="I2577" s="1825"/>
      <c r="J2577" s="1846"/>
      <c r="K2577" s="1846"/>
      <c r="L2577" s="1846"/>
    </row>
    <row r="2578" spans="1:64">
      <c r="A2578" s="1818"/>
      <c r="B2578" s="1818"/>
      <c r="C2578" s="1049" t="s">
        <v>1382</v>
      </c>
      <c r="D2578" s="1846"/>
      <c r="E2578" s="1846"/>
      <c r="F2578" s="1068"/>
      <c r="G2578" s="1846"/>
      <c r="H2578" s="1846"/>
      <c r="I2578" s="1021"/>
      <c r="J2578" s="1846"/>
      <c r="K2578" s="1846"/>
      <c r="L2578" s="1846"/>
    </row>
    <row r="2579" spans="1:64">
      <c r="A2579" s="1818"/>
      <c r="B2579" s="1818"/>
      <c r="C2579" s="1846" t="s">
        <v>1364</v>
      </c>
      <c r="D2579" s="1846"/>
      <c r="E2579" s="1846"/>
      <c r="F2579" s="1068"/>
      <c r="G2579" s="1846"/>
      <c r="H2579" s="1846"/>
      <c r="I2579" s="1021"/>
      <c r="J2579" s="1846"/>
      <c r="K2579" s="1846"/>
      <c r="L2579" s="1846"/>
    </row>
    <row r="2580" spans="1:64">
      <c r="A2580" s="1818"/>
      <c r="B2580" s="1818"/>
      <c r="C2580" s="1825" t="s">
        <v>1383</v>
      </c>
      <c r="D2580" s="1846"/>
      <c r="E2580" s="1846"/>
      <c r="F2580" s="1068"/>
      <c r="G2580" s="1846"/>
      <c r="H2580" s="1846"/>
      <c r="I2580" s="1021"/>
      <c r="J2580" s="1846"/>
      <c r="K2580" s="1846"/>
      <c r="L2580" s="1846"/>
    </row>
    <row r="2581" spans="1:64">
      <c r="A2581" s="1058"/>
      <c r="B2581" s="1058"/>
      <c r="C2581" s="1817" t="s">
        <v>1384</v>
      </c>
      <c r="D2581" s="1139">
        <v>13.3</v>
      </c>
      <c r="E2581" s="1112" t="s">
        <v>94</v>
      </c>
      <c r="F2581" s="1062">
        <f>'Civil-SOR'!$G$45</f>
        <v>22</v>
      </c>
      <c r="G2581" s="1081">
        <v>1</v>
      </c>
      <c r="H2581" s="1140" t="str">
        <f t="shared" ref="H2581:H2583" si="610">IF(E2581="","",IF(E2581="No.","Each",IF(E2581="Nos.","Each",E2581)))</f>
        <v>sqm</v>
      </c>
      <c r="I2581" s="1062">
        <f t="shared" ref="I2581:I2585" si="611">IF(G2581="",D2581*F2581,(D2581*F2581/G2581))</f>
        <v>292.60000000000002</v>
      </c>
      <c r="J2581" s="1022"/>
      <c r="K2581" s="1022"/>
      <c r="L2581" s="1022"/>
      <c r="M2581" s="1066"/>
      <c r="N2581" s="1066"/>
      <c r="O2581" s="1066"/>
      <c r="P2581" s="1066"/>
      <c r="Q2581" s="1066"/>
      <c r="R2581" s="1066"/>
      <c r="S2581" s="1066"/>
      <c r="T2581" s="1066"/>
      <c r="U2581" s="1066"/>
      <c r="V2581" s="1066"/>
      <c r="W2581" s="1066"/>
      <c r="X2581" s="1066"/>
      <c r="Y2581" s="1066"/>
      <c r="Z2581" s="1066"/>
      <c r="AA2581" s="1066"/>
      <c r="AB2581" s="1066"/>
      <c r="AC2581" s="1066"/>
      <c r="AD2581" s="1066"/>
      <c r="AE2581" s="1066"/>
      <c r="AF2581" s="1066"/>
      <c r="AG2581" s="1066"/>
      <c r="AH2581" s="1066"/>
      <c r="AI2581" s="1066"/>
      <c r="AJ2581" s="1066"/>
      <c r="AK2581" s="1066"/>
      <c r="AL2581" s="1066"/>
      <c r="AM2581" s="1066"/>
      <c r="AN2581" s="1066"/>
      <c r="AO2581" s="1066"/>
      <c r="AP2581" s="1066"/>
      <c r="AQ2581" s="1066"/>
      <c r="AR2581" s="1066"/>
      <c r="AS2581" s="1066"/>
      <c r="AT2581" s="1066"/>
      <c r="AU2581" s="1066"/>
      <c r="AV2581" s="1066"/>
      <c r="AW2581" s="1066"/>
      <c r="AX2581" s="1066"/>
      <c r="AY2581" s="1066"/>
      <c r="AZ2581" s="1066"/>
      <c r="BA2581" s="1066"/>
      <c r="BB2581" s="1066"/>
      <c r="BC2581" s="1066"/>
      <c r="BD2581" s="1066"/>
      <c r="BE2581" s="1066"/>
      <c r="BF2581" s="1066"/>
      <c r="BG2581" s="1066"/>
      <c r="BH2581" s="1066"/>
      <c r="BI2581" s="1066"/>
      <c r="BJ2581" s="1066"/>
      <c r="BK2581" s="1066"/>
      <c r="BL2581" s="1066"/>
    </row>
    <row r="2582" spans="1:64">
      <c r="A2582" s="1058"/>
      <c r="B2582" s="1058"/>
      <c r="C2582" s="1817" t="s">
        <v>1385</v>
      </c>
      <c r="D2582" s="1139">
        <v>120</v>
      </c>
      <c r="E2582" s="1178" t="s">
        <v>1110</v>
      </c>
      <c r="F2582" s="1062">
        <f>LEAD!$N$6</f>
        <v>5200</v>
      </c>
      <c r="G2582" s="1081">
        <v>1000</v>
      </c>
      <c r="H2582" s="1140" t="str">
        <f t="shared" si="610"/>
        <v>Kgs</v>
      </c>
      <c r="I2582" s="1062">
        <f t="shared" si="611"/>
        <v>624</v>
      </c>
      <c r="J2582" s="1022"/>
      <c r="K2582" s="1022"/>
      <c r="L2582" s="1022"/>
      <c r="M2582" s="1066"/>
      <c r="N2582" s="1066"/>
      <c r="O2582" s="1066"/>
      <c r="P2582" s="1066"/>
      <c r="Q2582" s="1066"/>
      <c r="R2582" s="1066"/>
      <c r="S2582" s="1066"/>
      <c r="T2582" s="1066"/>
      <c r="U2582" s="1066"/>
      <c r="V2582" s="1066"/>
      <c r="W2582" s="1066"/>
      <c r="X2582" s="1066"/>
      <c r="Y2582" s="1066"/>
      <c r="Z2582" s="1066"/>
      <c r="AA2582" s="1066"/>
      <c r="AB2582" s="1066"/>
      <c r="AC2582" s="1066"/>
      <c r="AD2582" s="1066"/>
      <c r="AE2582" s="1066"/>
      <c r="AF2582" s="1066"/>
      <c r="AG2582" s="1066"/>
      <c r="AH2582" s="1066"/>
      <c r="AI2582" s="1066"/>
      <c r="AJ2582" s="1066"/>
      <c r="AK2582" s="1066"/>
      <c r="AL2582" s="1066"/>
      <c r="AM2582" s="1066"/>
      <c r="AN2582" s="1066"/>
      <c r="AO2582" s="1066"/>
      <c r="AP2582" s="1066"/>
      <c r="AQ2582" s="1066"/>
      <c r="AR2582" s="1066"/>
      <c r="AS2582" s="1066"/>
      <c r="AT2582" s="1066"/>
      <c r="AU2582" s="1066"/>
      <c r="AV2582" s="1066"/>
      <c r="AW2582" s="1066"/>
      <c r="AX2582" s="1066"/>
      <c r="AY2582" s="1066"/>
      <c r="AZ2582" s="1066"/>
      <c r="BA2582" s="1066"/>
      <c r="BB2582" s="1066"/>
      <c r="BC2582" s="1066"/>
      <c r="BD2582" s="1066"/>
      <c r="BE2582" s="1066"/>
      <c r="BF2582" s="1066"/>
      <c r="BG2582" s="1066"/>
      <c r="BH2582" s="1066"/>
      <c r="BI2582" s="1066"/>
      <c r="BJ2582" s="1066"/>
      <c r="BK2582" s="1066"/>
      <c r="BL2582" s="1066"/>
    </row>
    <row r="2583" spans="1:64">
      <c r="A2583" s="1058"/>
      <c r="B2583" s="1058"/>
      <c r="C2583" s="1817" t="s">
        <v>1386</v>
      </c>
      <c r="D2583" s="1139">
        <v>50</v>
      </c>
      <c r="E2583" s="1178" t="s">
        <v>1110</v>
      </c>
      <c r="F2583" s="1062">
        <f>LEAD!$N$6</f>
        <v>5200</v>
      </c>
      <c r="G2583" s="1081">
        <v>1000</v>
      </c>
      <c r="H2583" s="1140" t="str">
        <f t="shared" si="610"/>
        <v>Kgs</v>
      </c>
      <c r="I2583" s="1062">
        <f t="shared" si="611"/>
        <v>260</v>
      </c>
      <c r="J2583" s="1022"/>
      <c r="K2583" s="1022"/>
      <c r="L2583" s="1022"/>
      <c r="M2583" s="1066"/>
      <c r="N2583" s="1066"/>
      <c r="O2583" s="1066"/>
      <c r="P2583" s="1066"/>
      <c r="Q2583" s="1066"/>
      <c r="R2583" s="1066"/>
      <c r="S2583" s="1066"/>
      <c r="T2583" s="1066"/>
      <c r="U2583" s="1066"/>
      <c r="V2583" s="1066"/>
      <c r="W2583" s="1066"/>
      <c r="X2583" s="1066"/>
      <c r="Y2583" s="1066"/>
      <c r="Z2583" s="1066"/>
      <c r="AA2583" s="1066"/>
      <c r="AB2583" s="1066"/>
      <c r="AC2583" s="1066"/>
      <c r="AD2583" s="1066"/>
      <c r="AE2583" s="1066"/>
      <c r="AF2583" s="1066"/>
      <c r="AG2583" s="1066"/>
      <c r="AH2583" s="1066"/>
      <c r="AI2583" s="1066"/>
      <c r="AJ2583" s="1066"/>
      <c r="AK2583" s="1066"/>
      <c r="AL2583" s="1066"/>
      <c r="AM2583" s="1066"/>
      <c r="AN2583" s="1066"/>
      <c r="AO2583" s="1066"/>
      <c r="AP2583" s="1066"/>
      <c r="AQ2583" s="1066"/>
      <c r="AR2583" s="1066"/>
      <c r="AS2583" s="1066"/>
      <c r="AT2583" s="1066"/>
      <c r="AU2583" s="1066"/>
      <c r="AV2583" s="1066"/>
      <c r="AW2583" s="1066"/>
      <c r="AX2583" s="1066"/>
      <c r="AY2583" s="1066"/>
      <c r="AZ2583" s="1066"/>
      <c r="BA2583" s="1066"/>
      <c r="BB2583" s="1066"/>
      <c r="BC2583" s="1066"/>
      <c r="BD2583" s="1066"/>
      <c r="BE2583" s="1066"/>
      <c r="BF2583" s="1066"/>
      <c r="BG2583" s="1066"/>
      <c r="BH2583" s="1066"/>
      <c r="BI2583" s="1066"/>
      <c r="BJ2583" s="1066"/>
      <c r="BK2583" s="1066"/>
      <c r="BL2583" s="1066"/>
    </row>
    <row r="2584" spans="1:64">
      <c r="A2584" s="1058"/>
      <c r="B2584" s="1058"/>
      <c r="C2584" s="1817" t="s">
        <v>1367</v>
      </c>
      <c r="D2584" s="1139">
        <v>0.25</v>
      </c>
      <c r="E2584" s="1112" t="s">
        <v>1315</v>
      </c>
      <c r="F2584" s="1062">
        <f>LEAD!$N$13</f>
        <v>2453.91</v>
      </c>
      <c r="G2584" s="1081">
        <v>1</v>
      </c>
      <c r="H2584" s="1112" t="s">
        <v>1315</v>
      </c>
      <c r="I2584" s="1062">
        <f t="shared" si="611"/>
        <v>613.47749999999996</v>
      </c>
      <c r="J2584" s="1022"/>
      <c r="K2584" s="1022"/>
      <c r="L2584" s="1022"/>
      <c r="M2584" s="1066"/>
      <c r="N2584" s="1066"/>
      <c r="O2584" s="1066"/>
      <c r="P2584" s="1066"/>
      <c r="Q2584" s="1066"/>
      <c r="R2584" s="1066"/>
      <c r="S2584" s="1066"/>
      <c r="T2584" s="1066"/>
      <c r="U2584" s="1066"/>
      <c r="V2584" s="1066"/>
      <c r="W2584" s="1066"/>
      <c r="X2584" s="1066"/>
      <c r="Y2584" s="1066"/>
      <c r="Z2584" s="1066"/>
      <c r="AA2584" s="1066"/>
      <c r="AB2584" s="1066"/>
      <c r="AC2584" s="1066"/>
      <c r="AD2584" s="1066"/>
      <c r="AE2584" s="1066"/>
      <c r="AF2584" s="1066"/>
      <c r="AG2584" s="1066"/>
      <c r="AH2584" s="1066"/>
      <c r="AI2584" s="1066"/>
      <c r="AJ2584" s="1066"/>
      <c r="AK2584" s="1066"/>
      <c r="AL2584" s="1066"/>
      <c r="AM2584" s="1066"/>
      <c r="AN2584" s="1066"/>
      <c r="AO2584" s="1066"/>
      <c r="AP2584" s="1066"/>
      <c r="AQ2584" s="1066"/>
      <c r="AR2584" s="1066"/>
      <c r="AS2584" s="1066"/>
      <c r="AT2584" s="1066"/>
      <c r="AU2584" s="1066"/>
      <c r="AV2584" s="1066"/>
      <c r="AW2584" s="1066"/>
      <c r="AX2584" s="1066"/>
      <c r="AY2584" s="1066"/>
      <c r="AZ2584" s="1066"/>
      <c r="BA2584" s="1066"/>
      <c r="BB2584" s="1066"/>
      <c r="BC2584" s="1066"/>
      <c r="BD2584" s="1066"/>
      <c r="BE2584" s="1066"/>
      <c r="BF2584" s="1066"/>
      <c r="BG2584" s="1066"/>
      <c r="BH2584" s="1066"/>
      <c r="BI2584" s="1066"/>
      <c r="BJ2584" s="1066"/>
      <c r="BK2584" s="1066"/>
      <c r="BL2584" s="1066"/>
    </row>
    <row r="2585" spans="1:64" ht="25.5">
      <c r="A2585" s="1058"/>
      <c r="B2585" s="1058"/>
      <c r="C2585" s="1816" t="s">
        <v>1387</v>
      </c>
      <c r="D2585" s="1139">
        <v>21.8</v>
      </c>
      <c r="E2585" s="1112" t="s">
        <v>94</v>
      </c>
      <c r="F2585" s="1062">
        <f>I2384</f>
        <v>511.35</v>
      </c>
      <c r="G2585" s="1081">
        <v>1</v>
      </c>
      <c r="H2585" s="1112" t="s">
        <v>94</v>
      </c>
      <c r="I2585" s="1062">
        <f t="shared" si="611"/>
        <v>11147.43</v>
      </c>
      <c r="J2585" s="1022"/>
      <c r="K2585" s="1022"/>
      <c r="L2585" s="1022"/>
      <c r="M2585" s="1066"/>
      <c r="N2585" s="1066"/>
      <c r="O2585" s="1066"/>
      <c r="P2585" s="1066"/>
      <c r="Q2585" s="1066"/>
      <c r="R2585" s="1066"/>
      <c r="S2585" s="1066"/>
      <c r="T2585" s="1066"/>
      <c r="U2585" s="1066"/>
      <c r="V2585" s="1066"/>
      <c r="W2585" s="1066"/>
      <c r="X2585" s="1066"/>
      <c r="Y2585" s="1066"/>
      <c r="Z2585" s="1066"/>
      <c r="AA2585" s="1066"/>
      <c r="AB2585" s="1066"/>
      <c r="AC2585" s="1066"/>
      <c r="AD2585" s="1066"/>
      <c r="AE2585" s="1066"/>
      <c r="AF2585" s="1066"/>
      <c r="AG2585" s="1066"/>
      <c r="AH2585" s="1066"/>
      <c r="AI2585" s="1066"/>
      <c r="AJ2585" s="1066"/>
      <c r="AK2585" s="1066"/>
      <c r="AL2585" s="1066"/>
      <c r="AM2585" s="1066"/>
      <c r="AN2585" s="1066"/>
      <c r="AO2585" s="1066"/>
      <c r="AP2585" s="1066"/>
      <c r="AQ2585" s="1066"/>
      <c r="AR2585" s="1066"/>
      <c r="AS2585" s="1066"/>
      <c r="AT2585" s="1066"/>
      <c r="AU2585" s="1066"/>
      <c r="AV2585" s="1066"/>
      <c r="AW2585" s="1066"/>
      <c r="AX2585" s="1066"/>
      <c r="AY2585" s="1066"/>
      <c r="AZ2585" s="1066"/>
      <c r="BA2585" s="1066"/>
      <c r="BB2585" s="1066"/>
      <c r="BC2585" s="1066"/>
      <c r="BD2585" s="1066"/>
      <c r="BE2585" s="1066"/>
      <c r="BF2585" s="1066"/>
      <c r="BG2585" s="1066"/>
      <c r="BH2585" s="1066"/>
      <c r="BI2585" s="1066"/>
      <c r="BJ2585" s="1066"/>
      <c r="BK2585" s="1066"/>
      <c r="BL2585" s="1066"/>
    </row>
    <row r="2586" spans="1:64" ht="25.5">
      <c r="A2586" s="1058"/>
      <c r="B2586" s="1058"/>
      <c r="C2586" s="1817" t="s">
        <v>1388</v>
      </c>
      <c r="D2586" s="1022"/>
      <c r="E2586" s="1022"/>
      <c r="F2586" s="1847"/>
      <c r="G2586" s="1022"/>
      <c r="H2586" s="1022"/>
      <c r="I2586" s="1848"/>
      <c r="J2586" s="1022"/>
      <c r="K2586" s="1022"/>
      <c r="L2586" s="1022"/>
      <c r="M2586" s="1066"/>
      <c r="N2586" s="1066"/>
      <c r="O2586" s="1066"/>
      <c r="P2586" s="1066"/>
      <c r="Q2586" s="1066"/>
      <c r="R2586" s="1066"/>
      <c r="S2586" s="1066"/>
      <c r="T2586" s="1066"/>
      <c r="U2586" s="1066"/>
      <c r="V2586" s="1066"/>
      <c r="W2586" s="1066"/>
      <c r="X2586" s="1066"/>
      <c r="Y2586" s="1066"/>
      <c r="Z2586" s="1066"/>
      <c r="AA2586" s="1066"/>
      <c r="AB2586" s="1066"/>
      <c r="AC2586" s="1066"/>
      <c r="AD2586" s="1066"/>
      <c r="AE2586" s="1066"/>
      <c r="AF2586" s="1066"/>
      <c r="AG2586" s="1066"/>
      <c r="AH2586" s="1066"/>
      <c r="AI2586" s="1066"/>
      <c r="AJ2586" s="1066"/>
      <c r="AK2586" s="1066"/>
      <c r="AL2586" s="1066"/>
      <c r="AM2586" s="1066"/>
      <c r="AN2586" s="1066"/>
      <c r="AO2586" s="1066"/>
      <c r="AP2586" s="1066"/>
      <c r="AQ2586" s="1066"/>
      <c r="AR2586" s="1066"/>
      <c r="AS2586" s="1066"/>
      <c r="AT2586" s="1066"/>
      <c r="AU2586" s="1066"/>
      <c r="AV2586" s="1066"/>
      <c r="AW2586" s="1066"/>
      <c r="AX2586" s="1066"/>
      <c r="AY2586" s="1066"/>
      <c r="AZ2586" s="1066"/>
      <c r="BA2586" s="1066"/>
      <c r="BB2586" s="1066"/>
      <c r="BC2586" s="1066"/>
      <c r="BD2586" s="1066"/>
      <c r="BE2586" s="1066"/>
      <c r="BF2586" s="1066"/>
      <c r="BG2586" s="1066"/>
      <c r="BH2586" s="1066"/>
      <c r="BI2586" s="1066"/>
      <c r="BJ2586" s="1066"/>
      <c r="BK2586" s="1066"/>
      <c r="BL2586" s="1066"/>
    </row>
    <row r="2587" spans="1:64">
      <c r="A2587" s="1058"/>
      <c r="B2587" s="1058"/>
      <c r="C2587" s="1816" t="s">
        <v>1389</v>
      </c>
      <c r="D2587" s="1022"/>
      <c r="E2587" s="1022"/>
      <c r="F2587" s="1847"/>
      <c r="G2587" s="1022"/>
      <c r="H2587" s="1022"/>
      <c r="I2587" s="1848"/>
      <c r="J2587" s="1022"/>
      <c r="K2587" s="1022"/>
      <c r="L2587" s="1022"/>
      <c r="M2587" s="1066"/>
      <c r="N2587" s="1066"/>
      <c r="O2587" s="1066"/>
      <c r="P2587" s="1066"/>
      <c r="Q2587" s="1066"/>
      <c r="R2587" s="1066"/>
      <c r="S2587" s="1066"/>
      <c r="T2587" s="1066"/>
      <c r="U2587" s="1066"/>
      <c r="V2587" s="1066"/>
      <c r="W2587" s="1066"/>
      <c r="X2587" s="1066"/>
      <c r="Y2587" s="1066"/>
      <c r="Z2587" s="1066"/>
      <c r="AA2587" s="1066"/>
      <c r="AB2587" s="1066"/>
      <c r="AC2587" s="1066"/>
      <c r="AD2587" s="1066"/>
      <c r="AE2587" s="1066"/>
      <c r="AF2587" s="1066"/>
      <c r="AG2587" s="1066"/>
      <c r="AH2587" s="1066"/>
      <c r="AI2587" s="1066"/>
      <c r="AJ2587" s="1066"/>
      <c r="AK2587" s="1066"/>
      <c r="AL2587" s="1066"/>
      <c r="AM2587" s="1066"/>
      <c r="AN2587" s="1066"/>
      <c r="AO2587" s="1066"/>
      <c r="AP2587" s="1066"/>
      <c r="AQ2587" s="1066"/>
      <c r="AR2587" s="1066"/>
      <c r="AS2587" s="1066"/>
      <c r="AT2587" s="1066"/>
      <c r="AU2587" s="1066"/>
      <c r="AV2587" s="1066"/>
      <c r="AW2587" s="1066"/>
      <c r="AX2587" s="1066"/>
      <c r="AY2587" s="1066"/>
      <c r="AZ2587" s="1066"/>
      <c r="BA2587" s="1066"/>
      <c r="BB2587" s="1066"/>
      <c r="BC2587" s="1066"/>
      <c r="BD2587" s="1066"/>
      <c r="BE2587" s="1066"/>
      <c r="BF2587" s="1066"/>
      <c r="BG2587" s="1066"/>
      <c r="BH2587" s="1066"/>
      <c r="BI2587" s="1066"/>
      <c r="BJ2587" s="1066"/>
      <c r="BK2587" s="1066"/>
      <c r="BL2587" s="1066"/>
    </row>
    <row r="2588" spans="1:64">
      <c r="A2588" s="1058"/>
      <c r="B2588" s="1058"/>
      <c r="C2588" s="1817" t="s">
        <v>1369</v>
      </c>
      <c r="D2588" s="1139">
        <v>8</v>
      </c>
      <c r="E2588" s="1061" t="s">
        <v>36</v>
      </c>
      <c r="F2588" s="1062">
        <f>'Civil-SOR'!$G$293</f>
        <v>580</v>
      </c>
      <c r="G2588" s="1081">
        <v>1</v>
      </c>
      <c r="H2588" s="1140" t="str">
        <f t="shared" ref="H2588:H2590" si="612">IF(E2588="","",IF(E2588="No.","Each",IF(E2588="Nos.","Each",E2588)))</f>
        <v>Each</v>
      </c>
      <c r="I2588" s="1062">
        <f t="shared" ref="I2588:I2591" si="613">IF(G2588="",D2588*F2588,(D2588*F2588/G2588))</f>
        <v>4640</v>
      </c>
      <c r="J2588" s="1022"/>
      <c r="K2588" s="1022"/>
      <c r="L2588" s="1022"/>
      <c r="M2588" s="1066"/>
      <c r="N2588" s="1066"/>
      <c r="O2588" s="1066"/>
      <c r="P2588" s="1066"/>
      <c r="Q2588" s="1066"/>
      <c r="R2588" s="1066"/>
      <c r="S2588" s="1066"/>
      <c r="T2588" s="1066"/>
      <c r="U2588" s="1066"/>
      <c r="V2588" s="1066"/>
      <c r="W2588" s="1066"/>
      <c r="X2588" s="1066"/>
      <c r="Y2588" s="1066"/>
      <c r="Z2588" s="1066"/>
      <c r="AA2588" s="1066"/>
      <c r="AB2588" s="1066"/>
      <c r="AC2588" s="1066"/>
      <c r="AD2588" s="1066"/>
      <c r="AE2588" s="1066"/>
      <c r="AF2588" s="1066"/>
      <c r="AG2588" s="1066"/>
      <c r="AH2588" s="1066"/>
      <c r="AI2588" s="1066"/>
      <c r="AJ2588" s="1066"/>
      <c r="AK2588" s="1066"/>
      <c r="AL2588" s="1066"/>
      <c r="AM2588" s="1066"/>
      <c r="AN2588" s="1066"/>
      <c r="AO2588" s="1066"/>
      <c r="AP2588" s="1066"/>
      <c r="AQ2588" s="1066"/>
      <c r="AR2588" s="1066"/>
      <c r="AS2588" s="1066"/>
      <c r="AT2588" s="1066"/>
      <c r="AU2588" s="1066"/>
      <c r="AV2588" s="1066"/>
      <c r="AW2588" s="1066"/>
      <c r="AX2588" s="1066"/>
      <c r="AY2588" s="1066"/>
      <c r="AZ2588" s="1066"/>
      <c r="BA2588" s="1066"/>
      <c r="BB2588" s="1066"/>
      <c r="BC2588" s="1066"/>
      <c r="BD2588" s="1066"/>
      <c r="BE2588" s="1066"/>
      <c r="BF2588" s="1066"/>
      <c r="BG2588" s="1066"/>
      <c r="BH2588" s="1066"/>
      <c r="BI2588" s="1066"/>
      <c r="BJ2588" s="1066"/>
      <c r="BK2588" s="1066"/>
      <c r="BL2588" s="1066"/>
    </row>
    <row r="2589" spans="1:64">
      <c r="A2589" s="1058"/>
      <c r="B2589" s="1058"/>
      <c r="C2589" s="1817" t="s">
        <v>519</v>
      </c>
      <c r="D2589" s="1139">
        <v>1</v>
      </c>
      <c r="E2589" s="1061" t="s">
        <v>36</v>
      </c>
      <c r="F2589" s="1062">
        <f>'Civil-SOR'!$G$294</f>
        <v>615</v>
      </c>
      <c r="G2589" s="1081">
        <v>1</v>
      </c>
      <c r="H2589" s="1140" t="str">
        <f t="shared" si="612"/>
        <v>Each</v>
      </c>
      <c r="I2589" s="1062">
        <f t="shared" si="613"/>
        <v>615</v>
      </c>
      <c r="J2589" s="1022"/>
      <c r="K2589" s="1022"/>
      <c r="L2589" s="1022"/>
      <c r="M2589" s="1066"/>
      <c r="N2589" s="1066"/>
      <c r="O2589" s="1066"/>
      <c r="P2589" s="1066"/>
      <c r="Q2589" s="1066"/>
      <c r="R2589" s="1066"/>
      <c r="S2589" s="1066"/>
      <c r="T2589" s="1066"/>
      <c r="U2589" s="1066"/>
      <c r="V2589" s="1066"/>
      <c r="W2589" s="1066"/>
      <c r="X2589" s="1066"/>
      <c r="Y2589" s="1066"/>
      <c r="Z2589" s="1066"/>
      <c r="AA2589" s="1066"/>
      <c r="AB2589" s="1066"/>
      <c r="AC2589" s="1066"/>
      <c r="AD2589" s="1066"/>
      <c r="AE2589" s="1066"/>
      <c r="AF2589" s="1066"/>
      <c r="AG2589" s="1066"/>
      <c r="AH2589" s="1066"/>
      <c r="AI2589" s="1066"/>
      <c r="AJ2589" s="1066"/>
      <c r="AK2589" s="1066"/>
      <c r="AL2589" s="1066"/>
      <c r="AM2589" s="1066"/>
      <c r="AN2589" s="1066"/>
      <c r="AO2589" s="1066"/>
      <c r="AP2589" s="1066"/>
      <c r="AQ2589" s="1066"/>
      <c r="AR2589" s="1066"/>
      <c r="AS2589" s="1066"/>
      <c r="AT2589" s="1066"/>
      <c r="AU2589" s="1066"/>
      <c r="AV2589" s="1066"/>
      <c r="AW2589" s="1066"/>
      <c r="AX2589" s="1066"/>
      <c r="AY2589" s="1066"/>
      <c r="AZ2589" s="1066"/>
      <c r="BA2589" s="1066"/>
      <c r="BB2589" s="1066"/>
      <c r="BC2589" s="1066"/>
      <c r="BD2589" s="1066"/>
      <c r="BE2589" s="1066"/>
      <c r="BF2589" s="1066"/>
      <c r="BG2589" s="1066"/>
      <c r="BH2589" s="1066"/>
      <c r="BI2589" s="1066"/>
      <c r="BJ2589" s="1066"/>
      <c r="BK2589" s="1066"/>
      <c r="BL2589" s="1066"/>
    </row>
    <row r="2590" spans="1:64">
      <c r="A2590" s="1058"/>
      <c r="B2590" s="1058"/>
      <c r="C2590" s="1817" t="s">
        <v>1166</v>
      </c>
      <c r="D2590" s="1139">
        <v>10</v>
      </c>
      <c r="E2590" s="1178" t="s">
        <v>36</v>
      </c>
      <c r="F2590" s="1062">
        <f>'Civil-SOR'!$G$307</f>
        <v>520</v>
      </c>
      <c r="G2590" s="1081">
        <v>1</v>
      </c>
      <c r="H2590" s="1140" t="str">
        <f t="shared" si="612"/>
        <v>Each</v>
      </c>
      <c r="I2590" s="1062">
        <f t="shared" si="613"/>
        <v>5200</v>
      </c>
      <c r="J2590" s="1022"/>
      <c r="K2590" s="1022"/>
      <c r="L2590" s="1022"/>
      <c r="M2590" s="1066"/>
      <c r="N2590" s="1066"/>
      <c r="O2590" s="1066"/>
      <c r="P2590" s="1066"/>
      <c r="Q2590" s="1066"/>
      <c r="R2590" s="1066"/>
      <c r="S2590" s="1066"/>
      <c r="T2590" s="1066"/>
      <c r="U2590" s="1066"/>
      <c r="V2590" s="1066"/>
      <c r="W2590" s="1066"/>
      <c r="X2590" s="1066"/>
      <c r="Y2590" s="1066"/>
      <c r="Z2590" s="1066"/>
      <c r="AA2590" s="1066"/>
      <c r="AB2590" s="1066"/>
      <c r="AC2590" s="1066"/>
      <c r="AD2590" s="1066"/>
      <c r="AE2590" s="1066"/>
      <c r="AF2590" s="1066"/>
      <c r="AG2590" s="1066"/>
      <c r="AH2590" s="1066"/>
      <c r="AI2590" s="1066"/>
      <c r="AJ2590" s="1066"/>
      <c r="AK2590" s="1066"/>
      <c r="AL2590" s="1066"/>
      <c r="AM2590" s="1066"/>
      <c r="AN2590" s="1066"/>
      <c r="AO2590" s="1066"/>
      <c r="AP2590" s="1066"/>
      <c r="AQ2590" s="1066"/>
      <c r="AR2590" s="1066"/>
      <c r="AS2590" s="1066"/>
      <c r="AT2590" s="1066"/>
      <c r="AU2590" s="1066"/>
      <c r="AV2590" s="1066"/>
      <c r="AW2590" s="1066"/>
      <c r="AX2590" s="1066"/>
      <c r="AY2590" s="1066"/>
      <c r="AZ2590" s="1066"/>
      <c r="BA2590" s="1066"/>
      <c r="BB2590" s="1066"/>
      <c r="BC2590" s="1066"/>
      <c r="BD2590" s="1066"/>
      <c r="BE2590" s="1066"/>
      <c r="BF2590" s="1066"/>
      <c r="BG2590" s="1066"/>
      <c r="BH2590" s="1066"/>
      <c r="BI2590" s="1066"/>
      <c r="BJ2590" s="1066"/>
      <c r="BK2590" s="1066"/>
      <c r="BL2590" s="1066"/>
    </row>
    <row r="2591" spans="1:64">
      <c r="A2591" s="1058"/>
      <c r="B2591" s="1058"/>
      <c r="C2591" s="1817" t="str">
        <f>Input!$C$47</f>
        <v>Add for MA @ 40%</v>
      </c>
      <c r="D2591" s="1160">
        <f>Input!$D$47</f>
        <v>0.4</v>
      </c>
      <c r="E2591" s="1112"/>
      <c r="F2591" s="1062">
        <f>SUM(I2588:I2590)</f>
        <v>10455</v>
      </c>
      <c r="G2591" s="1076"/>
      <c r="H2591" s="1849"/>
      <c r="I2591" s="1062">
        <f t="shared" si="613"/>
        <v>4182</v>
      </c>
      <c r="J2591" s="1022"/>
      <c r="K2591" s="1022"/>
      <c r="L2591" s="1022"/>
      <c r="M2591" s="1066"/>
      <c r="N2591" s="1066"/>
      <c r="O2591" s="1066"/>
      <c r="P2591" s="1066"/>
      <c r="Q2591" s="1066"/>
      <c r="R2591" s="1066"/>
      <c r="S2591" s="1066"/>
      <c r="T2591" s="1066"/>
      <c r="U2591" s="1066"/>
      <c r="V2591" s="1066"/>
      <c r="W2591" s="1066"/>
      <c r="X2591" s="1066"/>
      <c r="Y2591" s="1066"/>
      <c r="Z2591" s="1066"/>
      <c r="AA2591" s="1066"/>
      <c r="AB2591" s="1066"/>
      <c r="AC2591" s="1066"/>
      <c r="AD2591" s="1066"/>
      <c r="AE2591" s="1066"/>
      <c r="AF2591" s="1066"/>
      <c r="AG2591" s="1066"/>
      <c r="AH2591" s="1066"/>
      <c r="AI2591" s="1066"/>
      <c r="AJ2591" s="1066"/>
      <c r="AK2591" s="1066"/>
      <c r="AL2591" s="1066"/>
      <c r="AM2591" s="1066"/>
      <c r="AN2591" s="1066"/>
      <c r="AO2591" s="1066"/>
      <c r="AP2591" s="1066"/>
      <c r="AQ2591" s="1066"/>
      <c r="AR2591" s="1066"/>
      <c r="AS2591" s="1066"/>
      <c r="AT2591" s="1066"/>
      <c r="AU2591" s="1066"/>
      <c r="AV2591" s="1066"/>
      <c r="AW2591" s="1066"/>
      <c r="AX2591" s="1066"/>
      <c r="AY2591" s="1066"/>
      <c r="AZ2591" s="1066"/>
      <c r="BA2591" s="1066"/>
      <c r="BB2591" s="1066"/>
      <c r="BC2591" s="1066"/>
      <c r="BD2591" s="1066"/>
      <c r="BE2591" s="1066"/>
      <c r="BF2591" s="1066"/>
      <c r="BG2591" s="1066"/>
      <c r="BH2591" s="1066"/>
      <c r="BI2591" s="1066"/>
      <c r="BJ2591" s="1066"/>
      <c r="BK2591" s="1066"/>
      <c r="BL2591" s="1066"/>
    </row>
    <row r="2592" spans="1:64">
      <c r="A2592" s="1058"/>
      <c r="B2592" s="1058"/>
      <c r="C2592" s="1816" t="s">
        <v>1390</v>
      </c>
      <c r="D2592" s="1160"/>
      <c r="E2592" s="1112"/>
      <c r="F2592" s="1062"/>
      <c r="G2592" s="1076"/>
      <c r="H2592" s="1849"/>
      <c r="I2592" s="1062"/>
      <c r="J2592" s="1022"/>
      <c r="K2592" s="1022"/>
      <c r="L2592" s="1022"/>
      <c r="M2592" s="1066"/>
      <c r="N2592" s="1066"/>
      <c r="O2592" s="1066"/>
      <c r="P2592" s="1066"/>
      <c r="Q2592" s="1066"/>
      <c r="R2592" s="1066"/>
      <c r="S2592" s="1066"/>
      <c r="T2592" s="1066"/>
      <c r="U2592" s="1066"/>
      <c r="V2592" s="1066"/>
      <c r="W2592" s="1066"/>
      <c r="X2592" s="1066"/>
      <c r="Y2592" s="1066"/>
      <c r="Z2592" s="1066"/>
      <c r="AA2592" s="1066"/>
      <c r="AB2592" s="1066"/>
      <c r="AC2592" s="1066"/>
      <c r="AD2592" s="1066"/>
      <c r="AE2592" s="1066"/>
      <c r="AF2592" s="1066"/>
      <c r="AG2592" s="1066"/>
      <c r="AH2592" s="1066"/>
      <c r="AI2592" s="1066"/>
      <c r="AJ2592" s="1066"/>
      <c r="AK2592" s="1066"/>
      <c r="AL2592" s="1066"/>
      <c r="AM2592" s="1066"/>
      <c r="AN2592" s="1066"/>
      <c r="AO2592" s="1066"/>
      <c r="AP2592" s="1066"/>
      <c r="AQ2592" s="1066"/>
      <c r="AR2592" s="1066"/>
      <c r="AS2592" s="1066"/>
      <c r="AT2592" s="1066"/>
      <c r="AU2592" s="1066"/>
      <c r="AV2592" s="1066"/>
      <c r="AW2592" s="1066"/>
      <c r="AX2592" s="1066"/>
      <c r="AY2592" s="1066"/>
      <c r="AZ2592" s="1066"/>
      <c r="BA2592" s="1066"/>
      <c r="BB2592" s="1066"/>
      <c r="BC2592" s="1066"/>
      <c r="BD2592" s="1066"/>
      <c r="BE2592" s="1066"/>
      <c r="BF2592" s="1066"/>
      <c r="BG2592" s="1066"/>
      <c r="BH2592" s="1066"/>
      <c r="BI2592" s="1066"/>
      <c r="BJ2592" s="1066"/>
      <c r="BK2592" s="1066"/>
      <c r="BL2592" s="1066"/>
    </row>
    <row r="2593" spans="1:64" ht="25.5">
      <c r="A2593" s="1058"/>
      <c r="B2593" s="1058"/>
      <c r="C2593" s="1817" t="s">
        <v>1145</v>
      </c>
      <c r="D2593" s="1139">
        <v>2</v>
      </c>
      <c r="E2593" s="1061" t="s">
        <v>1083</v>
      </c>
      <c r="F2593" s="1062">
        <f>'Civil-SOR'!$G$330</f>
        <v>192.9</v>
      </c>
      <c r="G2593" s="1081">
        <v>1</v>
      </c>
      <c r="H2593" s="1081" t="str">
        <f t="shared" ref="H2593:H2594" si="614">IF(E2593="","",IF(E2593="No.","Each",IF(E2593="Nos.","Each",E2593)))</f>
        <v>hours</v>
      </c>
      <c r="I2593" s="1062">
        <f t="shared" ref="I2593:I2594" si="615">IF(G2593="",D2593*F2593,(D2593*F2593/G2593))</f>
        <v>385.8</v>
      </c>
      <c r="J2593" s="1022"/>
      <c r="K2593" s="1022"/>
      <c r="L2593" s="1022"/>
      <c r="M2593" s="1066"/>
      <c r="N2593" s="1066"/>
      <c r="O2593" s="1066"/>
      <c r="P2593" s="1066"/>
      <c r="Q2593" s="1066"/>
      <c r="R2593" s="1066"/>
      <c r="S2593" s="1066"/>
      <c r="T2593" s="1066"/>
      <c r="U2593" s="1066"/>
      <c r="V2593" s="1066"/>
      <c r="W2593" s="1066"/>
      <c r="X2593" s="1066"/>
      <c r="Y2593" s="1066"/>
      <c r="Z2593" s="1066"/>
      <c r="AA2593" s="1066"/>
      <c r="AB2593" s="1066"/>
      <c r="AC2593" s="1066"/>
      <c r="AD2593" s="1066"/>
      <c r="AE2593" s="1066"/>
      <c r="AF2593" s="1066"/>
      <c r="AG2593" s="1066"/>
      <c r="AH2593" s="1066"/>
      <c r="AI2593" s="1066"/>
      <c r="AJ2593" s="1066"/>
      <c r="AK2593" s="1066"/>
      <c r="AL2593" s="1066"/>
      <c r="AM2593" s="1066"/>
      <c r="AN2593" s="1066"/>
      <c r="AO2593" s="1066"/>
      <c r="AP2593" s="1066"/>
      <c r="AQ2593" s="1066"/>
      <c r="AR2593" s="1066"/>
      <c r="AS2593" s="1066"/>
      <c r="AT2593" s="1066"/>
      <c r="AU2593" s="1066"/>
      <c r="AV2593" s="1066"/>
      <c r="AW2593" s="1066"/>
      <c r="AX2593" s="1066"/>
      <c r="AY2593" s="1066"/>
      <c r="AZ2593" s="1066"/>
      <c r="BA2593" s="1066"/>
      <c r="BB2593" s="1066"/>
      <c r="BC2593" s="1066"/>
      <c r="BD2593" s="1066"/>
      <c r="BE2593" s="1066"/>
      <c r="BF2593" s="1066"/>
      <c r="BG2593" s="1066"/>
      <c r="BH2593" s="1066"/>
      <c r="BI2593" s="1066"/>
      <c r="BJ2593" s="1066"/>
      <c r="BK2593" s="1066"/>
      <c r="BL2593" s="1066"/>
    </row>
    <row r="2594" spans="1:64">
      <c r="A2594" s="1058"/>
      <c r="B2594" s="1058"/>
      <c r="C2594" s="1817" t="s">
        <v>579</v>
      </c>
      <c r="D2594" s="1139">
        <v>2</v>
      </c>
      <c r="E2594" s="1061" t="s">
        <v>1083</v>
      </c>
      <c r="F2594" s="1062">
        <f>'Civil-SOR'!$J$330</f>
        <v>302.89999999999998</v>
      </c>
      <c r="G2594" s="1081">
        <v>1</v>
      </c>
      <c r="H2594" s="1081" t="str">
        <f t="shared" si="614"/>
        <v>hours</v>
      </c>
      <c r="I2594" s="1062">
        <f t="shared" si="615"/>
        <v>605.79999999999995</v>
      </c>
      <c r="J2594" s="1022"/>
      <c r="K2594" s="1022"/>
      <c r="L2594" s="1022"/>
      <c r="M2594" s="1066"/>
      <c r="N2594" s="1066"/>
      <c r="O2594" s="1066"/>
      <c r="P2594" s="1066"/>
      <c r="Q2594" s="1066"/>
      <c r="R2594" s="1066"/>
      <c r="S2594" s="1066"/>
      <c r="T2594" s="1066"/>
      <c r="U2594" s="1066"/>
      <c r="V2594" s="1066"/>
      <c r="W2594" s="1066"/>
      <c r="X2594" s="1066"/>
      <c r="Y2594" s="1066"/>
      <c r="Z2594" s="1066"/>
      <c r="AA2594" s="1066"/>
      <c r="AB2594" s="1066"/>
      <c r="AC2594" s="1066"/>
      <c r="AD2594" s="1066"/>
      <c r="AE2594" s="1066"/>
      <c r="AF2594" s="1066"/>
      <c r="AG2594" s="1066"/>
      <c r="AH2594" s="1066"/>
      <c r="AI2594" s="1066"/>
      <c r="AJ2594" s="1066"/>
      <c r="AK2594" s="1066"/>
      <c r="AL2594" s="1066"/>
      <c r="AM2594" s="1066"/>
      <c r="AN2594" s="1066"/>
      <c r="AO2594" s="1066"/>
      <c r="AP2594" s="1066"/>
      <c r="AQ2594" s="1066"/>
      <c r="AR2594" s="1066"/>
      <c r="AS2594" s="1066"/>
      <c r="AT2594" s="1066"/>
      <c r="AU2594" s="1066"/>
      <c r="AV2594" s="1066"/>
      <c r="AW2594" s="1066"/>
      <c r="AX2594" s="1066"/>
      <c r="AY2594" s="1066"/>
      <c r="AZ2594" s="1066"/>
      <c r="BA2594" s="1066"/>
      <c r="BB2594" s="1066"/>
      <c r="BC2594" s="1066"/>
      <c r="BD2594" s="1066"/>
      <c r="BE2594" s="1066"/>
      <c r="BF2594" s="1066"/>
      <c r="BG2594" s="1066"/>
      <c r="BH2594" s="1066"/>
      <c r="BI2594" s="1066"/>
      <c r="BJ2594" s="1066"/>
      <c r="BK2594" s="1066"/>
      <c r="BL2594" s="1066"/>
    </row>
    <row r="2595" spans="1:64">
      <c r="A2595" s="1058"/>
      <c r="B2595" s="1058"/>
      <c r="C2595" s="1817" t="s">
        <v>1085</v>
      </c>
      <c r="D2595" s="1060">
        <f>Input!$D$47</f>
        <v>0.4</v>
      </c>
      <c r="E2595" s="1061"/>
      <c r="F2595" s="1062">
        <f>'Civil-SOR'!$J$330</f>
        <v>302.89999999999998</v>
      </c>
      <c r="G2595" s="1063"/>
      <c r="H2595" s="1061"/>
      <c r="I2595" s="1062">
        <f>IF(G2595="",D2595*F2595,(D2595*F2595/G2595))*2</f>
        <v>242.32</v>
      </c>
      <c r="J2595" s="1022"/>
      <c r="K2595" s="1022"/>
      <c r="L2595" s="1022"/>
      <c r="M2595" s="1066"/>
      <c r="N2595" s="1066"/>
      <c r="O2595" s="1066"/>
      <c r="P2595" s="1066"/>
      <c r="Q2595" s="1066"/>
      <c r="R2595" s="1066"/>
      <c r="S2595" s="1066"/>
      <c r="T2595" s="1066"/>
      <c r="U2595" s="1066"/>
      <c r="V2595" s="1066"/>
      <c r="W2595" s="1066"/>
      <c r="X2595" s="1066"/>
      <c r="Y2595" s="1066"/>
      <c r="Z2595" s="1066"/>
      <c r="AA2595" s="1066"/>
      <c r="AB2595" s="1066"/>
      <c r="AC2595" s="1066"/>
      <c r="AD2595" s="1066"/>
      <c r="AE2595" s="1066"/>
      <c r="AF2595" s="1066"/>
      <c r="AG2595" s="1066"/>
      <c r="AH2595" s="1066"/>
      <c r="AI2595" s="1066"/>
      <c r="AJ2595" s="1066"/>
      <c r="AK2595" s="1066"/>
      <c r="AL2595" s="1066"/>
      <c r="AM2595" s="1066"/>
      <c r="AN2595" s="1066"/>
      <c r="AO2595" s="1066"/>
      <c r="AP2595" s="1066"/>
      <c r="AQ2595" s="1066"/>
      <c r="AR2595" s="1066"/>
      <c r="AS2595" s="1066"/>
      <c r="AT2595" s="1066"/>
      <c r="AU2595" s="1066"/>
      <c r="AV2595" s="1066"/>
      <c r="AW2595" s="1066"/>
      <c r="AX2595" s="1066"/>
      <c r="AY2595" s="1066"/>
      <c r="AZ2595" s="1066"/>
      <c r="BA2595" s="1066"/>
      <c r="BB2595" s="1066"/>
      <c r="BC2595" s="1066"/>
      <c r="BD2595" s="1066"/>
      <c r="BE2595" s="1066"/>
      <c r="BF2595" s="1066"/>
      <c r="BG2595" s="1066"/>
      <c r="BH2595" s="1066"/>
      <c r="BI2595" s="1066"/>
      <c r="BJ2595" s="1066"/>
      <c r="BK2595" s="1066"/>
      <c r="BL2595" s="1066"/>
    </row>
    <row r="2596" spans="1:64">
      <c r="A2596" s="1058"/>
      <c r="B2596" s="1058"/>
      <c r="C2596" s="1817" t="s">
        <v>1312</v>
      </c>
      <c r="D2596" s="1060">
        <v>0.01</v>
      </c>
      <c r="E2596" s="1061"/>
      <c r="F2596" s="1062">
        <f>SUM(I2581:I2595)</f>
        <v>28808.427499999998</v>
      </c>
      <c r="G2596" s="1081"/>
      <c r="H2596" s="1140"/>
      <c r="I2596" s="1062">
        <f>IF(G2596="",D2596*F2596,(D2596*F2596/G2596))</f>
        <v>288.08427499999999</v>
      </c>
      <c r="J2596" s="1022"/>
      <c r="K2596" s="1022"/>
      <c r="L2596" s="1022"/>
      <c r="M2596" s="1066"/>
      <c r="N2596" s="1066"/>
      <c r="O2596" s="1066"/>
      <c r="P2596" s="1066"/>
      <c r="Q2596" s="1066"/>
      <c r="R2596" s="1066"/>
      <c r="S2596" s="1066"/>
      <c r="T2596" s="1066"/>
      <c r="U2596" s="1066"/>
      <c r="V2596" s="1066"/>
      <c r="W2596" s="1066"/>
      <c r="X2596" s="1066"/>
      <c r="Y2596" s="1066"/>
      <c r="Z2596" s="1066"/>
      <c r="AA2596" s="1066"/>
      <c r="AB2596" s="1066"/>
      <c r="AC2596" s="1066"/>
      <c r="AD2596" s="1066"/>
      <c r="AE2596" s="1066"/>
      <c r="AF2596" s="1066"/>
      <c r="AG2596" s="1066"/>
      <c r="AH2596" s="1066"/>
      <c r="AI2596" s="1066"/>
      <c r="AJ2596" s="1066"/>
      <c r="AK2596" s="1066"/>
      <c r="AL2596" s="1066"/>
      <c r="AM2596" s="1066"/>
      <c r="AN2596" s="1066"/>
      <c r="AO2596" s="1066"/>
      <c r="AP2596" s="1066"/>
      <c r="AQ2596" s="1066"/>
      <c r="AR2596" s="1066"/>
      <c r="AS2596" s="1066"/>
      <c r="AT2596" s="1066"/>
      <c r="AU2596" s="1066"/>
      <c r="AV2596" s="1066"/>
      <c r="AW2596" s="1066"/>
      <c r="AX2596" s="1066"/>
      <c r="AY2596" s="1066"/>
      <c r="AZ2596" s="1066"/>
      <c r="BA2596" s="1066"/>
      <c r="BB2596" s="1066"/>
      <c r="BC2596" s="1066"/>
      <c r="BD2596" s="1066"/>
      <c r="BE2596" s="1066"/>
      <c r="BF2596" s="1066"/>
      <c r="BG2596" s="1066"/>
      <c r="BH2596" s="1066"/>
      <c r="BI2596" s="1066"/>
      <c r="BJ2596" s="1066"/>
      <c r="BK2596" s="1066"/>
      <c r="BL2596" s="1066"/>
    </row>
    <row r="2597" spans="1:64">
      <c r="A2597" s="1086"/>
      <c r="B2597" s="1086"/>
      <c r="C2597" s="1088" t="s">
        <v>1302</v>
      </c>
      <c r="D2597" s="1180"/>
      <c r="E2597" s="1107"/>
      <c r="F2597" s="994"/>
      <c r="G2597" s="1108"/>
      <c r="H2597" s="1830"/>
      <c r="I2597" s="1826">
        <f>SUM(I2581:I2596)</f>
        <v>29096.511774999999</v>
      </c>
      <c r="J2597" s="996"/>
      <c r="K2597" s="996"/>
      <c r="L2597" s="996"/>
      <c r="M2597" s="997"/>
      <c r="N2597" s="997"/>
      <c r="O2597" s="997"/>
      <c r="P2597" s="997"/>
      <c r="Q2597" s="997"/>
      <c r="R2597" s="997"/>
      <c r="S2597" s="997"/>
      <c r="T2597" s="997"/>
      <c r="U2597" s="997"/>
      <c r="V2597" s="997"/>
      <c r="W2597" s="997"/>
      <c r="X2597" s="997"/>
      <c r="Y2597" s="997"/>
      <c r="Z2597" s="997"/>
      <c r="AA2597" s="997"/>
      <c r="AB2597" s="997"/>
      <c r="AC2597" s="997"/>
      <c r="AD2597" s="997"/>
      <c r="AE2597" s="997"/>
      <c r="AF2597" s="997"/>
      <c r="AG2597" s="997"/>
      <c r="AH2597" s="997"/>
      <c r="AI2597" s="997"/>
      <c r="AJ2597" s="997"/>
      <c r="AK2597" s="997"/>
      <c r="AL2597" s="997"/>
      <c r="AM2597" s="997"/>
      <c r="AN2597" s="997"/>
      <c r="AO2597" s="997"/>
      <c r="AP2597" s="997"/>
      <c r="AQ2597" s="997"/>
      <c r="AR2597" s="997"/>
      <c r="AS2597" s="997"/>
      <c r="AT2597" s="997"/>
      <c r="AU2597" s="997"/>
      <c r="AV2597" s="997"/>
      <c r="AW2597" s="997"/>
      <c r="AX2597" s="997"/>
      <c r="AY2597" s="997"/>
      <c r="AZ2597" s="997"/>
      <c r="BA2597" s="997"/>
      <c r="BB2597" s="997"/>
      <c r="BC2597" s="997"/>
      <c r="BD2597" s="997"/>
      <c r="BE2597" s="997"/>
      <c r="BF2597" s="997"/>
      <c r="BG2597" s="997"/>
      <c r="BH2597" s="997"/>
      <c r="BI2597" s="997"/>
      <c r="BJ2597" s="997"/>
      <c r="BK2597" s="997"/>
      <c r="BL2597" s="997"/>
    </row>
    <row r="2598" spans="1:64">
      <c r="A2598" s="1086"/>
      <c r="B2598" s="1086"/>
      <c r="C2598" s="1088" t="s">
        <v>1117</v>
      </c>
      <c r="D2598" s="996"/>
      <c r="E2598" s="996"/>
      <c r="F2598" s="1023"/>
      <c r="G2598" s="996"/>
      <c r="H2598" s="996"/>
      <c r="I2598" s="1834">
        <f>ROUND(I2597/10,2)</f>
        <v>2909.65</v>
      </c>
      <c r="J2598" s="996"/>
      <c r="K2598" s="996"/>
      <c r="L2598" s="996"/>
      <c r="M2598" s="997"/>
      <c r="N2598" s="997"/>
      <c r="O2598" s="997"/>
      <c r="P2598" s="997"/>
      <c r="Q2598" s="997"/>
      <c r="R2598" s="997"/>
      <c r="S2598" s="997"/>
      <c r="T2598" s="997"/>
      <c r="U2598" s="997"/>
      <c r="V2598" s="997"/>
      <c r="W2598" s="997"/>
      <c r="X2598" s="997"/>
      <c r="Y2598" s="997"/>
      <c r="Z2598" s="997"/>
      <c r="AA2598" s="997"/>
      <c r="AB2598" s="997"/>
      <c r="AC2598" s="997"/>
      <c r="AD2598" s="997"/>
      <c r="AE2598" s="997"/>
      <c r="AF2598" s="997"/>
      <c r="AG2598" s="997"/>
      <c r="AH2598" s="997"/>
      <c r="AI2598" s="997"/>
      <c r="AJ2598" s="997"/>
      <c r="AK2598" s="997"/>
      <c r="AL2598" s="997"/>
      <c r="AM2598" s="997"/>
      <c r="AN2598" s="997"/>
      <c r="AO2598" s="997"/>
      <c r="AP2598" s="997"/>
      <c r="AQ2598" s="997"/>
      <c r="AR2598" s="997"/>
      <c r="AS2598" s="997"/>
      <c r="AT2598" s="997"/>
      <c r="AU2598" s="997"/>
      <c r="AV2598" s="997"/>
      <c r="AW2598" s="997"/>
      <c r="AX2598" s="997"/>
      <c r="AY2598" s="997"/>
      <c r="AZ2598" s="997"/>
      <c r="BA2598" s="997"/>
      <c r="BB2598" s="997"/>
      <c r="BC2598" s="997"/>
      <c r="BD2598" s="997"/>
      <c r="BE2598" s="997"/>
      <c r="BF2598" s="997"/>
      <c r="BG2598" s="997"/>
      <c r="BH2598" s="997"/>
      <c r="BI2598" s="997"/>
      <c r="BJ2598" s="997"/>
      <c r="BK2598" s="997"/>
      <c r="BL2598" s="997"/>
    </row>
    <row r="2599" spans="1:64">
      <c r="A2599" s="1818"/>
      <c r="B2599" s="1818"/>
      <c r="C2599" s="1846"/>
      <c r="D2599" s="1846"/>
      <c r="E2599" s="1846"/>
      <c r="F2599" s="1068"/>
      <c r="G2599" s="1846"/>
      <c r="H2599" s="1846"/>
      <c r="I2599" s="1021"/>
      <c r="J2599" s="996"/>
      <c r="K2599" s="996"/>
      <c r="L2599" s="996"/>
    </row>
    <row r="2600" spans="1:64">
      <c r="A2600" s="1086"/>
      <c r="B2600" s="1086"/>
      <c r="C2600" s="1088" t="s">
        <v>1217</v>
      </c>
      <c r="D2600" s="1826" t="s">
        <v>1223</v>
      </c>
      <c r="E2600" s="999" t="s">
        <v>1207</v>
      </c>
      <c r="F2600" s="998" t="s">
        <v>1208</v>
      </c>
      <c r="G2600" s="1826" t="s">
        <v>1291</v>
      </c>
      <c r="H2600" s="1826" t="s">
        <v>1292</v>
      </c>
      <c r="I2600" s="1826" t="s">
        <v>1293</v>
      </c>
      <c r="J2600" s="996"/>
      <c r="K2600" s="996"/>
      <c r="L2600" s="996"/>
      <c r="M2600" s="997"/>
      <c r="N2600" s="997"/>
      <c r="O2600" s="997"/>
      <c r="P2600" s="997"/>
      <c r="Q2600" s="997"/>
      <c r="R2600" s="997"/>
      <c r="S2600" s="997"/>
      <c r="T2600" s="997"/>
      <c r="U2600" s="997"/>
      <c r="V2600" s="997"/>
      <c r="W2600" s="997"/>
      <c r="X2600" s="997"/>
      <c r="Y2600" s="997"/>
      <c r="Z2600" s="997"/>
      <c r="AA2600" s="997"/>
      <c r="AB2600" s="997"/>
      <c r="AC2600" s="997"/>
      <c r="AD2600" s="997"/>
      <c r="AE2600" s="997"/>
      <c r="AF2600" s="997"/>
      <c r="AG2600" s="997"/>
      <c r="AH2600" s="997"/>
      <c r="AI2600" s="997"/>
      <c r="AJ2600" s="997"/>
      <c r="AK2600" s="997"/>
      <c r="AL2600" s="997"/>
      <c r="AM2600" s="997"/>
      <c r="AN2600" s="997"/>
      <c r="AO2600" s="997"/>
      <c r="AP2600" s="997"/>
      <c r="AQ2600" s="997"/>
      <c r="AR2600" s="997"/>
      <c r="AS2600" s="997"/>
      <c r="AT2600" s="997"/>
      <c r="AU2600" s="997"/>
      <c r="AV2600" s="997"/>
      <c r="AW2600" s="997"/>
      <c r="AX2600" s="997"/>
      <c r="AY2600" s="997"/>
      <c r="AZ2600" s="997"/>
      <c r="BA2600" s="997"/>
      <c r="BB2600" s="997"/>
      <c r="BC2600" s="997"/>
      <c r="BD2600" s="997"/>
      <c r="BE2600" s="997"/>
      <c r="BF2600" s="997"/>
      <c r="BG2600" s="997"/>
      <c r="BH2600" s="997"/>
      <c r="BI2600" s="997"/>
      <c r="BJ2600" s="997"/>
      <c r="BK2600" s="997"/>
      <c r="BL2600" s="997"/>
    </row>
    <row r="2601" spans="1:64">
      <c r="A2601" s="1818"/>
      <c r="B2601" s="1818"/>
      <c r="C2601" s="1817" t="s">
        <v>1317</v>
      </c>
      <c r="D2601" s="1001">
        <f t="shared" ref="D2601:I2601" si="616">$I$2598</f>
        <v>2909.65</v>
      </c>
      <c r="E2601" s="1001">
        <f t="shared" si="616"/>
        <v>2909.65</v>
      </c>
      <c r="F2601" s="1001">
        <f t="shared" si="616"/>
        <v>2909.65</v>
      </c>
      <c r="G2601" s="1001">
        <f t="shared" si="616"/>
        <v>2909.65</v>
      </c>
      <c r="H2601" s="1001">
        <f t="shared" si="616"/>
        <v>2909.65</v>
      </c>
      <c r="I2601" s="1001">
        <f t="shared" si="616"/>
        <v>2909.65</v>
      </c>
      <c r="J2601" s="996"/>
      <c r="K2601" s="996"/>
      <c r="L2601" s="996"/>
    </row>
    <row r="2602" spans="1:64">
      <c r="A2602" s="1818"/>
      <c r="B2602" s="1818"/>
      <c r="C2602" s="1817" t="s">
        <v>1391</v>
      </c>
      <c r="D2602" s="1030">
        <f>'Civil-SOR'!$F$233</f>
        <v>1.17</v>
      </c>
      <c r="E2602" s="1030">
        <f>('Civil-SOR'!$F$233+'Civil-SOR'!$F$234)</f>
        <v>2.34</v>
      </c>
      <c r="F2602" s="1030">
        <f>('Civil-SOR'!$F$233+'Civil-SOR'!$F$234+'Civil-SOR'!$F$235)</f>
        <v>3.51</v>
      </c>
      <c r="G2602" s="1030">
        <f>('Civil-SOR'!$F$233+'Civil-SOR'!$F$234+'Civil-SOR'!$F$235+'Civil-SOR'!$F$236)</f>
        <v>4.68</v>
      </c>
      <c r="H2602" s="1030">
        <f>('Civil-SOR'!$F$233+'Civil-SOR'!$F$234+'Civil-SOR'!$F$235+'Civil-SOR'!$F$236)</f>
        <v>4.68</v>
      </c>
      <c r="I2602" s="1030">
        <f>('Civil-SOR'!$F$233+'Civil-SOR'!$F$234+'Civil-SOR'!$F$235+'Civil-SOR'!$F$236)</f>
        <v>4.68</v>
      </c>
      <c r="J2602" s="996"/>
      <c r="K2602" s="996"/>
      <c r="L2602" s="996"/>
    </row>
    <row r="2603" spans="1:64">
      <c r="A2603" s="1818"/>
      <c r="B2603" s="1818"/>
      <c r="C2603" s="1817" t="s">
        <v>1392</v>
      </c>
      <c r="D2603" s="1030">
        <f>'Civil-SOR'!$G$233</f>
        <v>9.43</v>
      </c>
      <c r="E2603" s="1030">
        <f>'Civil-SOR'!$G$234</f>
        <v>13.56</v>
      </c>
      <c r="F2603" s="1030">
        <f>'Civil-SOR'!$G$235</f>
        <v>17.690000000000001</v>
      </c>
      <c r="G2603" s="1030">
        <f>'Civil-SOR'!$G$236</f>
        <v>21.82</v>
      </c>
      <c r="H2603" s="1030">
        <f>'Civil-SOR'!$G$237</f>
        <v>25.96</v>
      </c>
      <c r="I2603" s="1030">
        <f>'Civil-SOR'!$G$238</f>
        <v>30.09</v>
      </c>
      <c r="J2603" s="996"/>
      <c r="K2603" s="996"/>
      <c r="L2603" s="996"/>
    </row>
    <row r="2604" spans="1:64">
      <c r="A2604" s="1818"/>
      <c r="B2604" s="1818"/>
      <c r="C2604" s="1817" t="str">
        <f>Input!$C$47</f>
        <v>Add for MA @ 40%</v>
      </c>
      <c r="D2604" s="1001">
        <f>ROUND(D2603*Input!$D$47,2)</f>
        <v>3.77</v>
      </c>
      <c r="E2604" s="1001">
        <f>ROUND(E2603*Input!$D$47,2)</f>
        <v>5.42</v>
      </c>
      <c r="F2604" s="1001">
        <f>ROUND(F2603*Input!$D$47,2)</f>
        <v>7.08</v>
      </c>
      <c r="G2604" s="1001">
        <f>ROUND(G2603*Input!$D$47,2)</f>
        <v>8.73</v>
      </c>
      <c r="H2604" s="1001">
        <f>ROUND(H2603*Input!$D$47,2)</f>
        <v>10.38</v>
      </c>
      <c r="I2604" s="1001">
        <f>ROUND(I2603*Input!$D$47,2)</f>
        <v>12.04</v>
      </c>
      <c r="J2604" s="996"/>
      <c r="K2604" s="996"/>
      <c r="L2604" s="996"/>
    </row>
    <row r="2605" spans="1:64">
      <c r="A2605" s="1818"/>
      <c r="B2605" s="1818"/>
      <c r="C2605" s="1817" t="s">
        <v>1253</v>
      </c>
      <c r="D2605" s="1001">
        <v>0</v>
      </c>
      <c r="E2605" s="1001">
        <f>ROUND($F$2591/10*10%,2)</f>
        <v>104.55</v>
      </c>
      <c r="F2605" s="1001">
        <f>ROUND($F$2591/10*20%,2)</f>
        <v>209.1</v>
      </c>
      <c r="G2605" s="1001">
        <f>ROUND($F$2591/10*30%,2)</f>
        <v>313.64999999999998</v>
      </c>
      <c r="H2605" s="1001">
        <f>ROUND($F$2591/10*40%,2)</f>
        <v>418.2</v>
      </c>
      <c r="I2605" s="1001">
        <f>ROUND($F$2591/10*50%,2)</f>
        <v>522.75</v>
      </c>
      <c r="J2605" s="996"/>
      <c r="K2605" s="996"/>
      <c r="L2605" s="996"/>
    </row>
    <row r="2606" spans="1:64">
      <c r="A2606" s="1818"/>
      <c r="B2606" s="1818"/>
      <c r="C2606" s="1817" t="str">
        <f>Input!$C$47</f>
        <v>Add for MA @ 40%</v>
      </c>
      <c r="D2606" s="1001">
        <f>D2605*Input!$D$47</f>
        <v>0</v>
      </c>
      <c r="E2606" s="1001">
        <f>E2605*Input!$D$47</f>
        <v>41.82</v>
      </c>
      <c r="F2606" s="1001">
        <f>F2605*Input!$D$47</f>
        <v>83.64</v>
      </c>
      <c r="G2606" s="1001">
        <f>G2605*Input!$D$47</f>
        <v>125.46</v>
      </c>
      <c r="H2606" s="1001">
        <f>H2605*Input!$D$47</f>
        <v>167.28</v>
      </c>
      <c r="I2606" s="1001">
        <f>I2605*Input!$D$47</f>
        <v>209.10000000000002</v>
      </c>
      <c r="J2606" s="996"/>
      <c r="K2606" s="996"/>
      <c r="L2606" s="996"/>
    </row>
    <row r="2607" spans="1:64">
      <c r="A2607" s="1818"/>
      <c r="B2607" s="1818"/>
      <c r="C2607" s="1846"/>
      <c r="D2607" s="1001">
        <f t="shared" ref="D2607:I2607" si="617">SUM(D2601:D2606)</f>
        <v>2924.02</v>
      </c>
      <c r="E2607" s="1001">
        <f t="shared" si="617"/>
        <v>3077.3400000000006</v>
      </c>
      <c r="F2607" s="1001">
        <f t="shared" si="617"/>
        <v>3230.67</v>
      </c>
      <c r="G2607" s="1001">
        <f t="shared" si="617"/>
        <v>3383.9900000000002</v>
      </c>
      <c r="H2607" s="1001">
        <f t="shared" si="617"/>
        <v>3536.15</v>
      </c>
      <c r="I2607" s="1001">
        <f t="shared" si="617"/>
        <v>3688.31</v>
      </c>
      <c r="J2607" s="996"/>
      <c r="K2607" s="996"/>
      <c r="L2607" s="996"/>
    </row>
    <row r="2608" spans="1:64">
      <c r="A2608" s="1818"/>
      <c r="B2608" s="1818"/>
      <c r="C2608" s="1817" t="str">
        <f>Input!$C$48</f>
        <v>Overheads &amp; Contractors Profit @ 13.615%</v>
      </c>
      <c r="D2608" s="1001">
        <f>ROUND(D2607*Input!$D$48,2)</f>
        <v>398.11</v>
      </c>
      <c r="E2608" s="1001">
        <f>ROUND(E2607*Input!$D$48,2)</f>
        <v>418.98</v>
      </c>
      <c r="F2608" s="1001">
        <f>ROUND(F2607*Input!$D$48,2)</f>
        <v>439.86</v>
      </c>
      <c r="G2608" s="1001">
        <f>ROUND(G2607*Input!$D$48,2)</f>
        <v>460.73</v>
      </c>
      <c r="H2608" s="1001">
        <f>ROUND(H2607*Input!$D$48,2)</f>
        <v>481.45</v>
      </c>
      <c r="I2608" s="1001">
        <f>ROUND(I2607*Input!$D$48,2)</f>
        <v>502.16</v>
      </c>
      <c r="J2608" s="996"/>
      <c r="K2608" s="996"/>
      <c r="L2608" s="996"/>
    </row>
    <row r="2609" spans="1:64">
      <c r="A2609" s="1818"/>
      <c r="B2609" s="1818"/>
      <c r="C2609" s="1816" t="s">
        <v>1117</v>
      </c>
      <c r="D2609" s="1009">
        <f t="shared" ref="D2609:I2609" si="618">SUM(D2607:D2608)</f>
        <v>3322.13</v>
      </c>
      <c r="E2609" s="1009">
        <f t="shared" si="618"/>
        <v>3496.3200000000006</v>
      </c>
      <c r="F2609" s="1009">
        <f t="shared" si="618"/>
        <v>3670.53</v>
      </c>
      <c r="G2609" s="1009">
        <f t="shared" si="618"/>
        <v>3844.7200000000003</v>
      </c>
      <c r="H2609" s="1009">
        <f t="shared" si="618"/>
        <v>4017.6</v>
      </c>
      <c r="I2609" s="1009">
        <f t="shared" si="618"/>
        <v>4190.47</v>
      </c>
      <c r="J2609" s="996"/>
      <c r="K2609" s="996"/>
      <c r="L2609" s="996"/>
    </row>
    <row r="2610" spans="1:64">
      <c r="A2610" s="1086"/>
      <c r="B2610" s="1086"/>
      <c r="C2610" s="1118" t="s">
        <v>1034</v>
      </c>
      <c r="D2610" s="999">
        <f t="shared" ref="D2610:I2610" si="619">ROUND(D2609,0)</f>
        <v>3322</v>
      </c>
      <c r="E2610" s="999">
        <f t="shared" si="619"/>
        <v>3496</v>
      </c>
      <c r="F2610" s="999">
        <f t="shared" si="619"/>
        <v>3671</v>
      </c>
      <c r="G2610" s="999">
        <f t="shared" si="619"/>
        <v>3845</v>
      </c>
      <c r="H2610" s="999">
        <f t="shared" si="619"/>
        <v>4018</v>
      </c>
      <c r="I2610" s="999">
        <f t="shared" si="619"/>
        <v>4190</v>
      </c>
      <c r="J2610" s="996"/>
      <c r="K2610" s="996"/>
      <c r="L2610" s="996"/>
      <c r="M2610" s="997"/>
      <c r="N2610" s="997"/>
      <c r="O2610" s="997"/>
      <c r="P2610" s="997"/>
      <c r="Q2610" s="997"/>
      <c r="R2610" s="997"/>
      <c r="S2610" s="997"/>
      <c r="T2610" s="997"/>
      <c r="U2610" s="997"/>
      <c r="V2610" s="997"/>
      <c r="W2610" s="997"/>
      <c r="X2610" s="997"/>
      <c r="Y2610" s="997"/>
      <c r="Z2610" s="997"/>
      <c r="AA2610" s="997"/>
      <c r="AB2610" s="997"/>
      <c r="AC2610" s="997"/>
      <c r="AD2610" s="997"/>
      <c r="AE2610" s="997"/>
      <c r="AF2610" s="997"/>
      <c r="AG2610" s="997"/>
      <c r="AH2610" s="997"/>
      <c r="AI2610" s="997"/>
      <c r="AJ2610" s="997"/>
      <c r="AK2610" s="997"/>
      <c r="AL2610" s="997"/>
      <c r="AM2610" s="997"/>
      <c r="AN2610" s="997"/>
      <c r="AO2610" s="997"/>
      <c r="AP2610" s="997"/>
      <c r="AQ2610" s="997"/>
      <c r="AR2610" s="997"/>
      <c r="AS2610" s="997"/>
      <c r="AT2610" s="997"/>
      <c r="AU2610" s="997"/>
      <c r="AV2610" s="997"/>
      <c r="AW2610" s="997"/>
      <c r="AX2610" s="997"/>
      <c r="AY2610" s="997"/>
      <c r="AZ2610" s="997"/>
      <c r="BA2610" s="997"/>
      <c r="BB2610" s="997"/>
      <c r="BC2610" s="997"/>
      <c r="BD2610" s="997"/>
      <c r="BE2610" s="997"/>
      <c r="BF2610" s="997"/>
      <c r="BG2610" s="997"/>
      <c r="BH2610" s="997"/>
      <c r="BI2610" s="997"/>
      <c r="BJ2610" s="997"/>
      <c r="BK2610" s="997"/>
      <c r="BL2610" s="997"/>
    </row>
    <row r="2611" spans="1:64">
      <c r="A2611" s="1818"/>
      <c r="B2611" s="1818"/>
      <c r="C2611" s="1846"/>
      <c r="D2611" s="1846"/>
      <c r="E2611" s="1846"/>
      <c r="F2611" s="1068"/>
      <c r="G2611" s="1846"/>
      <c r="H2611" s="1846"/>
      <c r="I2611" s="1021"/>
      <c r="J2611" s="996"/>
      <c r="K2611" s="996"/>
      <c r="L2611" s="996"/>
    </row>
    <row r="2612" spans="1:64">
      <c r="A2612" s="1818"/>
      <c r="B2612" s="1818"/>
      <c r="C2612" s="1816" t="s">
        <v>1217</v>
      </c>
      <c r="D2612" s="1826" t="s">
        <v>1357</v>
      </c>
      <c r="E2612" s="1826" t="s">
        <v>1358</v>
      </c>
      <c r="F2612" s="1826" t="s">
        <v>1359</v>
      </c>
      <c r="G2612" s="1846"/>
      <c r="H2612" s="1846"/>
      <c r="I2612" s="1021"/>
      <c r="J2612" s="1846"/>
      <c r="K2612" s="1846"/>
      <c r="L2612" s="1846"/>
    </row>
    <row r="2613" spans="1:64">
      <c r="A2613" s="1818"/>
      <c r="B2613" s="1818"/>
      <c r="C2613" s="1817" t="s">
        <v>1317</v>
      </c>
      <c r="D2613" s="1001">
        <f>$I$2598</f>
        <v>2909.65</v>
      </c>
      <c r="E2613" s="1001">
        <f>$I$2598</f>
        <v>2909.65</v>
      </c>
      <c r="F2613" s="1001">
        <f>$I$2598</f>
        <v>2909.65</v>
      </c>
      <c r="G2613" s="1846"/>
      <c r="H2613" s="1846"/>
      <c r="I2613" s="1021"/>
      <c r="J2613" s="1846"/>
      <c r="K2613" s="1846"/>
      <c r="L2613" s="1846"/>
    </row>
    <row r="2614" spans="1:64">
      <c r="A2614" s="1818"/>
      <c r="B2614" s="1818"/>
      <c r="C2614" s="1817" t="s">
        <v>1391</v>
      </c>
      <c r="D2614" s="1030">
        <f>('Civil-SOR'!$F$233+'Civil-SOR'!$F$234+'Civil-SOR'!$F$235+'Civil-SOR'!$F$236)</f>
        <v>4.68</v>
      </c>
      <c r="E2614" s="1030">
        <f>('Civil-SOR'!$F$233+'Civil-SOR'!$F$234+'Civil-SOR'!$F$235+'Civil-SOR'!$F$236)</f>
        <v>4.68</v>
      </c>
      <c r="F2614" s="1030">
        <f>('Civil-SOR'!$F$233+'Civil-SOR'!$F$234+'Civil-SOR'!$F$235+'Civil-SOR'!$F$236)</f>
        <v>4.68</v>
      </c>
      <c r="G2614" s="1846"/>
      <c r="H2614" s="1846"/>
      <c r="I2614" s="1021"/>
      <c r="J2614" s="1846"/>
      <c r="K2614" s="1846"/>
      <c r="L2614" s="1846"/>
    </row>
    <row r="2615" spans="1:64">
      <c r="A2615" s="1818"/>
      <c r="B2615" s="1818"/>
      <c r="C2615" s="1817" t="s">
        <v>1392</v>
      </c>
      <c r="D2615" s="1030">
        <f>'Civil-SOR'!$G$239</f>
        <v>34.22</v>
      </c>
      <c r="E2615" s="1030">
        <f>'Civil-SOR'!$G$240</f>
        <v>38.35</v>
      </c>
      <c r="F2615" s="1030">
        <f>'Civil-SOR'!$G$241</f>
        <v>42.48</v>
      </c>
      <c r="G2615" s="1846"/>
      <c r="H2615" s="1846"/>
      <c r="I2615" s="1021"/>
      <c r="J2615" s="1846"/>
      <c r="K2615" s="1846"/>
      <c r="L2615" s="1846"/>
    </row>
    <row r="2616" spans="1:64">
      <c r="A2616" s="1818"/>
      <c r="B2616" s="1818"/>
      <c r="C2616" s="1817" t="str">
        <f>Input!$C$47</f>
        <v>Add for MA @ 40%</v>
      </c>
      <c r="D2616" s="1001">
        <f>ROUND(D2615*Input!$D$47,2)</f>
        <v>13.69</v>
      </c>
      <c r="E2616" s="1001">
        <f>ROUND(E2615*Input!$D$47,2)</f>
        <v>15.34</v>
      </c>
      <c r="F2616" s="1001">
        <f>ROUND(F2615*Input!$D$47,2)</f>
        <v>16.989999999999998</v>
      </c>
      <c r="G2616" s="1846"/>
      <c r="H2616" s="1846"/>
      <c r="I2616" s="1021"/>
      <c r="J2616" s="1846"/>
      <c r="K2616" s="1846"/>
      <c r="L2616" s="1846"/>
    </row>
    <row r="2617" spans="1:64">
      <c r="A2617" s="1818"/>
      <c r="B2617" s="1818"/>
      <c r="C2617" s="1817" t="s">
        <v>1253</v>
      </c>
      <c r="D2617" s="1001">
        <f>ROUND($F$2591/10*60%,2)</f>
        <v>627.29999999999995</v>
      </c>
      <c r="E2617" s="1001">
        <f>ROUND($F$2591/10*70%,2)</f>
        <v>731.85</v>
      </c>
      <c r="F2617" s="1001">
        <f>ROUND($F$2591/10*80%,2)</f>
        <v>836.4</v>
      </c>
      <c r="G2617" s="1846"/>
      <c r="H2617" s="1846"/>
      <c r="I2617" s="1021"/>
      <c r="J2617" s="1846"/>
      <c r="K2617" s="1846"/>
      <c r="L2617" s="1846"/>
    </row>
    <row r="2618" spans="1:64">
      <c r="A2618" s="1818"/>
      <c r="B2618" s="1818"/>
      <c r="C2618" s="1817" t="str">
        <f>Input!$C$47</f>
        <v>Add for MA @ 40%</v>
      </c>
      <c r="D2618" s="1001">
        <f>D2617*Input!$D$47</f>
        <v>250.92</v>
      </c>
      <c r="E2618" s="1001">
        <f>E2617*Input!$D$47</f>
        <v>292.74</v>
      </c>
      <c r="F2618" s="1001">
        <f>F2617*Input!$D$47</f>
        <v>334.56</v>
      </c>
      <c r="G2618" s="1846"/>
      <c r="H2618" s="1846"/>
      <c r="I2618" s="1021"/>
      <c r="J2618" s="1846"/>
      <c r="K2618" s="1846"/>
      <c r="L2618" s="1846"/>
    </row>
    <row r="2619" spans="1:64">
      <c r="A2619" s="1818"/>
      <c r="B2619" s="1818"/>
      <c r="C2619" s="1022"/>
      <c r="D2619" s="1001">
        <f>SUM(D2613:D2618)</f>
        <v>3840.46</v>
      </c>
      <c r="E2619" s="1001">
        <f>SUM(E2613:E2618)</f>
        <v>3992.6099999999997</v>
      </c>
      <c r="F2619" s="1001">
        <f>SUM(F2613:F2618)</f>
        <v>4144.76</v>
      </c>
      <c r="G2619" s="1846"/>
      <c r="H2619" s="1846"/>
      <c r="I2619" s="1021"/>
      <c r="J2619" s="1846"/>
      <c r="K2619" s="1846"/>
      <c r="L2619" s="1846"/>
    </row>
    <row r="2620" spans="1:64">
      <c r="A2620" s="1818"/>
      <c r="B2620" s="1818"/>
      <c r="C2620" s="1817" t="str">
        <f>Input!$C$48</f>
        <v>Overheads &amp; Contractors Profit @ 13.615%</v>
      </c>
      <c r="D2620" s="1001">
        <f>ROUND(D2619*Input!$D$48,2)</f>
        <v>522.88</v>
      </c>
      <c r="E2620" s="1001">
        <f>ROUND(E2619*Input!$D$48,2)</f>
        <v>543.59</v>
      </c>
      <c r="F2620" s="1001">
        <f>ROUND(F2619*Input!$D$48,2)</f>
        <v>564.30999999999995</v>
      </c>
      <c r="G2620" s="1846"/>
      <c r="H2620" s="1846"/>
      <c r="I2620" s="1021"/>
      <c r="J2620" s="1846"/>
      <c r="K2620" s="1846"/>
      <c r="L2620" s="1846"/>
    </row>
    <row r="2621" spans="1:64">
      <c r="A2621" s="1818"/>
      <c r="B2621" s="1818"/>
      <c r="C2621" s="1816" t="s">
        <v>1117</v>
      </c>
      <c r="D2621" s="1009">
        <f>SUM(D2619:D2620)</f>
        <v>4363.34</v>
      </c>
      <c r="E2621" s="1009">
        <f>SUM(E2619:E2620)</f>
        <v>4536.2</v>
      </c>
      <c r="F2621" s="1009">
        <f>SUM(F2619:F2620)</f>
        <v>4709.07</v>
      </c>
      <c r="G2621" s="1846"/>
      <c r="H2621" s="1846"/>
      <c r="I2621" s="1021"/>
      <c r="J2621" s="1846"/>
      <c r="K2621" s="1846"/>
      <c r="L2621" s="1846"/>
    </row>
    <row r="2622" spans="1:64">
      <c r="A2622" s="1818"/>
      <c r="B2622" s="1818"/>
      <c r="C2622" s="1022"/>
      <c r="D2622" s="999">
        <f>ROUND(D2621,0)</f>
        <v>4363</v>
      </c>
      <c r="E2622" s="999">
        <f>ROUND(E2621,0)</f>
        <v>4536</v>
      </c>
      <c r="F2622" s="999">
        <f>ROUND(F2621,0)</f>
        <v>4709</v>
      </c>
      <c r="G2622" s="1846"/>
      <c r="H2622" s="1846"/>
      <c r="I2622" s="1021"/>
      <c r="J2622" s="1846"/>
      <c r="K2622" s="1846"/>
      <c r="L2622" s="1846"/>
    </row>
    <row r="2623" spans="1:64">
      <c r="A2623" s="1818"/>
      <c r="B2623" s="1818"/>
      <c r="C2623" s="1846"/>
      <c r="D2623" s="1846"/>
      <c r="E2623" s="1846"/>
      <c r="F2623" s="1068"/>
      <c r="G2623" s="1846"/>
      <c r="H2623" s="1846"/>
      <c r="I2623" s="1021"/>
      <c r="J2623" s="1846"/>
      <c r="K2623" s="1846"/>
      <c r="L2623" s="1846"/>
    </row>
    <row r="2624" spans="1:64" ht="102.2" customHeight="1">
      <c r="A2624" s="1818">
        <f>A2577+1</f>
        <v>33</v>
      </c>
      <c r="B2624" s="1818"/>
      <c r="C2624" s="2036" t="s">
        <v>3420</v>
      </c>
      <c r="D2624" s="2036"/>
      <c r="E2624" s="2036"/>
      <c r="F2624" s="2036"/>
      <c r="G2624" s="2036"/>
      <c r="H2624" s="2036"/>
      <c r="I2624" s="1825"/>
      <c r="J2624" s="1846"/>
      <c r="K2624" s="1846"/>
      <c r="L2624" s="1846"/>
    </row>
    <row r="2625" spans="1:64">
      <c r="A2625" s="1818"/>
      <c r="B2625" s="1818"/>
      <c r="C2625" s="1049" t="s">
        <v>1393</v>
      </c>
      <c r="D2625" s="1846"/>
      <c r="E2625" s="1846"/>
      <c r="F2625" s="1068"/>
      <c r="G2625" s="1846"/>
      <c r="H2625" s="1846"/>
      <c r="I2625" s="1021"/>
      <c r="J2625" s="1846"/>
      <c r="K2625" s="1846"/>
      <c r="L2625" s="1846"/>
    </row>
    <row r="2626" spans="1:64">
      <c r="A2626" s="1818"/>
      <c r="B2626" s="1818"/>
      <c r="C2626" s="1820" t="s">
        <v>1394</v>
      </c>
      <c r="D2626" s="1846"/>
      <c r="E2626" s="1846"/>
      <c r="F2626" s="1068"/>
      <c r="G2626" s="1846"/>
      <c r="H2626" s="1846"/>
      <c r="I2626" s="1021"/>
      <c r="J2626" s="1846"/>
      <c r="K2626" s="1846"/>
      <c r="L2626" s="1846"/>
    </row>
    <row r="2627" spans="1:64">
      <c r="A2627" s="1818"/>
      <c r="B2627" s="1818"/>
      <c r="C2627" s="1825" t="s">
        <v>1395</v>
      </c>
      <c r="D2627" s="1096"/>
      <c r="E2627" s="1846"/>
      <c r="F2627" s="1021"/>
      <c r="G2627" s="1105"/>
      <c r="H2627" s="1846"/>
      <c r="I2627" s="1030"/>
      <c r="J2627" s="1846"/>
      <c r="K2627" s="1846"/>
      <c r="L2627" s="1846"/>
    </row>
    <row r="2628" spans="1:64">
      <c r="A2628" s="1058"/>
      <c r="B2628" s="1058"/>
      <c r="C2628" s="1817" t="s">
        <v>1396</v>
      </c>
      <c r="D2628" s="1137">
        <v>11</v>
      </c>
      <c r="E2628" s="1022" t="s">
        <v>46</v>
      </c>
      <c r="F2628" s="1848">
        <f>LEAD!$N$26</f>
        <v>2705.69</v>
      </c>
      <c r="G2628" s="1076">
        <v>10</v>
      </c>
      <c r="H2628" s="1849" t="s">
        <v>46</v>
      </c>
      <c r="I2628" s="1062">
        <f t="shared" ref="I2628:I2632" si="620">IF(G2628="",D2628*F2628,(D2628*F2628/G2628))</f>
        <v>2976.259</v>
      </c>
      <c r="J2628" s="1022"/>
      <c r="K2628" s="1022"/>
      <c r="L2628" s="1022"/>
      <c r="M2628" s="1066"/>
      <c r="N2628" s="1066"/>
      <c r="O2628" s="1066"/>
      <c r="P2628" s="1066"/>
      <c r="Q2628" s="1066"/>
      <c r="R2628" s="1066"/>
      <c r="S2628" s="1066"/>
      <c r="T2628" s="1066"/>
      <c r="U2628" s="1066"/>
      <c r="V2628" s="1066"/>
      <c r="W2628" s="1066"/>
      <c r="X2628" s="1066"/>
      <c r="Y2628" s="1066"/>
      <c r="Z2628" s="1066"/>
      <c r="AA2628" s="1066"/>
      <c r="AB2628" s="1066"/>
      <c r="AC2628" s="1066"/>
      <c r="AD2628" s="1066"/>
      <c r="AE2628" s="1066"/>
      <c r="AF2628" s="1066"/>
      <c r="AG2628" s="1066"/>
      <c r="AH2628" s="1066"/>
      <c r="AI2628" s="1066"/>
      <c r="AJ2628" s="1066"/>
      <c r="AK2628" s="1066"/>
      <c r="AL2628" s="1066"/>
      <c r="AM2628" s="1066"/>
      <c r="AN2628" s="1066"/>
      <c r="AO2628" s="1066"/>
      <c r="AP2628" s="1066"/>
      <c r="AQ2628" s="1066"/>
      <c r="AR2628" s="1066"/>
      <c r="AS2628" s="1066"/>
      <c r="AT2628" s="1066"/>
      <c r="AU2628" s="1066"/>
      <c r="AV2628" s="1066"/>
      <c r="AW2628" s="1066"/>
      <c r="AX2628" s="1066"/>
      <c r="AY2628" s="1066"/>
      <c r="AZ2628" s="1066"/>
      <c r="BA2628" s="1066"/>
      <c r="BB2628" s="1066"/>
      <c r="BC2628" s="1066"/>
      <c r="BD2628" s="1066"/>
      <c r="BE2628" s="1066"/>
      <c r="BF2628" s="1066"/>
      <c r="BG2628" s="1066"/>
      <c r="BH2628" s="1066"/>
      <c r="BI2628" s="1066"/>
      <c r="BJ2628" s="1066"/>
      <c r="BK2628" s="1066"/>
      <c r="BL2628" s="1066"/>
    </row>
    <row r="2629" spans="1:64">
      <c r="A2629" s="1058"/>
      <c r="B2629" s="1058"/>
      <c r="C2629" s="1817" t="s">
        <v>1397</v>
      </c>
      <c r="D2629" s="1137">
        <v>21.6</v>
      </c>
      <c r="E2629" s="1022" t="s">
        <v>1110</v>
      </c>
      <c r="F2629" s="1848">
        <f>LEAD!$N$6</f>
        <v>5200</v>
      </c>
      <c r="G2629" s="1076">
        <v>1000</v>
      </c>
      <c r="H2629" s="1022" t="s">
        <v>1110</v>
      </c>
      <c r="I2629" s="1062">
        <f t="shared" si="620"/>
        <v>112.32000000000002</v>
      </c>
      <c r="J2629" s="1022"/>
      <c r="K2629" s="1022"/>
      <c r="L2629" s="1022"/>
      <c r="M2629" s="1066"/>
      <c r="N2629" s="1066"/>
      <c r="O2629" s="1066"/>
      <c r="P2629" s="1066"/>
      <c r="Q2629" s="1066"/>
      <c r="R2629" s="1066"/>
      <c r="S2629" s="1066"/>
      <c r="T2629" s="1066"/>
      <c r="U2629" s="1066"/>
      <c r="V2629" s="1066"/>
      <c r="W2629" s="1066"/>
      <c r="X2629" s="1066"/>
      <c r="Y2629" s="1066"/>
      <c r="Z2629" s="1066"/>
      <c r="AA2629" s="1066"/>
      <c r="AB2629" s="1066"/>
      <c r="AC2629" s="1066"/>
      <c r="AD2629" s="1066"/>
      <c r="AE2629" s="1066"/>
      <c r="AF2629" s="1066"/>
      <c r="AG2629" s="1066"/>
      <c r="AH2629" s="1066"/>
      <c r="AI2629" s="1066"/>
      <c r="AJ2629" s="1066"/>
      <c r="AK2629" s="1066"/>
      <c r="AL2629" s="1066"/>
      <c r="AM2629" s="1066"/>
      <c r="AN2629" s="1066"/>
      <c r="AO2629" s="1066"/>
      <c r="AP2629" s="1066"/>
      <c r="AQ2629" s="1066"/>
      <c r="AR2629" s="1066"/>
      <c r="AS2629" s="1066"/>
      <c r="AT2629" s="1066"/>
      <c r="AU2629" s="1066"/>
      <c r="AV2629" s="1066"/>
      <c r="AW2629" s="1066"/>
      <c r="AX2629" s="1066"/>
      <c r="AY2629" s="1066"/>
      <c r="AZ2629" s="1066"/>
      <c r="BA2629" s="1066"/>
      <c r="BB2629" s="1066"/>
      <c r="BC2629" s="1066"/>
      <c r="BD2629" s="1066"/>
      <c r="BE2629" s="1066"/>
      <c r="BF2629" s="1066"/>
      <c r="BG2629" s="1066"/>
      <c r="BH2629" s="1066"/>
      <c r="BI2629" s="1066"/>
      <c r="BJ2629" s="1066"/>
      <c r="BK2629" s="1066"/>
      <c r="BL2629" s="1066"/>
    </row>
    <row r="2630" spans="1:64">
      <c r="A2630" s="1058"/>
      <c r="B2630" s="1058"/>
      <c r="C2630" s="1817" t="s">
        <v>1398</v>
      </c>
      <c r="D2630" s="1137">
        <v>33</v>
      </c>
      <c r="E2630" s="1022" t="s">
        <v>1110</v>
      </c>
      <c r="F2630" s="1848">
        <f>LEAD!$N$6</f>
        <v>5200</v>
      </c>
      <c r="G2630" s="1076">
        <v>1000</v>
      </c>
      <c r="H2630" s="1022" t="s">
        <v>1110</v>
      </c>
      <c r="I2630" s="1062">
        <f t="shared" si="620"/>
        <v>171.6</v>
      </c>
      <c r="J2630" s="1022"/>
      <c r="K2630" s="1022"/>
      <c r="L2630" s="1022"/>
      <c r="M2630" s="1066"/>
      <c r="N2630" s="1066"/>
      <c r="O2630" s="1066"/>
      <c r="P2630" s="1066"/>
      <c r="Q2630" s="1066"/>
      <c r="R2630" s="1066"/>
      <c r="S2630" s="1066"/>
      <c r="T2630" s="1066"/>
      <c r="U2630" s="1066"/>
      <c r="V2630" s="1066"/>
      <c r="W2630" s="1066"/>
      <c r="X2630" s="1066"/>
      <c r="Y2630" s="1066"/>
      <c r="Z2630" s="1066"/>
      <c r="AA2630" s="1066"/>
      <c r="AB2630" s="1066"/>
      <c r="AC2630" s="1066"/>
      <c r="AD2630" s="1066"/>
      <c r="AE2630" s="1066"/>
      <c r="AF2630" s="1066"/>
      <c r="AG2630" s="1066"/>
      <c r="AH2630" s="1066"/>
      <c r="AI2630" s="1066"/>
      <c r="AJ2630" s="1066"/>
      <c r="AK2630" s="1066"/>
      <c r="AL2630" s="1066"/>
      <c r="AM2630" s="1066"/>
      <c r="AN2630" s="1066"/>
      <c r="AO2630" s="1066"/>
      <c r="AP2630" s="1066"/>
      <c r="AQ2630" s="1066"/>
      <c r="AR2630" s="1066"/>
      <c r="AS2630" s="1066"/>
      <c r="AT2630" s="1066"/>
      <c r="AU2630" s="1066"/>
      <c r="AV2630" s="1066"/>
      <c r="AW2630" s="1066"/>
      <c r="AX2630" s="1066"/>
      <c r="AY2630" s="1066"/>
      <c r="AZ2630" s="1066"/>
      <c r="BA2630" s="1066"/>
      <c r="BB2630" s="1066"/>
      <c r="BC2630" s="1066"/>
      <c r="BD2630" s="1066"/>
      <c r="BE2630" s="1066"/>
      <c r="BF2630" s="1066"/>
      <c r="BG2630" s="1066"/>
      <c r="BH2630" s="1066"/>
      <c r="BI2630" s="1066"/>
      <c r="BJ2630" s="1066"/>
      <c r="BK2630" s="1066"/>
      <c r="BL2630" s="1066"/>
    </row>
    <row r="2631" spans="1:64">
      <c r="A2631" s="1058"/>
      <c r="B2631" s="1058"/>
      <c r="C2631" s="1817" t="s">
        <v>1399</v>
      </c>
      <c r="D2631" s="1137">
        <v>20</v>
      </c>
      <c r="E2631" s="1022" t="s">
        <v>1110</v>
      </c>
      <c r="F2631" s="1848">
        <f>LEAD!$N$6</f>
        <v>5200</v>
      </c>
      <c r="G2631" s="1076">
        <v>1000</v>
      </c>
      <c r="H2631" s="1022" t="s">
        <v>1110</v>
      </c>
      <c r="I2631" s="1062">
        <f t="shared" si="620"/>
        <v>104</v>
      </c>
      <c r="J2631" s="1022"/>
      <c r="K2631" s="1022"/>
      <c r="L2631" s="1022"/>
      <c r="M2631" s="1066"/>
      <c r="N2631" s="1066"/>
      <c r="O2631" s="1066"/>
      <c r="P2631" s="1066"/>
      <c r="Q2631" s="1066"/>
      <c r="R2631" s="1066"/>
      <c r="S2631" s="1066"/>
      <c r="T2631" s="1066"/>
      <c r="U2631" s="1066"/>
      <c r="V2631" s="1066"/>
      <c r="W2631" s="1066"/>
      <c r="X2631" s="1066"/>
      <c r="Y2631" s="1066"/>
      <c r="Z2631" s="1066"/>
      <c r="AA2631" s="1066"/>
      <c r="AB2631" s="1066"/>
      <c r="AC2631" s="1066"/>
      <c r="AD2631" s="1066"/>
      <c r="AE2631" s="1066"/>
      <c r="AF2631" s="1066"/>
      <c r="AG2631" s="1066"/>
      <c r="AH2631" s="1066"/>
      <c r="AI2631" s="1066"/>
      <c r="AJ2631" s="1066"/>
      <c r="AK2631" s="1066"/>
      <c r="AL2631" s="1066"/>
      <c r="AM2631" s="1066"/>
      <c r="AN2631" s="1066"/>
      <c r="AO2631" s="1066"/>
      <c r="AP2631" s="1066"/>
      <c r="AQ2631" s="1066"/>
      <c r="AR2631" s="1066"/>
      <c r="AS2631" s="1066"/>
      <c r="AT2631" s="1066"/>
      <c r="AU2631" s="1066"/>
      <c r="AV2631" s="1066"/>
      <c r="AW2631" s="1066"/>
      <c r="AX2631" s="1066"/>
      <c r="AY2631" s="1066"/>
      <c r="AZ2631" s="1066"/>
      <c r="BA2631" s="1066"/>
      <c r="BB2631" s="1066"/>
      <c r="BC2631" s="1066"/>
      <c r="BD2631" s="1066"/>
      <c r="BE2631" s="1066"/>
      <c r="BF2631" s="1066"/>
      <c r="BG2631" s="1066"/>
      <c r="BH2631" s="1066"/>
      <c r="BI2631" s="1066"/>
      <c r="BJ2631" s="1066"/>
      <c r="BK2631" s="1066"/>
      <c r="BL2631" s="1066"/>
    </row>
    <row r="2632" spans="1:64">
      <c r="A2632" s="1058"/>
      <c r="B2632" s="1058"/>
      <c r="C2632" s="1817" t="s">
        <v>1400</v>
      </c>
      <c r="D2632" s="1137">
        <v>0.12</v>
      </c>
      <c r="E2632" s="1022" t="s">
        <v>484</v>
      </c>
      <c r="F2632" s="1848">
        <f>LEAD!$N$13</f>
        <v>2453.91</v>
      </c>
      <c r="G2632" s="1076">
        <v>1</v>
      </c>
      <c r="H2632" s="1022" t="s">
        <v>484</v>
      </c>
      <c r="I2632" s="1062">
        <f t="shared" si="620"/>
        <v>294.46919999999994</v>
      </c>
      <c r="J2632" s="1022"/>
      <c r="K2632" s="1022"/>
      <c r="L2632" s="1022"/>
      <c r="M2632" s="1066"/>
      <c r="N2632" s="1066"/>
      <c r="O2632" s="1066"/>
      <c r="P2632" s="1066"/>
      <c r="Q2632" s="1066"/>
      <c r="R2632" s="1066"/>
      <c r="S2632" s="1066"/>
      <c r="T2632" s="1066"/>
      <c r="U2632" s="1066"/>
      <c r="V2632" s="1066"/>
      <c r="W2632" s="1066"/>
      <c r="X2632" s="1066"/>
      <c r="Y2632" s="1066"/>
      <c r="Z2632" s="1066"/>
      <c r="AA2632" s="1066"/>
      <c r="AB2632" s="1066"/>
      <c r="AC2632" s="1066"/>
      <c r="AD2632" s="1066"/>
      <c r="AE2632" s="1066"/>
      <c r="AF2632" s="1066"/>
      <c r="AG2632" s="1066"/>
      <c r="AH2632" s="1066"/>
      <c r="AI2632" s="1066"/>
      <c r="AJ2632" s="1066"/>
      <c r="AK2632" s="1066"/>
      <c r="AL2632" s="1066"/>
      <c r="AM2632" s="1066"/>
      <c r="AN2632" s="1066"/>
      <c r="AO2632" s="1066"/>
      <c r="AP2632" s="1066"/>
      <c r="AQ2632" s="1066"/>
      <c r="AR2632" s="1066"/>
      <c r="AS2632" s="1066"/>
      <c r="AT2632" s="1066"/>
      <c r="AU2632" s="1066"/>
      <c r="AV2632" s="1066"/>
      <c r="AW2632" s="1066"/>
      <c r="AX2632" s="1066"/>
      <c r="AY2632" s="1066"/>
      <c r="AZ2632" s="1066"/>
      <c r="BA2632" s="1066"/>
      <c r="BB2632" s="1066"/>
      <c r="BC2632" s="1066"/>
      <c r="BD2632" s="1066"/>
      <c r="BE2632" s="1066"/>
      <c r="BF2632" s="1066"/>
      <c r="BG2632" s="1066"/>
      <c r="BH2632" s="1066"/>
      <c r="BI2632" s="1066"/>
      <c r="BJ2632" s="1066"/>
      <c r="BK2632" s="1066"/>
      <c r="BL2632" s="1066"/>
    </row>
    <row r="2633" spans="1:64">
      <c r="A2633" s="1058"/>
      <c r="B2633" s="1058"/>
      <c r="C2633" s="1816" t="s">
        <v>1324</v>
      </c>
      <c r="D2633" s="1137"/>
      <c r="E2633" s="1022"/>
      <c r="F2633" s="1848"/>
      <c r="G2633" s="1076"/>
      <c r="H2633" s="1022"/>
      <c r="I2633" s="1062"/>
      <c r="J2633" s="1022"/>
      <c r="K2633" s="1022"/>
      <c r="L2633" s="1022"/>
      <c r="M2633" s="1066"/>
      <c r="N2633" s="1066"/>
      <c r="O2633" s="1066"/>
      <c r="P2633" s="1066"/>
      <c r="Q2633" s="1066"/>
      <c r="R2633" s="1066"/>
      <c r="S2633" s="1066"/>
      <c r="T2633" s="1066"/>
      <c r="U2633" s="1066"/>
      <c r="V2633" s="1066"/>
      <c r="W2633" s="1066"/>
      <c r="X2633" s="1066"/>
      <c r="Y2633" s="1066"/>
      <c r="Z2633" s="1066"/>
      <c r="AA2633" s="1066"/>
      <c r="AB2633" s="1066"/>
      <c r="AC2633" s="1066"/>
      <c r="AD2633" s="1066"/>
      <c r="AE2633" s="1066"/>
      <c r="AF2633" s="1066"/>
      <c r="AG2633" s="1066"/>
      <c r="AH2633" s="1066"/>
      <c r="AI2633" s="1066"/>
      <c r="AJ2633" s="1066"/>
      <c r="AK2633" s="1066"/>
      <c r="AL2633" s="1066"/>
      <c r="AM2633" s="1066"/>
      <c r="AN2633" s="1066"/>
      <c r="AO2633" s="1066"/>
      <c r="AP2633" s="1066"/>
      <c r="AQ2633" s="1066"/>
      <c r="AR2633" s="1066"/>
      <c r="AS2633" s="1066"/>
      <c r="AT2633" s="1066"/>
      <c r="AU2633" s="1066"/>
      <c r="AV2633" s="1066"/>
      <c r="AW2633" s="1066"/>
      <c r="AX2633" s="1066"/>
      <c r="AY2633" s="1066"/>
      <c r="AZ2633" s="1066"/>
      <c r="BA2633" s="1066"/>
      <c r="BB2633" s="1066"/>
      <c r="BC2633" s="1066"/>
      <c r="BD2633" s="1066"/>
      <c r="BE2633" s="1066"/>
      <c r="BF2633" s="1066"/>
      <c r="BG2633" s="1066"/>
      <c r="BH2633" s="1066"/>
      <c r="BI2633" s="1066"/>
      <c r="BJ2633" s="1066"/>
      <c r="BK2633" s="1066"/>
      <c r="BL2633" s="1066"/>
    </row>
    <row r="2634" spans="1:64">
      <c r="A2634" s="1058"/>
      <c r="B2634" s="1058"/>
      <c r="C2634" s="1817" t="s">
        <v>1299</v>
      </c>
      <c r="D2634" s="1137">
        <v>3.1</v>
      </c>
      <c r="E2634" s="1022" t="s">
        <v>955</v>
      </c>
      <c r="F2634" s="1848">
        <f>'Civil-SOR'!$G$293</f>
        <v>580</v>
      </c>
      <c r="G2634" s="1076">
        <v>1</v>
      </c>
      <c r="H2634" s="1022" t="s">
        <v>501</v>
      </c>
      <c r="I2634" s="1062">
        <f t="shared" ref="I2634:I2638" si="621">IF(G2634="",D2634*F2634,(D2634*F2634/G2634))</f>
        <v>1798</v>
      </c>
      <c r="J2634" s="1022"/>
      <c r="K2634" s="1022"/>
      <c r="L2634" s="1022"/>
      <c r="M2634" s="1066"/>
      <c r="N2634" s="1066"/>
      <c r="O2634" s="1066"/>
      <c r="P2634" s="1066"/>
      <c r="Q2634" s="1066"/>
      <c r="R2634" s="1066"/>
      <c r="S2634" s="1066"/>
      <c r="T2634" s="1066"/>
      <c r="U2634" s="1066"/>
      <c r="V2634" s="1066"/>
      <c r="W2634" s="1066"/>
      <c r="X2634" s="1066"/>
      <c r="Y2634" s="1066"/>
      <c r="Z2634" s="1066"/>
      <c r="AA2634" s="1066"/>
      <c r="AB2634" s="1066"/>
      <c r="AC2634" s="1066"/>
      <c r="AD2634" s="1066"/>
      <c r="AE2634" s="1066"/>
      <c r="AF2634" s="1066"/>
      <c r="AG2634" s="1066"/>
      <c r="AH2634" s="1066"/>
      <c r="AI2634" s="1066"/>
      <c r="AJ2634" s="1066"/>
      <c r="AK2634" s="1066"/>
      <c r="AL2634" s="1066"/>
      <c r="AM2634" s="1066"/>
      <c r="AN2634" s="1066"/>
      <c r="AO2634" s="1066"/>
      <c r="AP2634" s="1066"/>
      <c r="AQ2634" s="1066"/>
      <c r="AR2634" s="1066"/>
      <c r="AS2634" s="1066"/>
      <c r="AT2634" s="1066"/>
      <c r="AU2634" s="1066"/>
      <c r="AV2634" s="1066"/>
      <c r="AW2634" s="1066"/>
      <c r="AX2634" s="1066"/>
      <c r="AY2634" s="1066"/>
      <c r="AZ2634" s="1066"/>
      <c r="BA2634" s="1066"/>
      <c r="BB2634" s="1066"/>
      <c r="BC2634" s="1066"/>
      <c r="BD2634" s="1066"/>
      <c r="BE2634" s="1066"/>
      <c r="BF2634" s="1066"/>
      <c r="BG2634" s="1066"/>
      <c r="BH2634" s="1066"/>
      <c r="BI2634" s="1066"/>
      <c r="BJ2634" s="1066"/>
      <c r="BK2634" s="1066"/>
      <c r="BL2634" s="1066"/>
    </row>
    <row r="2635" spans="1:64">
      <c r="A2635" s="1058"/>
      <c r="B2635" s="1058"/>
      <c r="C2635" s="1817" t="s">
        <v>1325</v>
      </c>
      <c r="D2635" s="1137">
        <v>1.1000000000000001</v>
      </c>
      <c r="E2635" s="1022" t="s">
        <v>955</v>
      </c>
      <c r="F2635" s="1848">
        <f>'Civil-SOR'!$G$302</f>
        <v>550</v>
      </c>
      <c r="G2635" s="1076">
        <v>1</v>
      </c>
      <c r="H2635" s="1022" t="s">
        <v>501</v>
      </c>
      <c r="I2635" s="1062">
        <f t="shared" si="621"/>
        <v>605</v>
      </c>
      <c r="J2635" s="1022"/>
      <c r="K2635" s="1022"/>
      <c r="L2635" s="1022"/>
      <c r="M2635" s="1066"/>
      <c r="N2635" s="1066"/>
      <c r="O2635" s="1066"/>
      <c r="P2635" s="1066"/>
      <c r="Q2635" s="1066"/>
      <c r="R2635" s="1066"/>
      <c r="S2635" s="1066"/>
      <c r="T2635" s="1066"/>
      <c r="U2635" s="1066"/>
      <c r="V2635" s="1066"/>
      <c r="W2635" s="1066"/>
      <c r="X2635" s="1066"/>
      <c r="Y2635" s="1066"/>
      <c r="Z2635" s="1066"/>
      <c r="AA2635" s="1066"/>
      <c r="AB2635" s="1066"/>
      <c r="AC2635" s="1066"/>
      <c r="AD2635" s="1066"/>
      <c r="AE2635" s="1066"/>
      <c r="AF2635" s="1066"/>
      <c r="AG2635" s="1066"/>
      <c r="AH2635" s="1066"/>
      <c r="AI2635" s="1066"/>
      <c r="AJ2635" s="1066"/>
      <c r="AK2635" s="1066"/>
      <c r="AL2635" s="1066"/>
      <c r="AM2635" s="1066"/>
      <c r="AN2635" s="1066"/>
      <c r="AO2635" s="1066"/>
      <c r="AP2635" s="1066"/>
      <c r="AQ2635" s="1066"/>
      <c r="AR2635" s="1066"/>
      <c r="AS2635" s="1066"/>
      <c r="AT2635" s="1066"/>
      <c r="AU2635" s="1066"/>
      <c r="AV2635" s="1066"/>
      <c r="AW2635" s="1066"/>
      <c r="AX2635" s="1066"/>
      <c r="AY2635" s="1066"/>
      <c r="AZ2635" s="1066"/>
      <c r="BA2635" s="1066"/>
      <c r="BB2635" s="1066"/>
      <c r="BC2635" s="1066"/>
      <c r="BD2635" s="1066"/>
      <c r="BE2635" s="1066"/>
      <c r="BF2635" s="1066"/>
      <c r="BG2635" s="1066"/>
      <c r="BH2635" s="1066"/>
      <c r="BI2635" s="1066"/>
      <c r="BJ2635" s="1066"/>
      <c r="BK2635" s="1066"/>
      <c r="BL2635" s="1066"/>
    </row>
    <row r="2636" spans="1:64">
      <c r="A2636" s="1058"/>
      <c r="B2636" s="1058"/>
      <c r="C2636" s="1817" t="s">
        <v>1401</v>
      </c>
      <c r="D2636" s="1137">
        <v>0.86</v>
      </c>
      <c r="E2636" s="1022" t="s">
        <v>955</v>
      </c>
      <c r="F2636" s="1848">
        <f>'Civil-SOR'!$G$307</f>
        <v>520</v>
      </c>
      <c r="G2636" s="1076">
        <v>1</v>
      </c>
      <c r="H2636" s="1022" t="s">
        <v>501</v>
      </c>
      <c r="I2636" s="1062">
        <f t="shared" si="621"/>
        <v>447.2</v>
      </c>
      <c r="J2636" s="1022"/>
      <c r="K2636" s="1022"/>
      <c r="L2636" s="1022"/>
      <c r="M2636" s="1066"/>
      <c r="N2636" s="1066"/>
      <c r="O2636" s="1066"/>
      <c r="P2636" s="1066"/>
      <c r="Q2636" s="1066"/>
      <c r="R2636" s="1066"/>
      <c r="S2636" s="1066"/>
      <c r="T2636" s="1066"/>
      <c r="U2636" s="1066"/>
      <c r="V2636" s="1066"/>
      <c r="W2636" s="1066"/>
      <c r="X2636" s="1066"/>
      <c r="Y2636" s="1066"/>
      <c r="Z2636" s="1066"/>
      <c r="AA2636" s="1066"/>
      <c r="AB2636" s="1066"/>
      <c r="AC2636" s="1066"/>
      <c r="AD2636" s="1066"/>
      <c r="AE2636" s="1066"/>
      <c r="AF2636" s="1066"/>
      <c r="AG2636" s="1066"/>
      <c r="AH2636" s="1066"/>
      <c r="AI2636" s="1066"/>
      <c r="AJ2636" s="1066"/>
      <c r="AK2636" s="1066"/>
      <c r="AL2636" s="1066"/>
      <c r="AM2636" s="1066"/>
      <c r="AN2636" s="1066"/>
      <c r="AO2636" s="1066"/>
      <c r="AP2636" s="1066"/>
      <c r="AQ2636" s="1066"/>
      <c r="AR2636" s="1066"/>
      <c r="AS2636" s="1066"/>
      <c r="AT2636" s="1066"/>
      <c r="AU2636" s="1066"/>
      <c r="AV2636" s="1066"/>
      <c r="AW2636" s="1066"/>
      <c r="AX2636" s="1066"/>
      <c r="AY2636" s="1066"/>
      <c r="AZ2636" s="1066"/>
      <c r="BA2636" s="1066"/>
      <c r="BB2636" s="1066"/>
      <c r="BC2636" s="1066"/>
      <c r="BD2636" s="1066"/>
      <c r="BE2636" s="1066"/>
      <c r="BF2636" s="1066"/>
      <c r="BG2636" s="1066"/>
      <c r="BH2636" s="1066"/>
      <c r="BI2636" s="1066"/>
      <c r="BJ2636" s="1066"/>
      <c r="BK2636" s="1066"/>
      <c r="BL2636" s="1066"/>
    </row>
    <row r="2637" spans="1:64">
      <c r="A2637" s="1058"/>
      <c r="B2637" s="1058"/>
      <c r="C2637" s="1817" t="str">
        <f>Input!$C$47</f>
        <v>Add for MA @ 40%</v>
      </c>
      <c r="D2637" s="1160">
        <f>Input!$D$47</f>
        <v>0.4</v>
      </c>
      <c r="E2637" s="1022"/>
      <c r="F2637" s="1848">
        <f>SUM(I2634:I2636)</f>
        <v>2850.2</v>
      </c>
      <c r="G2637" s="1076"/>
      <c r="H2637" s="1022"/>
      <c r="I2637" s="1062">
        <f t="shared" si="621"/>
        <v>1140.08</v>
      </c>
      <c r="J2637" s="1022"/>
      <c r="K2637" s="1022"/>
      <c r="L2637" s="1022"/>
      <c r="M2637" s="1066"/>
      <c r="N2637" s="1066"/>
      <c r="O2637" s="1066"/>
      <c r="P2637" s="1066"/>
      <c r="Q2637" s="1066"/>
      <c r="R2637" s="1066"/>
      <c r="S2637" s="1066"/>
      <c r="T2637" s="1066"/>
      <c r="U2637" s="1066"/>
      <c r="V2637" s="1066"/>
      <c r="W2637" s="1066"/>
      <c r="X2637" s="1066"/>
      <c r="Y2637" s="1066"/>
      <c r="Z2637" s="1066"/>
      <c r="AA2637" s="1066"/>
      <c r="AB2637" s="1066"/>
      <c r="AC2637" s="1066"/>
      <c r="AD2637" s="1066"/>
      <c r="AE2637" s="1066"/>
      <c r="AF2637" s="1066"/>
      <c r="AG2637" s="1066"/>
      <c r="AH2637" s="1066"/>
      <c r="AI2637" s="1066"/>
      <c r="AJ2637" s="1066"/>
      <c r="AK2637" s="1066"/>
      <c r="AL2637" s="1066"/>
      <c r="AM2637" s="1066"/>
      <c r="AN2637" s="1066"/>
      <c r="AO2637" s="1066"/>
      <c r="AP2637" s="1066"/>
      <c r="AQ2637" s="1066"/>
      <c r="AR2637" s="1066"/>
      <c r="AS2637" s="1066"/>
      <c r="AT2637" s="1066"/>
      <c r="AU2637" s="1066"/>
      <c r="AV2637" s="1066"/>
      <c r="AW2637" s="1066"/>
      <c r="AX2637" s="1066"/>
      <c r="AY2637" s="1066"/>
      <c r="AZ2637" s="1066"/>
      <c r="BA2637" s="1066"/>
      <c r="BB2637" s="1066"/>
      <c r="BC2637" s="1066"/>
      <c r="BD2637" s="1066"/>
      <c r="BE2637" s="1066"/>
      <c r="BF2637" s="1066"/>
      <c r="BG2637" s="1066"/>
      <c r="BH2637" s="1066"/>
      <c r="BI2637" s="1066"/>
      <c r="BJ2637" s="1066"/>
      <c r="BK2637" s="1066"/>
      <c r="BL2637" s="1066"/>
    </row>
    <row r="2638" spans="1:64">
      <c r="A2638" s="1058"/>
      <c r="B2638" s="1058"/>
      <c r="C2638" s="1817" t="s">
        <v>1301</v>
      </c>
      <c r="D2638" s="1137">
        <v>0.01</v>
      </c>
      <c r="E2638" s="1022"/>
      <c r="F2638" s="1848">
        <f>SUM(I2628:I2637)</f>
        <v>7648.9281999999994</v>
      </c>
      <c r="G2638" s="1076"/>
      <c r="H2638" s="1022"/>
      <c r="I2638" s="1062">
        <f t="shared" si="621"/>
        <v>76.489281999999989</v>
      </c>
      <c r="J2638" s="1022"/>
      <c r="K2638" s="1022"/>
      <c r="L2638" s="1022"/>
      <c r="M2638" s="1066"/>
      <c r="N2638" s="1066"/>
      <c r="O2638" s="1066"/>
      <c r="P2638" s="1066"/>
      <c r="Q2638" s="1066"/>
      <c r="R2638" s="1066"/>
      <c r="S2638" s="1066"/>
      <c r="T2638" s="1066"/>
      <c r="U2638" s="1066"/>
      <c r="V2638" s="1066"/>
      <c r="W2638" s="1066"/>
      <c r="X2638" s="1066"/>
      <c r="Y2638" s="1066"/>
      <c r="Z2638" s="1066"/>
      <c r="AA2638" s="1066"/>
      <c r="AB2638" s="1066"/>
      <c r="AC2638" s="1066"/>
      <c r="AD2638" s="1066"/>
      <c r="AE2638" s="1066"/>
      <c r="AF2638" s="1066"/>
      <c r="AG2638" s="1066"/>
      <c r="AH2638" s="1066"/>
      <c r="AI2638" s="1066"/>
      <c r="AJ2638" s="1066"/>
      <c r="AK2638" s="1066"/>
      <c r="AL2638" s="1066"/>
      <c r="AM2638" s="1066"/>
      <c r="AN2638" s="1066"/>
      <c r="AO2638" s="1066"/>
      <c r="AP2638" s="1066"/>
      <c r="AQ2638" s="1066"/>
      <c r="AR2638" s="1066"/>
      <c r="AS2638" s="1066"/>
      <c r="AT2638" s="1066"/>
      <c r="AU2638" s="1066"/>
      <c r="AV2638" s="1066"/>
      <c r="AW2638" s="1066"/>
      <c r="AX2638" s="1066"/>
      <c r="AY2638" s="1066"/>
      <c r="AZ2638" s="1066"/>
      <c r="BA2638" s="1066"/>
      <c r="BB2638" s="1066"/>
      <c r="BC2638" s="1066"/>
      <c r="BD2638" s="1066"/>
      <c r="BE2638" s="1066"/>
      <c r="BF2638" s="1066"/>
      <c r="BG2638" s="1066"/>
      <c r="BH2638" s="1066"/>
      <c r="BI2638" s="1066"/>
      <c r="BJ2638" s="1066"/>
      <c r="BK2638" s="1066"/>
      <c r="BL2638" s="1066"/>
    </row>
    <row r="2639" spans="1:64">
      <c r="A2639" s="1086"/>
      <c r="B2639" s="1086"/>
      <c r="C2639" s="1183" t="s">
        <v>1402</v>
      </c>
      <c r="D2639" s="1117"/>
      <c r="E2639" s="996"/>
      <c r="F2639" s="1829"/>
      <c r="G2639" s="1108"/>
      <c r="H2639" s="996"/>
      <c r="I2639" s="1826">
        <f>SUM(I2628:I2638)</f>
        <v>7725.4174819999989</v>
      </c>
      <c r="J2639" s="996"/>
      <c r="K2639" s="996"/>
      <c r="L2639" s="996"/>
      <c r="M2639" s="997"/>
      <c r="N2639" s="997"/>
      <c r="O2639" s="997"/>
      <c r="P2639" s="997"/>
      <c r="Q2639" s="997"/>
      <c r="R2639" s="997"/>
      <c r="S2639" s="997"/>
      <c r="T2639" s="997"/>
      <c r="U2639" s="997"/>
      <c r="V2639" s="997"/>
      <c r="W2639" s="997"/>
      <c r="X2639" s="997"/>
      <c r="Y2639" s="997"/>
      <c r="Z2639" s="997"/>
      <c r="AA2639" s="997"/>
      <c r="AB2639" s="997"/>
      <c r="AC2639" s="997"/>
      <c r="AD2639" s="997"/>
      <c r="AE2639" s="997"/>
      <c r="AF2639" s="997"/>
      <c r="AG2639" s="997"/>
      <c r="AH2639" s="997"/>
      <c r="AI2639" s="997"/>
      <c r="AJ2639" s="997"/>
      <c r="AK2639" s="997"/>
      <c r="AL2639" s="997"/>
      <c r="AM2639" s="997"/>
      <c r="AN2639" s="997"/>
      <c r="AO2639" s="997"/>
      <c r="AP2639" s="997"/>
      <c r="AQ2639" s="997"/>
      <c r="AR2639" s="997"/>
      <c r="AS2639" s="997"/>
      <c r="AT2639" s="997"/>
      <c r="AU2639" s="997"/>
      <c r="AV2639" s="997"/>
      <c r="AW2639" s="997"/>
      <c r="AX2639" s="997"/>
      <c r="AY2639" s="997"/>
      <c r="AZ2639" s="997"/>
      <c r="BA2639" s="997"/>
      <c r="BB2639" s="997"/>
      <c r="BC2639" s="997"/>
      <c r="BD2639" s="997"/>
      <c r="BE2639" s="997"/>
      <c r="BF2639" s="997"/>
      <c r="BG2639" s="997"/>
      <c r="BH2639" s="997"/>
      <c r="BI2639" s="997"/>
      <c r="BJ2639" s="997"/>
      <c r="BK2639" s="997"/>
      <c r="BL2639" s="997"/>
    </row>
    <row r="2640" spans="1:64">
      <c r="A2640" s="1818"/>
      <c r="B2640" s="1818"/>
      <c r="C2640" s="1825"/>
      <c r="D2640" s="1096"/>
      <c r="E2640" s="1846"/>
      <c r="F2640" s="1021"/>
      <c r="G2640" s="1105"/>
      <c r="H2640" s="1846"/>
      <c r="I2640" s="1030"/>
      <c r="J2640" s="1846"/>
      <c r="K2640" s="1846"/>
      <c r="L2640" s="1846"/>
    </row>
    <row r="2641" spans="1:64">
      <c r="A2641" s="1818"/>
      <c r="B2641" s="1818"/>
      <c r="C2641" s="1816" t="s">
        <v>1403</v>
      </c>
      <c r="D2641" s="1009" t="s">
        <v>1223</v>
      </c>
      <c r="E2641" s="1114" t="s">
        <v>1207</v>
      </c>
      <c r="F2641" s="1106" t="s">
        <v>1208</v>
      </c>
      <c r="G2641" s="1009" t="s">
        <v>1291</v>
      </c>
      <c r="H2641" s="1009" t="s">
        <v>1292</v>
      </c>
      <c r="I2641" s="1009" t="s">
        <v>1293</v>
      </c>
      <c r="J2641" s="1009"/>
      <c r="K2641" s="1009" t="s">
        <v>1358</v>
      </c>
      <c r="L2641" s="1009" t="s">
        <v>1359</v>
      </c>
    </row>
    <row r="2642" spans="1:64">
      <c r="A2642" s="1818"/>
      <c r="B2642" s="1818"/>
      <c r="C2642" s="1817" t="s">
        <v>1317</v>
      </c>
      <c r="D2642" s="1001">
        <f t="shared" ref="D2642:L2642" si="622">$I$2639</f>
        <v>7725.4174819999989</v>
      </c>
      <c r="E2642" s="1001">
        <f t="shared" si="622"/>
        <v>7725.4174819999989</v>
      </c>
      <c r="F2642" s="1001">
        <f t="shared" si="622"/>
        <v>7725.4174819999989</v>
      </c>
      <c r="G2642" s="1001">
        <f t="shared" si="622"/>
        <v>7725.4174819999989</v>
      </c>
      <c r="H2642" s="1001">
        <f t="shared" si="622"/>
        <v>7725.4174819999989</v>
      </c>
      <c r="I2642" s="1001">
        <f t="shared" si="622"/>
        <v>7725.4174819999989</v>
      </c>
      <c r="J2642" s="1001"/>
      <c r="K2642" s="1001">
        <f t="shared" si="622"/>
        <v>7725.4174819999989</v>
      </c>
      <c r="L2642" s="1001">
        <f t="shared" si="622"/>
        <v>7725.4174819999989</v>
      </c>
    </row>
    <row r="2643" spans="1:64">
      <c r="A2643" s="1818"/>
      <c r="B2643" s="1818"/>
      <c r="C2643" s="1817" t="s">
        <v>1253</v>
      </c>
      <c r="D2643" s="1001">
        <v>0</v>
      </c>
      <c r="E2643" s="1001">
        <f>ROUND($F$2637*10%,2)</f>
        <v>285.02</v>
      </c>
      <c r="F2643" s="1001">
        <f>ROUND($F$2637*20%,2)</f>
        <v>570.04</v>
      </c>
      <c r="G2643" s="1001">
        <f>ROUND($F$2637*30%,2)</f>
        <v>855.06</v>
      </c>
      <c r="H2643" s="1001">
        <f>ROUND($F$2637*40%,2)</f>
        <v>1140.08</v>
      </c>
      <c r="I2643" s="1001">
        <f>ROUND($F$2637*50%,2)</f>
        <v>1425.1</v>
      </c>
      <c r="J2643" s="1001"/>
      <c r="K2643" s="1001">
        <f>ROUND($F$2637*70%,2)</f>
        <v>1995.14</v>
      </c>
      <c r="L2643" s="1001">
        <f>ROUND($F$2637*80%,2)</f>
        <v>2280.16</v>
      </c>
    </row>
    <row r="2644" spans="1:64">
      <c r="A2644" s="1818"/>
      <c r="B2644" s="1818"/>
      <c r="C2644" s="1817" t="str">
        <f>Input!$C$47</f>
        <v>Add for MA @ 40%</v>
      </c>
      <c r="D2644" s="1001">
        <f>D2643*Input!$D$47</f>
        <v>0</v>
      </c>
      <c r="E2644" s="1001">
        <f>E2643*Input!$D$47</f>
        <v>114.008</v>
      </c>
      <c r="F2644" s="1001">
        <f>F2643*Input!$D$47</f>
        <v>228.01599999999999</v>
      </c>
      <c r="G2644" s="1001">
        <f>G2643*Input!$D$47</f>
        <v>342.024</v>
      </c>
      <c r="H2644" s="1001">
        <f>H2643*Input!$D$47</f>
        <v>456.03199999999998</v>
      </c>
      <c r="I2644" s="1001">
        <f>I2643*Input!$D$47</f>
        <v>570.04</v>
      </c>
      <c r="J2644" s="1001"/>
      <c r="K2644" s="1001">
        <f>K2643*Input!$D$47</f>
        <v>798.05600000000004</v>
      </c>
      <c r="L2644" s="1001">
        <f>L2643*Input!$D$47</f>
        <v>912.06399999999996</v>
      </c>
    </row>
    <row r="2645" spans="1:64">
      <c r="A2645" s="1818"/>
      <c r="B2645" s="1818"/>
      <c r="C2645" s="1846"/>
      <c r="D2645" s="1001">
        <f t="shared" ref="D2645:L2645" si="623">SUM(D2642:D2644)</f>
        <v>7725.4174819999989</v>
      </c>
      <c r="E2645" s="1001">
        <f t="shared" si="623"/>
        <v>8124.4454819999992</v>
      </c>
      <c r="F2645" s="1001">
        <f t="shared" si="623"/>
        <v>8523.4734819999976</v>
      </c>
      <c r="G2645" s="1001">
        <f t="shared" si="623"/>
        <v>8922.5014819999978</v>
      </c>
      <c r="H2645" s="1001">
        <f t="shared" si="623"/>
        <v>9321.5294819999981</v>
      </c>
      <c r="I2645" s="1001">
        <f t="shared" si="623"/>
        <v>9720.5574820000002</v>
      </c>
      <c r="J2645" s="1001"/>
      <c r="K2645" s="1001">
        <f t="shared" si="623"/>
        <v>10518.613481999999</v>
      </c>
      <c r="L2645" s="1001">
        <f t="shared" si="623"/>
        <v>10917.641481999999</v>
      </c>
    </row>
    <row r="2646" spans="1:64">
      <c r="A2646" s="1818"/>
      <c r="B2646" s="1818"/>
      <c r="C2646" s="1817" t="str">
        <f>Input!$C$48</f>
        <v>Overheads &amp; Contractors Profit @ 13.615%</v>
      </c>
      <c r="D2646" s="1001">
        <f>ROUND(D2645*Input!$D$48,2)</f>
        <v>1051.82</v>
      </c>
      <c r="E2646" s="1001">
        <f>ROUND(E2645*Input!$D$48,2)</f>
        <v>1106.1400000000001</v>
      </c>
      <c r="F2646" s="1001">
        <f>ROUND(F2645*Input!$D$48,2)</f>
        <v>1160.47</v>
      </c>
      <c r="G2646" s="1001">
        <f>ROUND(G2645*Input!$D$48,2)</f>
        <v>1214.8</v>
      </c>
      <c r="H2646" s="1001">
        <f>ROUND(H2645*Input!$D$48,2)</f>
        <v>1269.1300000000001</v>
      </c>
      <c r="I2646" s="1001">
        <f>ROUND(I2645*Input!$D$48,2)</f>
        <v>1323.45</v>
      </c>
      <c r="J2646" s="1001"/>
      <c r="K2646" s="1001">
        <f>ROUND(K2645*Input!$D$48,2)</f>
        <v>1432.11</v>
      </c>
      <c r="L2646" s="1001">
        <f>ROUND(L2645*Input!$D$48,2)</f>
        <v>1486.44</v>
      </c>
    </row>
    <row r="2647" spans="1:64">
      <c r="A2647" s="1818"/>
      <c r="B2647" s="1818"/>
      <c r="C2647" s="1816" t="s">
        <v>1302</v>
      </c>
      <c r="D2647" s="1009">
        <f t="shared" ref="D2647:L2647" si="624">SUM(D2645:D2646)</f>
        <v>8777.2374819999986</v>
      </c>
      <c r="E2647" s="1009">
        <f t="shared" si="624"/>
        <v>9230.5854819999986</v>
      </c>
      <c r="F2647" s="1009">
        <f t="shared" si="624"/>
        <v>9683.9434819999969</v>
      </c>
      <c r="G2647" s="1009">
        <f t="shared" si="624"/>
        <v>10137.301481999997</v>
      </c>
      <c r="H2647" s="1009">
        <f t="shared" si="624"/>
        <v>10590.659481999999</v>
      </c>
      <c r="I2647" s="1009">
        <f t="shared" si="624"/>
        <v>11044.007482000001</v>
      </c>
      <c r="J2647" s="1009"/>
      <c r="K2647" s="1009">
        <f t="shared" si="624"/>
        <v>11950.723481999999</v>
      </c>
      <c r="L2647" s="1009">
        <f t="shared" si="624"/>
        <v>12404.081482</v>
      </c>
    </row>
    <row r="2648" spans="1:64">
      <c r="A2648" s="1818"/>
      <c r="B2648" s="1818"/>
      <c r="C2648" s="1816" t="s">
        <v>1117</v>
      </c>
      <c r="D2648" s="1009">
        <f t="shared" ref="D2648:L2648" si="625">D2647/10</f>
        <v>877.72374819999982</v>
      </c>
      <c r="E2648" s="1009">
        <f t="shared" si="625"/>
        <v>923.0585481999999</v>
      </c>
      <c r="F2648" s="1009">
        <f t="shared" si="625"/>
        <v>968.39434819999974</v>
      </c>
      <c r="G2648" s="1009">
        <f t="shared" si="625"/>
        <v>1013.7301481999997</v>
      </c>
      <c r="H2648" s="1009">
        <f t="shared" si="625"/>
        <v>1059.0659481999999</v>
      </c>
      <c r="I2648" s="1009">
        <f t="shared" si="625"/>
        <v>1104.4007482000002</v>
      </c>
      <c r="J2648" s="1009"/>
      <c r="K2648" s="1009">
        <f t="shared" si="625"/>
        <v>1195.0723481999999</v>
      </c>
      <c r="L2648" s="1009">
        <f t="shared" si="625"/>
        <v>1240.4081481999999</v>
      </c>
    </row>
    <row r="2649" spans="1:64">
      <c r="A2649" s="1818"/>
      <c r="B2649" s="1818"/>
      <c r="C2649" s="1118" t="s">
        <v>1034</v>
      </c>
      <c r="D2649" s="1114">
        <f t="shared" ref="D2649:L2649" si="626">ROUND(D2648,0)</f>
        <v>878</v>
      </c>
      <c r="E2649" s="1114">
        <f t="shared" si="626"/>
        <v>923</v>
      </c>
      <c r="F2649" s="1114">
        <f t="shared" si="626"/>
        <v>968</v>
      </c>
      <c r="G2649" s="1114">
        <f t="shared" si="626"/>
        <v>1014</v>
      </c>
      <c r="H2649" s="1114">
        <f t="shared" si="626"/>
        <v>1059</v>
      </c>
      <c r="I2649" s="1114">
        <f t="shared" si="626"/>
        <v>1104</v>
      </c>
      <c r="J2649" s="1114"/>
      <c r="K2649" s="1114">
        <f t="shared" si="626"/>
        <v>1195</v>
      </c>
      <c r="L2649" s="1114">
        <f t="shared" si="626"/>
        <v>1240</v>
      </c>
    </row>
    <row r="2650" spans="1:64">
      <c r="A2650" s="1818"/>
      <c r="B2650" s="1818"/>
      <c r="C2650" s="1816"/>
      <c r="D2650" s="1170"/>
      <c r="E2650" s="1114"/>
      <c r="F2650" s="1114"/>
      <c r="G2650" s="1114"/>
      <c r="H2650" s="1114"/>
      <c r="I2650" s="1009"/>
      <c r="J2650" s="1846"/>
      <c r="K2650" s="1846"/>
      <c r="L2650" s="1846"/>
    </row>
    <row r="2651" spans="1:64" ht="94.7" customHeight="1">
      <c r="A2651" s="1818">
        <f>A2624+1</f>
        <v>34</v>
      </c>
      <c r="B2651" s="1818"/>
      <c r="C2651" s="2036" t="s">
        <v>3421</v>
      </c>
      <c r="D2651" s="2036"/>
      <c r="E2651" s="2036"/>
      <c r="F2651" s="2036"/>
      <c r="G2651" s="2036"/>
      <c r="H2651" s="2036"/>
      <c r="I2651" s="1825"/>
      <c r="J2651" s="1846"/>
      <c r="K2651" s="1846"/>
      <c r="L2651" s="1846"/>
    </row>
    <row r="2652" spans="1:64">
      <c r="A2652" s="1818"/>
      <c r="B2652" s="1818"/>
      <c r="C2652" s="1049" t="s">
        <v>1393</v>
      </c>
      <c r="D2652" s="1846"/>
      <c r="E2652" s="1846"/>
      <c r="F2652" s="1068"/>
      <c r="G2652" s="1846"/>
      <c r="H2652" s="1846"/>
      <c r="I2652" s="1021"/>
      <c r="J2652" s="1846"/>
      <c r="K2652" s="1846"/>
      <c r="L2652" s="1846"/>
    </row>
    <row r="2653" spans="1:64">
      <c r="A2653" s="1818"/>
      <c r="B2653" s="1818"/>
      <c r="C2653" s="1820" t="s">
        <v>1394</v>
      </c>
      <c r="D2653" s="1846"/>
      <c r="E2653" s="1846"/>
      <c r="F2653" s="1068"/>
      <c r="G2653" s="1846"/>
      <c r="H2653" s="1846"/>
      <c r="I2653" s="1021"/>
      <c r="J2653" s="1846"/>
      <c r="K2653" s="1846"/>
      <c r="L2653" s="1846"/>
    </row>
    <row r="2654" spans="1:64">
      <c r="A2654" s="1818"/>
      <c r="B2654" s="1818"/>
      <c r="C2654" s="1825" t="s">
        <v>1395</v>
      </c>
      <c r="D2654" s="1096"/>
      <c r="E2654" s="1846"/>
      <c r="F2654" s="1021"/>
      <c r="G2654" s="1105"/>
      <c r="H2654" s="1846"/>
      <c r="I2654" s="1030"/>
      <c r="J2654" s="1846"/>
      <c r="K2654" s="1846"/>
      <c r="L2654" s="1846"/>
    </row>
    <row r="2655" spans="1:64" ht="25.5">
      <c r="A2655" s="1818"/>
      <c r="B2655" s="1818"/>
      <c r="C2655" s="1184" t="s">
        <v>1404</v>
      </c>
      <c r="D2655" s="1018">
        <v>11</v>
      </c>
      <c r="E2655" s="1002" t="s">
        <v>46</v>
      </c>
      <c r="F2655" s="1093">
        <f>LEAD!$N$27</f>
        <v>1545.69</v>
      </c>
      <c r="G2655" s="1020">
        <v>10</v>
      </c>
      <c r="H2655" s="1057" t="s">
        <v>46</v>
      </c>
      <c r="I2655" s="1001">
        <f t="shared" ref="I2655:I2659" si="627">IF(G2655="",D2655*F2655,(D2655*F2655/G2655))</f>
        <v>1700.259</v>
      </c>
      <c r="J2655" s="1002"/>
      <c r="K2655" s="1002"/>
      <c r="L2655" s="1002"/>
      <c r="M2655" s="1003"/>
      <c r="N2655" s="1003"/>
      <c r="O2655" s="1003"/>
      <c r="P2655" s="1003"/>
      <c r="Q2655" s="1003"/>
      <c r="R2655" s="1003"/>
      <c r="S2655" s="1003"/>
      <c r="T2655" s="1003"/>
      <c r="U2655" s="1003"/>
      <c r="V2655" s="1003"/>
      <c r="W2655" s="1003"/>
      <c r="X2655" s="1003"/>
      <c r="Y2655" s="1003"/>
      <c r="Z2655" s="1003"/>
      <c r="AA2655" s="1003"/>
      <c r="AB2655" s="1003"/>
      <c r="AC2655" s="1003"/>
      <c r="AD2655" s="1003"/>
      <c r="AE2655" s="1003"/>
      <c r="AF2655" s="1003"/>
      <c r="AG2655" s="1003"/>
      <c r="AH2655" s="1003"/>
      <c r="AI2655" s="1003"/>
      <c r="AJ2655" s="1003"/>
      <c r="AK2655" s="1003"/>
      <c r="AL2655" s="1003"/>
      <c r="AM2655" s="1003"/>
      <c r="AN2655" s="1003"/>
      <c r="AO2655" s="1003"/>
      <c r="AP2655" s="1003"/>
      <c r="AQ2655" s="1003"/>
      <c r="AR2655" s="1003"/>
      <c r="AS2655" s="1003"/>
      <c r="AT2655" s="1003"/>
      <c r="AU2655" s="1003"/>
      <c r="AV2655" s="1003"/>
      <c r="AW2655" s="1003"/>
      <c r="AX2655" s="1003"/>
      <c r="AY2655" s="1003"/>
      <c r="AZ2655" s="1003"/>
      <c r="BA2655" s="1003"/>
      <c r="BB2655" s="1003"/>
      <c r="BC2655" s="1003"/>
      <c r="BD2655" s="1003"/>
      <c r="BE2655" s="1003"/>
      <c r="BF2655" s="1003"/>
      <c r="BG2655" s="1003"/>
      <c r="BH2655" s="1003"/>
      <c r="BI2655" s="1003"/>
      <c r="BJ2655" s="1003"/>
      <c r="BK2655" s="1003"/>
      <c r="BL2655" s="1003"/>
    </row>
    <row r="2656" spans="1:64">
      <c r="A2656" s="1818"/>
      <c r="B2656" s="1818"/>
      <c r="C2656" s="1184" t="s">
        <v>1397</v>
      </c>
      <c r="D2656" s="1018">
        <v>21.6</v>
      </c>
      <c r="E2656" s="1002" t="s">
        <v>1110</v>
      </c>
      <c r="F2656" s="1093">
        <f>LEAD!$N$6</f>
        <v>5200</v>
      </c>
      <c r="G2656" s="1020">
        <v>1000</v>
      </c>
      <c r="H2656" s="1002" t="s">
        <v>1110</v>
      </c>
      <c r="I2656" s="1001">
        <f t="shared" si="627"/>
        <v>112.32000000000002</v>
      </c>
      <c r="J2656" s="1002"/>
      <c r="K2656" s="1002"/>
      <c r="L2656" s="1002"/>
      <c r="M2656" s="1003"/>
      <c r="N2656" s="1003"/>
      <c r="O2656" s="1003"/>
      <c r="P2656" s="1003"/>
      <c r="Q2656" s="1003"/>
      <c r="R2656" s="1003"/>
      <c r="S2656" s="1003"/>
      <c r="T2656" s="1003"/>
      <c r="U2656" s="1003"/>
      <c r="V2656" s="1003"/>
      <c r="W2656" s="1003"/>
      <c r="X2656" s="1003"/>
      <c r="Y2656" s="1003"/>
      <c r="Z2656" s="1003"/>
      <c r="AA2656" s="1003"/>
      <c r="AB2656" s="1003"/>
      <c r="AC2656" s="1003"/>
      <c r="AD2656" s="1003"/>
      <c r="AE2656" s="1003"/>
      <c r="AF2656" s="1003"/>
      <c r="AG2656" s="1003"/>
      <c r="AH2656" s="1003"/>
      <c r="AI2656" s="1003"/>
      <c r="AJ2656" s="1003"/>
      <c r="AK2656" s="1003"/>
      <c r="AL2656" s="1003"/>
      <c r="AM2656" s="1003"/>
      <c r="AN2656" s="1003"/>
      <c r="AO2656" s="1003"/>
      <c r="AP2656" s="1003"/>
      <c r="AQ2656" s="1003"/>
      <c r="AR2656" s="1003"/>
      <c r="AS2656" s="1003"/>
      <c r="AT2656" s="1003"/>
      <c r="AU2656" s="1003"/>
      <c r="AV2656" s="1003"/>
      <c r="AW2656" s="1003"/>
      <c r="AX2656" s="1003"/>
      <c r="AY2656" s="1003"/>
      <c r="AZ2656" s="1003"/>
      <c r="BA2656" s="1003"/>
      <c r="BB2656" s="1003"/>
      <c r="BC2656" s="1003"/>
      <c r="BD2656" s="1003"/>
      <c r="BE2656" s="1003"/>
      <c r="BF2656" s="1003"/>
      <c r="BG2656" s="1003"/>
      <c r="BH2656" s="1003"/>
      <c r="BI2656" s="1003"/>
      <c r="BJ2656" s="1003"/>
      <c r="BK2656" s="1003"/>
      <c r="BL2656" s="1003"/>
    </row>
    <row r="2657" spans="1:64">
      <c r="A2657" s="1818"/>
      <c r="B2657" s="1818"/>
      <c r="C2657" s="1184" t="s">
        <v>1398</v>
      </c>
      <c r="D2657" s="1018">
        <v>33</v>
      </c>
      <c r="E2657" s="1002" t="s">
        <v>1110</v>
      </c>
      <c r="F2657" s="1093">
        <f>LEAD!$N$6</f>
        <v>5200</v>
      </c>
      <c r="G2657" s="1020">
        <v>1000</v>
      </c>
      <c r="H2657" s="1002" t="s">
        <v>1110</v>
      </c>
      <c r="I2657" s="1001">
        <f t="shared" si="627"/>
        <v>171.6</v>
      </c>
      <c r="J2657" s="1002"/>
      <c r="K2657" s="1002"/>
      <c r="L2657" s="1002"/>
      <c r="M2657" s="1003"/>
      <c r="N2657" s="1003"/>
      <c r="O2657" s="1003"/>
      <c r="P2657" s="1003"/>
      <c r="Q2657" s="1003"/>
      <c r="R2657" s="1003"/>
      <c r="S2657" s="1003"/>
      <c r="T2657" s="1003"/>
      <c r="U2657" s="1003"/>
      <c r="V2657" s="1003"/>
      <c r="W2657" s="1003"/>
      <c r="X2657" s="1003"/>
      <c r="Y2657" s="1003"/>
      <c r="Z2657" s="1003"/>
      <c r="AA2657" s="1003"/>
      <c r="AB2657" s="1003"/>
      <c r="AC2657" s="1003"/>
      <c r="AD2657" s="1003"/>
      <c r="AE2657" s="1003"/>
      <c r="AF2657" s="1003"/>
      <c r="AG2657" s="1003"/>
      <c r="AH2657" s="1003"/>
      <c r="AI2657" s="1003"/>
      <c r="AJ2657" s="1003"/>
      <c r="AK2657" s="1003"/>
      <c r="AL2657" s="1003"/>
      <c r="AM2657" s="1003"/>
      <c r="AN2657" s="1003"/>
      <c r="AO2657" s="1003"/>
      <c r="AP2657" s="1003"/>
      <c r="AQ2657" s="1003"/>
      <c r="AR2657" s="1003"/>
      <c r="AS2657" s="1003"/>
      <c r="AT2657" s="1003"/>
      <c r="AU2657" s="1003"/>
      <c r="AV2657" s="1003"/>
      <c r="AW2657" s="1003"/>
      <c r="AX2657" s="1003"/>
      <c r="AY2657" s="1003"/>
      <c r="AZ2657" s="1003"/>
      <c r="BA2657" s="1003"/>
      <c r="BB2657" s="1003"/>
      <c r="BC2657" s="1003"/>
      <c r="BD2657" s="1003"/>
      <c r="BE2657" s="1003"/>
      <c r="BF2657" s="1003"/>
      <c r="BG2657" s="1003"/>
      <c r="BH2657" s="1003"/>
      <c r="BI2657" s="1003"/>
      <c r="BJ2657" s="1003"/>
      <c r="BK2657" s="1003"/>
      <c r="BL2657" s="1003"/>
    </row>
    <row r="2658" spans="1:64">
      <c r="A2658" s="1818"/>
      <c r="B2658" s="1818"/>
      <c r="C2658" s="1184" t="s">
        <v>1399</v>
      </c>
      <c r="D2658" s="1018">
        <v>20</v>
      </c>
      <c r="E2658" s="1002" t="s">
        <v>1110</v>
      </c>
      <c r="F2658" s="1093">
        <f>LEAD!$N$6</f>
        <v>5200</v>
      </c>
      <c r="G2658" s="1020">
        <v>1000</v>
      </c>
      <c r="H2658" s="1002" t="s">
        <v>1110</v>
      </c>
      <c r="I2658" s="1001">
        <f t="shared" si="627"/>
        <v>104</v>
      </c>
      <c r="J2658" s="1002"/>
      <c r="K2658" s="1002"/>
      <c r="L2658" s="1002"/>
      <c r="M2658" s="1003"/>
      <c r="N2658" s="1003"/>
      <c r="O2658" s="1003"/>
      <c r="P2658" s="1003"/>
      <c r="Q2658" s="1003"/>
      <c r="R2658" s="1003"/>
      <c r="S2658" s="1003"/>
      <c r="T2658" s="1003"/>
      <c r="U2658" s="1003"/>
      <c r="V2658" s="1003"/>
      <c r="W2658" s="1003"/>
      <c r="X2658" s="1003"/>
      <c r="Y2658" s="1003"/>
      <c r="Z2658" s="1003"/>
      <c r="AA2658" s="1003"/>
      <c r="AB2658" s="1003"/>
      <c r="AC2658" s="1003"/>
      <c r="AD2658" s="1003"/>
      <c r="AE2658" s="1003"/>
      <c r="AF2658" s="1003"/>
      <c r="AG2658" s="1003"/>
      <c r="AH2658" s="1003"/>
      <c r="AI2658" s="1003"/>
      <c r="AJ2658" s="1003"/>
      <c r="AK2658" s="1003"/>
      <c r="AL2658" s="1003"/>
      <c r="AM2658" s="1003"/>
      <c r="AN2658" s="1003"/>
      <c r="AO2658" s="1003"/>
      <c r="AP2658" s="1003"/>
      <c r="AQ2658" s="1003"/>
      <c r="AR2658" s="1003"/>
      <c r="AS2658" s="1003"/>
      <c r="AT2658" s="1003"/>
      <c r="AU2658" s="1003"/>
      <c r="AV2658" s="1003"/>
      <c r="AW2658" s="1003"/>
      <c r="AX2658" s="1003"/>
      <c r="AY2658" s="1003"/>
      <c r="AZ2658" s="1003"/>
      <c r="BA2658" s="1003"/>
      <c r="BB2658" s="1003"/>
      <c r="BC2658" s="1003"/>
      <c r="BD2658" s="1003"/>
      <c r="BE2658" s="1003"/>
      <c r="BF2658" s="1003"/>
      <c r="BG2658" s="1003"/>
      <c r="BH2658" s="1003"/>
      <c r="BI2658" s="1003"/>
      <c r="BJ2658" s="1003"/>
      <c r="BK2658" s="1003"/>
      <c r="BL2658" s="1003"/>
    </row>
    <row r="2659" spans="1:64">
      <c r="A2659" s="1818"/>
      <c r="B2659" s="1818"/>
      <c r="C2659" s="1184" t="s">
        <v>1400</v>
      </c>
      <c r="D2659" s="1018">
        <v>0.12</v>
      </c>
      <c r="E2659" s="1002" t="s">
        <v>484</v>
      </c>
      <c r="F2659" s="1093">
        <f>LEAD!$N$13</f>
        <v>2453.91</v>
      </c>
      <c r="G2659" s="1020">
        <v>1</v>
      </c>
      <c r="H2659" s="1002" t="s">
        <v>484</v>
      </c>
      <c r="I2659" s="1001">
        <f t="shared" si="627"/>
        <v>294.46919999999994</v>
      </c>
      <c r="J2659" s="1002"/>
      <c r="K2659" s="1002"/>
      <c r="L2659" s="1002"/>
      <c r="M2659" s="1003"/>
      <c r="N2659" s="1003"/>
      <c r="O2659" s="1003"/>
      <c r="P2659" s="1003"/>
      <c r="Q2659" s="1003"/>
      <c r="R2659" s="1003"/>
      <c r="S2659" s="1003"/>
      <c r="T2659" s="1003"/>
      <c r="U2659" s="1003"/>
      <c r="V2659" s="1003"/>
      <c r="W2659" s="1003"/>
      <c r="X2659" s="1003"/>
      <c r="Y2659" s="1003"/>
      <c r="Z2659" s="1003"/>
      <c r="AA2659" s="1003"/>
      <c r="AB2659" s="1003"/>
      <c r="AC2659" s="1003"/>
      <c r="AD2659" s="1003"/>
      <c r="AE2659" s="1003"/>
      <c r="AF2659" s="1003"/>
      <c r="AG2659" s="1003"/>
      <c r="AH2659" s="1003"/>
      <c r="AI2659" s="1003"/>
      <c r="AJ2659" s="1003"/>
      <c r="AK2659" s="1003"/>
      <c r="AL2659" s="1003"/>
      <c r="AM2659" s="1003"/>
      <c r="AN2659" s="1003"/>
      <c r="AO2659" s="1003"/>
      <c r="AP2659" s="1003"/>
      <c r="AQ2659" s="1003"/>
      <c r="AR2659" s="1003"/>
      <c r="AS2659" s="1003"/>
      <c r="AT2659" s="1003"/>
      <c r="AU2659" s="1003"/>
      <c r="AV2659" s="1003"/>
      <c r="AW2659" s="1003"/>
      <c r="AX2659" s="1003"/>
      <c r="AY2659" s="1003"/>
      <c r="AZ2659" s="1003"/>
      <c r="BA2659" s="1003"/>
      <c r="BB2659" s="1003"/>
      <c r="BC2659" s="1003"/>
      <c r="BD2659" s="1003"/>
      <c r="BE2659" s="1003"/>
      <c r="BF2659" s="1003"/>
      <c r="BG2659" s="1003"/>
      <c r="BH2659" s="1003"/>
      <c r="BI2659" s="1003"/>
      <c r="BJ2659" s="1003"/>
      <c r="BK2659" s="1003"/>
      <c r="BL2659" s="1003"/>
    </row>
    <row r="2660" spans="1:64">
      <c r="A2660" s="1818"/>
      <c r="B2660" s="1818"/>
      <c r="C2660" s="1835" t="s">
        <v>1324</v>
      </c>
      <c r="D2660" s="1018"/>
      <c r="E2660" s="1002"/>
      <c r="F2660" s="1093"/>
      <c r="G2660" s="1020"/>
      <c r="H2660" s="1002"/>
      <c r="I2660" s="1001"/>
      <c r="J2660" s="1002"/>
      <c r="K2660" s="1002"/>
      <c r="L2660" s="1002"/>
      <c r="M2660" s="1003"/>
      <c r="N2660" s="1003"/>
      <c r="O2660" s="1003"/>
      <c r="P2660" s="1003"/>
      <c r="Q2660" s="1003"/>
      <c r="R2660" s="1003"/>
      <c r="S2660" s="1003"/>
      <c r="T2660" s="1003"/>
      <c r="U2660" s="1003"/>
      <c r="V2660" s="1003"/>
      <c r="W2660" s="1003"/>
      <c r="X2660" s="1003"/>
      <c r="Y2660" s="1003"/>
      <c r="Z2660" s="1003"/>
      <c r="AA2660" s="1003"/>
      <c r="AB2660" s="1003"/>
      <c r="AC2660" s="1003"/>
      <c r="AD2660" s="1003"/>
      <c r="AE2660" s="1003"/>
      <c r="AF2660" s="1003"/>
      <c r="AG2660" s="1003"/>
      <c r="AH2660" s="1003"/>
      <c r="AI2660" s="1003"/>
      <c r="AJ2660" s="1003"/>
      <c r="AK2660" s="1003"/>
      <c r="AL2660" s="1003"/>
      <c r="AM2660" s="1003"/>
      <c r="AN2660" s="1003"/>
      <c r="AO2660" s="1003"/>
      <c r="AP2660" s="1003"/>
      <c r="AQ2660" s="1003"/>
      <c r="AR2660" s="1003"/>
      <c r="AS2660" s="1003"/>
      <c r="AT2660" s="1003"/>
      <c r="AU2660" s="1003"/>
      <c r="AV2660" s="1003"/>
      <c r="AW2660" s="1003"/>
      <c r="AX2660" s="1003"/>
      <c r="AY2660" s="1003"/>
      <c r="AZ2660" s="1003"/>
      <c r="BA2660" s="1003"/>
      <c r="BB2660" s="1003"/>
      <c r="BC2660" s="1003"/>
      <c r="BD2660" s="1003"/>
      <c r="BE2660" s="1003"/>
      <c r="BF2660" s="1003"/>
      <c r="BG2660" s="1003"/>
      <c r="BH2660" s="1003"/>
      <c r="BI2660" s="1003"/>
      <c r="BJ2660" s="1003"/>
      <c r="BK2660" s="1003"/>
      <c r="BL2660" s="1003"/>
    </row>
    <row r="2661" spans="1:64">
      <c r="A2661" s="1818"/>
      <c r="B2661" s="1818"/>
      <c r="C2661" s="1184" t="s">
        <v>1299</v>
      </c>
      <c r="D2661" s="1018">
        <v>3.1</v>
      </c>
      <c r="E2661" s="1002" t="s">
        <v>955</v>
      </c>
      <c r="F2661" s="1093">
        <f>'Civil-SOR'!$G$293</f>
        <v>580</v>
      </c>
      <c r="G2661" s="1020">
        <v>1</v>
      </c>
      <c r="H2661" s="1002" t="s">
        <v>501</v>
      </c>
      <c r="I2661" s="1001">
        <f t="shared" ref="I2661:I2665" si="628">IF(G2661="",D2661*F2661,(D2661*F2661/G2661))</f>
        <v>1798</v>
      </c>
      <c r="J2661" s="1002"/>
      <c r="K2661" s="1002"/>
      <c r="L2661" s="1002"/>
      <c r="M2661" s="1003"/>
      <c r="N2661" s="1003"/>
      <c r="O2661" s="1003"/>
      <c r="P2661" s="1003"/>
      <c r="Q2661" s="1003"/>
      <c r="R2661" s="1003"/>
      <c r="S2661" s="1003"/>
      <c r="T2661" s="1003"/>
      <c r="U2661" s="1003"/>
      <c r="V2661" s="1003"/>
      <c r="W2661" s="1003"/>
      <c r="X2661" s="1003"/>
      <c r="Y2661" s="1003"/>
      <c r="Z2661" s="1003"/>
      <c r="AA2661" s="1003"/>
      <c r="AB2661" s="1003"/>
      <c r="AC2661" s="1003"/>
      <c r="AD2661" s="1003"/>
      <c r="AE2661" s="1003"/>
      <c r="AF2661" s="1003"/>
      <c r="AG2661" s="1003"/>
      <c r="AH2661" s="1003"/>
      <c r="AI2661" s="1003"/>
      <c r="AJ2661" s="1003"/>
      <c r="AK2661" s="1003"/>
      <c r="AL2661" s="1003"/>
      <c r="AM2661" s="1003"/>
      <c r="AN2661" s="1003"/>
      <c r="AO2661" s="1003"/>
      <c r="AP2661" s="1003"/>
      <c r="AQ2661" s="1003"/>
      <c r="AR2661" s="1003"/>
      <c r="AS2661" s="1003"/>
      <c r="AT2661" s="1003"/>
      <c r="AU2661" s="1003"/>
      <c r="AV2661" s="1003"/>
      <c r="AW2661" s="1003"/>
      <c r="AX2661" s="1003"/>
      <c r="AY2661" s="1003"/>
      <c r="AZ2661" s="1003"/>
      <c r="BA2661" s="1003"/>
      <c r="BB2661" s="1003"/>
      <c r="BC2661" s="1003"/>
      <c r="BD2661" s="1003"/>
      <c r="BE2661" s="1003"/>
      <c r="BF2661" s="1003"/>
      <c r="BG2661" s="1003"/>
      <c r="BH2661" s="1003"/>
      <c r="BI2661" s="1003"/>
      <c r="BJ2661" s="1003"/>
      <c r="BK2661" s="1003"/>
      <c r="BL2661" s="1003"/>
    </row>
    <row r="2662" spans="1:64">
      <c r="A2662" s="1818"/>
      <c r="B2662" s="1818"/>
      <c r="C2662" s="1184" t="s">
        <v>1325</v>
      </c>
      <c r="D2662" s="1018">
        <v>1.1000000000000001</v>
      </c>
      <c r="E2662" s="1002" t="s">
        <v>955</v>
      </c>
      <c r="F2662" s="1093">
        <f>'Civil-SOR'!$G$302</f>
        <v>550</v>
      </c>
      <c r="G2662" s="1020">
        <v>1</v>
      </c>
      <c r="H2662" s="1002" t="s">
        <v>501</v>
      </c>
      <c r="I2662" s="1001">
        <f t="shared" si="628"/>
        <v>605</v>
      </c>
      <c r="J2662" s="1002"/>
      <c r="K2662" s="1002"/>
      <c r="L2662" s="1002"/>
      <c r="M2662" s="1003"/>
      <c r="N2662" s="1003"/>
      <c r="O2662" s="1003"/>
      <c r="P2662" s="1003"/>
      <c r="Q2662" s="1003"/>
      <c r="R2662" s="1003"/>
      <c r="S2662" s="1003"/>
      <c r="T2662" s="1003"/>
      <c r="U2662" s="1003"/>
      <c r="V2662" s="1003"/>
      <c r="W2662" s="1003"/>
      <c r="X2662" s="1003"/>
      <c r="Y2662" s="1003"/>
      <c r="Z2662" s="1003"/>
      <c r="AA2662" s="1003"/>
      <c r="AB2662" s="1003"/>
      <c r="AC2662" s="1003"/>
      <c r="AD2662" s="1003"/>
      <c r="AE2662" s="1003"/>
      <c r="AF2662" s="1003"/>
      <c r="AG2662" s="1003"/>
      <c r="AH2662" s="1003"/>
      <c r="AI2662" s="1003"/>
      <c r="AJ2662" s="1003"/>
      <c r="AK2662" s="1003"/>
      <c r="AL2662" s="1003"/>
      <c r="AM2662" s="1003"/>
      <c r="AN2662" s="1003"/>
      <c r="AO2662" s="1003"/>
      <c r="AP2662" s="1003"/>
      <c r="AQ2662" s="1003"/>
      <c r="AR2662" s="1003"/>
      <c r="AS2662" s="1003"/>
      <c r="AT2662" s="1003"/>
      <c r="AU2662" s="1003"/>
      <c r="AV2662" s="1003"/>
      <c r="AW2662" s="1003"/>
      <c r="AX2662" s="1003"/>
      <c r="AY2662" s="1003"/>
      <c r="AZ2662" s="1003"/>
      <c r="BA2662" s="1003"/>
      <c r="BB2662" s="1003"/>
      <c r="BC2662" s="1003"/>
      <c r="BD2662" s="1003"/>
      <c r="BE2662" s="1003"/>
      <c r="BF2662" s="1003"/>
      <c r="BG2662" s="1003"/>
      <c r="BH2662" s="1003"/>
      <c r="BI2662" s="1003"/>
      <c r="BJ2662" s="1003"/>
      <c r="BK2662" s="1003"/>
      <c r="BL2662" s="1003"/>
    </row>
    <row r="2663" spans="1:64">
      <c r="A2663" s="1818"/>
      <c r="B2663" s="1818"/>
      <c r="C2663" s="1184" t="s">
        <v>1401</v>
      </c>
      <c r="D2663" s="1018">
        <v>0.86</v>
      </c>
      <c r="E2663" s="1002" t="s">
        <v>955</v>
      </c>
      <c r="F2663" s="1093">
        <f>'Civil-SOR'!$G$307</f>
        <v>520</v>
      </c>
      <c r="G2663" s="1020">
        <v>1</v>
      </c>
      <c r="H2663" s="1002" t="s">
        <v>501</v>
      </c>
      <c r="I2663" s="1001">
        <f t="shared" si="628"/>
        <v>447.2</v>
      </c>
      <c r="J2663" s="1002"/>
      <c r="K2663" s="1002"/>
      <c r="L2663" s="1002"/>
      <c r="M2663" s="1003"/>
      <c r="N2663" s="1003"/>
      <c r="O2663" s="1003"/>
      <c r="P2663" s="1003"/>
      <c r="Q2663" s="1003"/>
      <c r="R2663" s="1003"/>
      <c r="S2663" s="1003"/>
      <c r="T2663" s="1003"/>
      <c r="U2663" s="1003"/>
      <c r="V2663" s="1003"/>
      <c r="W2663" s="1003"/>
      <c r="X2663" s="1003"/>
      <c r="Y2663" s="1003"/>
      <c r="Z2663" s="1003"/>
      <c r="AA2663" s="1003"/>
      <c r="AB2663" s="1003"/>
      <c r="AC2663" s="1003"/>
      <c r="AD2663" s="1003"/>
      <c r="AE2663" s="1003"/>
      <c r="AF2663" s="1003"/>
      <c r="AG2663" s="1003"/>
      <c r="AH2663" s="1003"/>
      <c r="AI2663" s="1003"/>
      <c r="AJ2663" s="1003"/>
      <c r="AK2663" s="1003"/>
      <c r="AL2663" s="1003"/>
      <c r="AM2663" s="1003"/>
      <c r="AN2663" s="1003"/>
      <c r="AO2663" s="1003"/>
      <c r="AP2663" s="1003"/>
      <c r="AQ2663" s="1003"/>
      <c r="AR2663" s="1003"/>
      <c r="AS2663" s="1003"/>
      <c r="AT2663" s="1003"/>
      <c r="AU2663" s="1003"/>
      <c r="AV2663" s="1003"/>
      <c r="AW2663" s="1003"/>
      <c r="AX2663" s="1003"/>
      <c r="AY2663" s="1003"/>
      <c r="AZ2663" s="1003"/>
      <c r="BA2663" s="1003"/>
      <c r="BB2663" s="1003"/>
      <c r="BC2663" s="1003"/>
      <c r="BD2663" s="1003"/>
      <c r="BE2663" s="1003"/>
      <c r="BF2663" s="1003"/>
      <c r="BG2663" s="1003"/>
      <c r="BH2663" s="1003"/>
      <c r="BI2663" s="1003"/>
      <c r="BJ2663" s="1003"/>
      <c r="BK2663" s="1003"/>
      <c r="BL2663" s="1003"/>
    </row>
    <row r="2664" spans="1:64">
      <c r="A2664" s="1818"/>
      <c r="B2664" s="1818"/>
      <c r="C2664" s="1817" t="str">
        <f>Input!$C$47</f>
        <v>Add for MA @ 40%</v>
      </c>
      <c r="D2664" s="1158">
        <f>Input!$D$47</f>
        <v>0.4</v>
      </c>
      <c r="E2664" s="1002"/>
      <c r="F2664" s="1093">
        <f>SUM(I2661:I2663)</f>
        <v>2850.2</v>
      </c>
      <c r="G2664" s="1020"/>
      <c r="H2664" s="1002"/>
      <c r="I2664" s="1001">
        <f t="shared" si="628"/>
        <v>1140.08</v>
      </c>
      <c r="J2664" s="1002"/>
      <c r="K2664" s="1002"/>
      <c r="L2664" s="1002"/>
      <c r="M2664" s="1003"/>
      <c r="N2664" s="1003"/>
      <c r="O2664" s="1003"/>
      <c r="P2664" s="1003"/>
      <c r="Q2664" s="1003"/>
      <c r="R2664" s="1003"/>
      <c r="S2664" s="1003"/>
      <c r="T2664" s="1003"/>
      <c r="U2664" s="1003"/>
      <c r="V2664" s="1003"/>
      <c r="W2664" s="1003"/>
      <c r="X2664" s="1003"/>
      <c r="Y2664" s="1003"/>
      <c r="Z2664" s="1003"/>
      <c r="AA2664" s="1003"/>
      <c r="AB2664" s="1003"/>
      <c r="AC2664" s="1003"/>
      <c r="AD2664" s="1003"/>
      <c r="AE2664" s="1003"/>
      <c r="AF2664" s="1003"/>
      <c r="AG2664" s="1003"/>
      <c r="AH2664" s="1003"/>
      <c r="AI2664" s="1003"/>
      <c r="AJ2664" s="1003"/>
      <c r="AK2664" s="1003"/>
      <c r="AL2664" s="1003"/>
      <c r="AM2664" s="1003"/>
      <c r="AN2664" s="1003"/>
      <c r="AO2664" s="1003"/>
      <c r="AP2664" s="1003"/>
      <c r="AQ2664" s="1003"/>
      <c r="AR2664" s="1003"/>
      <c r="AS2664" s="1003"/>
      <c r="AT2664" s="1003"/>
      <c r="AU2664" s="1003"/>
      <c r="AV2664" s="1003"/>
      <c r="AW2664" s="1003"/>
      <c r="AX2664" s="1003"/>
      <c r="AY2664" s="1003"/>
      <c r="AZ2664" s="1003"/>
      <c r="BA2664" s="1003"/>
      <c r="BB2664" s="1003"/>
      <c r="BC2664" s="1003"/>
      <c r="BD2664" s="1003"/>
      <c r="BE2664" s="1003"/>
      <c r="BF2664" s="1003"/>
      <c r="BG2664" s="1003"/>
      <c r="BH2664" s="1003"/>
      <c r="BI2664" s="1003"/>
      <c r="BJ2664" s="1003"/>
      <c r="BK2664" s="1003"/>
      <c r="BL2664" s="1003"/>
    </row>
    <row r="2665" spans="1:64">
      <c r="A2665" s="1818"/>
      <c r="B2665" s="1818"/>
      <c r="C2665" s="1184" t="s">
        <v>1301</v>
      </c>
      <c r="D2665" s="1018">
        <v>0.01</v>
      </c>
      <c r="E2665" s="1002"/>
      <c r="F2665" s="1093">
        <f>SUM(I2655:I2664)</f>
        <v>6372.9281999999994</v>
      </c>
      <c r="G2665" s="1020"/>
      <c r="H2665" s="1002"/>
      <c r="I2665" s="1001">
        <f t="shared" si="628"/>
        <v>63.729281999999998</v>
      </c>
      <c r="J2665" s="1002"/>
      <c r="K2665" s="1002"/>
      <c r="L2665" s="1002"/>
      <c r="M2665" s="1003"/>
      <c r="N2665" s="1003"/>
      <c r="O2665" s="1003"/>
      <c r="P2665" s="1003"/>
      <c r="Q2665" s="1003"/>
      <c r="R2665" s="1003"/>
      <c r="S2665" s="1003"/>
      <c r="T2665" s="1003"/>
      <c r="U2665" s="1003"/>
      <c r="V2665" s="1003"/>
      <c r="W2665" s="1003"/>
      <c r="X2665" s="1003"/>
      <c r="Y2665" s="1003"/>
      <c r="Z2665" s="1003"/>
      <c r="AA2665" s="1003"/>
      <c r="AB2665" s="1003"/>
      <c r="AC2665" s="1003"/>
      <c r="AD2665" s="1003"/>
      <c r="AE2665" s="1003"/>
      <c r="AF2665" s="1003"/>
      <c r="AG2665" s="1003"/>
      <c r="AH2665" s="1003"/>
      <c r="AI2665" s="1003"/>
      <c r="AJ2665" s="1003"/>
      <c r="AK2665" s="1003"/>
      <c r="AL2665" s="1003"/>
      <c r="AM2665" s="1003"/>
      <c r="AN2665" s="1003"/>
      <c r="AO2665" s="1003"/>
      <c r="AP2665" s="1003"/>
      <c r="AQ2665" s="1003"/>
      <c r="AR2665" s="1003"/>
      <c r="AS2665" s="1003"/>
      <c r="AT2665" s="1003"/>
      <c r="AU2665" s="1003"/>
      <c r="AV2665" s="1003"/>
      <c r="AW2665" s="1003"/>
      <c r="AX2665" s="1003"/>
      <c r="AY2665" s="1003"/>
      <c r="AZ2665" s="1003"/>
      <c r="BA2665" s="1003"/>
      <c r="BB2665" s="1003"/>
      <c r="BC2665" s="1003"/>
      <c r="BD2665" s="1003"/>
      <c r="BE2665" s="1003"/>
      <c r="BF2665" s="1003"/>
      <c r="BG2665" s="1003"/>
      <c r="BH2665" s="1003"/>
      <c r="BI2665" s="1003"/>
      <c r="BJ2665" s="1003"/>
      <c r="BK2665" s="1003"/>
      <c r="BL2665" s="1003"/>
    </row>
    <row r="2666" spans="1:64">
      <c r="A2666" s="1086"/>
      <c r="B2666" s="1086"/>
      <c r="C2666" s="1183" t="s">
        <v>1402</v>
      </c>
      <c r="D2666" s="1117"/>
      <c r="E2666" s="996"/>
      <c r="F2666" s="1829"/>
      <c r="G2666" s="1108"/>
      <c r="H2666" s="996"/>
      <c r="I2666" s="1826">
        <f>SUM(I2655:I2665)</f>
        <v>6436.6574819999996</v>
      </c>
      <c r="J2666" s="996"/>
      <c r="K2666" s="996"/>
      <c r="L2666" s="996"/>
      <c r="M2666" s="997"/>
      <c r="N2666" s="997"/>
      <c r="O2666" s="997"/>
      <c r="P2666" s="997"/>
      <c r="Q2666" s="997"/>
      <c r="R2666" s="997"/>
      <c r="S2666" s="997"/>
      <c r="T2666" s="997"/>
      <c r="U2666" s="997"/>
      <c r="V2666" s="997"/>
      <c r="W2666" s="997"/>
      <c r="X2666" s="997"/>
      <c r="Y2666" s="997"/>
      <c r="Z2666" s="997"/>
      <c r="AA2666" s="997"/>
      <c r="AB2666" s="997"/>
      <c r="AC2666" s="997"/>
      <c r="AD2666" s="997"/>
      <c r="AE2666" s="997"/>
      <c r="AF2666" s="997"/>
      <c r="AG2666" s="997"/>
      <c r="AH2666" s="997"/>
      <c r="AI2666" s="997"/>
      <c r="AJ2666" s="997"/>
      <c r="AK2666" s="997"/>
      <c r="AL2666" s="997"/>
      <c r="AM2666" s="997"/>
      <c r="AN2666" s="997"/>
      <c r="AO2666" s="997"/>
      <c r="AP2666" s="997"/>
      <c r="AQ2666" s="997"/>
      <c r="AR2666" s="997"/>
      <c r="AS2666" s="997"/>
      <c r="AT2666" s="997"/>
      <c r="AU2666" s="997"/>
      <c r="AV2666" s="997"/>
      <c r="AW2666" s="997"/>
      <c r="AX2666" s="997"/>
      <c r="AY2666" s="997"/>
      <c r="AZ2666" s="997"/>
      <c r="BA2666" s="997"/>
      <c r="BB2666" s="997"/>
      <c r="BC2666" s="997"/>
      <c r="BD2666" s="997"/>
      <c r="BE2666" s="997"/>
      <c r="BF2666" s="997"/>
      <c r="BG2666" s="997"/>
      <c r="BH2666" s="997"/>
      <c r="BI2666" s="997"/>
      <c r="BJ2666" s="997"/>
      <c r="BK2666" s="997"/>
      <c r="BL2666" s="997"/>
    </row>
    <row r="2667" spans="1:64">
      <c r="A2667" s="1818"/>
      <c r="B2667" s="1818"/>
      <c r="C2667" s="1825"/>
      <c r="D2667" s="1096"/>
      <c r="E2667" s="1846"/>
      <c r="F2667" s="1021"/>
      <c r="G2667" s="1105"/>
      <c r="H2667" s="1846"/>
      <c r="I2667" s="1030"/>
      <c r="J2667" s="1846"/>
      <c r="K2667" s="1846"/>
      <c r="L2667" s="1846"/>
    </row>
    <row r="2668" spans="1:64">
      <c r="A2668" s="1818"/>
      <c r="B2668" s="1818"/>
      <c r="C2668" s="1816" t="s">
        <v>1403</v>
      </c>
      <c r="D2668" s="1009" t="s">
        <v>1223</v>
      </c>
      <c r="E2668" s="1114" t="s">
        <v>1207</v>
      </c>
      <c r="F2668" s="1106" t="s">
        <v>1208</v>
      </c>
      <c r="G2668" s="1009" t="s">
        <v>1291</v>
      </c>
      <c r="H2668" s="1009" t="s">
        <v>1292</v>
      </c>
      <c r="I2668" s="1009" t="s">
        <v>1293</v>
      </c>
      <c r="J2668" s="1009"/>
      <c r="K2668" s="1009" t="s">
        <v>1358</v>
      </c>
      <c r="L2668" s="1009" t="s">
        <v>1359</v>
      </c>
    </row>
    <row r="2669" spans="1:64">
      <c r="A2669" s="1818"/>
      <c r="B2669" s="1818"/>
      <c r="C2669" s="1817" t="s">
        <v>1317</v>
      </c>
      <c r="D2669" s="1001">
        <f t="shared" ref="D2669:L2669" si="629">$I$2666</f>
        <v>6436.6574819999996</v>
      </c>
      <c r="E2669" s="1001">
        <f t="shared" si="629"/>
        <v>6436.6574819999996</v>
      </c>
      <c r="F2669" s="1001">
        <f t="shared" si="629"/>
        <v>6436.6574819999996</v>
      </c>
      <c r="G2669" s="1001">
        <f t="shared" si="629"/>
        <v>6436.6574819999996</v>
      </c>
      <c r="H2669" s="1001">
        <f t="shared" si="629"/>
        <v>6436.6574819999996</v>
      </c>
      <c r="I2669" s="1001">
        <f t="shared" si="629"/>
        <v>6436.6574819999996</v>
      </c>
      <c r="J2669" s="1001"/>
      <c r="K2669" s="1001">
        <f t="shared" si="629"/>
        <v>6436.6574819999996</v>
      </c>
      <c r="L2669" s="1001">
        <f t="shared" si="629"/>
        <v>6436.6574819999996</v>
      </c>
    </row>
    <row r="2670" spans="1:64">
      <c r="A2670" s="1818"/>
      <c r="B2670" s="1818"/>
      <c r="C2670" s="1817" t="s">
        <v>1253</v>
      </c>
      <c r="D2670" s="1001">
        <v>0</v>
      </c>
      <c r="E2670" s="1001">
        <f>ROUND($F$2664*10%,2)</f>
        <v>285.02</v>
      </c>
      <c r="F2670" s="1001">
        <f>ROUND($F$2664*20%,2)</f>
        <v>570.04</v>
      </c>
      <c r="G2670" s="1001">
        <f>ROUND($F$2664*30%,2)</f>
        <v>855.06</v>
      </c>
      <c r="H2670" s="1001">
        <f>ROUND($F$2664*40%,2)</f>
        <v>1140.08</v>
      </c>
      <c r="I2670" s="1001">
        <f>ROUND($F$2664*50%,2)</f>
        <v>1425.1</v>
      </c>
      <c r="J2670" s="1001"/>
      <c r="K2670" s="1001">
        <f>ROUND($F$2664*70%,2)</f>
        <v>1995.14</v>
      </c>
      <c r="L2670" s="1001">
        <f>ROUND($F$2664*80%,2)</f>
        <v>2280.16</v>
      </c>
    </row>
    <row r="2671" spans="1:64">
      <c r="A2671" s="1818"/>
      <c r="B2671" s="1818"/>
      <c r="C2671" s="1817" t="str">
        <f>Input!$C$47</f>
        <v>Add for MA @ 40%</v>
      </c>
      <c r="D2671" s="1001">
        <f>D2670*Input!$D$47</f>
        <v>0</v>
      </c>
      <c r="E2671" s="1001">
        <f>E2670*Input!$D$47</f>
        <v>114.008</v>
      </c>
      <c r="F2671" s="1001">
        <f>F2670*Input!$D$47</f>
        <v>228.01599999999999</v>
      </c>
      <c r="G2671" s="1001">
        <f>G2670*Input!$D$47</f>
        <v>342.024</v>
      </c>
      <c r="H2671" s="1001">
        <f>H2670*Input!$D$47</f>
        <v>456.03199999999998</v>
      </c>
      <c r="I2671" s="1001">
        <f>I2670*Input!$D$47</f>
        <v>570.04</v>
      </c>
      <c r="J2671" s="1001"/>
      <c r="K2671" s="1001">
        <f>K2670*Input!$D$47</f>
        <v>798.05600000000004</v>
      </c>
      <c r="L2671" s="1001">
        <f>L2670*Input!$D$47</f>
        <v>912.06399999999996</v>
      </c>
    </row>
    <row r="2672" spans="1:64">
      <c r="A2672" s="1818"/>
      <c r="B2672" s="1818"/>
      <c r="C2672" s="1846"/>
      <c r="D2672" s="1001">
        <f t="shared" ref="D2672:L2672" si="630">SUM(D2669:D2671)</f>
        <v>6436.6574819999996</v>
      </c>
      <c r="E2672" s="1001">
        <f t="shared" si="630"/>
        <v>6835.685481999999</v>
      </c>
      <c r="F2672" s="1001">
        <f t="shared" si="630"/>
        <v>7234.7134819999992</v>
      </c>
      <c r="G2672" s="1001">
        <f t="shared" si="630"/>
        <v>7633.7414820000004</v>
      </c>
      <c r="H2672" s="1001">
        <f t="shared" si="630"/>
        <v>8032.7694819999997</v>
      </c>
      <c r="I2672" s="1001">
        <f t="shared" si="630"/>
        <v>8431.7974819999981</v>
      </c>
      <c r="J2672" s="1001"/>
      <c r="K2672" s="1001">
        <f t="shared" si="630"/>
        <v>9229.8534820000004</v>
      </c>
      <c r="L2672" s="1001">
        <f t="shared" si="630"/>
        <v>9628.8814819999989</v>
      </c>
    </row>
    <row r="2673" spans="1:64">
      <c r="A2673" s="1818"/>
      <c r="B2673" s="1818"/>
      <c r="C2673" s="1817" t="str">
        <f>Input!$C$48</f>
        <v>Overheads &amp; Contractors Profit @ 13.615%</v>
      </c>
      <c r="D2673" s="1001">
        <f>ROUND(D2672*Input!$D$48,2)</f>
        <v>876.35</v>
      </c>
      <c r="E2673" s="1001">
        <f>ROUND(E2672*Input!$D$48,2)</f>
        <v>930.68</v>
      </c>
      <c r="F2673" s="1001">
        <f>ROUND(F2672*Input!$D$48,2)</f>
        <v>985.01</v>
      </c>
      <c r="G2673" s="1001">
        <f>ROUND(G2672*Input!$D$48,2)</f>
        <v>1039.33</v>
      </c>
      <c r="H2673" s="1001">
        <f>ROUND(H2672*Input!$D$48,2)</f>
        <v>1093.6600000000001</v>
      </c>
      <c r="I2673" s="1001">
        <f>ROUND(I2672*Input!$D$48,2)</f>
        <v>1147.99</v>
      </c>
      <c r="J2673" s="1001"/>
      <c r="K2673" s="1001">
        <f>ROUND(K2672*Input!$D$48,2)</f>
        <v>1256.6400000000001</v>
      </c>
      <c r="L2673" s="1001">
        <f>ROUND(L2672*Input!$D$48,2)</f>
        <v>1310.97</v>
      </c>
    </row>
    <row r="2674" spans="1:64">
      <c r="A2674" s="1086"/>
      <c r="B2674" s="1086"/>
      <c r="C2674" s="1088" t="s">
        <v>1302</v>
      </c>
      <c r="D2674" s="994">
        <f t="shared" ref="D2674:L2674" si="631">SUM(D2672:D2673)</f>
        <v>7313.007482</v>
      </c>
      <c r="E2674" s="994">
        <f t="shared" si="631"/>
        <v>7766.3654819999992</v>
      </c>
      <c r="F2674" s="994">
        <f t="shared" si="631"/>
        <v>8219.7234819999994</v>
      </c>
      <c r="G2674" s="994">
        <f t="shared" si="631"/>
        <v>8673.0714819999994</v>
      </c>
      <c r="H2674" s="994">
        <f t="shared" si="631"/>
        <v>9126.4294819999996</v>
      </c>
      <c r="I2674" s="994">
        <f t="shared" si="631"/>
        <v>9579.7874819999979</v>
      </c>
      <c r="J2674" s="994"/>
      <c r="K2674" s="994">
        <f t="shared" si="631"/>
        <v>10486.493482</v>
      </c>
      <c r="L2674" s="994">
        <f t="shared" si="631"/>
        <v>10939.851481999998</v>
      </c>
      <c r="M2674" s="997"/>
      <c r="N2674" s="997"/>
      <c r="O2674" s="997"/>
      <c r="P2674" s="997"/>
      <c r="Q2674" s="997"/>
      <c r="R2674" s="997"/>
      <c r="S2674" s="997"/>
      <c r="T2674" s="997"/>
      <c r="U2674" s="997"/>
      <c r="V2674" s="997"/>
      <c r="W2674" s="997"/>
      <c r="X2674" s="997"/>
      <c r="Y2674" s="997"/>
      <c r="Z2674" s="997"/>
      <c r="AA2674" s="997"/>
      <c r="AB2674" s="997"/>
      <c r="AC2674" s="997"/>
      <c r="AD2674" s="997"/>
      <c r="AE2674" s="997"/>
      <c r="AF2674" s="997"/>
      <c r="AG2674" s="997"/>
      <c r="AH2674" s="997"/>
      <c r="AI2674" s="997"/>
      <c r="AJ2674" s="997"/>
      <c r="AK2674" s="997"/>
      <c r="AL2674" s="997"/>
      <c r="AM2674" s="997"/>
      <c r="AN2674" s="997"/>
      <c r="AO2674" s="997"/>
      <c r="AP2674" s="997"/>
      <c r="AQ2674" s="997"/>
      <c r="AR2674" s="997"/>
      <c r="AS2674" s="997"/>
      <c r="AT2674" s="997"/>
      <c r="AU2674" s="997"/>
      <c r="AV2674" s="997"/>
      <c r="AW2674" s="997"/>
      <c r="AX2674" s="997"/>
      <c r="AY2674" s="997"/>
      <c r="AZ2674" s="997"/>
      <c r="BA2674" s="997"/>
      <c r="BB2674" s="997"/>
      <c r="BC2674" s="997"/>
      <c r="BD2674" s="997"/>
      <c r="BE2674" s="997"/>
      <c r="BF2674" s="997"/>
      <c r="BG2674" s="997"/>
      <c r="BH2674" s="997"/>
      <c r="BI2674" s="997"/>
      <c r="BJ2674" s="997"/>
      <c r="BK2674" s="997"/>
      <c r="BL2674" s="997"/>
    </row>
    <row r="2675" spans="1:64">
      <c r="A2675" s="1086"/>
      <c r="B2675" s="1086"/>
      <c r="C2675" s="1088" t="s">
        <v>1117</v>
      </c>
      <c r="D2675" s="1826">
        <f t="shared" ref="D2675:L2675" si="632">D2674/10</f>
        <v>731.30074820000004</v>
      </c>
      <c r="E2675" s="1826">
        <f t="shared" si="632"/>
        <v>776.63654819999988</v>
      </c>
      <c r="F2675" s="1826">
        <f t="shared" si="632"/>
        <v>821.97234819999994</v>
      </c>
      <c r="G2675" s="1826">
        <f t="shared" si="632"/>
        <v>867.30714819999992</v>
      </c>
      <c r="H2675" s="1826">
        <f t="shared" si="632"/>
        <v>912.64294819999998</v>
      </c>
      <c r="I2675" s="1826">
        <f t="shared" si="632"/>
        <v>957.97874819999981</v>
      </c>
      <c r="J2675" s="1826"/>
      <c r="K2675" s="1826">
        <f t="shared" si="632"/>
        <v>1048.6493482000001</v>
      </c>
      <c r="L2675" s="1826">
        <f t="shared" si="632"/>
        <v>1093.9851481999999</v>
      </c>
      <c r="M2675" s="997"/>
      <c r="N2675" s="997"/>
      <c r="O2675" s="997"/>
      <c r="P2675" s="997"/>
      <c r="Q2675" s="997"/>
      <c r="R2675" s="997"/>
      <c r="S2675" s="997"/>
      <c r="T2675" s="997"/>
      <c r="U2675" s="997"/>
      <c r="V2675" s="997"/>
      <c r="W2675" s="997"/>
      <c r="X2675" s="997"/>
      <c r="Y2675" s="997"/>
      <c r="Z2675" s="997"/>
      <c r="AA2675" s="997"/>
      <c r="AB2675" s="997"/>
      <c r="AC2675" s="997"/>
      <c r="AD2675" s="997"/>
      <c r="AE2675" s="997"/>
      <c r="AF2675" s="997"/>
      <c r="AG2675" s="997"/>
      <c r="AH2675" s="997"/>
      <c r="AI2675" s="997"/>
      <c r="AJ2675" s="997"/>
      <c r="AK2675" s="997"/>
      <c r="AL2675" s="997"/>
      <c r="AM2675" s="997"/>
      <c r="AN2675" s="997"/>
      <c r="AO2675" s="997"/>
      <c r="AP2675" s="997"/>
      <c r="AQ2675" s="997"/>
      <c r="AR2675" s="997"/>
      <c r="AS2675" s="997"/>
      <c r="AT2675" s="997"/>
      <c r="AU2675" s="997"/>
      <c r="AV2675" s="997"/>
      <c r="AW2675" s="997"/>
      <c r="AX2675" s="997"/>
      <c r="AY2675" s="997"/>
      <c r="AZ2675" s="997"/>
      <c r="BA2675" s="997"/>
      <c r="BB2675" s="997"/>
      <c r="BC2675" s="997"/>
      <c r="BD2675" s="997"/>
      <c r="BE2675" s="997"/>
      <c r="BF2675" s="997"/>
      <c r="BG2675" s="997"/>
      <c r="BH2675" s="997"/>
      <c r="BI2675" s="997"/>
      <c r="BJ2675" s="997"/>
      <c r="BK2675" s="997"/>
      <c r="BL2675" s="997"/>
    </row>
    <row r="2676" spans="1:64">
      <c r="A2676" s="1086"/>
      <c r="B2676" s="1086"/>
      <c r="C2676" s="1118" t="s">
        <v>1034</v>
      </c>
      <c r="D2676" s="999">
        <f t="shared" ref="D2676:L2676" si="633">ROUND(D2675,0)</f>
        <v>731</v>
      </c>
      <c r="E2676" s="999">
        <f t="shared" si="633"/>
        <v>777</v>
      </c>
      <c r="F2676" s="999">
        <f t="shared" si="633"/>
        <v>822</v>
      </c>
      <c r="G2676" s="999">
        <f t="shared" si="633"/>
        <v>867</v>
      </c>
      <c r="H2676" s="999">
        <f t="shared" si="633"/>
        <v>913</v>
      </c>
      <c r="I2676" s="999">
        <f t="shared" si="633"/>
        <v>958</v>
      </c>
      <c r="J2676" s="999"/>
      <c r="K2676" s="999">
        <f t="shared" si="633"/>
        <v>1049</v>
      </c>
      <c r="L2676" s="999">
        <f t="shared" si="633"/>
        <v>1094</v>
      </c>
      <c r="M2676" s="997"/>
      <c r="N2676" s="997"/>
      <c r="O2676" s="997"/>
      <c r="P2676" s="997"/>
      <c r="Q2676" s="997"/>
      <c r="R2676" s="997"/>
      <c r="S2676" s="997"/>
      <c r="T2676" s="997"/>
      <c r="U2676" s="997"/>
      <c r="V2676" s="997"/>
      <c r="W2676" s="997"/>
      <c r="X2676" s="997"/>
      <c r="Y2676" s="997"/>
      <c r="Z2676" s="997"/>
      <c r="AA2676" s="997"/>
      <c r="AB2676" s="997"/>
      <c r="AC2676" s="997"/>
      <c r="AD2676" s="997"/>
      <c r="AE2676" s="997"/>
      <c r="AF2676" s="997"/>
      <c r="AG2676" s="997"/>
      <c r="AH2676" s="997"/>
      <c r="AI2676" s="997"/>
      <c r="AJ2676" s="997"/>
      <c r="AK2676" s="997"/>
      <c r="AL2676" s="997"/>
      <c r="AM2676" s="997"/>
      <c r="AN2676" s="997"/>
      <c r="AO2676" s="997"/>
      <c r="AP2676" s="997"/>
      <c r="AQ2676" s="997"/>
      <c r="AR2676" s="997"/>
      <c r="AS2676" s="997"/>
      <c r="AT2676" s="997"/>
      <c r="AU2676" s="997"/>
      <c r="AV2676" s="997"/>
      <c r="AW2676" s="997"/>
      <c r="AX2676" s="997"/>
      <c r="AY2676" s="997"/>
      <c r="AZ2676" s="997"/>
      <c r="BA2676" s="997"/>
      <c r="BB2676" s="997"/>
      <c r="BC2676" s="997"/>
      <c r="BD2676" s="997"/>
      <c r="BE2676" s="997"/>
      <c r="BF2676" s="997"/>
      <c r="BG2676" s="997"/>
      <c r="BH2676" s="997"/>
      <c r="BI2676" s="997"/>
      <c r="BJ2676" s="997"/>
      <c r="BK2676" s="997"/>
      <c r="BL2676" s="997"/>
    </row>
    <row r="2677" spans="1:64">
      <c r="A2677" s="1818"/>
      <c r="B2677" s="1818"/>
      <c r="C2677" s="1816"/>
      <c r="D2677" s="1170"/>
      <c r="E2677" s="1114"/>
      <c r="F2677" s="1114"/>
      <c r="G2677" s="1114"/>
      <c r="H2677" s="1114"/>
      <c r="I2677" s="1009"/>
      <c r="J2677" s="1846"/>
      <c r="K2677" s="1846"/>
      <c r="L2677" s="1846"/>
    </row>
    <row r="2678" spans="1:64" ht="97.7" customHeight="1">
      <c r="A2678" s="1818">
        <f>1+A2544</f>
        <v>32</v>
      </c>
      <c r="B2678" s="1818"/>
      <c r="C2678" s="2036" t="s">
        <v>3422</v>
      </c>
      <c r="D2678" s="2036"/>
      <c r="E2678" s="2036"/>
      <c r="F2678" s="2036"/>
      <c r="G2678" s="2036"/>
      <c r="H2678" s="2036"/>
      <c r="I2678" s="1825"/>
      <c r="J2678" s="1846"/>
      <c r="K2678" s="1846"/>
      <c r="L2678" s="1846"/>
    </row>
    <row r="2679" spans="1:64">
      <c r="A2679" s="1818"/>
      <c r="B2679" s="1818"/>
      <c r="C2679" s="1049" t="s">
        <v>1405</v>
      </c>
      <c r="D2679" s="1846"/>
      <c r="E2679" s="1846"/>
      <c r="F2679" s="1068"/>
      <c r="G2679" s="1846"/>
      <c r="H2679" s="1846"/>
      <c r="I2679" s="1021"/>
      <c r="J2679" s="1846"/>
      <c r="K2679" s="1846"/>
      <c r="L2679" s="1846"/>
    </row>
    <row r="2680" spans="1:64">
      <c r="A2680" s="1818"/>
      <c r="B2680" s="1818"/>
      <c r="C2680" s="1820" t="s">
        <v>1394</v>
      </c>
      <c r="D2680" s="1846"/>
      <c r="E2680" s="1846"/>
      <c r="F2680" s="1068"/>
      <c r="G2680" s="1846"/>
      <c r="H2680" s="1846"/>
      <c r="I2680" s="1021"/>
      <c r="J2680" s="1846"/>
      <c r="K2680" s="1846"/>
      <c r="L2680" s="1846"/>
    </row>
    <row r="2681" spans="1:64">
      <c r="A2681" s="1818"/>
      <c r="B2681" s="1818"/>
      <c r="C2681" s="1820" t="s">
        <v>1395</v>
      </c>
      <c r="D2681" s="1096"/>
      <c r="E2681" s="1846"/>
      <c r="F2681" s="1021"/>
      <c r="G2681" s="1105"/>
      <c r="H2681" s="1846"/>
      <c r="I2681" s="1030"/>
      <c r="J2681" s="1846"/>
      <c r="K2681" s="1846"/>
      <c r="L2681" s="1846"/>
    </row>
    <row r="2682" spans="1:64" ht="25.5">
      <c r="A2682" s="1058"/>
      <c r="B2682" s="1058"/>
      <c r="C2682" s="1817" t="s">
        <v>1406</v>
      </c>
      <c r="D2682" s="1137">
        <v>10.5</v>
      </c>
      <c r="E2682" s="1022" t="s">
        <v>46</v>
      </c>
      <c r="F2682" s="1848">
        <f>'Civil-SOR'!$G$16</f>
        <v>315</v>
      </c>
      <c r="G2682" s="1076">
        <v>1</v>
      </c>
      <c r="H2682" s="1022" t="s">
        <v>46</v>
      </c>
      <c r="I2682" s="1062">
        <f t="shared" ref="I2682:I2686" si="634">IF(G2682="",D2682*F2682,(D2682*F2682/G2682))</f>
        <v>3307.5</v>
      </c>
      <c r="J2682" s="1022"/>
      <c r="K2682" s="1022"/>
      <c r="L2682" s="1022"/>
      <c r="M2682" s="1066"/>
      <c r="N2682" s="1066"/>
      <c r="O2682" s="1066"/>
      <c r="P2682" s="1066"/>
      <c r="Q2682" s="1066"/>
      <c r="R2682" s="1066"/>
      <c r="S2682" s="1066"/>
      <c r="T2682" s="1066"/>
      <c r="U2682" s="1066"/>
      <c r="V2682" s="1066"/>
      <c r="W2682" s="1066"/>
      <c r="X2682" s="1066"/>
      <c r="Y2682" s="1066"/>
      <c r="Z2682" s="1066"/>
      <c r="AA2682" s="1066"/>
      <c r="AB2682" s="1066"/>
      <c r="AC2682" s="1066"/>
      <c r="AD2682" s="1066"/>
      <c r="AE2682" s="1066"/>
      <c r="AF2682" s="1066"/>
      <c r="AG2682" s="1066"/>
      <c r="AH2682" s="1066"/>
      <c r="AI2682" s="1066"/>
      <c r="AJ2682" s="1066"/>
      <c r="AK2682" s="1066"/>
      <c r="AL2682" s="1066"/>
      <c r="AM2682" s="1066"/>
      <c r="AN2682" s="1066"/>
      <c r="AO2682" s="1066"/>
      <c r="AP2682" s="1066"/>
      <c r="AQ2682" s="1066"/>
      <c r="AR2682" s="1066"/>
      <c r="AS2682" s="1066"/>
      <c r="AT2682" s="1066"/>
      <c r="AU2682" s="1066"/>
      <c r="AV2682" s="1066"/>
      <c r="AW2682" s="1066"/>
      <c r="AX2682" s="1066"/>
      <c r="AY2682" s="1066"/>
      <c r="AZ2682" s="1066"/>
      <c r="BA2682" s="1066"/>
      <c r="BB2682" s="1066"/>
      <c r="BC2682" s="1066"/>
      <c r="BD2682" s="1066"/>
      <c r="BE2682" s="1066"/>
      <c r="BF2682" s="1066"/>
      <c r="BG2682" s="1066"/>
      <c r="BH2682" s="1066"/>
      <c r="BI2682" s="1066"/>
      <c r="BJ2682" s="1066"/>
      <c r="BK2682" s="1066"/>
      <c r="BL2682" s="1066"/>
    </row>
    <row r="2683" spans="1:64">
      <c r="A2683" s="1058"/>
      <c r="B2683" s="1058"/>
      <c r="C2683" s="1817" t="s">
        <v>1407</v>
      </c>
      <c r="D2683" s="1137">
        <v>21.6</v>
      </c>
      <c r="E2683" s="1022" t="s">
        <v>1110</v>
      </c>
      <c r="F2683" s="1848">
        <f>LEAD!$N$6</f>
        <v>5200</v>
      </c>
      <c r="G2683" s="1076">
        <v>1000</v>
      </c>
      <c r="H2683" s="1022" t="s">
        <v>1110</v>
      </c>
      <c r="I2683" s="1062">
        <f t="shared" si="634"/>
        <v>112.32000000000002</v>
      </c>
      <c r="J2683" s="1022"/>
      <c r="K2683" s="1022"/>
      <c r="L2683" s="1022"/>
      <c r="M2683" s="1066"/>
      <c r="N2683" s="1066"/>
      <c r="O2683" s="1066"/>
      <c r="P2683" s="1066"/>
      <c r="Q2683" s="1066"/>
      <c r="R2683" s="1066"/>
      <c r="S2683" s="1066"/>
      <c r="T2683" s="1066"/>
      <c r="U2683" s="1066"/>
      <c r="V2683" s="1066"/>
      <c r="W2683" s="1066"/>
      <c r="X2683" s="1066"/>
      <c r="Y2683" s="1066"/>
      <c r="Z2683" s="1066"/>
      <c r="AA2683" s="1066"/>
      <c r="AB2683" s="1066"/>
      <c r="AC2683" s="1066"/>
      <c r="AD2683" s="1066"/>
      <c r="AE2683" s="1066"/>
      <c r="AF2683" s="1066"/>
      <c r="AG2683" s="1066"/>
      <c r="AH2683" s="1066"/>
      <c r="AI2683" s="1066"/>
      <c r="AJ2683" s="1066"/>
      <c r="AK2683" s="1066"/>
      <c r="AL2683" s="1066"/>
      <c r="AM2683" s="1066"/>
      <c r="AN2683" s="1066"/>
      <c r="AO2683" s="1066"/>
      <c r="AP2683" s="1066"/>
      <c r="AQ2683" s="1066"/>
      <c r="AR2683" s="1066"/>
      <c r="AS2683" s="1066"/>
      <c r="AT2683" s="1066"/>
      <c r="AU2683" s="1066"/>
      <c r="AV2683" s="1066"/>
      <c r="AW2683" s="1066"/>
      <c r="AX2683" s="1066"/>
      <c r="AY2683" s="1066"/>
      <c r="AZ2683" s="1066"/>
      <c r="BA2683" s="1066"/>
      <c r="BB2683" s="1066"/>
      <c r="BC2683" s="1066"/>
      <c r="BD2683" s="1066"/>
      <c r="BE2683" s="1066"/>
      <c r="BF2683" s="1066"/>
      <c r="BG2683" s="1066"/>
      <c r="BH2683" s="1066"/>
      <c r="BI2683" s="1066"/>
      <c r="BJ2683" s="1066"/>
      <c r="BK2683" s="1066"/>
      <c r="BL2683" s="1066"/>
    </row>
    <row r="2684" spans="1:64">
      <c r="A2684" s="1058"/>
      <c r="B2684" s="1058"/>
      <c r="C2684" s="1817" t="s">
        <v>1398</v>
      </c>
      <c r="D2684" s="1137">
        <v>33</v>
      </c>
      <c r="E2684" s="1022" t="s">
        <v>1110</v>
      </c>
      <c r="F2684" s="1848">
        <f>LEAD!$N$6</f>
        <v>5200</v>
      </c>
      <c r="G2684" s="1076">
        <v>1000</v>
      </c>
      <c r="H2684" s="1022" t="s">
        <v>1110</v>
      </c>
      <c r="I2684" s="1062">
        <f t="shared" si="634"/>
        <v>171.6</v>
      </c>
      <c r="J2684" s="1022"/>
      <c r="K2684" s="1022"/>
      <c r="L2684" s="1022"/>
      <c r="M2684" s="1066"/>
      <c r="N2684" s="1066"/>
      <c r="O2684" s="1066"/>
      <c r="P2684" s="1066"/>
      <c r="Q2684" s="1066"/>
      <c r="R2684" s="1066"/>
      <c r="S2684" s="1066"/>
      <c r="T2684" s="1066"/>
      <c r="U2684" s="1066"/>
      <c r="V2684" s="1066"/>
      <c r="W2684" s="1066"/>
      <c r="X2684" s="1066"/>
      <c r="Y2684" s="1066"/>
      <c r="Z2684" s="1066"/>
      <c r="AA2684" s="1066"/>
      <c r="AB2684" s="1066"/>
      <c r="AC2684" s="1066"/>
      <c r="AD2684" s="1066"/>
      <c r="AE2684" s="1066"/>
      <c r="AF2684" s="1066"/>
      <c r="AG2684" s="1066"/>
      <c r="AH2684" s="1066"/>
      <c r="AI2684" s="1066"/>
      <c r="AJ2684" s="1066"/>
      <c r="AK2684" s="1066"/>
      <c r="AL2684" s="1066"/>
      <c r="AM2684" s="1066"/>
      <c r="AN2684" s="1066"/>
      <c r="AO2684" s="1066"/>
      <c r="AP2684" s="1066"/>
      <c r="AQ2684" s="1066"/>
      <c r="AR2684" s="1066"/>
      <c r="AS2684" s="1066"/>
      <c r="AT2684" s="1066"/>
      <c r="AU2684" s="1066"/>
      <c r="AV2684" s="1066"/>
      <c r="AW2684" s="1066"/>
      <c r="AX2684" s="1066"/>
      <c r="AY2684" s="1066"/>
      <c r="AZ2684" s="1066"/>
      <c r="BA2684" s="1066"/>
      <c r="BB2684" s="1066"/>
      <c r="BC2684" s="1066"/>
      <c r="BD2684" s="1066"/>
      <c r="BE2684" s="1066"/>
      <c r="BF2684" s="1066"/>
      <c r="BG2684" s="1066"/>
      <c r="BH2684" s="1066"/>
      <c r="BI2684" s="1066"/>
      <c r="BJ2684" s="1066"/>
      <c r="BK2684" s="1066"/>
      <c r="BL2684" s="1066"/>
    </row>
    <row r="2685" spans="1:64">
      <c r="A2685" s="1058"/>
      <c r="B2685" s="1058"/>
      <c r="C2685" s="1817" t="s">
        <v>1408</v>
      </c>
      <c r="D2685" s="1137">
        <v>2</v>
      </c>
      <c r="E2685" s="1022" t="s">
        <v>1110</v>
      </c>
      <c r="F2685" s="1848">
        <f>'Civil-SOR'!$G$185</f>
        <v>34</v>
      </c>
      <c r="G2685" s="1076">
        <v>1</v>
      </c>
      <c r="H2685" s="1022" t="s">
        <v>97</v>
      </c>
      <c r="I2685" s="1062">
        <f t="shared" si="634"/>
        <v>68</v>
      </c>
      <c r="J2685" s="1022"/>
      <c r="K2685" s="1022"/>
      <c r="L2685" s="1022"/>
      <c r="M2685" s="1066"/>
      <c r="N2685" s="1066"/>
      <c r="O2685" s="1066"/>
      <c r="P2685" s="1066"/>
      <c r="Q2685" s="1066"/>
      <c r="R2685" s="1066"/>
      <c r="S2685" s="1066"/>
      <c r="T2685" s="1066"/>
      <c r="U2685" s="1066"/>
      <c r="V2685" s="1066"/>
      <c r="W2685" s="1066"/>
      <c r="X2685" s="1066"/>
      <c r="Y2685" s="1066"/>
      <c r="Z2685" s="1066"/>
      <c r="AA2685" s="1066"/>
      <c r="AB2685" s="1066"/>
      <c r="AC2685" s="1066"/>
      <c r="AD2685" s="1066"/>
      <c r="AE2685" s="1066"/>
      <c r="AF2685" s="1066"/>
      <c r="AG2685" s="1066"/>
      <c r="AH2685" s="1066"/>
      <c r="AI2685" s="1066"/>
      <c r="AJ2685" s="1066"/>
      <c r="AK2685" s="1066"/>
      <c r="AL2685" s="1066"/>
      <c r="AM2685" s="1066"/>
      <c r="AN2685" s="1066"/>
      <c r="AO2685" s="1066"/>
      <c r="AP2685" s="1066"/>
      <c r="AQ2685" s="1066"/>
      <c r="AR2685" s="1066"/>
      <c r="AS2685" s="1066"/>
      <c r="AT2685" s="1066"/>
      <c r="AU2685" s="1066"/>
      <c r="AV2685" s="1066"/>
      <c r="AW2685" s="1066"/>
      <c r="AX2685" s="1066"/>
      <c r="AY2685" s="1066"/>
      <c r="AZ2685" s="1066"/>
      <c r="BA2685" s="1066"/>
      <c r="BB2685" s="1066"/>
      <c r="BC2685" s="1066"/>
      <c r="BD2685" s="1066"/>
      <c r="BE2685" s="1066"/>
      <c r="BF2685" s="1066"/>
      <c r="BG2685" s="1066"/>
      <c r="BH2685" s="1066"/>
      <c r="BI2685" s="1066"/>
      <c r="BJ2685" s="1066"/>
      <c r="BK2685" s="1066"/>
      <c r="BL2685" s="1066"/>
    </row>
    <row r="2686" spans="1:64">
      <c r="A2686" s="1058"/>
      <c r="B2686" s="1058"/>
      <c r="C2686" s="1817" t="s">
        <v>1400</v>
      </c>
      <c r="D2686" s="1137">
        <v>0.12</v>
      </c>
      <c r="E2686" s="1022" t="s">
        <v>484</v>
      </c>
      <c r="F2686" s="1848">
        <f>LEAD!$N$13</f>
        <v>2453.91</v>
      </c>
      <c r="G2686" s="1076">
        <v>1</v>
      </c>
      <c r="H2686" s="1022" t="s">
        <v>484</v>
      </c>
      <c r="I2686" s="1062">
        <f t="shared" si="634"/>
        <v>294.46919999999994</v>
      </c>
      <c r="J2686" s="1022"/>
      <c r="K2686" s="1022"/>
      <c r="L2686" s="1022"/>
      <c r="M2686" s="1066"/>
      <c r="N2686" s="1066"/>
      <c r="O2686" s="1066"/>
      <c r="P2686" s="1066"/>
      <c r="Q2686" s="1066"/>
      <c r="R2686" s="1066"/>
      <c r="S2686" s="1066"/>
      <c r="T2686" s="1066"/>
      <c r="U2686" s="1066"/>
      <c r="V2686" s="1066"/>
      <c r="W2686" s="1066"/>
      <c r="X2686" s="1066"/>
      <c r="Y2686" s="1066"/>
      <c r="Z2686" s="1066"/>
      <c r="AA2686" s="1066"/>
      <c r="AB2686" s="1066"/>
      <c r="AC2686" s="1066"/>
      <c r="AD2686" s="1066"/>
      <c r="AE2686" s="1066"/>
      <c r="AF2686" s="1066"/>
      <c r="AG2686" s="1066"/>
      <c r="AH2686" s="1066"/>
      <c r="AI2686" s="1066"/>
      <c r="AJ2686" s="1066"/>
      <c r="AK2686" s="1066"/>
      <c r="AL2686" s="1066"/>
      <c r="AM2686" s="1066"/>
      <c r="AN2686" s="1066"/>
      <c r="AO2686" s="1066"/>
      <c r="AP2686" s="1066"/>
      <c r="AQ2686" s="1066"/>
      <c r="AR2686" s="1066"/>
      <c r="AS2686" s="1066"/>
      <c r="AT2686" s="1066"/>
      <c r="AU2686" s="1066"/>
      <c r="AV2686" s="1066"/>
      <c r="AW2686" s="1066"/>
      <c r="AX2686" s="1066"/>
      <c r="AY2686" s="1066"/>
      <c r="AZ2686" s="1066"/>
      <c r="BA2686" s="1066"/>
      <c r="BB2686" s="1066"/>
      <c r="BC2686" s="1066"/>
      <c r="BD2686" s="1066"/>
      <c r="BE2686" s="1066"/>
      <c r="BF2686" s="1066"/>
      <c r="BG2686" s="1066"/>
      <c r="BH2686" s="1066"/>
      <c r="BI2686" s="1066"/>
      <c r="BJ2686" s="1066"/>
      <c r="BK2686" s="1066"/>
      <c r="BL2686" s="1066"/>
    </row>
    <row r="2687" spans="1:64">
      <c r="A2687" s="1058"/>
      <c r="B2687" s="1058"/>
      <c r="C2687" s="1816" t="s">
        <v>1324</v>
      </c>
      <c r="D2687" s="1137"/>
      <c r="E2687" s="1022"/>
      <c r="F2687" s="1848"/>
      <c r="G2687" s="1076"/>
      <c r="H2687" s="1022"/>
      <c r="I2687" s="1062"/>
      <c r="J2687" s="1022"/>
      <c r="K2687" s="1022"/>
      <c r="L2687" s="1022"/>
      <c r="M2687" s="1066"/>
      <c r="N2687" s="1066"/>
      <c r="O2687" s="1066"/>
      <c r="P2687" s="1066"/>
      <c r="Q2687" s="1066"/>
      <c r="R2687" s="1066"/>
      <c r="S2687" s="1066"/>
      <c r="T2687" s="1066"/>
      <c r="U2687" s="1066"/>
      <c r="V2687" s="1066"/>
      <c r="W2687" s="1066"/>
      <c r="X2687" s="1066"/>
      <c r="Y2687" s="1066"/>
      <c r="Z2687" s="1066"/>
      <c r="AA2687" s="1066"/>
      <c r="AB2687" s="1066"/>
      <c r="AC2687" s="1066"/>
      <c r="AD2687" s="1066"/>
      <c r="AE2687" s="1066"/>
      <c r="AF2687" s="1066"/>
      <c r="AG2687" s="1066"/>
      <c r="AH2687" s="1066"/>
      <c r="AI2687" s="1066"/>
      <c r="AJ2687" s="1066"/>
      <c r="AK2687" s="1066"/>
      <c r="AL2687" s="1066"/>
      <c r="AM2687" s="1066"/>
      <c r="AN2687" s="1066"/>
      <c r="AO2687" s="1066"/>
      <c r="AP2687" s="1066"/>
      <c r="AQ2687" s="1066"/>
      <c r="AR2687" s="1066"/>
      <c r="AS2687" s="1066"/>
      <c r="AT2687" s="1066"/>
      <c r="AU2687" s="1066"/>
      <c r="AV2687" s="1066"/>
      <c r="AW2687" s="1066"/>
      <c r="AX2687" s="1066"/>
      <c r="AY2687" s="1066"/>
      <c r="AZ2687" s="1066"/>
      <c r="BA2687" s="1066"/>
      <c r="BB2687" s="1066"/>
      <c r="BC2687" s="1066"/>
      <c r="BD2687" s="1066"/>
      <c r="BE2687" s="1066"/>
      <c r="BF2687" s="1066"/>
      <c r="BG2687" s="1066"/>
      <c r="BH2687" s="1066"/>
      <c r="BI2687" s="1066"/>
      <c r="BJ2687" s="1066"/>
      <c r="BK2687" s="1066"/>
      <c r="BL2687" s="1066"/>
    </row>
    <row r="2688" spans="1:64">
      <c r="A2688" s="1058"/>
      <c r="B2688" s="1058"/>
      <c r="C2688" s="1817" t="s">
        <v>1299</v>
      </c>
      <c r="D2688" s="1137">
        <v>0.96</v>
      </c>
      <c r="E2688" s="1022" t="s">
        <v>955</v>
      </c>
      <c r="F2688" s="1848">
        <f>'Civil-SOR'!$G$293</f>
        <v>580</v>
      </c>
      <c r="G2688" s="1076">
        <v>1</v>
      </c>
      <c r="H2688" s="1022" t="s">
        <v>501</v>
      </c>
      <c r="I2688" s="1062">
        <f t="shared" ref="I2688:I2692" si="635">IF(G2688="",D2688*F2688,(D2688*F2688/G2688))</f>
        <v>556.79999999999995</v>
      </c>
      <c r="J2688" s="1022"/>
      <c r="K2688" s="1022"/>
      <c r="L2688" s="1022"/>
      <c r="M2688" s="1066"/>
      <c r="N2688" s="1066"/>
      <c r="O2688" s="1066"/>
      <c r="P2688" s="1066"/>
      <c r="Q2688" s="1066"/>
      <c r="R2688" s="1066"/>
      <c r="S2688" s="1066"/>
      <c r="T2688" s="1066"/>
      <c r="U2688" s="1066"/>
      <c r="V2688" s="1066"/>
      <c r="W2688" s="1066"/>
      <c r="X2688" s="1066"/>
      <c r="Y2688" s="1066"/>
      <c r="Z2688" s="1066"/>
      <c r="AA2688" s="1066"/>
      <c r="AB2688" s="1066"/>
      <c r="AC2688" s="1066"/>
      <c r="AD2688" s="1066"/>
      <c r="AE2688" s="1066"/>
      <c r="AF2688" s="1066"/>
      <c r="AG2688" s="1066"/>
      <c r="AH2688" s="1066"/>
      <c r="AI2688" s="1066"/>
      <c r="AJ2688" s="1066"/>
      <c r="AK2688" s="1066"/>
      <c r="AL2688" s="1066"/>
      <c r="AM2688" s="1066"/>
      <c r="AN2688" s="1066"/>
      <c r="AO2688" s="1066"/>
      <c r="AP2688" s="1066"/>
      <c r="AQ2688" s="1066"/>
      <c r="AR2688" s="1066"/>
      <c r="AS2688" s="1066"/>
      <c r="AT2688" s="1066"/>
      <c r="AU2688" s="1066"/>
      <c r="AV2688" s="1066"/>
      <c r="AW2688" s="1066"/>
      <c r="AX2688" s="1066"/>
      <c r="AY2688" s="1066"/>
      <c r="AZ2688" s="1066"/>
      <c r="BA2688" s="1066"/>
      <c r="BB2688" s="1066"/>
      <c r="BC2688" s="1066"/>
      <c r="BD2688" s="1066"/>
      <c r="BE2688" s="1066"/>
      <c r="BF2688" s="1066"/>
      <c r="BG2688" s="1066"/>
      <c r="BH2688" s="1066"/>
      <c r="BI2688" s="1066"/>
      <c r="BJ2688" s="1066"/>
      <c r="BK2688" s="1066"/>
      <c r="BL2688" s="1066"/>
    </row>
    <row r="2689" spans="1:64">
      <c r="A2689" s="1058"/>
      <c r="B2689" s="1058"/>
      <c r="C2689" s="1817" t="s">
        <v>1325</v>
      </c>
      <c r="D2689" s="1137">
        <v>2.2400000000000002</v>
      </c>
      <c r="E2689" s="1022" t="s">
        <v>955</v>
      </c>
      <c r="F2689" s="1848">
        <f>'Civil-SOR'!$G$302</f>
        <v>550</v>
      </c>
      <c r="G2689" s="1076">
        <v>1</v>
      </c>
      <c r="H2689" s="1022" t="s">
        <v>501</v>
      </c>
      <c r="I2689" s="1062">
        <f t="shared" si="635"/>
        <v>1232.0000000000002</v>
      </c>
      <c r="J2689" s="1022"/>
      <c r="K2689" s="1022"/>
      <c r="L2689" s="1022"/>
      <c r="M2689" s="1066"/>
      <c r="N2689" s="1066"/>
      <c r="O2689" s="1066"/>
      <c r="P2689" s="1066"/>
      <c r="Q2689" s="1066"/>
      <c r="R2689" s="1066"/>
      <c r="S2689" s="1066"/>
      <c r="T2689" s="1066"/>
      <c r="U2689" s="1066"/>
      <c r="V2689" s="1066"/>
      <c r="W2689" s="1066"/>
      <c r="X2689" s="1066"/>
      <c r="Y2689" s="1066"/>
      <c r="Z2689" s="1066"/>
      <c r="AA2689" s="1066"/>
      <c r="AB2689" s="1066"/>
      <c r="AC2689" s="1066"/>
      <c r="AD2689" s="1066"/>
      <c r="AE2689" s="1066"/>
      <c r="AF2689" s="1066"/>
      <c r="AG2689" s="1066"/>
      <c r="AH2689" s="1066"/>
      <c r="AI2689" s="1066"/>
      <c r="AJ2689" s="1066"/>
      <c r="AK2689" s="1066"/>
      <c r="AL2689" s="1066"/>
      <c r="AM2689" s="1066"/>
      <c r="AN2689" s="1066"/>
      <c r="AO2689" s="1066"/>
      <c r="AP2689" s="1066"/>
      <c r="AQ2689" s="1066"/>
      <c r="AR2689" s="1066"/>
      <c r="AS2689" s="1066"/>
      <c r="AT2689" s="1066"/>
      <c r="AU2689" s="1066"/>
      <c r="AV2689" s="1066"/>
      <c r="AW2689" s="1066"/>
      <c r="AX2689" s="1066"/>
      <c r="AY2689" s="1066"/>
      <c r="AZ2689" s="1066"/>
      <c r="BA2689" s="1066"/>
      <c r="BB2689" s="1066"/>
      <c r="BC2689" s="1066"/>
      <c r="BD2689" s="1066"/>
      <c r="BE2689" s="1066"/>
      <c r="BF2689" s="1066"/>
      <c r="BG2689" s="1066"/>
      <c r="BH2689" s="1066"/>
      <c r="BI2689" s="1066"/>
      <c r="BJ2689" s="1066"/>
      <c r="BK2689" s="1066"/>
      <c r="BL2689" s="1066"/>
    </row>
    <row r="2690" spans="1:64">
      <c r="A2690" s="1058"/>
      <c r="B2690" s="1058"/>
      <c r="C2690" s="1817" t="s">
        <v>1401</v>
      </c>
      <c r="D2690" s="1137">
        <v>3.3</v>
      </c>
      <c r="E2690" s="1022" t="s">
        <v>955</v>
      </c>
      <c r="F2690" s="1848">
        <f>'Civil-SOR'!$G$307</f>
        <v>520</v>
      </c>
      <c r="G2690" s="1076">
        <v>1</v>
      </c>
      <c r="H2690" s="1022" t="s">
        <v>501</v>
      </c>
      <c r="I2690" s="1062">
        <f t="shared" si="635"/>
        <v>1716</v>
      </c>
      <c r="J2690" s="1022"/>
      <c r="K2690" s="1022"/>
      <c r="L2690" s="1022"/>
      <c r="M2690" s="1066"/>
      <c r="N2690" s="1066"/>
      <c r="O2690" s="1066"/>
      <c r="P2690" s="1066"/>
      <c r="Q2690" s="1066"/>
      <c r="R2690" s="1066"/>
      <c r="S2690" s="1066"/>
      <c r="T2690" s="1066"/>
      <c r="U2690" s="1066"/>
      <c r="V2690" s="1066"/>
      <c r="W2690" s="1066"/>
      <c r="X2690" s="1066"/>
      <c r="Y2690" s="1066"/>
      <c r="Z2690" s="1066"/>
      <c r="AA2690" s="1066"/>
      <c r="AB2690" s="1066"/>
      <c r="AC2690" s="1066"/>
      <c r="AD2690" s="1066"/>
      <c r="AE2690" s="1066"/>
      <c r="AF2690" s="1066"/>
      <c r="AG2690" s="1066"/>
      <c r="AH2690" s="1066"/>
      <c r="AI2690" s="1066"/>
      <c r="AJ2690" s="1066"/>
      <c r="AK2690" s="1066"/>
      <c r="AL2690" s="1066"/>
      <c r="AM2690" s="1066"/>
      <c r="AN2690" s="1066"/>
      <c r="AO2690" s="1066"/>
      <c r="AP2690" s="1066"/>
      <c r="AQ2690" s="1066"/>
      <c r="AR2690" s="1066"/>
      <c r="AS2690" s="1066"/>
      <c r="AT2690" s="1066"/>
      <c r="AU2690" s="1066"/>
      <c r="AV2690" s="1066"/>
      <c r="AW2690" s="1066"/>
      <c r="AX2690" s="1066"/>
      <c r="AY2690" s="1066"/>
      <c r="AZ2690" s="1066"/>
      <c r="BA2690" s="1066"/>
      <c r="BB2690" s="1066"/>
      <c r="BC2690" s="1066"/>
      <c r="BD2690" s="1066"/>
      <c r="BE2690" s="1066"/>
      <c r="BF2690" s="1066"/>
      <c r="BG2690" s="1066"/>
      <c r="BH2690" s="1066"/>
      <c r="BI2690" s="1066"/>
      <c r="BJ2690" s="1066"/>
      <c r="BK2690" s="1066"/>
      <c r="BL2690" s="1066"/>
    </row>
    <row r="2691" spans="1:64">
      <c r="A2691" s="1058"/>
      <c r="B2691" s="1058"/>
      <c r="C2691" s="1817" t="str">
        <f>Input!$C$47</f>
        <v>Add for MA @ 40%</v>
      </c>
      <c r="D2691" s="1160">
        <f>Input!$D$47</f>
        <v>0.4</v>
      </c>
      <c r="E2691" s="1022"/>
      <c r="F2691" s="1848">
        <f>SUM(I2687:I2690)</f>
        <v>3504.8</v>
      </c>
      <c r="G2691" s="1076"/>
      <c r="H2691" s="1022"/>
      <c r="I2691" s="1062">
        <f t="shared" si="635"/>
        <v>1401.92</v>
      </c>
      <c r="J2691" s="1022"/>
      <c r="K2691" s="1022"/>
      <c r="L2691" s="1022"/>
      <c r="M2691" s="1066"/>
      <c r="N2691" s="1066"/>
      <c r="O2691" s="1066"/>
      <c r="P2691" s="1066"/>
      <c r="Q2691" s="1066"/>
      <c r="R2691" s="1066"/>
      <c r="S2691" s="1066"/>
      <c r="T2691" s="1066"/>
      <c r="U2691" s="1066"/>
      <c r="V2691" s="1066"/>
      <c r="W2691" s="1066"/>
      <c r="X2691" s="1066"/>
      <c r="Y2691" s="1066"/>
      <c r="Z2691" s="1066"/>
      <c r="AA2691" s="1066"/>
      <c r="AB2691" s="1066"/>
      <c r="AC2691" s="1066"/>
      <c r="AD2691" s="1066"/>
      <c r="AE2691" s="1066"/>
      <c r="AF2691" s="1066"/>
      <c r="AG2691" s="1066"/>
      <c r="AH2691" s="1066"/>
      <c r="AI2691" s="1066"/>
      <c r="AJ2691" s="1066"/>
      <c r="AK2691" s="1066"/>
      <c r="AL2691" s="1066"/>
      <c r="AM2691" s="1066"/>
      <c r="AN2691" s="1066"/>
      <c r="AO2691" s="1066"/>
      <c r="AP2691" s="1066"/>
      <c r="AQ2691" s="1066"/>
      <c r="AR2691" s="1066"/>
      <c r="AS2691" s="1066"/>
      <c r="AT2691" s="1066"/>
      <c r="AU2691" s="1066"/>
      <c r="AV2691" s="1066"/>
      <c r="AW2691" s="1066"/>
      <c r="AX2691" s="1066"/>
      <c r="AY2691" s="1066"/>
      <c r="AZ2691" s="1066"/>
      <c r="BA2691" s="1066"/>
      <c r="BB2691" s="1066"/>
      <c r="BC2691" s="1066"/>
      <c r="BD2691" s="1066"/>
      <c r="BE2691" s="1066"/>
      <c r="BF2691" s="1066"/>
      <c r="BG2691" s="1066"/>
      <c r="BH2691" s="1066"/>
      <c r="BI2691" s="1066"/>
      <c r="BJ2691" s="1066"/>
      <c r="BK2691" s="1066"/>
      <c r="BL2691" s="1066"/>
    </row>
    <row r="2692" spans="1:64">
      <c r="A2692" s="1058"/>
      <c r="B2692" s="1058"/>
      <c r="C2692" s="1817" t="s">
        <v>1301</v>
      </c>
      <c r="D2692" s="1137">
        <v>0.01</v>
      </c>
      <c r="E2692" s="1022"/>
      <c r="F2692" s="1848">
        <f>SUM(I2682:I2691)</f>
        <v>8860.609199999999</v>
      </c>
      <c r="G2692" s="1076"/>
      <c r="H2692" s="1022"/>
      <c r="I2692" s="1062">
        <f t="shared" si="635"/>
        <v>88.60609199999999</v>
      </c>
      <c r="J2692" s="1022"/>
      <c r="K2692" s="1022"/>
      <c r="L2692" s="1022"/>
      <c r="M2692" s="1066"/>
      <c r="N2692" s="1066"/>
      <c r="O2692" s="1066"/>
      <c r="P2692" s="1066"/>
      <c r="Q2692" s="1066"/>
      <c r="R2692" s="1066"/>
      <c r="S2692" s="1066"/>
      <c r="T2692" s="1066"/>
      <c r="U2692" s="1066"/>
      <c r="V2692" s="1066"/>
      <c r="W2692" s="1066"/>
      <c r="X2692" s="1066"/>
      <c r="Y2692" s="1066"/>
      <c r="Z2692" s="1066"/>
      <c r="AA2692" s="1066"/>
      <c r="AB2692" s="1066"/>
      <c r="AC2692" s="1066"/>
      <c r="AD2692" s="1066"/>
      <c r="AE2692" s="1066"/>
      <c r="AF2692" s="1066"/>
      <c r="AG2692" s="1066"/>
      <c r="AH2692" s="1066"/>
      <c r="AI2692" s="1066"/>
      <c r="AJ2692" s="1066"/>
      <c r="AK2692" s="1066"/>
      <c r="AL2692" s="1066"/>
      <c r="AM2692" s="1066"/>
      <c r="AN2692" s="1066"/>
      <c r="AO2692" s="1066"/>
      <c r="AP2692" s="1066"/>
      <c r="AQ2692" s="1066"/>
      <c r="AR2692" s="1066"/>
      <c r="AS2692" s="1066"/>
      <c r="AT2692" s="1066"/>
      <c r="AU2692" s="1066"/>
      <c r="AV2692" s="1066"/>
      <c r="AW2692" s="1066"/>
      <c r="AX2692" s="1066"/>
      <c r="AY2692" s="1066"/>
      <c r="AZ2692" s="1066"/>
      <c r="BA2692" s="1066"/>
      <c r="BB2692" s="1066"/>
      <c r="BC2692" s="1066"/>
      <c r="BD2692" s="1066"/>
      <c r="BE2692" s="1066"/>
      <c r="BF2692" s="1066"/>
      <c r="BG2692" s="1066"/>
      <c r="BH2692" s="1066"/>
      <c r="BI2692" s="1066"/>
      <c r="BJ2692" s="1066"/>
      <c r="BK2692" s="1066"/>
      <c r="BL2692" s="1066"/>
    </row>
    <row r="2693" spans="1:64">
      <c r="A2693" s="1086"/>
      <c r="B2693" s="1086"/>
      <c r="C2693" s="1183" t="s">
        <v>1409</v>
      </c>
      <c r="D2693" s="1117"/>
      <c r="E2693" s="996"/>
      <c r="F2693" s="1829"/>
      <c r="G2693" s="1108"/>
      <c r="H2693" s="996"/>
      <c r="I2693" s="1826">
        <f>SUM(I2682:I2692)</f>
        <v>8949.215291999999</v>
      </c>
      <c r="J2693" s="996"/>
      <c r="K2693" s="996"/>
      <c r="L2693" s="996"/>
      <c r="M2693" s="997"/>
      <c r="N2693" s="997"/>
      <c r="O2693" s="997"/>
      <c r="P2693" s="997"/>
      <c r="Q2693" s="997"/>
      <c r="R2693" s="997"/>
      <c r="S2693" s="997"/>
      <c r="T2693" s="997"/>
      <c r="U2693" s="997"/>
      <c r="V2693" s="997"/>
      <c r="W2693" s="997"/>
      <c r="X2693" s="997"/>
      <c r="Y2693" s="997"/>
      <c r="Z2693" s="997"/>
      <c r="AA2693" s="997"/>
      <c r="AB2693" s="997"/>
      <c r="AC2693" s="997"/>
      <c r="AD2693" s="997"/>
      <c r="AE2693" s="997"/>
      <c r="AF2693" s="997"/>
      <c r="AG2693" s="997"/>
      <c r="AH2693" s="997"/>
      <c r="AI2693" s="997"/>
      <c r="AJ2693" s="997"/>
      <c r="AK2693" s="997"/>
      <c r="AL2693" s="997"/>
      <c r="AM2693" s="997"/>
      <c r="AN2693" s="997"/>
      <c r="AO2693" s="997"/>
      <c r="AP2693" s="997"/>
      <c r="AQ2693" s="997"/>
      <c r="AR2693" s="997"/>
      <c r="AS2693" s="997"/>
      <c r="AT2693" s="997"/>
      <c r="AU2693" s="997"/>
      <c r="AV2693" s="997"/>
      <c r="AW2693" s="997"/>
      <c r="AX2693" s="997"/>
      <c r="AY2693" s="997"/>
      <c r="AZ2693" s="997"/>
      <c r="BA2693" s="997"/>
      <c r="BB2693" s="997"/>
      <c r="BC2693" s="997"/>
      <c r="BD2693" s="997"/>
      <c r="BE2693" s="997"/>
      <c r="BF2693" s="997"/>
      <c r="BG2693" s="997"/>
      <c r="BH2693" s="997"/>
      <c r="BI2693" s="997"/>
      <c r="BJ2693" s="997"/>
      <c r="BK2693" s="997"/>
      <c r="BL2693" s="997"/>
    </row>
    <row r="2694" spans="1:64">
      <c r="A2694" s="1818"/>
      <c r="B2694" s="1818"/>
      <c r="C2694" s="1846"/>
      <c r="D2694" s="1096"/>
      <c r="E2694" s="1846"/>
      <c r="F2694" s="1021"/>
      <c r="G2694" s="1105"/>
      <c r="H2694" s="1846"/>
      <c r="I2694" s="1030"/>
      <c r="J2694" s="1846"/>
      <c r="K2694" s="1846"/>
      <c r="L2694" s="1846"/>
    </row>
    <row r="2695" spans="1:64">
      <c r="A2695" s="1818"/>
      <c r="B2695" s="1818"/>
      <c r="C2695" s="1816" t="s">
        <v>1217</v>
      </c>
      <c r="D2695" s="1009" t="s">
        <v>1223</v>
      </c>
      <c r="E2695" s="1114" t="s">
        <v>1207</v>
      </c>
      <c r="F2695" s="1106" t="s">
        <v>1208</v>
      </c>
      <c r="G2695" s="1009" t="s">
        <v>1291</v>
      </c>
      <c r="H2695" s="1009" t="s">
        <v>1292</v>
      </c>
      <c r="I2695" s="1009" t="s">
        <v>1293</v>
      </c>
      <c r="J2695" s="1846"/>
      <c r="K2695" s="1846"/>
      <c r="L2695" s="1846"/>
    </row>
    <row r="2696" spans="1:64">
      <c r="A2696" s="1818"/>
      <c r="B2696" s="1818"/>
      <c r="C2696" s="1817" t="s">
        <v>1317</v>
      </c>
      <c r="D2696" s="1001">
        <f t="shared" ref="D2696:I2696" si="636">$I$2693</f>
        <v>8949.215291999999</v>
      </c>
      <c r="E2696" s="1001">
        <f t="shared" si="636"/>
        <v>8949.215291999999</v>
      </c>
      <c r="F2696" s="1001">
        <f t="shared" si="636"/>
        <v>8949.215291999999</v>
      </c>
      <c r="G2696" s="1001">
        <f t="shared" si="636"/>
        <v>8949.215291999999</v>
      </c>
      <c r="H2696" s="1001">
        <f t="shared" si="636"/>
        <v>8949.215291999999</v>
      </c>
      <c r="I2696" s="1001">
        <f t="shared" si="636"/>
        <v>8949.215291999999</v>
      </c>
      <c r="J2696" s="1846"/>
      <c r="K2696" s="1846"/>
      <c r="L2696" s="1846"/>
    </row>
    <row r="2697" spans="1:64">
      <c r="A2697" s="1818"/>
      <c r="B2697" s="1818"/>
      <c r="C2697" s="1817" t="s">
        <v>1253</v>
      </c>
      <c r="D2697" s="1001">
        <v>0</v>
      </c>
      <c r="E2697" s="1001">
        <f>ROUND($F$2691*10%,2)</f>
        <v>350.48</v>
      </c>
      <c r="F2697" s="1001">
        <f>ROUND($F$2691*20%,2)</f>
        <v>700.96</v>
      </c>
      <c r="G2697" s="1001">
        <f>ROUND($F$2691*30%,2)</f>
        <v>1051.44</v>
      </c>
      <c r="H2697" s="1001">
        <f>ROUND($F$2691*40%,2)</f>
        <v>1401.92</v>
      </c>
      <c r="I2697" s="1001">
        <f>ROUND($F$2691*50%,2)</f>
        <v>1752.4</v>
      </c>
      <c r="J2697" s="1846"/>
      <c r="K2697" s="1846"/>
      <c r="L2697" s="1846"/>
    </row>
    <row r="2698" spans="1:64">
      <c r="A2698" s="1818"/>
      <c r="B2698" s="1818"/>
      <c r="C2698" s="1817" t="str">
        <f>Input!$C$47</f>
        <v>Add for MA @ 40%</v>
      </c>
      <c r="D2698" s="1001">
        <f>D2697*Input!$D$47</f>
        <v>0</v>
      </c>
      <c r="E2698" s="1001">
        <f>E2697*Input!$D$47</f>
        <v>140.19200000000001</v>
      </c>
      <c r="F2698" s="1001">
        <f>F2697*Input!$D$47</f>
        <v>280.38400000000001</v>
      </c>
      <c r="G2698" s="1001">
        <f>G2697*Input!$D$47</f>
        <v>420.57600000000002</v>
      </c>
      <c r="H2698" s="1001">
        <f>H2697*Input!$D$47</f>
        <v>560.76800000000003</v>
      </c>
      <c r="I2698" s="1001">
        <f>I2697*Input!$D$47</f>
        <v>700.96</v>
      </c>
      <c r="J2698" s="1846"/>
      <c r="K2698" s="1846"/>
      <c r="L2698" s="1846"/>
    </row>
    <row r="2699" spans="1:64">
      <c r="A2699" s="1818"/>
      <c r="B2699" s="1818"/>
      <c r="C2699" s="1846"/>
      <c r="D2699" s="1001">
        <f t="shared" ref="D2699:I2699" si="637">SUM(D2696:D2698)</f>
        <v>8949.215291999999</v>
      </c>
      <c r="E2699" s="1001">
        <f t="shared" si="637"/>
        <v>9439.8872919999994</v>
      </c>
      <c r="F2699" s="1001">
        <f t="shared" si="637"/>
        <v>9930.5592919999999</v>
      </c>
      <c r="G2699" s="1001">
        <f t="shared" si="637"/>
        <v>10421.231292</v>
      </c>
      <c r="H2699" s="1001">
        <f t="shared" si="637"/>
        <v>10911.903291999999</v>
      </c>
      <c r="I2699" s="1001">
        <f t="shared" si="637"/>
        <v>11402.575291999998</v>
      </c>
      <c r="J2699" s="1846"/>
      <c r="K2699" s="1846"/>
      <c r="L2699" s="1846"/>
    </row>
    <row r="2700" spans="1:64">
      <c r="A2700" s="1818"/>
      <c r="B2700" s="1818"/>
      <c r="C2700" s="1817" t="str">
        <f>Input!$C$48</f>
        <v>Overheads &amp; Contractors Profit @ 13.615%</v>
      </c>
      <c r="D2700" s="1001">
        <f>ROUND(D2699*Input!$D$48,2)</f>
        <v>1218.44</v>
      </c>
      <c r="E2700" s="1001">
        <f>ROUND(E2699*Input!$D$48,2)</f>
        <v>1285.24</v>
      </c>
      <c r="F2700" s="1001">
        <f>ROUND(F2699*Input!$D$48,2)</f>
        <v>1352.05</v>
      </c>
      <c r="G2700" s="1001">
        <f>ROUND(G2699*Input!$D$48,2)</f>
        <v>1418.85</v>
      </c>
      <c r="H2700" s="1001">
        <f>ROUND(H2699*Input!$D$48,2)</f>
        <v>1485.66</v>
      </c>
      <c r="I2700" s="1001">
        <f>ROUND(I2699*Input!$D$48,2)</f>
        <v>1552.46</v>
      </c>
      <c r="J2700" s="1846"/>
      <c r="K2700" s="1846"/>
      <c r="L2700" s="1846"/>
    </row>
    <row r="2701" spans="1:64">
      <c r="A2701" s="1818"/>
      <c r="B2701" s="1818"/>
      <c r="C2701" s="1816" t="s">
        <v>1302</v>
      </c>
      <c r="D2701" s="1001">
        <f t="shared" ref="D2701:I2701" si="638">SUM(D2699:D2700)</f>
        <v>10167.655291999999</v>
      </c>
      <c r="E2701" s="1001">
        <f t="shared" si="638"/>
        <v>10725.127291999999</v>
      </c>
      <c r="F2701" s="1001">
        <f t="shared" si="638"/>
        <v>11282.609291999999</v>
      </c>
      <c r="G2701" s="1001">
        <f t="shared" si="638"/>
        <v>11840.081292000001</v>
      </c>
      <c r="H2701" s="1001">
        <f t="shared" si="638"/>
        <v>12397.563291999999</v>
      </c>
      <c r="I2701" s="1001">
        <f t="shared" si="638"/>
        <v>12955.035291999997</v>
      </c>
      <c r="J2701" s="1846"/>
      <c r="K2701" s="1846"/>
      <c r="L2701" s="1846"/>
    </row>
    <row r="2702" spans="1:64">
      <c r="A2702" s="1818"/>
      <c r="B2702" s="1818"/>
      <c r="C2702" s="1816" t="s">
        <v>1117</v>
      </c>
      <c r="D2702" s="1009">
        <f t="shared" ref="D2702:I2702" si="639">D2701/10</f>
        <v>1016.7655291999999</v>
      </c>
      <c r="E2702" s="1009">
        <f t="shared" si="639"/>
        <v>1072.5127292</v>
      </c>
      <c r="F2702" s="1009">
        <f t="shared" si="639"/>
        <v>1128.2609292</v>
      </c>
      <c r="G2702" s="1009">
        <f t="shared" si="639"/>
        <v>1184.0081292</v>
      </c>
      <c r="H2702" s="1009">
        <f t="shared" si="639"/>
        <v>1239.7563292</v>
      </c>
      <c r="I2702" s="1009">
        <f t="shared" si="639"/>
        <v>1295.5035291999998</v>
      </c>
      <c r="J2702" s="1846"/>
      <c r="K2702" s="1846"/>
      <c r="L2702" s="1846"/>
    </row>
    <row r="2703" spans="1:64">
      <c r="A2703" s="1086"/>
      <c r="B2703" s="1086"/>
      <c r="C2703" s="1118" t="s">
        <v>1034</v>
      </c>
      <c r="D2703" s="999">
        <f t="shared" ref="D2703:I2703" si="640">ROUND(D2702,0)</f>
        <v>1017</v>
      </c>
      <c r="E2703" s="999">
        <f t="shared" si="640"/>
        <v>1073</v>
      </c>
      <c r="F2703" s="999">
        <f t="shared" si="640"/>
        <v>1128</v>
      </c>
      <c r="G2703" s="999">
        <f t="shared" si="640"/>
        <v>1184</v>
      </c>
      <c r="H2703" s="999">
        <f t="shared" si="640"/>
        <v>1240</v>
      </c>
      <c r="I2703" s="999">
        <f t="shared" si="640"/>
        <v>1296</v>
      </c>
      <c r="J2703" s="1846"/>
      <c r="K2703" s="1846"/>
      <c r="L2703" s="1846"/>
      <c r="M2703" s="997"/>
      <c r="N2703" s="997"/>
      <c r="O2703" s="997"/>
      <c r="P2703" s="997"/>
      <c r="Q2703" s="997"/>
      <c r="R2703" s="997"/>
      <c r="S2703" s="997"/>
      <c r="T2703" s="997"/>
      <c r="U2703" s="997"/>
      <c r="V2703" s="997"/>
      <c r="W2703" s="997"/>
      <c r="X2703" s="997"/>
      <c r="Y2703" s="997"/>
      <c r="Z2703" s="997"/>
      <c r="AA2703" s="997"/>
      <c r="AB2703" s="997"/>
      <c r="AC2703" s="997"/>
      <c r="AD2703" s="997"/>
      <c r="AE2703" s="997"/>
      <c r="AF2703" s="997"/>
      <c r="AG2703" s="997"/>
      <c r="AH2703" s="997"/>
      <c r="AI2703" s="997"/>
      <c r="AJ2703" s="997"/>
      <c r="AK2703" s="997"/>
      <c r="AL2703" s="997"/>
      <c r="AM2703" s="997"/>
      <c r="AN2703" s="997"/>
      <c r="AO2703" s="997"/>
      <c r="AP2703" s="997"/>
      <c r="AQ2703" s="997"/>
      <c r="AR2703" s="997"/>
      <c r="AS2703" s="997"/>
      <c r="AT2703" s="997"/>
      <c r="AU2703" s="997"/>
      <c r="AV2703" s="997"/>
      <c r="AW2703" s="997"/>
      <c r="AX2703" s="997"/>
      <c r="AY2703" s="997"/>
      <c r="AZ2703" s="997"/>
      <c r="BA2703" s="997"/>
      <c r="BB2703" s="997"/>
      <c r="BC2703" s="997"/>
      <c r="BD2703" s="997"/>
      <c r="BE2703" s="997"/>
      <c r="BF2703" s="997"/>
      <c r="BG2703" s="997"/>
      <c r="BH2703" s="997"/>
      <c r="BI2703" s="997"/>
      <c r="BJ2703" s="997"/>
      <c r="BK2703" s="997"/>
      <c r="BL2703" s="997"/>
    </row>
    <row r="2704" spans="1:64">
      <c r="A2704" s="1818"/>
      <c r="B2704" s="1818"/>
      <c r="C2704" s="1816"/>
      <c r="D2704" s="1114"/>
      <c r="E2704" s="1114"/>
      <c r="F2704" s="1114"/>
      <c r="G2704" s="1114"/>
      <c r="H2704" s="1114"/>
      <c r="I2704" s="1009"/>
      <c r="J2704" s="1846"/>
      <c r="K2704" s="1846"/>
      <c r="L2704" s="1846"/>
    </row>
    <row r="2705" spans="1:64">
      <c r="A2705" s="1818"/>
      <c r="B2705" s="1818"/>
      <c r="C2705" s="1816" t="s">
        <v>1217</v>
      </c>
      <c r="D2705" s="1009" t="s">
        <v>1357</v>
      </c>
      <c r="E2705" s="1009" t="s">
        <v>1358</v>
      </c>
      <c r="F2705" s="1009" t="s">
        <v>1359</v>
      </c>
      <c r="G2705" s="1114"/>
      <c r="H2705" s="1114"/>
      <c r="I2705" s="1009"/>
      <c r="J2705" s="1846"/>
      <c r="K2705" s="1846"/>
      <c r="L2705" s="1846"/>
    </row>
    <row r="2706" spans="1:64">
      <c r="A2706" s="1818"/>
      <c r="B2706" s="1818"/>
      <c r="C2706" s="1817" t="s">
        <v>1317</v>
      </c>
      <c r="D2706" s="1001">
        <f>$I$2693</f>
        <v>8949.215291999999</v>
      </c>
      <c r="E2706" s="1001">
        <f>$I$2693</f>
        <v>8949.215291999999</v>
      </c>
      <c r="F2706" s="1001">
        <f>$I$2693</f>
        <v>8949.215291999999</v>
      </c>
      <c r="G2706" s="1114"/>
      <c r="H2706" s="1114"/>
      <c r="I2706" s="1009"/>
      <c r="J2706" s="1846"/>
      <c r="K2706" s="1846"/>
      <c r="L2706" s="1846"/>
    </row>
    <row r="2707" spans="1:64">
      <c r="A2707" s="1818"/>
      <c r="B2707" s="1818"/>
      <c r="C2707" s="1817" t="s">
        <v>1253</v>
      </c>
      <c r="D2707" s="1001">
        <f>ROUND($F$2691*60%,2)</f>
        <v>2102.88</v>
      </c>
      <c r="E2707" s="1001">
        <f>ROUND($F$2691*70%,2)</f>
        <v>2453.36</v>
      </c>
      <c r="F2707" s="1001">
        <f>ROUND($F$2691*80%,2)</f>
        <v>2803.84</v>
      </c>
      <c r="G2707" s="1114"/>
      <c r="H2707" s="1114"/>
      <c r="I2707" s="1009"/>
      <c r="J2707" s="1846"/>
      <c r="K2707" s="1846"/>
      <c r="L2707" s="1846"/>
    </row>
    <row r="2708" spans="1:64">
      <c r="A2708" s="1818"/>
      <c r="B2708" s="1818"/>
      <c r="C2708" s="1817" t="str">
        <f>Input!$C$47</f>
        <v>Add for MA @ 40%</v>
      </c>
      <c r="D2708" s="1001">
        <f>D2707*Input!$D$47</f>
        <v>841.15200000000004</v>
      </c>
      <c r="E2708" s="1001">
        <f>E2707*Input!$D$47</f>
        <v>981.34400000000005</v>
      </c>
      <c r="F2708" s="1001">
        <f>F2707*Input!$D$47</f>
        <v>1121.5360000000001</v>
      </c>
      <c r="G2708" s="1114"/>
      <c r="H2708" s="1114"/>
      <c r="I2708" s="1009"/>
      <c r="J2708" s="1846"/>
      <c r="K2708" s="1846"/>
      <c r="L2708" s="1846"/>
    </row>
    <row r="2709" spans="1:64">
      <c r="A2709" s="1818"/>
      <c r="B2709" s="1818"/>
      <c r="C2709" s="1022"/>
      <c r="D2709" s="1001">
        <f>SUM(D2706:D2708)</f>
        <v>11893.247291999998</v>
      </c>
      <c r="E2709" s="1001">
        <f>SUM(E2706:E2708)</f>
        <v>12383.919291999999</v>
      </c>
      <c r="F2709" s="1001">
        <f>SUM(F2706:F2708)</f>
        <v>12874.591291999999</v>
      </c>
      <c r="G2709" s="1114"/>
      <c r="H2709" s="1114"/>
      <c r="I2709" s="1009"/>
      <c r="J2709" s="1846"/>
      <c r="K2709" s="1846"/>
      <c r="L2709" s="1846"/>
    </row>
    <row r="2710" spans="1:64">
      <c r="A2710" s="1818"/>
      <c r="B2710" s="1818"/>
      <c r="C2710" s="1817" t="str">
        <f>Input!$C$48</f>
        <v>Overheads &amp; Contractors Profit @ 13.615%</v>
      </c>
      <c r="D2710" s="1001">
        <f>ROUND(D2709*Input!$D$48,2)</f>
        <v>1619.27</v>
      </c>
      <c r="E2710" s="1001">
        <f>ROUND(E2709*Input!$D$48,2)</f>
        <v>1686.07</v>
      </c>
      <c r="F2710" s="1001">
        <f>ROUND(F2709*Input!$D$48,2)</f>
        <v>1752.88</v>
      </c>
      <c r="G2710" s="1114"/>
      <c r="H2710" s="1114"/>
      <c r="I2710" s="1009"/>
      <c r="J2710" s="1846"/>
      <c r="K2710" s="1846"/>
      <c r="L2710" s="1846"/>
    </row>
    <row r="2711" spans="1:64">
      <c r="A2711" s="1818"/>
      <c r="B2711" s="1818"/>
      <c r="C2711" s="1816" t="s">
        <v>1302</v>
      </c>
      <c r="D2711" s="1001">
        <f>SUM(D2709:D2710)</f>
        <v>13512.517291999999</v>
      </c>
      <c r="E2711" s="1001">
        <f>SUM(E2709:E2710)</f>
        <v>14069.989291999998</v>
      </c>
      <c r="F2711" s="1001">
        <f>SUM(F2709:F2710)</f>
        <v>14627.471291999998</v>
      </c>
      <c r="G2711" s="1114"/>
      <c r="H2711" s="1114"/>
      <c r="I2711" s="1009"/>
      <c r="J2711" s="1846"/>
      <c r="K2711" s="1846"/>
      <c r="L2711" s="1846"/>
    </row>
    <row r="2712" spans="1:64">
      <c r="A2712" s="1818"/>
      <c r="B2712" s="1818"/>
      <c r="C2712" s="1816" t="s">
        <v>1117</v>
      </c>
      <c r="D2712" s="1009">
        <f>D2711/10</f>
        <v>1351.2517291999998</v>
      </c>
      <c r="E2712" s="1009">
        <f>E2711/10</f>
        <v>1406.9989291999998</v>
      </c>
      <c r="F2712" s="1009">
        <f>F2711/10</f>
        <v>1462.7471291999998</v>
      </c>
      <c r="G2712" s="1114"/>
      <c r="H2712" s="1114"/>
      <c r="I2712" s="1009"/>
      <c r="J2712" s="1846"/>
      <c r="K2712" s="1846"/>
      <c r="L2712" s="1846"/>
    </row>
    <row r="2713" spans="1:64">
      <c r="A2713" s="1818"/>
      <c r="B2713" s="1818"/>
      <c r="C2713" s="1843" t="s">
        <v>1034</v>
      </c>
      <c r="D2713" s="999">
        <f>ROUND(D2712,0)</f>
        <v>1351</v>
      </c>
      <c r="E2713" s="999">
        <f>ROUND(E2712,0)</f>
        <v>1407</v>
      </c>
      <c r="F2713" s="999">
        <f>ROUND(F2712,0)</f>
        <v>1463</v>
      </c>
      <c r="G2713" s="1114"/>
      <c r="H2713" s="1114"/>
      <c r="I2713" s="1009"/>
      <c r="J2713" s="1846"/>
      <c r="K2713" s="1846"/>
      <c r="L2713" s="1846"/>
    </row>
    <row r="2714" spans="1:64">
      <c r="A2714" s="1818"/>
      <c r="B2714" s="1818"/>
      <c r="C2714" s="1816"/>
      <c r="D2714" s="1114"/>
      <c r="E2714" s="1114"/>
      <c r="F2714" s="1114"/>
      <c r="G2714" s="1114"/>
      <c r="H2714" s="1114"/>
      <c r="I2714" s="1009"/>
      <c r="J2714" s="1846"/>
      <c r="K2714" s="1846"/>
      <c r="L2714" s="1846"/>
    </row>
    <row r="2715" spans="1:64" ht="111.95" customHeight="1">
      <c r="A2715" s="1818">
        <f>A2678+1</f>
        <v>33</v>
      </c>
      <c r="B2715" s="1818"/>
      <c r="C2715" s="2037" t="s">
        <v>3423</v>
      </c>
      <c r="D2715" s="2037"/>
      <c r="E2715" s="2037"/>
      <c r="F2715" s="2037"/>
      <c r="G2715" s="2037"/>
      <c r="H2715" s="2037"/>
      <c r="I2715" s="1825"/>
      <c r="J2715" s="1846"/>
      <c r="K2715" s="1846"/>
      <c r="L2715" s="1846"/>
    </row>
    <row r="2716" spans="1:64">
      <c r="A2716" s="1818"/>
      <c r="B2716" s="1818"/>
      <c r="C2716" s="1049" t="s">
        <v>1405</v>
      </c>
      <c r="D2716" s="1846"/>
      <c r="E2716" s="1846"/>
      <c r="F2716" s="1068"/>
      <c r="G2716" s="1846"/>
      <c r="H2716" s="1846"/>
      <c r="I2716" s="1021"/>
      <c r="J2716" s="1846"/>
      <c r="K2716" s="1846"/>
      <c r="L2716" s="1846"/>
    </row>
    <row r="2717" spans="1:64">
      <c r="A2717" s="1818"/>
      <c r="B2717" s="1818"/>
      <c r="C2717" s="1820" t="s">
        <v>1394</v>
      </c>
      <c r="D2717" s="1846"/>
      <c r="E2717" s="1846"/>
      <c r="F2717" s="1068"/>
      <c r="G2717" s="1846"/>
      <c r="H2717" s="1846"/>
      <c r="I2717" s="1021"/>
      <c r="J2717" s="1846"/>
      <c r="K2717" s="1846"/>
      <c r="L2717" s="1846"/>
    </row>
    <row r="2718" spans="1:64">
      <c r="A2718" s="1818"/>
      <c r="B2718" s="1818"/>
      <c r="C2718" s="1825" t="s">
        <v>1395</v>
      </c>
      <c r="D2718" s="1096"/>
      <c r="E2718" s="1846"/>
      <c r="F2718" s="1021"/>
      <c r="G2718" s="1105"/>
      <c r="H2718" s="1846"/>
      <c r="I2718" s="1030"/>
      <c r="J2718" s="1846"/>
      <c r="K2718" s="1846"/>
      <c r="L2718" s="1846"/>
    </row>
    <row r="2719" spans="1:64" ht="25.5">
      <c r="A2719" s="1058"/>
      <c r="B2719" s="1058"/>
      <c r="C2719" s="1817" t="s">
        <v>1406</v>
      </c>
      <c r="D2719" s="1137">
        <v>10.5</v>
      </c>
      <c r="E2719" s="1022" t="s">
        <v>46</v>
      </c>
      <c r="F2719" s="1848">
        <f>'Civil-SOR'!G16</f>
        <v>315</v>
      </c>
      <c r="G2719" s="1076">
        <v>1</v>
      </c>
      <c r="H2719" s="1022" t="s">
        <v>46</v>
      </c>
      <c r="I2719" s="1062">
        <f t="shared" ref="I2719:I2723" si="641">IF(G2719="",D2719*F2719,(D2719*F2719/G2719))</f>
        <v>3307.5</v>
      </c>
      <c r="J2719" s="1022"/>
      <c r="K2719" s="1022"/>
      <c r="L2719" s="1022"/>
      <c r="M2719" s="1066"/>
      <c r="N2719" s="1066"/>
      <c r="O2719" s="1066"/>
      <c r="P2719" s="1066"/>
      <c r="Q2719" s="1066"/>
      <c r="R2719" s="1066"/>
      <c r="S2719" s="1066"/>
      <c r="T2719" s="1066"/>
      <c r="U2719" s="1066"/>
      <c r="V2719" s="1066"/>
      <c r="W2719" s="1066"/>
      <c r="X2719" s="1066"/>
      <c r="Y2719" s="1066"/>
      <c r="Z2719" s="1066"/>
      <c r="AA2719" s="1066"/>
      <c r="AB2719" s="1066"/>
      <c r="AC2719" s="1066"/>
      <c r="AD2719" s="1066"/>
      <c r="AE2719" s="1066"/>
      <c r="AF2719" s="1066"/>
      <c r="AG2719" s="1066"/>
      <c r="AH2719" s="1066"/>
      <c r="AI2719" s="1066"/>
      <c r="AJ2719" s="1066"/>
      <c r="AK2719" s="1066"/>
      <c r="AL2719" s="1066"/>
      <c r="AM2719" s="1066"/>
      <c r="AN2719" s="1066"/>
      <c r="AO2719" s="1066"/>
      <c r="AP2719" s="1066"/>
      <c r="AQ2719" s="1066"/>
      <c r="AR2719" s="1066"/>
      <c r="AS2719" s="1066"/>
      <c r="AT2719" s="1066"/>
      <c r="AU2719" s="1066"/>
      <c r="AV2719" s="1066"/>
      <c r="AW2719" s="1066"/>
      <c r="AX2719" s="1066"/>
      <c r="AY2719" s="1066"/>
      <c r="AZ2719" s="1066"/>
      <c r="BA2719" s="1066"/>
      <c r="BB2719" s="1066"/>
      <c r="BC2719" s="1066"/>
      <c r="BD2719" s="1066"/>
      <c r="BE2719" s="1066"/>
      <c r="BF2719" s="1066"/>
      <c r="BG2719" s="1066"/>
      <c r="BH2719" s="1066"/>
      <c r="BI2719" s="1066"/>
      <c r="BJ2719" s="1066"/>
      <c r="BK2719" s="1066"/>
      <c r="BL2719" s="1066"/>
    </row>
    <row r="2720" spans="1:64">
      <c r="A2720" s="1058"/>
      <c r="B2720" s="1058"/>
      <c r="C2720" s="1817" t="s">
        <v>1410</v>
      </c>
      <c r="D2720" s="1137">
        <v>21.6</v>
      </c>
      <c r="E2720" s="1022" t="s">
        <v>1110</v>
      </c>
      <c r="F2720" s="1848">
        <f>LEAD!$N$6</f>
        <v>5200</v>
      </c>
      <c r="G2720" s="1076">
        <v>1000</v>
      </c>
      <c r="H2720" s="1022" t="s">
        <v>1110</v>
      </c>
      <c r="I2720" s="1062">
        <f t="shared" si="641"/>
        <v>112.32000000000002</v>
      </c>
      <c r="J2720" s="1022"/>
      <c r="K2720" s="1022"/>
      <c r="L2720" s="1022"/>
      <c r="M2720" s="1066"/>
      <c r="N2720" s="1066"/>
      <c r="O2720" s="1066"/>
      <c r="P2720" s="1066"/>
      <c r="Q2720" s="1066"/>
      <c r="R2720" s="1066"/>
      <c r="S2720" s="1066"/>
      <c r="T2720" s="1066"/>
      <c r="U2720" s="1066"/>
      <c r="V2720" s="1066"/>
      <c r="W2720" s="1066"/>
      <c r="X2720" s="1066"/>
      <c r="Y2720" s="1066"/>
      <c r="Z2720" s="1066"/>
      <c r="AA2720" s="1066"/>
      <c r="AB2720" s="1066"/>
      <c r="AC2720" s="1066"/>
      <c r="AD2720" s="1066"/>
      <c r="AE2720" s="1066"/>
      <c r="AF2720" s="1066"/>
      <c r="AG2720" s="1066"/>
      <c r="AH2720" s="1066"/>
      <c r="AI2720" s="1066"/>
      <c r="AJ2720" s="1066"/>
      <c r="AK2720" s="1066"/>
      <c r="AL2720" s="1066"/>
      <c r="AM2720" s="1066"/>
      <c r="AN2720" s="1066"/>
      <c r="AO2720" s="1066"/>
      <c r="AP2720" s="1066"/>
      <c r="AQ2720" s="1066"/>
      <c r="AR2720" s="1066"/>
      <c r="AS2720" s="1066"/>
      <c r="AT2720" s="1066"/>
      <c r="AU2720" s="1066"/>
      <c r="AV2720" s="1066"/>
      <c r="AW2720" s="1066"/>
      <c r="AX2720" s="1066"/>
      <c r="AY2720" s="1066"/>
      <c r="AZ2720" s="1066"/>
      <c r="BA2720" s="1066"/>
      <c r="BB2720" s="1066"/>
      <c r="BC2720" s="1066"/>
      <c r="BD2720" s="1066"/>
      <c r="BE2720" s="1066"/>
      <c r="BF2720" s="1066"/>
      <c r="BG2720" s="1066"/>
      <c r="BH2720" s="1066"/>
      <c r="BI2720" s="1066"/>
      <c r="BJ2720" s="1066"/>
      <c r="BK2720" s="1066"/>
      <c r="BL2720" s="1066"/>
    </row>
    <row r="2721" spans="1:64">
      <c r="A2721" s="1058"/>
      <c r="B2721" s="1058"/>
      <c r="C2721" s="1817" t="s">
        <v>1398</v>
      </c>
      <c r="D2721" s="1137">
        <v>33</v>
      </c>
      <c r="E2721" s="1022" t="s">
        <v>1110</v>
      </c>
      <c r="F2721" s="1848">
        <f>LEAD!$N$6</f>
        <v>5200</v>
      </c>
      <c r="G2721" s="1076">
        <v>1000</v>
      </c>
      <c r="H2721" s="1022" t="s">
        <v>1110</v>
      </c>
      <c r="I2721" s="1062">
        <f t="shared" si="641"/>
        <v>171.6</v>
      </c>
      <c r="J2721" s="1022"/>
      <c r="K2721" s="1022"/>
      <c r="L2721" s="1022"/>
      <c r="M2721" s="1066"/>
      <c r="N2721" s="1066"/>
      <c r="O2721" s="1066"/>
      <c r="P2721" s="1066"/>
      <c r="Q2721" s="1066"/>
      <c r="R2721" s="1066"/>
      <c r="S2721" s="1066"/>
      <c r="T2721" s="1066"/>
      <c r="U2721" s="1066"/>
      <c r="V2721" s="1066"/>
      <c r="W2721" s="1066"/>
      <c r="X2721" s="1066"/>
      <c r="Y2721" s="1066"/>
      <c r="Z2721" s="1066"/>
      <c r="AA2721" s="1066"/>
      <c r="AB2721" s="1066"/>
      <c r="AC2721" s="1066"/>
      <c r="AD2721" s="1066"/>
      <c r="AE2721" s="1066"/>
      <c r="AF2721" s="1066"/>
      <c r="AG2721" s="1066"/>
      <c r="AH2721" s="1066"/>
      <c r="AI2721" s="1066"/>
      <c r="AJ2721" s="1066"/>
      <c r="AK2721" s="1066"/>
      <c r="AL2721" s="1066"/>
      <c r="AM2721" s="1066"/>
      <c r="AN2721" s="1066"/>
      <c r="AO2721" s="1066"/>
      <c r="AP2721" s="1066"/>
      <c r="AQ2721" s="1066"/>
      <c r="AR2721" s="1066"/>
      <c r="AS2721" s="1066"/>
      <c r="AT2721" s="1066"/>
      <c r="AU2721" s="1066"/>
      <c r="AV2721" s="1066"/>
      <c r="AW2721" s="1066"/>
      <c r="AX2721" s="1066"/>
      <c r="AY2721" s="1066"/>
      <c r="AZ2721" s="1066"/>
      <c r="BA2721" s="1066"/>
      <c r="BB2721" s="1066"/>
      <c r="BC2721" s="1066"/>
      <c r="BD2721" s="1066"/>
      <c r="BE2721" s="1066"/>
      <c r="BF2721" s="1066"/>
      <c r="BG2721" s="1066"/>
      <c r="BH2721" s="1066"/>
      <c r="BI2721" s="1066"/>
      <c r="BJ2721" s="1066"/>
      <c r="BK2721" s="1066"/>
      <c r="BL2721" s="1066"/>
    </row>
    <row r="2722" spans="1:64" ht="76.5">
      <c r="A2722" s="1058"/>
      <c r="B2722" s="1058"/>
      <c r="C2722" s="1817" t="s">
        <v>1411</v>
      </c>
      <c r="D2722" s="1137">
        <v>10.5</v>
      </c>
      <c r="E2722" s="1022" t="s">
        <v>1412</v>
      </c>
      <c r="F2722" s="1185">
        <v>373</v>
      </c>
      <c r="G2722" s="1076">
        <v>1</v>
      </c>
      <c r="H2722" s="1022" t="s">
        <v>46</v>
      </c>
      <c r="I2722" s="1062">
        <f t="shared" si="641"/>
        <v>3916.5</v>
      </c>
      <c r="J2722" s="1022"/>
      <c r="K2722" s="1022"/>
      <c r="L2722" s="1022"/>
      <c r="M2722" s="1066"/>
      <c r="N2722" s="1066"/>
      <c r="O2722" s="1066"/>
      <c r="P2722" s="1066"/>
      <c r="Q2722" s="1066"/>
      <c r="R2722" s="1066"/>
      <c r="S2722" s="1066"/>
      <c r="T2722" s="1066"/>
      <c r="U2722" s="1066"/>
      <c r="V2722" s="1066"/>
      <c r="W2722" s="1066"/>
      <c r="X2722" s="1066"/>
      <c r="Y2722" s="1066"/>
      <c r="Z2722" s="1066"/>
      <c r="AA2722" s="1066"/>
      <c r="AB2722" s="1066"/>
      <c r="AC2722" s="1066"/>
      <c r="AD2722" s="1066"/>
      <c r="AE2722" s="1066"/>
      <c r="AF2722" s="1066"/>
      <c r="AG2722" s="1066"/>
      <c r="AH2722" s="1066"/>
      <c r="AI2722" s="1066"/>
      <c r="AJ2722" s="1066"/>
      <c r="AK2722" s="1066"/>
      <c r="AL2722" s="1066"/>
      <c r="AM2722" s="1066"/>
      <c r="AN2722" s="1066"/>
      <c r="AO2722" s="1066"/>
      <c r="AP2722" s="1066"/>
      <c r="AQ2722" s="1066"/>
      <c r="AR2722" s="1066"/>
      <c r="AS2722" s="1066"/>
      <c r="AT2722" s="1066"/>
      <c r="AU2722" s="1066"/>
      <c r="AV2722" s="1066"/>
      <c r="AW2722" s="1066"/>
      <c r="AX2722" s="1066"/>
      <c r="AY2722" s="1066"/>
      <c r="AZ2722" s="1066"/>
      <c r="BA2722" s="1066"/>
      <c r="BB2722" s="1066"/>
      <c r="BC2722" s="1066"/>
      <c r="BD2722" s="1066"/>
      <c r="BE2722" s="1066"/>
      <c r="BF2722" s="1066"/>
      <c r="BG2722" s="1066"/>
      <c r="BH2722" s="1066"/>
      <c r="BI2722" s="1066"/>
      <c r="BJ2722" s="1066"/>
      <c r="BK2722" s="1066"/>
      <c r="BL2722" s="1066"/>
    </row>
    <row r="2723" spans="1:64">
      <c r="A2723" s="1058"/>
      <c r="B2723" s="1058"/>
      <c r="C2723" s="1817" t="s">
        <v>1400</v>
      </c>
      <c r="D2723" s="1137">
        <v>0.12</v>
      </c>
      <c r="E2723" s="1022" t="s">
        <v>484</v>
      </c>
      <c r="F2723" s="1848">
        <f>LEAD!$N$13</f>
        <v>2453.91</v>
      </c>
      <c r="G2723" s="1076">
        <v>1</v>
      </c>
      <c r="H2723" s="1022" t="s">
        <v>484</v>
      </c>
      <c r="I2723" s="1062">
        <f t="shared" si="641"/>
        <v>294.46919999999994</v>
      </c>
      <c r="J2723" s="1022"/>
      <c r="K2723" s="1022"/>
      <c r="L2723" s="1022"/>
      <c r="M2723" s="1066"/>
      <c r="N2723" s="1066"/>
      <c r="O2723" s="1066"/>
      <c r="P2723" s="1066"/>
      <c r="Q2723" s="1066"/>
      <c r="R2723" s="1066"/>
      <c r="S2723" s="1066"/>
      <c r="T2723" s="1066"/>
      <c r="U2723" s="1066"/>
      <c r="V2723" s="1066"/>
      <c r="W2723" s="1066"/>
      <c r="X2723" s="1066"/>
      <c r="Y2723" s="1066"/>
      <c r="Z2723" s="1066"/>
      <c r="AA2723" s="1066"/>
      <c r="AB2723" s="1066"/>
      <c r="AC2723" s="1066"/>
      <c r="AD2723" s="1066"/>
      <c r="AE2723" s="1066"/>
      <c r="AF2723" s="1066"/>
      <c r="AG2723" s="1066"/>
      <c r="AH2723" s="1066"/>
      <c r="AI2723" s="1066"/>
      <c r="AJ2723" s="1066"/>
      <c r="AK2723" s="1066"/>
      <c r="AL2723" s="1066"/>
      <c r="AM2723" s="1066"/>
      <c r="AN2723" s="1066"/>
      <c r="AO2723" s="1066"/>
      <c r="AP2723" s="1066"/>
      <c r="AQ2723" s="1066"/>
      <c r="AR2723" s="1066"/>
      <c r="AS2723" s="1066"/>
      <c r="AT2723" s="1066"/>
      <c r="AU2723" s="1066"/>
      <c r="AV2723" s="1066"/>
      <c r="AW2723" s="1066"/>
      <c r="AX2723" s="1066"/>
      <c r="AY2723" s="1066"/>
      <c r="AZ2723" s="1066"/>
      <c r="BA2723" s="1066"/>
      <c r="BB2723" s="1066"/>
      <c r="BC2723" s="1066"/>
      <c r="BD2723" s="1066"/>
      <c r="BE2723" s="1066"/>
      <c r="BF2723" s="1066"/>
      <c r="BG2723" s="1066"/>
      <c r="BH2723" s="1066"/>
      <c r="BI2723" s="1066"/>
      <c r="BJ2723" s="1066"/>
      <c r="BK2723" s="1066"/>
      <c r="BL2723" s="1066"/>
    </row>
    <row r="2724" spans="1:64">
      <c r="A2724" s="1058"/>
      <c r="B2724" s="1058"/>
      <c r="C2724" s="1816" t="s">
        <v>1324</v>
      </c>
      <c r="D2724" s="1137"/>
      <c r="E2724" s="1022"/>
      <c r="F2724" s="1848"/>
      <c r="G2724" s="1076"/>
      <c r="H2724" s="1022"/>
      <c r="I2724" s="1062"/>
      <c r="J2724" s="1022"/>
      <c r="K2724" s="1022"/>
      <c r="L2724" s="1022"/>
      <c r="M2724" s="1066"/>
      <c r="N2724" s="1066"/>
      <c r="O2724" s="1066"/>
      <c r="P2724" s="1066"/>
      <c r="Q2724" s="1066"/>
      <c r="R2724" s="1066"/>
      <c r="S2724" s="1066"/>
      <c r="T2724" s="1066"/>
      <c r="U2724" s="1066"/>
      <c r="V2724" s="1066"/>
      <c r="W2724" s="1066"/>
      <c r="X2724" s="1066"/>
      <c r="Y2724" s="1066"/>
      <c r="Z2724" s="1066"/>
      <c r="AA2724" s="1066"/>
      <c r="AB2724" s="1066"/>
      <c r="AC2724" s="1066"/>
      <c r="AD2724" s="1066"/>
      <c r="AE2724" s="1066"/>
      <c r="AF2724" s="1066"/>
      <c r="AG2724" s="1066"/>
      <c r="AH2724" s="1066"/>
      <c r="AI2724" s="1066"/>
      <c r="AJ2724" s="1066"/>
      <c r="AK2724" s="1066"/>
      <c r="AL2724" s="1066"/>
      <c r="AM2724" s="1066"/>
      <c r="AN2724" s="1066"/>
      <c r="AO2724" s="1066"/>
      <c r="AP2724" s="1066"/>
      <c r="AQ2724" s="1066"/>
      <c r="AR2724" s="1066"/>
      <c r="AS2724" s="1066"/>
      <c r="AT2724" s="1066"/>
      <c r="AU2724" s="1066"/>
      <c r="AV2724" s="1066"/>
      <c r="AW2724" s="1066"/>
      <c r="AX2724" s="1066"/>
      <c r="AY2724" s="1066"/>
      <c r="AZ2724" s="1066"/>
      <c r="BA2724" s="1066"/>
      <c r="BB2724" s="1066"/>
      <c r="BC2724" s="1066"/>
      <c r="BD2724" s="1066"/>
      <c r="BE2724" s="1066"/>
      <c r="BF2724" s="1066"/>
      <c r="BG2724" s="1066"/>
      <c r="BH2724" s="1066"/>
      <c r="BI2724" s="1066"/>
      <c r="BJ2724" s="1066"/>
      <c r="BK2724" s="1066"/>
      <c r="BL2724" s="1066"/>
    </row>
    <row r="2725" spans="1:64">
      <c r="A2725" s="1058"/>
      <c r="B2725" s="1058"/>
      <c r="C2725" s="1817" t="s">
        <v>1299</v>
      </c>
      <c r="D2725" s="1137">
        <v>0.96</v>
      </c>
      <c r="E2725" s="1022" t="s">
        <v>955</v>
      </c>
      <c r="F2725" s="1848">
        <f>'Civil-SOR'!$G$293</f>
        <v>580</v>
      </c>
      <c r="G2725" s="1076">
        <v>1</v>
      </c>
      <c r="H2725" s="1022" t="s">
        <v>501</v>
      </c>
      <c r="I2725" s="1062">
        <f t="shared" ref="I2725:I2729" si="642">IF(G2725="",D2725*F2725,(D2725*F2725/G2725))</f>
        <v>556.79999999999995</v>
      </c>
      <c r="J2725" s="1022"/>
      <c r="K2725" s="1022"/>
      <c r="L2725" s="1022"/>
      <c r="M2725" s="1066"/>
      <c r="N2725" s="1066"/>
      <c r="O2725" s="1066"/>
      <c r="P2725" s="1066"/>
      <c r="Q2725" s="1066"/>
      <c r="R2725" s="1066"/>
      <c r="S2725" s="1066"/>
      <c r="T2725" s="1066"/>
      <c r="U2725" s="1066"/>
      <c r="V2725" s="1066"/>
      <c r="W2725" s="1066"/>
      <c r="X2725" s="1066"/>
      <c r="Y2725" s="1066"/>
      <c r="Z2725" s="1066"/>
      <c r="AA2725" s="1066"/>
      <c r="AB2725" s="1066"/>
      <c r="AC2725" s="1066"/>
      <c r="AD2725" s="1066"/>
      <c r="AE2725" s="1066"/>
      <c r="AF2725" s="1066"/>
      <c r="AG2725" s="1066"/>
      <c r="AH2725" s="1066"/>
      <c r="AI2725" s="1066"/>
      <c r="AJ2725" s="1066"/>
      <c r="AK2725" s="1066"/>
      <c r="AL2725" s="1066"/>
      <c r="AM2725" s="1066"/>
      <c r="AN2725" s="1066"/>
      <c r="AO2725" s="1066"/>
      <c r="AP2725" s="1066"/>
      <c r="AQ2725" s="1066"/>
      <c r="AR2725" s="1066"/>
      <c r="AS2725" s="1066"/>
      <c r="AT2725" s="1066"/>
      <c r="AU2725" s="1066"/>
      <c r="AV2725" s="1066"/>
      <c r="AW2725" s="1066"/>
      <c r="AX2725" s="1066"/>
      <c r="AY2725" s="1066"/>
      <c r="AZ2725" s="1066"/>
      <c r="BA2725" s="1066"/>
      <c r="BB2725" s="1066"/>
      <c r="BC2725" s="1066"/>
      <c r="BD2725" s="1066"/>
      <c r="BE2725" s="1066"/>
      <c r="BF2725" s="1066"/>
      <c r="BG2725" s="1066"/>
      <c r="BH2725" s="1066"/>
      <c r="BI2725" s="1066"/>
      <c r="BJ2725" s="1066"/>
      <c r="BK2725" s="1066"/>
      <c r="BL2725" s="1066"/>
    </row>
    <row r="2726" spans="1:64">
      <c r="A2726" s="1058"/>
      <c r="B2726" s="1058"/>
      <c r="C2726" s="1817" t="s">
        <v>1325</v>
      </c>
      <c r="D2726" s="1137">
        <v>2.2400000000000002</v>
      </c>
      <c r="E2726" s="1022" t="s">
        <v>955</v>
      </c>
      <c r="F2726" s="1848">
        <f>'Civil-SOR'!$G$302</f>
        <v>550</v>
      </c>
      <c r="G2726" s="1076">
        <v>1</v>
      </c>
      <c r="H2726" s="1022" t="s">
        <v>501</v>
      </c>
      <c r="I2726" s="1062">
        <f t="shared" si="642"/>
        <v>1232.0000000000002</v>
      </c>
      <c r="J2726" s="1022"/>
      <c r="K2726" s="1022"/>
      <c r="L2726" s="1022"/>
      <c r="M2726" s="1066"/>
      <c r="N2726" s="1066"/>
      <c r="O2726" s="1066"/>
      <c r="P2726" s="1066"/>
      <c r="Q2726" s="1066"/>
      <c r="R2726" s="1066"/>
      <c r="S2726" s="1066"/>
      <c r="T2726" s="1066"/>
      <c r="U2726" s="1066"/>
      <c r="V2726" s="1066"/>
      <c r="W2726" s="1066"/>
      <c r="X2726" s="1066"/>
      <c r="Y2726" s="1066"/>
      <c r="Z2726" s="1066"/>
      <c r="AA2726" s="1066"/>
      <c r="AB2726" s="1066"/>
      <c r="AC2726" s="1066"/>
      <c r="AD2726" s="1066"/>
      <c r="AE2726" s="1066"/>
      <c r="AF2726" s="1066"/>
      <c r="AG2726" s="1066"/>
      <c r="AH2726" s="1066"/>
      <c r="AI2726" s="1066"/>
      <c r="AJ2726" s="1066"/>
      <c r="AK2726" s="1066"/>
      <c r="AL2726" s="1066"/>
      <c r="AM2726" s="1066"/>
      <c r="AN2726" s="1066"/>
      <c r="AO2726" s="1066"/>
      <c r="AP2726" s="1066"/>
      <c r="AQ2726" s="1066"/>
      <c r="AR2726" s="1066"/>
      <c r="AS2726" s="1066"/>
      <c r="AT2726" s="1066"/>
      <c r="AU2726" s="1066"/>
      <c r="AV2726" s="1066"/>
      <c r="AW2726" s="1066"/>
      <c r="AX2726" s="1066"/>
      <c r="AY2726" s="1066"/>
      <c r="AZ2726" s="1066"/>
      <c r="BA2726" s="1066"/>
      <c r="BB2726" s="1066"/>
      <c r="BC2726" s="1066"/>
      <c r="BD2726" s="1066"/>
      <c r="BE2726" s="1066"/>
      <c r="BF2726" s="1066"/>
      <c r="BG2726" s="1066"/>
      <c r="BH2726" s="1066"/>
      <c r="BI2726" s="1066"/>
      <c r="BJ2726" s="1066"/>
      <c r="BK2726" s="1066"/>
      <c r="BL2726" s="1066"/>
    </row>
    <row r="2727" spans="1:64">
      <c r="A2727" s="1058"/>
      <c r="B2727" s="1058"/>
      <c r="C2727" s="1817" t="s">
        <v>1401</v>
      </c>
      <c r="D2727" s="1137">
        <v>3.3</v>
      </c>
      <c r="E2727" s="1022" t="s">
        <v>955</v>
      </c>
      <c r="F2727" s="1848">
        <f>'Civil-SOR'!$G$307</f>
        <v>520</v>
      </c>
      <c r="G2727" s="1076">
        <v>1</v>
      </c>
      <c r="H2727" s="1022" t="s">
        <v>501</v>
      </c>
      <c r="I2727" s="1062">
        <f t="shared" si="642"/>
        <v>1716</v>
      </c>
      <c r="J2727" s="1022"/>
      <c r="K2727" s="1022"/>
      <c r="L2727" s="1022"/>
      <c r="M2727" s="1066"/>
      <c r="N2727" s="1066"/>
      <c r="O2727" s="1066"/>
      <c r="P2727" s="1066"/>
      <c r="Q2727" s="1066"/>
      <c r="R2727" s="1066"/>
      <c r="S2727" s="1066"/>
      <c r="T2727" s="1066"/>
      <c r="U2727" s="1066"/>
      <c r="V2727" s="1066"/>
      <c r="W2727" s="1066"/>
      <c r="X2727" s="1066"/>
      <c r="Y2727" s="1066"/>
      <c r="Z2727" s="1066"/>
      <c r="AA2727" s="1066"/>
      <c r="AB2727" s="1066"/>
      <c r="AC2727" s="1066"/>
      <c r="AD2727" s="1066"/>
      <c r="AE2727" s="1066"/>
      <c r="AF2727" s="1066"/>
      <c r="AG2727" s="1066"/>
      <c r="AH2727" s="1066"/>
      <c r="AI2727" s="1066"/>
      <c r="AJ2727" s="1066"/>
      <c r="AK2727" s="1066"/>
      <c r="AL2727" s="1066"/>
      <c r="AM2727" s="1066"/>
      <c r="AN2727" s="1066"/>
      <c r="AO2727" s="1066"/>
      <c r="AP2727" s="1066"/>
      <c r="AQ2727" s="1066"/>
      <c r="AR2727" s="1066"/>
      <c r="AS2727" s="1066"/>
      <c r="AT2727" s="1066"/>
      <c r="AU2727" s="1066"/>
      <c r="AV2727" s="1066"/>
      <c r="AW2727" s="1066"/>
      <c r="AX2727" s="1066"/>
      <c r="AY2727" s="1066"/>
      <c r="AZ2727" s="1066"/>
      <c r="BA2727" s="1066"/>
      <c r="BB2727" s="1066"/>
      <c r="BC2727" s="1066"/>
      <c r="BD2727" s="1066"/>
      <c r="BE2727" s="1066"/>
      <c r="BF2727" s="1066"/>
      <c r="BG2727" s="1066"/>
      <c r="BH2727" s="1066"/>
      <c r="BI2727" s="1066"/>
      <c r="BJ2727" s="1066"/>
      <c r="BK2727" s="1066"/>
      <c r="BL2727" s="1066"/>
    </row>
    <row r="2728" spans="1:64">
      <c r="A2728" s="1058"/>
      <c r="B2728" s="1058"/>
      <c r="C2728" s="1817" t="str">
        <f>Input!$C$47</f>
        <v>Add for MA @ 40%</v>
      </c>
      <c r="D2728" s="1160">
        <f>Input!$D$47</f>
        <v>0.4</v>
      </c>
      <c r="E2728" s="1022"/>
      <c r="F2728" s="1848">
        <f>SUM(I2725:I2727)</f>
        <v>3504.8</v>
      </c>
      <c r="G2728" s="1076"/>
      <c r="H2728" s="1022"/>
      <c r="I2728" s="1062">
        <f t="shared" si="642"/>
        <v>1401.92</v>
      </c>
      <c r="J2728" s="1022"/>
      <c r="K2728" s="1022"/>
      <c r="L2728" s="1022"/>
      <c r="M2728" s="1066"/>
      <c r="N2728" s="1066"/>
      <c r="O2728" s="1066"/>
      <c r="P2728" s="1066"/>
      <c r="Q2728" s="1066"/>
      <c r="R2728" s="1066"/>
      <c r="S2728" s="1066"/>
      <c r="T2728" s="1066"/>
      <c r="U2728" s="1066"/>
      <c r="V2728" s="1066"/>
      <c r="W2728" s="1066"/>
      <c r="X2728" s="1066"/>
      <c r="Y2728" s="1066"/>
      <c r="Z2728" s="1066"/>
      <c r="AA2728" s="1066"/>
      <c r="AB2728" s="1066"/>
      <c r="AC2728" s="1066"/>
      <c r="AD2728" s="1066"/>
      <c r="AE2728" s="1066"/>
      <c r="AF2728" s="1066"/>
      <c r="AG2728" s="1066"/>
      <c r="AH2728" s="1066"/>
      <c r="AI2728" s="1066"/>
      <c r="AJ2728" s="1066"/>
      <c r="AK2728" s="1066"/>
      <c r="AL2728" s="1066"/>
      <c r="AM2728" s="1066"/>
      <c r="AN2728" s="1066"/>
      <c r="AO2728" s="1066"/>
      <c r="AP2728" s="1066"/>
      <c r="AQ2728" s="1066"/>
      <c r="AR2728" s="1066"/>
      <c r="AS2728" s="1066"/>
      <c r="AT2728" s="1066"/>
      <c r="AU2728" s="1066"/>
      <c r="AV2728" s="1066"/>
      <c r="AW2728" s="1066"/>
      <c r="AX2728" s="1066"/>
      <c r="AY2728" s="1066"/>
      <c r="AZ2728" s="1066"/>
      <c r="BA2728" s="1066"/>
      <c r="BB2728" s="1066"/>
      <c r="BC2728" s="1066"/>
      <c r="BD2728" s="1066"/>
      <c r="BE2728" s="1066"/>
      <c r="BF2728" s="1066"/>
      <c r="BG2728" s="1066"/>
      <c r="BH2728" s="1066"/>
      <c r="BI2728" s="1066"/>
      <c r="BJ2728" s="1066"/>
      <c r="BK2728" s="1066"/>
      <c r="BL2728" s="1066"/>
    </row>
    <row r="2729" spans="1:64">
      <c r="A2729" s="1058"/>
      <c r="B2729" s="1058"/>
      <c r="C2729" s="1817" t="s">
        <v>1301</v>
      </c>
      <c r="D2729" s="1137">
        <v>0.01</v>
      </c>
      <c r="E2729" s="1022"/>
      <c r="F2729" s="1848">
        <f>SUM(I2719:I2728)</f>
        <v>12709.109199999999</v>
      </c>
      <c r="G2729" s="1076"/>
      <c r="H2729" s="1022"/>
      <c r="I2729" s="1062">
        <f t="shared" si="642"/>
        <v>127.09109199999999</v>
      </c>
      <c r="J2729" s="1022"/>
      <c r="K2729" s="1022"/>
      <c r="L2729" s="1022"/>
      <c r="M2729" s="1066"/>
      <c r="N2729" s="1066"/>
      <c r="O2729" s="1066"/>
      <c r="P2729" s="1066"/>
      <c r="Q2729" s="1066"/>
      <c r="R2729" s="1066"/>
      <c r="S2729" s="1066"/>
      <c r="T2729" s="1066"/>
      <c r="U2729" s="1066"/>
      <c r="V2729" s="1066"/>
      <c r="W2729" s="1066"/>
      <c r="X2729" s="1066"/>
      <c r="Y2729" s="1066"/>
      <c r="Z2729" s="1066"/>
      <c r="AA2729" s="1066"/>
      <c r="AB2729" s="1066"/>
      <c r="AC2729" s="1066"/>
      <c r="AD2729" s="1066"/>
      <c r="AE2729" s="1066"/>
      <c r="AF2729" s="1066"/>
      <c r="AG2729" s="1066"/>
      <c r="AH2729" s="1066"/>
      <c r="AI2729" s="1066"/>
      <c r="AJ2729" s="1066"/>
      <c r="AK2729" s="1066"/>
      <c r="AL2729" s="1066"/>
      <c r="AM2729" s="1066"/>
      <c r="AN2729" s="1066"/>
      <c r="AO2729" s="1066"/>
      <c r="AP2729" s="1066"/>
      <c r="AQ2729" s="1066"/>
      <c r="AR2729" s="1066"/>
      <c r="AS2729" s="1066"/>
      <c r="AT2729" s="1066"/>
      <c r="AU2729" s="1066"/>
      <c r="AV2729" s="1066"/>
      <c r="AW2729" s="1066"/>
      <c r="AX2729" s="1066"/>
      <c r="AY2729" s="1066"/>
      <c r="AZ2729" s="1066"/>
      <c r="BA2729" s="1066"/>
      <c r="BB2729" s="1066"/>
      <c r="BC2729" s="1066"/>
      <c r="BD2729" s="1066"/>
      <c r="BE2729" s="1066"/>
      <c r="BF2729" s="1066"/>
      <c r="BG2729" s="1066"/>
      <c r="BH2729" s="1066"/>
      <c r="BI2729" s="1066"/>
      <c r="BJ2729" s="1066"/>
      <c r="BK2729" s="1066"/>
      <c r="BL2729" s="1066"/>
    </row>
    <row r="2730" spans="1:64">
      <c r="A2730" s="1086"/>
      <c r="B2730" s="1086"/>
      <c r="C2730" s="1183" t="s">
        <v>1402</v>
      </c>
      <c r="D2730" s="1117"/>
      <c r="E2730" s="996"/>
      <c r="F2730" s="1829"/>
      <c r="G2730" s="1108"/>
      <c r="H2730" s="996"/>
      <c r="I2730" s="1826">
        <f>SUM(I2719:I2729)</f>
        <v>12836.200292</v>
      </c>
      <c r="J2730" s="996"/>
      <c r="K2730" s="996"/>
      <c r="L2730" s="996"/>
      <c r="M2730" s="997"/>
      <c r="N2730" s="997"/>
      <c r="O2730" s="997"/>
      <c r="P2730" s="997"/>
      <c r="Q2730" s="997"/>
      <c r="R2730" s="997"/>
      <c r="S2730" s="997"/>
      <c r="T2730" s="997"/>
      <c r="U2730" s="997"/>
      <c r="V2730" s="997"/>
      <c r="W2730" s="997"/>
      <c r="X2730" s="997"/>
      <c r="Y2730" s="997"/>
      <c r="Z2730" s="997"/>
      <c r="AA2730" s="997"/>
      <c r="AB2730" s="997"/>
      <c r="AC2730" s="997"/>
      <c r="AD2730" s="997"/>
      <c r="AE2730" s="997"/>
      <c r="AF2730" s="997"/>
      <c r="AG2730" s="997"/>
      <c r="AH2730" s="997"/>
      <c r="AI2730" s="997"/>
      <c r="AJ2730" s="997"/>
      <c r="AK2730" s="997"/>
      <c r="AL2730" s="997"/>
      <c r="AM2730" s="997"/>
      <c r="AN2730" s="997"/>
      <c r="AO2730" s="997"/>
      <c r="AP2730" s="997"/>
      <c r="AQ2730" s="997"/>
      <c r="AR2730" s="997"/>
      <c r="AS2730" s="997"/>
      <c r="AT2730" s="997"/>
      <c r="AU2730" s="997"/>
      <c r="AV2730" s="997"/>
      <c r="AW2730" s="997"/>
      <c r="AX2730" s="997"/>
      <c r="AY2730" s="997"/>
      <c r="AZ2730" s="997"/>
      <c r="BA2730" s="997"/>
      <c r="BB2730" s="997"/>
      <c r="BC2730" s="997"/>
      <c r="BD2730" s="997"/>
      <c r="BE2730" s="997"/>
      <c r="BF2730" s="997"/>
      <c r="BG2730" s="997"/>
      <c r="BH2730" s="997"/>
      <c r="BI2730" s="997"/>
      <c r="BJ2730" s="997"/>
      <c r="BK2730" s="997"/>
      <c r="BL2730" s="997"/>
    </row>
    <row r="2731" spans="1:64">
      <c r="A2731" s="1818"/>
      <c r="B2731" s="1818"/>
      <c r="C2731" s="1846"/>
      <c r="D2731" s="1096"/>
      <c r="E2731" s="1846"/>
      <c r="F2731" s="1021"/>
      <c r="G2731" s="1105"/>
      <c r="H2731" s="1846"/>
      <c r="I2731" s="1030"/>
      <c r="J2731" s="1846"/>
      <c r="K2731" s="1846"/>
      <c r="L2731" s="1846"/>
    </row>
    <row r="2732" spans="1:64">
      <c r="A2732" s="1818"/>
      <c r="B2732" s="1818"/>
      <c r="C2732" s="1816" t="s">
        <v>1217</v>
      </c>
      <c r="D2732" s="1009" t="s">
        <v>1223</v>
      </c>
      <c r="E2732" s="1114" t="s">
        <v>1207</v>
      </c>
      <c r="F2732" s="1106" t="s">
        <v>1208</v>
      </c>
      <c r="G2732" s="1009" t="s">
        <v>1291</v>
      </c>
      <c r="H2732" s="1009" t="s">
        <v>1292</v>
      </c>
      <c r="I2732" s="1009" t="s">
        <v>1293</v>
      </c>
      <c r="J2732" s="1846"/>
      <c r="K2732" s="1846"/>
      <c r="L2732" s="1846"/>
    </row>
    <row r="2733" spans="1:64">
      <c r="A2733" s="1818"/>
      <c r="B2733" s="1818"/>
      <c r="C2733" s="1817" t="s">
        <v>1317</v>
      </c>
      <c r="D2733" s="1001">
        <f t="shared" ref="D2733:I2733" si="643">$I$2730</f>
        <v>12836.200292</v>
      </c>
      <c r="E2733" s="1001">
        <f t="shared" si="643"/>
        <v>12836.200292</v>
      </c>
      <c r="F2733" s="1001">
        <f t="shared" si="643"/>
        <v>12836.200292</v>
      </c>
      <c r="G2733" s="1001">
        <f t="shared" si="643"/>
        <v>12836.200292</v>
      </c>
      <c r="H2733" s="1001">
        <f t="shared" si="643"/>
        <v>12836.200292</v>
      </c>
      <c r="I2733" s="1001">
        <f t="shared" si="643"/>
        <v>12836.200292</v>
      </c>
      <c r="J2733" s="1846"/>
      <c r="K2733" s="1846"/>
      <c r="L2733" s="1846"/>
    </row>
    <row r="2734" spans="1:64">
      <c r="A2734" s="1818"/>
      <c r="B2734" s="1818"/>
      <c r="C2734" s="1817" t="s">
        <v>1253</v>
      </c>
      <c r="D2734" s="1001">
        <v>0</v>
      </c>
      <c r="E2734" s="1001">
        <f>ROUND($F$2728*10%,2)</f>
        <v>350.48</v>
      </c>
      <c r="F2734" s="1001">
        <f>ROUND($F$2728*20%,2)</f>
        <v>700.96</v>
      </c>
      <c r="G2734" s="1001">
        <f>ROUND($F$2728*30%,2)</f>
        <v>1051.44</v>
      </c>
      <c r="H2734" s="1001">
        <f>ROUND($F$2728*40%,2)</f>
        <v>1401.92</v>
      </c>
      <c r="I2734" s="1001">
        <f>ROUND($F$2728*50%,2)</f>
        <v>1752.4</v>
      </c>
      <c r="J2734" s="1846"/>
      <c r="K2734" s="1846"/>
      <c r="L2734" s="1846"/>
    </row>
    <row r="2735" spans="1:64">
      <c r="A2735" s="1818"/>
      <c r="B2735" s="1818"/>
      <c r="C2735" s="1817" t="str">
        <f>Input!$C$47</f>
        <v>Add for MA @ 40%</v>
      </c>
      <c r="D2735" s="1001">
        <f>D2734*Input!$D$47</f>
        <v>0</v>
      </c>
      <c r="E2735" s="1001">
        <f>E2734*Input!$D$47</f>
        <v>140.19200000000001</v>
      </c>
      <c r="F2735" s="1001">
        <f>F2734*Input!$D$47</f>
        <v>280.38400000000001</v>
      </c>
      <c r="G2735" s="1001">
        <f>G2734*Input!$D$47</f>
        <v>420.57600000000002</v>
      </c>
      <c r="H2735" s="1001">
        <f>H2734*Input!$D$47</f>
        <v>560.76800000000003</v>
      </c>
      <c r="I2735" s="1001">
        <f>I2734*Input!$D$47</f>
        <v>700.96</v>
      </c>
      <c r="J2735" s="1846"/>
      <c r="K2735" s="1846"/>
      <c r="L2735" s="1846"/>
    </row>
    <row r="2736" spans="1:64">
      <c r="A2736" s="1818"/>
      <c r="B2736" s="1818"/>
      <c r="C2736" s="1846"/>
      <c r="D2736" s="1001">
        <f t="shared" ref="D2736:I2736" si="644">SUM(D2733:D2735)</f>
        <v>12836.200292</v>
      </c>
      <c r="E2736" s="1001">
        <f t="shared" si="644"/>
        <v>13326.872292</v>
      </c>
      <c r="F2736" s="1001">
        <f t="shared" si="644"/>
        <v>13817.544292</v>
      </c>
      <c r="G2736" s="1001">
        <f t="shared" si="644"/>
        <v>14308.216292000001</v>
      </c>
      <c r="H2736" s="1001">
        <f t="shared" si="644"/>
        <v>14798.888292</v>
      </c>
      <c r="I2736" s="1001">
        <f t="shared" si="644"/>
        <v>15289.560291999998</v>
      </c>
      <c r="J2736" s="1846"/>
      <c r="K2736" s="1846"/>
      <c r="L2736" s="1846"/>
    </row>
    <row r="2737" spans="1:64">
      <c r="A2737" s="1818"/>
      <c r="B2737" s="1818"/>
      <c r="C2737" s="1817" t="str">
        <f>Input!$C$48</f>
        <v>Overheads &amp; Contractors Profit @ 13.615%</v>
      </c>
      <c r="D2737" s="1001">
        <f>ROUND(D2736*Input!$D$48,2)</f>
        <v>1747.65</v>
      </c>
      <c r="E2737" s="1001">
        <f>ROUND(E2736*Input!$D$48,2)</f>
        <v>1814.45</v>
      </c>
      <c r="F2737" s="1001">
        <f>ROUND(F2736*Input!$D$48,2)</f>
        <v>1881.26</v>
      </c>
      <c r="G2737" s="1001">
        <f>ROUND(G2736*Input!$D$48,2)</f>
        <v>1948.06</v>
      </c>
      <c r="H2737" s="1001">
        <f>ROUND(H2736*Input!$D$48,2)</f>
        <v>2014.87</v>
      </c>
      <c r="I2737" s="1001">
        <f>ROUND(I2736*Input!$D$48,2)</f>
        <v>2081.67</v>
      </c>
      <c r="J2737" s="1846"/>
      <c r="K2737" s="1846"/>
      <c r="L2737" s="1846"/>
    </row>
    <row r="2738" spans="1:64">
      <c r="A2738" s="1818"/>
      <c r="B2738" s="1818"/>
      <c r="C2738" s="1816" t="s">
        <v>1302</v>
      </c>
      <c r="D2738" s="1001">
        <f t="shared" ref="D2738:I2738" si="645">SUM(D2736:D2737)</f>
        <v>14583.850291999999</v>
      </c>
      <c r="E2738" s="1001">
        <f t="shared" si="645"/>
        <v>15141.322292000001</v>
      </c>
      <c r="F2738" s="1001">
        <f t="shared" si="645"/>
        <v>15698.804292000001</v>
      </c>
      <c r="G2738" s="1001">
        <f t="shared" si="645"/>
        <v>16256.276292</v>
      </c>
      <c r="H2738" s="1001">
        <f t="shared" si="645"/>
        <v>16813.758291999999</v>
      </c>
      <c r="I2738" s="1001">
        <f t="shared" si="645"/>
        <v>17371.230292</v>
      </c>
      <c r="J2738" s="1846"/>
      <c r="K2738" s="1846"/>
      <c r="L2738" s="1846"/>
    </row>
    <row r="2739" spans="1:64">
      <c r="A2739" s="1818"/>
      <c r="B2739" s="1818"/>
      <c r="C2739" s="1816" t="s">
        <v>1117</v>
      </c>
      <c r="D2739" s="1009">
        <f t="shared" ref="D2739:I2739" si="646">D2738/10</f>
        <v>1458.3850292</v>
      </c>
      <c r="E2739" s="1009">
        <f t="shared" si="646"/>
        <v>1514.1322292</v>
      </c>
      <c r="F2739" s="1009">
        <f t="shared" si="646"/>
        <v>1569.8804292</v>
      </c>
      <c r="G2739" s="1009">
        <f t="shared" si="646"/>
        <v>1625.6276292</v>
      </c>
      <c r="H2739" s="1009">
        <f t="shared" si="646"/>
        <v>1681.3758291999998</v>
      </c>
      <c r="I2739" s="1009">
        <f t="shared" si="646"/>
        <v>1737.1230292</v>
      </c>
      <c r="J2739" s="1846"/>
      <c r="K2739" s="1846"/>
      <c r="L2739" s="1846"/>
    </row>
    <row r="2740" spans="1:64">
      <c r="A2740" s="1086"/>
      <c r="B2740" s="1086"/>
      <c r="C2740" s="1118" t="s">
        <v>1034</v>
      </c>
      <c r="D2740" s="999">
        <f t="shared" ref="D2740:I2740" si="647">ROUND(D2739,0)</f>
        <v>1458</v>
      </c>
      <c r="E2740" s="999">
        <f t="shared" si="647"/>
        <v>1514</v>
      </c>
      <c r="F2740" s="999">
        <f t="shared" si="647"/>
        <v>1570</v>
      </c>
      <c r="G2740" s="999">
        <f t="shared" si="647"/>
        <v>1626</v>
      </c>
      <c r="H2740" s="999">
        <f t="shared" si="647"/>
        <v>1681</v>
      </c>
      <c r="I2740" s="999">
        <f t="shared" si="647"/>
        <v>1737</v>
      </c>
      <c r="J2740" s="1846"/>
      <c r="K2740" s="1846"/>
      <c r="L2740" s="1846"/>
      <c r="M2740" s="997"/>
      <c r="N2740" s="997"/>
      <c r="O2740" s="997"/>
      <c r="P2740" s="997"/>
      <c r="Q2740" s="997"/>
      <c r="R2740" s="997"/>
      <c r="S2740" s="997"/>
      <c r="T2740" s="997"/>
      <c r="U2740" s="997"/>
      <c r="V2740" s="997"/>
      <c r="W2740" s="997"/>
      <c r="X2740" s="997"/>
      <c r="Y2740" s="997"/>
      <c r="Z2740" s="997"/>
      <c r="AA2740" s="997"/>
      <c r="AB2740" s="997"/>
      <c r="AC2740" s="997"/>
      <c r="AD2740" s="997"/>
      <c r="AE2740" s="997"/>
      <c r="AF2740" s="997"/>
      <c r="AG2740" s="997"/>
      <c r="AH2740" s="997"/>
      <c r="AI2740" s="997"/>
      <c r="AJ2740" s="997"/>
      <c r="AK2740" s="997"/>
      <c r="AL2740" s="997"/>
      <c r="AM2740" s="997"/>
      <c r="AN2740" s="997"/>
      <c r="AO2740" s="997"/>
      <c r="AP2740" s="997"/>
      <c r="AQ2740" s="997"/>
      <c r="AR2740" s="997"/>
      <c r="AS2740" s="997"/>
      <c r="AT2740" s="997"/>
      <c r="AU2740" s="997"/>
      <c r="AV2740" s="997"/>
      <c r="AW2740" s="997"/>
      <c r="AX2740" s="997"/>
      <c r="AY2740" s="997"/>
      <c r="AZ2740" s="997"/>
      <c r="BA2740" s="997"/>
      <c r="BB2740" s="997"/>
      <c r="BC2740" s="997"/>
      <c r="BD2740" s="997"/>
      <c r="BE2740" s="997"/>
      <c r="BF2740" s="997"/>
      <c r="BG2740" s="997"/>
      <c r="BH2740" s="997"/>
      <c r="BI2740" s="997"/>
      <c r="BJ2740" s="997"/>
      <c r="BK2740" s="997"/>
      <c r="BL2740" s="997"/>
    </row>
    <row r="2741" spans="1:64" ht="86.65" customHeight="1">
      <c r="A2741" s="1824">
        <f>1+A2715</f>
        <v>34</v>
      </c>
      <c r="B2741" s="1818"/>
      <c r="C2741" s="2036" t="s">
        <v>3424</v>
      </c>
      <c r="D2741" s="2036"/>
      <c r="E2741" s="2036"/>
      <c r="F2741" s="2036"/>
      <c r="G2741" s="2036"/>
      <c r="H2741" s="2036"/>
      <c r="I2741" s="2036"/>
      <c r="J2741" s="1846"/>
      <c r="K2741" s="1846"/>
      <c r="L2741" s="1846"/>
      <c r="O2741" s="997"/>
      <c r="P2741" s="997"/>
      <c r="Q2741" s="997"/>
      <c r="R2741" s="997"/>
      <c r="S2741" s="997"/>
      <c r="T2741" s="997"/>
      <c r="U2741" s="997"/>
      <c r="V2741" s="997"/>
      <c r="W2741" s="997"/>
      <c r="X2741" s="997"/>
      <c r="Y2741" s="997"/>
      <c r="Z2741" s="997"/>
      <c r="AA2741" s="997"/>
      <c r="AB2741" s="997"/>
      <c r="AC2741" s="997"/>
      <c r="AD2741" s="997"/>
      <c r="AE2741" s="997"/>
      <c r="AF2741" s="997"/>
      <c r="AG2741" s="997"/>
      <c r="AH2741" s="997"/>
      <c r="AI2741" s="997"/>
      <c r="AJ2741" s="997"/>
      <c r="AK2741" s="997"/>
      <c r="AL2741" s="997"/>
      <c r="AM2741" s="997"/>
      <c r="AN2741" s="997"/>
      <c r="AO2741" s="997"/>
      <c r="AP2741" s="997"/>
      <c r="AQ2741" s="997"/>
      <c r="AR2741" s="997"/>
      <c r="AS2741" s="997"/>
      <c r="AT2741" s="997"/>
      <c r="AU2741" s="997"/>
      <c r="AV2741" s="997"/>
      <c r="AW2741" s="997"/>
      <c r="AX2741" s="997"/>
      <c r="AY2741" s="997"/>
      <c r="AZ2741" s="997"/>
      <c r="BA2741" s="997"/>
      <c r="BB2741" s="997"/>
      <c r="BC2741" s="997"/>
      <c r="BD2741" s="997"/>
      <c r="BE2741" s="997"/>
      <c r="BF2741" s="997"/>
      <c r="BG2741" s="997"/>
      <c r="BH2741" s="997"/>
      <c r="BI2741" s="997"/>
      <c r="BJ2741" s="997"/>
      <c r="BK2741" s="997"/>
      <c r="BL2741" s="997"/>
    </row>
    <row r="2742" spans="1:64">
      <c r="A2742" s="1818"/>
      <c r="B2742" s="1818"/>
      <c r="C2742" s="1078" t="s">
        <v>1405</v>
      </c>
      <c r="D2742" s="1846"/>
      <c r="E2742" s="1846"/>
      <c r="F2742" s="1068"/>
      <c r="G2742" s="1846"/>
      <c r="H2742" s="1846"/>
      <c r="I2742" s="1021"/>
      <c r="J2742" s="1846"/>
      <c r="K2742" s="1846"/>
      <c r="L2742" s="1846"/>
      <c r="O2742" s="997"/>
      <c r="P2742" s="997"/>
      <c r="Q2742" s="997"/>
      <c r="R2742" s="997"/>
      <c r="S2742" s="997"/>
      <c r="T2742" s="997"/>
      <c r="U2742" s="997"/>
      <c r="V2742" s="997"/>
      <c r="W2742" s="997"/>
      <c r="X2742" s="997"/>
      <c r="Y2742" s="997"/>
      <c r="Z2742" s="997"/>
      <c r="AA2742" s="997"/>
      <c r="AB2742" s="997"/>
      <c r="AC2742" s="997"/>
      <c r="AD2742" s="997"/>
      <c r="AE2742" s="997"/>
      <c r="AF2742" s="997"/>
      <c r="AG2742" s="997"/>
      <c r="AH2742" s="997"/>
      <c r="AI2742" s="997"/>
      <c r="AJ2742" s="997"/>
      <c r="AK2742" s="997"/>
      <c r="AL2742" s="997"/>
      <c r="AM2742" s="997"/>
      <c r="AN2742" s="997"/>
      <c r="AO2742" s="997"/>
      <c r="AP2742" s="997"/>
      <c r="AQ2742" s="997"/>
      <c r="AR2742" s="997"/>
      <c r="AS2742" s="997"/>
      <c r="AT2742" s="997"/>
      <c r="AU2742" s="997"/>
      <c r="AV2742" s="997"/>
      <c r="AW2742" s="997"/>
      <c r="AX2742" s="997"/>
      <c r="AY2742" s="997"/>
      <c r="AZ2742" s="997"/>
      <c r="BA2742" s="997"/>
      <c r="BB2742" s="997"/>
      <c r="BC2742" s="997"/>
      <c r="BD2742" s="997"/>
      <c r="BE2742" s="997"/>
      <c r="BF2742" s="997"/>
      <c r="BG2742" s="997"/>
      <c r="BH2742" s="997"/>
      <c r="BI2742" s="997"/>
      <c r="BJ2742" s="997"/>
      <c r="BK2742" s="997"/>
      <c r="BL2742" s="997"/>
    </row>
    <row r="2743" spans="1:64">
      <c r="A2743" s="1818"/>
      <c r="B2743" s="1818"/>
      <c r="C2743" s="1817" t="s">
        <v>1394</v>
      </c>
      <c r="D2743" s="1846"/>
      <c r="E2743" s="1846"/>
      <c r="F2743" s="1068"/>
      <c r="G2743" s="1846"/>
      <c r="H2743" s="1846"/>
      <c r="I2743" s="1021"/>
      <c r="J2743" s="1846"/>
      <c r="K2743" s="1846"/>
      <c r="L2743" s="1846"/>
      <c r="O2743" s="997"/>
      <c r="P2743" s="997"/>
      <c r="Q2743" s="997"/>
      <c r="R2743" s="997"/>
      <c r="S2743" s="997"/>
      <c r="T2743" s="997"/>
      <c r="U2743" s="997"/>
      <c r="V2743" s="997"/>
      <c r="W2743" s="997"/>
      <c r="X2743" s="997"/>
      <c r="Y2743" s="997"/>
      <c r="Z2743" s="997"/>
      <c r="AA2743" s="997"/>
      <c r="AB2743" s="997"/>
      <c r="AC2743" s="997"/>
      <c r="AD2743" s="997"/>
      <c r="AE2743" s="997"/>
      <c r="AF2743" s="997"/>
      <c r="AG2743" s="997"/>
      <c r="AH2743" s="997"/>
      <c r="AI2743" s="997"/>
      <c r="AJ2743" s="997"/>
      <c r="AK2743" s="997"/>
      <c r="AL2743" s="997"/>
      <c r="AM2743" s="997"/>
      <c r="AN2743" s="997"/>
      <c r="AO2743" s="997"/>
      <c r="AP2743" s="997"/>
      <c r="AQ2743" s="997"/>
      <c r="AR2743" s="997"/>
      <c r="AS2743" s="997"/>
      <c r="AT2743" s="997"/>
      <c r="AU2743" s="997"/>
      <c r="AV2743" s="997"/>
      <c r="AW2743" s="997"/>
      <c r="AX2743" s="997"/>
      <c r="AY2743" s="997"/>
      <c r="AZ2743" s="997"/>
      <c r="BA2743" s="997"/>
      <c r="BB2743" s="997"/>
      <c r="BC2743" s="997"/>
      <c r="BD2743" s="997"/>
      <c r="BE2743" s="997"/>
      <c r="BF2743" s="997"/>
      <c r="BG2743" s="997"/>
      <c r="BH2743" s="997"/>
      <c r="BI2743" s="997"/>
      <c r="BJ2743" s="997"/>
      <c r="BK2743" s="997"/>
      <c r="BL2743" s="997"/>
    </row>
    <row r="2744" spans="1:64">
      <c r="A2744" s="1818"/>
      <c r="B2744" s="1818"/>
      <c r="C2744" s="1816" t="s">
        <v>1395</v>
      </c>
      <c r="D2744" s="1096"/>
      <c r="E2744" s="1846"/>
      <c r="F2744" s="1021"/>
      <c r="G2744" s="1105"/>
      <c r="H2744" s="1846"/>
      <c r="I2744" s="1030"/>
      <c r="J2744" s="1846"/>
      <c r="K2744" s="1846"/>
      <c r="L2744" s="1846"/>
      <c r="O2744" s="997"/>
      <c r="P2744" s="997"/>
      <c r="Q2744" s="997"/>
      <c r="R2744" s="997"/>
      <c r="S2744" s="997"/>
      <c r="T2744" s="997"/>
      <c r="U2744" s="997"/>
      <c r="V2744" s="997"/>
      <c r="W2744" s="997"/>
      <c r="X2744" s="997"/>
      <c r="Y2744" s="997"/>
      <c r="Z2744" s="997"/>
      <c r="AA2744" s="997"/>
      <c r="AB2744" s="997"/>
      <c r="AC2744" s="997"/>
      <c r="AD2744" s="997"/>
      <c r="AE2744" s="997"/>
      <c r="AF2744" s="997"/>
      <c r="AG2744" s="997"/>
      <c r="AH2744" s="997"/>
      <c r="AI2744" s="997"/>
      <c r="AJ2744" s="997"/>
      <c r="AK2744" s="997"/>
      <c r="AL2744" s="997"/>
      <c r="AM2744" s="997"/>
      <c r="AN2744" s="997"/>
      <c r="AO2744" s="997"/>
      <c r="AP2744" s="997"/>
      <c r="AQ2744" s="997"/>
      <c r="AR2744" s="997"/>
      <c r="AS2744" s="997"/>
      <c r="AT2744" s="997"/>
      <c r="AU2744" s="997"/>
      <c r="AV2744" s="997"/>
      <c r="AW2744" s="997"/>
      <c r="AX2744" s="997"/>
      <c r="AY2744" s="997"/>
      <c r="AZ2744" s="997"/>
      <c r="BA2744" s="997"/>
      <c r="BB2744" s="997"/>
      <c r="BC2744" s="997"/>
      <c r="BD2744" s="997"/>
      <c r="BE2744" s="997"/>
      <c r="BF2744" s="997"/>
      <c r="BG2744" s="997"/>
      <c r="BH2744" s="997"/>
      <c r="BI2744" s="997"/>
      <c r="BJ2744" s="997"/>
      <c r="BK2744" s="997"/>
      <c r="BL2744" s="997"/>
    </row>
    <row r="2745" spans="1:64" ht="25.5">
      <c r="A2745" s="1058"/>
      <c r="B2745" s="1058"/>
      <c r="C2745" s="1817" t="s">
        <v>1413</v>
      </c>
      <c r="D2745" s="1137">
        <v>10.5</v>
      </c>
      <c r="E2745" s="1022" t="s">
        <v>46</v>
      </c>
      <c r="F2745" s="1848">
        <f>'Civil-SOR'!G17</f>
        <v>326</v>
      </c>
      <c r="G2745" s="1076">
        <v>1</v>
      </c>
      <c r="H2745" s="1022" t="s">
        <v>46</v>
      </c>
      <c r="I2745" s="1062">
        <f t="shared" ref="I2745:I2749" si="648">IF(G2745="",D2745*F2745,(D2745*F2745/G2745))</f>
        <v>3423</v>
      </c>
      <c r="J2745" s="1022"/>
      <c r="K2745" s="1022"/>
      <c r="L2745" s="1022"/>
      <c r="M2745" s="1066"/>
      <c r="N2745" s="1066"/>
      <c r="O2745" s="997"/>
      <c r="P2745" s="997"/>
      <c r="Q2745" s="997"/>
      <c r="R2745" s="997"/>
      <c r="S2745" s="997"/>
      <c r="T2745" s="997"/>
      <c r="U2745" s="997"/>
      <c r="V2745" s="997"/>
      <c r="W2745" s="997"/>
      <c r="X2745" s="997"/>
      <c r="Y2745" s="997"/>
      <c r="Z2745" s="997"/>
      <c r="AA2745" s="997"/>
      <c r="AB2745" s="997"/>
      <c r="AC2745" s="997"/>
      <c r="AD2745" s="997"/>
      <c r="AE2745" s="997"/>
      <c r="AF2745" s="997"/>
      <c r="AG2745" s="997"/>
      <c r="AH2745" s="997"/>
      <c r="AI2745" s="997"/>
      <c r="AJ2745" s="997"/>
      <c r="AK2745" s="997"/>
      <c r="AL2745" s="997"/>
      <c r="AM2745" s="997"/>
      <c r="AN2745" s="997"/>
      <c r="AO2745" s="997"/>
      <c r="AP2745" s="997"/>
      <c r="AQ2745" s="997"/>
      <c r="AR2745" s="997"/>
      <c r="AS2745" s="997"/>
      <c r="AT2745" s="997"/>
      <c r="AU2745" s="997"/>
      <c r="AV2745" s="997"/>
      <c r="AW2745" s="997"/>
      <c r="AX2745" s="997"/>
      <c r="AY2745" s="997"/>
      <c r="AZ2745" s="997"/>
      <c r="BA2745" s="997"/>
      <c r="BB2745" s="997"/>
      <c r="BC2745" s="997"/>
      <c r="BD2745" s="997"/>
      <c r="BE2745" s="997"/>
      <c r="BF2745" s="997"/>
      <c r="BG2745" s="997"/>
      <c r="BH2745" s="997"/>
      <c r="BI2745" s="997"/>
      <c r="BJ2745" s="997"/>
      <c r="BK2745" s="997"/>
      <c r="BL2745" s="997"/>
    </row>
    <row r="2746" spans="1:64">
      <c r="A2746" s="1058"/>
      <c r="B2746" s="1058"/>
      <c r="C2746" s="1817" t="s">
        <v>1410</v>
      </c>
      <c r="D2746" s="1137">
        <v>21.6</v>
      </c>
      <c r="E2746" s="1022" t="s">
        <v>1110</v>
      </c>
      <c r="F2746" s="1848">
        <f>LEAD!$N$6</f>
        <v>5200</v>
      </c>
      <c r="G2746" s="1076">
        <v>1000</v>
      </c>
      <c r="H2746" s="1022" t="s">
        <v>1110</v>
      </c>
      <c r="I2746" s="1062">
        <f t="shared" si="648"/>
        <v>112.32000000000002</v>
      </c>
      <c r="J2746" s="1022"/>
      <c r="K2746" s="1022"/>
      <c r="L2746" s="1022"/>
      <c r="M2746" s="1066"/>
      <c r="N2746" s="1066"/>
      <c r="O2746" s="997"/>
      <c r="P2746" s="997"/>
      <c r="Q2746" s="997"/>
      <c r="R2746" s="997"/>
      <c r="S2746" s="997"/>
      <c r="T2746" s="997"/>
      <c r="U2746" s="997"/>
      <c r="V2746" s="997"/>
      <c r="W2746" s="997"/>
      <c r="X2746" s="997"/>
      <c r="Y2746" s="997"/>
      <c r="Z2746" s="997"/>
      <c r="AA2746" s="997"/>
      <c r="AB2746" s="997"/>
      <c r="AC2746" s="997"/>
      <c r="AD2746" s="997"/>
      <c r="AE2746" s="997"/>
      <c r="AF2746" s="997"/>
      <c r="AG2746" s="997"/>
      <c r="AH2746" s="997"/>
      <c r="AI2746" s="997"/>
      <c r="AJ2746" s="997"/>
      <c r="AK2746" s="997"/>
      <c r="AL2746" s="997"/>
      <c r="AM2746" s="997"/>
      <c r="AN2746" s="997"/>
      <c r="AO2746" s="997"/>
      <c r="AP2746" s="997"/>
      <c r="AQ2746" s="997"/>
      <c r="AR2746" s="997"/>
      <c r="AS2746" s="997"/>
      <c r="AT2746" s="997"/>
      <c r="AU2746" s="997"/>
      <c r="AV2746" s="997"/>
      <c r="AW2746" s="997"/>
      <c r="AX2746" s="997"/>
      <c r="AY2746" s="997"/>
      <c r="AZ2746" s="997"/>
      <c r="BA2746" s="997"/>
      <c r="BB2746" s="997"/>
      <c r="BC2746" s="997"/>
      <c r="BD2746" s="997"/>
      <c r="BE2746" s="997"/>
      <c r="BF2746" s="997"/>
      <c r="BG2746" s="997"/>
      <c r="BH2746" s="997"/>
      <c r="BI2746" s="997"/>
      <c r="BJ2746" s="997"/>
      <c r="BK2746" s="997"/>
      <c r="BL2746" s="997"/>
    </row>
    <row r="2747" spans="1:64">
      <c r="A2747" s="1058"/>
      <c r="B2747" s="1058"/>
      <c r="C2747" s="1817" t="s">
        <v>1398</v>
      </c>
      <c r="D2747" s="1137">
        <v>33</v>
      </c>
      <c r="E2747" s="1022" t="s">
        <v>1110</v>
      </c>
      <c r="F2747" s="1848">
        <f>LEAD!$N$6</f>
        <v>5200</v>
      </c>
      <c r="G2747" s="1076">
        <v>1000</v>
      </c>
      <c r="H2747" s="1022" t="s">
        <v>1110</v>
      </c>
      <c r="I2747" s="1062">
        <f t="shared" si="648"/>
        <v>171.6</v>
      </c>
      <c r="J2747" s="1022"/>
      <c r="K2747" s="1022"/>
      <c r="L2747" s="1022"/>
      <c r="M2747" s="1066"/>
      <c r="N2747" s="1066"/>
      <c r="O2747" s="997"/>
      <c r="P2747" s="997"/>
      <c r="Q2747" s="997"/>
      <c r="R2747" s="997"/>
      <c r="S2747" s="997"/>
      <c r="T2747" s="997"/>
      <c r="U2747" s="997"/>
      <c r="V2747" s="997"/>
      <c r="W2747" s="997"/>
      <c r="X2747" s="997"/>
      <c r="Y2747" s="997"/>
      <c r="Z2747" s="997"/>
      <c r="AA2747" s="997"/>
      <c r="AB2747" s="997"/>
      <c r="AC2747" s="997"/>
      <c r="AD2747" s="997"/>
      <c r="AE2747" s="997"/>
      <c r="AF2747" s="997"/>
      <c r="AG2747" s="997"/>
      <c r="AH2747" s="997"/>
      <c r="AI2747" s="997"/>
      <c r="AJ2747" s="997"/>
      <c r="AK2747" s="997"/>
      <c r="AL2747" s="997"/>
      <c r="AM2747" s="997"/>
      <c r="AN2747" s="997"/>
      <c r="AO2747" s="997"/>
      <c r="AP2747" s="997"/>
      <c r="AQ2747" s="997"/>
      <c r="AR2747" s="997"/>
      <c r="AS2747" s="997"/>
      <c r="AT2747" s="997"/>
      <c r="AU2747" s="997"/>
      <c r="AV2747" s="997"/>
      <c r="AW2747" s="997"/>
      <c r="AX2747" s="997"/>
      <c r="AY2747" s="997"/>
      <c r="AZ2747" s="997"/>
      <c r="BA2747" s="997"/>
      <c r="BB2747" s="997"/>
      <c r="BC2747" s="997"/>
      <c r="BD2747" s="997"/>
      <c r="BE2747" s="997"/>
      <c r="BF2747" s="997"/>
      <c r="BG2747" s="997"/>
      <c r="BH2747" s="997"/>
      <c r="BI2747" s="997"/>
      <c r="BJ2747" s="997"/>
      <c r="BK2747" s="997"/>
      <c r="BL2747" s="997"/>
    </row>
    <row r="2748" spans="1:64">
      <c r="A2748" s="1058"/>
      <c r="B2748" s="1058"/>
      <c r="C2748" s="1817" t="s">
        <v>1408</v>
      </c>
      <c r="D2748" s="1137">
        <v>2</v>
      </c>
      <c r="E2748" s="1022" t="s">
        <v>1110</v>
      </c>
      <c r="F2748" s="1848">
        <f>'Civil-SOR'!$G$185</f>
        <v>34</v>
      </c>
      <c r="G2748" s="1076">
        <v>1</v>
      </c>
      <c r="H2748" s="1022" t="s">
        <v>97</v>
      </c>
      <c r="I2748" s="1062">
        <f t="shared" si="648"/>
        <v>68</v>
      </c>
      <c r="J2748" s="1022"/>
      <c r="K2748" s="1022"/>
      <c r="L2748" s="1022"/>
      <c r="M2748" s="1066"/>
      <c r="N2748" s="1066"/>
      <c r="O2748" s="997"/>
      <c r="P2748" s="997"/>
      <c r="Q2748" s="997"/>
      <c r="R2748" s="997"/>
      <c r="S2748" s="997"/>
      <c r="T2748" s="997"/>
      <c r="U2748" s="997"/>
      <c r="V2748" s="997"/>
      <c r="W2748" s="997"/>
      <c r="X2748" s="997"/>
      <c r="Y2748" s="997"/>
      <c r="Z2748" s="997"/>
      <c r="AA2748" s="997"/>
      <c r="AB2748" s="997"/>
      <c r="AC2748" s="997"/>
      <c r="AD2748" s="997"/>
      <c r="AE2748" s="997"/>
      <c r="AF2748" s="997"/>
      <c r="AG2748" s="997"/>
      <c r="AH2748" s="997"/>
      <c r="AI2748" s="997"/>
      <c r="AJ2748" s="997"/>
      <c r="AK2748" s="997"/>
      <c r="AL2748" s="997"/>
      <c r="AM2748" s="997"/>
      <c r="AN2748" s="997"/>
      <c r="AO2748" s="997"/>
      <c r="AP2748" s="997"/>
      <c r="AQ2748" s="997"/>
      <c r="AR2748" s="997"/>
      <c r="AS2748" s="997"/>
      <c r="AT2748" s="997"/>
      <c r="AU2748" s="997"/>
      <c r="AV2748" s="997"/>
      <c r="AW2748" s="997"/>
      <c r="AX2748" s="997"/>
      <c r="AY2748" s="997"/>
      <c r="AZ2748" s="997"/>
      <c r="BA2748" s="997"/>
      <c r="BB2748" s="997"/>
      <c r="BC2748" s="997"/>
      <c r="BD2748" s="997"/>
      <c r="BE2748" s="997"/>
      <c r="BF2748" s="997"/>
      <c r="BG2748" s="997"/>
      <c r="BH2748" s="997"/>
      <c r="BI2748" s="997"/>
      <c r="BJ2748" s="997"/>
      <c r="BK2748" s="997"/>
      <c r="BL2748" s="997"/>
    </row>
    <row r="2749" spans="1:64">
      <c r="A2749" s="1058"/>
      <c r="B2749" s="1058"/>
      <c r="C2749" s="1817" t="s">
        <v>1400</v>
      </c>
      <c r="D2749" s="1137">
        <v>0.12</v>
      </c>
      <c r="E2749" s="1022" t="s">
        <v>484</v>
      </c>
      <c r="F2749" s="1848">
        <f>LEAD!$N$13</f>
        <v>2453.91</v>
      </c>
      <c r="G2749" s="1076">
        <v>1</v>
      </c>
      <c r="H2749" s="1022" t="s">
        <v>484</v>
      </c>
      <c r="I2749" s="1062">
        <f t="shared" si="648"/>
        <v>294.46919999999994</v>
      </c>
      <c r="J2749" s="1022"/>
      <c r="K2749" s="1022"/>
      <c r="L2749" s="1022"/>
      <c r="M2749" s="1066"/>
      <c r="N2749" s="1066"/>
      <c r="O2749" s="997"/>
      <c r="P2749" s="997"/>
      <c r="Q2749" s="997"/>
      <c r="R2749" s="997"/>
      <c r="S2749" s="997"/>
      <c r="T2749" s="997"/>
      <c r="U2749" s="997"/>
      <c r="V2749" s="997"/>
      <c r="W2749" s="997"/>
      <c r="X2749" s="997"/>
      <c r="Y2749" s="997"/>
      <c r="Z2749" s="997"/>
      <c r="AA2749" s="997"/>
      <c r="AB2749" s="997"/>
      <c r="AC2749" s="997"/>
      <c r="AD2749" s="997"/>
      <c r="AE2749" s="997"/>
      <c r="AF2749" s="997"/>
      <c r="AG2749" s="997"/>
      <c r="AH2749" s="997"/>
      <c r="AI2749" s="997"/>
      <c r="AJ2749" s="997"/>
      <c r="AK2749" s="997"/>
      <c r="AL2749" s="997"/>
      <c r="AM2749" s="997"/>
      <c r="AN2749" s="997"/>
      <c r="AO2749" s="997"/>
      <c r="AP2749" s="997"/>
      <c r="AQ2749" s="997"/>
      <c r="AR2749" s="997"/>
      <c r="AS2749" s="997"/>
      <c r="AT2749" s="997"/>
      <c r="AU2749" s="997"/>
      <c r="AV2749" s="997"/>
      <c r="AW2749" s="997"/>
      <c r="AX2749" s="997"/>
      <c r="AY2749" s="997"/>
      <c r="AZ2749" s="997"/>
      <c r="BA2749" s="997"/>
      <c r="BB2749" s="997"/>
      <c r="BC2749" s="997"/>
      <c r="BD2749" s="997"/>
      <c r="BE2749" s="997"/>
      <c r="BF2749" s="997"/>
      <c r="BG2749" s="997"/>
      <c r="BH2749" s="997"/>
      <c r="BI2749" s="997"/>
      <c r="BJ2749" s="997"/>
      <c r="BK2749" s="997"/>
      <c r="BL2749" s="997"/>
    </row>
    <row r="2750" spans="1:64">
      <c r="A2750" s="1058"/>
      <c r="B2750" s="1058"/>
      <c r="C2750" s="1816" t="s">
        <v>1324</v>
      </c>
      <c r="D2750" s="1137"/>
      <c r="E2750" s="1022"/>
      <c r="F2750" s="1848"/>
      <c r="G2750" s="1076"/>
      <c r="H2750" s="1022"/>
      <c r="I2750" s="1062"/>
      <c r="J2750" s="1022"/>
      <c r="K2750" s="1022"/>
      <c r="L2750" s="1022"/>
      <c r="M2750" s="1066"/>
      <c r="N2750" s="1066"/>
      <c r="O2750" s="997"/>
      <c r="P2750" s="997"/>
      <c r="Q2750" s="997"/>
      <c r="R2750" s="997"/>
      <c r="S2750" s="997"/>
      <c r="T2750" s="997"/>
      <c r="U2750" s="997"/>
      <c r="V2750" s="997"/>
      <c r="W2750" s="997"/>
      <c r="X2750" s="997"/>
      <c r="Y2750" s="997"/>
      <c r="Z2750" s="997"/>
      <c r="AA2750" s="997"/>
      <c r="AB2750" s="997"/>
      <c r="AC2750" s="997"/>
      <c r="AD2750" s="997"/>
      <c r="AE2750" s="997"/>
      <c r="AF2750" s="997"/>
      <c r="AG2750" s="997"/>
      <c r="AH2750" s="997"/>
      <c r="AI2750" s="997"/>
      <c r="AJ2750" s="997"/>
      <c r="AK2750" s="997"/>
      <c r="AL2750" s="997"/>
      <c r="AM2750" s="997"/>
      <c r="AN2750" s="997"/>
      <c r="AO2750" s="997"/>
      <c r="AP2750" s="997"/>
      <c r="AQ2750" s="997"/>
      <c r="AR2750" s="997"/>
      <c r="AS2750" s="997"/>
      <c r="AT2750" s="997"/>
      <c r="AU2750" s="997"/>
      <c r="AV2750" s="997"/>
      <c r="AW2750" s="997"/>
      <c r="AX2750" s="997"/>
      <c r="AY2750" s="997"/>
      <c r="AZ2750" s="997"/>
      <c r="BA2750" s="997"/>
      <c r="BB2750" s="997"/>
      <c r="BC2750" s="997"/>
      <c r="BD2750" s="997"/>
      <c r="BE2750" s="997"/>
      <c r="BF2750" s="997"/>
      <c r="BG2750" s="997"/>
      <c r="BH2750" s="997"/>
      <c r="BI2750" s="997"/>
      <c r="BJ2750" s="997"/>
      <c r="BK2750" s="997"/>
      <c r="BL2750" s="997"/>
    </row>
    <row r="2751" spans="1:64">
      <c r="A2751" s="1058"/>
      <c r="B2751" s="1058"/>
      <c r="C2751" s="1817" t="s">
        <v>1299</v>
      </c>
      <c r="D2751" s="1137">
        <v>0.96</v>
      </c>
      <c r="E2751" s="1022" t="s">
        <v>955</v>
      </c>
      <c r="F2751" s="1848">
        <f>'Civil-SOR'!$G$293</f>
        <v>580</v>
      </c>
      <c r="G2751" s="1076">
        <v>1</v>
      </c>
      <c r="H2751" s="1022" t="s">
        <v>501</v>
      </c>
      <c r="I2751" s="1062">
        <f t="shared" ref="I2751:I2755" si="649">IF(G2751="",D2751*F2751,(D2751*F2751/G2751))</f>
        <v>556.79999999999995</v>
      </c>
      <c r="J2751" s="1022"/>
      <c r="K2751" s="1022"/>
      <c r="L2751" s="1022"/>
      <c r="M2751" s="1066"/>
      <c r="N2751" s="1066"/>
      <c r="O2751" s="997"/>
      <c r="P2751" s="997"/>
      <c r="Q2751" s="997"/>
      <c r="R2751" s="997"/>
      <c r="S2751" s="997"/>
      <c r="T2751" s="997"/>
      <c r="U2751" s="997"/>
      <c r="V2751" s="997"/>
      <c r="W2751" s="997"/>
      <c r="X2751" s="997"/>
      <c r="Y2751" s="997"/>
      <c r="Z2751" s="997"/>
      <c r="AA2751" s="997"/>
      <c r="AB2751" s="997"/>
      <c r="AC2751" s="997"/>
      <c r="AD2751" s="997"/>
      <c r="AE2751" s="997"/>
      <c r="AF2751" s="997"/>
      <c r="AG2751" s="997"/>
      <c r="AH2751" s="997"/>
      <c r="AI2751" s="997"/>
      <c r="AJ2751" s="997"/>
      <c r="AK2751" s="997"/>
      <c r="AL2751" s="997"/>
      <c r="AM2751" s="997"/>
      <c r="AN2751" s="997"/>
      <c r="AO2751" s="997"/>
      <c r="AP2751" s="997"/>
      <c r="AQ2751" s="997"/>
      <c r="AR2751" s="997"/>
      <c r="AS2751" s="997"/>
      <c r="AT2751" s="997"/>
      <c r="AU2751" s="997"/>
      <c r="AV2751" s="997"/>
      <c r="AW2751" s="997"/>
      <c r="AX2751" s="997"/>
      <c r="AY2751" s="997"/>
      <c r="AZ2751" s="997"/>
      <c r="BA2751" s="997"/>
      <c r="BB2751" s="997"/>
      <c r="BC2751" s="997"/>
      <c r="BD2751" s="997"/>
      <c r="BE2751" s="997"/>
      <c r="BF2751" s="997"/>
      <c r="BG2751" s="997"/>
      <c r="BH2751" s="997"/>
      <c r="BI2751" s="997"/>
      <c r="BJ2751" s="997"/>
      <c r="BK2751" s="997"/>
      <c r="BL2751" s="997"/>
    </row>
    <row r="2752" spans="1:64">
      <c r="A2752" s="1058"/>
      <c r="B2752" s="1058"/>
      <c r="C2752" s="1817" t="s">
        <v>1325</v>
      </c>
      <c r="D2752" s="1137">
        <v>2.2400000000000002</v>
      </c>
      <c r="E2752" s="1022" t="s">
        <v>955</v>
      </c>
      <c r="F2752" s="1848">
        <f>'Civil-SOR'!$G$302</f>
        <v>550</v>
      </c>
      <c r="G2752" s="1076">
        <v>1</v>
      </c>
      <c r="H2752" s="1022" t="s">
        <v>501</v>
      </c>
      <c r="I2752" s="1062">
        <f t="shared" si="649"/>
        <v>1232.0000000000002</v>
      </c>
      <c r="J2752" s="1022"/>
      <c r="K2752" s="1022"/>
      <c r="L2752" s="1022"/>
      <c r="M2752" s="1066"/>
      <c r="N2752" s="1066"/>
      <c r="O2752" s="997"/>
      <c r="P2752" s="997"/>
      <c r="Q2752" s="997"/>
      <c r="R2752" s="997"/>
      <c r="S2752" s="997"/>
      <c r="T2752" s="997"/>
      <c r="U2752" s="997"/>
      <c r="V2752" s="997"/>
      <c r="W2752" s="997"/>
      <c r="X2752" s="997"/>
      <c r="Y2752" s="997"/>
      <c r="Z2752" s="997"/>
      <c r="AA2752" s="997"/>
      <c r="AB2752" s="997"/>
      <c r="AC2752" s="997"/>
      <c r="AD2752" s="997"/>
      <c r="AE2752" s="997"/>
      <c r="AF2752" s="997"/>
      <c r="AG2752" s="997"/>
      <c r="AH2752" s="997"/>
      <c r="AI2752" s="997"/>
      <c r="AJ2752" s="997"/>
      <c r="AK2752" s="997"/>
      <c r="AL2752" s="997"/>
      <c r="AM2752" s="997"/>
      <c r="AN2752" s="997"/>
      <c r="AO2752" s="997"/>
      <c r="AP2752" s="997"/>
      <c r="AQ2752" s="997"/>
      <c r="AR2752" s="997"/>
      <c r="AS2752" s="997"/>
      <c r="AT2752" s="997"/>
      <c r="AU2752" s="997"/>
      <c r="AV2752" s="997"/>
      <c r="AW2752" s="997"/>
      <c r="AX2752" s="997"/>
      <c r="AY2752" s="997"/>
      <c r="AZ2752" s="997"/>
      <c r="BA2752" s="997"/>
      <c r="BB2752" s="997"/>
      <c r="BC2752" s="997"/>
      <c r="BD2752" s="997"/>
      <c r="BE2752" s="997"/>
      <c r="BF2752" s="997"/>
      <c r="BG2752" s="997"/>
      <c r="BH2752" s="997"/>
      <c r="BI2752" s="997"/>
      <c r="BJ2752" s="997"/>
      <c r="BK2752" s="997"/>
      <c r="BL2752" s="997"/>
    </row>
    <row r="2753" spans="1:64">
      <c r="A2753" s="1058"/>
      <c r="B2753" s="1058"/>
      <c r="C2753" s="1817" t="s">
        <v>1401</v>
      </c>
      <c r="D2753" s="1137">
        <v>3.3</v>
      </c>
      <c r="E2753" s="1022" t="s">
        <v>955</v>
      </c>
      <c r="F2753" s="1848">
        <f>'Civil-SOR'!$G$307</f>
        <v>520</v>
      </c>
      <c r="G2753" s="1076">
        <v>1</v>
      </c>
      <c r="H2753" s="1022" t="s">
        <v>501</v>
      </c>
      <c r="I2753" s="1062">
        <f t="shared" si="649"/>
        <v>1716</v>
      </c>
      <c r="J2753" s="1022"/>
      <c r="K2753" s="1022"/>
      <c r="L2753" s="1022"/>
      <c r="M2753" s="1066"/>
      <c r="N2753" s="1066"/>
      <c r="O2753" s="997"/>
      <c r="P2753" s="997"/>
      <c r="Q2753" s="997"/>
      <c r="R2753" s="997"/>
      <c r="S2753" s="997"/>
      <c r="T2753" s="997"/>
      <c r="U2753" s="997"/>
      <c r="V2753" s="997"/>
      <c r="W2753" s="997"/>
      <c r="X2753" s="997"/>
      <c r="Y2753" s="997"/>
      <c r="Z2753" s="997"/>
      <c r="AA2753" s="997"/>
      <c r="AB2753" s="997"/>
      <c r="AC2753" s="997"/>
      <c r="AD2753" s="997"/>
      <c r="AE2753" s="997"/>
      <c r="AF2753" s="997"/>
      <c r="AG2753" s="997"/>
      <c r="AH2753" s="997"/>
      <c r="AI2753" s="997"/>
      <c r="AJ2753" s="997"/>
      <c r="AK2753" s="997"/>
      <c r="AL2753" s="997"/>
      <c r="AM2753" s="997"/>
      <c r="AN2753" s="997"/>
      <c r="AO2753" s="997"/>
      <c r="AP2753" s="997"/>
      <c r="AQ2753" s="997"/>
      <c r="AR2753" s="997"/>
      <c r="AS2753" s="997"/>
      <c r="AT2753" s="997"/>
      <c r="AU2753" s="997"/>
      <c r="AV2753" s="997"/>
      <c r="AW2753" s="997"/>
      <c r="AX2753" s="997"/>
      <c r="AY2753" s="997"/>
      <c r="AZ2753" s="997"/>
      <c r="BA2753" s="997"/>
      <c r="BB2753" s="997"/>
      <c r="BC2753" s="997"/>
      <c r="BD2753" s="997"/>
      <c r="BE2753" s="997"/>
      <c r="BF2753" s="997"/>
      <c r="BG2753" s="997"/>
      <c r="BH2753" s="997"/>
      <c r="BI2753" s="997"/>
      <c r="BJ2753" s="997"/>
      <c r="BK2753" s="997"/>
      <c r="BL2753" s="997"/>
    </row>
    <row r="2754" spans="1:64">
      <c r="A2754" s="1058"/>
      <c r="B2754" s="1058"/>
      <c r="C2754" s="1817" t="str">
        <f>Input!$C$47</f>
        <v>Add for MA @ 40%</v>
      </c>
      <c r="D2754" s="1160">
        <f>Input!$D$47</f>
        <v>0.4</v>
      </c>
      <c r="E2754" s="1022"/>
      <c r="F2754" s="1848">
        <f>SUM(I2751:I2753)</f>
        <v>3504.8</v>
      </c>
      <c r="G2754" s="1076"/>
      <c r="H2754" s="1022"/>
      <c r="I2754" s="1062">
        <f t="shared" si="649"/>
        <v>1401.92</v>
      </c>
      <c r="J2754" s="1022"/>
      <c r="K2754" s="1022"/>
      <c r="L2754" s="1022"/>
      <c r="M2754" s="1066"/>
      <c r="N2754" s="1066"/>
      <c r="O2754" s="997"/>
      <c r="P2754" s="997"/>
      <c r="Q2754" s="997"/>
      <c r="R2754" s="997"/>
      <c r="S2754" s="997"/>
      <c r="T2754" s="997"/>
      <c r="U2754" s="997"/>
      <c r="V2754" s="997"/>
      <c r="W2754" s="997"/>
      <c r="X2754" s="997"/>
      <c r="Y2754" s="997"/>
      <c r="Z2754" s="997"/>
      <c r="AA2754" s="997"/>
      <c r="AB2754" s="997"/>
      <c r="AC2754" s="997"/>
      <c r="AD2754" s="997"/>
      <c r="AE2754" s="997"/>
      <c r="AF2754" s="997"/>
      <c r="AG2754" s="997"/>
      <c r="AH2754" s="997"/>
      <c r="AI2754" s="997"/>
      <c r="AJ2754" s="997"/>
      <c r="AK2754" s="997"/>
      <c r="AL2754" s="997"/>
      <c r="AM2754" s="997"/>
      <c r="AN2754" s="997"/>
      <c r="AO2754" s="997"/>
      <c r="AP2754" s="997"/>
      <c r="AQ2754" s="997"/>
      <c r="AR2754" s="997"/>
      <c r="AS2754" s="997"/>
      <c r="AT2754" s="997"/>
      <c r="AU2754" s="997"/>
      <c r="AV2754" s="997"/>
      <c r="AW2754" s="997"/>
      <c r="AX2754" s="997"/>
      <c r="AY2754" s="997"/>
      <c r="AZ2754" s="997"/>
      <c r="BA2754" s="997"/>
      <c r="BB2754" s="997"/>
      <c r="BC2754" s="997"/>
      <c r="BD2754" s="997"/>
      <c r="BE2754" s="997"/>
      <c r="BF2754" s="997"/>
      <c r="BG2754" s="997"/>
      <c r="BH2754" s="997"/>
      <c r="BI2754" s="997"/>
      <c r="BJ2754" s="997"/>
      <c r="BK2754" s="997"/>
      <c r="BL2754" s="997"/>
    </row>
    <row r="2755" spans="1:64">
      <c r="A2755" s="1058"/>
      <c r="B2755" s="1058"/>
      <c r="C2755" s="1817" t="s">
        <v>1301</v>
      </c>
      <c r="D2755" s="1137">
        <v>0.01</v>
      </c>
      <c r="E2755" s="1022"/>
      <c r="F2755" s="1848">
        <f>SUM(I2745:I2754)</f>
        <v>8976.109199999999</v>
      </c>
      <c r="G2755" s="1076"/>
      <c r="H2755" s="1022"/>
      <c r="I2755" s="1062">
        <f t="shared" si="649"/>
        <v>89.761091999999991</v>
      </c>
      <c r="J2755" s="1022"/>
      <c r="K2755" s="1022"/>
      <c r="L2755" s="1022"/>
      <c r="M2755" s="1066"/>
      <c r="N2755" s="1066"/>
      <c r="O2755" s="997"/>
      <c r="P2755" s="997"/>
      <c r="Q2755" s="997"/>
      <c r="R2755" s="997"/>
      <c r="S2755" s="997"/>
      <c r="T2755" s="997"/>
      <c r="U2755" s="997"/>
      <c r="V2755" s="997"/>
      <c r="W2755" s="997"/>
      <c r="X2755" s="997"/>
      <c r="Y2755" s="997"/>
      <c r="Z2755" s="997"/>
      <c r="AA2755" s="997"/>
      <c r="AB2755" s="997"/>
      <c r="AC2755" s="997"/>
      <c r="AD2755" s="997"/>
      <c r="AE2755" s="997"/>
      <c r="AF2755" s="997"/>
      <c r="AG2755" s="997"/>
      <c r="AH2755" s="997"/>
      <c r="AI2755" s="997"/>
      <c r="AJ2755" s="997"/>
      <c r="AK2755" s="997"/>
      <c r="AL2755" s="997"/>
      <c r="AM2755" s="997"/>
      <c r="AN2755" s="997"/>
      <c r="AO2755" s="997"/>
      <c r="AP2755" s="997"/>
      <c r="AQ2755" s="997"/>
      <c r="AR2755" s="997"/>
      <c r="AS2755" s="997"/>
      <c r="AT2755" s="997"/>
      <c r="AU2755" s="997"/>
      <c r="AV2755" s="997"/>
      <c r="AW2755" s="997"/>
      <c r="AX2755" s="997"/>
      <c r="AY2755" s="997"/>
      <c r="AZ2755" s="997"/>
      <c r="BA2755" s="997"/>
      <c r="BB2755" s="997"/>
      <c r="BC2755" s="997"/>
      <c r="BD2755" s="997"/>
      <c r="BE2755" s="997"/>
      <c r="BF2755" s="997"/>
      <c r="BG2755" s="997"/>
      <c r="BH2755" s="997"/>
      <c r="BI2755" s="997"/>
      <c r="BJ2755" s="997"/>
      <c r="BK2755" s="997"/>
      <c r="BL2755" s="997"/>
    </row>
    <row r="2756" spans="1:64">
      <c r="A2756" s="1086"/>
      <c r="B2756" s="1086"/>
      <c r="C2756" s="1816" t="s">
        <v>1402</v>
      </c>
      <c r="D2756" s="1117"/>
      <c r="E2756" s="996"/>
      <c r="F2756" s="1829"/>
      <c r="G2756" s="1108"/>
      <c r="H2756" s="996"/>
      <c r="I2756" s="1826">
        <f>SUM(I2745:I2755)</f>
        <v>9065.8702919999996</v>
      </c>
      <c r="J2756" s="996"/>
      <c r="K2756" s="996"/>
      <c r="L2756" s="996"/>
      <c r="M2756" s="997"/>
      <c r="N2756" s="997"/>
      <c r="O2756" s="997"/>
      <c r="P2756" s="997"/>
      <c r="Q2756" s="997"/>
      <c r="R2756" s="997"/>
      <c r="S2756" s="997"/>
      <c r="T2756" s="997"/>
      <c r="U2756" s="997"/>
      <c r="V2756" s="997"/>
      <c r="W2756" s="997"/>
      <c r="X2756" s="997"/>
      <c r="Y2756" s="997"/>
      <c r="Z2756" s="997"/>
      <c r="AA2756" s="997"/>
      <c r="AB2756" s="997"/>
      <c r="AC2756" s="997"/>
      <c r="AD2756" s="997"/>
      <c r="AE2756" s="997"/>
      <c r="AF2756" s="997"/>
      <c r="AG2756" s="997"/>
      <c r="AH2756" s="997"/>
      <c r="AI2756" s="997"/>
      <c r="AJ2756" s="997"/>
      <c r="AK2756" s="997"/>
      <c r="AL2756" s="997"/>
      <c r="AM2756" s="997"/>
      <c r="AN2756" s="997"/>
      <c r="AO2756" s="997"/>
      <c r="AP2756" s="997"/>
      <c r="AQ2756" s="997"/>
      <c r="AR2756" s="997"/>
      <c r="AS2756" s="997"/>
      <c r="AT2756" s="997"/>
      <c r="AU2756" s="997"/>
      <c r="AV2756" s="997"/>
      <c r="AW2756" s="997"/>
      <c r="AX2756" s="997"/>
      <c r="AY2756" s="997"/>
      <c r="AZ2756" s="997"/>
      <c r="BA2756" s="997"/>
      <c r="BB2756" s="997"/>
      <c r="BC2756" s="997"/>
      <c r="BD2756" s="997"/>
      <c r="BE2756" s="997"/>
      <c r="BF2756" s="997"/>
      <c r="BG2756" s="997"/>
      <c r="BH2756" s="997"/>
      <c r="BI2756" s="997"/>
      <c r="BJ2756" s="997"/>
      <c r="BK2756" s="997"/>
      <c r="BL2756" s="997"/>
    </row>
    <row r="2757" spans="1:64">
      <c r="A2757" s="1818"/>
      <c r="B2757" s="1818"/>
      <c r="C2757" s="1022"/>
      <c r="D2757" s="1096"/>
      <c r="E2757" s="1846"/>
      <c r="F2757" s="1021"/>
      <c r="G2757" s="1105"/>
      <c r="H2757" s="1846"/>
      <c r="I2757" s="1030"/>
      <c r="J2757" s="1846"/>
      <c r="K2757" s="1846"/>
      <c r="L2757" s="1846"/>
      <c r="O2757" s="997"/>
      <c r="P2757" s="997"/>
      <c r="Q2757" s="997"/>
      <c r="R2757" s="997"/>
      <c r="S2757" s="997"/>
      <c r="T2757" s="997"/>
      <c r="U2757" s="997"/>
      <c r="V2757" s="997"/>
      <c r="W2757" s="997"/>
      <c r="X2757" s="997"/>
      <c r="Y2757" s="997"/>
      <c r="Z2757" s="997"/>
      <c r="AA2757" s="997"/>
      <c r="AB2757" s="997"/>
      <c r="AC2757" s="997"/>
      <c r="AD2757" s="997"/>
      <c r="AE2757" s="997"/>
      <c r="AF2757" s="997"/>
      <c r="AG2757" s="997"/>
      <c r="AH2757" s="997"/>
      <c r="AI2757" s="997"/>
      <c r="AJ2757" s="997"/>
      <c r="AK2757" s="997"/>
      <c r="AL2757" s="997"/>
      <c r="AM2757" s="997"/>
      <c r="AN2757" s="997"/>
      <c r="AO2757" s="997"/>
      <c r="AP2757" s="997"/>
      <c r="AQ2757" s="997"/>
      <c r="AR2757" s="997"/>
      <c r="AS2757" s="997"/>
      <c r="AT2757" s="997"/>
      <c r="AU2757" s="997"/>
      <c r="AV2757" s="997"/>
      <c r="AW2757" s="997"/>
      <c r="AX2757" s="997"/>
      <c r="AY2757" s="997"/>
      <c r="AZ2757" s="997"/>
      <c r="BA2757" s="997"/>
      <c r="BB2757" s="997"/>
      <c r="BC2757" s="997"/>
      <c r="BD2757" s="997"/>
      <c r="BE2757" s="997"/>
      <c r="BF2757" s="997"/>
      <c r="BG2757" s="997"/>
      <c r="BH2757" s="997"/>
      <c r="BI2757" s="997"/>
      <c r="BJ2757" s="997"/>
      <c r="BK2757" s="997"/>
      <c r="BL2757" s="997"/>
    </row>
    <row r="2758" spans="1:64">
      <c r="A2758" s="1818"/>
      <c r="B2758" s="1818"/>
      <c r="C2758" s="1816" t="s">
        <v>1217</v>
      </c>
      <c r="D2758" s="1009" t="s">
        <v>1223</v>
      </c>
      <c r="E2758" s="1114" t="s">
        <v>1207</v>
      </c>
      <c r="F2758" s="1106" t="s">
        <v>1208</v>
      </c>
      <c r="G2758" s="1009" t="s">
        <v>1291</v>
      </c>
      <c r="H2758" s="1009" t="s">
        <v>1292</v>
      </c>
      <c r="I2758" s="1009" t="s">
        <v>1293</v>
      </c>
      <c r="J2758" s="1009"/>
      <c r="K2758" s="1009" t="s">
        <v>1358</v>
      </c>
      <c r="L2758" s="1009" t="s">
        <v>1359</v>
      </c>
      <c r="O2758" s="997"/>
      <c r="P2758" s="997"/>
      <c r="Q2758" s="997"/>
      <c r="R2758" s="997"/>
      <c r="S2758" s="997"/>
      <c r="T2758" s="997"/>
      <c r="U2758" s="997"/>
      <c r="V2758" s="997"/>
      <c r="W2758" s="997"/>
      <c r="X2758" s="997"/>
      <c r="Y2758" s="997"/>
      <c r="Z2758" s="997"/>
      <c r="AA2758" s="997"/>
      <c r="AB2758" s="997"/>
      <c r="AC2758" s="997"/>
      <c r="AD2758" s="997"/>
      <c r="AE2758" s="997"/>
      <c r="AF2758" s="997"/>
      <c r="AG2758" s="997"/>
      <c r="AH2758" s="997"/>
      <c r="AI2758" s="997"/>
      <c r="AJ2758" s="997"/>
      <c r="AK2758" s="997"/>
      <c r="AL2758" s="997"/>
      <c r="AM2758" s="997"/>
      <c r="AN2758" s="997"/>
      <c r="AO2758" s="997"/>
      <c r="AP2758" s="997"/>
      <c r="AQ2758" s="997"/>
      <c r="AR2758" s="997"/>
      <c r="AS2758" s="997"/>
      <c r="AT2758" s="997"/>
      <c r="AU2758" s="997"/>
      <c r="AV2758" s="997"/>
      <c r="AW2758" s="997"/>
      <c r="AX2758" s="997"/>
      <c r="AY2758" s="997"/>
      <c r="AZ2758" s="997"/>
      <c r="BA2758" s="997"/>
      <c r="BB2758" s="997"/>
      <c r="BC2758" s="997"/>
      <c r="BD2758" s="997"/>
      <c r="BE2758" s="997"/>
      <c r="BF2758" s="997"/>
      <c r="BG2758" s="997"/>
      <c r="BH2758" s="997"/>
      <c r="BI2758" s="997"/>
      <c r="BJ2758" s="997"/>
      <c r="BK2758" s="997"/>
      <c r="BL2758" s="997"/>
    </row>
    <row r="2759" spans="1:64">
      <c r="A2759" s="1818"/>
      <c r="B2759" s="1818"/>
      <c r="C2759" s="1817" t="s">
        <v>1317</v>
      </c>
      <c r="D2759" s="1001">
        <f t="shared" ref="D2759:L2759" si="650">$I$2756</f>
        <v>9065.8702919999996</v>
      </c>
      <c r="E2759" s="1001">
        <f t="shared" si="650"/>
        <v>9065.8702919999996</v>
      </c>
      <c r="F2759" s="1001">
        <f t="shared" si="650"/>
        <v>9065.8702919999996</v>
      </c>
      <c r="G2759" s="1001">
        <f t="shared" si="650"/>
        <v>9065.8702919999996</v>
      </c>
      <c r="H2759" s="1001">
        <f t="shared" si="650"/>
        <v>9065.8702919999996</v>
      </c>
      <c r="I2759" s="1001">
        <f t="shared" si="650"/>
        <v>9065.8702919999996</v>
      </c>
      <c r="J2759" s="1001"/>
      <c r="K2759" s="1001">
        <f t="shared" si="650"/>
        <v>9065.8702919999996</v>
      </c>
      <c r="L2759" s="1001">
        <f t="shared" si="650"/>
        <v>9065.8702919999996</v>
      </c>
      <c r="O2759" s="997"/>
      <c r="P2759" s="997"/>
      <c r="Q2759" s="997"/>
      <c r="R2759" s="997"/>
      <c r="S2759" s="997"/>
      <c r="T2759" s="997"/>
      <c r="U2759" s="997"/>
      <c r="V2759" s="997"/>
      <c r="W2759" s="997"/>
      <c r="X2759" s="997"/>
      <c r="Y2759" s="997"/>
      <c r="Z2759" s="997"/>
      <c r="AA2759" s="997"/>
      <c r="AB2759" s="997"/>
      <c r="AC2759" s="997"/>
      <c r="AD2759" s="997"/>
      <c r="AE2759" s="997"/>
      <c r="AF2759" s="997"/>
      <c r="AG2759" s="997"/>
      <c r="AH2759" s="997"/>
      <c r="AI2759" s="997"/>
      <c r="AJ2759" s="997"/>
      <c r="AK2759" s="997"/>
      <c r="AL2759" s="997"/>
      <c r="AM2759" s="997"/>
      <c r="AN2759" s="997"/>
      <c r="AO2759" s="997"/>
      <c r="AP2759" s="997"/>
      <c r="AQ2759" s="997"/>
      <c r="AR2759" s="997"/>
      <c r="AS2759" s="997"/>
      <c r="AT2759" s="997"/>
      <c r="AU2759" s="997"/>
      <c r="AV2759" s="997"/>
      <c r="AW2759" s="997"/>
      <c r="AX2759" s="997"/>
      <c r="AY2759" s="997"/>
      <c r="AZ2759" s="997"/>
      <c r="BA2759" s="997"/>
      <c r="BB2759" s="997"/>
      <c r="BC2759" s="997"/>
      <c r="BD2759" s="997"/>
      <c r="BE2759" s="997"/>
      <c r="BF2759" s="997"/>
      <c r="BG2759" s="997"/>
      <c r="BH2759" s="997"/>
      <c r="BI2759" s="997"/>
      <c r="BJ2759" s="997"/>
      <c r="BK2759" s="997"/>
      <c r="BL2759" s="997"/>
    </row>
    <row r="2760" spans="1:64">
      <c r="A2760" s="1818"/>
      <c r="B2760" s="1818"/>
      <c r="C2760" s="1817" t="s">
        <v>1253</v>
      </c>
      <c r="D2760" s="1001">
        <v>0</v>
      </c>
      <c r="E2760" s="1001">
        <f>ROUND($F$2754*10%,2)</f>
        <v>350.48</v>
      </c>
      <c r="F2760" s="1001">
        <f>ROUND($F$2754*20%,2)</f>
        <v>700.96</v>
      </c>
      <c r="G2760" s="1001">
        <f>ROUND($F$2754*30%,2)</f>
        <v>1051.44</v>
      </c>
      <c r="H2760" s="1001">
        <f>ROUND($F$2754*40%,2)</f>
        <v>1401.92</v>
      </c>
      <c r="I2760" s="1001">
        <f>ROUND($F$2754*50%,2)</f>
        <v>1752.4</v>
      </c>
      <c r="J2760" s="1001"/>
      <c r="K2760" s="1001">
        <f>ROUND($F$2754*70%,2)</f>
        <v>2453.36</v>
      </c>
      <c r="L2760" s="1001">
        <f>ROUND($F$2754*80%,2)</f>
        <v>2803.84</v>
      </c>
      <c r="O2760" s="997"/>
      <c r="P2760" s="997"/>
      <c r="Q2760" s="997"/>
      <c r="R2760" s="997"/>
      <c r="S2760" s="997"/>
      <c r="T2760" s="997"/>
      <c r="U2760" s="997"/>
      <c r="V2760" s="997"/>
      <c r="W2760" s="997"/>
      <c r="X2760" s="997"/>
      <c r="Y2760" s="997"/>
      <c r="Z2760" s="997"/>
      <c r="AA2760" s="997"/>
      <c r="AB2760" s="997"/>
      <c r="AC2760" s="997"/>
      <c r="AD2760" s="997"/>
      <c r="AE2760" s="997"/>
      <c r="AF2760" s="997"/>
      <c r="AG2760" s="997"/>
      <c r="AH2760" s="997"/>
      <c r="AI2760" s="997"/>
      <c r="AJ2760" s="997"/>
      <c r="AK2760" s="997"/>
      <c r="AL2760" s="997"/>
      <c r="AM2760" s="997"/>
      <c r="AN2760" s="997"/>
      <c r="AO2760" s="997"/>
      <c r="AP2760" s="997"/>
      <c r="AQ2760" s="997"/>
      <c r="AR2760" s="997"/>
      <c r="AS2760" s="997"/>
      <c r="AT2760" s="997"/>
      <c r="AU2760" s="997"/>
      <c r="AV2760" s="997"/>
      <c r="AW2760" s="997"/>
      <c r="AX2760" s="997"/>
      <c r="AY2760" s="997"/>
      <c r="AZ2760" s="997"/>
      <c r="BA2760" s="997"/>
      <c r="BB2760" s="997"/>
      <c r="BC2760" s="997"/>
      <c r="BD2760" s="997"/>
      <c r="BE2760" s="997"/>
      <c r="BF2760" s="997"/>
      <c r="BG2760" s="997"/>
      <c r="BH2760" s="997"/>
      <c r="BI2760" s="997"/>
      <c r="BJ2760" s="997"/>
      <c r="BK2760" s="997"/>
      <c r="BL2760" s="997"/>
    </row>
    <row r="2761" spans="1:64">
      <c r="A2761" s="1818"/>
      <c r="B2761" s="1818"/>
      <c r="C2761" s="1817" t="str">
        <f>Input!$C$47</f>
        <v>Add for MA @ 40%</v>
      </c>
      <c r="D2761" s="1001">
        <f>D2760*Input!$D$47</f>
        <v>0</v>
      </c>
      <c r="E2761" s="1001">
        <f>E2760*Input!$D$47</f>
        <v>140.19200000000001</v>
      </c>
      <c r="F2761" s="1001">
        <f>F2760*Input!$D$47</f>
        <v>280.38400000000001</v>
      </c>
      <c r="G2761" s="1001">
        <f>G2760*Input!$D$47</f>
        <v>420.57600000000002</v>
      </c>
      <c r="H2761" s="1001">
        <f>H2760*Input!$D$47</f>
        <v>560.76800000000003</v>
      </c>
      <c r="I2761" s="1001">
        <f>I2760*Input!$D$47</f>
        <v>700.96</v>
      </c>
      <c r="J2761" s="1001"/>
      <c r="K2761" s="1001">
        <f>K2760*Input!$D$47</f>
        <v>981.34400000000005</v>
      </c>
      <c r="L2761" s="1001">
        <f>L2760*Input!$D$47</f>
        <v>1121.5360000000001</v>
      </c>
      <c r="O2761" s="997"/>
      <c r="P2761" s="997"/>
      <c r="Q2761" s="997"/>
      <c r="R2761" s="997"/>
      <c r="S2761" s="997"/>
      <c r="T2761" s="997"/>
      <c r="U2761" s="997"/>
      <c r="V2761" s="997"/>
      <c r="W2761" s="997"/>
      <c r="X2761" s="997"/>
      <c r="Y2761" s="997"/>
      <c r="Z2761" s="997"/>
      <c r="AA2761" s="997"/>
      <c r="AB2761" s="997"/>
      <c r="AC2761" s="997"/>
      <c r="AD2761" s="997"/>
      <c r="AE2761" s="997"/>
      <c r="AF2761" s="997"/>
      <c r="AG2761" s="997"/>
      <c r="AH2761" s="997"/>
      <c r="AI2761" s="997"/>
      <c r="AJ2761" s="997"/>
      <c r="AK2761" s="997"/>
      <c r="AL2761" s="997"/>
      <c r="AM2761" s="997"/>
      <c r="AN2761" s="997"/>
      <c r="AO2761" s="997"/>
      <c r="AP2761" s="997"/>
      <c r="AQ2761" s="997"/>
      <c r="AR2761" s="997"/>
      <c r="AS2761" s="997"/>
      <c r="AT2761" s="997"/>
      <c r="AU2761" s="997"/>
      <c r="AV2761" s="997"/>
      <c r="AW2761" s="997"/>
      <c r="AX2761" s="997"/>
      <c r="AY2761" s="997"/>
      <c r="AZ2761" s="997"/>
      <c r="BA2761" s="997"/>
      <c r="BB2761" s="997"/>
      <c r="BC2761" s="997"/>
      <c r="BD2761" s="997"/>
      <c r="BE2761" s="997"/>
      <c r="BF2761" s="997"/>
      <c r="BG2761" s="997"/>
      <c r="BH2761" s="997"/>
      <c r="BI2761" s="997"/>
      <c r="BJ2761" s="997"/>
      <c r="BK2761" s="997"/>
      <c r="BL2761" s="997"/>
    </row>
    <row r="2762" spans="1:64">
      <c r="A2762" s="1818"/>
      <c r="B2762" s="1818"/>
      <c r="C2762" s="1022"/>
      <c r="D2762" s="1001">
        <f t="shared" ref="D2762:L2762" si="651">SUM(D2759:D2761)</f>
        <v>9065.8702919999996</v>
      </c>
      <c r="E2762" s="1001">
        <f t="shared" si="651"/>
        <v>9556.5422919999983</v>
      </c>
      <c r="F2762" s="1001">
        <f t="shared" si="651"/>
        <v>10047.214291999999</v>
      </c>
      <c r="G2762" s="1001">
        <f t="shared" si="651"/>
        <v>10537.886291999999</v>
      </c>
      <c r="H2762" s="1001">
        <f t="shared" si="651"/>
        <v>11028.558292</v>
      </c>
      <c r="I2762" s="1001">
        <f t="shared" si="651"/>
        <v>11519.230292</v>
      </c>
      <c r="J2762" s="1001"/>
      <c r="K2762" s="1001">
        <f t="shared" si="651"/>
        <v>12500.574292000001</v>
      </c>
      <c r="L2762" s="1001">
        <f t="shared" si="651"/>
        <v>12991.246292</v>
      </c>
      <c r="O2762" s="997"/>
      <c r="P2762" s="997"/>
      <c r="Q2762" s="997"/>
      <c r="R2762" s="997"/>
      <c r="S2762" s="997"/>
      <c r="T2762" s="997"/>
      <c r="U2762" s="997"/>
      <c r="V2762" s="997"/>
      <c r="W2762" s="997"/>
      <c r="X2762" s="997"/>
      <c r="Y2762" s="997"/>
      <c r="Z2762" s="997"/>
      <c r="AA2762" s="997"/>
      <c r="AB2762" s="997"/>
      <c r="AC2762" s="997"/>
      <c r="AD2762" s="997"/>
      <c r="AE2762" s="997"/>
      <c r="AF2762" s="997"/>
      <c r="AG2762" s="997"/>
      <c r="AH2762" s="997"/>
      <c r="AI2762" s="997"/>
      <c r="AJ2762" s="997"/>
      <c r="AK2762" s="997"/>
      <c r="AL2762" s="997"/>
      <c r="AM2762" s="997"/>
      <c r="AN2762" s="997"/>
      <c r="AO2762" s="997"/>
      <c r="AP2762" s="997"/>
      <c r="AQ2762" s="997"/>
      <c r="AR2762" s="997"/>
      <c r="AS2762" s="997"/>
      <c r="AT2762" s="997"/>
      <c r="AU2762" s="997"/>
      <c r="AV2762" s="997"/>
      <c r="AW2762" s="997"/>
      <c r="AX2762" s="997"/>
      <c r="AY2762" s="997"/>
      <c r="AZ2762" s="997"/>
      <c r="BA2762" s="997"/>
      <c r="BB2762" s="997"/>
      <c r="BC2762" s="997"/>
      <c r="BD2762" s="997"/>
      <c r="BE2762" s="997"/>
      <c r="BF2762" s="997"/>
      <c r="BG2762" s="997"/>
      <c r="BH2762" s="997"/>
      <c r="BI2762" s="997"/>
      <c r="BJ2762" s="997"/>
      <c r="BK2762" s="997"/>
      <c r="BL2762" s="997"/>
    </row>
    <row r="2763" spans="1:64">
      <c r="A2763" s="1818"/>
      <c r="B2763" s="1818"/>
      <c r="C2763" s="1817" t="str">
        <f>Input!$C$48</f>
        <v>Overheads &amp; Contractors Profit @ 13.615%</v>
      </c>
      <c r="D2763" s="1001">
        <f>ROUND(D2762*Input!$D$48,2)</f>
        <v>1234.32</v>
      </c>
      <c r="E2763" s="1001">
        <f>ROUND(E2762*Input!$D$48,2)</f>
        <v>1301.1199999999999</v>
      </c>
      <c r="F2763" s="1001">
        <f>ROUND(F2762*Input!$D$48,2)</f>
        <v>1367.93</v>
      </c>
      <c r="G2763" s="1001">
        <f>ROUND(G2762*Input!$D$48,2)</f>
        <v>1434.73</v>
      </c>
      <c r="H2763" s="1001">
        <f>ROUND(H2762*Input!$D$48,2)</f>
        <v>1501.54</v>
      </c>
      <c r="I2763" s="1001">
        <f>ROUND(I2762*Input!$D$48,2)</f>
        <v>1568.34</v>
      </c>
      <c r="J2763" s="1001"/>
      <c r="K2763" s="1001">
        <f>ROUND(K2762*Input!$D$48,2)</f>
        <v>1701.95</v>
      </c>
      <c r="L2763" s="1001">
        <f>ROUND(L2762*Input!$D$48,2)</f>
        <v>1768.76</v>
      </c>
      <c r="O2763" s="997"/>
      <c r="P2763" s="997"/>
      <c r="Q2763" s="997"/>
      <c r="R2763" s="997"/>
      <c r="S2763" s="997"/>
      <c r="T2763" s="997"/>
      <c r="U2763" s="997"/>
      <c r="V2763" s="997"/>
      <c r="W2763" s="997"/>
      <c r="X2763" s="997"/>
      <c r="Y2763" s="997"/>
      <c r="Z2763" s="997"/>
      <c r="AA2763" s="997"/>
      <c r="AB2763" s="997"/>
      <c r="AC2763" s="997"/>
      <c r="AD2763" s="997"/>
      <c r="AE2763" s="997"/>
      <c r="AF2763" s="997"/>
      <c r="AG2763" s="997"/>
      <c r="AH2763" s="997"/>
      <c r="AI2763" s="997"/>
      <c r="AJ2763" s="997"/>
      <c r="AK2763" s="997"/>
      <c r="AL2763" s="997"/>
      <c r="AM2763" s="997"/>
      <c r="AN2763" s="997"/>
      <c r="AO2763" s="997"/>
      <c r="AP2763" s="997"/>
      <c r="AQ2763" s="997"/>
      <c r="AR2763" s="997"/>
      <c r="AS2763" s="997"/>
      <c r="AT2763" s="997"/>
      <c r="AU2763" s="997"/>
      <c r="AV2763" s="997"/>
      <c r="AW2763" s="997"/>
      <c r="AX2763" s="997"/>
      <c r="AY2763" s="997"/>
      <c r="AZ2763" s="997"/>
      <c r="BA2763" s="997"/>
      <c r="BB2763" s="997"/>
      <c r="BC2763" s="997"/>
      <c r="BD2763" s="997"/>
      <c r="BE2763" s="997"/>
      <c r="BF2763" s="997"/>
      <c r="BG2763" s="997"/>
      <c r="BH2763" s="997"/>
      <c r="BI2763" s="997"/>
      <c r="BJ2763" s="997"/>
      <c r="BK2763" s="997"/>
      <c r="BL2763" s="997"/>
    </row>
    <row r="2764" spans="1:64">
      <c r="A2764" s="1818"/>
      <c r="B2764" s="1818"/>
      <c r="C2764" s="1816" t="s">
        <v>1302</v>
      </c>
      <c r="D2764" s="1001">
        <f t="shared" ref="D2764:L2764" si="652">SUM(D2762:D2763)</f>
        <v>10300.190291999999</v>
      </c>
      <c r="E2764" s="1001">
        <f t="shared" si="652"/>
        <v>10857.662291999997</v>
      </c>
      <c r="F2764" s="1001">
        <f t="shared" si="652"/>
        <v>11415.144291999999</v>
      </c>
      <c r="G2764" s="1001">
        <f t="shared" si="652"/>
        <v>11972.616291999999</v>
      </c>
      <c r="H2764" s="1001">
        <f t="shared" si="652"/>
        <v>12530.098291999999</v>
      </c>
      <c r="I2764" s="1001">
        <f t="shared" si="652"/>
        <v>13087.570292</v>
      </c>
      <c r="J2764" s="1001"/>
      <c r="K2764" s="1001">
        <f t="shared" si="652"/>
        <v>14202.524292000002</v>
      </c>
      <c r="L2764" s="1001">
        <f t="shared" si="652"/>
        <v>14760.006292</v>
      </c>
      <c r="O2764" s="997"/>
      <c r="P2764" s="997"/>
      <c r="Q2764" s="997"/>
      <c r="R2764" s="997"/>
      <c r="S2764" s="997"/>
      <c r="T2764" s="997"/>
      <c r="U2764" s="997"/>
      <c r="V2764" s="997"/>
      <c r="W2764" s="997"/>
      <c r="X2764" s="997"/>
      <c r="Y2764" s="997"/>
      <c r="Z2764" s="997"/>
      <c r="AA2764" s="997"/>
      <c r="AB2764" s="997"/>
      <c r="AC2764" s="997"/>
      <c r="AD2764" s="997"/>
      <c r="AE2764" s="997"/>
      <c r="AF2764" s="997"/>
      <c r="AG2764" s="997"/>
      <c r="AH2764" s="997"/>
      <c r="AI2764" s="997"/>
      <c r="AJ2764" s="997"/>
      <c r="AK2764" s="997"/>
      <c r="AL2764" s="997"/>
      <c r="AM2764" s="997"/>
      <c r="AN2764" s="997"/>
      <c r="AO2764" s="997"/>
      <c r="AP2764" s="997"/>
      <c r="AQ2764" s="997"/>
      <c r="AR2764" s="997"/>
      <c r="AS2764" s="997"/>
      <c r="AT2764" s="997"/>
      <c r="AU2764" s="997"/>
      <c r="AV2764" s="997"/>
      <c r="AW2764" s="997"/>
      <c r="AX2764" s="997"/>
      <c r="AY2764" s="997"/>
      <c r="AZ2764" s="997"/>
      <c r="BA2764" s="997"/>
      <c r="BB2764" s="997"/>
      <c r="BC2764" s="997"/>
      <c r="BD2764" s="997"/>
      <c r="BE2764" s="997"/>
      <c r="BF2764" s="997"/>
      <c r="BG2764" s="997"/>
      <c r="BH2764" s="997"/>
      <c r="BI2764" s="997"/>
      <c r="BJ2764" s="997"/>
      <c r="BK2764" s="997"/>
      <c r="BL2764" s="997"/>
    </row>
    <row r="2765" spans="1:64">
      <c r="A2765" s="1818"/>
      <c r="B2765" s="1818"/>
      <c r="C2765" s="1816" t="s">
        <v>1117</v>
      </c>
      <c r="D2765" s="1009">
        <f t="shared" ref="D2765:L2765" si="653">D2764/10</f>
        <v>1030.0190292</v>
      </c>
      <c r="E2765" s="1009">
        <f t="shared" si="653"/>
        <v>1085.7662291999998</v>
      </c>
      <c r="F2765" s="1009">
        <f t="shared" si="653"/>
        <v>1141.5144292</v>
      </c>
      <c r="G2765" s="1009">
        <f t="shared" si="653"/>
        <v>1197.2616291999998</v>
      </c>
      <c r="H2765" s="1009">
        <f t="shared" si="653"/>
        <v>1253.0098291999998</v>
      </c>
      <c r="I2765" s="1009">
        <f t="shared" si="653"/>
        <v>1308.7570292</v>
      </c>
      <c r="J2765" s="1009"/>
      <c r="K2765" s="1009">
        <f t="shared" si="653"/>
        <v>1420.2524292000003</v>
      </c>
      <c r="L2765" s="1009">
        <f t="shared" si="653"/>
        <v>1476.0006292</v>
      </c>
      <c r="O2765" s="997"/>
      <c r="P2765" s="997"/>
      <c r="Q2765" s="997"/>
      <c r="R2765" s="997"/>
      <c r="S2765" s="997"/>
      <c r="T2765" s="997"/>
      <c r="U2765" s="997"/>
      <c r="V2765" s="997"/>
      <c r="W2765" s="997"/>
      <c r="X2765" s="997"/>
      <c r="Y2765" s="997"/>
      <c r="Z2765" s="997"/>
      <c r="AA2765" s="997"/>
      <c r="AB2765" s="997"/>
      <c r="AC2765" s="997"/>
      <c r="AD2765" s="997"/>
      <c r="AE2765" s="997"/>
      <c r="AF2765" s="997"/>
      <c r="AG2765" s="997"/>
      <c r="AH2765" s="997"/>
      <c r="AI2765" s="997"/>
      <c r="AJ2765" s="997"/>
      <c r="AK2765" s="997"/>
      <c r="AL2765" s="997"/>
      <c r="AM2765" s="997"/>
      <c r="AN2765" s="997"/>
      <c r="AO2765" s="997"/>
      <c r="AP2765" s="997"/>
      <c r="AQ2765" s="997"/>
      <c r="AR2765" s="997"/>
      <c r="AS2765" s="997"/>
      <c r="AT2765" s="997"/>
      <c r="AU2765" s="997"/>
      <c r="AV2765" s="997"/>
      <c r="AW2765" s="997"/>
      <c r="AX2765" s="997"/>
      <c r="AY2765" s="997"/>
      <c r="AZ2765" s="997"/>
      <c r="BA2765" s="997"/>
      <c r="BB2765" s="997"/>
      <c r="BC2765" s="997"/>
      <c r="BD2765" s="997"/>
      <c r="BE2765" s="997"/>
      <c r="BF2765" s="997"/>
      <c r="BG2765" s="997"/>
      <c r="BH2765" s="997"/>
      <c r="BI2765" s="997"/>
      <c r="BJ2765" s="997"/>
      <c r="BK2765" s="997"/>
      <c r="BL2765" s="997"/>
    </row>
    <row r="2766" spans="1:64">
      <c r="A2766" s="1086"/>
      <c r="B2766" s="1086"/>
      <c r="C2766" s="1843" t="s">
        <v>1034</v>
      </c>
      <c r="D2766" s="999">
        <f t="shared" ref="D2766:L2766" si="654">ROUND(D2765,0)</f>
        <v>1030</v>
      </c>
      <c r="E2766" s="999">
        <f t="shared" si="654"/>
        <v>1086</v>
      </c>
      <c r="F2766" s="999">
        <f t="shared" si="654"/>
        <v>1142</v>
      </c>
      <c r="G2766" s="999">
        <f t="shared" si="654"/>
        <v>1197</v>
      </c>
      <c r="H2766" s="999">
        <f t="shared" si="654"/>
        <v>1253</v>
      </c>
      <c r="I2766" s="999">
        <f t="shared" si="654"/>
        <v>1309</v>
      </c>
      <c r="J2766" s="999"/>
      <c r="K2766" s="999">
        <f t="shared" si="654"/>
        <v>1420</v>
      </c>
      <c r="L2766" s="999">
        <f t="shared" si="654"/>
        <v>1476</v>
      </c>
      <c r="M2766" s="997"/>
      <c r="N2766" s="997"/>
      <c r="O2766" s="997"/>
      <c r="P2766" s="997"/>
      <c r="Q2766" s="997"/>
      <c r="R2766" s="997"/>
      <c r="S2766" s="997"/>
      <c r="T2766" s="997"/>
      <c r="U2766" s="997"/>
      <c r="V2766" s="997"/>
      <c r="W2766" s="997"/>
      <c r="X2766" s="997"/>
      <c r="Y2766" s="997"/>
      <c r="Z2766" s="997"/>
      <c r="AA2766" s="997"/>
      <c r="AB2766" s="997"/>
      <c r="AC2766" s="997"/>
      <c r="AD2766" s="997"/>
      <c r="AE2766" s="997"/>
      <c r="AF2766" s="997"/>
      <c r="AG2766" s="997"/>
      <c r="AH2766" s="997"/>
      <c r="AI2766" s="997"/>
      <c r="AJ2766" s="997"/>
      <c r="AK2766" s="997"/>
      <c r="AL2766" s="997"/>
      <c r="AM2766" s="997"/>
      <c r="AN2766" s="997"/>
      <c r="AO2766" s="997"/>
      <c r="AP2766" s="997"/>
      <c r="AQ2766" s="997"/>
      <c r="AR2766" s="997"/>
      <c r="AS2766" s="997"/>
      <c r="AT2766" s="997"/>
      <c r="AU2766" s="997"/>
      <c r="AV2766" s="997"/>
      <c r="AW2766" s="997"/>
      <c r="AX2766" s="997"/>
      <c r="AY2766" s="997"/>
      <c r="AZ2766" s="997"/>
      <c r="BA2766" s="997"/>
      <c r="BB2766" s="997"/>
      <c r="BC2766" s="997"/>
      <c r="BD2766" s="997"/>
      <c r="BE2766" s="997"/>
      <c r="BF2766" s="997"/>
      <c r="BG2766" s="997"/>
      <c r="BH2766" s="997"/>
      <c r="BI2766" s="997"/>
      <c r="BJ2766" s="997"/>
      <c r="BK2766" s="997"/>
      <c r="BL2766" s="997"/>
    </row>
    <row r="2767" spans="1:64" ht="145.5" customHeight="1">
      <c r="A2767" s="1818">
        <f>A2715+1</f>
        <v>34</v>
      </c>
      <c r="B2767" s="1818"/>
      <c r="C2767" s="2036" t="s">
        <v>3425</v>
      </c>
      <c r="D2767" s="2036"/>
      <c r="E2767" s="2036"/>
      <c r="F2767" s="2036"/>
      <c r="G2767" s="2036"/>
      <c r="H2767" s="2036"/>
      <c r="I2767" s="1825"/>
      <c r="J2767" s="1846"/>
      <c r="K2767" s="1846"/>
      <c r="L2767" s="1846"/>
    </row>
    <row r="2768" spans="1:64">
      <c r="A2768" s="1818"/>
      <c r="B2768" s="1818"/>
      <c r="C2768" s="1049" t="s">
        <v>1414</v>
      </c>
      <c r="D2768" s="1846"/>
      <c r="E2768" s="1846"/>
      <c r="F2768" s="1068"/>
      <c r="G2768" s="1846"/>
      <c r="H2768" s="1846"/>
      <c r="I2768" s="1021"/>
      <c r="J2768" s="1846"/>
      <c r="K2768" s="1846"/>
      <c r="L2768" s="1846"/>
    </row>
    <row r="2769" spans="1:64">
      <c r="A2769" s="1818"/>
      <c r="B2769" s="1818"/>
      <c r="C2769" s="1820" t="s">
        <v>1394</v>
      </c>
      <c r="D2769" s="1846"/>
      <c r="E2769" s="1846"/>
      <c r="F2769" s="1068"/>
      <c r="G2769" s="1846"/>
      <c r="H2769" s="1846"/>
      <c r="I2769" s="1021"/>
      <c r="J2769" s="1846"/>
      <c r="K2769" s="1846"/>
      <c r="L2769" s="1846"/>
    </row>
    <row r="2770" spans="1:64">
      <c r="A2770" s="1818"/>
      <c r="B2770" s="1818"/>
      <c r="C2770" s="1825" t="s">
        <v>1395</v>
      </c>
      <c r="D2770" s="1096"/>
      <c r="E2770" s="1846"/>
      <c r="F2770" s="1021"/>
      <c r="G2770" s="1105"/>
      <c r="H2770" s="1846"/>
      <c r="I2770" s="1030"/>
      <c r="J2770" s="1846"/>
      <c r="K2770" s="1846"/>
      <c r="L2770" s="1846"/>
    </row>
    <row r="2771" spans="1:64" ht="25.5">
      <c r="A2771" s="1058"/>
      <c r="B2771" s="1058"/>
      <c r="C2771" s="1817" t="s">
        <v>1415</v>
      </c>
      <c r="D2771" s="1137">
        <v>10.5</v>
      </c>
      <c r="E2771" s="1022" t="s">
        <v>46</v>
      </c>
      <c r="F2771" s="1848">
        <f>'Civil-SOR'!$G$18</f>
        <v>443</v>
      </c>
      <c r="G2771" s="1076">
        <v>1</v>
      </c>
      <c r="H2771" s="1022" t="s">
        <v>46</v>
      </c>
      <c r="I2771" s="1062">
        <f t="shared" ref="I2771:I2775" si="655">IF(G2771="",D2771*F2771,(D2771*F2771/G2771))</f>
        <v>4651.5</v>
      </c>
      <c r="J2771" s="1022"/>
      <c r="K2771" s="1022"/>
      <c r="L2771" s="1022"/>
      <c r="M2771" s="1066">
        <v>4651.5</v>
      </c>
      <c r="N2771" s="1066"/>
      <c r="O2771" s="1066"/>
      <c r="P2771" s="1066"/>
      <c r="Q2771" s="1066"/>
      <c r="R2771" s="1066"/>
      <c r="S2771" s="1066"/>
      <c r="T2771" s="1066"/>
      <c r="U2771" s="1066"/>
      <c r="V2771" s="1066"/>
      <c r="W2771" s="1066"/>
      <c r="X2771" s="1066"/>
      <c r="Y2771" s="1066"/>
      <c r="Z2771" s="1066"/>
      <c r="AA2771" s="1066"/>
      <c r="AB2771" s="1066"/>
      <c r="AC2771" s="1066"/>
      <c r="AD2771" s="1066"/>
      <c r="AE2771" s="1066"/>
      <c r="AF2771" s="1066"/>
      <c r="AG2771" s="1066"/>
      <c r="AH2771" s="1066"/>
      <c r="AI2771" s="1066"/>
      <c r="AJ2771" s="1066"/>
      <c r="AK2771" s="1066"/>
      <c r="AL2771" s="1066"/>
      <c r="AM2771" s="1066"/>
      <c r="AN2771" s="1066"/>
      <c r="AO2771" s="1066"/>
      <c r="AP2771" s="1066"/>
      <c r="AQ2771" s="1066"/>
      <c r="AR2771" s="1066"/>
      <c r="AS2771" s="1066"/>
      <c r="AT2771" s="1066"/>
      <c r="AU2771" s="1066"/>
      <c r="AV2771" s="1066"/>
      <c r="AW2771" s="1066"/>
      <c r="AX2771" s="1066"/>
      <c r="AY2771" s="1066"/>
      <c r="AZ2771" s="1066"/>
      <c r="BA2771" s="1066"/>
      <c r="BB2771" s="1066"/>
      <c r="BC2771" s="1066"/>
      <c r="BD2771" s="1066"/>
      <c r="BE2771" s="1066"/>
      <c r="BF2771" s="1066"/>
      <c r="BG2771" s="1066"/>
      <c r="BH2771" s="1066"/>
      <c r="BI2771" s="1066"/>
      <c r="BJ2771" s="1066"/>
      <c r="BK2771" s="1066"/>
      <c r="BL2771" s="1066"/>
    </row>
    <row r="2772" spans="1:64">
      <c r="A2772" s="1058"/>
      <c r="B2772" s="1058"/>
      <c r="C2772" s="1817" t="s">
        <v>1410</v>
      </c>
      <c r="D2772" s="1137">
        <v>21.6</v>
      </c>
      <c r="E2772" s="1022" t="s">
        <v>1110</v>
      </c>
      <c r="F2772" s="1848">
        <f>LEAD!$N$6</f>
        <v>5200</v>
      </c>
      <c r="G2772" s="1076">
        <v>1000</v>
      </c>
      <c r="H2772" s="1022" t="s">
        <v>1110</v>
      </c>
      <c r="I2772" s="1062">
        <f t="shared" si="655"/>
        <v>112.32000000000002</v>
      </c>
      <c r="J2772" s="1022"/>
      <c r="K2772" s="1022"/>
      <c r="L2772" s="1022"/>
      <c r="M2772" s="1066">
        <v>120.96000000000001</v>
      </c>
      <c r="N2772" s="1066"/>
      <c r="O2772" s="1066"/>
      <c r="P2772" s="1066"/>
      <c r="Q2772" s="1066"/>
      <c r="R2772" s="1066"/>
      <c r="S2772" s="1066"/>
      <c r="T2772" s="1066"/>
      <c r="U2772" s="1066"/>
      <c r="V2772" s="1066"/>
      <c r="W2772" s="1066"/>
      <c r="X2772" s="1066"/>
      <c r="Y2772" s="1066"/>
      <c r="Z2772" s="1066"/>
      <c r="AA2772" s="1066"/>
      <c r="AB2772" s="1066"/>
      <c r="AC2772" s="1066"/>
      <c r="AD2772" s="1066"/>
      <c r="AE2772" s="1066"/>
      <c r="AF2772" s="1066"/>
      <c r="AG2772" s="1066"/>
      <c r="AH2772" s="1066"/>
      <c r="AI2772" s="1066"/>
      <c r="AJ2772" s="1066"/>
      <c r="AK2772" s="1066"/>
      <c r="AL2772" s="1066"/>
      <c r="AM2772" s="1066"/>
      <c r="AN2772" s="1066"/>
      <c r="AO2772" s="1066"/>
      <c r="AP2772" s="1066"/>
      <c r="AQ2772" s="1066"/>
      <c r="AR2772" s="1066"/>
      <c r="AS2772" s="1066"/>
      <c r="AT2772" s="1066"/>
      <c r="AU2772" s="1066"/>
      <c r="AV2772" s="1066"/>
      <c r="AW2772" s="1066"/>
      <c r="AX2772" s="1066"/>
      <c r="AY2772" s="1066"/>
      <c r="AZ2772" s="1066"/>
      <c r="BA2772" s="1066"/>
      <c r="BB2772" s="1066"/>
      <c r="BC2772" s="1066"/>
      <c r="BD2772" s="1066"/>
      <c r="BE2772" s="1066"/>
      <c r="BF2772" s="1066"/>
      <c r="BG2772" s="1066"/>
      <c r="BH2772" s="1066"/>
      <c r="BI2772" s="1066"/>
      <c r="BJ2772" s="1066"/>
      <c r="BK2772" s="1066"/>
      <c r="BL2772" s="1066"/>
    </row>
    <row r="2773" spans="1:64">
      <c r="A2773" s="1058"/>
      <c r="B2773" s="1058"/>
      <c r="C2773" s="1817" t="s">
        <v>1398</v>
      </c>
      <c r="D2773" s="1137">
        <v>33</v>
      </c>
      <c r="E2773" s="1022" t="s">
        <v>1110</v>
      </c>
      <c r="F2773" s="1848">
        <f>LEAD!$N$6</f>
        <v>5200</v>
      </c>
      <c r="G2773" s="1076">
        <v>1000</v>
      </c>
      <c r="H2773" s="1022" t="s">
        <v>1110</v>
      </c>
      <c r="I2773" s="1062">
        <f t="shared" si="655"/>
        <v>171.6</v>
      </c>
      <c r="J2773" s="1022"/>
      <c r="K2773" s="1022"/>
      <c r="L2773" s="1022"/>
      <c r="M2773" s="1066">
        <v>184.8</v>
      </c>
      <c r="N2773" s="1066"/>
      <c r="O2773" s="1066"/>
      <c r="P2773" s="1066"/>
      <c r="Q2773" s="1066"/>
      <c r="R2773" s="1066"/>
      <c r="S2773" s="1066"/>
      <c r="T2773" s="1066"/>
      <c r="U2773" s="1066"/>
      <c r="V2773" s="1066"/>
      <c r="W2773" s="1066"/>
      <c r="X2773" s="1066"/>
      <c r="Y2773" s="1066"/>
      <c r="Z2773" s="1066"/>
      <c r="AA2773" s="1066"/>
      <c r="AB2773" s="1066"/>
      <c r="AC2773" s="1066"/>
      <c r="AD2773" s="1066"/>
      <c r="AE2773" s="1066"/>
      <c r="AF2773" s="1066"/>
      <c r="AG2773" s="1066"/>
      <c r="AH2773" s="1066"/>
      <c r="AI2773" s="1066"/>
      <c r="AJ2773" s="1066"/>
      <c r="AK2773" s="1066"/>
      <c r="AL2773" s="1066"/>
      <c r="AM2773" s="1066"/>
      <c r="AN2773" s="1066"/>
      <c r="AO2773" s="1066"/>
      <c r="AP2773" s="1066"/>
      <c r="AQ2773" s="1066"/>
      <c r="AR2773" s="1066"/>
      <c r="AS2773" s="1066"/>
      <c r="AT2773" s="1066"/>
      <c r="AU2773" s="1066"/>
      <c r="AV2773" s="1066"/>
      <c r="AW2773" s="1066"/>
      <c r="AX2773" s="1066"/>
      <c r="AY2773" s="1066"/>
      <c r="AZ2773" s="1066"/>
      <c r="BA2773" s="1066"/>
      <c r="BB2773" s="1066"/>
      <c r="BC2773" s="1066"/>
      <c r="BD2773" s="1066"/>
      <c r="BE2773" s="1066"/>
      <c r="BF2773" s="1066"/>
      <c r="BG2773" s="1066"/>
      <c r="BH2773" s="1066"/>
      <c r="BI2773" s="1066"/>
      <c r="BJ2773" s="1066"/>
      <c r="BK2773" s="1066"/>
      <c r="BL2773" s="1066"/>
    </row>
    <row r="2774" spans="1:64">
      <c r="A2774" s="1058"/>
      <c r="B2774" s="1058"/>
      <c r="C2774" s="1817" t="s">
        <v>1408</v>
      </c>
      <c r="D2774" s="1137">
        <v>6</v>
      </c>
      <c r="E2774" s="1022" t="s">
        <v>1110</v>
      </c>
      <c r="F2774" s="1848">
        <f>'Civil-SOR'!$G$185</f>
        <v>34</v>
      </c>
      <c r="G2774" s="1076">
        <v>1</v>
      </c>
      <c r="H2774" s="1022" t="s">
        <v>97</v>
      </c>
      <c r="I2774" s="1062">
        <f t="shared" si="655"/>
        <v>204</v>
      </c>
      <c r="J2774" s="1022"/>
      <c r="K2774" s="1022"/>
      <c r="L2774" s="1022"/>
      <c r="M2774" s="1066">
        <v>186</v>
      </c>
      <c r="N2774" s="1066"/>
      <c r="O2774" s="1066"/>
      <c r="P2774" s="1066"/>
      <c r="Q2774" s="1066"/>
      <c r="R2774" s="1066"/>
      <c r="S2774" s="1066"/>
      <c r="T2774" s="1066"/>
      <c r="U2774" s="1066"/>
      <c r="V2774" s="1066"/>
      <c r="W2774" s="1066"/>
      <c r="X2774" s="1066"/>
      <c r="Y2774" s="1066"/>
      <c r="Z2774" s="1066"/>
      <c r="AA2774" s="1066"/>
      <c r="AB2774" s="1066"/>
      <c r="AC2774" s="1066"/>
      <c r="AD2774" s="1066"/>
      <c r="AE2774" s="1066"/>
      <c r="AF2774" s="1066"/>
      <c r="AG2774" s="1066"/>
      <c r="AH2774" s="1066"/>
      <c r="AI2774" s="1066"/>
      <c r="AJ2774" s="1066"/>
      <c r="AK2774" s="1066"/>
      <c r="AL2774" s="1066"/>
      <c r="AM2774" s="1066"/>
      <c r="AN2774" s="1066"/>
      <c r="AO2774" s="1066"/>
      <c r="AP2774" s="1066"/>
      <c r="AQ2774" s="1066"/>
      <c r="AR2774" s="1066"/>
      <c r="AS2774" s="1066"/>
      <c r="AT2774" s="1066"/>
      <c r="AU2774" s="1066"/>
      <c r="AV2774" s="1066"/>
      <c r="AW2774" s="1066"/>
      <c r="AX2774" s="1066"/>
      <c r="AY2774" s="1066"/>
      <c r="AZ2774" s="1066"/>
      <c r="BA2774" s="1066"/>
      <c r="BB2774" s="1066"/>
      <c r="BC2774" s="1066"/>
      <c r="BD2774" s="1066"/>
      <c r="BE2774" s="1066"/>
      <c r="BF2774" s="1066"/>
      <c r="BG2774" s="1066"/>
      <c r="BH2774" s="1066"/>
      <c r="BI2774" s="1066"/>
      <c r="BJ2774" s="1066"/>
      <c r="BK2774" s="1066"/>
      <c r="BL2774" s="1066"/>
    </row>
    <row r="2775" spans="1:64">
      <c r="A2775" s="1058"/>
      <c r="B2775" s="1058"/>
      <c r="C2775" s="1817" t="s">
        <v>1400</v>
      </c>
      <c r="D2775" s="1137">
        <v>0.12</v>
      </c>
      <c r="E2775" s="1022" t="s">
        <v>484</v>
      </c>
      <c r="F2775" s="1848">
        <f>LEAD!$N$13</f>
        <v>2453.91</v>
      </c>
      <c r="G2775" s="1076">
        <v>1</v>
      </c>
      <c r="H2775" s="1022" t="s">
        <v>484</v>
      </c>
      <c r="I2775" s="1062">
        <f t="shared" si="655"/>
        <v>294.46919999999994</v>
      </c>
      <c r="J2775" s="1022"/>
      <c r="K2775" s="1022"/>
      <c r="L2775" s="1022"/>
      <c r="M2775" s="1066">
        <v>128.7852</v>
      </c>
      <c r="N2775" s="1066"/>
      <c r="O2775" s="1066"/>
      <c r="P2775" s="1066"/>
      <c r="Q2775" s="1066"/>
      <c r="R2775" s="1066"/>
      <c r="S2775" s="1066"/>
      <c r="T2775" s="1066"/>
      <c r="U2775" s="1066"/>
      <c r="V2775" s="1066"/>
      <c r="W2775" s="1066"/>
      <c r="X2775" s="1066"/>
      <c r="Y2775" s="1066"/>
      <c r="Z2775" s="1066"/>
      <c r="AA2775" s="1066"/>
      <c r="AB2775" s="1066"/>
      <c r="AC2775" s="1066"/>
      <c r="AD2775" s="1066"/>
      <c r="AE2775" s="1066"/>
      <c r="AF2775" s="1066"/>
      <c r="AG2775" s="1066"/>
      <c r="AH2775" s="1066"/>
      <c r="AI2775" s="1066"/>
      <c r="AJ2775" s="1066"/>
      <c r="AK2775" s="1066"/>
      <c r="AL2775" s="1066"/>
      <c r="AM2775" s="1066"/>
      <c r="AN2775" s="1066"/>
      <c r="AO2775" s="1066"/>
      <c r="AP2775" s="1066"/>
      <c r="AQ2775" s="1066"/>
      <c r="AR2775" s="1066"/>
      <c r="AS2775" s="1066"/>
      <c r="AT2775" s="1066"/>
      <c r="AU2775" s="1066"/>
      <c r="AV2775" s="1066"/>
      <c r="AW2775" s="1066"/>
      <c r="AX2775" s="1066"/>
      <c r="AY2775" s="1066"/>
      <c r="AZ2775" s="1066"/>
      <c r="BA2775" s="1066"/>
      <c r="BB2775" s="1066"/>
      <c r="BC2775" s="1066"/>
      <c r="BD2775" s="1066"/>
      <c r="BE2775" s="1066"/>
      <c r="BF2775" s="1066"/>
      <c r="BG2775" s="1066"/>
      <c r="BH2775" s="1066"/>
      <c r="BI2775" s="1066"/>
      <c r="BJ2775" s="1066"/>
      <c r="BK2775" s="1066"/>
      <c r="BL2775" s="1066"/>
    </row>
    <row r="2776" spans="1:64">
      <c r="A2776" s="1058"/>
      <c r="B2776" s="1058"/>
      <c r="C2776" s="1816" t="s">
        <v>1324</v>
      </c>
      <c r="D2776" s="1137"/>
      <c r="E2776" s="1022"/>
      <c r="F2776" s="1848"/>
      <c r="G2776" s="1076"/>
      <c r="H2776" s="1022"/>
      <c r="I2776" s="1062"/>
      <c r="J2776" s="1022"/>
      <c r="K2776" s="1022"/>
      <c r="L2776" s="1022"/>
      <c r="M2776" s="1066"/>
      <c r="N2776" s="1066"/>
      <c r="O2776" s="1066"/>
      <c r="P2776" s="1066"/>
      <c r="Q2776" s="1066"/>
      <c r="R2776" s="1066"/>
      <c r="S2776" s="1066"/>
      <c r="T2776" s="1066"/>
      <c r="U2776" s="1066"/>
      <c r="V2776" s="1066"/>
      <c r="W2776" s="1066"/>
      <c r="X2776" s="1066"/>
      <c r="Y2776" s="1066"/>
      <c r="Z2776" s="1066"/>
      <c r="AA2776" s="1066"/>
      <c r="AB2776" s="1066"/>
      <c r="AC2776" s="1066"/>
      <c r="AD2776" s="1066"/>
      <c r="AE2776" s="1066"/>
      <c r="AF2776" s="1066"/>
      <c r="AG2776" s="1066"/>
      <c r="AH2776" s="1066"/>
      <c r="AI2776" s="1066"/>
      <c r="AJ2776" s="1066"/>
      <c r="AK2776" s="1066"/>
      <c r="AL2776" s="1066"/>
      <c r="AM2776" s="1066"/>
      <c r="AN2776" s="1066"/>
      <c r="AO2776" s="1066"/>
      <c r="AP2776" s="1066"/>
      <c r="AQ2776" s="1066"/>
      <c r="AR2776" s="1066"/>
      <c r="AS2776" s="1066"/>
      <c r="AT2776" s="1066"/>
      <c r="AU2776" s="1066"/>
      <c r="AV2776" s="1066"/>
      <c r="AW2776" s="1066"/>
      <c r="AX2776" s="1066"/>
      <c r="AY2776" s="1066"/>
      <c r="AZ2776" s="1066"/>
      <c r="BA2776" s="1066"/>
      <c r="BB2776" s="1066"/>
      <c r="BC2776" s="1066"/>
      <c r="BD2776" s="1066"/>
      <c r="BE2776" s="1066"/>
      <c r="BF2776" s="1066"/>
      <c r="BG2776" s="1066"/>
      <c r="BH2776" s="1066"/>
      <c r="BI2776" s="1066"/>
      <c r="BJ2776" s="1066"/>
      <c r="BK2776" s="1066"/>
      <c r="BL2776" s="1066"/>
    </row>
    <row r="2777" spans="1:64">
      <c r="A2777" s="1058"/>
      <c r="B2777" s="1058"/>
      <c r="C2777" s="1817" t="s">
        <v>1299</v>
      </c>
      <c r="D2777" s="1137">
        <v>0.96</v>
      </c>
      <c r="E2777" s="1022" t="s">
        <v>955</v>
      </c>
      <c r="F2777" s="1848">
        <f>'Civil-SOR'!$G$293</f>
        <v>580</v>
      </c>
      <c r="G2777" s="1076">
        <v>1</v>
      </c>
      <c r="H2777" s="1022" t="s">
        <v>501</v>
      </c>
      <c r="I2777" s="1062">
        <f t="shared" ref="I2777:I2781" si="656">IF(G2777="",D2777*F2777,(D2777*F2777/G2777))</f>
        <v>556.79999999999995</v>
      </c>
      <c r="J2777" s="1022"/>
      <c r="K2777" s="1022"/>
      <c r="L2777" s="1022"/>
      <c r="M2777" s="1066">
        <v>523.19999999999993</v>
      </c>
      <c r="N2777" s="1066"/>
      <c r="O2777" s="1066"/>
      <c r="P2777" s="1066"/>
      <c r="Q2777" s="1066"/>
      <c r="R2777" s="1066"/>
      <c r="S2777" s="1066"/>
      <c r="T2777" s="1066"/>
      <c r="U2777" s="1066"/>
      <c r="V2777" s="1066"/>
      <c r="W2777" s="1066"/>
      <c r="X2777" s="1066"/>
      <c r="Y2777" s="1066"/>
      <c r="Z2777" s="1066"/>
      <c r="AA2777" s="1066"/>
      <c r="AB2777" s="1066"/>
      <c r="AC2777" s="1066"/>
      <c r="AD2777" s="1066"/>
      <c r="AE2777" s="1066"/>
      <c r="AF2777" s="1066"/>
      <c r="AG2777" s="1066"/>
      <c r="AH2777" s="1066"/>
      <c r="AI2777" s="1066"/>
      <c r="AJ2777" s="1066"/>
      <c r="AK2777" s="1066"/>
      <c r="AL2777" s="1066"/>
      <c r="AM2777" s="1066"/>
      <c r="AN2777" s="1066"/>
      <c r="AO2777" s="1066"/>
      <c r="AP2777" s="1066"/>
      <c r="AQ2777" s="1066"/>
      <c r="AR2777" s="1066"/>
      <c r="AS2777" s="1066"/>
      <c r="AT2777" s="1066"/>
      <c r="AU2777" s="1066"/>
      <c r="AV2777" s="1066"/>
      <c r="AW2777" s="1066"/>
      <c r="AX2777" s="1066"/>
      <c r="AY2777" s="1066"/>
      <c r="AZ2777" s="1066"/>
      <c r="BA2777" s="1066"/>
      <c r="BB2777" s="1066"/>
      <c r="BC2777" s="1066"/>
      <c r="BD2777" s="1066"/>
      <c r="BE2777" s="1066"/>
      <c r="BF2777" s="1066"/>
      <c r="BG2777" s="1066"/>
      <c r="BH2777" s="1066"/>
      <c r="BI2777" s="1066"/>
      <c r="BJ2777" s="1066"/>
      <c r="BK2777" s="1066"/>
      <c r="BL2777" s="1066"/>
    </row>
    <row r="2778" spans="1:64">
      <c r="A2778" s="1058"/>
      <c r="B2778" s="1058"/>
      <c r="C2778" s="1817" t="s">
        <v>1325</v>
      </c>
      <c r="D2778" s="1137">
        <v>2.2400000000000002</v>
      </c>
      <c r="E2778" s="1022" t="s">
        <v>955</v>
      </c>
      <c r="F2778" s="1848">
        <f>'Civil-SOR'!$G$302</f>
        <v>550</v>
      </c>
      <c r="G2778" s="1076">
        <v>1</v>
      </c>
      <c r="H2778" s="1022" t="s">
        <v>501</v>
      </c>
      <c r="I2778" s="1062">
        <f t="shared" si="656"/>
        <v>1232.0000000000002</v>
      </c>
      <c r="J2778" s="1022"/>
      <c r="K2778" s="1022"/>
      <c r="L2778" s="1022"/>
      <c r="M2778" s="1066">
        <v>1153.6000000000001</v>
      </c>
      <c r="N2778" s="1066"/>
      <c r="O2778" s="1066"/>
      <c r="P2778" s="1066"/>
      <c r="Q2778" s="1066"/>
      <c r="R2778" s="1066"/>
      <c r="S2778" s="1066"/>
      <c r="T2778" s="1066"/>
      <c r="U2778" s="1066"/>
      <c r="V2778" s="1066"/>
      <c r="W2778" s="1066"/>
      <c r="X2778" s="1066"/>
      <c r="Y2778" s="1066"/>
      <c r="Z2778" s="1066"/>
      <c r="AA2778" s="1066"/>
      <c r="AB2778" s="1066"/>
      <c r="AC2778" s="1066"/>
      <c r="AD2778" s="1066"/>
      <c r="AE2778" s="1066"/>
      <c r="AF2778" s="1066"/>
      <c r="AG2778" s="1066"/>
      <c r="AH2778" s="1066"/>
      <c r="AI2778" s="1066"/>
      <c r="AJ2778" s="1066"/>
      <c r="AK2778" s="1066"/>
      <c r="AL2778" s="1066"/>
      <c r="AM2778" s="1066"/>
      <c r="AN2778" s="1066"/>
      <c r="AO2778" s="1066"/>
      <c r="AP2778" s="1066"/>
      <c r="AQ2778" s="1066"/>
      <c r="AR2778" s="1066"/>
      <c r="AS2778" s="1066"/>
      <c r="AT2778" s="1066"/>
      <c r="AU2778" s="1066"/>
      <c r="AV2778" s="1066"/>
      <c r="AW2778" s="1066"/>
      <c r="AX2778" s="1066"/>
      <c r="AY2778" s="1066"/>
      <c r="AZ2778" s="1066"/>
      <c r="BA2778" s="1066"/>
      <c r="BB2778" s="1066"/>
      <c r="BC2778" s="1066"/>
      <c r="BD2778" s="1066"/>
      <c r="BE2778" s="1066"/>
      <c r="BF2778" s="1066"/>
      <c r="BG2778" s="1066"/>
      <c r="BH2778" s="1066"/>
      <c r="BI2778" s="1066"/>
      <c r="BJ2778" s="1066"/>
      <c r="BK2778" s="1066"/>
      <c r="BL2778" s="1066"/>
    </row>
    <row r="2779" spans="1:64">
      <c r="A2779" s="1058"/>
      <c r="B2779" s="1058"/>
      <c r="C2779" s="1817" t="s">
        <v>1401</v>
      </c>
      <c r="D2779" s="1137">
        <v>3.3</v>
      </c>
      <c r="E2779" s="1022" t="s">
        <v>955</v>
      </c>
      <c r="F2779" s="1848">
        <f>'Civil-SOR'!$G$307</f>
        <v>520</v>
      </c>
      <c r="G2779" s="1076">
        <v>1</v>
      </c>
      <c r="H2779" s="1022" t="s">
        <v>501</v>
      </c>
      <c r="I2779" s="1062">
        <f t="shared" si="656"/>
        <v>1716</v>
      </c>
      <c r="J2779" s="1022"/>
      <c r="K2779" s="1022"/>
      <c r="L2779" s="1022"/>
      <c r="M2779" s="1066">
        <v>1617</v>
      </c>
      <c r="N2779" s="1066"/>
      <c r="O2779" s="1066"/>
      <c r="P2779" s="1066"/>
      <c r="Q2779" s="1066"/>
      <c r="R2779" s="1066"/>
      <c r="S2779" s="1066"/>
      <c r="T2779" s="1066"/>
      <c r="U2779" s="1066"/>
      <c r="V2779" s="1066"/>
      <c r="W2779" s="1066"/>
      <c r="X2779" s="1066"/>
      <c r="Y2779" s="1066"/>
      <c r="Z2779" s="1066"/>
      <c r="AA2779" s="1066"/>
      <c r="AB2779" s="1066"/>
      <c r="AC2779" s="1066"/>
      <c r="AD2779" s="1066"/>
      <c r="AE2779" s="1066"/>
      <c r="AF2779" s="1066"/>
      <c r="AG2779" s="1066"/>
      <c r="AH2779" s="1066"/>
      <c r="AI2779" s="1066"/>
      <c r="AJ2779" s="1066"/>
      <c r="AK2779" s="1066"/>
      <c r="AL2779" s="1066"/>
      <c r="AM2779" s="1066"/>
      <c r="AN2779" s="1066"/>
      <c r="AO2779" s="1066"/>
      <c r="AP2779" s="1066"/>
      <c r="AQ2779" s="1066"/>
      <c r="AR2779" s="1066"/>
      <c r="AS2779" s="1066"/>
      <c r="AT2779" s="1066"/>
      <c r="AU2779" s="1066"/>
      <c r="AV2779" s="1066"/>
      <c r="AW2779" s="1066"/>
      <c r="AX2779" s="1066"/>
      <c r="AY2779" s="1066"/>
      <c r="AZ2779" s="1066"/>
      <c r="BA2779" s="1066"/>
      <c r="BB2779" s="1066"/>
      <c r="BC2779" s="1066"/>
      <c r="BD2779" s="1066"/>
      <c r="BE2779" s="1066"/>
      <c r="BF2779" s="1066"/>
      <c r="BG2779" s="1066"/>
      <c r="BH2779" s="1066"/>
      <c r="BI2779" s="1066"/>
      <c r="BJ2779" s="1066"/>
      <c r="BK2779" s="1066"/>
      <c r="BL2779" s="1066"/>
    </row>
    <row r="2780" spans="1:64">
      <c r="A2780" s="1058"/>
      <c r="B2780" s="1058"/>
      <c r="C2780" s="1817" t="str">
        <f>Input!$C$47</f>
        <v>Add for MA @ 40%</v>
      </c>
      <c r="D2780" s="1160">
        <f>Input!$D$47</f>
        <v>0.4</v>
      </c>
      <c r="E2780" s="1022"/>
      <c r="F2780" s="1848">
        <f>SUM(I2777:I2779)</f>
        <v>3504.8</v>
      </c>
      <c r="G2780" s="1076"/>
      <c r="H2780" s="1022"/>
      <c r="I2780" s="1062">
        <f t="shared" si="656"/>
        <v>1401.92</v>
      </c>
      <c r="J2780" s="1022"/>
      <c r="K2780" s="1022"/>
      <c r="L2780" s="1022"/>
      <c r="M2780" s="1066">
        <v>658.7600000000001</v>
      </c>
      <c r="N2780" s="1066"/>
      <c r="O2780" s="1066"/>
      <c r="P2780" s="1066"/>
      <c r="Q2780" s="1066"/>
      <c r="R2780" s="1066"/>
      <c r="S2780" s="1066"/>
      <c r="T2780" s="1066"/>
      <c r="U2780" s="1066"/>
      <c r="V2780" s="1066"/>
      <c r="W2780" s="1066"/>
      <c r="X2780" s="1066"/>
      <c r="Y2780" s="1066"/>
      <c r="Z2780" s="1066"/>
      <c r="AA2780" s="1066"/>
      <c r="AB2780" s="1066"/>
      <c r="AC2780" s="1066"/>
      <c r="AD2780" s="1066"/>
      <c r="AE2780" s="1066"/>
      <c r="AF2780" s="1066"/>
      <c r="AG2780" s="1066"/>
      <c r="AH2780" s="1066"/>
      <c r="AI2780" s="1066"/>
      <c r="AJ2780" s="1066"/>
      <c r="AK2780" s="1066"/>
      <c r="AL2780" s="1066"/>
      <c r="AM2780" s="1066"/>
      <c r="AN2780" s="1066"/>
      <c r="AO2780" s="1066"/>
      <c r="AP2780" s="1066"/>
      <c r="AQ2780" s="1066"/>
      <c r="AR2780" s="1066"/>
      <c r="AS2780" s="1066"/>
      <c r="AT2780" s="1066"/>
      <c r="AU2780" s="1066"/>
      <c r="AV2780" s="1066"/>
      <c r="AW2780" s="1066"/>
      <c r="AX2780" s="1066"/>
      <c r="AY2780" s="1066"/>
      <c r="AZ2780" s="1066"/>
      <c r="BA2780" s="1066"/>
      <c r="BB2780" s="1066"/>
      <c r="BC2780" s="1066"/>
      <c r="BD2780" s="1066"/>
      <c r="BE2780" s="1066"/>
      <c r="BF2780" s="1066"/>
      <c r="BG2780" s="1066"/>
      <c r="BH2780" s="1066"/>
      <c r="BI2780" s="1066"/>
      <c r="BJ2780" s="1066"/>
      <c r="BK2780" s="1066"/>
      <c r="BL2780" s="1066"/>
    </row>
    <row r="2781" spans="1:64">
      <c r="A2781" s="1058"/>
      <c r="B2781" s="1058"/>
      <c r="C2781" s="1817" t="s">
        <v>1301</v>
      </c>
      <c r="D2781" s="1137">
        <v>0.01</v>
      </c>
      <c r="E2781" s="1022"/>
      <c r="F2781" s="1848">
        <f>SUM(I2771:I2780)</f>
        <v>10340.609200000001</v>
      </c>
      <c r="G2781" s="1076"/>
      <c r="H2781" s="1022"/>
      <c r="I2781" s="1062">
        <f t="shared" si="656"/>
        <v>103.40609200000002</v>
      </c>
      <c r="J2781" s="1022"/>
      <c r="K2781" s="1022"/>
      <c r="L2781" s="1022"/>
      <c r="M2781" s="1066">
        <v>92.246052000000006</v>
      </c>
      <c r="N2781" s="1066"/>
      <c r="O2781" s="1066"/>
      <c r="P2781" s="1066"/>
      <c r="Q2781" s="1066"/>
      <c r="R2781" s="1066"/>
      <c r="S2781" s="1066"/>
      <c r="T2781" s="1066"/>
      <c r="U2781" s="1066"/>
      <c r="V2781" s="1066"/>
      <c r="W2781" s="1066"/>
      <c r="X2781" s="1066"/>
      <c r="Y2781" s="1066"/>
      <c r="Z2781" s="1066"/>
      <c r="AA2781" s="1066"/>
      <c r="AB2781" s="1066"/>
      <c r="AC2781" s="1066"/>
      <c r="AD2781" s="1066"/>
      <c r="AE2781" s="1066"/>
      <c r="AF2781" s="1066"/>
      <c r="AG2781" s="1066"/>
      <c r="AH2781" s="1066"/>
      <c r="AI2781" s="1066"/>
      <c r="AJ2781" s="1066"/>
      <c r="AK2781" s="1066"/>
      <c r="AL2781" s="1066"/>
      <c r="AM2781" s="1066"/>
      <c r="AN2781" s="1066"/>
      <c r="AO2781" s="1066"/>
      <c r="AP2781" s="1066"/>
      <c r="AQ2781" s="1066"/>
      <c r="AR2781" s="1066"/>
      <c r="AS2781" s="1066"/>
      <c r="AT2781" s="1066"/>
      <c r="AU2781" s="1066"/>
      <c r="AV2781" s="1066"/>
      <c r="AW2781" s="1066"/>
      <c r="AX2781" s="1066"/>
      <c r="AY2781" s="1066"/>
      <c r="AZ2781" s="1066"/>
      <c r="BA2781" s="1066"/>
      <c r="BB2781" s="1066"/>
      <c r="BC2781" s="1066"/>
      <c r="BD2781" s="1066"/>
      <c r="BE2781" s="1066"/>
      <c r="BF2781" s="1066"/>
      <c r="BG2781" s="1066"/>
      <c r="BH2781" s="1066"/>
      <c r="BI2781" s="1066"/>
      <c r="BJ2781" s="1066"/>
      <c r="BK2781" s="1066"/>
      <c r="BL2781" s="1066"/>
    </row>
    <row r="2782" spans="1:64">
      <c r="A2782" s="1086"/>
      <c r="B2782" s="1086"/>
      <c r="C2782" s="1183" t="s">
        <v>1409</v>
      </c>
      <c r="D2782" s="1117"/>
      <c r="E2782" s="996"/>
      <c r="F2782" s="1829"/>
      <c r="G2782" s="1108"/>
      <c r="H2782" s="996"/>
      <c r="I2782" s="1826">
        <f>SUM(I2771:I2781)</f>
        <v>10444.015292</v>
      </c>
      <c r="J2782" s="996"/>
      <c r="K2782" s="996"/>
      <c r="L2782" s="996"/>
      <c r="M2782" s="997">
        <v>9316.8512520000004</v>
      </c>
      <c r="N2782" s="997"/>
      <c r="O2782" s="997"/>
      <c r="P2782" s="997"/>
      <c r="Q2782" s="997"/>
      <c r="R2782" s="997"/>
      <c r="S2782" s="997"/>
      <c r="T2782" s="997"/>
      <c r="U2782" s="997"/>
      <c r="V2782" s="997"/>
      <c r="W2782" s="997"/>
      <c r="X2782" s="997"/>
      <c r="Y2782" s="997"/>
      <c r="Z2782" s="997"/>
      <c r="AA2782" s="997"/>
      <c r="AB2782" s="997"/>
      <c r="AC2782" s="997"/>
      <c r="AD2782" s="997"/>
      <c r="AE2782" s="997"/>
      <c r="AF2782" s="997"/>
      <c r="AG2782" s="997"/>
      <c r="AH2782" s="997"/>
      <c r="AI2782" s="997"/>
      <c r="AJ2782" s="997"/>
      <c r="AK2782" s="997"/>
      <c r="AL2782" s="997"/>
      <c r="AM2782" s="997"/>
      <c r="AN2782" s="997"/>
      <c r="AO2782" s="997"/>
      <c r="AP2782" s="997"/>
      <c r="AQ2782" s="997"/>
      <c r="AR2782" s="997"/>
      <c r="AS2782" s="997"/>
      <c r="AT2782" s="997"/>
      <c r="AU2782" s="997"/>
      <c r="AV2782" s="997"/>
      <c r="AW2782" s="997"/>
      <c r="AX2782" s="997"/>
      <c r="AY2782" s="997"/>
      <c r="AZ2782" s="997"/>
      <c r="BA2782" s="997"/>
      <c r="BB2782" s="997"/>
      <c r="BC2782" s="997"/>
      <c r="BD2782" s="997"/>
      <c r="BE2782" s="997"/>
      <c r="BF2782" s="997"/>
      <c r="BG2782" s="997"/>
      <c r="BH2782" s="997"/>
      <c r="BI2782" s="997"/>
      <c r="BJ2782" s="997"/>
      <c r="BK2782" s="997"/>
      <c r="BL2782" s="997"/>
    </row>
    <row r="2783" spans="1:64">
      <c r="A2783" s="1818"/>
      <c r="B2783" s="1818"/>
      <c r="C2783" s="1846"/>
      <c r="D2783" s="1096"/>
      <c r="E2783" s="1846"/>
      <c r="F2783" s="1021"/>
      <c r="G2783" s="1105"/>
      <c r="H2783" s="1846"/>
      <c r="I2783" s="1030"/>
      <c r="J2783" s="1846"/>
      <c r="K2783" s="1846"/>
      <c r="L2783" s="1846"/>
    </row>
    <row r="2784" spans="1:64">
      <c r="A2784" s="1818"/>
      <c r="B2784" s="1818"/>
      <c r="C2784" s="1816" t="s">
        <v>1217</v>
      </c>
      <c r="D2784" s="1009" t="s">
        <v>1223</v>
      </c>
      <c r="E2784" s="1114" t="s">
        <v>1207</v>
      </c>
      <c r="F2784" s="1106" t="s">
        <v>1208</v>
      </c>
      <c r="G2784" s="1009" t="s">
        <v>1291</v>
      </c>
      <c r="H2784" s="1009" t="s">
        <v>1292</v>
      </c>
      <c r="I2784" s="1009" t="s">
        <v>1293</v>
      </c>
      <c r="J2784" s="1009"/>
      <c r="K2784" s="1009" t="s">
        <v>1358</v>
      </c>
      <c r="L2784" s="1009" t="s">
        <v>1359</v>
      </c>
    </row>
    <row r="2785" spans="1:12">
      <c r="A2785" s="1818"/>
      <c r="B2785" s="1818"/>
      <c r="C2785" s="1817" t="s">
        <v>1317</v>
      </c>
      <c r="D2785" s="1001">
        <f t="shared" ref="D2785:L2785" si="657">$I$2782</f>
        <v>10444.015292</v>
      </c>
      <c r="E2785" s="1001">
        <f t="shared" si="657"/>
        <v>10444.015292</v>
      </c>
      <c r="F2785" s="1001">
        <f t="shared" si="657"/>
        <v>10444.015292</v>
      </c>
      <c r="G2785" s="1001">
        <f t="shared" si="657"/>
        <v>10444.015292</v>
      </c>
      <c r="H2785" s="1001">
        <f t="shared" si="657"/>
        <v>10444.015292</v>
      </c>
      <c r="I2785" s="1001">
        <f t="shared" si="657"/>
        <v>10444.015292</v>
      </c>
      <c r="J2785" s="1001"/>
      <c r="K2785" s="1001">
        <f t="shared" si="657"/>
        <v>10444.015292</v>
      </c>
      <c r="L2785" s="1001">
        <f t="shared" si="657"/>
        <v>10444.015292</v>
      </c>
    </row>
    <row r="2786" spans="1:12">
      <c r="A2786" s="1818"/>
      <c r="B2786" s="1818"/>
      <c r="C2786" s="1817" t="s">
        <v>1253</v>
      </c>
      <c r="D2786" s="1001">
        <v>0</v>
      </c>
      <c r="E2786" s="1001">
        <f>ROUND($F$2780*10%,2)</f>
        <v>350.48</v>
      </c>
      <c r="F2786" s="1001">
        <f>ROUND($F$2780*20%,2)</f>
        <v>700.96</v>
      </c>
      <c r="G2786" s="1001">
        <f>ROUND($F$2780*30%,2)</f>
        <v>1051.44</v>
      </c>
      <c r="H2786" s="1001">
        <f>ROUND($F$2780*40%,2)</f>
        <v>1401.92</v>
      </c>
      <c r="I2786" s="1001">
        <f>ROUND($F$2780*50%,2)</f>
        <v>1752.4</v>
      </c>
      <c r="J2786" s="1001"/>
      <c r="K2786" s="1001">
        <f>ROUND($F$2780*70%,2)</f>
        <v>2453.36</v>
      </c>
      <c r="L2786" s="1001">
        <f>ROUND($F$2780*80%,2)</f>
        <v>2803.84</v>
      </c>
    </row>
    <row r="2787" spans="1:12">
      <c r="A2787" s="1818"/>
      <c r="B2787" s="1818"/>
      <c r="C2787" s="1817" t="str">
        <f>Input!C47</f>
        <v>Add for MA @ 40%</v>
      </c>
      <c r="D2787" s="1001">
        <f>D2786*Input!$D$47</f>
        <v>0</v>
      </c>
      <c r="E2787" s="1001">
        <f>E2786*Input!$D$47</f>
        <v>140.19200000000001</v>
      </c>
      <c r="F2787" s="1001">
        <f>F2786*Input!$D$47</f>
        <v>280.38400000000001</v>
      </c>
      <c r="G2787" s="1001">
        <f>G2786*Input!$D$47</f>
        <v>420.57600000000002</v>
      </c>
      <c r="H2787" s="1001">
        <f>H2786*Input!$D$47</f>
        <v>560.76800000000003</v>
      </c>
      <c r="I2787" s="1001">
        <f>I2786*Input!$D$47</f>
        <v>700.96</v>
      </c>
      <c r="J2787" s="1001"/>
      <c r="K2787" s="1001">
        <f>K2786*Input!$D$47</f>
        <v>981.34400000000005</v>
      </c>
      <c r="L2787" s="1001">
        <f>L2786*Input!$D$47</f>
        <v>1121.5360000000001</v>
      </c>
    </row>
    <row r="2788" spans="1:12">
      <c r="A2788" s="1818"/>
      <c r="B2788" s="1818"/>
      <c r="C2788" s="1846"/>
      <c r="D2788" s="1001">
        <f t="shared" ref="D2788:L2788" si="658">SUM(D2785:D2787)</f>
        <v>10444.015292</v>
      </c>
      <c r="E2788" s="1001">
        <f t="shared" si="658"/>
        <v>10934.687291999999</v>
      </c>
      <c r="F2788" s="1001">
        <f t="shared" si="658"/>
        <v>11425.359291999999</v>
      </c>
      <c r="G2788" s="1001">
        <f t="shared" si="658"/>
        <v>11916.031292</v>
      </c>
      <c r="H2788" s="1001">
        <f t="shared" si="658"/>
        <v>12406.703292</v>
      </c>
      <c r="I2788" s="1001">
        <f t="shared" si="658"/>
        <v>12897.375292000001</v>
      </c>
      <c r="J2788" s="1001"/>
      <c r="K2788" s="1001">
        <f t="shared" si="658"/>
        <v>13878.719292000002</v>
      </c>
      <c r="L2788" s="1001">
        <f t="shared" si="658"/>
        <v>14369.391292</v>
      </c>
    </row>
    <row r="2789" spans="1:12">
      <c r="A2789" s="1818"/>
      <c r="B2789" s="1818"/>
      <c r="C2789" s="1817" t="str">
        <f>Input!$C$48</f>
        <v>Overheads &amp; Contractors Profit @ 13.615%</v>
      </c>
      <c r="D2789" s="1001">
        <f>ROUND(D2788*Input!$D$48,2)</f>
        <v>1421.95</v>
      </c>
      <c r="E2789" s="1001">
        <f>ROUND(E2788*Input!$D$48,2)</f>
        <v>1488.76</v>
      </c>
      <c r="F2789" s="1001">
        <f>ROUND(F2788*Input!$D$48,2)</f>
        <v>1555.56</v>
      </c>
      <c r="G2789" s="1001">
        <f>ROUND(G2788*Input!$D$48,2)</f>
        <v>1622.37</v>
      </c>
      <c r="H2789" s="1001">
        <f>ROUND(H2788*Input!$D$48,2)</f>
        <v>1689.17</v>
      </c>
      <c r="I2789" s="1001">
        <f>ROUND(I2788*Input!$D$48,2)</f>
        <v>1755.98</v>
      </c>
      <c r="J2789" s="1001"/>
      <c r="K2789" s="1001">
        <f>ROUND(K2788*Input!$D$48,2)</f>
        <v>1889.59</v>
      </c>
      <c r="L2789" s="1001">
        <f>ROUND(L2788*Input!$D$48,2)</f>
        <v>1956.39</v>
      </c>
    </row>
    <row r="2790" spans="1:12">
      <c r="A2790" s="1818"/>
      <c r="B2790" s="1818"/>
      <c r="C2790" s="1816" t="s">
        <v>1302</v>
      </c>
      <c r="D2790" s="1001">
        <f t="shared" ref="D2790:L2790" si="659">SUM(D2788:D2789)</f>
        <v>11865.965292000001</v>
      </c>
      <c r="E2790" s="1001">
        <f t="shared" si="659"/>
        <v>12423.447291999999</v>
      </c>
      <c r="F2790" s="1001">
        <f t="shared" si="659"/>
        <v>12980.919291999999</v>
      </c>
      <c r="G2790" s="1001">
        <f t="shared" si="659"/>
        <v>13538.401291999999</v>
      </c>
      <c r="H2790" s="1001">
        <f t="shared" si="659"/>
        <v>14095.873292</v>
      </c>
      <c r="I2790" s="1001">
        <f t="shared" si="659"/>
        <v>14653.355292</v>
      </c>
      <c r="J2790" s="1001"/>
      <c r="K2790" s="1001">
        <f t="shared" si="659"/>
        <v>15768.309292000002</v>
      </c>
      <c r="L2790" s="1001">
        <f t="shared" si="659"/>
        <v>16325.781292</v>
      </c>
    </row>
    <row r="2791" spans="1:12" s="997" customFormat="1">
      <c r="A2791" s="1086"/>
      <c r="B2791" s="1086"/>
      <c r="C2791" s="1088" t="s">
        <v>1117</v>
      </c>
      <c r="D2791" s="1826">
        <f t="shared" ref="D2791:L2791" si="660">D2790/10</f>
        <v>1186.5965292000001</v>
      </c>
      <c r="E2791" s="1826">
        <f t="shared" si="660"/>
        <v>1242.3447291999998</v>
      </c>
      <c r="F2791" s="1826">
        <f t="shared" si="660"/>
        <v>1298.0919291999999</v>
      </c>
      <c r="G2791" s="1826">
        <f t="shared" si="660"/>
        <v>1353.8401291999999</v>
      </c>
      <c r="H2791" s="1826">
        <f t="shared" si="660"/>
        <v>1409.5873292000001</v>
      </c>
      <c r="I2791" s="1826">
        <f t="shared" si="660"/>
        <v>1465.3355292000001</v>
      </c>
      <c r="J2791" s="1826"/>
      <c r="K2791" s="1826">
        <f t="shared" si="660"/>
        <v>1576.8309292000001</v>
      </c>
      <c r="L2791" s="1826">
        <f t="shared" si="660"/>
        <v>1632.5781291999999</v>
      </c>
    </row>
    <row r="2792" spans="1:12" s="997" customFormat="1">
      <c r="A2792" s="1086"/>
      <c r="B2792" s="1086"/>
      <c r="C2792" s="1118" t="s">
        <v>1034</v>
      </c>
      <c r="D2792" s="999">
        <f t="shared" ref="D2792:L2792" si="661">ROUND(D2791,0)</f>
        <v>1187</v>
      </c>
      <c r="E2792" s="999">
        <f t="shared" si="661"/>
        <v>1242</v>
      </c>
      <c r="F2792" s="999">
        <f t="shared" si="661"/>
        <v>1298</v>
      </c>
      <c r="G2792" s="999">
        <f t="shared" si="661"/>
        <v>1354</v>
      </c>
      <c r="H2792" s="999">
        <f t="shared" si="661"/>
        <v>1410</v>
      </c>
      <c r="I2792" s="999">
        <f t="shared" si="661"/>
        <v>1465</v>
      </c>
      <c r="J2792" s="999"/>
      <c r="K2792" s="999">
        <f t="shared" si="661"/>
        <v>1577</v>
      </c>
      <c r="L2792" s="999">
        <f t="shared" si="661"/>
        <v>1633</v>
      </c>
    </row>
    <row r="2793" spans="1:12">
      <c r="A2793" s="1818"/>
      <c r="B2793" s="1818"/>
      <c r="C2793" s="1817"/>
      <c r="D2793" s="1158"/>
      <c r="E2793" s="1846"/>
      <c r="F2793" s="1021"/>
      <c r="G2793" s="1105"/>
      <c r="H2793" s="1846"/>
      <c r="I2793" s="1030"/>
      <c r="J2793" s="1846"/>
      <c r="K2793" s="1846"/>
      <c r="L2793" s="1846"/>
    </row>
    <row r="2794" spans="1:12" ht="127.5" customHeight="1">
      <c r="A2794" s="1818">
        <f>1+A2678</f>
        <v>33</v>
      </c>
      <c r="B2794" s="1818"/>
      <c r="C2794" s="2039" t="s">
        <v>3637</v>
      </c>
      <c r="D2794" s="2040"/>
      <c r="E2794" s="2040"/>
      <c r="F2794" s="2040"/>
      <c r="G2794" s="2040"/>
      <c r="H2794" s="2040"/>
      <c r="I2794" s="2041"/>
      <c r="J2794" s="1846"/>
      <c r="K2794" s="1846"/>
      <c r="L2794" s="1846"/>
    </row>
    <row r="2795" spans="1:12">
      <c r="A2795" s="1818"/>
      <c r="B2795" s="1818"/>
      <c r="C2795" s="1049" t="s">
        <v>1414</v>
      </c>
      <c r="D2795" s="1846"/>
      <c r="E2795" s="1846"/>
      <c r="F2795" s="1068"/>
      <c r="G2795" s="1846"/>
      <c r="H2795" s="1846"/>
      <c r="I2795" s="1021"/>
      <c r="J2795" s="1846"/>
      <c r="K2795" s="1846"/>
      <c r="L2795" s="1846"/>
    </row>
    <row r="2796" spans="1:12">
      <c r="A2796" s="1818"/>
      <c r="B2796" s="1818"/>
      <c r="C2796" s="1820" t="s">
        <v>1394</v>
      </c>
      <c r="D2796" s="1846"/>
      <c r="E2796" s="1846"/>
      <c r="F2796" s="1068"/>
      <c r="G2796" s="1846"/>
      <c r="H2796" s="1846"/>
      <c r="I2796" s="1021"/>
      <c r="J2796" s="1846"/>
      <c r="K2796" s="1846"/>
      <c r="L2796" s="1846"/>
    </row>
    <row r="2797" spans="1:12">
      <c r="A2797" s="1818"/>
      <c r="B2797" s="1818"/>
      <c r="C2797" s="1825" t="s">
        <v>1395</v>
      </c>
      <c r="D2797" s="1096"/>
      <c r="E2797" s="1846"/>
      <c r="F2797" s="1021"/>
      <c r="G2797" s="1105"/>
      <c r="H2797" s="1846"/>
      <c r="I2797" s="1030"/>
      <c r="J2797" s="1846"/>
      <c r="K2797" s="1846"/>
      <c r="L2797" s="1846"/>
    </row>
    <row r="2798" spans="1:12" ht="25.5">
      <c r="A2798" s="1058"/>
      <c r="B2798" s="1058"/>
      <c r="C2798" s="1817" t="s">
        <v>1415</v>
      </c>
      <c r="D2798" s="1137">
        <v>10.5</v>
      </c>
      <c r="E2798" s="1022" t="s">
        <v>46</v>
      </c>
      <c r="F2798" s="1848">
        <f>+'Civil-SOR'!$G$20</f>
        <v>578</v>
      </c>
      <c r="G2798" s="1076">
        <v>1</v>
      </c>
      <c r="H2798" s="1022" t="s">
        <v>46</v>
      </c>
      <c r="I2798" s="1062">
        <f t="shared" ref="I2798:I2802" si="662">IF(G2798="",D2798*F2798,(D2798*F2798/G2798))</f>
        <v>6069</v>
      </c>
      <c r="J2798" s="1022"/>
      <c r="K2798" s="1022"/>
      <c r="L2798" s="1022"/>
    </row>
    <row r="2799" spans="1:12">
      <c r="A2799" s="1058"/>
      <c r="B2799" s="1058"/>
      <c r="C2799" s="1817" t="s">
        <v>1410</v>
      </c>
      <c r="D2799" s="1137">
        <v>21.6</v>
      </c>
      <c r="E2799" s="1022" t="s">
        <v>1110</v>
      </c>
      <c r="F2799" s="1848">
        <f>LEAD!$N$6</f>
        <v>5200</v>
      </c>
      <c r="G2799" s="1076">
        <v>1000</v>
      </c>
      <c r="H2799" s="1022" t="s">
        <v>1110</v>
      </c>
      <c r="I2799" s="1062">
        <f t="shared" si="662"/>
        <v>112.32000000000002</v>
      </c>
      <c r="J2799" s="1022"/>
      <c r="K2799" s="1022"/>
      <c r="L2799" s="1022"/>
    </row>
    <row r="2800" spans="1:12">
      <c r="A2800" s="1058"/>
      <c r="B2800" s="1058"/>
      <c r="C2800" s="1817" t="s">
        <v>1398</v>
      </c>
      <c r="D2800" s="1137">
        <v>33</v>
      </c>
      <c r="E2800" s="1022" t="s">
        <v>1110</v>
      </c>
      <c r="F2800" s="1848">
        <f>LEAD!$N$6</f>
        <v>5200</v>
      </c>
      <c r="G2800" s="1076">
        <v>1000</v>
      </c>
      <c r="H2800" s="1022" t="s">
        <v>1110</v>
      </c>
      <c r="I2800" s="1062">
        <f t="shared" si="662"/>
        <v>171.6</v>
      </c>
      <c r="J2800" s="1022"/>
      <c r="K2800" s="1022"/>
      <c r="L2800" s="1022"/>
    </row>
    <row r="2801" spans="1:12">
      <c r="A2801" s="1058"/>
      <c r="B2801" s="1058"/>
      <c r="C2801" s="1817" t="s">
        <v>1408</v>
      </c>
      <c r="D2801" s="1137">
        <v>6</v>
      </c>
      <c r="E2801" s="1022" t="s">
        <v>1110</v>
      </c>
      <c r="F2801" s="1848">
        <f>'Civil-SOR'!$G$185</f>
        <v>34</v>
      </c>
      <c r="G2801" s="1076">
        <v>1</v>
      </c>
      <c r="H2801" s="1022" t="s">
        <v>97</v>
      </c>
      <c r="I2801" s="1062">
        <f t="shared" si="662"/>
        <v>204</v>
      </c>
      <c r="J2801" s="1022"/>
      <c r="K2801" s="1022"/>
      <c r="L2801" s="1022"/>
    </row>
    <row r="2802" spans="1:12">
      <c r="A2802" s="1058"/>
      <c r="B2802" s="1058"/>
      <c r="C2802" s="1817" t="s">
        <v>1400</v>
      </c>
      <c r="D2802" s="1137">
        <v>0.12</v>
      </c>
      <c r="E2802" s="1022" t="s">
        <v>484</v>
      </c>
      <c r="F2802" s="1848">
        <f>LEAD!$N$13</f>
        <v>2453.91</v>
      </c>
      <c r="G2802" s="1076">
        <v>1</v>
      </c>
      <c r="H2802" s="1022" t="s">
        <v>484</v>
      </c>
      <c r="I2802" s="1062">
        <f t="shared" si="662"/>
        <v>294.46919999999994</v>
      </c>
      <c r="J2802" s="1022"/>
      <c r="K2802" s="1022"/>
      <c r="L2802" s="1022"/>
    </row>
    <row r="2803" spans="1:12">
      <c r="A2803" s="1058"/>
      <c r="B2803" s="1058"/>
      <c r="C2803" s="1816" t="s">
        <v>1324</v>
      </c>
      <c r="D2803" s="1137"/>
      <c r="E2803" s="1022"/>
      <c r="F2803" s="1848"/>
      <c r="G2803" s="1076"/>
      <c r="H2803" s="1022"/>
      <c r="I2803" s="1062"/>
      <c r="J2803" s="1022"/>
      <c r="K2803" s="1022"/>
      <c r="L2803" s="1022"/>
    </row>
    <row r="2804" spans="1:12">
      <c r="A2804" s="1058"/>
      <c r="B2804" s="1058"/>
      <c r="C2804" s="1817" t="s">
        <v>1299</v>
      </c>
      <c r="D2804" s="1137">
        <v>0.96</v>
      </c>
      <c r="E2804" s="1022" t="s">
        <v>955</v>
      </c>
      <c r="F2804" s="1848">
        <f>'Civil-SOR'!$G$293</f>
        <v>580</v>
      </c>
      <c r="G2804" s="1076">
        <v>1</v>
      </c>
      <c r="H2804" s="1022" t="s">
        <v>501</v>
      </c>
      <c r="I2804" s="1062">
        <f t="shared" ref="I2804:I2808" si="663">IF(G2804="",D2804*F2804,(D2804*F2804/G2804))</f>
        <v>556.79999999999995</v>
      </c>
      <c r="J2804" s="1022"/>
      <c r="K2804" s="1022"/>
      <c r="L2804" s="1022"/>
    </row>
    <row r="2805" spans="1:12">
      <c r="A2805" s="1058"/>
      <c r="B2805" s="1058"/>
      <c r="C2805" s="1817" t="s">
        <v>1325</v>
      </c>
      <c r="D2805" s="1137">
        <v>2.2400000000000002</v>
      </c>
      <c r="E2805" s="1022" t="s">
        <v>955</v>
      </c>
      <c r="F2805" s="1848">
        <f>'Civil-SOR'!$G$302</f>
        <v>550</v>
      </c>
      <c r="G2805" s="1076">
        <v>1</v>
      </c>
      <c r="H2805" s="1022" t="s">
        <v>501</v>
      </c>
      <c r="I2805" s="1062">
        <f t="shared" si="663"/>
        <v>1232.0000000000002</v>
      </c>
      <c r="J2805" s="1022"/>
      <c r="K2805" s="1022"/>
      <c r="L2805" s="1022"/>
    </row>
    <row r="2806" spans="1:12">
      <c r="A2806" s="1058"/>
      <c r="B2806" s="1058"/>
      <c r="C2806" s="1817" t="s">
        <v>1401</v>
      </c>
      <c r="D2806" s="1137">
        <v>3.3</v>
      </c>
      <c r="E2806" s="1022" t="s">
        <v>955</v>
      </c>
      <c r="F2806" s="1848">
        <f>'Civil-SOR'!$G$307</f>
        <v>520</v>
      </c>
      <c r="G2806" s="1076">
        <v>1</v>
      </c>
      <c r="H2806" s="1022" t="s">
        <v>501</v>
      </c>
      <c r="I2806" s="1062">
        <f t="shared" si="663"/>
        <v>1716</v>
      </c>
      <c r="J2806" s="1022"/>
      <c r="K2806" s="1022"/>
      <c r="L2806" s="1022"/>
    </row>
    <row r="2807" spans="1:12">
      <c r="A2807" s="1058"/>
      <c r="B2807" s="1058"/>
      <c r="C2807" s="1817" t="str">
        <f>Input!$C$47</f>
        <v>Add for MA @ 40%</v>
      </c>
      <c r="D2807" s="1160">
        <f>Input!$D$47</f>
        <v>0.4</v>
      </c>
      <c r="E2807" s="1022"/>
      <c r="F2807" s="1848">
        <f>SUM(I2804:I2806)</f>
        <v>3504.8</v>
      </c>
      <c r="G2807" s="1076"/>
      <c r="H2807" s="1022"/>
      <c r="I2807" s="1062">
        <f t="shared" si="663"/>
        <v>1401.92</v>
      </c>
      <c r="J2807" s="1022"/>
      <c r="K2807" s="1022"/>
      <c r="L2807" s="1022"/>
    </row>
    <row r="2808" spans="1:12">
      <c r="A2808" s="1058"/>
      <c r="B2808" s="1058"/>
      <c r="C2808" s="1817" t="s">
        <v>1301</v>
      </c>
      <c r="D2808" s="1137">
        <v>0.01</v>
      </c>
      <c r="E2808" s="1022"/>
      <c r="F2808" s="1848">
        <f>SUM(I2798:I2807)</f>
        <v>11758.109200000001</v>
      </c>
      <c r="G2808" s="1076"/>
      <c r="H2808" s="1022"/>
      <c r="I2808" s="1062">
        <f t="shared" si="663"/>
        <v>117.58109200000001</v>
      </c>
      <c r="J2808" s="1022"/>
      <c r="K2808" s="1022"/>
      <c r="L2808" s="1022"/>
    </row>
    <row r="2809" spans="1:12">
      <c r="A2809" s="1086"/>
      <c r="B2809" s="1086"/>
      <c r="C2809" s="1183" t="s">
        <v>1409</v>
      </c>
      <c r="D2809" s="1117"/>
      <c r="E2809" s="996"/>
      <c r="F2809" s="1829"/>
      <c r="G2809" s="1108"/>
      <c r="H2809" s="996"/>
      <c r="I2809" s="1826">
        <f>SUM(I2798:I2808)</f>
        <v>11875.690292000001</v>
      </c>
      <c r="J2809" s="996"/>
      <c r="K2809" s="996"/>
      <c r="L2809" s="996"/>
    </row>
    <row r="2810" spans="1:12">
      <c r="A2810" s="1818"/>
      <c r="B2810" s="1818"/>
      <c r="C2810" s="1846"/>
      <c r="D2810" s="1096"/>
      <c r="E2810" s="1846"/>
      <c r="F2810" s="1021"/>
      <c r="G2810" s="1105"/>
      <c r="H2810" s="1846"/>
      <c r="I2810" s="1030"/>
      <c r="J2810" s="1846"/>
      <c r="K2810" s="1846"/>
      <c r="L2810" s="1846"/>
    </row>
    <row r="2811" spans="1:12">
      <c r="A2811" s="1818"/>
      <c r="B2811" s="1818"/>
      <c r="C2811" s="1816" t="s">
        <v>1217</v>
      </c>
      <c r="D2811" s="1009" t="s">
        <v>1223</v>
      </c>
      <c r="E2811" s="1114" t="s">
        <v>1207</v>
      </c>
      <c r="F2811" s="1106" t="s">
        <v>1208</v>
      </c>
      <c r="G2811" s="1009" t="s">
        <v>1291</v>
      </c>
      <c r="H2811" s="1009" t="s">
        <v>1292</v>
      </c>
      <c r="I2811" s="1009" t="s">
        <v>1293</v>
      </c>
      <c r="J2811" s="1009"/>
      <c r="K2811" s="1009" t="s">
        <v>1358</v>
      </c>
      <c r="L2811" s="1009" t="s">
        <v>1359</v>
      </c>
    </row>
    <row r="2812" spans="1:12">
      <c r="A2812" s="1818"/>
      <c r="B2812" s="1818"/>
      <c r="C2812" s="1817" t="s">
        <v>1317</v>
      </c>
      <c r="D2812" s="1001">
        <f>I2809</f>
        <v>11875.690292000001</v>
      </c>
      <c r="E2812" s="1001">
        <f t="shared" ref="E2812:L2812" si="664">D2812</f>
        <v>11875.690292000001</v>
      </c>
      <c r="F2812" s="1001">
        <f t="shared" si="664"/>
        <v>11875.690292000001</v>
      </c>
      <c r="G2812" s="1001">
        <f t="shared" si="664"/>
        <v>11875.690292000001</v>
      </c>
      <c r="H2812" s="1001">
        <f t="shared" si="664"/>
        <v>11875.690292000001</v>
      </c>
      <c r="I2812" s="1001">
        <f t="shared" si="664"/>
        <v>11875.690292000001</v>
      </c>
      <c r="J2812" s="1001"/>
      <c r="K2812" s="1001">
        <f t="shared" si="664"/>
        <v>0</v>
      </c>
      <c r="L2812" s="1001">
        <f t="shared" si="664"/>
        <v>0</v>
      </c>
    </row>
    <row r="2813" spans="1:12">
      <c r="A2813" s="1818"/>
      <c r="B2813" s="1818"/>
      <c r="C2813" s="1817" t="s">
        <v>1253</v>
      </c>
      <c r="D2813" s="1001">
        <v>0</v>
      </c>
      <c r="E2813" s="1001">
        <f>ROUND($F$2807*10%,2)</f>
        <v>350.48</v>
      </c>
      <c r="F2813" s="1001">
        <f>ROUND($F$2807*20%,2)</f>
        <v>700.96</v>
      </c>
      <c r="G2813" s="1001">
        <f>ROUND($F$2807*30%,2)</f>
        <v>1051.44</v>
      </c>
      <c r="H2813" s="1001">
        <f>ROUND($F$2807*40%,2)</f>
        <v>1401.92</v>
      </c>
      <c r="I2813" s="1001">
        <f>ROUND($F$2807*50%,2)</f>
        <v>1752.4</v>
      </c>
      <c r="J2813" s="1001"/>
      <c r="K2813" s="1001">
        <f>ROUND($F$2807*70%,2)</f>
        <v>2453.36</v>
      </c>
      <c r="L2813" s="1001">
        <f>ROUND($F$2807*80%,2)</f>
        <v>2803.84</v>
      </c>
    </row>
    <row r="2814" spans="1:12">
      <c r="A2814" s="1818"/>
      <c r="B2814" s="1818"/>
      <c r="C2814" s="1817" t="str">
        <f>Input!$C$47</f>
        <v>Add for MA @ 40%</v>
      </c>
      <c r="D2814" s="1001">
        <f>D2813*Input!$D$47</f>
        <v>0</v>
      </c>
      <c r="E2814" s="1001">
        <f>E2813*Input!$D$47</f>
        <v>140.19200000000001</v>
      </c>
      <c r="F2814" s="1001">
        <f>F2813*Input!$D$47</f>
        <v>280.38400000000001</v>
      </c>
      <c r="G2814" s="1001">
        <f>G2813*Input!$D$47</f>
        <v>420.57600000000002</v>
      </c>
      <c r="H2814" s="1001">
        <f>H2813*Input!$D$47</f>
        <v>560.76800000000003</v>
      </c>
      <c r="I2814" s="1001">
        <f>I2813*Input!$D$47</f>
        <v>700.96</v>
      </c>
      <c r="J2814" s="1001"/>
      <c r="K2814" s="1001">
        <f>K2813*Input!$D$47</f>
        <v>981.34400000000005</v>
      </c>
      <c r="L2814" s="1001">
        <f>L2813*Input!$D$47</f>
        <v>1121.5360000000001</v>
      </c>
    </row>
    <row r="2815" spans="1:12">
      <c r="A2815" s="1818"/>
      <c r="B2815" s="1818"/>
      <c r="C2815" s="1846"/>
      <c r="D2815" s="1001">
        <f t="shared" ref="D2815:L2815" si="665">SUM(D2812:D2814)</f>
        <v>11875.690292000001</v>
      </c>
      <c r="E2815" s="1001">
        <f t="shared" si="665"/>
        <v>12366.362292000002</v>
      </c>
      <c r="F2815" s="1001">
        <f t="shared" si="665"/>
        <v>12857.034292000002</v>
      </c>
      <c r="G2815" s="1001">
        <f t="shared" si="665"/>
        <v>13347.706292000003</v>
      </c>
      <c r="H2815" s="1001">
        <f t="shared" si="665"/>
        <v>13838.378292000001</v>
      </c>
      <c r="I2815" s="1001">
        <f t="shared" si="665"/>
        <v>14329.050292</v>
      </c>
      <c r="J2815" s="1001"/>
      <c r="K2815" s="1001">
        <f t="shared" si="665"/>
        <v>3434.7040000000002</v>
      </c>
      <c r="L2815" s="1001">
        <f t="shared" si="665"/>
        <v>3925.3760000000002</v>
      </c>
    </row>
    <row r="2816" spans="1:12">
      <c r="A2816" s="1818"/>
      <c r="B2816" s="1818"/>
      <c r="C2816" s="1817" t="str">
        <f>Input!$C$48</f>
        <v>Overheads &amp; Contractors Profit @ 13.615%</v>
      </c>
      <c r="D2816" s="1001">
        <f>ROUND(D2815*Input!$D$48,2)</f>
        <v>1616.88</v>
      </c>
      <c r="E2816" s="1001">
        <f>ROUND(E2815*Input!$D$48,2)</f>
        <v>1683.68</v>
      </c>
      <c r="F2816" s="1001">
        <f>ROUND(F2815*Input!$D$48,2)</f>
        <v>1750.49</v>
      </c>
      <c r="G2816" s="1001">
        <f>ROUND(G2815*Input!$D$48,2)</f>
        <v>1817.29</v>
      </c>
      <c r="H2816" s="1001">
        <f>ROUND(H2815*Input!$D$48,2)</f>
        <v>1884.1</v>
      </c>
      <c r="I2816" s="1001">
        <f>ROUND(I2815*Input!$D$48,2)</f>
        <v>1950.9</v>
      </c>
      <c r="J2816" s="1001"/>
      <c r="K2816" s="1001">
        <f>ROUND(K2815*Input!$D$48,2)</f>
        <v>467.63</v>
      </c>
      <c r="L2816" s="1001">
        <f>ROUND(L2815*Input!$D$48,2)</f>
        <v>534.44000000000005</v>
      </c>
    </row>
    <row r="2817" spans="1:64">
      <c r="A2817" s="1818"/>
      <c r="B2817" s="1818"/>
      <c r="C2817" s="1816" t="s">
        <v>1302</v>
      </c>
      <c r="D2817" s="1001">
        <f t="shared" ref="D2817:L2817" si="666">SUM(D2815:D2816)</f>
        <v>13492.570292</v>
      </c>
      <c r="E2817" s="1001">
        <f t="shared" si="666"/>
        <v>14050.042292000002</v>
      </c>
      <c r="F2817" s="1001">
        <f t="shared" si="666"/>
        <v>14607.524292000002</v>
      </c>
      <c r="G2817" s="1001">
        <f t="shared" si="666"/>
        <v>15164.996292000003</v>
      </c>
      <c r="H2817" s="1001">
        <f t="shared" si="666"/>
        <v>15722.478292000002</v>
      </c>
      <c r="I2817" s="1001">
        <f t="shared" si="666"/>
        <v>16279.950292</v>
      </c>
      <c r="J2817" s="1001"/>
      <c r="K2817" s="1001">
        <f t="shared" si="666"/>
        <v>3902.3340000000003</v>
      </c>
      <c r="L2817" s="1001">
        <f t="shared" si="666"/>
        <v>4459.8160000000007</v>
      </c>
    </row>
    <row r="2818" spans="1:64">
      <c r="A2818" s="1086"/>
      <c r="B2818" s="1086"/>
      <c r="C2818" s="1088" t="s">
        <v>1117</v>
      </c>
      <c r="D2818" s="1826">
        <f t="shared" ref="D2818:L2818" si="667">D2817/10</f>
        <v>1349.2570292</v>
      </c>
      <c r="E2818" s="1826">
        <f t="shared" si="667"/>
        <v>1405.0042292000003</v>
      </c>
      <c r="F2818" s="1826">
        <f t="shared" si="667"/>
        <v>1460.7524292000003</v>
      </c>
      <c r="G2818" s="1826">
        <f t="shared" si="667"/>
        <v>1516.4996292000003</v>
      </c>
      <c r="H2818" s="1826">
        <f t="shared" si="667"/>
        <v>1572.2478292000001</v>
      </c>
      <c r="I2818" s="1826">
        <f t="shared" si="667"/>
        <v>1627.9950291999999</v>
      </c>
      <c r="J2818" s="1826"/>
      <c r="K2818" s="1826">
        <f t="shared" si="667"/>
        <v>390.23340000000002</v>
      </c>
      <c r="L2818" s="1826">
        <f t="shared" si="667"/>
        <v>445.98160000000007</v>
      </c>
    </row>
    <row r="2819" spans="1:64">
      <c r="A2819" s="1086"/>
      <c r="B2819" s="1086"/>
      <c r="C2819" s="1118" t="s">
        <v>1034</v>
      </c>
      <c r="D2819" s="999">
        <f t="shared" ref="D2819:L2819" si="668">ROUND(D2818,0)</f>
        <v>1349</v>
      </c>
      <c r="E2819" s="999">
        <f t="shared" si="668"/>
        <v>1405</v>
      </c>
      <c r="F2819" s="999">
        <f t="shared" si="668"/>
        <v>1461</v>
      </c>
      <c r="G2819" s="999">
        <f t="shared" si="668"/>
        <v>1516</v>
      </c>
      <c r="H2819" s="999">
        <f t="shared" si="668"/>
        <v>1572</v>
      </c>
      <c r="I2819" s="999">
        <f t="shared" si="668"/>
        <v>1628</v>
      </c>
      <c r="J2819" s="999"/>
      <c r="K2819" s="999">
        <f t="shared" si="668"/>
        <v>390</v>
      </c>
      <c r="L2819" s="999">
        <f t="shared" si="668"/>
        <v>446</v>
      </c>
    </row>
    <row r="2820" spans="1:64">
      <c r="A2820" s="1818"/>
      <c r="B2820" s="1818"/>
      <c r="C2820" s="1817"/>
      <c r="D2820" s="1158"/>
      <c r="E2820" s="1846"/>
      <c r="F2820" s="1021"/>
      <c r="G2820" s="1105"/>
      <c r="H2820" s="1846"/>
      <c r="I2820" s="1030"/>
      <c r="J2820" s="1846"/>
      <c r="K2820" s="1846"/>
      <c r="L2820" s="1846"/>
    </row>
    <row r="2821" spans="1:64" ht="136.5" customHeight="1">
      <c r="A2821" s="1106">
        <f>A2767+1</f>
        <v>35</v>
      </c>
      <c r="B2821" s="1818"/>
      <c r="C2821" s="2036" t="s">
        <v>3426</v>
      </c>
      <c r="D2821" s="2036"/>
      <c r="E2821" s="2036"/>
      <c r="F2821" s="2036"/>
      <c r="G2821" s="2036"/>
      <c r="H2821" s="2036"/>
      <c r="I2821" s="1825"/>
      <c r="J2821" s="1846"/>
      <c r="K2821" s="1846"/>
      <c r="L2821" s="1846"/>
    </row>
    <row r="2822" spans="1:64">
      <c r="A2822" s="1818"/>
      <c r="B2822" s="1818"/>
      <c r="C2822" s="1049" t="s">
        <v>1414</v>
      </c>
      <c r="D2822" s="1846"/>
      <c r="E2822" s="1846"/>
      <c r="F2822" s="1068"/>
      <c r="G2822" s="1846"/>
      <c r="H2822" s="1846"/>
      <c r="I2822" s="1021"/>
      <c r="J2822" s="1846"/>
      <c r="K2822" s="1846"/>
      <c r="L2822" s="1846"/>
    </row>
    <row r="2823" spans="1:64">
      <c r="A2823" s="1818"/>
      <c r="B2823" s="1818"/>
      <c r="C2823" s="1820" t="s">
        <v>1394</v>
      </c>
      <c r="D2823" s="1846"/>
      <c r="E2823" s="1846"/>
      <c r="F2823" s="1068"/>
      <c r="G2823" s="1846"/>
      <c r="H2823" s="1846"/>
      <c r="I2823" s="1021"/>
      <c r="J2823" s="1846"/>
      <c r="K2823" s="1846"/>
      <c r="L2823" s="1846"/>
    </row>
    <row r="2824" spans="1:64">
      <c r="A2824" s="1818"/>
      <c r="B2824" s="1818"/>
      <c r="C2824" s="1825" t="s">
        <v>1395</v>
      </c>
      <c r="D2824" s="1096"/>
      <c r="E2824" s="1846"/>
      <c r="F2824" s="1021"/>
      <c r="G2824" s="1105"/>
      <c r="H2824" s="1846"/>
      <c r="I2824" s="1030"/>
      <c r="J2824" s="1846"/>
      <c r="K2824" s="1846"/>
      <c r="L2824" s="1846"/>
    </row>
    <row r="2825" spans="1:64" ht="25.5">
      <c r="A2825" s="1818"/>
      <c r="B2825" s="1818"/>
      <c r="C2825" s="1184" t="s">
        <v>1415</v>
      </c>
      <c r="D2825" s="1018">
        <v>10.5</v>
      </c>
      <c r="E2825" s="1002" t="s">
        <v>46</v>
      </c>
      <c r="F2825" s="1093">
        <f>'Civil-SOR'!$G$19</f>
        <v>443</v>
      </c>
      <c r="G2825" s="1020">
        <v>1</v>
      </c>
      <c r="H2825" s="1002" t="s">
        <v>46</v>
      </c>
      <c r="I2825" s="1001">
        <f t="shared" ref="I2825:I2829" si="669">IF(G2825="",D2825*F2825,(D2825*F2825/G2825))</f>
        <v>4651.5</v>
      </c>
      <c r="J2825" s="1002"/>
      <c r="K2825" s="1002"/>
      <c r="L2825" s="1002"/>
      <c r="M2825" s="1003"/>
      <c r="N2825" s="1003"/>
      <c r="O2825" s="1003"/>
      <c r="P2825" s="1003"/>
      <c r="Q2825" s="1003"/>
      <c r="R2825" s="1003"/>
      <c r="S2825" s="1003"/>
      <c r="T2825" s="1003"/>
      <c r="U2825" s="1003"/>
      <c r="V2825" s="1003"/>
      <c r="W2825" s="1003"/>
      <c r="X2825" s="1003"/>
      <c r="Y2825" s="1003"/>
      <c r="Z2825" s="1003"/>
      <c r="AA2825" s="1003"/>
      <c r="AB2825" s="1003"/>
      <c r="AC2825" s="1003"/>
      <c r="AD2825" s="1003"/>
      <c r="AE2825" s="1003"/>
      <c r="AF2825" s="1003"/>
      <c r="AG2825" s="1003"/>
      <c r="AH2825" s="1003"/>
      <c r="AI2825" s="1003"/>
      <c r="AJ2825" s="1003"/>
      <c r="AK2825" s="1003"/>
      <c r="AL2825" s="1003"/>
      <c r="AM2825" s="1003"/>
      <c r="AN2825" s="1003"/>
      <c r="AO2825" s="1003"/>
      <c r="AP2825" s="1003"/>
      <c r="AQ2825" s="1003"/>
      <c r="AR2825" s="1003"/>
      <c r="AS2825" s="1003"/>
      <c r="AT2825" s="1003"/>
      <c r="AU2825" s="1003"/>
      <c r="AV2825" s="1003"/>
      <c r="AW2825" s="1003"/>
      <c r="AX2825" s="1003"/>
      <c r="AY2825" s="1003"/>
      <c r="AZ2825" s="1003"/>
      <c r="BA2825" s="1003"/>
      <c r="BB2825" s="1003"/>
      <c r="BC2825" s="1003"/>
      <c r="BD2825" s="1003"/>
      <c r="BE2825" s="1003"/>
      <c r="BF2825" s="1003"/>
      <c r="BG2825" s="1003"/>
      <c r="BH2825" s="1003"/>
      <c r="BI2825" s="1003"/>
      <c r="BJ2825" s="1003"/>
      <c r="BK2825" s="1003"/>
      <c r="BL2825" s="1003"/>
    </row>
    <row r="2826" spans="1:64">
      <c r="A2826" s="1818"/>
      <c r="B2826" s="1818"/>
      <c r="C2826" s="1184" t="s">
        <v>1410</v>
      </c>
      <c r="D2826" s="1018">
        <v>21.6</v>
      </c>
      <c r="E2826" s="1002" t="s">
        <v>1110</v>
      </c>
      <c r="F2826" s="1093">
        <f>LEAD!$N$6</f>
        <v>5200</v>
      </c>
      <c r="G2826" s="1020">
        <v>1000</v>
      </c>
      <c r="H2826" s="1002" t="s">
        <v>1110</v>
      </c>
      <c r="I2826" s="1001">
        <f t="shared" si="669"/>
        <v>112.32000000000002</v>
      </c>
      <c r="J2826" s="1002"/>
      <c r="K2826" s="1002"/>
      <c r="L2826" s="1002"/>
      <c r="M2826" s="1003"/>
      <c r="N2826" s="1003"/>
      <c r="O2826" s="1003"/>
      <c r="P2826" s="1003"/>
      <c r="Q2826" s="1003"/>
      <c r="R2826" s="1003"/>
      <c r="S2826" s="1003"/>
      <c r="T2826" s="1003"/>
      <c r="U2826" s="1003"/>
      <c r="V2826" s="1003"/>
      <c r="W2826" s="1003"/>
      <c r="X2826" s="1003"/>
      <c r="Y2826" s="1003"/>
      <c r="Z2826" s="1003"/>
      <c r="AA2826" s="1003"/>
      <c r="AB2826" s="1003"/>
      <c r="AC2826" s="1003"/>
      <c r="AD2826" s="1003"/>
      <c r="AE2826" s="1003"/>
      <c r="AF2826" s="1003"/>
      <c r="AG2826" s="1003"/>
      <c r="AH2826" s="1003"/>
      <c r="AI2826" s="1003"/>
      <c r="AJ2826" s="1003"/>
      <c r="AK2826" s="1003"/>
      <c r="AL2826" s="1003"/>
      <c r="AM2826" s="1003"/>
      <c r="AN2826" s="1003"/>
      <c r="AO2826" s="1003"/>
      <c r="AP2826" s="1003"/>
      <c r="AQ2826" s="1003"/>
      <c r="AR2826" s="1003"/>
      <c r="AS2826" s="1003"/>
      <c r="AT2826" s="1003"/>
      <c r="AU2826" s="1003"/>
      <c r="AV2826" s="1003"/>
      <c r="AW2826" s="1003"/>
      <c r="AX2826" s="1003"/>
      <c r="AY2826" s="1003"/>
      <c r="AZ2826" s="1003"/>
      <c r="BA2826" s="1003"/>
      <c r="BB2826" s="1003"/>
      <c r="BC2826" s="1003"/>
      <c r="BD2826" s="1003"/>
      <c r="BE2826" s="1003"/>
      <c r="BF2826" s="1003"/>
      <c r="BG2826" s="1003"/>
      <c r="BH2826" s="1003"/>
      <c r="BI2826" s="1003"/>
      <c r="BJ2826" s="1003"/>
      <c r="BK2826" s="1003"/>
      <c r="BL2826" s="1003"/>
    </row>
    <row r="2827" spans="1:64">
      <c r="A2827" s="1818"/>
      <c r="B2827" s="1818"/>
      <c r="C2827" s="1820" t="s">
        <v>1398</v>
      </c>
      <c r="D2827" s="1096">
        <v>33</v>
      </c>
      <c r="E2827" s="1846" t="s">
        <v>1110</v>
      </c>
      <c r="F2827" s="1021">
        <f>LEAD!$N$6</f>
        <v>5200</v>
      </c>
      <c r="G2827" s="1105">
        <v>1000</v>
      </c>
      <c r="H2827" s="1846" t="s">
        <v>1110</v>
      </c>
      <c r="I2827" s="1030">
        <f t="shared" si="669"/>
        <v>171.6</v>
      </c>
      <c r="J2827" s="1846"/>
      <c r="K2827" s="1846"/>
      <c r="L2827" s="1846"/>
    </row>
    <row r="2828" spans="1:64">
      <c r="A2828" s="1818"/>
      <c r="B2828" s="1818"/>
      <c r="C2828" s="1820" t="s">
        <v>1408</v>
      </c>
      <c r="D2828" s="1096">
        <v>6</v>
      </c>
      <c r="E2828" s="1846" t="s">
        <v>1110</v>
      </c>
      <c r="F2828" s="1021">
        <f>'Civil-SOR'!$G$185</f>
        <v>34</v>
      </c>
      <c r="G2828" s="1105">
        <v>1</v>
      </c>
      <c r="H2828" s="1846" t="s">
        <v>97</v>
      </c>
      <c r="I2828" s="1030">
        <f t="shared" si="669"/>
        <v>204</v>
      </c>
      <c r="J2828" s="1846"/>
      <c r="K2828" s="1846"/>
      <c r="L2828" s="1846"/>
    </row>
    <row r="2829" spans="1:64">
      <c r="A2829" s="1818"/>
      <c r="B2829" s="1818"/>
      <c r="C2829" s="1820" t="s">
        <v>1400</v>
      </c>
      <c r="D2829" s="1096">
        <v>0.12</v>
      </c>
      <c r="E2829" s="1846" t="s">
        <v>484</v>
      </c>
      <c r="F2829" s="1021">
        <f>LEAD!$N$13</f>
        <v>2453.91</v>
      </c>
      <c r="G2829" s="1105">
        <v>1</v>
      </c>
      <c r="H2829" s="1846" t="s">
        <v>484</v>
      </c>
      <c r="I2829" s="1030">
        <f t="shared" si="669"/>
        <v>294.46919999999994</v>
      </c>
      <c r="J2829" s="1846"/>
      <c r="K2829" s="1846"/>
      <c r="L2829" s="1846"/>
    </row>
    <row r="2830" spans="1:64">
      <c r="A2830" s="1818"/>
      <c r="B2830" s="1818"/>
      <c r="C2830" s="1825" t="s">
        <v>1324</v>
      </c>
      <c r="D2830" s="1096"/>
      <c r="E2830" s="1846"/>
      <c r="F2830" s="1021"/>
      <c r="G2830" s="1105"/>
      <c r="H2830" s="1846"/>
      <c r="I2830" s="1030"/>
      <c r="J2830" s="1846"/>
      <c r="K2830" s="1846"/>
      <c r="L2830" s="1846"/>
    </row>
    <row r="2831" spans="1:64">
      <c r="A2831" s="1818"/>
      <c r="B2831" s="1818"/>
      <c r="C2831" s="1820" t="s">
        <v>1299</v>
      </c>
      <c r="D2831" s="1096">
        <v>0.96</v>
      </c>
      <c r="E2831" s="1846" t="s">
        <v>955</v>
      </c>
      <c r="F2831" s="1021">
        <f>'Civil-SOR'!$G$293</f>
        <v>580</v>
      </c>
      <c r="G2831" s="1105">
        <v>1</v>
      </c>
      <c r="H2831" s="1846" t="s">
        <v>501</v>
      </c>
      <c r="I2831" s="1030">
        <f t="shared" ref="I2831:I2835" si="670">IF(G2831="",D2831*F2831,(D2831*F2831/G2831))</f>
        <v>556.79999999999995</v>
      </c>
      <c r="J2831" s="1846"/>
      <c r="K2831" s="1846"/>
      <c r="L2831" s="1846"/>
    </row>
    <row r="2832" spans="1:64">
      <c r="A2832" s="1818"/>
      <c r="B2832" s="1818"/>
      <c r="C2832" s="1820" t="s">
        <v>1325</v>
      </c>
      <c r="D2832" s="1096">
        <v>2.2400000000000002</v>
      </c>
      <c r="E2832" s="1846" t="s">
        <v>955</v>
      </c>
      <c r="F2832" s="1021">
        <f>'Civil-SOR'!$G$302</f>
        <v>550</v>
      </c>
      <c r="G2832" s="1105">
        <v>1</v>
      </c>
      <c r="H2832" s="1846" t="s">
        <v>501</v>
      </c>
      <c r="I2832" s="1030">
        <f t="shared" si="670"/>
        <v>1232.0000000000002</v>
      </c>
      <c r="J2832" s="1846"/>
      <c r="K2832" s="1846"/>
      <c r="L2832" s="1846"/>
    </row>
    <row r="2833" spans="1:64">
      <c r="A2833" s="1818"/>
      <c r="B2833" s="1818"/>
      <c r="C2833" s="1820" t="s">
        <v>1401</v>
      </c>
      <c r="D2833" s="1096">
        <v>3.3</v>
      </c>
      <c r="E2833" s="1846" t="s">
        <v>955</v>
      </c>
      <c r="F2833" s="1021">
        <f>'Civil-SOR'!$G$307</f>
        <v>520</v>
      </c>
      <c r="G2833" s="1105">
        <v>1</v>
      </c>
      <c r="H2833" s="1846" t="s">
        <v>501</v>
      </c>
      <c r="I2833" s="1030">
        <f t="shared" si="670"/>
        <v>1716</v>
      </c>
      <c r="J2833" s="1846"/>
      <c r="K2833" s="1846"/>
      <c r="L2833" s="1846"/>
    </row>
    <row r="2834" spans="1:64">
      <c r="A2834" s="1818"/>
      <c r="B2834" s="1818"/>
      <c r="C2834" s="1817" t="str">
        <f>Input!$C$47</f>
        <v>Add for MA @ 40%</v>
      </c>
      <c r="D2834" s="1158">
        <f>Input!$D$47</f>
        <v>0.4</v>
      </c>
      <c r="E2834" s="1846"/>
      <c r="F2834" s="1021">
        <f>SUM(I2831:I2833)</f>
        <v>3504.8</v>
      </c>
      <c r="G2834" s="1105"/>
      <c r="H2834" s="1846"/>
      <c r="I2834" s="1030">
        <f t="shared" si="670"/>
        <v>1401.92</v>
      </c>
      <c r="J2834" s="1846"/>
      <c r="K2834" s="1846"/>
      <c r="L2834" s="1846"/>
    </row>
    <row r="2835" spans="1:64">
      <c r="A2835" s="1818"/>
      <c r="B2835" s="1818"/>
      <c r="C2835" s="1820" t="s">
        <v>1301</v>
      </c>
      <c r="D2835" s="1096">
        <v>0.01</v>
      </c>
      <c r="E2835" s="1846"/>
      <c r="F2835" s="1021">
        <f>SUM(I2825:I2834)</f>
        <v>10340.609200000001</v>
      </c>
      <c r="G2835" s="1105"/>
      <c r="H2835" s="1846"/>
      <c r="I2835" s="1030">
        <f t="shared" si="670"/>
        <v>103.40609200000002</v>
      </c>
      <c r="J2835" s="1846"/>
      <c r="K2835" s="1846"/>
      <c r="L2835" s="1846"/>
    </row>
    <row r="2836" spans="1:64">
      <c r="A2836" s="1086"/>
      <c r="B2836" s="1086"/>
      <c r="C2836" s="1183" t="s">
        <v>1409</v>
      </c>
      <c r="D2836" s="1117"/>
      <c r="E2836" s="996"/>
      <c r="F2836" s="1829"/>
      <c r="G2836" s="1108"/>
      <c r="H2836" s="996"/>
      <c r="I2836" s="1826">
        <f>SUM(I2825:I2835)</f>
        <v>10444.015292</v>
      </c>
      <c r="J2836" s="996"/>
      <c r="K2836" s="996"/>
      <c r="L2836" s="996"/>
      <c r="M2836" s="997"/>
      <c r="N2836" s="997"/>
      <c r="O2836" s="997"/>
      <c r="P2836" s="997"/>
      <c r="Q2836" s="997"/>
      <c r="R2836" s="997"/>
      <c r="S2836" s="997"/>
      <c r="T2836" s="997"/>
      <c r="U2836" s="997"/>
      <c r="V2836" s="997"/>
      <c r="W2836" s="997"/>
      <c r="X2836" s="997"/>
      <c r="Y2836" s="997"/>
      <c r="Z2836" s="997"/>
      <c r="AA2836" s="997"/>
      <c r="AB2836" s="997"/>
      <c r="AC2836" s="997"/>
      <c r="AD2836" s="997"/>
      <c r="AE2836" s="997"/>
      <c r="AF2836" s="997"/>
      <c r="AG2836" s="997"/>
      <c r="AH2836" s="997"/>
      <c r="AI2836" s="997"/>
      <c r="AJ2836" s="997"/>
      <c r="AK2836" s="997"/>
      <c r="AL2836" s="997"/>
      <c r="AM2836" s="997"/>
      <c r="AN2836" s="997"/>
      <c r="AO2836" s="997"/>
      <c r="AP2836" s="997"/>
      <c r="AQ2836" s="997"/>
      <c r="AR2836" s="997"/>
      <c r="AS2836" s="997"/>
      <c r="AT2836" s="997"/>
      <c r="AU2836" s="997"/>
      <c r="AV2836" s="997"/>
      <c r="AW2836" s="997"/>
      <c r="AX2836" s="997"/>
      <c r="AY2836" s="997"/>
      <c r="AZ2836" s="997"/>
      <c r="BA2836" s="997"/>
      <c r="BB2836" s="997"/>
      <c r="BC2836" s="997"/>
      <c r="BD2836" s="997"/>
      <c r="BE2836" s="997"/>
      <c r="BF2836" s="997"/>
      <c r="BG2836" s="997"/>
      <c r="BH2836" s="997"/>
      <c r="BI2836" s="997"/>
      <c r="BJ2836" s="997"/>
      <c r="BK2836" s="997"/>
      <c r="BL2836" s="997"/>
    </row>
    <row r="2837" spans="1:64">
      <c r="A2837" s="1818"/>
      <c r="B2837" s="1818"/>
      <c r="C2837" s="1846"/>
      <c r="D2837" s="1096"/>
      <c r="E2837" s="1846"/>
      <c r="F2837" s="1021"/>
      <c r="G2837" s="1105"/>
      <c r="H2837" s="1846"/>
      <c r="I2837" s="1030"/>
      <c r="J2837" s="1846"/>
      <c r="K2837" s="1846"/>
      <c r="L2837" s="1846"/>
    </row>
    <row r="2838" spans="1:64">
      <c r="A2838" s="1818"/>
      <c r="B2838" s="1818"/>
      <c r="C2838" s="1816" t="s">
        <v>1217</v>
      </c>
      <c r="D2838" s="1009" t="s">
        <v>1223</v>
      </c>
      <c r="E2838" s="1114" t="s">
        <v>1207</v>
      </c>
      <c r="F2838" s="1106" t="s">
        <v>1208</v>
      </c>
      <c r="G2838" s="1009" t="s">
        <v>1291</v>
      </c>
      <c r="H2838" s="1009" t="s">
        <v>1292</v>
      </c>
      <c r="I2838" s="1009" t="s">
        <v>1293</v>
      </c>
      <c r="J2838" s="1846"/>
      <c r="K2838" s="1846"/>
      <c r="L2838" s="1846"/>
    </row>
    <row r="2839" spans="1:64">
      <c r="A2839" s="1818"/>
      <c r="B2839" s="1818"/>
      <c r="C2839" s="1817" t="s">
        <v>1317</v>
      </c>
      <c r="D2839" s="1001">
        <f t="shared" ref="D2839:I2839" si="671">$I$2836</f>
        <v>10444.015292</v>
      </c>
      <c r="E2839" s="1001">
        <f t="shared" si="671"/>
        <v>10444.015292</v>
      </c>
      <c r="F2839" s="1001">
        <f t="shared" si="671"/>
        <v>10444.015292</v>
      </c>
      <c r="G2839" s="1001">
        <f t="shared" si="671"/>
        <v>10444.015292</v>
      </c>
      <c r="H2839" s="1001">
        <f t="shared" si="671"/>
        <v>10444.015292</v>
      </c>
      <c r="I2839" s="1001">
        <f t="shared" si="671"/>
        <v>10444.015292</v>
      </c>
      <c r="J2839" s="1846"/>
      <c r="K2839" s="1846"/>
      <c r="L2839" s="1846"/>
    </row>
    <row r="2840" spans="1:64">
      <c r="A2840" s="1818"/>
      <c r="B2840" s="1818"/>
      <c r="C2840" s="1817" t="s">
        <v>1253</v>
      </c>
      <c r="D2840" s="1001">
        <v>0</v>
      </c>
      <c r="E2840" s="1001">
        <f>ROUND($F$2780*10%,2)</f>
        <v>350.48</v>
      </c>
      <c r="F2840" s="1001">
        <f>ROUND($F$2780*20%,2)</f>
        <v>700.96</v>
      </c>
      <c r="G2840" s="1001">
        <f>ROUND($F$2780*30%,2)</f>
        <v>1051.44</v>
      </c>
      <c r="H2840" s="1001">
        <f>ROUND($F$2780*40%,2)</f>
        <v>1401.92</v>
      </c>
      <c r="I2840" s="1001">
        <f>ROUND($F$2780*50%,2)</f>
        <v>1752.4</v>
      </c>
      <c r="J2840" s="1846"/>
      <c r="K2840" s="1846"/>
      <c r="L2840" s="1846"/>
    </row>
    <row r="2841" spans="1:64">
      <c r="A2841" s="1818"/>
      <c r="B2841" s="1818"/>
      <c r="C2841" s="1817" t="str">
        <f>Input!C47</f>
        <v>Add for MA @ 40%</v>
      </c>
      <c r="D2841" s="1001">
        <f>D2840*Input!$D$47</f>
        <v>0</v>
      </c>
      <c r="E2841" s="1001">
        <f>E2840*Input!$D$47</f>
        <v>140.19200000000001</v>
      </c>
      <c r="F2841" s="1001">
        <f>F2840*Input!$D$47</f>
        <v>280.38400000000001</v>
      </c>
      <c r="G2841" s="1001">
        <f>G2840*Input!$D$47</f>
        <v>420.57600000000002</v>
      </c>
      <c r="H2841" s="1001">
        <f>H2840*Input!$D$47</f>
        <v>560.76800000000003</v>
      </c>
      <c r="I2841" s="1001">
        <f>I2840*Input!$D$47</f>
        <v>700.96</v>
      </c>
      <c r="J2841" s="1846"/>
      <c r="K2841" s="1846"/>
      <c r="L2841" s="1846"/>
    </row>
    <row r="2842" spans="1:64">
      <c r="A2842" s="1818"/>
      <c r="B2842" s="1818"/>
      <c r="C2842" s="1846"/>
      <c r="D2842" s="1001">
        <f t="shared" ref="D2842:I2842" si="672">SUM(D2839:D2841)</f>
        <v>10444.015292</v>
      </c>
      <c r="E2842" s="1001">
        <f t="shared" si="672"/>
        <v>10934.687291999999</v>
      </c>
      <c r="F2842" s="1001">
        <f t="shared" si="672"/>
        <v>11425.359291999999</v>
      </c>
      <c r="G2842" s="1001">
        <f t="shared" si="672"/>
        <v>11916.031292</v>
      </c>
      <c r="H2842" s="1001">
        <f t="shared" si="672"/>
        <v>12406.703292</v>
      </c>
      <c r="I2842" s="1001">
        <f t="shared" si="672"/>
        <v>12897.375292000001</v>
      </c>
      <c r="J2842" s="1846"/>
      <c r="K2842" s="1846"/>
      <c r="L2842" s="1846"/>
    </row>
    <row r="2843" spans="1:64">
      <c r="A2843" s="1818"/>
      <c r="B2843" s="1818"/>
      <c r="C2843" s="1817" t="str">
        <f>Input!$C$48</f>
        <v>Overheads &amp; Contractors Profit @ 13.615%</v>
      </c>
      <c r="D2843" s="1001">
        <f>ROUND(D2842*Input!$D$48,2)</f>
        <v>1421.95</v>
      </c>
      <c r="E2843" s="1001">
        <f>ROUND(E2842*Input!$D$48,2)</f>
        <v>1488.76</v>
      </c>
      <c r="F2843" s="1001">
        <f>ROUND(F2842*Input!$D$48,2)</f>
        <v>1555.56</v>
      </c>
      <c r="G2843" s="1001">
        <f>ROUND(G2842*Input!$D$48,2)</f>
        <v>1622.37</v>
      </c>
      <c r="H2843" s="1001">
        <f>ROUND(H2842*Input!$D$48,2)</f>
        <v>1689.17</v>
      </c>
      <c r="I2843" s="1001">
        <f>ROUND(I2842*Input!$D$48,2)</f>
        <v>1755.98</v>
      </c>
      <c r="J2843" s="1846"/>
      <c r="K2843" s="1846"/>
      <c r="L2843" s="1846"/>
    </row>
    <row r="2844" spans="1:64">
      <c r="A2844" s="1818"/>
      <c r="B2844" s="1818"/>
      <c r="C2844" s="1816" t="s">
        <v>1302</v>
      </c>
      <c r="D2844" s="1009">
        <f t="shared" ref="D2844:I2844" si="673">SUM(D2842:D2843)</f>
        <v>11865.965292000001</v>
      </c>
      <c r="E2844" s="1009">
        <f t="shared" si="673"/>
        <v>12423.447291999999</v>
      </c>
      <c r="F2844" s="1009">
        <f t="shared" si="673"/>
        <v>12980.919291999999</v>
      </c>
      <c r="G2844" s="1009">
        <f t="shared" si="673"/>
        <v>13538.401291999999</v>
      </c>
      <c r="H2844" s="1009">
        <f t="shared" si="673"/>
        <v>14095.873292</v>
      </c>
      <c r="I2844" s="1009">
        <f t="shared" si="673"/>
        <v>14653.355292</v>
      </c>
      <c r="J2844" s="1846"/>
      <c r="K2844" s="1846"/>
      <c r="L2844" s="1846"/>
    </row>
    <row r="2845" spans="1:64">
      <c r="A2845" s="1818"/>
      <c r="B2845" s="1818"/>
      <c r="C2845" s="1816" t="s">
        <v>1117</v>
      </c>
      <c r="D2845" s="1009">
        <f t="shared" ref="D2845:I2845" si="674">D2844/10</f>
        <v>1186.5965292000001</v>
      </c>
      <c r="E2845" s="1009">
        <f t="shared" si="674"/>
        <v>1242.3447291999998</v>
      </c>
      <c r="F2845" s="1009">
        <f t="shared" si="674"/>
        <v>1298.0919291999999</v>
      </c>
      <c r="G2845" s="1009">
        <f t="shared" si="674"/>
        <v>1353.8401291999999</v>
      </c>
      <c r="H2845" s="1009">
        <f t="shared" si="674"/>
        <v>1409.5873292000001</v>
      </c>
      <c r="I2845" s="1009">
        <f t="shared" si="674"/>
        <v>1465.3355292000001</v>
      </c>
      <c r="J2845" s="1846"/>
      <c r="K2845" s="1846"/>
      <c r="L2845" s="1846"/>
    </row>
    <row r="2846" spans="1:64">
      <c r="A2846" s="1818"/>
      <c r="B2846" s="1818"/>
      <c r="C2846" s="1118" t="s">
        <v>1034</v>
      </c>
      <c r="D2846" s="1114">
        <f t="shared" ref="D2846:I2846" si="675">ROUND(D2845,0)</f>
        <v>1187</v>
      </c>
      <c r="E2846" s="1114">
        <f t="shared" si="675"/>
        <v>1242</v>
      </c>
      <c r="F2846" s="1114">
        <f t="shared" si="675"/>
        <v>1298</v>
      </c>
      <c r="G2846" s="1114">
        <f t="shared" si="675"/>
        <v>1354</v>
      </c>
      <c r="H2846" s="1114">
        <f t="shared" si="675"/>
        <v>1410</v>
      </c>
      <c r="I2846" s="1114">
        <f t="shared" si="675"/>
        <v>1465</v>
      </c>
      <c r="J2846" s="1846"/>
      <c r="K2846" s="1846"/>
      <c r="L2846" s="1846"/>
    </row>
    <row r="2847" spans="1:64">
      <c r="A2847" s="1818"/>
      <c r="B2847" s="1818"/>
      <c r="C2847" s="1817"/>
      <c r="D2847" s="1158"/>
      <c r="E2847" s="1846"/>
      <c r="F2847" s="1021"/>
      <c r="G2847" s="1105"/>
      <c r="H2847" s="1846"/>
      <c r="I2847" s="1030"/>
      <c r="J2847" s="1846"/>
      <c r="K2847" s="1846"/>
      <c r="L2847" s="1846"/>
    </row>
    <row r="2848" spans="1:64">
      <c r="A2848" s="1818"/>
      <c r="B2848" s="1818"/>
      <c r="C2848" s="1816" t="s">
        <v>1217</v>
      </c>
      <c r="D2848" s="1009" t="s">
        <v>1357</v>
      </c>
      <c r="E2848" s="1009" t="s">
        <v>1358</v>
      </c>
      <c r="F2848" s="1009" t="s">
        <v>1359</v>
      </c>
      <c r="G2848" s="1105"/>
      <c r="H2848" s="1846"/>
      <c r="I2848" s="1030"/>
      <c r="J2848" s="1846"/>
      <c r="K2848" s="1846"/>
      <c r="L2848" s="1846"/>
    </row>
    <row r="2849" spans="1:15">
      <c r="A2849" s="1818"/>
      <c r="B2849" s="1818"/>
      <c r="C2849" s="1817" t="s">
        <v>1317</v>
      </c>
      <c r="D2849" s="1001">
        <f>$I$2836</f>
        <v>10444.015292</v>
      </c>
      <c r="E2849" s="1001">
        <f>$I$2836</f>
        <v>10444.015292</v>
      </c>
      <c r="F2849" s="1001">
        <f>$I$2836</f>
        <v>10444.015292</v>
      </c>
      <c r="G2849" s="1105"/>
      <c r="H2849" s="1846"/>
      <c r="I2849" s="1030"/>
      <c r="J2849" s="1846"/>
      <c r="K2849" s="1846"/>
      <c r="L2849" s="1846"/>
    </row>
    <row r="2850" spans="1:15">
      <c r="A2850" s="1818"/>
      <c r="B2850" s="1818"/>
      <c r="C2850" s="1817" t="s">
        <v>1253</v>
      </c>
      <c r="D2850" s="1001">
        <f>ROUND($F$2780*60%,2)</f>
        <v>2102.88</v>
      </c>
      <c r="E2850" s="1001">
        <f>ROUND($F$2780*70%,2)</f>
        <v>2453.36</v>
      </c>
      <c r="F2850" s="1001">
        <f>ROUND($F$2780*80%,2)</f>
        <v>2803.84</v>
      </c>
      <c r="G2850" s="1105"/>
      <c r="H2850" s="1846"/>
      <c r="I2850" s="1030"/>
      <c r="J2850" s="1846"/>
      <c r="K2850" s="1846"/>
      <c r="L2850" s="1846"/>
    </row>
    <row r="2851" spans="1:15">
      <c r="A2851" s="1818"/>
      <c r="B2851" s="1818"/>
      <c r="C2851" s="1817">
        <f>Input!C57</f>
        <v>0</v>
      </c>
      <c r="D2851" s="1001">
        <f>D2850*Input!$D$47</f>
        <v>841.15200000000004</v>
      </c>
      <c r="E2851" s="1001">
        <f>E2850*Input!$D$47</f>
        <v>981.34400000000005</v>
      </c>
      <c r="F2851" s="1001">
        <f>F2850*Input!$D$47</f>
        <v>1121.5360000000001</v>
      </c>
      <c r="G2851" s="1105"/>
      <c r="H2851" s="1846"/>
      <c r="I2851" s="1030"/>
      <c r="J2851" s="1846"/>
      <c r="K2851" s="1846"/>
      <c r="L2851" s="1846"/>
    </row>
    <row r="2852" spans="1:15">
      <c r="A2852" s="1818"/>
      <c r="B2852" s="1818"/>
      <c r="C2852" s="1022"/>
      <c r="D2852" s="1001">
        <f>SUM(D2849:D2851)</f>
        <v>13388.047292000001</v>
      </c>
      <c r="E2852" s="1001">
        <f>SUM(E2849:E2851)</f>
        <v>13878.719292000002</v>
      </c>
      <c r="F2852" s="1001">
        <f>SUM(F2849:F2851)</f>
        <v>14369.391292</v>
      </c>
      <c r="G2852" s="1105"/>
      <c r="H2852" s="1846"/>
      <c r="I2852" s="1030"/>
      <c r="J2852" s="1846"/>
      <c r="K2852" s="1846"/>
      <c r="L2852" s="1846"/>
    </row>
    <row r="2853" spans="1:15">
      <c r="A2853" s="1818"/>
      <c r="B2853" s="1818"/>
      <c r="C2853" s="1817" t="str">
        <f>Input!$C$48</f>
        <v>Overheads &amp; Contractors Profit @ 13.615%</v>
      </c>
      <c r="D2853" s="1001">
        <f>ROUND(D2852*Input!$D$48,2)</f>
        <v>1822.78</v>
      </c>
      <c r="E2853" s="1001">
        <f>ROUND(E2852*Input!$D$48,2)</f>
        <v>1889.59</v>
      </c>
      <c r="F2853" s="1001">
        <f>ROUND(F2852*Input!$D$48,2)</f>
        <v>1956.39</v>
      </c>
      <c r="G2853" s="1105"/>
      <c r="H2853" s="1846"/>
      <c r="I2853" s="1030"/>
      <c r="J2853" s="1846"/>
      <c r="K2853" s="1846"/>
      <c r="L2853" s="1846"/>
    </row>
    <row r="2854" spans="1:15">
      <c r="A2854" s="1818"/>
      <c r="B2854" s="1818"/>
      <c r="C2854" s="1816" t="s">
        <v>1302</v>
      </c>
      <c r="D2854" s="1009">
        <f>SUM(D2852:D2853)</f>
        <v>15210.827292000002</v>
      </c>
      <c r="E2854" s="1009">
        <f>SUM(E2852:E2853)</f>
        <v>15768.309292000002</v>
      </c>
      <c r="F2854" s="1009">
        <f>SUM(F2852:F2853)</f>
        <v>16325.781292</v>
      </c>
      <c r="G2854" s="1105"/>
      <c r="H2854" s="1846"/>
      <c r="I2854" s="1030"/>
      <c r="J2854" s="1846"/>
      <c r="K2854" s="1846"/>
      <c r="L2854" s="1846"/>
    </row>
    <row r="2855" spans="1:15">
      <c r="A2855" s="1818"/>
      <c r="B2855" s="1818"/>
      <c r="C2855" s="1816" t="s">
        <v>1117</v>
      </c>
      <c r="D2855" s="1009">
        <f>D2854/10</f>
        <v>1521.0827292000001</v>
      </c>
      <c r="E2855" s="1009">
        <f>E2854/10</f>
        <v>1576.8309292000001</v>
      </c>
      <c r="F2855" s="1009">
        <f>F2854/10</f>
        <v>1632.5781291999999</v>
      </c>
      <c r="G2855" s="1105"/>
      <c r="H2855" s="1846"/>
      <c r="I2855" s="1030"/>
      <c r="J2855" s="1846"/>
      <c r="K2855" s="1846"/>
      <c r="L2855" s="1846"/>
    </row>
    <row r="2856" spans="1:15">
      <c r="A2856" s="1818"/>
      <c r="B2856" s="1818"/>
      <c r="C2856" s="1843" t="s">
        <v>1034</v>
      </c>
      <c r="D2856" s="1114">
        <f>ROUND(D2855,0)</f>
        <v>1521</v>
      </c>
      <c r="E2856" s="1114">
        <f>ROUND(E2855,0)</f>
        <v>1577</v>
      </c>
      <c r="F2856" s="1114">
        <f>ROUND(F2855,0)</f>
        <v>1633</v>
      </c>
      <c r="G2856" s="1105"/>
      <c r="H2856" s="1846"/>
      <c r="I2856" s="1030"/>
      <c r="J2856" s="1846"/>
      <c r="K2856" s="1846"/>
      <c r="L2856" s="1846"/>
    </row>
    <row r="2857" spans="1:15">
      <c r="A2857" s="1818"/>
      <c r="B2857" s="1818"/>
      <c r="C2857" s="1817"/>
      <c r="D2857" s="1158"/>
      <c r="E2857" s="1846"/>
      <c r="F2857" s="1021"/>
      <c r="G2857" s="1105"/>
      <c r="H2857" s="1846"/>
      <c r="I2857" s="1030"/>
      <c r="J2857" s="1846"/>
      <c r="K2857" s="1846"/>
      <c r="L2857" s="1846"/>
    </row>
    <row r="2858" spans="1:15" s="1177" customFormat="1" ht="134.25" customHeight="1">
      <c r="A2858" s="1824">
        <f>A2821+1</f>
        <v>36</v>
      </c>
      <c r="B2858" s="1818"/>
      <c r="C2858" s="2036" t="s">
        <v>3427</v>
      </c>
      <c r="D2858" s="2036"/>
      <c r="E2858" s="2036"/>
      <c r="F2858" s="2036"/>
      <c r="G2858" s="2036"/>
      <c r="H2858" s="2036"/>
      <c r="I2858" s="2036"/>
      <c r="J2858" s="1846"/>
      <c r="K2858" s="1846"/>
      <c r="L2858" s="1846"/>
      <c r="M2858" s="1844"/>
      <c r="N2858" s="1844"/>
      <c r="O2858" s="1844"/>
    </row>
    <row r="2859" spans="1:15" s="1177" customFormat="1">
      <c r="A2859" s="1818"/>
      <c r="B2859" s="1818"/>
      <c r="C2859" s="1078" t="s">
        <v>1414</v>
      </c>
      <c r="D2859" s="1846"/>
      <c r="E2859" s="1846"/>
      <c r="F2859" s="1068"/>
      <c r="G2859" s="1846"/>
      <c r="H2859" s="1846"/>
      <c r="I2859" s="1021"/>
      <c r="J2859" s="1846"/>
      <c r="K2859" s="1846"/>
      <c r="L2859" s="1846"/>
      <c r="M2859" s="1844"/>
      <c r="N2859" s="1844"/>
      <c r="O2859" s="1844"/>
    </row>
    <row r="2860" spans="1:15" s="1177" customFormat="1">
      <c r="A2860" s="1818"/>
      <c r="B2860" s="1818"/>
      <c r="C2860" s="1817" t="s">
        <v>1394</v>
      </c>
      <c r="D2860" s="1846"/>
      <c r="E2860" s="1846"/>
      <c r="F2860" s="1068"/>
      <c r="G2860" s="1846"/>
      <c r="H2860" s="1846"/>
      <c r="I2860" s="1021"/>
      <c r="J2860" s="1846"/>
      <c r="K2860" s="1846"/>
      <c r="L2860" s="1846"/>
      <c r="M2860" s="1844"/>
      <c r="N2860" s="1844"/>
      <c r="O2860" s="1844"/>
    </row>
    <row r="2861" spans="1:15" s="1177" customFormat="1">
      <c r="A2861" s="1818"/>
      <c r="B2861" s="1818"/>
      <c r="C2861" s="1816" t="s">
        <v>1395</v>
      </c>
      <c r="D2861" s="1096"/>
      <c r="E2861" s="1846"/>
      <c r="F2861" s="1021"/>
      <c r="G2861" s="1105"/>
      <c r="H2861" s="1846"/>
      <c r="I2861" s="1030"/>
      <c r="J2861" s="1846"/>
      <c r="K2861" s="1846"/>
      <c r="L2861" s="1846"/>
      <c r="M2861" s="1844"/>
      <c r="N2861" s="1844"/>
      <c r="O2861" s="1844"/>
    </row>
    <row r="2862" spans="1:15" s="1177" customFormat="1" ht="51">
      <c r="A2862" s="1818"/>
      <c r="B2862" s="1818"/>
      <c r="C2862" s="1817" t="s">
        <v>1416</v>
      </c>
      <c r="D2862" s="1018">
        <v>10.5</v>
      </c>
      <c r="E2862" s="1002" t="s">
        <v>46</v>
      </c>
      <c r="F2862" s="1093">
        <v>840</v>
      </c>
      <c r="G2862" s="1020">
        <v>1</v>
      </c>
      <c r="H2862" s="1002" t="s">
        <v>46</v>
      </c>
      <c r="I2862" s="1001">
        <f t="shared" ref="I2862:I2866" si="676">IF(G2862="",D2862*F2862,(D2862*F2862/G2862))</f>
        <v>8820</v>
      </c>
      <c r="J2862" s="1846"/>
      <c r="K2862" s="1846"/>
      <c r="L2862" s="1846"/>
      <c r="M2862" s="1844"/>
      <c r="N2862" s="1844"/>
      <c r="O2862" s="1844"/>
    </row>
    <row r="2863" spans="1:15" s="1177" customFormat="1">
      <c r="A2863" s="1818"/>
      <c r="B2863" s="1818"/>
      <c r="C2863" s="1817" t="s">
        <v>1410</v>
      </c>
      <c r="D2863" s="1018">
        <v>21.6</v>
      </c>
      <c r="E2863" s="1002" t="s">
        <v>1110</v>
      </c>
      <c r="F2863" s="1093">
        <f>LEAD!$N$6</f>
        <v>5200</v>
      </c>
      <c r="G2863" s="1020">
        <v>1000</v>
      </c>
      <c r="H2863" s="1002" t="s">
        <v>1110</v>
      </c>
      <c r="I2863" s="1001">
        <f t="shared" si="676"/>
        <v>112.32000000000002</v>
      </c>
      <c r="J2863" s="1846"/>
      <c r="K2863" s="1846"/>
      <c r="L2863" s="1846"/>
      <c r="M2863" s="1844"/>
      <c r="N2863" s="1844"/>
      <c r="O2863" s="1844"/>
    </row>
    <row r="2864" spans="1:15" s="1177" customFormat="1">
      <c r="A2864" s="1818"/>
      <c r="B2864" s="1818"/>
      <c r="C2864" s="1817" t="s">
        <v>1398</v>
      </c>
      <c r="D2864" s="1096">
        <v>33</v>
      </c>
      <c r="E2864" s="1846" t="s">
        <v>1110</v>
      </c>
      <c r="F2864" s="1021">
        <f>LEAD!$N$6</f>
        <v>5200</v>
      </c>
      <c r="G2864" s="1105">
        <v>1000</v>
      </c>
      <c r="H2864" s="1846" t="s">
        <v>1110</v>
      </c>
      <c r="I2864" s="1030">
        <f t="shared" si="676"/>
        <v>171.6</v>
      </c>
      <c r="J2864" s="1846"/>
      <c r="K2864" s="1846"/>
      <c r="L2864" s="1846"/>
      <c r="M2864" s="1844"/>
      <c r="N2864" s="1844"/>
      <c r="O2864" s="1844"/>
    </row>
    <row r="2865" spans="1:15" s="1177" customFormat="1">
      <c r="A2865" s="1818"/>
      <c r="B2865" s="1818"/>
      <c r="C2865" s="1817" t="s">
        <v>1408</v>
      </c>
      <c r="D2865" s="1096">
        <v>6</v>
      </c>
      <c r="E2865" s="1846" t="s">
        <v>1110</v>
      </c>
      <c r="F2865" s="1021">
        <f>'Civil-SOR'!$G$185</f>
        <v>34</v>
      </c>
      <c r="G2865" s="1105">
        <v>1</v>
      </c>
      <c r="H2865" s="1846" t="s">
        <v>97</v>
      </c>
      <c r="I2865" s="1030">
        <f t="shared" si="676"/>
        <v>204</v>
      </c>
      <c r="J2865" s="1846"/>
      <c r="K2865" s="1846"/>
      <c r="L2865" s="1846"/>
      <c r="M2865" s="1844"/>
      <c r="N2865" s="1844"/>
      <c r="O2865" s="1844"/>
    </row>
    <row r="2866" spans="1:15" s="1177" customFormat="1">
      <c r="A2866" s="1818"/>
      <c r="B2866" s="1818"/>
      <c r="C2866" s="1817" t="s">
        <v>1400</v>
      </c>
      <c r="D2866" s="1096">
        <v>0.12</v>
      </c>
      <c r="E2866" s="1846" t="s">
        <v>484</v>
      </c>
      <c r="F2866" s="1021">
        <f>LEAD!$N$13</f>
        <v>2453.91</v>
      </c>
      <c r="G2866" s="1105">
        <v>1</v>
      </c>
      <c r="H2866" s="1846" t="s">
        <v>484</v>
      </c>
      <c r="I2866" s="1030">
        <f t="shared" si="676"/>
        <v>294.46919999999994</v>
      </c>
      <c r="J2866" s="1846"/>
      <c r="K2866" s="1846"/>
      <c r="L2866" s="1846"/>
      <c r="M2866" s="1844"/>
      <c r="N2866" s="1844"/>
      <c r="O2866" s="1844"/>
    </row>
    <row r="2867" spans="1:15" s="1177" customFormat="1">
      <c r="A2867" s="1818"/>
      <c r="B2867" s="1818"/>
      <c r="C2867" s="1816" t="s">
        <v>1324</v>
      </c>
      <c r="D2867" s="1096"/>
      <c r="E2867" s="1846"/>
      <c r="F2867" s="1021"/>
      <c r="G2867" s="1105"/>
      <c r="H2867" s="1846"/>
      <c r="I2867" s="1030"/>
      <c r="J2867" s="1846"/>
      <c r="K2867" s="1846"/>
      <c r="L2867" s="1846"/>
      <c r="M2867" s="1844"/>
      <c r="N2867" s="1844"/>
      <c r="O2867" s="1844"/>
    </row>
    <row r="2868" spans="1:15" s="1177" customFormat="1">
      <c r="A2868" s="1818"/>
      <c r="B2868" s="1818"/>
      <c r="C2868" s="1817" t="s">
        <v>1299</v>
      </c>
      <c r="D2868" s="1096">
        <v>0.96</v>
      </c>
      <c r="E2868" s="1846" t="s">
        <v>955</v>
      </c>
      <c r="F2868" s="1021">
        <f>'Civil-SOR'!$G$293</f>
        <v>580</v>
      </c>
      <c r="G2868" s="1105">
        <v>1</v>
      </c>
      <c r="H2868" s="1846" t="s">
        <v>501</v>
      </c>
      <c r="I2868" s="1030">
        <f t="shared" ref="I2868:I2872" si="677">IF(G2868="",D2868*F2868,(D2868*F2868/G2868))</f>
        <v>556.79999999999995</v>
      </c>
      <c r="J2868" s="1846"/>
      <c r="K2868" s="1846"/>
      <c r="L2868" s="1846"/>
      <c r="M2868" s="1844"/>
      <c r="N2868" s="1844"/>
      <c r="O2868" s="1844"/>
    </row>
    <row r="2869" spans="1:15" s="1177" customFormat="1">
      <c r="A2869" s="1818"/>
      <c r="B2869" s="1818"/>
      <c r="C2869" s="1817" t="s">
        <v>1325</v>
      </c>
      <c r="D2869" s="1096">
        <v>2.2400000000000002</v>
      </c>
      <c r="E2869" s="1846" t="s">
        <v>955</v>
      </c>
      <c r="F2869" s="1021">
        <f>'Civil-SOR'!$G$302</f>
        <v>550</v>
      </c>
      <c r="G2869" s="1105">
        <v>1</v>
      </c>
      <c r="H2869" s="1846" t="s">
        <v>501</v>
      </c>
      <c r="I2869" s="1030">
        <f t="shared" si="677"/>
        <v>1232.0000000000002</v>
      </c>
      <c r="J2869" s="1846"/>
      <c r="K2869" s="1846"/>
      <c r="L2869" s="1846"/>
      <c r="M2869" s="1844"/>
      <c r="N2869" s="1844"/>
      <c r="O2869" s="1844"/>
    </row>
    <row r="2870" spans="1:15" s="1177" customFormat="1">
      <c r="A2870" s="1818"/>
      <c r="B2870" s="1818"/>
      <c r="C2870" s="1817" t="s">
        <v>1401</v>
      </c>
      <c r="D2870" s="1096">
        <v>3.3</v>
      </c>
      <c r="E2870" s="1846" t="s">
        <v>955</v>
      </c>
      <c r="F2870" s="1021">
        <f>'Civil-SOR'!$G$307</f>
        <v>520</v>
      </c>
      <c r="G2870" s="1105">
        <v>1</v>
      </c>
      <c r="H2870" s="1846" t="s">
        <v>501</v>
      </c>
      <c r="I2870" s="1030">
        <f t="shared" si="677"/>
        <v>1716</v>
      </c>
      <c r="J2870" s="1846"/>
      <c r="K2870" s="1846"/>
      <c r="L2870" s="1846"/>
      <c r="M2870" s="1844"/>
      <c r="N2870" s="1844"/>
      <c r="O2870" s="1844"/>
    </row>
    <row r="2871" spans="1:15" s="1177" customFormat="1">
      <c r="A2871" s="1818"/>
      <c r="B2871" s="1818"/>
      <c r="C2871" s="1817" t="str">
        <f>Input!$C$47</f>
        <v>Add for MA @ 40%</v>
      </c>
      <c r="D2871" s="1158">
        <f>Input!$D$47</f>
        <v>0.4</v>
      </c>
      <c r="E2871" s="1846"/>
      <c r="F2871" s="1021">
        <f>SUM(I2868:I2870)</f>
        <v>3504.8</v>
      </c>
      <c r="G2871" s="1105"/>
      <c r="H2871" s="1846"/>
      <c r="I2871" s="1030">
        <f t="shared" si="677"/>
        <v>1401.92</v>
      </c>
      <c r="J2871" s="1846"/>
      <c r="K2871" s="1846"/>
      <c r="L2871" s="1846"/>
      <c r="M2871" s="1844"/>
      <c r="N2871" s="1844"/>
      <c r="O2871" s="1844"/>
    </row>
    <row r="2872" spans="1:15" s="1177" customFormat="1">
      <c r="A2872" s="1818"/>
      <c r="B2872" s="1818"/>
      <c r="C2872" s="1817" t="s">
        <v>1301</v>
      </c>
      <c r="D2872" s="1096">
        <v>0.01</v>
      </c>
      <c r="E2872" s="1846"/>
      <c r="F2872" s="1021">
        <f>SUM(I2862:I2871)</f>
        <v>14509.109199999999</v>
      </c>
      <c r="G2872" s="1105"/>
      <c r="H2872" s="1846"/>
      <c r="I2872" s="1030">
        <f t="shared" si="677"/>
        <v>145.091092</v>
      </c>
      <c r="J2872" s="1846"/>
      <c r="K2872" s="1846"/>
      <c r="L2872" s="1846"/>
      <c r="M2872" s="1844"/>
      <c r="N2872" s="1844"/>
      <c r="O2872" s="1844"/>
    </row>
    <row r="2873" spans="1:15" s="1177" customFormat="1">
      <c r="A2873" s="1818"/>
      <c r="B2873" s="1818"/>
      <c r="C2873" s="1816" t="s">
        <v>1409</v>
      </c>
      <c r="D2873" s="1117"/>
      <c r="E2873" s="996"/>
      <c r="F2873" s="1829"/>
      <c r="G2873" s="1108"/>
      <c r="H2873" s="996"/>
      <c r="I2873" s="1826">
        <f>SUM(I2862:I2872)</f>
        <v>14654.200292</v>
      </c>
      <c r="J2873" s="1846"/>
      <c r="K2873" s="1846"/>
      <c r="L2873" s="1846"/>
      <c r="M2873" s="1844"/>
      <c r="N2873" s="1844"/>
      <c r="O2873" s="1844"/>
    </row>
    <row r="2874" spans="1:15" s="1177" customFormat="1">
      <c r="A2874" s="1818"/>
      <c r="B2874" s="1818"/>
      <c r="C2874" s="1817"/>
      <c r="D2874" s="1158"/>
      <c r="E2874" s="1846"/>
      <c r="F2874" s="1021"/>
      <c r="G2874" s="1105"/>
      <c r="H2874" s="1846"/>
      <c r="I2874" s="1030"/>
      <c r="J2874" s="1846"/>
      <c r="K2874" s="1846"/>
      <c r="L2874" s="1846"/>
      <c r="M2874" s="1844"/>
      <c r="N2874" s="1844"/>
      <c r="O2874" s="1844"/>
    </row>
    <row r="2875" spans="1:15" s="1177" customFormat="1">
      <c r="A2875" s="1818"/>
      <c r="B2875" s="1818"/>
      <c r="C2875" s="1817"/>
      <c r="D2875" s="1158"/>
      <c r="E2875" s="1846"/>
      <c r="F2875" s="1021"/>
      <c r="G2875" s="1105"/>
      <c r="H2875" s="1846"/>
      <c r="I2875" s="1030"/>
      <c r="J2875" s="1846"/>
      <c r="K2875" s="1846"/>
      <c r="L2875" s="1846"/>
      <c r="M2875" s="1844"/>
      <c r="N2875" s="1844"/>
      <c r="O2875" s="1844"/>
    </row>
    <row r="2876" spans="1:15" s="1177" customFormat="1">
      <c r="A2876" s="1818"/>
      <c r="B2876" s="1818"/>
      <c r="C2876" s="1816" t="s">
        <v>1217</v>
      </c>
      <c r="D2876" s="1009" t="s">
        <v>1223</v>
      </c>
      <c r="E2876" s="1114" t="s">
        <v>1207</v>
      </c>
      <c r="F2876" s="1106" t="s">
        <v>1208</v>
      </c>
      <c r="G2876" s="1009" t="s">
        <v>1291</v>
      </c>
      <c r="H2876" s="1009" t="s">
        <v>1292</v>
      </c>
      <c r="I2876" s="1009" t="s">
        <v>1293</v>
      </c>
      <c r="J2876" s="1846"/>
      <c r="K2876" s="1846"/>
      <c r="L2876" s="1846"/>
      <c r="M2876" s="1844"/>
      <c r="N2876" s="1844"/>
      <c r="O2876" s="1844"/>
    </row>
    <row r="2877" spans="1:15" s="1177" customFormat="1">
      <c r="A2877" s="1818"/>
      <c r="B2877" s="1818"/>
      <c r="C2877" s="1817" t="s">
        <v>1317</v>
      </c>
      <c r="D2877" s="1001">
        <f>$I$2873</f>
        <v>14654.200292</v>
      </c>
      <c r="E2877" s="1001">
        <f>$I$2872</f>
        <v>145.091092</v>
      </c>
      <c r="F2877" s="1001">
        <f>$I$2873</f>
        <v>14654.200292</v>
      </c>
      <c r="G2877" s="1001">
        <f>$I$2873</f>
        <v>14654.200292</v>
      </c>
      <c r="H2877" s="1001">
        <f>$I$2873</f>
        <v>14654.200292</v>
      </c>
      <c r="I2877" s="1001">
        <f>$I$2873</f>
        <v>14654.200292</v>
      </c>
      <c r="J2877" s="1846"/>
      <c r="K2877" s="1846"/>
      <c r="L2877" s="1846"/>
      <c r="M2877" s="1844"/>
      <c r="N2877" s="1844"/>
      <c r="O2877" s="1844"/>
    </row>
    <row r="2878" spans="1:15" s="1177" customFormat="1">
      <c r="A2878" s="1818"/>
      <c r="B2878" s="1818"/>
      <c r="C2878" s="1817" t="s">
        <v>1253</v>
      </c>
      <c r="D2878" s="1001">
        <v>0</v>
      </c>
      <c r="E2878" s="1001">
        <f>ROUND($F$2780*10%,2)</f>
        <v>350.48</v>
      </c>
      <c r="F2878" s="1001">
        <f>ROUND($F$2780*20%,2)</f>
        <v>700.96</v>
      </c>
      <c r="G2878" s="1001">
        <f>ROUND($F$2780*30%,2)</f>
        <v>1051.44</v>
      </c>
      <c r="H2878" s="1001">
        <f>ROUND($F$2780*40%,2)</f>
        <v>1401.92</v>
      </c>
      <c r="I2878" s="1001">
        <f>ROUND($F$2780*50%,2)</f>
        <v>1752.4</v>
      </c>
      <c r="J2878" s="1846"/>
      <c r="K2878" s="1846"/>
      <c r="L2878" s="1846"/>
      <c r="M2878" s="1844"/>
      <c r="N2878" s="1844"/>
      <c r="O2878" s="1844"/>
    </row>
    <row r="2879" spans="1:15" s="1177" customFormat="1">
      <c r="A2879" s="1818"/>
      <c r="B2879" s="1818"/>
      <c r="C2879" s="1817">
        <f>Input!C76</f>
        <v>0</v>
      </c>
      <c r="D2879" s="1001">
        <f>D2878*Input!$D$47</f>
        <v>0</v>
      </c>
      <c r="E2879" s="1001">
        <f>E2878*Input!$D$47</f>
        <v>140.19200000000001</v>
      </c>
      <c r="F2879" s="1001">
        <f>F2878*Input!$D$47</f>
        <v>280.38400000000001</v>
      </c>
      <c r="G2879" s="1001">
        <f>G2878*Input!$D$47</f>
        <v>420.57600000000002</v>
      </c>
      <c r="H2879" s="1001">
        <f>H2878*Input!$D$47</f>
        <v>560.76800000000003</v>
      </c>
      <c r="I2879" s="1001">
        <f>I2878*Input!$D$47</f>
        <v>700.96</v>
      </c>
      <c r="J2879" s="1846"/>
      <c r="K2879" s="1846"/>
      <c r="L2879" s="1846"/>
      <c r="M2879" s="1844"/>
      <c r="N2879" s="1844"/>
      <c r="O2879" s="1844"/>
    </row>
    <row r="2880" spans="1:15" s="1177" customFormat="1">
      <c r="A2880" s="1818"/>
      <c r="B2880" s="1818"/>
      <c r="C2880" s="1022"/>
      <c r="D2880" s="1001">
        <f t="shared" ref="D2880:I2880" si="678">SUM(D2877:D2879)</f>
        <v>14654.200292</v>
      </c>
      <c r="E2880" s="1001">
        <f t="shared" si="678"/>
        <v>635.76309200000003</v>
      </c>
      <c r="F2880" s="1001">
        <f t="shared" si="678"/>
        <v>15635.544292</v>
      </c>
      <c r="G2880" s="1001">
        <f t="shared" si="678"/>
        <v>16126.216292000001</v>
      </c>
      <c r="H2880" s="1001">
        <f t="shared" si="678"/>
        <v>16616.888292</v>
      </c>
      <c r="I2880" s="1001">
        <f t="shared" si="678"/>
        <v>17107.560291999998</v>
      </c>
      <c r="J2880" s="1846"/>
      <c r="K2880" s="1846"/>
      <c r="L2880" s="1846"/>
      <c r="M2880" s="1844"/>
      <c r="N2880" s="1844"/>
      <c r="O2880" s="1844"/>
    </row>
    <row r="2881" spans="1:15" s="1177" customFormat="1">
      <c r="A2881" s="1818"/>
      <c r="B2881" s="1818"/>
      <c r="C2881" s="1817" t="str">
        <f>Input!$C$48</f>
        <v>Overheads &amp; Contractors Profit @ 13.615%</v>
      </c>
      <c r="D2881" s="1001">
        <f>ROUND(D2880*Input!$D$48,2)</f>
        <v>1995.17</v>
      </c>
      <c r="E2881" s="1001">
        <f>ROUND(E2880*Input!$D$48,2)</f>
        <v>86.56</v>
      </c>
      <c r="F2881" s="1001">
        <f>ROUND(F2880*Input!$D$48,2)</f>
        <v>2128.7800000000002</v>
      </c>
      <c r="G2881" s="1001">
        <f>ROUND(G2880*Input!$D$48,2)</f>
        <v>2195.58</v>
      </c>
      <c r="H2881" s="1001">
        <f>ROUND(H2880*Input!$D$48,2)</f>
        <v>2262.39</v>
      </c>
      <c r="I2881" s="1001">
        <f>ROUND(I2880*Input!$D$48,2)</f>
        <v>2329.19</v>
      </c>
      <c r="J2881" s="1846"/>
      <c r="K2881" s="1846"/>
      <c r="L2881" s="1846"/>
      <c r="M2881" s="1844"/>
      <c r="N2881" s="1844"/>
      <c r="O2881" s="1844"/>
    </row>
    <row r="2882" spans="1:15" s="1177" customFormat="1">
      <c r="A2882" s="1818"/>
      <c r="B2882" s="1818"/>
      <c r="C2882" s="1816" t="s">
        <v>1302</v>
      </c>
      <c r="D2882" s="1009">
        <f t="shared" ref="D2882:I2882" si="679">SUM(D2880:D2881)</f>
        <v>16649.370292</v>
      </c>
      <c r="E2882" s="1009">
        <f t="shared" si="679"/>
        <v>722.32309200000009</v>
      </c>
      <c r="F2882" s="1009">
        <f t="shared" si="679"/>
        <v>17764.324292000001</v>
      </c>
      <c r="G2882" s="1009">
        <f t="shared" si="679"/>
        <v>18321.796291999999</v>
      </c>
      <c r="H2882" s="1009">
        <f t="shared" si="679"/>
        <v>18879.278291999999</v>
      </c>
      <c r="I2882" s="1009">
        <f t="shared" si="679"/>
        <v>19436.750291999997</v>
      </c>
      <c r="J2882" s="1846"/>
      <c r="K2882" s="1846"/>
      <c r="L2882" s="1846"/>
      <c r="M2882" s="1844"/>
      <c r="N2882" s="1844"/>
      <c r="O2882" s="1844"/>
    </row>
    <row r="2883" spans="1:15" s="1177" customFormat="1">
      <c r="A2883" s="1818"/>
      <c r="B2883" s="1818"/>
      <c r="C2883" s="1816" t="s">
        <v>1117</v>
      </c>
      <c r="D2883" s="1009">
        <f t="shared" ref="D2883:I2883" si="680">D2882/10</f>
        <v>1664.9370291999999</v>
      </c>
      <c r="E2883" s="1009">
        <f t="shared" si="680"/>
        <v>72.232309200000003</v>
      </c>
      <c r="F2883" s="1009">
        <f t="shared" si="680"/>
        <v>1776.4324292000001</v>
      </c>
      <c r="G2883" s="1009">
        <f t="shared" si="680"/>
        <v>1832.1796291999999</v>
      </c>
      <c r="H2883" s="1009">
        <f t="shared" si="680"/>
        <v>1887.9278291999999</v>
      </c>
      <c r="I2883" s="1009">
        <f t="shared" si="680"/>
        <v>1943.6750291999997</v>
      </c>
      <c r="J2883" s="1846"/>
      <c r="K2883" s="1846"/>
      <c r="L2883" s="1846"/>
      <c r="M2883" s="1844"/>
      <c r="N2883" s="1844"/>
      <c r="O2883" s="1844"/>
    </row>
    <row r="2884" spans="1:15" s="1177" customFormat="1">
      <c r="A2884" s="1818"/>
      <c r="B2884" s="1818"/>
      <c r="C2884" s="1843" t="s">
        <v>1034</v>
      </c>
      <c r="D2884" s="1114">
        <f t="shared" ref="D2884:I2884" si="681">ROUND(D2883,0)</f>
        <v>1665</v>
      </c>
      <c r="E2884" s="1114">
        <f t="shared" si="681"/>
        <v>72</v>
      </c>
      <c r="F2884" s="1114">
        <f t="shared" si="681"/>
        <v>1776</v>
      </c>
      <c r="G2884" s="1114">
        <f t="shared" si="681"/>
        <v>1832</v>
      </c>
      <c r="H2884" s="1114">
        <f t="shared" si="681"/>
        <v>1888</v>
      </c>
      <c r="I2884" s="1114">
        <f t="shared" si="681"/>
        <v>1944</v>
      </c>
      <c r="J2884" s="1846"/>
      <c r="K2884" s="1846"/>
      <c r="L2884" s="1846"/>
      <c r="M2884" s="1844"/>
      <c r="N2884" s="1844"/>
      <c r="O2884" s="1844"/>
    </row>
    <row r="2885" spans="1:15" s="1177" customFormat="1">
      <c r="A2885" s="1818"/>
      <c r="B2885" s="1818"/>
      <c r="C2885" s="1843"/>
      <c r="D2885" s="1114"/>
      <c r="E2885" s="1114"/>
      <c r="F2885" s="1114"/>
      <c r="G2885" s="1114"/>
      <c r="H2885" s="1114"/>
      <c r="I2885" s="1114"/>
      <c r="J2885" s="1114"/>
      <c r="K2885" s="1114"/>
      <c r="L2885" s="1114"/>
      <c r="M2885" s="1844"/>
      <c r="N2885" s="1844"/>
      <c r="O2885" s="1844"/>
    </row>
    <row r="2886" spans="1:15" s="1177" customFormat="1">
      <c r="A2886" s="1818"/>
      <c r="B2886" s="1818"/>
      <c r="C2886" s="1843"/>
      <c r="D2886" s="1009" t="s">
        <v>1357</v>
      </c>
      <c r="E2886" s="1009" t="s">
        <v>1358</v>
      </c>
      <c r="F2886" s="1009" t="s">
        <v>1359</v>
      </c>
      <c r="G2886" s="1114"/>
      <c r="H2886" s="1114"/>
      <c r="I2886" s="1114"/>
      <c r="J2886" s="1114"/>
      <c r="K2886" s="1114"/>
      <c r="L2886" s="1114"/>
      <c r="M2886" s="1844"/>
      <c r="N2886" s="1844"/>
      <c r="O2886" s="1844"/>
    </row>
    <row r="2887" spans="1:15" s="1177" customFormat="1">
      <c r="A2887" s="1818"/>
      <c r="B2887" s="1818"/>
      <c r="C2887" s="1843"/>
      <c r="D2887" s="1001">
        <f>$I$2873</f>
        <v>14654.200292</v>
      </c>
      <c r="E2887" s="1001">
        <f>$I$2872</f>
        <v>145.091092</v>
      </c>
      <c r="F2887" s="1001">
        <f>$I$2873</f>
        <v>14654.200292</v>
      </c>
      <c r="G2887" s="1114"/>
      <c r="H2887" s="1114"/>
      <c r="I2887" s="1114"/>
      <c r="J2887" s="1114"/>
      <c r="K2887" s="1114"/>
      <c r="L2887" s="1114"/>
      <c r="M2887" s="1844"/>
      <c r="N2887" s="1844"/>
      <c r="O2887" s="1844"/>
    </row>
    <row r="2888" spans="1:15" s="1177" customFormat="1">
      <c r="A2888" s="1818"/>
      <c r="B2888" s="1818"/>
      <c r="C2888" s="1843"/>
      <c r="D2888" s="1001">
        <f>ROUND($F$2780*60%,2)</f>
        <v>2102.88</v>
      </c>
      <c r="E2888" s="1001">
        <f>ROUND($F$2780*70%,2)</f>
        <v>2453.36</v>
      </c>
      <c r="F2888" s="1001">
        <f>ROUND($F$2780*80%,2)</f>
        <v>2803.84</v>
      </c>
      <c r="G2888" s="1114"/>
      <c r="H2888" s="1114"/>
      <c r="I2888" s="1114"/>
      <c r="J2888" s="1114"/>
      <c r="K2888" s="1114"/>
      <c r="L2888" s="1114"/>
      <c r="M2888" s="1844"/>
      <c r="N2888" s="1844"/>
      <c r="O2888" s="1844"/>
    </row>
    <row r="2889" spans="1:15" s="1177" customFormat="1">
      <c r="A2889" s="1818"/>
      <c r="B2889" s="1818"/>
      <c r="C2889" s="1843"/>
      <c r="D2889" s="1001">
        <f>D2888*Input!$D$47</f>
        <v>841.15200000000004</v>
      </c>
      <c r="E2889" s="1001">
        <f>E2888*Input!$D$47</f>
        <v>981.34400000000005</v>
      </c>
      <c r="F2889" s="1001">
        <f>F2888*Input!$D$47</f>
        <v>1121.5360000000001</v>
      </c>
      <c r="G2889" s="1114"/>
      <c r="H2889" s="1114"/>
      <c r="I2889" s="1114"/>
      <c r="J2889" s="1114"/>
      <c r="K2889" s="1114"/>
      <c r="L2889" s="1114"/>
      <c r="M2889" s="1844"/>
      <c r="N2889" s="1844"/>
      <c r="O2889" s="1844"/>
    </row>
    <row r="2890" spans="1:15" s="1177" customFormat="1">
      <c r="A2890" s="1818"/>
      <c r="B2890" s="1818"/>
      <c r="C2890" s="1843"/>
      <c r="D2890" s="1001">
        <f>SUM(D2887:D2889)</f>
        <v>17598.232292000001</v>
      </c>
      <c r="E2890" s="1001">
        <f>SUM(E2887:E2889)</f>
        <v>3579.7950920000003</v>
      </c>
      <c r="F2890" s="1001">
        <f>SUM(F2887:F2889)</f>
        <v>18579.576291999998</v>
      </c>
      <c r="G2890" s="1114"/>
      <c r="H2890" s="1114"/>
      <c r="I2890" s="1114"/>
      <c r="J2890" s="1114"/>
      <c r="K2890" s="1114"/>
      <c r="L2890" s="1114"/>
      <c r="M2890" s="1844"/>
      <c r="N2890" s="1844"/>
      <c r="O2890" s="1844"/>
    </row>
    <row r="2891" spans="1:15" s="1177" customFormat="1">
      <c r="A2891" s="1818"/>
      <c r="B2891" s="1818"/>
      <c r="C2891" s="1843"/>
      <c r="D2891" s="1001">
        <f>ROUND(D2890*Input!$D$48,2)</f>
        <v>2396</v>
      </c>
      <c r="E2891" s="1001">
        <f>ROUND(E2890*Input!$D$48,2)</f>
        <v>487.39</v>
      </c>
      <c r="F2891" s="1001">
        <f>ROUND(F2890*Input!$D$48,2)</f>
        <v>2529.61</v>
      </c>
      <c r="G2891" s="1114"/>
      <c r="H2891" s="1114"/>
      <c r="I2891" s="1114"/>
      <c r="J2891" s="1114"/>
      <c r="K2891" s="1114"/>
      <c r="L2891" s="1114"/>
      <c r="M2891" s="1844"/>
      <c r="N2891" s="1844"/>
      <c r="O2891" s="1844"/>
    </row>
    <row r="2892" spans="1:15" s="1177" customFormat="1">
      <c r="A2892" s="1818"/>
      <c r="B2892" s="1818"/>
      <c r="C2892" s="1843"/>
      <c r="D2892" s="1009">
        <f>SUM(D2890:D2891)</f>
        <v>19994.232292000001</v>
      </c>
      <c r="E2892" s="1009">
        <f>SUM(E2890:E2891)</f>
        <v>4067.1850920000002</v>
      </c>
      <c r="F2892" s="1009">
        <f>SUM(F2890:F2891)</f>
        <v>21109.186291999999</v>
      </c>
      <c r="G2892" s="1114"/>
      <c r="H2892" s="1114"/>
      <c r="I2892" s="1114"/>
      <c r="J2892" s="1114"/>
      <c r="K2892" s="1114"/>
      <c r="L2892" s="1114"/>
      <c r="M2892" s="1844"/>
      <c r="N2892" s="1844"/>
      <c r="O2892" s="1844"/>
    </row>
    <row r="2893" spans="1:15" s="1177" customFormat="1">
      <c r="A2893" s="1818"/>
      <c r="B2893" s="1818"/>
      <c r="C2893" s="1843"/>
      <c r="D2893" s="1009">
        <f>D2892/10</f>
        <v>1999.4232292000002</v>
      </c>
      <c r="E2893" s="1009">
        <f>E2892/10</f>
        <v>406.71850920000003</v>
      </c>
      <c r="F2893" s="1009">
        <f>F2892/10</f>
        <v>2110.9186291999999</v>
      </c>
      <c r="G2893" s="1114"/>
      <c r="H2893" s="1114"/>
      <c r="I2893" s="1114"/>
      <c r="J2893" s="1114"/>
      <c r="K2893" s="1114"/>
      <c r="L2893" s="1114"/>
      <c r="M2893" s="1844"/>
      <c r="N2893" s="1844"/>
      <c r="O2893" s="1844"/>
    </row>
    <row r="2894" spans="1:15" s="1177" customFormat="1">
      <c r="A2894" s="1818"/>
      <c r="B2894" s="1818"/>
      <c r="C2894" s="1843"/>
      <c r="D2894" s="1114">
        <f>ROUND(D2893,0)</f>
        <v>1999</v>
      </c>
      <c r="E2894" s="1114">
        <f>ROUND(E2893,0)</f>
        <v>407</v>
      </c>
      <c r="F2894" s="1114">
        <f>ROUND(F2893,0)</f>
        <v>2111</v>
      </c>
      <c r="G2894" s="1114"/>
      <c r="H2894" s="1114"/>
      <c r="I2894" s="1114"/>
      <c r="J2894" s="1114"/>
      <c r="K2894" s="1114"/>
      <c r="L2894" s="1114"/>
      <c r="M2894" s="1844"/>
      <c r="N2894" s="1844"/>
      <c r="O2894" s="1844"/>
    </row>
    <row r="2895" spans="1:15" s="1177" customFormat="1">
      <c r="A2895" s="1818"/>
      <c r="B2895" s="1818"/>
      <c r="C2895" s="1843"/>
      <c r="D2895" s="1114"/>
      <c r="E2895" s="1114"/>
      <c r="F2895" s="1114"/>
      <c r="G2895" s="1114"/>
      <c r="H2895" s="1114"/>
      <c r="I2895" s="1114"/>
      <c r="J2895" s="1114"/>
      <c r="K2895" s="1114"/>
      <c r="L2895" s="1114"/>
      <c r="M2895" s="1844"/>
      <c r="N2895" s="1844"/>
      <c r="O2895" s="1844"/>
    </row>
    <row r="2896" spans="1:15" s="1177" customFormat="1" ht="114.95" customHeight="1">
      <c r="A2896" s="1818">
        <f>A2821+1</f>
        <v>36</v>
      </c>
      <c r="B2896" s="1818"/>
      <c r="C2896" s="2037" t="s">
        <v>1417</v>
      </c>
      <c r="D2896" s="2037"/>
      <c r="E2896" s="2037"/>
      <c r="F2896" s="2037"/>
      <c r="G2896" s="2037"/>
      <c r="H2896" s="2037"/>
      <c r="I2896" s="2037"/>
      <c r="J2896" s="1846"/>
      <c r="K2896" s="1846"/>
      <c r="L2896" s="1846"/>
      <c r="M2896" s="1844"/>
      <c r="N2896" s="1844"/>
      <c r="O2896" s="1844"/>
    </row>
    <row r="2897" spans="1:15" s="1177" customFormat="1">
      <c r="A2897" s="1818"/>
      <c r="B2897" s="1818"/>
      <c r="C2897" s="1817"/>
      <c r="D2897" s="1158"/>
      <c r="E2897" s="1846"/>
      <c r="F2897" s="1021"/>
      <c r="G2897" s="1105"/>
      <c r="H2897" s="1846"/>
      <c r="I2897" s="1030"/>
      <c r="J2897" s="1846"/>
      <c r="K2897" s="1846"/>
      <c r="L2897" s="1846"/>
      <c r="M2897" s="1844"/>
      <c r="N2897" s="1844"/>
      <c r="O2897" s="1844"/>
    </row>
    <row r="2898" spans="1:15" s="1177" customFormat="1">
      <c r="A2898" s="1818"/>
      <c r="B2898" s="1818"/>
      <c r="C2898" s="1817" t="s">
        <v>889</v>
      </c>
      <c r="D2898" s="1034">
        <v>380</v>
      </c>
      <c r="E2898" s="1044" t="s">
        <v>1110</v>
      </c>
      <c r="F2898" s="1000">
        <f>LEAD!N6</f>
        <v>5200</v>
      </c>
      <c r="G2898" s="1015">
        <v>1000</v>
      </c>
      <c r="H2898" s="1085" t="str">
        <f t="shared" ref="H2898:H2901" si="682">IF(E2898="","",IF(E2898="No.","Each",IF(E2898="Nos.","Each",E2898)))</f>
        <v>Kgs</v>
      </c>
      <c r="I2898" s="1000">
        <f t="shared" ref="I2898:I2901" si="683">IF(G2898="",D2898*F2898,(D2898*F2898/G2898))</f>
        <v>1976</v>
      </c>
      <c r="J2898" s="1846"/>
      <c r="K2898" s="1846"/>
      <c r="L2898" s="1846"/>
      <c r="M2898" s="1844"/>
      <c r="N2898" s="1844"/>
      <c r="O2898" s="1844"/>
    </row>
    <row r="2899" spans="1:15" s="1177" customFormat="1">
      <c r="A2899" s="1818"/>
      <c r="B2899" s="1818"/>
      <c r="C2899" s="1817" t="s">
        <v>1418</v>
      </c>
      <c r="D2899" s="1000">
        <v>0.8</v>
      </c>
      <c r="E2899" s="1044" t="s">
        <v>484</v>
      </c>
      <c r="F2899" s="1000">
        <f>F16</f>
        <v>1447.96</v>
      </c>
      <c r="G2899" s="1015">
        <v>1</v>
      </c>
      <c r="H2899" s="1085" t="str">
        <f t="shared" si="682"/>
        <v>Cum</v>
      </c>
      <c r="I2899" s="1000">
        <f t="shared" si="683"/>
        <v>1158.3680000000002</v>
      </c>
      <c r="J2899" s="1846"/>
      <c r="K2899" s="1846"/>
      <c r="L2899" s="1846"/>
      <c r="M2899" s="1844"/>
      <c r="N2899" s="1844"/>
      <c r="O2899" s="1844"/>
    </row>
    <row r="2900" spans="1:15" s="1177" customFormat="1">
      <c r="A2900" s="1818"/>
      <c r="B2900" s="1818"/>
      <c r="C2900" s="1817" t="s">
        <v>1141</v>
      </c>
      <c r="D2900" s="1000">
        <f>0.4</f>
        <v>0.4</v>
      </c>
      <c r="E2900" s="1044" t="s">
        <v>484</v>
      </c>
      <c r="F2900" s="1000">
        <f>LEAD!N12</f>
        <v>2253.91</v>
      </c>
      <c r="G2900" s="1015">
        <v>1</v>
      </c>
      <c r="H2900" s="1085" t="str">
        <f t="shared" si="682"/>
        <v>Cum</v>
      </c>
      <c r="I2900" s="1000">
        <f t="shared" si="683"/>
        <v>901.56399999999996</v>
      </c>
      <c r="J2900" s="1846"/>
      <c r="K2900" s="1846"/>
      <c r="L2900" s="1846"/>
      <c r="M2900" s="1844"/>
      <c r="N2900" s="1844"/>
      <c r="O2900" s="1844"/>
    </row>
    <row r="2901" spans="1:15" s="1177" customFormat="1">
      <c r="A2901" s="1818"/>
      <c r="B2901" s="1818"/>
      <c r="C2901" s="1817" t="s">
        <v>1142</v>
      </c>
      <c r="D2901" s="1000">
        <v>1.2</v>
      </c>
      <c r="E2901" s="1044" t="s">
        <v>1143</v>
      </c>
      <c r="F2901" s="1000">
        <f>Input!D53</f>
        <v>108</v>
      </c>
      <c r="G2901" s="1000">
        <v>1</v>
      </c>
      <c r="H2901" s="1085" t="str">
        <f t="shared" si="682"/>
        <v>kl</v>
      </c>
      <c r="I2901" s="1000">
        <f t="shared" si="683"/>
        <v>129.6</v>
      </c>
      <c r="J2901" s="1846"/>
      <c r="K2901" s="1846"/>
      <c r="L2901" s="1846"/>
      <c r="M2901" s="1844"/>
      <c r="N2901" s="1844"/>
      <c r="O2901" s="1844"/>
    </row>
    <row r="2902" spans="1:15" s="1177" customFormat="1">
      <c r="A2902" s="1818"/>
      <c r="B2902" s="1818"/>
      <c r="C2902" s="1816" t="s">
        <v>1144</v>
      </c>
      <c r="D2902" s="1002"/>
      <c r="E2902" s="1002"/>
      <c r="F2902" s="1002"/>
      <c r="G2902" s="1002"/>
      <c r="H2902" s="1002"/>
      <c r="I2902" s="1002"/>
      <c r="J2902" s="1846"/>
      <c r="K2902" s="1846"/>
      <c r="L2902" s="1846"/>
      <c r="M2902" s="1844"/>
      <c r="N2902" s="1844"/>
      <c r="O2902" s="1844"/>
    </row>
    <row r="2903" spans="1:15" s="1177" customFormat="1" ht="25.5">
      <c r="A2903" s="1818"/>
      <c r="B2903" s="1818"/>
      <c r="C2903" s="1817" t="s">
        <v>582</v>
      </c>
      <c r="D2903" s="1000">
        <v>1</v>
      </c>
      <c r="E2903" s="1044" t="s">
        <v>1083</v>
      </c>
      <c r="F2903" s="1000">
        <f>'Civil-SOR'!G330</f>
        <v>192.9</v>
      </c>
      <c r="G2903" s="1015">
        <v>1</v>
      </c>
      <c r="H2903" s="1015" t="str">
        <f t="shared" ref="H2903:H2904" si="684">IF(E2903="","",IF(E2903="No.","Each",IF(E2903="Nos.","Each",E2903)))</f>
        <v>hours</v>
      </c>
      <c r="I2903" s="1000">
        <f t="shared" ref="I2903:I2908" si="685">IF(G2903="",D2903*F2903,(D2903*F2903/G2903))</f>
        <v>192.9</v>
      </c>
      <c r="J2903" s="1846"/>
      <c r="K2903" s="1846"/>
      <c r="L2903" s="1846"/>
      <c r="M2903" s="1844"/>
      <c r="N2903" s="1844"/>
      <c r="O2903" s="1844"/>
    </row>
    <row r="2904" spans="1:15" s="1177" customFormat="1">
      <c r="A2904" s="1818"/>
      <c r="B2904" s="1818"/>
      <c r="C2904" s="1817" t="s">
        <v>579</v>
      </c>
      <c r="D2904" s="1000">
        <v>1</v>
      </c>
      <c r="E2904" s="1044" t="s">
        <v>1083</v>
      </c>
      <c r="F2904" s="1000">
        <f>'Civil-SOR'!J330</f>
        <v>302.89999999999998</v>
      </c>
      <c r="G2904" s="1015">
        <v>1</v>
      </c>
      <c r="H2904" s="1015" t="str">
        <f t="shared" si="684"/>
        <v>hours</v>
      </c>
      <c r="I2904" s="1000">
        <f t="shared" si="685"/>
        <v>302.89999999999998</v>
      </c>
      <c r="J2904" s="1846"/>
      <c r="K2904" s="1846"/>
      <c r="L2904" s="1846"/>
      <c r="M2904" s="1844"/>
      <c r="N2904" s="1844"/>
      <c r="O2904" s="1844"/>
    </row>
    <row r="2905" spans="1:15" s="1177" customFormat="1">
      <c r="A2905" s="1818"/>
      <c r="B2905" s="1818"/>
      <c r="C2905" s="1817" t="str">
        <f>Input!$C$47</f>
        <v>Add for MA @ 40%</v>
      </c>
      <c r="D2905" s="1158">
        <f>Input!$D$47</f>
        <v>0.4</v>
      </c>
      <c r="E2905" s="1094"/>
      <c r="F2905" s="1034">
        <f>I2904</f>
        <v>302.89999999999998</v>
      </c>
      <c r="G2905" s="1002"/>
      <c r="H2905" s="1002"/>
      <c r="I2905" s="1000">
        <f t="shared" si="685"/>
        <v>121.16</v>
      </c>
      <c r="J2905" s="1846"/>
      <c r="K2905" s="1846"/>
      <c r="L2905" s="1846"/>
      <c r="M2905" s="1844"/>
      <c r="N2905" s="1844"/>
      <c r="O2905" s="1844"/>
    </row>
    <row r="2906" spans="1:15" s="1177" customFormat="1">
      <c r="A2906" s="1818"/>
      <c r="B2906" s="1818"/>
      <c r="C2906" s="1817" t="s">
        <v>1419</v>
      </c>
      <c r="D2906" s="1000">
        <v>1</v>
      </c>
      <c r="E2906" s="1044" t="s">
        <v>1083</v>
      </c>
      <c r="F2906" s="1018">
        <f>'Civil-SOR'!G332</f>
        <v>36.5</v>
      </c>
      <c r="G2906" s="1015">
        <v>1</v>
      </c>
      <c r="H2906" s="1015" t="str">
        <f t="shared" ref="H2906:H2907" si="686">IF(E2906="","",IF(E2906="No.","Each",IF(E2906="Nos.","Each",E2906)))</f>
        <v>hours</v>
      </c>
      <c r="I2906" s="1000">
        <f t="shared" si="685"/>
        <v>36.5</v>
      </c>
      <c r="J2906" s="1846"/>
      <c r="K2906" s="1846"/>
      <c r="L2906" s="1846"/>
      <c r="M2906" s="1844"/>
      <c r="N2906" s="1844"/>
      <c r="O2906" s="1844"/>
    </row>
    <row r="2907" spans="1:15" s="1177" customFormat="1">
      <c r="A2907" s="1818"/>
      <c r="B2907" s="1818"/>
      <c r="C2907" s="1817" t="s">
        <v>579</v>
      </c>
      <c r="D2907" s="1000">
        <v>1</v>
      </c>
      <c r="E2907" s="1044" t="s">
        <v>1083</v>
      </c>
      <c r="F2907" s="1018">
        <f>'Civil-SOR'!J332</f>
        <v>218</v>
      </c>
      <c r="G2907" s="1015">
        <v>1</v>
      </c>
      <c r="H2907" s="1015" t="str">
        <f t="shared" si="686"/>
        <v>hours</v>
      </c>
      <c r="I2907" s="1000">
        <f t="shared" si="685"/>
        <v>218</v>
      </c>
      <c r="J2907" s="1846"/>
      <c r="K2907" s="1846"/>
      <c r="L2907" s="1846"/>
      <c r="M2907" s="1844"/>
      <c r="N2907" s="1844"/>
      <c r="O2907" s="1844"/>
    </row>
    <row r="2908" spans="1:15" s="1177" customFormat="1">
      <c r="A2908" s="1818"/>
      <c r="B2908" s="1818"/>
      <c r="C2908" s="1817" t="str">
        <f>Input!$C$47</f>
        <v>Add for MA @ 40%</v>
      </c>
      <c r="D2908" s="1158">
        <f>Input!$D$47</f>
        <v>0.4</v>
      </c>
      <c r="E2908" s="1094"/>
      <c r="F2908" s="1034">
        <f>I2907</f>
        <v>218</v>
      </c>
      <c r="G2908" s="1002"/>
      <c r="H2908" s="1002"/>
      <c r="I2908" s="1000">
        <f t="shared" si="685"/>
        <v>87.2</v>
      </c>
      <c r="J2908" s="1846"/>
      <c r="K2908" s="1846"/>
      <c r="L2908" s="1846"/>
      <c r="M2908" s="1844"/>
      <c r="N2908" s="1844"/>
      <c r="O2908" s="1844"/>
    </row>
    <row r="2909" spans="1:15" s="1177" customFormat="1">
      <c r="A2909" s="1818"/>
      <c r="B2909" s="1818"/>
      <c r="C2909" s="1816" t="s">
        <v>1146</v>
      </c>
      <c r="D2909" s="1002"/>
      <c r="E2909" s="1002"/>
      <c r="F2909" s="1002"/>
      <c r="G2909" s="1002"/>
      <c r="H2909" s="1002"/>
      <c r="I2909" s="1002"/>
      <c r="J2909" s="1846"/>
      <c r="K2909" s="1846"/>
      <c r="L2909" s="1846"/>
      <c r="M2909" s="1844"/>
      <c r="N2909" s="1844"/>
      <c r="O2909" s="1844"/>
    </row>
    <row r="2910" spans="1:15" s="1177" customFormat="1">
      <c r="A2910" s="1818"/>
      <c r="B2910" s="1818"/>
      <c r="C2910" s="1817" t="s">
        <v>1299</v>
      </c>
      <c r="D2910" s="1000">
        <v>0.1</v>
      </c>
      <c r="E2910" s="1094" t="s">
        <v>36</v>
      </c>
      <c r="F2910" s="1000">
        <f>'Civil-SOR'!G293</f>
        <v>580</v>
      </c>
      <c r="G2910" s="1015">
        <v>1</v>
      </c>
      <c r="H2910" s="1085" t="str">
        <f t="shared" ref="H2910:H2911" si="687">IF(E2910="","",IF(E2910="No.","Each",IF(E2910="Nos.","Each",E2910)))</f>
        <v>Each</v>
      </c>
      <c r="I2910" s="1000">
        <f t="shared" ref="I2910:I2913" si="688">IF(G2910="",D2910*F2910,(D2910*F2910/G2910))</f>
        <v>58</v>
      </c>
      <c r="J2910" s="1846"/>
      <c r="K2910" s="1846"/>
      <c r="L2910" s="1846"/>
      <c r="M2910" s="1844"/>
      <c r="N2910" s="1844"/>
      <c r="O2910" s="1844"/>
    </row>
    <row r="2911" spans="1:15" s="1177" customFormat="1">
      <c r="A2911" s="1818"/>
      <c r="B2911" s="1818"/>
      <c r="C2911" s="1817" t="s">
        <v>1300</v>
      </c>
      <c r="D2911" s="1000">
        <v>1.39</v>
      </c>
      <c r="E2911" s="1069" t="s">
        <v>36</v>
      </c>
      <c r="F2911" s="1000">
        <f>'Civil-SOR'!G307</f>
        <v>520</v>
      </c>
      <c r="G2911" s="1015">
        <v>1</v>
      </c>
      <c r="H2911" s="1085" t="str">
        <f t="shared" si="687"/>
        <v>Each</v>
      </c>
      <c r="I2911" s="1000">
        <f t="shared" si="688"/>
        <v>722.8</v>
      </c>
      <c r="J2911" s="1846"/>
      <c r="K2911" s="1846"/>
      <c r="L2911" s="1846"/>
      <c r="M2911" s="1844"/>
      <c r="N2911" s="1844"/>
      <c r="O2911" s="1844"/>
    </row>
    <row r="2912" spans="1:15" s="1177" customFormat="1">
      <c r="A2912" s="1818"/>
      <c r="B2912" s="1818"/>
      <c r="C2912" s="1817" t="str">
        <f>Input!$C$47</f>
        <v>Add for MA @ 40%</v>
      </c>
      <c r="D2912" s="1158">
        <f>Input!$D$47</f>
        <v>0.4</v>
      </c>
      <c r="E2912" s="1094"/>
      <c r="F2912" s="1000">
        <f>SUM(I2910:I2911)</f>
        <v>780.8</v>
      </c>
      <c r="G2912" s="1020"/>
      <c r="H2912" s="1057"/>
      <c r="I2912" s="1000">
        <f t="shared" si="688"/>
        <v>312.32</v>
      </c>
      <c r="J2912" s="1846"/>
      <c r="K2912" s="1846"/>
      <c r="L2912" s="1846"/>
      <c r="M2912" s="1844"/>
      <c r="N2912" s="1844"/>
      <c r="O2912" s="1844"/>
    </row>
    <row r="2913" spans="1:15" s="1177" customFormat="1">
      <c r="A2913" s="1818"/>
      <c r="B2913" s="1818"/>
      <c r="C2913" s="1817" t="s">
        <v>1301</v>
      </c>
      <c r="D2913" s="1000">
        <v>0.01</v>
      </c>
      <c r="E2913" s="1069"/>
      <c r="F2913" s="1000">
        <f>SUM(I2898:I2912)</f>
        <v>6217.311999999999</v>
      </c>
      <c r="G2913" s="1015"/>
      <c r="H2913" s="1085"/>
      <c r="I2913" s="1000">
        <f t="shared" si="688"/>
        <v>62.17311999999999</v>
      </c>
      <c r="J2913" s="1846"/>
      <c r="K2913" s="1846"/>
      <c r="L2913" s="1846"/>
      <c r="M2913" s="1844"/>
      <c r="N2913" s="1844"/>
      <c r="O2913" s="1844"/>
    </row>
    <row r="2914" spans="1:15" s="1177" customFormat="1">
      <c r="A2914" s="1818"/>
      <c r="B2914" s="1818"/>
      <c r="C2914" s="1816" t="s">
        <v>1032</v>
      </c>
      <c r="D2914" s="1000"/>
      <c r="E2914" s="1069"/>
      <c r="F2914" s="1000"/>
      <c r="G2914" s="1015"/>
      <c r="H2914" s="1069"/>
      <c r="I2914" s="1104">
        <f>SUM(I2898:I2913)</f>
        <v>6279.4851199999994</v>
      </c>
      <c r="J2914" s="1846"/>
      <c r="K2914" s="1846"/>
      <c r="L2914" s="1846"/>
      <c r="M2914" s="1844"/>
      <c r="N2914" s="1844"/>
      <c r="O2914" s="1844"/>
    </row>
    <row r="2915" spans="1:15" s="1177" customFormat="1">
      <c r="A2915" s="1818"/>
      <c r="B2915" s="1818"/>
      <c r="C2915" s="1816"/>
      <c r="D2915" s="1000"/>
      <c r="E2915" s="1069"/>
      <c r="F2915" s="1000"/>
      <c r="G2915" s="1015"/>
      <c r="H2915" s="1069"/>
      <c r="I2915" s="1104"/>
      <c r="J2915" s="1846"/>
      <c r="K2915" s="1846"/>
      <c r="L2915" s="1846"/>
      <c r="M2915" s="1844"/>
      <c r="N2915" s="1844"/>
      <c r="O2915" s="1844"/>
    </row>
    <row r="2916" spans="1:15" s="1177" customFormat="1">
      <c r="A2916" s="1818"/>
      <c r="B2916" s="1818"/>
      <c r="C2916" s="1817" t="s">
        <v>1420</v>
      </c>
      <c r="D2916" s="1000">
        <v>0.75</v>
      </c>
      <c r="E2916" s="1044" t="s">
        <v>75</v>
      </c>
      <c r="F2916" s="1000">
        <f>I2914</f>
        <v>6279.4851199999994</v>
      </c>
      <c r="G2916" s="1015">
        <v>1</v>
      </c>
      <c r="H2916" s="1069" t="s">
        <v>75</v>
      </c>
      <c r="I2916" s="1000">
        <f t="shared" ref="I2916:I2923" si="689">IF(G2916="",D2916*F2916,(D2916*F2916/G2916))</f>
        <v>4709.61384</v>
      </c>
      <c r="J2916" s="1846"/>
      <c r="K2916" s="1846"/>
      <c r="L2916" s="1846"/>
      <c r="M2916" s="1844"/>
      <c r="N2916" s="1844"/>
      <c r="O2916" s="1844"/>
    </row>
    <row r="2917" spans="1:15" s="1177" customFormat="1">
      <c r="A2917" s="1818"/>
      <c r="B2917" s="1818"/>
      <c r="C2917" s="1849" t="s">
        <v>1421</v>
      </c>
      <c r="D2917" s="1000">
        <f>D2916</f>
        <v>0.75</v>
      </c>
      <c r="E2917" s="1044" t="s">
        <v>75</v>
      </c>
      <c r="F2917" s="1000">
        <f>'Civil-SOR'!F258</f>
        <v>72</v>
      </c>
      <c r="G2917" s="1015">
        <v>1</v>
      </c>
      <c r="H2917" s="1069" t="s">
        <v>75</v>
      </c>
      <c r="I2917" s="1000">
        <f t="shared" si="689"/>
        <v>54</v>
      </c>
      <c r="J2917" s="1846"/>
      <c r="K2917" s="1846"/>
      <c r="L2917" s="1846"/>
      <c r="M2917" s="1844"/>
      <c r="N2917" s="1844"/>
      <c r="O2917" s="1844"/>
    </row>
    <row r="2918" spans="1:15" s="1177" customFormat="1">
      <c r="A2918" s="1818"/>
      <c r="B2918" s="1818"/>
      <c r="C2918" s="1849" t="s">
        <v>1422</v>
      </c>
      <c r="D2918" s="1000">
        <f>D2916</f>
        <v>0.75</v>
      </c>
      <c r="E2918" s="1044" t="s">
        <v>75</v>
      </c>
      <c r="F2918" s="1000">
        <f>'Civil-SOR'!G258</f>
        <v>392</v>
      </c>
      <c r="G2918" s="1015">
        <v>1</v>
      </c>
      <c r="H2918" s="1069" t="s">
        <v>75</v>
      </c>
      <c r="I2918" s="1000">
        <f t="shared" si="689"/>
        <v>294</v>
      </c>
      <c r="J2918" s="1846"/>
      <c r="K2918" s="1846"/>
      <c r="L2918" s="1846"/>
      <c r="M2918" s="1844"/>
      <c r="N2918" s="1844"/>
      <c r="O2918" s="1844"/>
    </row>
    <row r="2919" spans="1:15" s="1177" customFormat="1">
      <c r="A2919" s="1818"/>
      <c r="B2919" s="1818"/>
      <c r="C2919" s="1817" t="str">
        <f>Input!$C$47</f>
        <v>Add for MA @ 40%</v>
      </c>
      <c r="D2919" s="1158">
        <f>Input!$D$47</f>
        <v>0.4</v>
      </c>
      <c r="E2919" s="1094"/>
      <c r="F2919" s="1034">
        <f>I2918</f>
        <v>294</v>
      </c>
      <c r="G2919" s="1002"/>
      <c r="H2919" s="1002"/>
      <c r="I2919" s="1000">
        <f t="shared" si="689"/>
        <v>117.60000000000001</v>
      </c>
      <c r="J2919" s="1846"/>
      <c r="K2919" s="1846"/>
      <c r="L2919" s="1846"/>
      <c r="M2919" s="1844"/>
      <c r="N2919" s="1844"/>
      <c r="O2919" s="1844"/>
    </row>
    <row r="2920" spans="1:15" s="1177" customFormat="1">
      <c r="A2920" s="1818"/>
      <c r="B2920" s="1818"/>
      <c r="C2920" s="1817" t="s">
        <v>1423</v>
      </c>
      <c r="D2920" s="1000">
        <v>10</v>
      </c>
      <c r="E2920" s="1044" t="s">
        <v>94</v>
      </c>
      <c r="F2920" s="1186">
        <v>30</v>
      </c>
      <c r="G2920" s="1015">
        <v>1</v>
      </c>
      <c r="H2920" s="1069" t="s">
        <v>94</v>
      </c>
      <c r="I2920" s="1000">
        <f t="shared" si="689"/>
        <v>300</v>
      </c>
      <c r="J2920" s="1846"/>
      <c r="K2920" s="1846"/>
      <c r="L2920" s="1846"/>
      <c r="M2920" s="1844"/>
      <c r="N2920" s="1844"/>
      <c r="O2920" s="1844"/>
    </row>
    <row r="2921" spans="1:15" s="1177" customFormat="1">
      <c r="A2921" s="1818"/>
      <c r="B2921" s="1818"/>
      <c r="C2921" s="1187" t="s">
        <v>1424</v>
      </c>
      <c r="D2921" s="1000">
        <v>10</v>
      </c>
      <c r="E2921" s="1044" t="s">
        <v>94</v>
      </c>
      <c r="F2921" s="1186">
        <v>35</v>
      </c>
      <c r="G2921" s="1015">
        <v>1</v>
      </c>
      <c r="H2921" s="1069" t="s">
        <v>94</v>
      </c>
      <c r="I2921" s="1000">
        <f t="shared" si="689"/>
        <v>350</v>
      </c>
      <c r="J2921" s="1846"/>
      <c r="K2921" s="1846"/>
      <c r="L2921" s="1846"/>
      <c r="M2921" s="1844"/>
      <c r="N2921" s="1844"/>
      <c r="O2921" s="1844"/>
    </row>
    <row r="2922" spans="1:15" s="1177" customFormat="1">
      <c r="A2922" s="1818"/>
      <c r="B2922" s="1818"/>
      <c r="C2922" s="1187" t="s">
        <v>1425</v>
      </c>
      <c r="D2922" s="1000">
        <v>13</v>
      </c>
      <c r="E2922" s="1044" t="s">
        <v>197</v>
      </c>
      <c r="F2922" s="1186">
        <v>40</v>
      </c>
      <c r="G2922" s="1015">
        <v>1</v>
      </c>
      <c r="H2922" s="1069" t="s">
        <v>197</v>
      </c>
      <c r="I2922" s="1000">
        <f t="shared" si="689"/>
        <v>520</v>
      </c>
      <c r="J2922" s="1846"/>
      <c r="K2922" s="1846"/>
      <c r="L2922" s="1846"/>
      <c r="M2922" s="1844"/>
      <c r="N2922" s="1844"/>
      <c r="O2922" s="1844"/>
    </row>
    <row r="2923" spans="1:15" s="1177" customFormat="1">
      <c r="A2923" s="1818"/>
      <c r="B2923" s="1818"/>
      <c r="C2923" s="1187" t="s">
        <v>1426</v>
      </c>
      <c r="D2923" s="1000">
        <v>13</v>
      </c>
      <c r="E2923" s="1044" t="s">
        <v>197</v>
      </c>
      <c r="F2923" s="1186">
        <v>35</v>
      </c>
      <c r="G2923" s="1015">
        <v>1</v>
      </c>
      <c r="H2923" s="1069" t="s">
        <v>197</v>
      </c>
      <c r="I2923" s="1000">
        <f t="shared" si="689"/>
        <v>455</v>
      </c>
      <c r="J2923" s="1846"/>
      <c r="K2923" s="1846"/>
      <c r="L2923" s="1846"/>
      <c r="M2923" s="1844"/>
      <c r="N2923" s="1844"/>
      <c r="O2923" s="1844"/>
    </row>
    <row r="2924" spans="1:15" s="1177" customFormat="1">
      <c r="A2924" s="1818"/>
      <c r="B2924" s="1818"/>
      <c r="C2924" s="1188" t="s">
        <v>1044</v>
      </c>
      <c r="D2924" s="1000"/>
      <c r="E2924" s="1069"/>
      <c r="F2924" s="1000"/>
      <c r="G2924" s="1015"/>
      <c r="H2924" s="1069"/>
      <c r="I2924" s="1008">
        <f>SUM(I2916:I2923)</f>
        <v>6800.2138400000003</v>
      </c>
      <c r="J2924" s="1846"/>
      <c r="K2924" s="1846"/>
      <c r="L2924" s="1846"/>
      <c r="M2924" s="1844"/>
      <c r="N2924" s="1844"/>
      <c r="O2924" s="1844"/>
    </row>
    <row r="2925" spans="1:15" s="1177" customFormat="1">
      <c r="A2925" s="1818"/>
      <c r="B2925" s="1818"/>
      <c r="C2925" s="1817" t="str">
        <f>Input!$C$48</f>
        <v>Overheads &amp; Contractors Profit @ 13.615%</v>
      </c>
      <c r="D2925" s="1850">
        <f>Input!$D$48</f>
        <v>0.13614999999999999</v>
      </c>
      <c r="E2925" s="1044"/>
      <c r="F2925" s="1000">
        <f>I2924</f>
        <v>6800.2138400000003</v>
      </c>
      <c r="G2925" s="1015"/>
      <c r="H2925" s="1047"/>
      <c r="I2925" s="1000">
        <f>IF(G2925="",D2925*F2925,(D2925*F2925/G2925))</f>
        <v>925.84911431600005</v>
      </c>
      <c r="J2925" s="1846"/>
      <c r="K2925" s="1846"/>
      <c r="L2925" s="1846"/>
      <c r="M2925" s="1844"/>
      <c r="N2925" s="1844"/>
      <c r="O2925" s="1844"/>
    </row>
    <row r="2926" spans="1:15" s="1177" customFormat="1">
      <c r="A2926" s="1818"/>
      <c r="B2926" s="1818"/>
      <c r="C2926" s="1188" t="s">
        <v>1044</v>
      </c>
      <c r="D2926" s="1000"/>
      <c r="E2926" s="1069"/>
      <c r="F2926" s="1000"/>
      <c r="G2926" s="1015"/>
      <c r="H2926" s="1069"/>
      <c r="I2926" s="1000">
        <f>SUM(I2924:I2925)</f>
        <v>7726.0629543160003</v>
      </c>
      <c r="J2926" s="1846"/>
      <c r="K2926" s="1846"/>
      <c r="L2926" s="1846"/>
      <c r="M2926" s="1844"/>
      <c r="N2926" s="1844"/>
      <c r="O2926" s="1844"/>
    </row>
    <row r="2927" spans="1:15" s="1177" customFormat="1">
      <c r="A2927" s="1818"/>
      <c r="B2927" s="1818"/>
      <c r="C2927" s="1189" t="s">
        <v>1045</v>
      </c>
      <c r="D2927" s="1000"/>
      <c r="E2927" s="1044"/>
      <c r="F2927" s="1000"/>
      <c r="G2927" s="1015"/>
      <c r="H2927" s="1069"/>
      <c r="I2927" s="1000">
        <f>I2926/10</f>
        <v>772.60629543160007</v>
      </c>
      <c r="J2927" s="1846"/>
      <c r="K2927" s="1846"/>
      <c r="L2927" s="1846"/>
      <c r="M2927" s="1844"/>
      <c r="N2927" s="1844"/>
      <c r="O2927" s="1844"/>
    </row>
    <row r="2928" spans="1:15" s="1177" customFormat="1">
      <c r="A2928" s="1818"/>
      <c r="B2928" s="1818"/>
      <c r="C2928" s="1189"/>
      <c r="D2928" s="1000"/>
      <c r="E2928" s="1044"/>
      <c r="F2928" s="1000"/>
      <c r="G2928" s="1015"/>
      <c r="H2928" s="1047" t="s">
        <v>1065</v>
      </c>
      <c r="I2928" s="1010">
        <f>ROUND(I2927,0)</f>
        <v>773</v>
      </c>
      <c r="J2928" s="1846"/>
      <c r="K2928" s="1846"/>
      <c r="L2928" s="1846"/>
      <c r="M2928" s="1844"/>
      <c r="N2928" s="1844"/>
      <c r="O2928" s="1844"/>
    </row>
    <row r="2929" spans="1:15" s="1177" customFormat="1">
      <c r="A2929" s="1818"/>
      <c r="B2929" s="1818"/>
      <c r="C2929" s="1817"/>
      <c r="D2929" s="1158"/>
      <c r="E2929" s="1846"/>
      <c r="F2929" s="1021"/>
      <c r="G2929" s="1105"/>
      <c r="H2929" s="1846"/>
      <c r="I2929" s="1030"/>
      <c r="J2929" s="1846"/>
      <c r="K2929" s="1846"/>
      <c r="L2929" s="1846"/>
      <c r="M2929" s="1844"/>
      <c r="N2929" s="1844"/>
      <c r="O2929" s="1844"/>
    </row>
    <row r="2930" spans="1:15" s="1177" customFormat="1" ht="25.35" customHeight="1">
      <c r="A2930" s="1824">
        <f>A2858+1</f>
        <v>37</v>
      </c>
      <c r="B2930" s="1818"/>
      <c r="C2930" s="2038" t="s">
        <v>1427</v>
      </c>
      <c r="D2930" s="2038"/>
      <c r="E2930" s="2038"/>
      <c r="F2930" s="2038"/>
      <c r="G2930" s="2038"/>
      <c r="H2930" s="2038"/>
      <c r="I2930" s="2038"/>
      <c r="J2930" s="1846"/>
      <c r="K2930" s="1846"/>
      <c r="L2930" s="1846"/>
      <c r="M2930" s="1844"/>
      <c r="N2930" s="1844"/>
      <c r="O2930" s="1844"/>
    </row>
    <row r="2931" spans="1:15" s="1177" customFormat="1" ht="25.5">
      <c r="A2931" s="1823"/>
      <c r="B2931" s="1068"/>
      <c r="C2931" s="1857" t="s">
        <v>1428</v>
      </c>
      <c r="D2931" s="1190">
        <v>1</v>
      </c>
      <c r="E2931" s="1191" t="s">
        <v>46</v>
      </c>
      <c r="F2931" s="1192">
        <v>1375</v>
      </c>
      <c r="G2931" s="1193">
        <v>1</v>
      </c>
      <c r="H2931" s="1054" t="str">
        <f>IF(E2931="","",IF(E2931="No.","Each",IF(E2931="Nos.","Each",E2931)))</f>
        <v>Sqm</v>
      </c>
      <c r="I2931" s="1170">
        <f>IF(G2931="",D2931*F2931,(D2931*F2931/G2931))</f>
        <v>1375</v>
      </c>
      <c r="J2931" s="1846"/>
      <c r="K2931" s="1846"/>
      <c r="L2931" s="1846"/>
      <c r="M2931" s="1844"/>
      <c r="N2931" s="1844"/>
      <c r="O2931" s="1844"/>
    </row>
    <row r="2932" spans="1:15" s="1177" customFormat="1">
      <c r="A2932" s="1823"/>
      <c r="B2932" s="1068"/>
      <c r="C2932" s="1816" t="s">
        <v>1429</v>
      </c>
      <c r="D2932" s="1096"/>
      <c r="E2932" s="1846"/>
      <c r="F2932" s="1096"/>
      <c r="G2932" s="1105"/>
      <c r="H2932" s="1846"/>
      <c r="I2932" s="1096">
        <f>SUM(I2931:I2931)</f>
        <v>1375</v>
      </c>
      <c r="J2932" s="1846"/>
      <c r="K2932" s="1846"/>
      <c r="L2932" s="1846"/>
      <c r="M2932" s="1844"/>
      <c r="N2932" s="1844"/>
      <c r="O2932" s="1844"/>
    </row>
    <row r="2933" spans="1:15" s="1177" customFormat="1">
      <c r="A2933" s="1847"/>
      <c r="B2933" s="1847"/>
      <c r="C2933" s="1817" t="str">
        <f>Input!$C$48</f>
        <v>Overheads &amp; Contractors Profit @ 13.615%</v>
      </c>
      <c r="D2933" s="1850">
        <f>Input!$D$48</f>
        <v>0.13614999999999999</v>
      </c>
      <c r="E2933" s="1061"/>
      <c r="F2933" s="1062">
        <f>I2932</f>
        <v>1375</v>
      </c>
      <c r="G2933" s="1081"/>
      <c r="H2933" s="1022"/>
      <c r="I2933" s="1062">
        <f>IF(G2933="",D2933*F2933,(D2933*F2933/G2933))</f>
        <v>187.20624999999998</v>
      </c>
      <c r="J2933" s="1022"/>
      <c r="K2933" s="1022"/>
      <c r="L2933" s="1022"/>
      <c r="M2933" s="1066"/>
      <c r="N2933" s="1066"/>
      <c r="O2933" s="1066"/>
    </row>
    <row r="2934" spans="1:15" s="1177" customFormat="1">
      <c r="A2934" s="1823"/>
      <c r="B2934" s="1068"/>
      <c r="C2934" s="1817"/>
      <c r="D2934" s="1000"/>
      <c r="E2934" s="1044"/>
      <c r="F2934" s="1001"/>
      <c r="G2934" s="1015"/>
      <c r="H2934" s="1082"/>
      <c r="I2934" s="1011">
        <f>SUM(I2932:I2933)</f>
        <v>1562.20625</v>
      </c>
      <c r="J2934" s="1846"/>
      <c r="K2934" s="1846"/>
      <c r="L2934" s="1846"/>
      <c r="M2934" s="1844"/>
      <c r="N2934" s="1844"/>
      <c r="O2934" s="1844"/>
    </row>
    <row r="2935" spans="1:15" s="1177" customFormat="1">
      <c r="A2935" s="1823"/>
      <c r="B2935" s="1068"/>
      <c r="C2935" s="1817"/>
      <c r="D2935" s="1000"/>
      <c r="E2935" s="1044"/>
      <c r="F2935" s="1001"/>
      <c r="G2935" s="1015"/>
      <c r="H2935" s="1082" t="s">
        <v>1065</v>
      </c>
      <c r="I2935" s="1011">
        <f>ROUND(I2934,0)</f>
        <v>1562</v>
      </c>
      <c r="J2935" s="1846"/>
      <c r="K2935" s="1846"/>
      <c r="L2935" s="1846"/>
      <c r="M2935" s="1844"/>
      <c r="N2935" s="1844"/>
      <c r="O2935" s="1844"/>
    </row>
    <row r="2936" spans="1:15" s="1177" customFormat="1">
      <c r="A2936" s="1818"/>
      <c r="B2936" s="1818"/>
      <c r="C2936" s="1817"/>
      <c r="D2936" s="1158"/>
      <c r="E2936" s="1846"/>
      <c r="F2936" s="1021"/>
      <c r="G2936" s="1105"/>
      <c r="H2936" s="1846"/>
      <c r="I2936" s="1030"/>
      <c r="J2936" s="1846"/>
      <c r="K2936" s="1846"/>
      <c r="L2936" s="1846"/>
      <c r="M2936" s="1844"/>
      <c r="N2936" s="1844"/>
      <c r="O2936" s="1844"/>
    </row>
    <row r="2937" spans="1:15" s="1177" customFormat="1" ht="25.35" customHeight="1">
      <c r="A2937" s="1824">
        <f>A2821+1</f>
        <v>36</v>
      </c>
      <c r="B2937" s="1818"/>
      <c r="C2937" s="2038" t="s">
        <v>1430</v>
      </c>
      <c r="D2937" s="2038"/>
      <c r="E2937" s="2038"/>
      <c r="F2937" s="2038"/>
      <c r="G2937" s="2038"/>
      <c r="H2937" s="2038"/>
      <c r="I2937" s="2038"/>
      <c r="J2937" s="1846"/>
      <c r="K2937" s="1846"/>
      <c r="L2937" s="1846"/>
      <c r="M2937" s="1844"/>
      <c r="N2937" s="1844"/>
      <c r="O2937" s="1844"/>
    </row>
    <row r="2938" spans="1:15" s="1177" customFormat="1" ht="38.25">
      <c r="A2938" s="1823"/>
      <c r="B2938" s="1068"/>
      <c r="C2938" s="1817" t="s">
        <v>1431</v>
      </c>
      <c r="D2938" s="1190">
        <v>1</v>
      </c>
      <c r="E2938" s="1191" t="s">
        <v>46</v>
      </c>
      <c r="F2938" s="1192">
        <v>760</v>
      </c>
      <c r="G2938" s="1193">
        <v>1</v>
      </c>
      <c r="H2938" s="1054" t="str">
        <f>IF(E2938="","",IF(E2938="No.","Each",IF(E2938="Nos.","Each",E2938)))</f>
        <v>Sqm</v>
      </c>
      <c r="I2938" s="1170">
        <f>IF(G2938="",D2938*F2938,(D2938*F2938/G2938))</f>
        <v>760</v>
      </c>
      <c r="J2938" s="1846"/>
      <c r="K2938" s="1846"/>
      <c r="L2938" s="1846"/>
      <c r="M2938" s="1844"/>
      <c r="N2938" s="1844"/>
      <c r="O2938" s="1844"/>
    </row>
    <row r="2939" spans="1:15" s="1177" customFormat="1">
      <c r="A2939" s="1823"/>
      <c r="B2939" s="1068"/>
      <c r="C2939" s="1816" t="s">
        <v>1429</v>
      </c>
      <c r="D2939" s="1096"/>
      <c r="E2939" s="1846"/>
      <c r="F2939" s="1096"/>
      <c r="G2939" s="1105"/>
      <c r="H2939" s="1846"/>
      <c r="I2939" s="1096">
        <f>SUM(I2938:I2938)</f>
        <v>760</v>
      </c>
      <c r="J2939" s="1846"/>
      <c r="K2939" s="1846"/>
      <c r="L2939" s="1846"/>
      <c r="M2939" s="1844"/>
      <c r="N2939" s="1844"/>
      <c r="O2939" s="1844"/>
    </row>
    <row r="2940" spans="1:15" s="1177" customFormat="1">
      <c r="A2940" s="1847"/>
      <c r="B2940" s="1847"/>
      <c r="C2940" s="1817" t="str">
        <f>Input!$C$48</f>
        <v>Overheads &amp; Contractors Profit @ 13.615%</v>
      </c>
      <c r="D2940" s="1850">
        <f>Input!$D$48</f>
        <v>0.13614999999999999</v>
      </c>
      <c r="E2940" s="1061"/>
      <c r="F2940" s="1062">
        <f>I2939</f>
        <v>760</v>
      </c>
      <c r="G2940" s="1081"/>
      <c r="H2940" s="1022"/>
      <c r="I2940" s="1062">
        <f>IF(G2940="",D2940*F2940,(D2940*F2940/G2940))</f>
        <v>103.47399999999999</v>
      </c>
      <c r="J2940" s="1022"/>
      <c r="K2940" s="1022"/>
      <c r="L2940" s="1022"/>
      <c r="M2940" s="1066"/>
      <c r="N2940" s="1066"/>
      <c r="O2940" s="1066"/>
    </row>
    <row r="2941" spans="1:15" s="1177" customFormat="1">
      <c r="A2941" s="1823"/>
      <c r="B2941" s="1068"/>
      <c r="C2941" s="1817"/>
      <c r="D2941" s="1000"/>
      <c r="E2941" s="1044"/>
      <c r="F2941" s="1001"/>
      <c r="G2941" s="1015"/>
      <c r="H2941" s="1082"/>
      <c r="I2941" s="1011">
        <f>SUM(I2939:I2940)</f>
        <v>863.47399999999993</v>
      </c>
      <c r="J2941" s="1846"/>
      <c r="K2941" s="1846"/>
      <c r="L2941" s="1846"/>
      <c r="M2941" s="1844"/>
      <c r="N2941" s="1844"/>
      <c r="O2941" s="1844"/>
    </row>
    <row r="2942" spans="1:15" s="1177" customFormat="1">
      <c r="A2942" s="1823"/>
      <c r="B2942" s="1068"/>
      <c r="C2942" s="1817"/>
      <c r="D2942" s="1000"/>
      <c r="E2942" s="1044"/>
      <c r="F2942" s="1001"/>
      <c r="G2942" s="1015"/>
      <c r="H2942" s="1082" t="s">
        <v>1065</v>
      </c>
      <c r="I2942" s="1011">
        <f>ROUND(I2941,0)</f>
        <v>863</v>
      </c>
      <c r="J2942" s="1846"/>
      <c r="K2942" s="1846"/>
      <c r="L2942" s="1846"/>
      <c r="M2942" s="1844"/>
      <c r="N2942" s="1844"/>
      <c r="O2942" s="1844"/>
    </row>
    <row r="2943" spans="1:15" s="1177" customFormat="1" ht="60.4" customHeight="1">
      <c r="A2943" s="1822">
        <f>A2937+1</f>
        <v>37</v>
      </c>
      <c r="B2943" s="1823"/>
      <c r="C2943" s="2036" t="s">
        <v>3428</v>
      </c>
      <c r="D2943" s="2036"/>
      <c r="E2943" s="2036"/>
      <c r="F2943" s="2036"/>
      <c r="G2943" s="2036"/>
      <c r="H2943" s="2036"/>
      <c r="I2943" s="2036"/>
      <c r="J2943" s="1846"/>
      <c r="K2943" s="1846"/>
      <c r="L2943" s="1846"/>
      <c r="M2943" s="1844"/>
      <c r="N2943" s="1844"/>
      <c r="O2943" s="1844"/>
    </row>
    <row r="2944" spans="1:15" s="1177" customFormat="1">
      <c r="A2944" s="1823"/>
      <c r="B2944" s="1823"/>
      <c r="C2944" s="1816" t="s">
        <v>1432</v>
      </c>
      <c r="D2944" s="1018"/>
      <c r="E2944" s="1002"/>
      <c r="F2944" s="1018"/>
      <c r="G2944" s="1020"/>
      <c r="H2944" s="1002"/>
      <c r="I2944" s="1018"/>
      <c r="J2944" s="1846"/>
      <c r="K2944" s="1846"/>
      <c r="L2944" s="1846"/>
      <c r="M2944" s="1844"/>
      <c r="N2944" s="1844"/>
      <c r="O2944" s="1844"/>
    </row>
    <row r="2945" spans="1:15" s="1177" customFormat="1" ht="25.5">
      <c r="A2945" s="1823"/>
      <c r="B2945" s="1823"/>
      <c r="C2945" s="1817" t="s">
        <v>1433</v>
      </c>
      <c r="D2945" s="1018">
        <v>1</v>
      </c>
      <c r="E2945" s="1002" t="s">
        <v>46</v>
      </c>
      <c r="F2945" s="1018">
        <v>1427</v>
      </c>
      <c r="G2945" s="1020">
        <v>1</v>
      </c>
      <c r="H2945" s="1194" t="s">
        <v>46</v>
      </c>
      <c r="I2945" s="1000">
        <f t="shared" ref="I2945:I2946" si="690">IF(G2945="",D2945*F2945,(D2945*F2945/G2945))</f>
        <v>1427</v>
      </c>
      <c r="J2945" s="1846"/>
      <c r="K2945" s="1846"/>
      <c r="L2945" s="1846"/>
      <c r="M2945" s="1844"/>
      <c r="N2945" s="1844"/>
      <c r="O2945" s="1844"/>
    </row>
    <row r="2946" spans="1:15" s="1177" customFormat="1">
      <c r="A2946" s="1823"/>
      <c r="B2946" s="1823"/>
      <c r="C2946" s="1817" t="str">
        <f>Input!$C$48</f>
        <v>Overheads &amp; Contractors Profit @ 13.615%</v>
      </c>
      <c r="D2946" s="1850">
        <f>Input!$D$48</f>
        <v>0.13614999999999999</v>
      </c>
      <c r="E2946" s="1002"/>
      <c r="F2946" s="1018">
        <f>I2945</f>
        <v>1427</v>
      </c>
      <c r="G2946" s="1020"/>
      <c r="H2946" s="1002"/>
      <c r="I2946" s="1000">
        <f t="shared" si="690"/>
        <v>194.28604999999999</v>
      </c>
      <c r="J2946" s="1846"/>
      <c r="K2946" s="1846"/>
      <c r="L2946" s="1846"/>
      <c r="M2946" s="1844"/>
      <c r="N2946" s="1844"/>
      <c r="O2946" s="1844"/>
    </row>
    <row r="2947" spans="1:15" s="1177" customFormat="1">
      <c r="A2947" s="1823"/>
      <c r="B2947" s="1823"/>
      <c r="C2947" s="1816" t="s">
        <v>1045</v>
      </c>
      <c r="D2947" s="1018"/>
      <c r="E2947" s="1002"/>
      <c r="F2947" s="1018"/>
      <c r="G2947" s="1020"/>
      <c r="H2947" s="1002"/>
      <c r="I2947" s="1000">
        <f>SUM(I2945:I2946)</f>
        <v>1621.2860499999999</v>
      </c>
      <c r="J2947" s="1846"/>
      <c r="K2947" s="1846"/>
      <c r="L2947" s="1846"/>
      <c r="M2947" s="1844"/>
      <c r="N2947" s="1844"/>
      <c r="O2947" s="1844"/>
    </row>
    <row r="2948" spans="1:15" s="1177" customFormat="1">
      <c r="A2948" s="1823"/>
      <c r="B2948" s="1823"/>
      <c r="C2948" s="1817"/>
      <c r="D2948" s="1018"/>
      <c r="E2948" s="1002"/>
      <c r="F2948" s="1018"/>
      <c r="G2948" s="1020"/>
      <c r="H2948" s="1083" t="s">
        <v>1065</v>
      </c>
      <c r="I2948" s="1195">
        <f>ROUND(I2947,0)</f>
        <v>1621</v>
      </c>
      <c r="J2948" s="1846"/>
      <c r="K2948" s="1846"/>
      <c r="L2948" s="1846"/>
      <c r="M2948" s="1844"/>
      <c r="N2948" s="1844"/>
      <c r="O2948" s="1844"/>
    </row>
    <row r="2949" spans="1:15" s="1177" customFormat="1">
      <c r="A2949" s="1818"/>
      <c r="B2949" s="1818"/>
      <c r="C2949" s="1817"/>
      <c r="D2949" s="1158"/>
      <c r="E2949" s="1846"/>
      <c r="F2949" s="1021"/>
      <c r="G2949" s="1105"/>
      <c r="H2949" s="1846"/>
      <c r="I2949" s="1030"/>
      <c r="J2949" s="1846"/>
      <c r="K2949" s="1846"/>
      <c r="L2949" s="1846"/>
      <c r="M2949" s="1844"/>
      <c r="N2949" s="1844"/>
      <c r="O2949" s="1844"/>
    </row>
    <row r="2950" spans="1:15" s="1177" customFormat="1" ht="36.6" customHeight="1">
      <c r="A2950" s="1822">
        <f>A2943+1</f>
        <v>38</v>
      </c>
      <c r="B2950" s="1823"/>
      <c r="C2950" s="2037" t="s">
        <v>1434</v>
      </c>
      <c r="D2950" s="2037"/>
      <c r="E2950" s="2037"/>
      <c r="F2950" s="2037"/>
      <c r="G2950" s="2037"/>
      <c r="H2950" s="2037"/>
      <c r="I2950" s="2037"/>
      <c r="J2950" s="1846"/>
      <c r="K2950" s="1846"/>
      <c r="L2950" s="1846"/>
      <c r="M2950" s="1844"/>
      <c r="N2950" s="1844"/>
      <c r="O2950" s="1844"/>
    </row>
    <row r="2951" spans="1:15" s="1177" customFormat="1" ht="25.5">
      <c r="A2951" s="1823"/>
      <c r="B2951" s="1823"/>
      <c r="C2951" s="1817" t="s">
        <v>1435</v>
      </c>
      <c r="D2951" s="1018">
        <v>1</v>
      </c>
      <c r="E2951" s="1002" t="s">
        <v>197</v>
      </c>
      <c r="F2951" s="1018">
        <v>145</v>
      </c>
      <c r="G2951" s="1020">
        <v>1</v>
      </c>
      <c r="H2951" s="1002" t="s">
        <v>197</v>
      </c>
      <c r="I2951" s="1000">
        <f t="shared" ref="I2951:I2952" si="691">IF(G2951="",D2951*F2951,(D2951*F2951/G2951))</f>
        <v>145</v>
      </c>
      <c r="J2951" s="1846"/>
      <c r="K2951" s="1846"/>
      <c r="L2951" s="1846"/>
      <c r="M2951" s="1844"/>
      <c r="N2951" s="1844"/>
      <c r="O2951" s="1844"/>
    </row>
    <row r="2952" spans="1:15" s="1177" customFormat="1">
      <c r="A2952" s="1823"/>
      <c r="B2952" s="1823"/>
      <c r="C2952" s="1817" t="str">
        <f>Input!$C$48</f>
        <v>Overheads &amp; Contractors Profit @ 13.615%</v>
      </c>
      <c r="D2952" s="1850">
        <f>Input!$D$48</f>
        <v>0.13614999999999999</v>
      </c>
      <c r="E2952" s="1002"/>
      <c r="F2952" s="1018">
        <f>I2951</f>
        <v>145</v>
      </c>
      <c r="G2952" s="1020"/>
      <c r="H2952" s="1002"/>
      <c r="I2952" s="1000">
        <f t="shared" si="691"/>
        <v>19.74175</v>
      </c>
      <c r="J2952" s="1846"/>
      <c r="K2952" s="1846"/>
      <c r="L2952" s="1846"/>
      <c r="M2952" s="1844"/>
      <c r="N2952" s="1844"/>
      <c r="O2952" s="1844"/>
    </row>
    <row r="2953" spans="1:15" s="1177" customFormat="1">
      <c r="A2953" s="1823"/>
      <c r="B2953" s="1823"/>
      <c r="C2953" s="1816" t="s">
        <v>1288</v>
      </c>
      <c r="D2953" s="1018"/>
      <c r="E2953" s="1002"/>
      <c r="F2953" s="1018"/>
      <c r="G2953" s="1020"/>
      <c r="H2953" s="1002"/>
      <c r="I2953" s="1000">
        <f>SUM(I2951:I2952)</f>
        <v>164.74175</v>
      </c>
      <c r="J2953" s="1846"/>
      <c r="K2953" s="1846"/>
      <c r="L2953" s="1846"/>
      <c r="M2953" s="1844"/>
      <c r="N2953" s="1844"/>
      <c r="O2953" s="1844"/>
    </row>
    <row r="2954" spans="1:15" s="1177" customFormat="1">
      <c r="A2954" s="1823"/>
      <c r="B2954" s="1823"/>
      <c r="C2954" s="1817"/>
      <c r="D2954" s="1018"/>
      <c r="E2954" s="1002"/>
      <c r="F2954" s="1018"/>
      <c r="G2954" s="1020"/>
      <c r="H2954" s="1083" t="s">
        <v>1065</v>
      </c>
      <c r="I2954" s="1195">
        <f>ROUND(I2953,0)</f>
        <v>165</v>
      </c>
      <c r="J2954" s="1846"/>
      <c r="K2954" s="1846"/>
      <c r="L2954" s="1846"/>
      <c r="M2954" s="1844"/>
      <c r="N2954" s="1844"/>
      <c r="O2954" s="1844"/>
    </row>
    <row r="2955" spans="1:15" s="1177" customFormat="1">
      <c r="A2955" s="1818"/>
      <c r="B2955" s="1818"/>
      <c r="C2955" s="1817"/>
      <c r="D2955" s="1158"/>
      <c r="E2955" s="1846"/>
      <c r="F2955" s="1021"/>
      <c r="G2955" s="1105"/>
      <c r="H2955" s="1846"/>
      <c r="I2955" s="1030"/>
      <c r="J2955" s="1846"/>
      <c r="K2955" s="1846"/>
      <c r="L2955" s="1846"/>
      <c r="M2955" s="1844"/>
      <c r="N2955" s="1844"/>
      <c r="O2955" s="1844"/>
    </row>
    <row r="2956" spans="1:15" s="1177" customFormat="1" ht="81.400000000000006" customHeight="1">
      <c r="A2956" s="1824">
        <f>A2937+1</f>
        <v>37</v>
      </c>
      <c r="B2956" s="1818"/>
      <c r="C2956" s="2037" t="s">
        <v>3429</v>
      </c>
      <c r="D2956" s="2037"/>
      <c r="E2956" s="2037"/>
      <c r="F2956" s="2037"/>
      <c r="G2956" s="2037"/>
      <c r="H2956" s="2037"/>
      <c r="I2956" s="2037"/>
      <c r="J2956" s="1846"/>
      <c r="K2956" s="1846"/>
      <c r="L2956" s="1846"/>
      <c r="M2956" s="1844"/>
      <c r="N2956" s="1844"/>
      <c r="O2956" s="1844"/>
    </row>
    <row r="2957" spans="1:15" s="1177" customFormat="1">
      <c r="A2957" s="1818"/>
      <c r="B2957" s="1818"/>
      <c r="C2957" s="1022" t="s">
        <v>1436</v>
      </c>
      <c r="D2957" s="1002">
        <f>10*1*0.1</f>
        <v>1</v>
      </c>
      <c r="E2957" s="1002" t="s">
        <v>1315</v>
      </c>
      <c r="F2957" s="1018">
        <f>I418</f>
        <v>4707.7235000000001</v>
      </c>
      <c r="G2957" s="1002">
        <v>1</v>
      </c>
      <c r="H2957" s="1002" t="s">
        <v>1315</v>
      </c>
      <c r="I2957" s="1018">
        <f t="shared" ref="I2957:I2958" si="692">IF(G2957="",D2957*F2957,(D2957*F2957/G2957))</f>
        <v>4707.7235000000001</v>
      </c>
      <c r="J2957" s="1846"/>
      <c r="K2957" s="1846"/>
      <c r="L2957" s="1846"/>
      <c r="M2957" s="1844"/>
      <c r="N2957" s="1844"/>
      <c r="O2957" s="1844"/>
    </row>
    <row r="2958" spans="1:15" s="1177" customFormat="1">
      <c r="A2958" s="1818"/>
      <c r="B2958" s="1818"/>
      <c r="C2958" s="1022" t="s">
        <v>1437</v>
      </c>
      <c r="D2958" s="1002">
        <v>10</v>
      </c>
      <c r="E2958" s="1002" t="s">
        <v>1438</v>
      </c>
      <c r="F2958" s="1018">
        <f>I3109</f>
        <v>4339.7029055000003</v>
      </c>
      <c r="G2958" s="1002">
        <v>10</v>
      </c>
      <c r="H2958" s="1002" t="s">
        <v>1438</v>
      </c>
      <c r="I2958" s="1018">
        <f t="shared" si="692"/>
        <v>4339.7029055000003</v>
      </c>
      <c r="J2958" s="1846"/>
      <c r="K2958" s="1846"/>
      <c r="L2958" s="1846"/>
      <c r="M2958" s="1844"/>
      <c r="N2958" s="1844"/>
      <c r="O2958" s="1844"/>
    </row>
    <row r="2959" spans="1:15" s="1177" customFormat="1">
      <c r="A2959" s="1818"/>
      <c r="B2959" s="1818"/>
      <c r="C2959" s="1022"/>
      <c r="D2959" s="1002"/>
      <c r="E2959" s="1002"/>
      <c r="F2959" s="1002"/>
      <c r="G2959" s="1002"/>
      <c r="H2959" s="1002"/>
      <c r="I2959" s="1018">
        <f>SUM(I2957:I2958)</f>
        <v>9047.4264055000003</v>
      </c>
      <c r="J2959" s="1846"/>
      <c r="K2959" s="1846"/>
      <c r="L2959" s="1846"/>
      <c r="M2959" s="1844"/>
      <c r="N2959" s="1844"/>
      <c r="O2959" s="1844"/>
    </row>
    <row r="2960" spans="1:15" s="1177" customFormat="1">
      <c r="A2960" s="1818"/>
      <c r="B2960" s="1818"/>
      <c r="C2960" s="1817" t="s">
        <v>931</v>
      </c>
      <c r="D2960" s="1196">
        <v>0.13614999999999999</v>
      </c>
      <c r="E2960" s="1002"/>
      <c r="F2960" s="1002">
        <f>I2959</f>
        <v>9047.4264055000003</v>
      </c>
      <c r="G2960" s="1002"/>
      <c r="H2960" s="1002"/>
      <c r="I2960" s="1018">
        <f>IF(G2960="",D2960*F2960,(D2960*F2960/G2960))</f>
        <v>1231.807105108825</v>
      </c>
      <c r="J2960" s="1846"/>
      <c r="K2960" s="1846"/>
      <c r="L2960" s="1846"/>
      <c r="M2960" s="1844"/>
      <c r="N2960" s="1844"/>
      <c r="O2960" s="1844"/>
    </row>
    <row r="2961" spans="1:64" s="1177" customFormat="1">
      <c r="A2961" s="1818"/>
      <c r="B2961" s="1818"/>
      <c r="C2961" s="1078" t="s">
        <v>1044</v>
      </c>
      <c r="D2961" s="1114"/>
      <c r="E2961" s="1114"/>
      <c r="F2961" s="1114"/>
      <c r="G2961" s="1114"/>
      <c r="H2961" s="1114"/>
      <c r="I2961" s="1077">
        <f>SUM(I2959:I2960)</f>
        <v>10279.233510608825</v>
      </c>
      <c r="J2961" s="1846"/>
      <c r="K2961" s="1846"/>
      <c r="L2961" s="1846"/>
      <c r="M2961" s="1844"/>
      <c r="N2961" s="1844"/>
      <c r="O2961" s="1844"/>
    </row>
    <row r="2962" spans="1:64" s="1177" customFormat="1">
      <c r="A2962" s="1818"/>
      <c r="B2962" s="1818"/>
      <c r="C2962" s="1078" t="s">
        <v>1045</v>
      </c>
      <c r="D2962" s="1114"/>
      <c r="E2962" s="1114"/>
      <c r="F2962" s="1114"/>
      <c r="G2962" s="1114"/>
      <c r="H2962" s="1114"/>
      <c r="I2962" s="1077">
        <f>I2961/10</f>
        <v>1027.9233510608824</v>
      </c>
      <c r="J2962" s="1846"/>
      <c r="K2962" s="1846"/>
      <c r="L2962" s="1846"/>
      <c r="M2962" s="1844"/>
      <c r="N2962" s="1844"/>
      <c r="O2962" s="1844"/>
    </row>
    <row r="2963" spans="1:64" s="1177" customFormat="1">
      <c r="A2963" s="1818"/>
      <c r="B2963" s="1818"/>
      <c r="C2963" s="1816"/>
      <c r="D2963" s="1114"/>
      <c r="E2963" s="1114"/>
      <c r="F2963" s="1114"/>
      <c r="G2963" s="1114"/>
      <c r="H2963" s="1816" t="s">
        <v>1065</v>
      </c>
      <c r="I2963" s="1114">
        <f>ROUND(I2962,0)</f>
        <v>1028</v>
      </c>
      <c r="J2963" s="1846"/>
      <c r="K2963" s="1846"/>
      <c r="L2963" s="1846"/>
      <c r="M2963" s="1844"/>
      <c r="N2963" s="1844"/>
      <c r="O2963" s="1844"/>
    </row>
    <row r="2964" spans="1:64" s="1177" customFormat="1">
      <c r="A2964" s="1818"/>
      <c r="B2964" s="1818"/>
      <c r="C2964" s="1817"/>
      <c r="D2964" s="1158"/>
      <c r="E2964" s="1846"/>
      <c r="F2964" s="1021"/>
      <c r="G2964" s="1105"/>
      <c r="H2964" s="1846"/>
      <c r="I2964" s="1030"/>
      <c r="J2964" s="1846"/>
      <c r="K2964" s="1846"/>
      <c r="L2964" s="1846"/>
      <c r="M2964" s="1844"/>
      <c r="N2964" s="1844"/>
      <c r="O2964" s="1844"/>
    </row>
    <row r="2965" spans="1:64" ht="114.95" customHeight="1">
      <c r="A2965" s="1818">
        <f>A2821+1</f>
        <v>36</v>
      </c>
      <c r="B2965" s="1818"/>
      <c r="C2965" s="2036" t="s">
        <v>3430</v>
      </c>
      <c r="D2965" s="2036"/>
      <c r="E2965" s="2036"/>
      <c r="F2965" s="2036"/>
      <c r="G2965" s="2036"/>
      <c r="H2965" s="2036"/>
      <c r="I2965" s="1825"/>
      <c r="J2965" s="1846"/>
      <c r="K2965" s="1846"/>
      <c r="L2965" s="1846"/>
    </row>
    <row r="2966" spans="1:64">
      <c r="A2966" s="1818"/>
      <c r="B2966" s="1818"/>
      <c r="C2966" s="1049" t="s">
        <v>1439</v>
      </c>
      <c r="D2966" s="1846"/>
      <c r="E2966" s="1846"/>
      <c r="F2966" s="1068"/>
      <c r="G2966" s="1846"/>
      <c r="H2966" s="1846"/>
      <c r="I2966" s="1021"/>
      <c r="J2966" s="1846"/>
      <c r="K2966" s="1846"/>
      <c r="L2966" s="1846"/>
    </row>
    <row r="2967" spans="1:64">
      <c r="A2967" s="1818"/>
      <c r="B2967" s="1818"/>
      <c r="C2967" s="1820" t="s">
        <v>1394</v>
      </c>
      <c r="D2967" s="1846"/>
      <c r="E2967" s="1846"/>
      <c r="F2967" s="1068"/>
      <c r="G2967" s="1846"/>
      <c r="H2967" s="1846"/>
      <c r="I2967" s="1021"/>
      <c r="J2967" s="1846"/>
      <c r="K2967" s="1846"/>
      <c r="L2967" s="1846"/>
    </row>
    <row r="2968" spans="1:64">
      <c r="A2968" s="1818"/>
      <c r="B2968" s="1818"/>
      <c r="C2968" s="1825" t="s">
        <v>1395</v>
      </c>
      <c r="D2968" s="1096"/>
      <c r="E2968" s="1846"/>
      <c r="F2968" s="1021"/>
      <c r="G2968" s="1105"/>
      <c r="H2968" s="1846"/>
      <c r="I2968" s="1030"/>
      <c r="J2968" s="1846"/>
      <c r="K2968" s="1846"/>
      <c r="L2968" s="1846"/>
    </row>
    <row r="2969" spans="1:64" ht="25.5">
      <c r="A2969" s="1058"/>
      <c r="B2969" s="1058"/>
      <c r="C2969" s="1817" t="s">
        <v>55</v>
      </c>
      <c r="D2969" s="1137">
        <v>10.5</v>
      </c>
      <c r="E2969" s="1022" t="s">
        <v>46</v>
      </c>
      <c r="F2969" s="1848">
        <f>'Civil-SOR'!$G$14</f>
        <v>1182</v>
      </c>
      <c r="G2969" s="1076">
        <v>1</v>
      </c>
      <c r="H2969" s="1022" t="s">
        <v>46</v>
      </c>
      <c r="I2969" s="1062">
        <f t="shared" ref="I2969:I2973" si="693">IF(G2969="",D2969*F2969,(D2969*F2969/G2969))</f>
        <v>12411</v>
      </c>
      <c r="J2969" s="1022"/>
      <c r="K2969" s="1022"/>
      <c r="L2969" s="1022"/>
      <c r="M2969" s="1066"/>
      <c r="N2969" s="1066"/>
      <c r="O2969" s="1066"/>
      <c r="P2969" s="1066"/>
      <c r="Q2969" s="1066"/>
      <c r="R2969" s="1066"/>
      <c r="S2969" s="1066"/>
      <c r="T2969" s="1066"/>
      <c r="U2969" s="1066"/>
      <c r="V2969" s="1066"/>
      <c r="W2969" s="1066"/>
      <c r="X2969" s="1066"/>
      <c r="Y2969" s="1066"/>
      <c r="Z2969" s="1066"/>
      <c r="AA2969" s="1066"/>
      <c r="AB2969" s="1066"/>
      <c r="AC2969" s="1066"/>
      <c r="AD2969" s="1066"/>
      <c r="AE2969" s="1066"/>
      <c r="AF2969" s="1066"/>
      <c r="AG2969" s="1066"/>
      <c r="AH2969" s="1066"/>
      <c r="AI2969" s="1066"/>
      <c r="AJ2969" s="1066"/>
      <c r="AK2969" s="1066"/>
      <c r="AL2969" s="1066"/>
      <c r="AM2969" s="1066"/>
      <c r="AN2969" s="1066"/>
      <c r="AO2969" s="1066"/>
      <c r="AP2969" s="1066"/>
      <c r="AQ2969" s="1066"/>
      <c r="AR2969" s="1066"/>
      <c r="AS2969" s="1066"/>
      <c r="AT2969" s="1066"/>
      <c r="AU2969" s="1066"/>
      <c r="AV2969" s="1066"/>
      <c r="AW2969" s="1066"/>
      <c r="AX2969" s="1066"/>
      <c r="AY2969" s="1066"/>
      <c r="AZ2969" s="1066"/>
      <c r="BA2969" s="1066"/>
      <c r="BB2969" s="1066"/>
      <c r="BC2969" s="1066"/>
      <c r="BD2969" s="1066"/>
      <c r="BE2969" s="1066"/>
      <c r="BF2969" s="1066"/>
      <c r="BG2969" s="1066"/>
      <c r="BH2969" s="1066"/>
      <c r="BI2969" s="1066"/>
      <c r="BJ2969" s="1066"/>
      <c r="BK2969" s="1066"/>
      <c r="BL2969" s="1066"/>
    </row>
    <row r="2970" spans="1:64">
      <c r="A2970" s="1818"/>
      <c r="B2970" s="1818"/>
      <c r="C2970" s="1820" t="s">
        <v>1440</v>
      </c>
      <c r="D2970" s="1096">
        <v>21.6</v>
      </c>
      <c r="E2970" s="1846" t="s">
        <v>1110</v>
      </c>
      <c r="F2970" s="1021">
        <f>LEAD!$N$6</f>
        <v>5200</v>
      </c>
      <c r="G2970" s="1105">
        <v>1000</v>
      </c>
      <c r="H2970" s="1846" t="s">
        <v>1110</v>
      </c>
      <c r="I2970" s="1030">
        <f t="shared" si="693"/>
        <v>112.32000000000002</v>
      </c>
      <c r="J2970" s="1846"/>
      <c r="K2970" s="1846"/>
      <c r="L2970" s="1846"/>
    </row>
    <row r="2971" spans="1:64">
      <c r="A2971" s="1818"/>
      <c r="B2971" s="1818"/>
      <c r="C2971" s="1820" t="s">
        <v>1398</v>
      </c>
      <c r="D2971" s="1096">
        <v>33</v>
      </c>
      <c r="E2971" s="1846" t="s">
        <v>1110</v>
      </c>
      <c r="F2971" s="1021">
        <f>LEAD!$N$6</f>
        <v>5200</v>
      </c>
      <c r="G2971" s="1105">
        <v>1000</v>
      </c>
      <c r="H2971" s="1846" t="s">
        <v>97</v>
      </c>
      <c r="I2971" s="1030">
        <f t="shared" si="693"/>
        <v>171.6</v>
      </c>
      <c r="J2971" s="1846"/>
      <c r="K2971" s="1846"/>
      <c r="L2971" s="1846"/>
    </row>
    <row r="2972" spans="1:64">
      <c r="A2972" s="1818"/>
      <c r="B2972" s="1818"/>
      <c r="C2972" s="1820" t="s">
        <v>1408</v>
      </c>
      <c r="D2972" s="1096">
        <v>6</v>
      </c>
      <c r="E2972" s="1846" t="s">
        <v>1110</v>
      </c>
      <c r="F2972" s="1021">
        <f>'Civil-SOR'!$G$185</f>
        <v>34</v>
      </c>
      <c r="G2972" s="1105">
        <v>1</v>
      </c>
      <c r="H2972" s="1846" t="s">
        <v>97</v>
      </c>
      <c r="I2972" s="1030">
        <f t="shared" si="693"/>
        <v>204</v>
      </c>
      <c r="J2972" s="1846"/>
      <c r="K2972" s="1846"/>
      <c r="L2972" s="1846"/>
    </row>
    <row r="2973" spans="1:64">
      <c r="A2973" s="1818"/>
      <c r="B2973" s="1818"/>
      <c r="C2973" s="1820" t="s">
        <v>1400</v>
      </c>
      <c r="D2973" s="1096">
        <v>0.2</v>
      </c>
      <c r="E2973" s="1846" t="s">
        <v>484</v>
      </c>
      <c r="F2973" s="1021">
        <f>LEAD!$N$13</f>
        <v>2453.91</v>
      </c>
      <c r="G2973" s="1105">
        <v>1</v>
      </c>
      <c r="H2973" s="1846" t="s">
        <v>484</v>
      </c>
      <c r="I2973" s="1030">
        <f t="shared" si="693"/>
        <v>490.78199999999998</v>
      </c>
      <c r="J2973" s="1846"/>
      <c r="K2973" s="1846"/>
      <c r="L2973" s="1846"/>
    </row>
    <row r="2974" spans="1:64">
      <c r="A2974" s="1818"/>
      <c r="B2974" s="1818"/>
      <c r="C2974" s="1825" t="s">
        <v>1324</v>
      </c>
      <c r="D2974" s="1096"/>
      <c r="E2974" s="1846"/>
      <c r="F2974" s="1021"/>
      <c r="G2974" s="1105"/>
      <c r="H2974" s="1846"/>
      <c r="I2974" s="1030"/>
      <c r="J2974" s="1846"/>
      <c r="K2974" s="1846"/>
      <c r="L2974" s="1846"/>
    </row>
    <row r="2975" spans="1:64">
      <c r="A2975" s="1818"/>
      <c r="B2975" s="1818"/>
      <c r="C2975" s="1820" t="s">
        <v>1299</v>
      </c>
      <c r="D2975" s="1096">
        <v>0.96</v>
      </c>
      <c r="E2975" s="1846" t="s">
        <v>955</v>
      </c>
      <c r="F2975" s="1021">
        <f>'Civil-SOR'!$G$293</f>
        <v>580</v>
      </c>
      <c r="G2975" s="1105">
        <v>1</v>
      </c>
      <c r="H2975" s="1846" t="s">
        <v>501</v>
      </c>
      <c r="I2975" s="1030">
        <f t="shared" ref="I2975:I2979" si="694">IF(G2975="",D2975*F2975,(D2975*F2975/G2975))</f>
        <v>556.79999999999995</v>
      </c>
      <c r="J2975" s="1846"/>
      <c r="K2975" s="1846"/>
      <c r="L2975" s="1846"/>
    </row>
    <row r="2976" spans="1:64">
      <c r="A2976" s="1818"/>
      <c r="B2976" s="1818"/>
      <c r="C2976" s="1820" t="s">
        <v>1325</v>
      </c>
      <c r="D2976" s="1096">
        <v>2.2400000000000002</v>
      </c>
      <c r="E2976" s="1846" t="s">
        <v>955</v>
      </c>
      <c r="F2976" s="1021">
        <f>'Civil-SOR'!$G$302</f>
        <v>550</v>
      </c>
      <c r="G2976" s="1105">
        <v>1</v>
      </c>
      <c r="H2976" s="1846" t="s">
        <v>501</v>
      </c>
      <c r="I2976" s="1030">
        <f t="shared" si="694"/>
        <v>1232.0000000000002</v>
      </c>
      <c r="J2976" s="1846"/>
      <c r="K2976" s="1846"/>
      <c r="L2976" s="1846"/>
    </row>
    <row r="2977" spans="1:12">
      <c r="A2977" s="1818"/>
      <c r="B2977" s="1818"/>
      <c r="C2977" s="1820" t="s">
        <v>1401</v>
      </c>
      <c r="D2977" s="1096">
        <v>3.3</v>
      </c>
      <c r="E2977" s="1846" t="s">
        <v>955</v>
      </c>
      <c r="F2977" s="1021">
        <f>'Civil-SOR'!$G$307</f>
        <v>520</v>
      </c>
      <c r="G2977" s="1105">
        <v>1</v>
      </c>
      <c r="H2977" s="1846" t="s">
        <v>501</v>
      </c>
      <c r="I2977" s="1030">
        <f t="shared" si="694"/>
        <v>1716</v>
      </c>
      <c r="J2977" s="1846"/>
      <c r="K2977" s="1846"/>
      <c r="L2977" s="1846"/>
    </row>
    <row r="2978" spans="1:12">
      <c r="A2978" s="1818"/>
      <c r="B2978" s="1818"/>
      <c r="C2978" s="1817" t="str">
        <f>Input!$C$47</f>
        <v>Add for MA @ 40%</v>
      </c>
      <c r="D2978" s="1158">
        <f>Input!$D$47</f>
        <v>0.4</v>
      </c>
      <c r="E2978" s="1846"/>
      <c r="F2978" s="1021">
        <f>SUM(I2975:I2977)</f>
        <v>3504.8</v>
      </c>
      <c r="G2978" s="1105"/>
      <c r="H2978" s="1846"/>
      <c r="I2978" s="1030">
        <f t="shared" si="694"/>
        <v>1401.92</v>
      </c>
      <c r="J2978" s="1846"/>
      <c r="K2978" s="1846"/>
      <c r="L2978" s="1846"/>
    </row>
    <row r="2979" spans="1:12">
      <c r="A2979" s="1818"/>
      <c r="B2979" s="1818"/>
      <c r="C2979" s="1820" t="s">
        <v>1301</v>
      </c>
      <c r="D2979" s="1096">
        <v>0.01</v>
      </c>
      <c r="E2979" s="1846"/>
      <c r="F2979" s="1021">
        <f>SUM(I2969:I2978)</f>
        <v>18296.421999999999</v>
      </c>
      <c r="G2979" s="1105"/>
      <c r="H2979" s="1846"/>
      <c r="I2979" s="1030">
        <f t="shared" si="694"/>
        <v>182.96421999999998</v>
      </c>
      <c r="J2979" s="1846"/>
      <c r="K2979" s="1846"/>
      <c r="L2979" s="1846"/>
    </row>
    <row r="2980" spans="1:12" s="997" customFormat="1">
      <c r="A2980" s="1086"/>
      <c r="B2980" s="1086"/>
      <c r="C2980" s="1183" t="s">
        <v>1402</v>
      </c>
      <c r="D2980" s="1117"/>
      <c r="E2980" s="996"/>
      <c r="F2980" s="1829"/>
      <c r="G2980" s="1108"/>
      <c r="H2980" s="996"/>
      <c r="I2980" s="1826">
        <f>SUM(I2969:I2979)</f>
        <v>18479.38622</v>
      </c>
      <c r="J2980" s="996"/>
      <c r="K2980" s="996"/>
      <c r="L2980" s="996"/>
    </row>
    <row r="2981" spans="1:12">
      <c r="A2981" s="1818"/>
      <c r="B2981" s="1818"/>
      <c r="C2981" s="1846"/>
      <c r="D2981" s="1096"/>
      <c r="E2981" s="1846"/>
      <c r="F2981" s="1021"/>
      <c r="G2981" s="1105"/>
      <c r="H2981" s="1846"/>
      <c r="I2981" s="1030"/>
      <c r="J2981" s="1846"/>
      <c r="K2981" s="1846"/>
      <c r="L2981" s="1846"/>
    </row>
    <row r="2982" spans="1:12">
      <c r="A2982" s="1818"/>
      <c r="B2982" s="1818"/>
      <c r="C2982" s="1816" t="s">
        <v>1217</v>
      </c>
      <c r="D2982" s="1009" t="s">
        <v>1223</v>
      </c>
      <c r="E2982" s="1114" t="s">
        <v>1207</v>
      </c>
      <c r="F2982" s="1106" t="s">
        <v>1208</v>
      </c>
      <c r="G2982" s="1009" t="s">
        <v>1291</v>
      </c>
      <c r="H2982" s="1009" t="s">
        <v>1292</v>
      </c>
      <c r="I2982" s="1009" t="s">
        <v>1293</v>
      </c>
      <c r="J2982" s="1009"/>
      <c r="K2982" s="1009" t="s">
        <v>1358</v>
      </c>
      <c r="L2982" s="1009" t="s">
        <v>1359</v>
      </c>
    </row>
    <row r="2983" spans="1:12">
      <c r="A2983" s="1818"/>
      <c r="B2983" s="1818"/>
      <c r="C2983" s="1817" t="s">
        <v>1317</v>
      </c>
      <c r="D2983" s="1001">
        <f t="shared" ref="D2983:L2983" si="695">$I$2980</f>
        <v>18479.38622</v>
      </c>
      <c r="E2983" s="1001">
        <f t="shared" si="695"/>
        <v>18479.38622</v>
      </c>
      <c r="F2983" s="1001">
        <f t="shared" si="695"/>
        <v>18479.38622</v>
      </c>
      <c r="G2983" s="1001">
        <f t="shared" si="695"/>
        <v>18479.38622</v>
      </c>
      <c r="H2983" s="1001">
        <f t="shared" si="695"/>
        <v>18479.38622</v>
      </c>
      <c r="I2983" s="1001">
        <f t="shared" si="695"/>
        <v>18479.38622</v>
      </c>
      <c r="J2983" s="1001"/>
      <c r="K2983" s="1001">
        <f t="shared" si="695"/>
        <v>18479.38622</v>
      </c>
      <c r="L2983" s="1001">
        <f t="shared" si="695"/>
        <v>18479.38622</v>
      </c>
    </row>
    <row r="2984" spans="1:12">
      <c r="A2984" s="1818"/>
      <c r="B2984" s="1818"/>
      <c r="C2984" s="1817" t="s">
        <v>1253</v>
      </c>
      <c r="D2984" s="1001">
        <v>0</v>
      </c>
      <c r="E2984" s="1001">
        <f>ROUND($F2978*10%,2)</f>
        <v>350.48</v>
      </c>
      <c r="F2984" s="1001">
        <f>ROUND($F2978*20%,2)</f>
        <v>700.96</v>
      </c>
      <c r="G2984" s="1001">
        <f>ROUND($F2978*30%,2)</f>
        <v>1051.44</v>
      </c>
      <c r="H2984" s="1001">
        <f>ROUND($F2978*40%,2)</f>
        <v>1401.92</v>
      </c>
      <c r="I2984" s="1001">
        <f>ROUND($F2978*50%,2)</f>
        <v>1752.4</v>
      </c>
      <c r="J2984" s="1001"/>
      <c r="K2984" s="1001">
        <f>ROUND($F2978*70%,2)</f>
        <v>2453.36</v>
      </c>
      <c r="L2984" s="1001">
        <f>ROUND($F2978*80%,2)</f>
        <v>2803.84</v>
      </c>
    </row>
    <row r="2985" spans="1:12">
      <c r="A2985" s="1818"/>
      <c r="B2985" s="1818"/>
      <c r="C2985" s="1817" t="str">
        <f>Input!$C$47</f>
        <v>Add for MA @ 40%</v>
      </c>
      <c r="D2985" s="1001">
        <f>D2984*Input!$D$47</f>
        <v>0</v>
      </c>
      <c r="E2985" s="1001">
        <f>E2984*Input!$D$47</f>
        <v>140.19200000000001</v>
      </c>
      <c r="F2985" s="1001">
        <f>F2984*Input!$D$47</f>
        <v>280.38400000000001</v>
      </c>
      <c r="G2985" s="1001">
        <f>G2984*Input!$D$47</f>
        <v>420.57600000000002</v>
      </c>
      <c r="H2985" s="1001">
        <f>H2984*Input!$D$47</f>
        <v>560.76800000000003</v>
      </c>
      <c r="I2985" s="1001">
        <f>I2984*Input!$D$47</f>
        <v>700.96</v>
      </c>
      <c r="J2985" s="1001"/>
      <c r="K2985" s="1001">
        <f>K2984*Input!$D$47</f>
        <v>981.34400000000005</v>
      </c>
      <c r="L2985" s="1001">
        <f>L2984*Input!$D$47</f>
        <v>1121.5360000000001</v>
      </c>
    </row>
    <row r="2986" spans="1:12">
      <c r="A2986" s="1818"/>
      <c r="B2986" s="1818"/>
      <c r="C2986" s="1846"/>
      <c r="D2986" s="1001">
        <f t="shared" ref="D2986:L2986" si="696">SUM(D2983:D2985)</f>
        <v>18479.38622</v>
      </c>
      <c r="E2986" s="1001">
        <f t="shared" si="696"/>
        <v>18970.058219999999</v>
      </c>
      <c r="F2986" s="1001">
        <f t="shared" si="696"/>
        <v>19460.730219999998</v>
      </c>
      <c r="G2986" s="1001">
        <f t="shared" si="696"/>
        <v>19951.40222</v>
      </c>
      <c r="H2986" s="1001">
        <f t="shared" si="696"/>
        <v>20442.074219999999</v>
      </c>
      <c r="I2986" s="1001">
        <f t="shared" si="696"/>
        <v>20932.746220000001</v>
      </c>
      <c r="J2986" s="1001"/>
      <c r="K2986" s="1001">
        <f t="shared" si="696"/>
        <v>21914.090220000002</v>
      </c>
      <c r="L2986" s="1001">
        <f t="shared" si="696"/>
        <v>22404.762220000001</v>
      </c>
    </row>
    <row r="2987" spans="1:12">
      <c r="A2987" s="1818"/>
      <c r="B2987" s="1818"/>
      <c r="C2987" s="1817" t="str">
        <f>Input!$C$48</f>
        <v>Overheads &amp; Contractors Profit @ 13.615%</v>
      </c>
      <c r="D2987" s="1001">
        <f>ROUND(D2986*Input!$D$48,2)</f>
        <v>2515.9699999999998</v>
      </c>
      <c r="E2987" s="1001">
        <f>ROUND(E2986*Input!$D$48,2)</f>
        <v>2582.77</v>
      </c>
      <c r="F2987" s="1001">
        <f>ROUND(F2986*Input!$D$48,2)</f>
        <v>2649.58</v>
      </c>
      <c r="G2987" s="1001">
        <f>ROUND(G2986*Input!$D$48,2)</f>
        <v>2716.38</v>
      </c>
      <c r="H2987" s="1001">
        <f>ROUND(H2986*Input!$D$48,2)</f>
        <v>2783.19</v>
      </c>
      <c r="I2987" s="1001">
        <f>ROUND(I2986*Input!$D$48,2)</f>
        <v>2849.99</v>
      </c>
      <c r="J2987" s="1001"/>
      <c r="K2987" s="1001">
        <f>ROUND(K2986*Input!$D$48,2)</f>
        <v>2983.6</v>
      </c>
      <c r="L2987" s="1001">
        <f>ROUND(L2986*Input!$D$48,2)</f>
        <v>3050.41</v>
      </c>
    </row>
    <row r="2988" spans="1:12">
      <c r="A2988" s="1818"/>
      <c r="B2988" s="1818"/>
      <c r="C2988" s="1816" t="s">
        <v>1302</v>
      </c>
      <c r="D2988" s="1001">
        <f t="shared" ref="D2988:L2988" si="697">SUM(D2986:D2987)</f>
        <v>20995.356220000001</v>
      </c>
      <c r="E2988" s="1001">
        <f t="shared" si="697"/>
        <v>21552.828219999999</v>
      </c>
      <c r="F2988" s="1001">
        <f t="shared" si="697"/>
        <v>22110.310219999999</v>
      </c>
      <c r="G2988" s="1001">
        <f t="shared" si="697"/>
        <v>22667.782220000001</v>
      </c>
      <c r="H2988" s="1001">
        <f t="shared" si="697"/>
        <v>23225.264219999997</v>
      </c>
      <c r="I2988" s="1001">
        <f t="shared" si="697"/>
        <v>23782.736219999999</v>
      </c>
      <c r="J2988" s="1001"/>
      <c r="K2988" s="1001">
        <f t="shared" si="697"/>
        <v>24897.69022</v>
      </c>
      <c r="L2988" s="1001">
        <f t="shared" si="697"/>
        <v>25455.17222</v>
      </c>
    </row>
    <row r="2989" spans="1:12">
      <c r="A2989" s="1818"/>
      <c r="B2989" s="1818"/>
      <c r="C2989" s="1816" t="s">
        <v>1117</v>
      </c>
      <c r="D2989" s="1009">
        <f t="shared" ref="D2989:L2989" si="698">D2988/10</f>
        <v>2099.5356220000003</v>
      </c>
      <c r="E2989" s="1009">
        <f t="shared" si="698"/>
        <v>2155.2828220000001</v>
      </c>
      <c r="F2989" s="1009">
        <f t="shared" si="698"/>
        <v>2211.0310220000001</v>
      </c>
      <c r="G2989" s="1009">
        <f t="shared" si="698"/>
        <v>2266.7782219999999</v>
      </c>
      <c r="H2989" s="1009">
        <f t="shared" si="698"/>
        <v>2322.5264219999999</v>
      </c>
      <c r="I2989" s="1009">
        <f t="shared" si="698"/>
        <v>2378.2736219999997</v>
      </c>
      <c r="J2989" s="1009"/>
      <c r="K2989" s="1009">
        <f t="shared" si="698"/>
        <v>2489.7690219999999</v>
      </c>
      <c r="L2989" s="1009">
        <f t="shared" si="698"/>
        <v>2545.5172219999999</v>
      </c>
    </row>
    <row r="2990" spans="1:12">
      <c r="A2990" s="1818"/>
      <c r="B2990" s="1818"/>
      <c r="C2990" s="1118" t="s">
        <v>1034</v>
      </c>
      <c r="D2990" s="1114">
        <f t="shared" ref="D2990:L2990" si="699">ROUND(D2989,0)</f>
        <v>2100</v>
      </c>
      <c r="E2990" s="1114">
        <f t="shared" si="699"/>
        <v>2155</v>
      </c>
      <c r="F2990" s="1114">
        <f t="shared" si="699"/>
        <v>2211</v>
      </c>
      <c r="G2990" s="1114">
        <f t="shared" si="699"/>
        <v>2267</v>
      </c>
      <c r="H2990" s="1114">
        <f t="shared" si="699"/>
        <v>2323</v>
      </c>
      <c r="I2990" s="1114">
        <f t="shared" si="699"/>
        <v>2378</v>
      </c>
      <c r="J2990" s="1114"/>
      <c r="K2990" s="1114">
        <f t="shared" si="699"/>
        <v>2490</v>
      </c>
      <c r="L2990" s="1114">
        <f t="shared" si="699"/>
        <v>2546</v>
      </c>
    </row>
    <row r="2991" spans="1:12">
      <c r="A2991" s="1818"/>
      <c r="B2991" s="1818"/>
      <c r="C2991" s="1116"/>
      <c r="D2991" s="1170"/>
      <c r="E2991" s="1000"/>
      <c r="F2991" s="1001"/>
      <c r="G2991" s="1846"/>
      <c r="H2991" s="1101"/>
      <c r="I2991" s="1080"/>
      <c r="J2991" s="1846"/>
      <c r="K2991" s="1846"/>
      <c r="L2991" s="1846"/>
    </row>
    <row r="2992" spans="1:12" ht="121.7" customHeight="1">
      <c r="A2992" s="1818">
        <f>1+A2794</f>
        <v>34</v>
      </c>
      <c r="B2992" s="1818"/>
      <c r="C2992" s="2036" t="s">
        <v>3431</v>
      </c>
      <c r="D2992" s="2036"/>
      <c r="E2992" s="2036"/>
      <c r="F2992" s="2036"/>
      <c r="G2992" s="2036"/>
      <c r="H2992" s="2036"/>
      <c r="I2992" s="1825"/>
      <c r="J2992" s="1846"/>
      <c r="K2992" s="1846"/>
      <c r="L2992" s="1846"/>
    </row>
    <row r="2993" spans="1:12">
      <c r="A2993" s="1818"/>
      <c r="B2993" s="1818"/>
      <c r="C2993" s="1049" t="s">
        <v>1441</v>
      </c>
      <c r="D2993" s="1846"/>
      <c r="E2993" s="1846"/>
      <c r="F2993" s="1068"/>
      <c r="G2993" s="1846"/>
      <c r="H2993" s="1846"/>
      <c r="I2993" s="1021"/>
      <c r="J2993" s="1846"/>
      <c r="K2993" s="1846"/>
      <c r="L2993" s="1846"/>
    </row>
    <row r="2994" spans="1:12">
      <c r="A2994" s="1818"/>
      <c r="B2994" s="1818"/>
      <c r="C2994" s="1820" t="s">
        <v>1394</v>
      </c>
      <c r="D2994" s="1846"/>
      <c r="E2994" s="1846"/>
      <c r="F2994" s="1068"/>
      <c r="G2994" s="1846"/>
      <c r="H2994" s="1846"/>
      <c r="I2994" s="1021"/>
      <c r="J2994" s="1846"/>
      <c r="K2994" s="1846"/>
      <c r="L2994" s="1846"/>
    </row>
    <row r="2995" spans="1:12">
      <c r="A2995" s="1818"/>
      <c r="B2995" s="1818"/>
      <c r="C2995" s="1825" t="s">
        <v>1395</v>
      </c>
      <c r="D2995" s="1096"/>
      <c r="E2995" s="1846"/>
      <c r="F2995" s="1021"/>
      <c r="G2995" s="1105"/>
      <c r="H2995" s="1846"/>
      <c r="I2995" s="1030"/>
      <c r="J2995" s="1846"/>
      <c r="K2995" s="1846"/>
      <c r="L2995" s="1846"/>
    </row>
    <row r="2996" spans="1:12" ht="25.5">
      <c r="A2996" s="1818"/>
      <c r="B2996" s="1818"/>
      <c r="C2996" s="1820" t="s">
        <v>1442</v>
      </c>
      <c r="D2996" s="1096">
        <v>10.5</v>
      </c>
      <c r="E2996" s="1846" t="s">
        <v>46</v>
      </c>
      <c r="F2996" s="1021">
        <f>LEAD!$N$28</f>
        <v>3030</v>
      </c>
      <c r="G2996" s="1105">
        <v>1</v>
      </c>
      <c r="H2996" s="1846" t="s">
        <v>46</v>
      </c>
      <c r="I2996" s="1030">
        <f t="shared" ref="I2996:I3000" si="700">IF(G2996="",D2996*F2996,(D2996*F2996/G2996))</f>
        <v>31815</v>
      </c>
      <c r="J2996" s="1846"/>
      <c r="K2996" s="1846"/>
      <c r="L2996" s="1846"/>
    </row>
    <row r="2997" spans="1:12">
      <c r="A2997" s="1818"/>
      <c r="B2997" s="1818"/>
      <c r="C2997" s="1820" t="s">
        <v>1440</v>
      </c>
      <c r="D2997" s="1096">
        <v>36</v>
      </c>
      <c r="E2997" s="1846" t="s">
        <v>1110</v>
      </c>
      <c r="F2997" s="1021">
        <f>LEAD!$N$6</f>
        <v>5200</v>
      </c>
      <c r="G2997" s="1105">
        <v>1000</v>
      </c>
      <c r="H2997" s="1846" t="s">
        <v>1110</v>
      </c>
      <c r="I2997" s="1030">
        <f t="shared" si="700"/>
        <v>187.2</v>
      </c>
      <c r="J2997" s="1846"/>
      <c r="K2997" s="1846"/>
      <c r="L2997" s="1846"/>
    </row>
    <row r="2998" spans="1:12">
      <c r="A2998" s="1818"/>
      <c r="B2998" s="1818"/>
      <c r="C2998" s="1820" t="s">
        <v>1398</v>
      </c>
      <c r="D2998" s="1096">
        <v>33</v>
      </c>
      <c r="E2998" s="1846" t="s">
        <v>1110</v>
      </c>
      <c r="F2998" s="1021">
        <f>LEAD!$N$6</f>
        <v>5200</v>
      </c>
      <c r="G2998" s="1105">
        <v>1000</v>
      </c>
      <c r="H2998" s="1846" t="s">
        <v>1110</v>
      </c>
      <c r="I2998" s="1030">
        <f t="shared" si="700"/>
        <v>171.6</v>
      </c>
      <c r="J2998" s="1846"/>
      <c r="K2998" s="1846"/>
      <c r="L2998" s="1846"/>
    </row>
    <row r="2999" spans="1:12">
      <c r="A2999" s="1818"/>
      <c r="B2999" s="1818"/>
      <c r="C2999" s="1820" t="s">
        <v>1443</v>
      </c>
      <c r="D2999" s="1096">
        <v>6</v>
      </c>
      <c r="E2999" s="1846" t="s">
        <v>1110</v>
      </c>
      <c r="F2999" s="1021">
        <f>'Civil-SOR'!$G$185</f>
        <v>34</v>
      </c>
      <c r="G2999" s="1105">
        <v>1</v>
      </c>
      <c r="H2999" s="1846" t="s">
        <v>97</v>
      </c>
      <c r="I2999" s="1030">
        <f t="shared" si="700"/>
        <v>204</v>
      </c>
      <c r="J2999" s="1846"/>
      <c r="K2999" s="1846"/>
      <c r="L2999" s="1846"/>
    </row>
    <row r="3000" spans="1:12">
      <c r="A3000" s="1818"/>
      <c r="B3000" s="1818"/>
      <c r="C3000" s="1820" t="s">
        <v>1400</v>
      </c>
      <c r="D3000" s="1096">
        <v>0.2</v>
      </c>
      <c r="E3000" s="1846" t="s">
        <v>484</v>
      </c>
      <c r="F3000" s="1021">
        <f>LEAD!$N$13</f>
        <v>2453.91</v>
      </c>
      <c r="G3000" s="1105">
        <v>1</v>
      </c>
      <c r="H3000" s="1846" t="s">
        <v>484</v>
      </c>
      <c r="I3000" s="1030">
        <f t="shared" si="700"/>
        <v>490.78199999999998</v>
      </c>
      <c r="J3000" s="1846"/>
      <c r="K3000" s="1846"/>
      <c r="L3000" s="1846"/>
    </row>
    <row r="3001" spans="1:12">
      <c r="A3001" s="1818"/>
      <c r="B3001" s="1818"/>
      <c r="C3001" s="1825" t="s">
        <v>1324</v>
      </c>
      <c r="D3001" s="1096"/>
      <c r="E3001" s="1846"/>
      <c r="F3001" s="1021"/>
      <c r="G3001" s="1105"/>
      <c r="H3001" s="1846"/>
      <c r="I3001" s="1030"/>
      <c r="J3001" s="1846"/>
      <c r="K3001" s="1846"/>
      <c r="L3001" s="1846"/>
    </row>
    <row r="3002" spans="1:12">
      <c r="A3002" s="1818"/>
      <c r="B3002" s="1818"/>
      <c r="C3002" s="1820" t="s">
        <v>1299</v>
      </c>
      <c r="D3002" s="1096">
        <v>3</v>
      </c>
      <c r="E3002" s="1846" t="s">
        <v>955</v>
      </c>
      <c r="F3002" s="1021">
        <f>'Civil-SOR'!$G$293</f>
        <v>580</v>
      </c>
      <c r="G3002" s="1105">
        <v>1</v>
      </c>
      <c r="H3002" s="1846" t="s">
        <v>501</v>
      </c>
      <c r="I3002" s="1030">
        <f t="shared" ref="I3002:I3006" si="701">IF(G3002="",D3002*F3002,(D3002*F3002/G3002))</f>
        <v>1740</v>
      </c>
      <c r="J3002" s="1846"/>
      <c r="K3002" s="1846"/>
      <c r="L3002" s="1846"/>
    </row>
    <row r="3003" spans="1:12">
      <c r="A3003" s="1818"/>
      <c r="B3003" s="1818"/>
      <c r="C3003" s="1820" t="s">
        <v>1325</v>
      </c>
      <c r="D3003" s="1096">
        <v>1</v>
      </c>
      <c r="E3003" s="1846" t="s">
        <v>955</v>
      </c>
      <c r="F3003" s="1021">
        <f>'Civil-SOR'!$G$302</f>
        <v>550</v>
      </c>
      <c r="G3003" s="1105">
        <v>1</v>
      </c>
      <c r="H3003" s="1846" t="s">
        <v>501</v>
      </c>
      <c r="I3003" s="1030">
        <f t="shared" si="701"/>
        <v>550</v>
      </c>
      <c r="J3003" s="1846"/>
      <c r="K3003" s="1846"/>
      <c r="L3003" s="1846"/>
    </row>
    <row r="3004" spans="1:12">
      <c r="A3004" s="1818"/>
      <c r="B3004" s="1818"/>
      <c r="C3004" s="1820" t="s">
        <v>1401</v>
      </c>
      <c r="D3004" s="1096">
        <v>8</v>
      </c>
      <c r="E3004" s="1846" t="s">
        <v>955</v>
      </c>
      <c r="F3004" s="1021">
        <f>'Civil-SOR'!$G$307</f>
        <v>520</v>
      </c>
      <c r="G3004" s="1105">
        <v>1</v>
      </c>
      <c r="H3004" s="1846" t="s">
        <v>501</v>
      </c>
      <c r="I3004" s="1030">
        <f t="shared" si="701"/>
        <v>4160</v>
      </c>
      <c r="J3004" s="1846"/>
      <c r="K3004" s="1846"/>
      <c r="L3004" s="1846"/>
    </row>
    <row r="3005" spans="1:12">
      <c r="A3005" s="1818"/>
      <c r="B3005" s="1818"/>
      <c r="C3005" s="1817" t="str">
        <f>Input!$C$47</f>
        <v>Add for MA @ 40%</v>
      </c>
      <c r="D3005" s="1158">
        <f>Input!$D$47</f>
        <v>0.4</v>
      </c>
      <c r="E3005" s="1846"/>
      <c r="F3005" s="1021">
        <f>SUM(I3002:I3004)</f>
        <v>6450</v>
      </c>
      <c r="G3005" s="1105"/>
      <c r="H3005" s="1846"/>
      <c r="I3005" s="1030">
        <f t="shared" si="701"/>
        <v>2580</v>
      </c>
      <c r="J3005" s="1846"/>
      <c r="K3005" s="1846"/>
      <c r="L3005" s="1846"/>
    </row>
    <row r="3006" spans="1:12">
      <c r="A3006" s="1818"/>
      <c r="B3006" s="1818"/>
      <c r="C3006" s="1820" t="s">
        <v>1301</v>
      </c>
      <c r="D3006" s="1096">
        <v>0.01</v>
      </c>
      <c r="E3006" s="1846"/>
      <c r="F3006" s="1021">
        <f>SUM(I2996:I3005)</f>
        <v>41898.582000000002</v>
      </c>
      <c r="G3006" s="1105"/>
      <c r="H3006" s="1846"/>
      <c r="I3006" s="1030">
        <f t="shared" si="701"/>
        <v>418.98582000000005</v>
      </c>
      <c r="J3006" s="1846"/>
      <c r="K3006" s="1846"/>
      <c r="L3006" s="1846"/>
    </row>
    <row r="3007" spans="1:12">
      <c r="A3007" s="1818"/>
      <c r="B3007" s="1818"/>
      <c r="C3007" s="1825" t="s">
        <v>1409</v>
      </c>
      <c r="D3007" s="1096"/>
      <c r="E3007" s="1846"/>
      <c r="F3007" s="1021"/>
      <c r="G3007" s="1105"/>
      <c r="H3007" s="1846"/>
      <c r="I3007" s="1011">
        <f>SUM(I2996:I3006)</f>
        <v>42317.567820000004</v>
      </c>
      <c r="J3007" s="1846"/>
      <c r="K3007" s="1846"/>
      <c r="L3007" s="1846"/>
    </row>
    <row r="3008" spans="1:12">
      <c r="A3008" s="1818"/>
      <c r="B3008" s="1818"/>
      <c r="C3008" s="1825"/>
      <c r="D3008" s="1096"/>
      <c r="E3008" s="1846"/>
      <c r="F3008" s="1021"/>
      <c r="G3008" s="1105"/>
      <c r="H3008" s="1846"/>
      <c r="I3008" s="1011"/>
      <c r="J3008" s="1846"/>
      <c r="K3008" s="1846"/>
      <c r="L3008" s="1846"/>
    </row>
    <row r="3009" spans="1:12" s="997" customFormat="1">
      <c r="A3009" s="1086"/>
      <c r="B3009" s="1086"/>
      <c r="C3009" s="1088" t="s">
        <v>1217</v>
      </c>
      <c r="D3009" s="1826" t="s">
        <v>1223</v>
      </c>
      <c r="E3009" s="999" t="s">
        <v>1207</v>
      </c>
      <c r="F3009" s="998" t="s">
        <v>1208</v>
      </c>
      <c r="G3009" s="1826" t="s">
        <v>1291</v>
      </c>
      <c r="H3009" s="1826" t="s">
        <v>1292</v>
      </c>
      <c r="I3009" s="1826" t="s">
        <v>1293</v>
      </c>
      <c r="J3009" s="1846"/>
      <c r="K3009" s="1846"/>
      <c r="L3009" s="1846"/>
    </row>
    <row r="3010" spans="1:12">
      <c r="A3010" s="1818"/>
      <c r="B3010" s="1818"/>
      <c r="C3010" s="1817" t="s">
        <v>1317</v>
      </c>
      <c r="D3010" s="1001">
        <f t="shared" ref="D3010:I3010" si="702">$I$3007</f>
        <v>42317.567820000004</v>
      </c>
      <c r="E3010" s="1001">
        <f t="shared" si="702"/>
        <v>42317.567820000004</v>
      </c>
      <c r="F3010" s="1001">
        <f t="shared" si="702"/>
        <v>42317.567820000004</v>
      </c>
      <c r="G3010" s="1001">
        <f t="shared" si="702"/>
        <v>42317.567820000004</v>
      </c>
      <c r="H3010" s="1001">
        <f t="shared" si="702"/>
        <v>42317.567820000004</v>
      </c>
      <c r="I3010" s="1001">
        <f t="shared" si="702"/>
        <v>42317.567820000004</v>
      </c>
      <c r="J3010" s="1846"/>
      <c r="K3010" s="1846"/>
      <c r="L3010" s="1846"/>
    </row>
    <row r="3011" spans="1:12">
      <c r="A3011" s="1818"/>
      <c r="B3011" s="1818"/>
      <c r="C3011" s="1817" t="s">
        <v>1253</v>
      </c>
      <c r="D3011" s="1001">
        <v>0</v>
      </c>
      <c r="E3011" s="1001">
        <f>ROUND($F$3005*10%,2)</f>
        <v>645</v>
      </c>
      <c r="F3011" s="1001">
        <f>ROUND($F$3005*20%,2)</f>
        <v>1290</v>
      </c>
      <c r="G3011" s="1001">
        <f>ROUND($F$3005*30%,2)</f>
        <v>1935</v>
      </c>
      <c r="H3011" s="1001">
        <f>ROUND($F$3005*40%,2)</f>
        <v>2580</v>
      </c>
      <c r="I3011" s="1001">
        <f>ROUND($F$3005*50%,2)</f>
        <v>3225</v>
      </c>
      <c r="J3011" s="1846"/>
      <c r="K3011" s="1846"/>
      <c r="L3011" s="1846"/>
    </row>
    <row r="3012" spans="1:12">
      <c r="A3012" s="1818"/>
      <c r="B3012" s="1818"/>
      <c r="C3012" s="1817" t="str">
        <f>Input!$C$47</f>
        <v>Add for MA @ 40%</v>
      </c>
      <c r="D3012" s="1001">
        <f>D3011*Input!$D$47</f>
        <v>0</v>
      </c>
      <c r="E3012" s="1001">
        <f>E3011*Input!$D$47</f>
        <v>258</v>
      </c>
      <c r="F3012" s="1001">
        <f>F3011*Input!$D$47</f>
        <v>516</v>
      </c>
      <c r="G3012" s="1001">
        <f>G3011*Input!$D$47</f>
        <v>774</v>
      </c>
      <c r="H3012" s="1001">
        <f>H3011*Input!$D$47</f>
        <v>1032</v>
      </c>
      <c r="I3012" s="1001">
        <f>I3011*Input!$D$47</f>
        <v>1290</v>
      </c>
      <c r="J3012" s="1846"/>
      <c r="K3012" s="1846"/>
      <c r="L3012" s="1846"/>
    </row>
    <row r="3013" spans="1:12">
      <c r="A3013" s="1818"/>
      <c r="B3013" s="1818"/>
      <c r="C3013" s="1846"/>
      <c r="D3013" s="1001">
        <f t="shared" ref="D3013:I3013" si="703">SUM(D3010:D3012)</f>
        <v>42317.567820000004</v>
      </c>
      <c r="E3013" s="1001">
        <f t="shared" si="703"/>
        <v>43220.567820000004</v>
      </c>
      <c r="F3013" s="1001">
        <f t="shared" si="703"/>
        <v>44123.567820000004</v>
      </c>
      <c r="G3013" s="1001">
        <f t="shared" si="703"/>
        <v>45026.567820000004</v>
      </c>
      <c r="H3013" s="1001">
        <f t="shared" si="703"/>
        <v>45929.567820000004</v>
      </c>
      <c r="I3013" s="1001">
        <f t="shared" si="703"/>
        <v>46832.567820000004</v>
      </c>
      <c r="J3013" s="1846"/>
      <c r="K3013" s="1846"/>
      <c r="L3013" s="1846"/>
    </row>
    <row r="3014" spans="1:12">
      <c r="A3014" s="1818"/>
      <c r="B3014" s="1818"/>
      <c r="C3014" s="1817" t="str">
        <f>Input!$C$48</f>
        <v>Overheads &amp; Contractors Profit @ 13.615%</v>
      </c>
      <c r="D3014" s="1001">
        <f>ROUND(D3013*Input!$D$48,2)</f>
        <v>5761.54</v>
      </c>
      <c r="E3014" s="1001">
        <f>ROUND(E3013*Input!$D$48,2)</f>
        <v>5884.48</v>
      </c>
      <c r="F3014" s="1001">
        <f>ROUND(F3013*Input!$D$48,2)</f>
        <v>6007.42</v>
      </c>
      <c r="G3014" s="1001">
        <f>ROUND(G3013*Input!$D$48,2)</f>
        <v>6130.37</v>
      </c>
      <c r="H3014" s="1001">
        <f>ROUND(H3013*Input!$D$48,2)</f>
        <v>6253.31</v>
      </c>
      <c r="I3014" s="1001">
        <f>ROUND(I3013*Input!$D$48,2)</f>
        <v>6376.25</v>
      </c>
      <c r="J3014" s="1846"/>
      <c r="K3014" s="1846"/>
      <c r="L3014" s="1846"/>
    </row>
    <row r="3015" spans="1:12">
      <c r="A3015" s="1818"/>
      <c r="B3015" s="1818"/>
      <c r="C3015" s="1816" t="s">
        <v>1302</v>
      </c>
      <c r="D3015" s="1001">
        <f t="shared" ref="D3015:I3015" si="704">SUM(D3013:D3014)</f>
        <v>48079.107820000005</v>
      </c>
      <c r="E3015" s="1001">
        <f t="shared" si="704"/>
        <v>49105.047820000007</v>
      </c>
      <c r="F3015" s="1001">
        <f t="shared" si="704"/>
        <v>50130.987820000002</v>
      </c>
      <c r="G3015" s="1001">
        <f t="shared" si="704"/>
        <v>51156.937820000006</v>
      </c>
      <c r="H3015" s="1001">
        <f t="shared" si="704"/>
        <v>52182.877820000002</v>
      </c>
      <c r="I3015" s="1001">
        <f t="shared" si="704"/>
        <v>53208.817820000004</v>
      </c>
      <c r="J3015" s="1846"/>
      <c r="K3015" s="1846"/>
      <c r="L3015" s="1846"/>
    </row>
    <row r="3016" spans="1:12" s="997" customFormat="1">
      <c r="A3016" s="1086"/>
      <c r="B3016" s="1086"/>
      <c r="C3016" s="1088" t="s">
        <v>1117</v>
      </c>
      <c r="D3016" s="1826">
        <f t="shared" ref="D3016:I3016" si="705">D3015/10</f>
        <v>4807.9107820000008</v>
      </c>
      <c r="E3016" s="1826">
        <f t="shared" si="705"/>
        <v>4910.5047820000009</v>
      </c>
      <c r="F3016" s="1826">
        <f t="shared" si="705"/>
        <v>5013.098782</v>
      </c>
      <c r="G3016" s="1826">
        <f t="shared" si="705"/>
        <v>5115.6937820000003</v>
      </c>
      <c r="H3016" s="1826">
        <f t="shared" si="705"/>
        <v>5218.2877820000003</v>
      </c>
      <c r="I3016" s="1826">
        <f t="shared" si="705"/>
        <v>5320.8817820000004</v>
      </c>
      <c r="J3016" s="1846"/>
      <c r="K3016" s="1846"/>
      <c r="L3016" s="1846"/>
    </row>
    <row r="3017" spans="1:12" s="997" customFormat="1">
      <c r="A3017" s="1086"/>
      <c r="B3017" s="1086"/>
      <c r="C3017" s="1118" t="s">
        <v>1034</v>
      </c>
      <c r="D3017" s="999">
        <f t="shared" ref="D3017:I3017" si="706">ROUND(D3016,0)</f>
        <v>4808</v>
      </c>
      <c r="E3017" s="999">
        <f t="shared" si="706"/>
        <v>4911</v>
      </c>
      <c r="F3017" s="999">
        <f t="shared" si="706"/>
        <v>5013</v>
      </c>
      <c r="G3017" s="999">
        <f t="shared" si="706"/>
        <v>5116</v>
      </c>
      <c r="H3017" s="999">
        <f t="shared" si="706"/>
        <v>5218</v>
      </c>
      <c r="I3017" s="999">
        <f t="shared" si="706"/>
        <v>5321</v>
      </c>
      <c r="J3017" s="1974" t="s">
        <v>3901</v>
      </c>
      <c r="K3017" s="1846"/>
      <c r="L3017" s="1846"/>
    </row>
    <row r="3018" spans="1:12">
      <c r="A3018" s="1818"/>
      <c r="B3018" s="1818"/>
      <c r="C3018" s="1116"/>
      <c r="D3018" s="1170"/>
      <c r="E3018" s="1000"/>
      <c r="F3018" s="1001"/>
      <c r="G3018" s="1846"/>
      <c r="H3018" s="1101"/>
      <c r="I3018" s="1080"/>
      <c r="J3018" s="1846"/>
      <c r="K3018" s="1846"/>
      <c r="L3018" s="1846"/>
    </row>
    <row r="3019" spans="1:12">
      <c r="A3019" s="1818"/>
      <c r="B3019" s="1818"/>
      <c r="C3019" s="1816" t="s">
        <v>1217</v>
      </c>
      <c r="D3019" s="1826" t="s">
        <v>1357</v>
      </c>
      <c r="E3019" s="1826" t="s">
        <v>1358</v>
      </c>
      <c r="F3019" s="1826" t="s">
        <v>1359</v>
      </c>
      <c r="G3019" s="1846"/>
      <c r="H3019" s="1101"/>
      <c r="I3019" s="1080"/>
      <c r="J3019" s="1846"/>
      <c r="K3019" s="1846"/>
      <c r="L3019" s="1846"/>
    </row>
    <row r="3020" spans="1:12">
      <c r="A3020" s="1818"/>
      <c r="B3020" s="1818"/>
      <c r="C3020" s="1817" t="s">
        <v>1317</v>
      </c>
      <c r="D3020" s="1001">
        <f>$I$3007</f>
        <v>42317.567820000004</v>
      </c>
      <c r="E3020" s="1001">
        <f>$I$3007</f>
        <v>42317.567820000004</v>
      </c>
      <c r="F3020" s="1001">
        <f>$I$3007</f>
        <v>42317.567820000004</v>
      </c>
      <c r="G3020" s="1846"/>
      <c r="H3020" s="1101"/>
      <c r="I3020" s="1080"/>
      <c r="J3020" s="1846"/>
      <c r="K3020" s="1846"/>
      <c r="L3020" s="1846"/>
    </row>
    <row r="3021" spans="1:12">
      <c r="A3021" s="1818"/>
      <c r="B3021" s="1818"/>
      <c r="C3021" s="1817" t="s">
        <v>1253</v>
      </c>
      <c r="D3021" s="1001">
        <f>ROUND($F$3005*60%,2)</f>
        <v>3870</v>
      </c>
      <c r="E3021" s="1001">
        <f>ROUND($F$3005*70%,2)</f>
        <v>4515</v>
      </c>
      <c r="F3021" s="1001">
        <f>ROUND($F$3005*80%,2)</f>
        <v>5160</v>
      </c>
      <c r="G3021" s="1846"/>
      <c r="H3021" s="1101"/>
      <c r="I3021" s="1080"/>
      <c r="J3021" s="1846"/>
      <c r="K3021" s="1846"/>
      <c r="L3021" s="1846"/>
    </row>
    <row r="3022" spans="1:12">
      <c r="A3022" s="1818"/>
      <c r="B3022" s="1818"/>
      <c r="C3022" s="1817" t="str">
        <f>Input!$C$47</f>
        <v>Add for MA @ 40%</v>
      </c>
      <c r="D3022" s="1001">
        <f>D3021*Input!$D$47</f>
        <v>1548</v>
      </c>
      <c r="E3022" s="1001">
        <f>E3021*Input!$D$47</f>
        <v>1806</v>
      </c>
      <c r="F3022" s="1001">
        <f>F3021*Input!$D$47</f>
        <v>2064</v>
      </c>
      <c r="G3022" s="1846"/>
      <c r="H3022" s="1101"/>
      <c r="I3022" s="1080"/>
      <c r="J3022" s="1846"/>
      <c r="K3022" s="1846"/>
      <c r="L3022" s="1846"/>
    </row>
    <row r="3023" spans="1:12">
      <c r="A3023" s="1818"/>
      <c r="B3023" s="1818"/>
      <c r="C3023" s="1022"/>
      <c r="D3023" s="1001">
        <f>SUM(D3020:D3022)</f>
        <v>47735.567820000004</v>
      </c>
      <c r="E3023" s="1001">
        <f>SUM(E3020:E3022)</f>
        <v>48638.567820000004</v>
      </c>
      <c r="F3023" s="1001">
        <f>SUM(F3020:F3022)</f>
        <v>49541.567820000004</v>
      </c>
      <c r="G3023" s="1846"/>
      <c r="H3023" s="1101"/>
      <c r="I3023" s="1080"/>
      <c r="J3023" s="1846"/>
      <c r="K3023" s="1846"/>
      <c r="L3023" s="1846"/>
    </row>
    <row r="3024" spans="1:12">
      <c r="A3024" s="1818"/>
      <c r="B3024" s="1818"/>
      <c r="C3024" s="1817" t="str">
        <f>Input!$C$48</f>
        <v>Overheads &amp; Contractors Profit @ 13.615%</v>
      </c>
      <c r="D3024" s="1001">
        <f>ROUND(D3023*Input!$D$48,2)</f>
        <v>6499.2</v>
      </c>
      <c r="E3024" s="1001">
        <f>ROUND(E3023*Input!$D$48,2)</f>
        <v>6622.14</v>
      </c>
      <c r="F3024" s="1001">
        <f>ROUND(F3023*Input!$D$48,2)</f>
        <v>6745.08</v>
      </c>
      <c r="G3024" s="1846"/>
      <c r="H3024" s="1101"/>
      <c r="I3024" s="1080"/>
      <c r="J3024" s="1846"/>
      <c r="K3024" s="1846"/>
      <c r="L3024" s="1846"/>
    </row>
    <row r="3025" spans="1:64">
      <c r="A3025" s="1818"/>
      <c r="B3025" s="1818"/>
      <c r="C3025" s="1816" t="s">
        <v>1302</v>
      </c>
      <c r="D3025" s="1001">
        <f>SUM(D3023:D3024)</f>
        <v>54234.767820000001</v>
      </c>
      <c r="E3025" s="1001">
        <f>SUM(E3023:E3024)</f>
        <v>55260.707820000003</v>
      </c>
      <c r="F3025" s="1001">
        <f>SUM(F3023:F3024)</f>
        <v>56286.647820000006</v>
      </c>
      <c r="G3025" s="1846"/>
      <c r="H3025" s="1101"/>
      <c r="I3025" s="1080"/>
      <c r="J3025" s="1846"/>
      <c r="K3025" s="1846"/>
      <c r="L3025" s="1846"/>
    </row>
    <row r="3026" spans="1:64">
      <c r="A3026" s="1818"/>
      <c r="B3026" s="1818"/>
      <c r="C3026" s="1816" t="s">
        <v>1117</v>
      </c>
      <c r="D3026" s="1826">
        <f>D3025/10</f>
        <v>5423.4767819999997</v>
      </c>
      <c r="E3026" s="1826">
        <f>E3025/10</f>
        <v>5526.0707820000007</v>
      </c>
      <c r="F3026" s="1826">
        <f>F3025/10</f>
        <v>5628.6647820000007</v>
      </c>
      <c r="G3026" s="1846"/>
      <c r="H3026" s="1101"/>
      <c r="I3026" s="1080"/>
      <c r="J3026" s="1846"/>
      <c r="K3026" s="1846"/>
      <c r="L3026" s="1846"/>
    </row>
    <row r="3027" spans="1:64">
      <c r="A3027" s="1818"/>
      <c r="B3027" s="1818"/>
      <c r="C3027" s="1843" t="s">
        <v>1034</v>
      </c>
      <c r="D3027" s="999">
        <f>ROUND(D3026,0)</f>
        <v>5423</v>
      </c>
      <c r="E3027" s="999">
        <f>ROUND(E3026,0)</f>
        <v>5526</v>
      </c>
      <c r="F3027" s="999">
        <f>ROUND(F3026,0)</f>
        <v>5629</v>
      </c>
      <c r="G3027" s="1846"/>
      <c r="H3027" s="1101"/>
      <c r="I3027" s="1080"/>
      <c r="J3027" s="1846"/>
      <c r="K3027" s="1846"/>
      <c r="L3027" s="1846"/>
    </row>
    <row r="3028" spans="1:64">
      <c r="A3028" s="1818"/>
      <c r="B3028" s="1818"/>
      <c r="C3028" s="1116"/>
      <c r="D3028" s="1170"/>
      <c r="E3028" s="1000"/>
      <c r="F3028" s="1001"/>
      <c r="G3028" s="1846"/>
      <c r="H3028" s="1101"/>
      <c r="I3028" s="1080"/>
      <c r="J3028" s="1846"/>
      <c r="K3028" s="1846"/>
      <c r="L3028" s="1846"/>
    </row>
    <row r="3029" spans="1:64" ht="93" customHeight="1">
      <c r="A3029" s="1197">
        <f>A2992+1</f>
        <v>35</v>
      </c>
      <c r="B3029" s="1197"/>
      <c r="C3029" s="2031" t="s">
        <v>3593</v>
      </c>
      <c r="D3029" s="2032"/>
      <c r="E3029" s="2032"/>
      <c r="F3029" s="2032"/>
      <c r="G3029" s="2032"/>
      <c r="H3029" s="2032"/>
      <c r="I3029" s="2033"/>
      <c r="J3029" s="1846"/>
      <c r="K3029" s="1846"/>
      <c r="L3029" s="1846"/>
    </row>
    <row r="3030" spans="1:64">
      <c r="A3030" s="1197"/>
      <c r="B3030" s="1197"/>
      <c r="C3030" s="1198" t="s">
        <v>1441</v>
      </c>
      <c r="D3030" s="1199"/>
      <c r="E3030" s="1199"/>
      <c r="F3030" s="1200"/>
      <c r="G3030" s="1199"/>
      <c r="H3030" s="1199"/>
      <c r="I3030" s="1201"/>
      <c r="J3030" s="1846"/>
      <c r="K3030" s="1846"/>
      <c r="L3030" s="1846"/>
    </row>
    <row r="3031" spans="1:64">
      <c r="A3031" s="1197"/>
      <c r="B3031" s="1197"/>
      <c r="C3031" s="1202" t="s">
        <v>1394</v>
      </c>
      <c r="D3031" s="1199"/>
      <c r="E3031" s="1199"/>
      <c r="F3031" s="1200"/>
      <c r="G3031" s="1199"/>
      <c r="H3031" s="1199"/>
      <c r="I3031" s="1201"/>
      <c r="J3031" s="1846"/>
      <c r="K3031" s="1846"/>
      <c r="L3031" s="1846"/>
    </row>
    <row r="3032" spans="1:64">
      <c r="A3032" s="1197"/>
      <c r="B3032" s="1197"/>
      <c r="C3032" s="1814" t="s">
        <v>1395</v>
      </c>
      <c r="D3032" s="1203"/>
      <c r="E3032" s="1199"/>
      <c r="F3032" s="1201"/>
      <c r="G3032" s="1204"/>
      <c r="H3032" s="1199"/>
      <c r="I3032" s="1205"/>
      <c r="J3032" s="1846"/>
      <c r="K3032" s="1846"/>
      <c r="L3032" s="1846"/>
    </row>
    <row r="3033" spans="1:64" ht="25.5">
      <c r="A3033" s="1206"/>
      <c r="B3033" s="1206"/>
      <c r="C3033" s="1807" t="s">
        <v>1444</v>
      </c>
      <c r="D3033" s="1207">
        <v>10.5</v>
      </c>
      <c r="E3033" s="1208" t="s">
        <v>46</v>
      </c>
      <c r="F3033" s="1209">
        <f>LEAD!$N$29</f>
        <v>2576</v>
      </c>
      <c r="G3033" s="1210">
        <v>1</v>
      </c>
      <c r="H3033" s="1208" t="s">
        <v>46</v>
      </c>
      <c r="I3033" s="1211">
        <f t="shared" ref="I3033:I3037" si="707">IF(G3033="",D3033*F3033,(D3033*F3033/G3033))</f>
        <v>27048</v>
      </c>
      <c r="J3033" s="1022"/>
      <c r="K3033" s="1022"/>
      <c r="L3033" s="1022"/>
      <c r="M3033" s="1066"/>
      <c r="N3033" s="1066"/>
      <c r="O3033" s="1066"/>
      <c r="P3033" s="1066"/>
      <c r="Q3033" s="1066"/>
      <c r="R3033" s="1066"/>
      <c r="S3033" s="1066"/>
      <c r="T3033" s="1066"/>
      <c r="U3033" s="1066"/>
      <c r="V3033" s="1066"/>
      <c r="W3033" s="1066"/>
      <c r="X3033" s="1066"/>
      <c r="Y3033" s="1066"/>
      <c r="Z3033" s="1066"/>
      <c r="AA3033" s="1066"/>
      <c r="AB3033" s="1066"/>
      <c r="AC3033" s="1066"/>
      <c r="AD3033" s="1066"/>
      <c r="AE3033" s="1066"/>
      <c r="AF3033" s="1066"/>
      <c r="AG3033" s="1066"/>
      <c r="AH3033" s="1066"/>
      <c r="AI3033" s="1066"/>
      <c r="AJ3033" s="1066"/>
      <c r="AK3033" s="1066"/>
      <c r="AL3033" s="1066"/>
      <c r="AM3033" s="1066"/>
      <c r="AN3033" s="1066"/>
      <c r="AO3033" s="1066"/>
      <c r="AP3033" s="1066"/>
      <c r="AQ3033" s="1066"/>
      <c r="AR3033" s="1066"/>
      <c r="AS3033" s="1066"/>
      <c r="AT3033" s="1066"/>
      <c r="AU3033" s="1066"/>
      <c r="AV3033" s="1066"/>
      <c r="AW3033" s="1066"/>
      <c r="AX3033" s="1066"/>
      <c r="AY3033" s="1066"/>
      <c r="AZ3033" s="1066"/>
      <c r="BA3033" s="1066"/>
      <c r="BB3033" s="1066"/>
      <c r="BC3033" s="1066"/>
      <c r="BD3033" s="1066"/>
      <c r="BE3033" s="1066"/>
      <c r="BF3033" s="1066"/>
      <c r="BG3033" s="1066"/>
      <c r="BH3033" s="1066"/>
      <c r="BI3033" s="1066"/>
      <c r="BJ3033" s="1066"/>
      <c r="BK3033" s="1066"/>
      <c r="BL3033" s="1066"/>
    </row>
    <row r="3034" spans="1:64">
      <c r="A3034" s="1206"/>
      <c r="B3034" s="1206"/>
      <c r="C3034" s="1807" t="s">
        <v>1440</v>
      </c>
      <c r="D3034" s="1207">
        <v>36</v>
      </c>
      <c r="E3034" s="1208" t="s">
        <v>1110</v>
      </c>
      <c r="F3034" s="1209">
        <f>LEAD!$N$6</f>
        <v>5200</v>
      </c>
      <c r="G3034" s="1210">
        <v>1000</v>
      </c>
      <c r="H3034" s="1208" t="s">
        <v>1110</v>
      </c>
      <c r="I3034" s="1211">
        <f t="shared" si="707"/>
        <v>187.2</v>
      </c>
      <c r="J3034" s="1022"/>
      <c r="K3034" s="1022"/>
      <c r="L3034" s="1022"/>
      <c r="M3034" s="1066"/>
      <c r="N3034" s="1066"/>
      <c r="O3034" s="1066"/>
      <c r="P3034" s="1066"/>
      <c r="Q3034" s="1066"/>
      <c r="R3034" s="1066"/>
      <c r="S3034" s="1066"/>
      <c r="T3034" s="1066"/>
      <c r="U3034" s="1066"/>
      <c r="V3034" s="1066"/>
      <c r="W3034" s="1066"/>
      <c r="X3034" s="1066"/>
      <c r="Y3034" s="1066"/>
      <c r="Z3034" s="1066"/>
      <c r="AA3034" s="1066"/>
      <c r="AB3034" s="1066"/>
      <c r="AC3034" s="1066"/>
      <c r="AD3034" s="1066"/>
      <c r="AE3034" s="1066"/>
      <c r="AF3034" s="1066"/>
      <c r="AG3034" s="1066"/>
      <c r="AH3034" s="1066"/>
      <c r="AI3034" s="1066"/>
      <c r="AJ3034" s="1066"/>
      <c r="AK3034" s="1066"/>
      <c r="AL3034" s="1066"/>
      <c r="AM3034" s="1066"/>
      <c r="AN3034" s="1066"/>
      <c r="AO3034" s="1066"/>
      <c r="AP3034" s="1066"/>
      <c r="AQ3034" s="1066"/>
      <c r="AR3034" s="1066"/>
      <c r="AS3034" s="1066"/>
      <c r="AT3034" s="1066"/>
      <c r="AU3034" s="1066"/>
      <c r="AV3034" s="1066"/>
      <c r="AW3034" s="1066"/>
      <c r="AX3034" s="1066"/>
      <c r="AY3034" s="1066"/>
      <c r="AZ3034" s="1066"/>
      <c r="BA3034" s="1066"/>
      <c r="BB3034" s="1066"/>
      <c r="BC3034" s="1066"/>
      <c r="BD3034" s="1066"/>
      <c r="BE3034" s="1066"/>
      <c r="BF3034" s="1066"/>
      <c r="BG3034" s="1066"/>
      <c r="BH3034" s="1066"/>
      <c r="BI3034" s="1066"/>
      <c r="BJ3034" s="1066"/>
      <c r="BK3034" s="1066"/>
      <c r="BL3034" s="1066"/>
    </row>
    <row r="3035" spans="1:64">
      <c r="A3035" s="1206"/>
      <c r="B3035" s="1206"/>
      <c r="C3035" s="1807" t="s">
        <v>1398</v>
      </c>
      <c r="D3035" s="1207">
        <v>33</v>
      </c>
      <c r="E3035" s="1208" t="s">
        <v>1110</v>
      </c>
      <c r="F3035" s="1209">
        <f>LEAD!$N$6</f>
        <v>5200</v>
      </c>
      <c r="G3035" s="1210">
        <v>1000</v>
      </c>
      <c r="H3035" s="1208" t="s">
        <v>1110</v>
      </c>
      <c r="I3035" s="1211">
        <f t="shared" si="707"/>
        <v>171.6</v>
      </c>
      <c r="J3035" s="1022"/>
      <c r="K3035" s="1022"/>
      <c r="L3035" s="1022"/>
      <c r="M3035" s="1066"/>
      <c r="N3035" s="1066"/>
      <c r="O3035" s="1066"/>
      <c r="P3035" s="1066"/>
      <c r="Q3035" s="1066"/>
      <c r="R3035" s="1066"/>
      <c r="S3035" s="1066"/>
      <c r="T3035" s="1066"/>
      <c r="U3035" s="1066"/>
      <c r="V3035" s="1066"/>
      <c r="W3035" s="1066"/>
      <c r="X3035" s="1066"/>
      <c r="Y3035" s="1066"/>
      <c r="Z3035" s="1066"/>
      <c r="AA3035" s="1066"/>
      <c r="AB3035" s="1066"/>
      <c r="AC3035" s="1066"/>
      <c r="AD3035" s="1066"/>
      <c r="AE3035" s="1066"/>
      <c r="AF3035" s="1066"/>
      <c r="AG3035" s="1066"/>
      <c r="AH3035" s="1066"/>
      <c r="AI3035" s="1066"/>
      <c r="AJ3035" s="1066"/>
      <c r="AK3035" s="1066"/>
      <c r="AL3035" s="1066"/>
      <c r="AM3035" s="1066"/>
      <c r="AN3035" s="1066"/>
      <c r="AO3035" s="1066"/>
      <c r="AP3035" s="1066"/>
      <c r="AQ3035" s="1066"/>
      <c r="AR3035" s="1066"/>
      <c r="AS3035" s="1066"/>
      <c r="AT3035" s="1066"/>
      <c r="AU3035" s="1066"/>
      <c r="AV3035" s="1066"/>
      <c r="AW3035" s="1066"/>
      <c r="AX3035" s="1066"/>
      <c r="AY3035" s="1066"/>
      <c r="AZ3035" s="1066"/>
      <c r="BA3035" s="1066"/>
      <c r="BB3035" s="1066"/>
      <c r="BC3035" s="1066"/>
      <c r="BD3035" s="1066"/>
      <c r="BE3035" s="1066"/>
      <c r="BF3035" s="1066"/>
      <c r="BG3035" s="1066"/>
      <c r="BH3035" s="1066"/>
      <c r="BI3035" s="1066"/>
      <c r="BJ3035" s="1066"/>
      <c r="BK3035" s="1066"/>
      <c r="BL3035" s="1066"/>
    </row>
    <row r="3036" spans="1:64">
      <c r="A3036" s="1206"/>
      <c r="B3036" s="1206"/>
      <c r="C3036" s="1807" t="s">
        <v>1443</v>
      </c>
      <c r="D3036" s="1207">
        <v>6</v>
      </c>
      <c r="E3036" s="1208" t="s">
        <v>1110</v>
      </c>
      <c r="F3036" s="1209">
        <f>'Civil-SOR'!$G$185</f>
        <v>34</v>
      </c>
      <c r="G3036" s="1210">
        <v>1</v>
      </c>
      <c r="H3036" s="1208" t="s">
        <v>97</v>
      </c>
      <c r="I3036" s="1211">
        <f t="shared" si="707"/>
        <v>204</v>
      </c>
      <c r="J3036" s="1022"/>
      <c r="K3036" s="1022"/>
      <c r="L3036" s="1022"/>
      <c r="M3036" s="1066"/>
      <c r="N3036" s="1066"/>
      <c r="O3036" s="1066"/>
      <c r="P3036" s="1066"/>
      <c r="Q3036" s="1066"/>
      <c r="R3036" s="1066"/>
      <c r="S3036" s="1066"/>
      <c r="T3036" s="1066"/>
      <c r="U3036" s="1066"/>
      <c r="V3036" s="1066"/>
      <c r="W3036" s="1066"/>
      <c r="X3036" s="1066"/>
      <c r="Y3036" s="1066"/>
      <c r="Z3036" s="1066"/>
      <c r="AA3036" s="1066"/>
      <c r="AB3036" s="1066"/>
      <c r="AC3036" s="1066"/>
      <c r="AD3036" s="1066"/>
      <c r="AE3036" s="1066"/>
      <c r="AF3036" s="1066"/>
      <c r="AG3036" s="1066"/>
      <c r="AH3036" s="1066"/>
      <c r="AI3036" s="1066"/>
      <c r="AJ3036" s="1066"/>
      <c r="AK3036" s="1066"/>
      <c r="AL3036" s="1066"/>
      <c r="AM3036" s="1066"/>
      <c r="AN3036" s="1066"/>
      <c r="AO3036" s="1066"/>
      <c r="AP3036" s="1066"/>
      <c r="AQ3036" s="1066"/>
      <c r="AR3036" s="1066"/>
      <c r="AS3036" s="1066"/>
      <c r="AT3036" s="1066"/>
      <c r="AU3036" s="1066"/>
      <c r="AV3036" s="1066"/>
      <c r="AW3036" s="1066"/>
      <c r="AX3036" s="1066"/>
      <c r="AY3036" s="1066"/>
      <c r="AZ3036" s="1066"/>
      <c r="BA3036" s="1066"/>
      <c r="BB3036" s="1066"/>
      <c r="BC3036" s="1066"/>
      <c r="BD3036" s="1066"/>
      <c r="BE3036" s="1066"/>
      <c r="BF3036" s="1066"/>
      <c r="BG3036" s="1066"/>
      <c r="BH3036" s="1066"/>
      <c r="BI3036" s="1066"/>
      <c r="BJ3036" s="1066"/>
      <c r="BK3036" s="1066"/>
      <c r="BL3036" s="1066"/>
    </row>
    <row r="3037" spans="1:64">
      <c r="A3037" s="1206"/>
      <c r="B3037" s="1206"/>
      <c r="C3037" s="1807" t="s">
        <v>1400</v>
      </c>
      <c r="D3037" s="1207">
        <v>0.2</v>
      </c>
      <c r="E3037" s="1208" t="s">
        <v>484</v>
      </c>
      <c r="F3037" s="1209">
        <f>LEAD!$N$13</f>
        <v>2453.91</v>
      </c>
      <c r="G3037" s="1210">
        <v>1</v>
      </c>
      <c r="H3037" s="1208" t="s">
        <v>484</v>
      </c>
      <c r="I3037" s="1211">
        <f t="shared" si="707"/>
        <v>490.78199999999998</v>
      </c>
      <c r="J3037" s="1022"/>
      <c r="K3037" s="1022"/>
      <c r="L3037" s="1022"/>
      <c r="M3037" s="1066"/>
      <c r="N3037" s="1066"/>
      <c r="O3037" s="1066"/>
      <c r="P3037" s="1066"/>
      <c r="Q3037" s="1066"/>
      <c r="R3037" s="1066"/>
      <c r="S3037" s="1066"/>
      <c r="T3037" s="1066"/>
      <c r="U3037" s="1066"/>
      <c r="V3037" s="1066"/>
      <c r="W3037" s="1066"/>
      <c r="X3037" s="1066"/>
      <c r="Y3037" s="1066"/>
      <c r="Z3037" s="1066"/>
      <c r="AA3037" s="1066"/>
      <c r="AB3037" s="1066"/>
      <c r="AC3037" s="1066"/>
      <c r="AD3037" s="1066"/>
      <c r="AE3037" s="1066"/>
      <c r="AF3037" s="1066"/>
      <c r="AG3037" s="1066"/>
      <c r="AH3037" s="1066"/>
      <c r="AI3037" s="1066"/>
      <c r="AJ3037" s="1066"/>
      <c r="AK3037" s="1066"/>
      <c r="AL3037" s="1066"/>
      <c r="AM3037" s="1066"/>
      <c r="AN3037" s="1066"/>
      <c r="AO3037" s="1066"/>
      <c r="AP3037" s="1066"/>
      <c r="AQ3037" s="1066"/>
      <c r="AR3037" s="1066"/>
      <c r="AS3037" s="1066"/>
      <c r="AT3037" s="1066"/>
      <c r="AU3037" s="1066"/>
      <c r="AV3037" s="1066"/>
      <c r="AW3037" s="1066"/>
      <c r="AX3037" s="1066"/>
      <c r="AY3037" s="1066"/>
      <c r="AZ3037" s="1066"/>
      <c r="BA3037" s="1066"/>
      <c r="BB3037" s="1066"/>
      <c r="BC3037" s="1066"/>
      <c r="BD3037" s="1066"/>
      <c r="BE3037" s="1066"/>
      <c r="BF3037" s="1066"/>
      <c r="BG3037" s="1066"/>
      <c r="BH3037" s="1066"/>
      <c r="BI3037" s="1066"/>
      <c r="BJ3037" s="1066"/>
      <c r="BK3037" s="1066"/>
      <c r="BL3037" s="1066"/>
    </row>
    <row r="3038" spans="1:64">
      <c r="A3038" s="1206"/>
      <c r="B3038" s="1206"/>
      <c r="C3038" s="1795" t="s">
        <v>1324</v>
      </c>
      <c r="D3038" s="1207"/>
      <c r="E3038" s="1208"/>
      <c r="F3038" s="1209"/>
      <c r="G3038" s="1210"/>
      <c r="H3038" s="1208"/>
      <c r="I3038" s="1211"/>
      <c r="J3038" s="1022"/>
      <c r="K3038" s="1022"/>
      <c r="L3038" s="1022"/>
      <c r="M3038" s="1066"/>
      <c r="N3038" s="1066"/>
      <c r="O3038" s="1066"/>
      <c r="P3038" s="1066"/>
      <c r="Q3038" s="1066"/>
      <c r="R3038" s="1066"/>
      <c r="S3038" s="1066"/>
      <c r="T3038" s="1066"/>
      <c r="U3038" s="1066"/>
      <c r="V3038" s="1066"/>
      <c r="W3038" s="1066"/>
      <c r="X3038" s="1066"/>
      <c r="Y3038" s="1066"/>
      <c r="Z3038" s="1066"/>
      <c r="AA3038" s="1066"/>
      <c r="AB3038" s="1066"/>
      <c r="AC3038" s="1066"/>
      <c r="AD3038" s="1066"/>
      <c r="AE3038" s="1066"/>
      <c r="AF3038" s="1066"/>
      <c r="AG3038" s="1066"/>
      <c r="AH3038" s="1066"/>
      <c r="AI3038" s="1066"/>
      <c r="AJ3038" s="1066"/>
      <c r="AK3038" s="1066"/>
      <c r="AL3038" s="1066"/>
      <c r="AM3038" s="1066"/>
      <c r="AN3038" s="1066"/>
      <c r="AO3038" s="1066"/>
      <c r="AP3038" s="1066"/>
      <c r="AQ3038" s="1066"/>
      <c r="AR3038" s="1066"/>
      <c r="AS3038" s="1066"/>
      <c r="AT3038" s="1066"/>
      <c r="AU3038" s="1066"/>
      <c r="AV3038" s="1066"/>
      <c r="AW3038" s="1066"/>
      <c r="AX3038" s="1066"/>
      <c r="AY3038" s="1066"/>
      <c r="AZ3038" s="1066"/>
      <c r="BA3038" s="1066"/>
      <c r="BB3038" s="1066"/>
      <c r="BC3038" s="1066"/>
      <c r="BD3038" s="1066"/>
      <c r="BE3038" s="1066"/>
      <c r="BF3038" s="1066"/>
      <c r="BG3038" s="1066"/>
      <c r="BH3038" s="1066"/>
      <c r="BI3038" s="1066"/>
      <c r="BJ3038" s="1066"/>
      <c r="BK3038" s="1066"/>
      <c r="BL3038" s="1066"/>
    </row>
    <row r="3039" spans="1:64">
      <c r="A3039" s="1206"/>
      <c r="B3039" s="1206"/>
      <c r="C3039" s="1807" t="s">
        <v>1299</v>
      </c>
      <c r="D3039" s="1207">
        <v>3</v>
      </c>
      <c r="E3039" s="1208" t="s">
        <v>955</v>
      </c>
      <c r="F3039" s="1209">
        <f>'Civil-SOR'!$G$293</f>
        <v>580</v>
      </c>
      <c r="G3039" s="1210">
        <v>1</v>
      </c>
      <c r="H3039" s="1208" t="s">
        <v>501</v>
      </c>
      <c r="I3039" s="1211">
        <f t="shared" ref="I3039:I3046" si="708">IF(G3039="",D3039*F3039,(D3039*F3039/G3039))</f>
        <v>1740</v>
      </c>
      <c r="J3039" s="1022"/>
      <c r="K3039" s="1022"/>
      <c r="L3039" s="1022"/>
      <c r="M3039" s="1066"/>
      <c r="N3039" s="1066"/>
      <c r="O3039" s="1066"/>
      <c r="P3039" s="1066"/>
      <c r="Q3039" s="1066"/>
      <c r="R3039" s="1066"/>
      <c r="S3039" s="1066"/>
      <c r="T3039" s="1066"/>
      <c r="U3039" s="1066"/>
      <c r="V3039" s="1066"/>
      <c r="W3039" s="1066"/>
      <c r="X3039" s="1066"/>
      <c r="Y3039" s="1066"/>
      <c r="Z3039" s="1066"/>
      <c r="AA3039" s="1066"/>
      <c r="AB3039" s="1066"/>
      <c r="AC3039" s="1066"/>
      <c r="AD3039" s="1066"/>
      <c r="AE3039" s="1066"/>
      <c r="AF3039" s="1066"/>
      <c r="AG3039" s="1066"/>
      <c r="AH3039" s="1066"/>
      <c r="AI3039" s="1066"/>
      <c r="AJ3039" s="1066"/>
      <c r="AK3039" s="1066"/>
      <c r="AL3039" s="1066"/>
      <c r="AM3039" s="1066"/>
      <c r="AN3039" s="1066"/>
      <c r="AO3039" s="1066"/>
      <c r="AP3039" s="1066"/>
      <c r="AQ3039" s="1066"/>
      <c r="AR3039" s="1066"/>
      <c r="AS3039" s="1066"/>
      <c r="AT3039" s="1066"/>
      <c r="AU3039" s="1066"/>
      <c r="AV3039" s="1066"/>
      <c r="AW3039" s="1066"/>
      <c r="AX3039" s="1066"/>
      <c r="AY3039" s="1066"/>
      <c r="AZ3039" s="1066"/>
      <c r="BA3039" s="1066"/>
      <c r="BB3039" s="1066"/>
      <c r="BC3039" s="1066"/>
      <c r="BD3039" s="1066"/>
      <c r="BE3039" s="1066"/>
      <c r="BF3039" s="1066"/>
      <c r="BG3039" s="1066"/>
      <c r="BH3039" s="1066"/>
      <c r="BI3039" s="1066"/>
      <c r="BJ3039" s="1066"/>
      <c r="BK3039" s="1066"/>
      <c r="BL3039" s="1066"/>
    </row>
    <row r="3040" spans="1:64">
      <c r="A3040" s="1206"/>
      <c r="B3040" s="1206"/>
      <c r="C3040" s="1807" t="s">
        <v>1325</v>
      </c>
      <c r="D3040" s="1207">
        <v>1</v>
      </c>
      <c r="E3040" s="1208" t="s">
        <v>955</v>
      </c>
      <c r="F3040" s="1209">
        <f>'Civil-SOR'!$G$302</f>
        <v>550</v>
      </c>
      <c r="G3040" s="1210">
        <v>1</v>
      </c>
      <c r="H3040" s="1208" t="s">
        <v>501</v>
      </c>
      <c r="I3040" s="1211">
        <f t="shared" si="708"/>
        <v>550</v>
      </c>
      <c r="J3040" s="1022"/>
      <c r="K3040" s="1022"/>
      <c r="L3040" s="1022"/>
      <c r="M3040" s="1066"/>
      <c r="N3040" s="1066"/>
      <c r="O3040" s="1066"/>
      <c r="P3040" s="1066"/>
      <c r="Q3040" s="1066"/>
      <c r="R3040" s="1066"/>
      <c r="S3040" s="1066"/>
      <c r="T3040" s="1066"/>
      <c r="U3040" s="1066"/>
      <c r="V3040" s="1066"/>
      <c r="W3040" s="1066"/>
      <c r="X3040" s="1066"/>
      <c r="Y3040" s="1066"/>
      <c r="Z3040" s="1066"/>
      <c r="AA3040" s="1066"/>
      <c r="AB3040" s="1066"/>
      <c r="AC3040" s="1066"/>
      <c r="AD3040" s="1066"/>
      <c r="AE3040" s="1066"/>
      <c r="AF3040" s="1066"/>
      <c r="AG3040" s="1066"/>
      <c r="AH3040" s="1066"/>
      <c r="AI3040" s="1066"/>
      <c r="AJ3040" s="1066"/>
      <c r="AK3040" s="1066"/>
      <c r="AL3040" s="1066"/>
      <c r="AM3040" s="1066"/>
      <c r="AN3040" s="1066"/>
      <c r="AO3040" s="1066"/>
      <c r="AP3040" s="1066"/>
      <c r="AQ3040" s="1066"/>
      <c r="AR3040" s="1066"/>
      <c r="AS3040" s="1066"/>
      <c r="AT3040" s="1066"/>
      <c r="AU3040" s="1066"/>
      <c r="AV3040" s="1066"/>
      <c r="AW3040" s="1066"/>
      <c r="AX3040" s="1066"/>
      <c r="AY3040" s="1066"/>
      <c r="AZ3040" s="1066"/>
      <c r="BA3040" s="1066"/>
      <c r="BB3040" s="1066"/>
      <c r="BC3040" s="1066"/>
      <c r="BD3040" s="1066"/>
      <c r="BE3040" s="1066"/>
      <c r="BF3040" s="1066"/>
      <c r="BG3040" s="1066"/>
      <c r="BH3040" s="1066"/>
      <c r="BI3040" s="1066"/>
      <c r="BJ3040" s="1066"/>
      <c r="BK3040" s="1066"/>
      <c r="BL3040" s="1066"/>
    </row>
    <row r="3041" spans="1:64">
      <c r="A3041" s="1206"/>
      <c r="B3041" s="1206"/>
      <c r="C3041" s="1807" t="s">
        <v>1401</v>
      </c>
      <c r="D3041" s="1207">
        <v>8</v>
      </c>
      <c r="E3041" s="1208" t="s">
        <v>955</v>
      </c>
      <c r="F3041" s="1209">
        <f>'Civil-SOR'!$G$307</f>
        <v>520</v>
      </c>
      <c r="G3041" s="1210">
        <v>1</v>
      </c>
      <c r="H3041" s="1208" t="s">
        <v>501</v>
      </c>
      <c r="I3041" s="1211">
        <f t="shared" si="708"/>
        <v>4160</v>
      </c>
      <c r="J3041" s="1022"/>
      <c r="K3041" s="1022"/>
      <c r="L3041" s="1022"/>
      <c r="M3041" s="1066"/>
      <c r="N3041" s="1066"/>
      <c r="O3041" s="1066"/>
      <c r="P3041" s="1066"/>
      <c r="Q3041" s="1066"/>
      <c r="R3041" s="1066"/>
      <c r="S3041" s="1066"/>
      <c r="T3041" s="1066"/>
      <c r="U3041" s="1066"/>
      <c r="V3041" s="1066"/>
      <c r="W3041" s="1066"/>
      <c r="X3041" s="1066"/>
      <c r="Y3041" s="1066"/>
      <c r="Z3041" s="1066"/>
      <c r="AA3041" s="1066"/>
      <c r="AB3041" s="1066"/>
      <c r="AC3041" s="1066"/>
      <c r="AD3041" s="1066"/>
      <c r="AE3041" s="1066"/>
      <c r="AF3041" s="1066"/>
      <c r="AG3041" s="1066"/>
      <c r="AH3041" s="1066"/>
      <c r="AI3041" s="1066"/>
      <c r="AJ3041" s="1066"/>
      <c r="AK3041" s="1066"/>
      <c r="AL3041" s="1066"/>
      <c r="AM3041" s="1066"/>
      <c r="AN3041" s="1066"/>
      <c r="AO3041" s="1066"/>
      <c r="AP3041" s="1066"/>
      <c r="AQ3041" s="1066"/>
      <c r="AR3041" s="1066"/>
      <c r="AS3041" s="1066"/>
      <c r="AT3041" s="1066"/>
      <c r="AU3041" s="1066"/>
      <c r="AV3041" s="1066"/>
      <c r="AW3041" s="1066"/>
      <c r="AX3041" s="1066"/>
      <c r="AY3041" s="1066"/>
      <c r="AZ3041" s="1066"/>
      <c r="BA3041" s="1066"/>
      <c r="BB3041" s="1066"/>
      <c r="BC3041" s="1066"/>
      <c r="BD3041" s="1066"/>
      <c r="BE3041" s="1066"/>
      <c r="BF3041" s="1066"/>
      <c r="BG3041" s="1066"/>
      <c r="BH3041" s="1066"/>
      <c r="BI3041" s="1066"/>
      <c r="BJ3041" s="1066"/>
      <c r="BK3041" s="1066"/>
      <c r="BL3041" s="1066"/>
    </row>
    <row r="3042" spans="1:64">
      <c r="A3042" s="1206"/>
      <c r="B3042" s="1206"/>
      <c r="C3042" s="1807" t="str">
        <f>Input!$C$47</f>
        <v>Add for MA @ 40%</v>
      </c>
      <c r="D3042" s="1212">
        <f>Input!$D$47</f>
        <v>0.4</v>
      </c>
      <c r="E3042" s="1208"/>
      <c r="F3042" s="1209">
        <f>SUM(I3039:I3041)</f>
        <v>6450</v>
      </c>
      <c r="G3042" s="1210"/>
      <c r="H3042" s="1208"/>
      <c r="I3042" s="1211">
        <f t="shared" si="708"/>
        <v>2580</v>
      </c>
      <c r="J3042" s="1022"/>
      <c r="K3042" s="1022"/>
      <c r="L3042" s="1022"/>
      <c r="M3042" s="1066"/>
      <c r="N3042" s="1066"/>
      <c r="O3042" s="1066"/>
      <c r="P3042" s="1066"/>
      <c r="Q3042" s="1066"/>
      <c r="R3042" s="1066"/>
      <c r="S3042" s="1066"/>
      <c r="T3042" s="1066"/>
      <c r="U3042" s="1066"/>
      <c r="V3042" s="1066"/>
      <c r="W3042" s="1066"/>
      <c r="X3042" s="1066"/>
      <c r="Y3042" s="1066"/>
      <c r="Z3042" s="1066"/>
      <c r="AA3042" s="1066"/>
      <c r="AB3042" s="1066"/>
      <c r="AC3042" s="1066"/>
      <c r="AD3042" s="1066"/>
      <c r="AE3042" s="1066"/>
      <c r="AF3042" s="1066"/>
      <c r="AG3042" s="1066"/>
      <c r="AH3042" s="1066"/>
      <c r="AI3042" s="1066"/>
      <c r="AJ3042" s="1066"/>
      <c r="AK3042" s="1066"/>
      <c r="AL3042" s="1066"/>
      <c r="AM3042" s="1066"/>
      <c r="AN3042" s="1066"/>
      <c r="AO3042" s="1066"/>
      <c r="AP3042" s="1066"/>
      <c r="AQ3042" s="1066"/>
      <c r="AR3042" s="1066"/>
      <c r="AS3042" s="1066"/>
      <c r="AT3042" s="1066"/>
      <c r="AU3042" s="1066"/>
      <c r="AV3042" s="1066"/>
      <c r="AW3042" s="1066"/>
      <c r="AX3042" s="1066"/>
      <c r="AY3042" s="1066"/>
      <c r="AZ3042" s="1066"/>
      <c r="BA3042" s="1066"/>
      <c r="BB3042" s="1066"/>
      <c r="BC3042" s="1066"/>
      <c r="BD3042" s="1066"/>
      <c r="BE3042" s="1066"/>
      <c r="BF3042" s="1066"/>
      <c r="BG3042" s="1066"/>
      <c r="BH3042" s="1066"/>
      <c r="BI3042" s="1066"/>
      <c r="BJ3042" s="1066"/>
      <c r="BK3042" s="1066"/>
      <c r="BL3042" s="1066"/>
    </row>
    <row r="3043" spans="1:64">
      <c r="A3043" s="1206"/>
      <c r="B3043" s="1206"/>
      <c r="C3043" s="1807" t="s">
        <v>1445</v>
      </c>
      <c r="D3043" s="1212">
        <v>16.670000000000002</v>
      </c>
      <c r="E3043" s="1208" t="s">
        <v>197</v>
      </c>
      <c r="F3043" s="1209">
        <f>'Civil-SOR'!$G$200</f>
        <v>24</v>
      </c>
      <c r="G3043" s="1210">
        <v>1</v>
      </c>
      <c r="H3043" s="1208" t="s">
        <v>197</v>
      </c>
      <c r="I3043" s="1211">
        <f t="shared" si="708"/>
        <v>400.08000000000004</v>
      </c>
      <c r="J3043" s="1022"/>
      <c r="K3043" s="1022"/>
      <c r="L3043" s="1022"/>
      <c r="M3043" s="1066"/>
      <c r="N3043" s="1066"/>
      <c r="O3043" s="1066"/>
      <c r="P3043" s="1066"/>
      <c r="Q3043" s="1066"/>
      <c r="R3043" s="1066"/>
      <c r="S3043" s="1066"/>
      <c r="T3043" s="1066"/>
      <c r="U3043" s="1066"/>
      <c r="V3043" s="1066"/>
      <c r="W3043" s="1066"/>
      <c r="X3043" s="1066"/>
      <c r="Y3043" s="1066"/>
      <c r="Z3043" s="1066"/>
      <c r="AA3043" s="1066"/>
      <c r="AB3043" s="1066"/>
      <c r="AC3043" s="1066"/>
      <c r="AD3043" s="1066"/>
      <c r="AE3043" s="1066"/>
      <c r="AF3043" s="1066"/>
      <c r="AG3043" s="1066"/>
      <c r="AH3043" s="1066"/>
      <c r="AI3043" s="1066"/>
      <c r="AJ3043" s="1066"/>
      <c r="AK3043" s="1066"/>
      <c r="AL3043" s="1066"/>
      <c r="AM3043" s="1066"/>
      <c r="AN3043" s="1066"/>
      <c r="AO3043" s="1066"/>
      <c r="AP3043" s="1066"/>
      <c r="AQ3043" s="1066"/>
      <c r="AR3043" s="1066"/>
      <c r="AS3043" s="1066"/>
      <c r="AT3043" s="1066"/>
      <c r="AU3043" s="1066"/>
      <c r="AV3043" s="1066"/>
      <c r="AW3043" s="1066"/>
      <c r="AX3043" s="1066"/>
      <c r="AY3043" s="1066"/>
      <c r="AZ3043" s="1066"/>
      <c r="BA3043" s="1066"/>
      <c r="BB3043" s="1066"/>
      <c r="BC3043" s="1066"/>
      <c r="BD3043" s="1066"/>
      <c r="BE3043" s="1066"/>
      <c r="BF3043" s="1066"/>
      <c r="BG3043" s="1066"/>
      <c r="BH3043" s="1066"/>
      <c r="BI3043" s="1066"/>
      <c r="BJ3043" s="1066"/>
      <c r="BK3043" s="1066"/>
      <c r="BL3043" s="1066"/>
    </row>
    <row r="3044" spans="1:64">
      <c r="A3044" s="1206"/>
      <c r="B3044" s="1206"/>
      <c r="C3044" s="1807" t="s">
        <v>1446</v>
      </c>
      <c r="D3044" s="1212">
        <v>16.670000000000002</v>
      </c>
      <c r="E3044" s="1208" t="s">
        <v>197</v>
      </c>
      <c r="F3044" s="1209">
        <f>'Civil-SOR'!$G$198</f>
        <v>456</v>
      </c>
      <c r="G3044" s="1210">
        <v>1</v>
      </c>
      <c r="H3044" s="1208" t="s">
        <v>197</v>
      </c>
      <c r="I3044" s="1211">
        <f t="shared" si="708"/>
        <v>7601.52</v>
      </c>
      <c r="J3044" s="1022"/>
      <c r="K3044" s="1022"/>
      <c r="L3044" s="1022"/>
      <c r="M3044" s="1066"/>
      <c r="N3044" s="1066"/>
      <c r="O3044" s="1066"/>
      <c r="P3044" s="1066"/>
      <c r="Q3044" s="1066"/>
      <c r="R3044" s="1066"/>
      <c r="S3044" s="1066"/>
      <c r="T3044" s="1066"/>
      <c r="U3044" s="1066"/>
      <c r="V3044" s="1066"/>
      <c r="W3044" s="1066"/>
      <c r="X3044" s="1066"/>
      <c r="Y3044" s="1066"/>
      <c r="Z3044" s="1066"/>
      <c r="AA3044" s="1066"/>
      <c r="AB3044" s="1066"/>
      <c r="AC3044" s="1066"/>
      <c r="AD3044" s="1066"/>
      <c r="AE3044" s="1066"/>
      <c r="AF3044" s="1066"/>
      <c r="AG3044" s="1066"/>
      <c r="AH3044" s="1066"/>
      <c r="AI3044" s="1066"/>
      <c r="AJ3044" s="1066"/>
      <c r="AK3044" s="1066"/>
      <c r="AL3044" s="1066"/>
      <c r="AM3044" s="1066"/>
      <c r="AN3044" s="1066"/>
      <c r="AO3044" s="1066"/>
      <c r="AP3044" s="1066"/>
      <c r="AQ3044" s="1066"/>
      <c r="AR3044" s="1066"/>
      <c r="AS3044" s="1066"/>
      <c r="AT3044" s="1066"/>
      <c r="AU3044" s="1066"/>
      <c r="AV3044" s="1066"/>
      <c r="AW3044" s="1066"/>
      <c r="AX3044" s="1066"/>
      <c r="AY3044" s="1066"/>
      <c r="AZ3044" s="1066"/>
      <c r="BA3044" s="1066"/>
      <c r="BB3044" s="1066"/>
      <c r="BC3044" s="1066"/>
      <c r="BD3044" s="1066"/>
      <c r="BE3044" s="1066"/>
      <c r="BF3044" s="1066"/>
      <c r="BG3044" s="1066"/>
      <c r="BH3044" s="1066"/>
      <c r="BI3044" s="1066"/>
      <c r="BJ3044" s="1066"/>
      <c r="BK3044" s="1066"/>
      <c r="BL3044" s="1066"/>
    </row>
    <row r="3045" spans="1:64">
      <c r="A3045" s="1206"/>
      <c r="B3045" s="1206"/>
      <c r="C3045" s="1807" t="str">
        <f>Input!$C$47</f>
        <v>Add for MA @ 40%</v>
      </c>
      <c r="D3045" s="1212">
        <f>Input!$D$47</f>
        <v>0.4</v>
      </c>
      <c r="E3045" s="1208"/>
      <c r="F3045" s="1209">
        <f>SUM(I3043:I3044)*40%</f>
        <v>3200.6400000000003</v>
      </c>
      <c r="G3045" s="1210"/>
      <c r="H3045" s="1208"/>
      <c r="I3045" s="1211">
        <f t="shared" si="708"/>
        <v>1280.2560000000003</v>
      </c>
      <c r="J3045" s="1022"/>
      <c r="K3045" s="1022"/>
      <c r="L3045" s="1022"/>
      <c r="M3045" s="1066"/>
      <c r="N3045" s="1066"/>
      <c r="O3045" s="1066"/>
      <c r="P3045" s="1066"/>
      <c r="Q3045" s="1066"/>
      <c r="R3045" s="1066"/>
      <c r="S3045" s="1066"/>
      <c r="T3045" s="1066"/>
      <c r="U3045" s="1066"/>
      <c r="V3045" s="1066"/>
      <c r="W3045" s="1066"/>
      <c r="X3045" s="1066"/>
      <c r="Y3045" s="1066"/>
      <c r="Z3045" s="1066"/>
      <c r="AA3045" s="1066"/>
      <c r="AB3045" s="1066"/>
      <c r="AC3045" s="1066"/>
      <c r="AD3045" s="1066"/>
      <c r="AE3045" s="1066"/>
      <c r="AF3045" s="1066"/>
      <c r="AG3045" s="1066"/>
      <c r="AH3045" s="1066"/>
      <c r="AI3045" s="1066"/>
      <c r="AJ3045" s="1066"/>
      <c r="AK3045" s="1066"/>
      <c r="AL3045" s="1066"/>
      <c r="AM3045" s="1066"/>
      <c r="AN3045" s="1066"/>
      <c r="AO3045" s="1066"/>
      <c r="AP3045" s="1066"/>
      <c r="AQ3045" s="1066"/>
      <c r="AR3045" s="1066"/>
      <c r="AS3045" s="1066"/>
      <c r="AT3045" s="1066"/>
      <c r="AU3045" s="1066"/>
      <c r="AV3045" s="1066"/>
      <c r="AW3045" s="1066"/>
      <c r="AX3045" s="1066"/>
      <c r="AY3045" s="1066"/>
      <c r="AZ3045" s="1066"/>
      <c r="BA3045" s="1066"/>
      <c r="BB3045" s="1066"/>
      <c r="BC3045" s="1066"/>
      <c r="BD3045" s="1066"/>
      <c r="BE3045" s="1066"/>
      <c r="BF3045" s="1066"/>
      <c r="BG3045" s="1066"/>
      <c r="BH3045" s="1066"/>
      <c r="BI3045" s="1066"/>
      <c r="BJ3045" s="1066"/>
      <c r="BK3045" s="1066"/>
      <c r="BL3045" s="1066"/>
    </row>
    <row r="3046" spans="1:64">
      <c r="A3046" s="1206"/>
      <c r="B3046" s="1206"/>
      <c r="C3046" s="1807" t="s">
        <v>1301</v>
      </c>
      <c r="D3046" s="1207">
        <v>0.01</v>
      </c>
      <c r="E3046" s="1208"/>
      <c r="F3046" s="1209">
        <f>SUM(I3033:I3045)</f>
        <v>46413.438000000002</v>
      </c>
      <c r="G3046" s="1210"/>
      <c r="H3046" s="1208"/>
      <c r="I3046" s="1211">
        <f t="shared" si="708"/>
        <v>464.13438000000002</v>
      </c>
      <c r="J3046" s="1022"/>
      <c r="K3046" s="1022"/>
      <c r="L3046" s="1022"/>
      <c r="M3046" s="1066"/>
      <c r="N3046" s="1066"/>
      <c r="O3046" s="1066"/>
      <c r="P3046" s="1066"/>
      <c r="Q3046" s="1066"/>
      <c r="R3046" s="1066"/>
      <c r="S3046" s="1066"/>
      <c r="T3046" s="1066"/>
      <c r="U3046" s="1066"/>
      <c r="V3046" s="1066"/>
      <c r="W3046" s="1066"/>
      <c r="X3046" s="1066"/>
      <c r="Y3046" s="1066"/>
      <c r="Z3046" s="1066"/>
      <c r="AA3046" s="1066"/>
      <c r="AB3046" s="1066"/>
      <c r="AC3046" s="1066"/>
      <c r="AD3046" s="1066"/>
      <c r="AE3046" s="1066"/>
      <c r="AF3046" s="1066"/>
      <c r="AG3046" s="1066"/>
      <c r="AH3046" s="1066"/>
      <c r="AI3046" s="1066"/>
      <c r="AJ3046" s="1066"/>
      <c r="AK3046" s="1066"/>
      <c r="AL3046" s="1066"/>
      <c r="AM3046" s="1066"/>
      <c r="AN3046" s="1066"/>
      <c r="AO3046" s="1066"/>
      <c r="AP3046" s="1066"/>
      <c r="AQ3046" s="1066"/>
      <c r="AR3046" s="1066"/>
      <c r="AS3046" s="1066"/>
      <c r="AT3046" s="1066"/>
      <c r="AU3046" s="1066"/>
      <c r="AV3046" s="1066"/>
      <c r="AW3046" s="1066"/>
      <c r="AX3046" s="1066"/>
      <c r="AY3046" s="1066"/>
      <c r="AZ3046" s="1066"/>
      <c r="BA3046" s="1066"/>
      <c r="BB3046" s="1066"/>
      <c r="BC3046" s="1066"/>
      <c r="BD3046" s="1066"/>
      <c r="BE3046" s="1066"/>
      <c r="BF3046" s="1066"/>
      <c r="BG3046" s="1066"/>
      <c r="BH3046" s="1066"/>
      <c r="BI3046" s="1066"/>
      <c r="BJ3046" s="1066"/>
      <c r="BK3046" s="1066"/>
      <c r="BL3046" s="1066"/>
    </row>
    <row r="3047" spans="1:64" s="997" customFormat="1">
      <c r="A3047" s="1802"/>
      <c r="B3047" s="1802"/>
      <c r="C3047" s="1213" t="s">
        <v>1402</v>
      </c>
      <c r="D3047" s="1214"/>
      <c r="E3047" s="1215"/>
      <c r="F3047" s="1216"/>
      <c r="G3047" s="1217"/>
      <c r="H3047" s="1215"/>
      <c r="I3047" s="1218">
        <f>SUM(I3033:I3046)</f>
        <v>46877.572380000005</v>
      </c>
      <c r="J3047" s="996"/>
      <c r="K3047" s="996"/>
      <c r="L3047" s="996"/>
    </row>
    <row r="3048" spans="1:64">
      <c r="A3048" s="1197"/>
      <c r="B3048" s="1197"/>
      <c r="C3048" s="1814"/>
      <c r="D3048" s="1203"/>
      <c r="E3048" s="1199"/>
      <c r="F3048" s="1201"/>
      <c r="G3048" s="1204"/>
      <c r="H3048" s="1199"/>
      <c r="I3048" s="1219"/>
      <c r="J3048" s="1846"/>
      <c r="K3048" s="1846"/>
      <c r="L3048" s="1846"/>
    </row>
    <row r="3049" spans="1:64">
      <c r="A3049" s="1197"/>
      <c r="B3049" s="1197"/>
      <c r="C3049" s="1795" t="s">
        <v>1217</v>
      </c>
      <c r="D3049" s="1220" t="s">
        <v>1223</v>
      </c>
      <c r="E3049" s="1221" t="s">
        <v>1207</v>
      </c>
      <c r="F3049" s="1222" t="s">
        <v>1208</v>
      </c>
      <c r="G3049" s="1220" t="s">
        <v>1291</v>
      </c>
      <c r="H3049" s="1220" t="s">
        <v>1292</v>
      </c>
      <c r="I3049" s="1220" t="s">
        <v>1293</v>
      </c>
      <c r="J3049" s="1846"/>
      <c r="K3049" s="1846"/>
      <c r="L3049" s="1846"/>
    </row>
    <row r="3050" spans="1:64">
      <c r="A3050" s="1197"/>
      <c r="B3050" s="1197"/>
      <c r="C3050" s="1807" t="s">
        <v>1317</v>
      </c>
      <c r="D3050" s="1223">
        <f t="shared" ref="D3050:I3050" si="709">$I$3047</f>
        <v>46877.572380000005</v>
      </c>
      <c r="E3050" s="1223">
        <f t="shared" si="709"/>
        <v>46877.572380000005</v>
      </c>
      <c r="F3050" s="1223">
        <f t="shared" si="709"/>
        <v>46877.572380000005</v>
      </c>
      <c r="G3050" s="1223">
        <f t="shared" si="709"/>
        <v>46877.572380000005</v>
      </c>
      <c r="H3050" s="1223">
        <f t="shared" si="709"/>
        <v>46877.572380000005</v>
      </c>
      <c r="I3050" s="1223">
        <f t="shared" si="709"/>
        <v>46877.572380000005</v>
      </c>
      <c r="J3050" s="1846"/>
      <c r="K3050" s="1846"/>
      <c r="L3050" s="1846"/>
    </row>
    <row r="3051" spans="1:64">
      <c r="A3051" s="1197"/>
      <c r="B3051" s="1197"/>
      <c r="C3051" s="1807" t="s">
        <v>1253</v>
      </c>
      <c r="D3051" s="1223">
        <v>0</v>
      </c>
      <c r="E3051" s="1223">
        <f>ROUND($F$3042*10%,2)</f>
        <v>645</v>
      </c>
      <c r="F3051" s="1223">
        <f>ROUND($F$3042*20%,2)</f>
        <v>1290</v>
      </c>
      <c r="G3051" s="1223">
        <f>ROUND($F$3042*30%,2)</f>
        <v>1935</v>
      </c>
      <c r="H3051" s="1223">
        <f>ROUND($F$3042*40%,2)</f>
        <v>2580</v>
      </c>
      <c r="I3051" s="1223">
        <f>ROUND($F$3042*50%,2)</f>
        <v>3225</v>
      </c>
      <c r="J3051" s="1846"/>
      <c r="K3051" s="1846"/>
      <c r="L3051" s="1846"/>
    </row>
    <row r="3052" spans="1:64">
      <c r="A3052" s="1197"/>
      <c r="B3052" s="1197"/>
      <c r="C3052" s="1807" t="str">
        <f>Input!$C$47</f>
        <v>Add for MA @ 40%</v>
      </c>
      <c r="D3052" s="1223">
        <f>D3051*Input!D47</f>
        <v>0</v>
      </c>
      <c r="E3052" s="1223">
        <f>E3051*Input!$D$47</f>
        <v>258</v>
      </c>
      <c r="F3052" s="1223">
        <f>F3051*Input!$D$47</f>
        <v>516</v>
      </c>
      <c r="G3052" s="1223">
        <f>G3051*Input!$D$47</f>
        <v>774</v>
      </c>
      <c r="H3052" s="1223">
        <f>H3051*Input!$D$47</f>
        <v>1032</v>
      </c>
      <c r="I3052" s="1223">
        <f>I3051*Input!$D$47</f>
        <v>1290</v>
      </c>
      <c r="J3052" s="1846"/>
      <c r="K3052" s="1846"/>
      <c r="L3052" s="1846"/>
    </row>
    <row r="3053" spans="1:64">
      <c r="A3053" s="1197"/>
      <c r="B3053" s="1197"/>
      <c r="C3053" s="1199"/>
      <c r="D3053" s="1223">
        <f t="shared" ref="D3053:I3053" si="710">SUM(D3050:D3052)</f>
        <v>46877.572380000005</v>
      </c>
      <c r="E3053" s="1223">
        <f t="shared" si="710"/>
        <v>47780.572380000005</v>
      </c>
      <c r="F3053" s="1223">
        <f t="shared" si="710"/>
        <v>48683.572380000005</v>
      </c>
      <c r="G3053" s="1223">
        <f t="shared" si="710"/>
        <v>49586.572380000005</v>
      </c>
      <c r="H3053" s="1223">
        <f t="shared" si="710"/>
        <v>50489.572380000005</v>
      </c>
      <c r="I3053" s="1223">
        <f t="shared" si="710"/>
        <v>51392.572380000005</v>
      </c>
      <c r="J3053" s="1846"/>
      <c r="K3053" s="1846"/>
      <c r="L3053" s="1846"/>
    </row>
    <row r="3054" spans="1:64">
      <c r="A3054" s="1197"/>
      <c r="B3054" s="1197"/>
      <c r="C3054" s="1807" t="str">
        <f>Input!$C$48</f>
        <v>Overheads &amp; Contractors Profit @ 13.615%</v>
      </c>
      <c r="D3054" s="1223">
        <f>ROUND(D3053*Input!$D$48,2)</f>
        <v>6382.38</v>
      </c>
      <c r="E3054" s="1223">
        <f>ROUND(E3053*Input!$D$48,2)</f>
        <v>6505.32</v>
      </c>
      <c r="F3054" s="1223">
        <f>ROUND(F3053*Input!$D$48,2)</f>
        <v>6628.27</v>
      </c>
      <c r="G3054" s="1223">
        <f>ROUND(G3053*Input!$D$48,2)</f>
        <v>6751.21</v>
      </c>
      <c r="H3054" s="1223">
        <f>ROUND(H3053*Input!$D$48,2)</f>
        <v>6874.16</v>
      </c>
      <c r="I3054" s="1223">
        <f>ROUND(I3053*Input!$D$48,2)</f>
        <v>6997.1</v>
      </c>
      <c r="J3054" s="1846"/>
      <c r="K3054" s="1846"/>
      <c r="L3054" s="1846"/>
    </row>
    <row r="3055" spans="1:64">
      <c r="A3055" s="1197"/>
      <c r="B3055" s="1197"/>
      <c r="C3055" s="1795" t="s">
        <v>1302</v>
      </c>
      <c r="D3055" s="1223">
        <f t="shared" ref="D3055:I3055" si="711">SUM(D3053:D3054)</f>
        <v>53259.952380000002</v>
      </c>
      <c r="E3055" s="1223">
        <f t="shared" si="711"/>
        <v>54285.892380000005</v>
      </c>
      <c r="F3055" s="1223">
        <f t="shared" si="711"/>
        <v>55311.842380000002</v>
      </c>
      <c r="G3055" s="1223">
        <f t="shared" si="711"/>
        <v>56337.782380000004</v>
      </c>
      <c r="H3055" s="1223">
        <f t="shared" si="711"/>
        <v>57363.732380000001</v>
      </c>
      <c r="I3055" s="1223">
        <f t="shared" si="711"/>
        <v>58389.672380000004</v>
      </c>
      <c r="J3055" s="1846"/>
      <c r="K3055" s="1846"/>
      <c r="L3055" s="1846"/>
    </row>
    <row r="3056" spans="1:64">
      <c r="A3056" s="1197"/>
      <c r="B3056" s="1197"/>
      <c r="C3056" s="1795" t="s">
        <v>1117</v>
      </c>
      <c r="D3056" s="1220">
        <f t="shared" ref="D3056:I3056" si="712">D3055/10</f>
        <v>5325.9952380000004</v>
      </c>
      <c r="E3056" s="1220">
        <f t="shared" si="712"/>
        <v>5428.5892380000005</v>
      </c>
      <c r="F3056" s="1220">
        <f t="shared" si="712"/>
        <v>5531.1842379999998</v>
      </c>
      <c r="G3056" s="1220">
        <f t="shared" si="712"/>
        <v>5633.7782380000008</v>
      </c>
      <c r="H3056" s="1220">
        <f t="shared" si="712"/>
        <v>5736.3732380000001</v>
      </c>
      <c r="I3056" s="1220">
        <f t="shared" si="712"/>
        <v>5838.9672380000002</v>
      </c>
      <c r="J3056" s="1846"/>
      <c r="K3056" s="1846"/>
      <c r="L3056" s="1846"/>
    </row>
    <row r="3057" spans="1:12" s="997" customFormat="1">
      <c r="A3057" s="1802"/>
      <c r="B3057" s="1802"/>
      <c r="C3057" s="1224" t="s">
        <v>1034</v>
      </c>
      <c r="D3057" s="1225">
        <f t="shared" ref="D3057:I3057" si="713">ROUND(D3056,0)</f>
        <v>5326</v>
      </c>
      <c r="E3057" s="1225">
        <f t="shared" si="713"/>
        <v>5429</v>
      </c>
      <c r="F3057" s="1225">
        <f t="shared" si="713"/>
        <v>5531</v>
      </c>
      <c r="G3057" s="1225">
        <f t="shared" si="713"/>
        <v>5634</v>
      </c>
      <c r="H3057" s="1225">
        <f t="shared" si="713"/>
        <v>5736</v>
      </c>
      <c r="I3057" s="1225">
        <f t="shared" si="713"/>
        <v>5839</v>
      </c>
      <c r="J3057" s="1846"/>
      <c r="K3057" s="1846"/>
      <c r="L3057" s="1846"/>
    </row>
    <row r="3058" spans="1:12">
      <c r="A3058" s="1197"/>
      <c r="B3058" s="1197"/>
      <c r="C3058" s="1226"/>
      <c r="D3058" s="1227"/>
      <c r="E3058" s="1228"/>
      <c r="F3058" s="1223"/>
      <c r="G3058" s="1199"/>
      <c r="H3058" s="1229"/>
      <c r="I3058" s="1230"/>
      <c r="J3058" s="1846"/>
      <c r="K3058" s="1846"/>
      <c r="L3058" s="1846"/>
    </row>
    <row r="3059" spans="1:12">
      <c r="A3059" s="1197"/>
      <c r="B3059" s="1197"/>
      <c r="C3059" s="1795" t="s">
        <v>1217</v>
      </c>
      <c r="D3059" s="1220" t="s">
        <v>1357</v>
      </c>
      <c r="E3059" s="1220" t="s">
        <v>1358</v>
      </c>
      <c r="F3059" s="1220" t="s">
        <v>1359</v>
      </c>
      <c r="G3059" s="1199"/>
      <c r="H3059" s="1229"/>
      <c r="I3059" s="1230"/>
      <c r="J3059" s="1846"/>
      <c r="K3059" s="1846"/>
      <c r="L3059" s="1846"/>
    </row>
    <row r="3060" spans="1:12">
      <c r="A3060" s="1197"/>
      <c r="B3060" s="1197"/>
      <c r="C3060" s="1807" t="s">
        <v>1317</v>
      </c>
      <c r="D3060" s="1223">
        <f>$I$3047</f>
        <v>46877.572380000005</v>
      </c>
      <c r="E3060" s="1223">
        <f>$I$3047</f>
        <v>46877.572380000005</v>
      </c>
      <c r="F3060" s="1223">
        <f>$I$3047</f>
        <v>46877.572380000005</v>
      </c>
      <c r="G3060" s="1199"/>
      <c r="H3060" s="1229"/>
      <c r="I3060" s="1230"/>
      <c r="J3060" s="1846"/>
      <c r="K3060" s="1846"/>
      <c r="L3060" s="1846"/>
    </row>
    <row r="3061" spans="1:12">
      <c r="A3061" s="1197"/>
      <c r="B3061" s="1197"/>
      <c r="C3061" s="1807" t="s">
        <v>1253</v>
      </c>
      <c r="D3061" s="1223">
        <f>ROUND($F$3042*60%,2)</f>
        <v>3870</v>
      </c>
      <c r="E3061" s="1223">
        <f>ROUND($F$3042*70%,2)</f>
        <v>4515</v>
      </c>
      <c r="F3061" s="1223">
        <f>ROUND($F$3042*80%,2)</f>
        <v>5160</v>
      </c>
      <c r="G3061" s="1199"/>
      <c r="H3061" s="1229"/>
      <c r="I3061" s="1230"/>
      <c r="J3061" s="1846"/>
      <c r="K3061" s="1846"/>
      <c r="L3061" s="1846"/>
    </row>
    <row r="3062" spans="1:12">
      <c r="A3062" s="1197"/>
      <c r="B3062" s="1197"/>
      <c r="C3062" s="1807" t="str">
        <f>Input!$C$47</f>
        <v>Add for MA @ 40%</v>
      </c>
      <c r="D3062" s="1223">
        <f>D3061*Input!$D$47</f>
        <v>1548</v>
      </c>
      <c r="E3062" s="1223">
        <f>E3061*Input!$D$47</f>
        <v>1806</v>
      </c>
      <c r="F3062" s="1223">
        <f>F3061*Input!$D$47</f>
        <v>2064</v>
      </c>
      <c r="G3062" s="1199"/>
      <c r="H3062" s="1229"/>
      <c r="I3062" s="1230"/>
      <c r="J3062" s="1846"/>
      <c r="K3062" s="1846"/>
      <c r="L3062" s="1846"/>
    </row>
    <row r="3063" spans="1:12">
      <c r="A3063" s="1197"/>
      <c r="B3063" s="1197"/>
      <c r="C3063" s="1208"/>
      <c r="D3063" s="1223">
        <f>SUM(D3060:D3062)</f>
        <v>52295.572380000005</v>
      </c>
      <c r="E3063" s="1223">
        <f>SUM(E3060:E3062)</f>
        <v>53198.572380000005</v>
      </c>
      <c r="F3063" s="1223">
        <f>SUM(F3060:F3062)</f>
        <v>54101.572380000005</v>
      </c>
      <c r="G3063" s="1199"/>
      <c r="H3063" s="1229"/>
      <c r="I3063" s="1230"/>
      <c r="J3063" s="1846"/>
      <c r="K3063" s="1846"/>
      <c r="L3063" s="1846"/>
    </row>
    <row r="3064" spans="1:12">
      <c r="A3064" s="1197"/>
      <c r="B3064" s="1197"/>
      <c r="C3064" s="1807" t="str">
        <f>Input!$C$48</f>
        <v>Overheads &amp; Contractors Profit @ 13.615%</v>
      </c>
      <c r="D3064" s="1223">
        <f>ROUND(D3063*Input!$D$48,2)</f>
        <v>7120.04</v>
      </c>
      <c r="E3064" s="1223">
        <f>ROUND(E3063*Input!$D$48,2)</f>
        <v>7242.99</v>
      </c>
      <c r="F3064" s="1223">
        <f>ROUND(F3063*Input!$D$48,2)</f>
        <v>7365.93</v>
      </c>
      <c r="G3064" s="1199"/>
      <c r="H3064" s="1229"/>
      <c r="I3064" s="1230"/>
      <c r="J3064" s="1846"/>
      <c r="K3064" s="1846"/>
      <c r="L3064" s="1846"/>
    </row>
    <row r="3065" spans="1:12">
      <c r="A3065" s="1197"/>
      <c r="B3065" s="1197"/>
      <c r="C3065" s="1795" t="s">
        <v>1302</v>
      </c>
      <c r="D3065" s="1223">
        <f>SUM(D3063:D3064)</f>
        <v>59415.612380000006</v>
      </c>
      <c r="E3065" s="1223">
        <f>SUM(E3063:E3064)</f>
        <v>60441.562380000003</v>
      </c>
      <c r="F3065" s="1223">
        <f>SUM(F3063:F3064)</f>
        <v>61467.502380000005</v>
      </c>
      <c r="G3065" s="1199"/>
      <c r="H3065" s="1229"/>
      <c r="I3065" s="1230"/>
      <c r="J3065" s="1846"/>
      <c r="K3065" s="1846"/>
      <c r="L3065" s="1846"/>
    </row>
    <row r="3066" spans="1:12">
      <c r="A3066" s="1197"/>
      <c r="B3066" s="1197"/>
      <c r="C3066" s="1795" t="s">
        <v>1117</v>
      </c>
      <c r="D3066" s="1220">
        <f>D3065/10</f>
        <v>5941.5612380000002</v>
      </c>
      <c r="E3066" s="1220">
        <f>E3065/10</f>
        <v>6044.1562380000005</v>
      </c>
      <c r="F3066" s="1220">
        <f>F3065/10</f>
        <v>6146.7502380000005</v>
      </c>
      <c r="G3066" s="1199"/>
      <c r="H3066" s="1229"/>
      <c r="I3066" s="1230"/>
      <c r="J3066" s="1846"/>
      <c r="K3066" s="1846"/>
      <c r="L3066" s="1846"/>
    </row>
    <row r="3067" spans="1:12">
      <c r="A3067" s="1197"/>
      <c r="B3067" s="1197"/>
      <c r="C3067" s="1231" t="s">
        <v>1034</v>
      </c>
      <c r="D3067" s="1225">
        <f>ROUND(D3066,0)</f>
        <v>5942</v>
      </c>
      <c r="E3067" s="1225">
        <f>ROUND(E3066,0)</f>
        <v>6044</v>
      </c>
      <c r="F3067" s="1225">
        <f>ROUND(F3066,0)</f>
        <v>6147</v>
      </c>
      <c r="G3067" s="1199"/>
      <c r="H3067" s="1229"/>
      <c r="I3067" s="1230"/>
      <c r="J3067" s="1846"/>
      <c r="K3067" s="1846"/>
      <c r="L3067" s="1846"/>
    </row>
    <row r="3068" spans="1:12">
      <c r="A3068" s="1197"/>
      <c r="B3068" s="1197"/>
      <c r="C3068" s="1226"/>
      <c r="D3068" s="1227"/>
      <c r="E3068" s="1228"/>
      <c r="F3068" s="1223"/>
      <c r="G3068" s="1199"/>
      <c r="H3068" s="1229"/>
      <c r="I3068" s="1230"/>
      <c r="J3068" s="1846"/>
      <c r="K3068" s="1846"/>
      <c r="L3068" s="1846"/>
    </row>
    <row r="3069" spans="1:12" ht="68.650000000000006" customHeight="1">
      <c r="A3069" s="1232">
        <f>1+A3029</f>
        <v>36</v>
      </c>
      <c r="B3069" s="1233"/>
      <c r="C3069" s="2020" t="s">
        <v>3432</v>
      </c>
      <c r="D3069" s="2020"/>
      <c r="E3069" s="2020"/>
      <c r="F3069" s="2020"/>
      <c r="G3069" s="2020"/>
      <c r="H3069" s="2020"/>
      <c r="I3069" s="2020"/>
      <c r="J3069" s="1234"/>
      <c r="K3069" s="1846"/>
      <c r="L3069" s="1846"/>
    </row>
    <row r="3070" spans="1:12">
      <c r="A3070" s="1233"/>
      <c r="B3070" s="1233"/>
      <c r="C3070" s="1235" t="s">
        <v>1441</v>
      </c>
      <c r="D3070" s="1236"/>
      <c r="E3070" s="1236"/>
      <c r="F3070" s="1237"/>
      <c r="G3070" s="1236"/>
      <c r="H3070" s="1236"/>
      <c r="I3070" s="1238"/>
      <c r="J3070" s="1234"/>
      <c r="K3070" s="1846"/>
      <c r="L3070" s="1846"/>
    </row>
    <row r="3071" spans="1:12">
      <c r="A3071" s="1233"/>
      <c r="B3071" s="1233"/>
      <c r="C3071" s="1804" t="s">
        <v>1394</v>
      </c>
      <c r="D3071" s="1236"/>
      <c r="E3071" s="1236"/>
      <c r="F3071" s="1237"/>
      <c r="G3071" s="1236"/>
      <c r="H3071" s="1236"/>
      <c r="I3071" s="1238"/>
      <c r="J3071" s="1234"/>
      <c r="K3071" s="1846"/>
      <c r="L3071" s="1846"/>
    </row>
    <row r="3072" spans="1:12">
      <c r="A3072" s="1233"/>
      <c r="B3072" s="1233"/>
      <c r="C3072" s="1805" t="s">
        <v>1395</v>
      </c>
      <c r="D3072" s="1239"/>
      <c r="E3072" s="1236"/>
      <c r="F3072" s="1238"/>
      <c r="G3072" s="1240"/>
      <c r="H3072" s="1236"/>
      <c r="I3072" s="1241"/>
      <c r="J3072" s="1234"/>
      <c r="K3072" s="1846"/>
      <c r="L3072" s="1846"/>
    </row>
    <row r="3073" spans="1:12" ht="25.5">
      <c r="A3073" s="1242"/>
      <c r="B3073" s="1242"/>
      <c r="C3073" s="1804" t="s">
        <v>1444</v>
      </c>
      <c r="D3073" s="1243">
        <v>10.5</v>
      </c>
      <c r="E3073" s="1244" t="s">
        <v>46</v>
      </c>
      <c r="F3073" s="1245">
        <f>LEAD!$N$29</f>
        <v>2576</v>
      </c>
      <c r="G3073" s="1246">
        <v>1</v>
      </c>
      <c r="H3073" s="1244" t="s">
        <v>46</v>
      </c>
      <c r="I3073" s="1247">
        <f t="shared" ref="I3073:I3074" si="714">IF(G3073="",D3073*F3073,(D3073*F3073/G3073))</f>
        <v>27048</v>
      </c>
      <c r="J3073" s="1248"/>
      <c r="K3073" s="1846"/>
      <c r="L3073" s="1846"/>
    </row>
    <row r="3074" spans="1:12" ht="25.5">
      <c r="A3074" s="1242"/>
      <c r="B3074" s="1242"/>
      <c r="C3074" s="1804" t="s">
        <v>3433</v>
      </c>
      <c r="D3074" s="1249">
        <v>36</v>
      </c>
      <c r="E3074" s="1250" t="s">
        <v>1110</v>
      </c>
      <c r="F3074" s="1249">
        <v>221</v>
      </c>
      <c r="G3074" s="1251">
        <v>1</v>
      </c>
      <c r="H3074" s="1250" t="s">
        <v>1110</v>
      </c>
      <c r="I3074" s="1252">
        <f t="shared" si="714"/>
        <v>7956</v>
      </c>
      <c r="J3074" s="1248"/>
      <c r="K3074" s="1846"/>
      <c r="L3074" s="1846"/>
    </row>
    <row r="3075" spans="1:12">
      <c r="A3075" s="1242"/>
      <c r="B3075" s="1242"/>
      <c r="C3075" s="1805" t="s">
        <v>1324</v>
      </c>
      <c r="D3075" s="1243"/>
      <c r="E3075" s="1244"/>
      <c r="F3075" s="1245"/>
      <c r="G3075" s="1246"/>
      <c r="H3075" s="1244"/>
      <c r="I3075" s="1247"/>
      <c r="J3075" s="1248"/>
      <c r="K3075" s="1846"/>
      <c r="L3075" s="1846"/>
    </row>
    <row r="3076" spans="1:12">
      <c r="A3076" s="1242"/>
      <c r="B3076" s="1242"/>
      <c r="C3076" s="1804" t="s">
        <v>1299</v>
      </c>
      <c r="D3076" s="1243">
        <v>3</v>
      </c>
      <c r="E3076" s="1244" t="s">
        <v>955</v>
      </c>
      <c r="F3076" s="1245">
        <f>'Civil-SOR'!$G$293</f>
        <v>580</v>
      </c>
      <c r="G3076" s="1246">
        <v>1</v>
      </c>
      <c r="H3076" s="1244" t="s">
        <v>501</v>
      </c>
      <c r="I3076" s="1247">
        <f t="shared" ref="I3076:I3083" si="715">IF(G3076="",D3076*F3076,(D3076*F3076/G3076))</f>
        <v>1740</v>
      </c>
      <c r="J3076" s="1248"/>
      <c r="K3076" s="1846"/>
      <c r="L3076" s="1846"/>
    </row>
    <row r="3077" spans="1:12">
      <c r="A3077" s="1242"/>
      <c r="B3077" s="1242"/>
      <c r="C3077" s="1804" t="s">
        <v>1325</v>
      </c>
      <c r="D3077" s="1243">
        <v>1</v>
      </c>
      <c r="E3077" s="1244" t="s">
        <v>955</v>
      </c>
      <c r="F3077" s="1245">
        <f>'Civil-SOR'!$G$302</f>
        <v>550</v>
      </c>
      <c r="G3077" s="1246">
        <v>1</v>
      </c>
      <c r="H3077" s="1244" t="s">
        <v>501</v>
      </c>
      <c r="I3077" s="1247">
        <f t="shared" si="715"/>
        <v>550</v>
      </c>
      <c r="J3077" s="1248"/>
      <c r="K3077" s="1846"/>
      <c r="L3077" s="1846"/>
    </row>
    <row r="3078" spans="1:12">
      <c r="A3078" s="1242"/>
      <c r="B3078" s="1242"/>
      <c r="C3078" s="1804" t="s">
        <v>1401</v>
      </c>
      <c r="D3078" s="1243">
        <v>8</v>
      </c>
      <c r="E3078" s="1244" t="s">
        <v>955</v>
      </c>
      <c r="F3078" s="1245">
        <f>'Civil-SOR'!$G$307</f>
        <v>520</v>
      </c>
      <c r="G3078" s="1246">
        <v>1</v>
      </c>
      <c r="H3078" s="1244" t="s">
        <v>501</v>
      </c>
      <c r="I3078" s="1247">
        <f t="shared" si="715"/>
        <v>4160</v>
      </c>
      <c r="J3078" s="1248"/>
      <c r="K3078" s="1846"/>
      <c r="L3078" s="1846"/>
    </row>
    <row r="3079" spans="1:12">
      <c r="A3079" s="1242"/>
      <c r="B3079" s="1242"/>
      <c r="C3079" s="1804" t="str">
        <f>Input!$C$47</f>
        <v>Add for MA @ 40%</v>
      </c>
      <c r="D3079" s="1253">
        <f>Input!$D$47</f>
        <v>0.4</v>
      </c>
      <c r="E3079" s="1244"/>
      <c r="F3079" s="1245">
        <f>SUM(I3076:I3078)</f>
        <v>6450</v>
      </c>
      <c r="G3079" s="1246"/>
      <c r="H3079" s="1244"/>
      <c r="I3079" s="1247">
        <f t="shared" si="715"/>
        <v>2580</v>
      </c>
      <c r="J3079" s="1248"/>
      <c r="K3079" s="1846"/>
      <c r="L3079" s="1846"/>
    </row>
    <row r="3080" spans="1:12">
      <c r="A3080" s="1242"/>
      <c r="B3080" s="1242"/>
      <c r="C3080" s="1804" t="s">
        <v>1445</v>
      </c>
      <c r="D3080" s="1253">
        <v>16.670000000000002</v>
      </c>
      <c r="E3080" s="1244" t="s">
        <v>197</v>
      </c>
      <c r="F3080" s="1245">
        <f>'Civil-SOR'!$G$200</f>
        <v>24</v>
      </c>
      <c r="G3080" s="1246">
        <v>1</v>
      </c>
      <c r="H3080" s="1244" t="s">
        <v>197</v>
      </c>
      <c r="I3080" s="1247">
        <f t="shared" si="715"/>
        <v>400.08000000000004</v>
      </c>
      <c r="J3080" s="1248"/>
      <c r="K3080" s="1846"/>
      <c r="L3080" s="1846"/>
    </row>
    <row r="3081" spans="1:12">
      <c r="A3081" s="1242"/>
      <c r="B3081" s="1242"/>
      <c r="C3081" s="1804" t="s">
        <v>1446</v>
      </c>
      <c r="D3081" s="1253">
        <v>16.670000000000002</v>
      </c>
      <c r="E3081" s="1244" t="s">
        <v>197</v>
      </c>
      <c r="F3081" s="1245">
        <f>'Civil-SOR'!$G$198</f>
        <v>456</v>
      </c>
      <c r="G3081" s="1246">
        <v>1</v>
      </c>
      <c r="H3081" s="1244" t="s">
        <v>197</v>
      </c>
      <c r="I3081" s="1247">
        <f t="shared" si="715"/>
        <v>7601.52</v>
      </c>
      <c r="J3081" s="1248"/>
      <c r="K3081" s="1846"/>
      <c r="L3081" s="1846"/>
    </row>
    <row r="3082" spans="1:12">
      <c r="A3082" s="1242"/>
      <c r="B3082" s="1242"/>
      <c r="C3082" s="1804" t="str">
        <f>Input!$C$47</f>
        <v>Add for MA @ 40%</v>
      </c>
      <c r="D3082" s="1253">
        <f>Input!$D$47</f>
        <v>0.4</v>
      </c>
      <c r="E3082" s="1244"/>
      <c r="F3082" s="1245">
        <f>SUM(I3080:I3081)*40%</f>
        <v>3200.6400000000003</v>
      </c>
      <c r="G3082" s="1246"/>
      <c r="H3082" s="1244"/>
      <c r="I3082" s="1247">
        <f t="shared" si="715"/>
        <v>1280.2560000000003</v>
      </c>
      <c r="J3082" s="1248"/>
      <c r="K3082" s="1846"/>
      <c r="L3082" s="1846"/>
    </row>
    <row r="3083" spans="1:12">
      <c r="A3083" s="1242"/>
      <c r="B3083" s="1242"/>
      <c r="C3083" s="1804" t="s">
        <v>1301</v>
      </c>
      <c r="D3083" s="1243">
        <v>0.01</v>
      </c>
      <c r="E3083" s="1244"/>
      <c r="F3083" s="1245">
        <f>SUM(I3073:I3082)</f>
        <v>53315.856000000007</v>
      </c>
      <c r="G3083" s="1246"/>
      <c r="H3083" s="1244"/>
      <c r="I3083" s="1247">
        <f t="shared" si="715"/>
        <v>533.15856000000008</v>
      </c>
      <c r="J3083" s="1248"/>
      <c r="K3083" s="1846"/>
      <c r="L3083" s="1846"/>
    </row>
    <row r="3084" spans="1:12">
      <c r="A3084" s="1254"/>
      <c r="B3084" s="1254"/>
      <c r="C3084" s="1805" t="s">
        <v>1402</v>
      </c>
      <c r="D3084" s="1255"/>
      <c r="E3084" s="1256"/>
      <c r="F3084" s="1257"/>
      <c r="G3084" s="1258"/>
      <c r="H3084" s="1256"/>
      <c r="I3084" s="1259">
        <f>SUM(I3073:I3083)</f>
        <v>53849.014560000011</v>
      </c>
      <c r="J3084" s="1260"/>
      <c r="K3084" s="1846"/>
      <c r="L3084" s="1846"/>
    </row>
    <row r="3085" spans="1:12">
      <c r="A3085" s="1233"/>
      <c r="B3085" s="1233"/>
      <c r="C3085" s="1805"/>
      <c r="D3085" s="1239"/>
      <c r="E3085" s="1236"/>
      <c r="F3085" s="1238"/>
      <c r="G3085" s="1240"/>
      <c r="H3085" s="1236"/>
      <c r="I3085" s="1261"/>
      <c r="J3085" s="1234"/>
      <c r="K3085" s="1846"/>
      <c r="L3085" s="1846"/>
    </row>
    <row r="3086" spans="1:12">
      <c r="A3086" s="1233"/>
      <c r="B3086" s="1233"/>
      <c r="C3086" s="1805" t="s">
        <v>1217</v>
      </c>
      <c r="D3086" s="1262" t="s">
        <v>1223</v>
      </c>
      <c r="E3086" s="1263" t="s">
        <v>1207</v>
      </c>
      <c r="F3086" s="1264" t="s">
        <v>1208</v>
      </c>
      <c r="G3086" s="1262" t="s">
        <v>1291</v>
      </c>
      <c r="H3086" s="1262" t="s">
        <v>1292</v>
      </c>
      <c r="I3086" s="1262" t="s">
        <v>1293</v>
      </c>
      <c r="J3086" s="1234"/>
      <c r="K3086" s="1846"/>
      <c r="L3086" s="1846"/>
    </row>
    <row r="3087" spans="1:12">
      <c r="A3087" s="1233"/>
      <c r="B3087" s="1233"/>
      <c r="C3087" s="1804" t="s">
        <v>1317</v>
      </c>
      <c r="D3087" s="1265">
        <f t="shared" ref="D3087:I3087" si="716">$I$3084</f>
        <v>53849.014560000011</v>
      </c>
      <c r="E3087" s="1265">
        <f t="shared" si="716"/>
        <v>53849.014560000011</v>
      </c>
      <c r="F3087" s="1265">
        <f t="shared" si="716"/>
        <v>53849.014560000011</v>
      </c>
      <c r="G3087" s="1265">
        <f t="shared" si="716"/>
        <v>53849.014560000011</v>
      </c>
      <c r="H3087" s="1265">
        <f t="shared" si="716"/>
        <v>53849.014560000011</v>
      </c>
      <c r="I3087" s="1265">
        <f t="shared" si="716"/>
        <v>53849.014560000011</v>
      </c>
      <c r="J3087" s="1234"/>
      <c r="K3087" s="1846"/>
      <c r="L3087" s="1846"/>
    </row>
    <row r="3088" spans="1:12">
      <c r="A3088" s="1233"/>
      <c r="B3088" s="1233"/>
      <c r="C3088" s="1804" t="s">
        <v>1253</v>
      </c>
      <c r="D3088" s="1265">
        <v>0</v>
      </c>
      <c r="E3088" s="1265">
        <f>ROUND($F$3079*10%,2)</f>
        <v>645</v>
      </c>
      <c r="F3088" s="1265">
        <f>ROUND($F$3079*20%,2)</f>
        <v>1290</v>
      </c>
      <c r="G3088" s="1265">
        <f>ROUND($F$3079*30%,2)</f>
        <v>1935</v>
      </c>
      <c r="H3088" s="1265">
        <f>ROUND($F$3079*40%,2)</f>
        <v>2580</v>
      </c>
      <c r="I3088" s="1265">
        <f>ROUND($F$3079*50%,2)</f>
        <v>3225</v>
      </c>
      <c r="J3088" s="1234"/>
      <c r="K3088" s="1846"/>
      <c r="L3088" s="1846"/>
    </row>
    <row r="3089" spans="1:12">
      <c r="A3089" s="1233"/>
      <c r="B3089" s="1233"/>
      <c r="C3089" s="1804" t="str">
        <f>Input!$C$47</f>
        <v>Add for MA @ 40%</v>
      </c>
      <c r="D3089" s="1265">
        <f>D3088*Input!D87</f>
        <v>0</v>
      </c>
      <c r="E3089" s="1265">
        <f>E3088*Input!$D$47</f>
        <v>258</v>
      </c>
      <c r="F3089" s="1265">
        <f>F3088*Input!$D$47</f>
        <v>516</v>
      </c>
      <c r="G3089" s="1265">
        <f>G3088*Input!$D$47</f>
        <v>774</v>
      </c>
      <c r="H3089" s="1265">
        <f>H3088*Input!$D$47</f>
        <v>1032</v>
      </c>
      <c r="I3089" s="1265">
        <f>I3088*Input!$D$47</f>
        <v>1290</v>
      </c>
      <c r="J3089" s="1234"/>
      <c r="K3089" s="1846"/>
      <c r="L3089" s="1846"/>
    </row>
    <row r="3090" spans="1:12">
      <c r="A3090" s="1233"/>
      <c r="B3090" s="1233"/>
      <c r="C3090" s="1244"/>
      <c r="D3090" s="1265">
        <f t="shared" ref="D3090:I3090" si="717">SUM(D3087:D3089)</f>
        <v>53849.014560000011</v>
      </c>
      <c r="E3090" s="1265">
        <f t="shared" si="717"/>
        <v>54752.014560000011</v>
      </c>
      <c r="F3090" s="1265">
        <f t="shared" si="717"/>
        <v>55655.014560000011</v>
      </c>
      <c r="G3090" s="1265">
        <f t="shared" si="717"/>
        <v>56558.014560000011</v>
      </c>
      <c r="H3090" s="1265">
        <f t="shared" si="717"/>
        <v>57461.014560000011</v>
      </c>
      <c r="I3090" s="1265">
        <f t="shared" si="717"/>
        <v>58364.014560000011</v>
      </c>
      <c r="J3090" s="1234"/>
      <c r="K3090" s="1846"/>
      <c r="L3090" s="1846"/>
    </row>
    <row r="3091" spans="1:12">
      <c r="A3091" s="1233"/>
      <c r="B3091" s="1233"/>
      <c r="C3091" s="1804" t="str">
        <f>Input!$C$48</f>
        <v>Overheads &amp; Contractors Profit @ 13.615%</v>
      </c>
      <c r="D3091" s="1265">
        <f>ROUND(D3090*Input!$D$48,2)</f>
        <v>7331.54</v>
      </c>
      <c r="E3091" s="1265">
        <f>ROUND(E3090*Input!$D$48,2)</f>
        <v>7454.49</v>
      </c>
      <c r="F3091" s="1265">
        <f>ROUND(F3090*Input!$D$48,2)</f>
        <v>7577.43</v>
      </c>
      <c r="G3091" s="1265">
        <f>ROUND(G3090*Input!$D$48,2)</f>
        <v>7700.37</v>
      </c>
      <c r="H3091" s="1265">
        <f>ROUND(H3090*Input!$D$48,2)</f>
        <v>7823.32</v>
      </c>
      <c r="I3091" s="1265">
        <f>ROUND(I3090*Input!$D$48,2)</f>
        <v>7946.26</v>
      </c>
      <c r="J3091" s="1234"/>
      <c r="K3091" s="1846"/>
      <c r="L3091" s="1846"/>
    </row>
    <row r="3092" spans="1:12">
      <c r="A3092" s="1233"/>
      <c r="B3092" s="1233"/>
      <c r="C3092" s="1805" t="s">
        <v>1302</v>
      </c>
      <c r="D3092" s="1265">
        <f t="shared" ref="D3092:I3092" si="718">SUM(D3090:D3091)</f>
        <v>61180.554560000011</v>
      </c>
      <c r="E3092" s="1265">
        <f t="shared" si="718"/>
        <v>62206.504560000008</v>
      </c>
      <c r="F3092" s="1265">
        <f t="shared" si="718"/>
        <v>63232.444560000011</v>
      </c>
      <c r="G3092" s="1265">
        <f t="shared" si="718"/>
        <v>64258.384560000013</v>
      </c>
      <c r="H3092" s="1265">
        <f t="shared" si="718"/>
        <v>65284.33456000001</v>
      </c>
      <c r="I3092" s="1265">
        <f t="shared" si="718"/>
        <v>66310.274560000005</v>
      </c>
      <c r="J3092" s="1234"/>
      <c r="K3092" s="1846"/>
      <c r="L3092" s="1846"/>
    </row>
    <row r="3093" spans="1:12">
      <c r="A3093" s="1233"/>
      <c r="B3093" s="1233"/>
      <c r="C3093" s="1805" t="s">
        <v>1117</v>
      </c>
      <c r="D3093" s="1262">
        <f t="shared" ref="D3093:I3093" si="719">D3092/10</f>
        <v>6118.055456000001</v>
      </c>
      <c r="E3093" s="1262">
        <f t="shared" si="719"/>
        <v>6220.6504560000012</v>
      </c>
      <c r="F3093" s="1262">
        <f t="shared" si="719"/>
        <v>6323.2444560000013</v>
      </c>
      <c r="G3093" s="1262">
        <f t="shared" si="719"/>
        <v>6425.8384560000013</v>
      </c>
      <c r="H3093" s="1262">
        <f t="shared" si="719"/>
        <v>6528.4334560000007</v>
      </c>
      <c r="I3093" s="1262">
        <f t="shared" si="719"/>
        <v>6631.0274560000007</v>
      </c>
      <c r="J3093" s="1234"/>
      <c r="K3093" s="1846"/>
      <c r="L3093" s="1846"/>
    </row>
    <row r="3094" spans="1:12">
      <c r="A3094" s="1254"/>
      <c r="B3094" s="1254"/>
      <c r="C3094" s="1266" t="s">
        <v>1034</v>
      </c>
      <c r="D3094" s="1267">
        <f t="shared" ref="D3094:I3094" si="720">ROUND(D3093,0)</f>
        <v>6118</v>
      </c>
      <c r="E3094" s="1267">
        <f t="shared" si="720"/>
        <v>6221</v>
      </c>
      <c r="F3094" s="1267">
        <f t="shared" si="720"/>
        <v>6323</v>
      </c>
      <c r="G3094" s="1267">
        <f t="shared" si="720"/>
        <v>6426</v>
      </c>
      <c r="H3094" s="1267">
        <f t="shared" si="720"/>
        <v>6528</v>
      </c>
      <c r="I3094" s="1267">
        <f t="shared" si="720"/>
        <v>6631</v>
      </c>
      <c r="J3094" s="1260"/>
      <c r="K3094" s="1846"/>
      <c r="L3094" s="1846"/>
    </row>
    <row r="3095" spans="1:12">
      <c r="A3095" s="1254"/>
      <c r="B3095" s="1254"/>
      <c r="C3095" s="1805" t="s">
        <v>1447</v>
      </c>
      <c r="D3095" s="1263">
        <f t="shared" ref="D3095:I3095" si="721">+D3094/20</f>
        <v>305.89999999999998</v>
      </c>
      <c r="E3095" s="1263">
        <f t="shared" si="721"/>
        <v>311.05</v>
      </c>
      <c r="F3095" s="1263">
        <f t="shared" si="721"/>
        <v>316.14999999999998</v>
      </c>
      <c r="G3095" s="1263">
        <f t="shared" si="721"/>
        <v>321.3</v>
      </c>
      <c r="H3095" s="1263">
        <f t="shared" si="721"/>
        <v>326.39999999999998</v>
      </c>
      <c r="I3095" s="1263">
        <f t="shared" si="721"/>
        <v>331.55</v>
      </c>
      <c r="J3095" s="1260"/>
      <c r="K3095" s="1846"/>
      <c r="L3095" s="1846"/>
    </row>
    <row r="3096" spans="1:12" ht="78.400000000000006" customHeight="1">
      <c r="A3096" s="1197">
        <f>1+A3069</f>
        <v>37</v>
      </c>
      <c r="B3096" s="1197"/>
      <c r="C3096" s="2006" t="s">
        <v>3434</v>
      </c>
      <c r="D3096" s="2006"/>
      <c r="E3096" s="2006"/>
      <c r="F3096" s="2006"/>
      <c r="G3096" s="2006"/>
      <c r="H3096" s="2006"/>
      <c r="I3096" s="1814"/>
      <c r="J3096" s="1846"/>
      <c r="K3096" s="1846"/>
      <c r="L3096" s="1846"/>
    </row>
    <row r="3097" spans="1:12">
      <c r="A3097" s="1197"/>
      <c r="B3097" s="1197"/>
      <c r="C3097" s="1198" t="s">
        <v>1448</v>
      </c>
      <c r="D3097" s="1807"/>
      <c r="E3097" s="1807"/>
      <c r="F3097" s="1794"/>
      <c r="G3097" s="1807"/>
      <c r="H3097" s="1807"/>
      <c r="I3097" s="1209"/>
      <c r="J3097" s="1846"/>
      <c r="K3097" s="1846"/>
      <c r="L3097" s="1846"/>
    </row>
    <row r="3098" spans="1:12">
      <c r="A3098" s="1197"/>
      <c r="B3098" s="1197"/>
      <c r="C3098" s="1807" t="s">
        <v>1296</v>
      </c>
      <c r="D3098" s="1807"/>
      <c r="E3098" s="1807"/>
      <c r="F3098" s="1794"/>
      <c r="G3098" s="1807"/>
      <c r="H3098" s="1807"/>
      <c r="I3098" s="1209"/>
      <c r="J3098" s="1846"/>
      <c r="K3098" s="1846"/>
      <c r="L3098" s="1846"/>
    </row>
    <row r="3099" spans="1:12">
      <c r="A3099" s="1197"/>
      <c r="B3099" s="1197"/>
      <c r="C3099" s="1795" t="s">
        <v>1139</v>
      </c>
      <c r="D3099" s="1807"/>
      <c r="E3099" s="1807"/>
      <c r="F3099" s="1794"/>
      <c r="G3099" s="1807"/>
      <c r="H3099" s="1807"/>
      <c r="I3099" s="1209"/>
      <c r="J3099" s="1846"/>
      <c r="K3099" s="1846"/>
      <c r="L3099" s="1846"/>
    </row>
    <row r="3100" spans="1:12">
      <c r="A3100" s="1197"/>
      <c r="B3100" s="1197"/>
      <c r="C3100" s="1202" t="s">
        <v>1449</v>
      </c>
      <c r="D3100" s="1227">
        <v>0.17</v>
      </c>
      <c r="E3100" s="1268" t="s">
        <v>484</v>
      </c>
      <c r="F3100" s="1205">
        <f>$F$22</f>
        <v>1387.96</v>
      </c>
      <c r="G3100" s="1269">
        <v>1</v>
      </c>
      <c r="H3100" s="1270" t="str">
        <f t="shared" ref="H3100:H3102" si="722">IF(E3100="","",IF(E3100="No.","Each",IF(E3100="Nos.","Each",E3100)))</f>
        <v>Cum</v>
      </c>
      <c r="I3100" s="1205">
        <f t="shared" ref="I3100:I3102" si="723">IF(G3100="",D3100*F3100,(D3100*F3100/G3100))</f>
        <v>235.95320000000001</v>
      </c>
      <c r="J3100" s="1096"/>
      <c r="K3100" s="1846"/>
      <c r="L3100" s="1846"/>
    </row>
    <row r="3101" spans="1:12">
      <c r="A3101" s="1197"/>
      <c r="B3101" s="1197"/>
      <c r="C3101" s="1202" t="s">
        <v>889</v>
      </c>
      <c r="D3101" s="1228">
        <v>120</v>
      </c>
      <c r="E3101" s="1271" t="s">
        <v>1110</v>
      </c>
      <c r="F3101" s="1223">
        <f>LEAD!$N$6</f>
        <v>5200</v>
      </c>
      <c r="G3101" s="1272">
        <v>1000</v>
      </c>
      <c r="H3101" s="1273" t="str">
        <f t="shared" si="722"/>
        <v>Kgs</v>
      </c>
      <c r="I3101" s="1205">
        <f t="shared" si="723"/>
        <v>624</v>
      </c>
      <c r="J3101" s="1096"/>
      <c r="K3101" s="1846"/>
      <c r="L3101" s="1846"/>
    </row>
    <row r="3102" spans="1:12">
      <c r="A3102" s="1197"/>
      <c r="B3102" s="1197"/>
      <c r="C3102" s="1202" t="s">
        <v>1163</v>
      </c>
      <c r="D3102" s="1274">
        <v>8.5000000000000006E-2</v>
      </c>
      <c r="E3102" s="1268" t="s">
        <v>484</v>
      </c>
      <c r="F3102" s="1223">
        <f>LEAD!$N$12</f>
        <v>2253.91</v>
      </c>
      <c r="G3102" s="1272">
        <v>1</v>
      </c>
      <c r="H3102" s="1273" t="str">
        <f t="shared" si="722"/>
        <v>Cum</v>
      </c>
      <c r="I3102" s="1205">
        <f t="shared" si="723"/>
        <v>191.58234999999999</v>
      </c>
      <c r="J3102" s="1096"/>
      <c r="K3102" s="1846"/>
      <c r="L3102" s="1846"/>
    </row>
    <row r="3103" spans="1:12">
      <c r="A3103" s="1197"/>
      <c r="B3103" s="1197"/>
      <c r="C3103" s="1814" t="s">
        <v>1298</v>
      </c>
      <c r="D3103" s="1199"/>
      <c r="E3103" s="1199"/>
      <c r="F3103" s="1200"/>
      <c r="G3103" s="1199"/>
      <c r="H3103" s="1199"/>
      <c r="I3103" s="1201"/>
      <c r="J3103" s="1275"/>
      <c r="K3103" s="1846"/>
      <c r="L3103" s="1846"/>
    </row>
    <row r="3104" spans="1:12">
      <c r="A3104" s="1197"/>
      <c r="B3104" s="1197"/>
      <c r="C3104" s="1202" t="s">
        <v>1299</v>
      </c>
      <c r="D3104" s="1228">
        <v>1.25</v>
      </c>
      <c r="E3104" s="1276" t="s">
        <v>36</v>
      </c>
      <c r="F3104" s="1223">
        <f>'Civil-SOR'!$G$293</f>
        <v>580</v>
      </c>
      <c r="G3104" s="1272">
        <v>1</v>
      </c>
      <c r="H3104" s="1273" t="str">
        <f t="shared" ref="H3104:H3106" si="724">IF(E3104="","",IF(E3104="No.","Each",IF(E3104="Nos.","Each",E3104)))</f>
        <v>Each</v>
      </c>
      <c r="I3104" s="1205">
        <f t="shared" ref="I3104:I3108" si="725">IF(G3104="",D3104*F3104,(D3104*F3104/G3104))</f>
        <v>725</v>
      </c>
      <c r="J3104" s="1096"/>
      <c r="K3104" s="1846"/>
      <c r="L3104" s="1846"/>
    </row>
    <row r="3105" spans="1:12">
      <c r="A3105" s="1197"/>
      <c r="B3105" s="1197"/>
      <c r="C3105" s="1202" t="s">
        <v>1450</v>
      </c>
      <c r="D3105" s="1228">
        <v>0.06</v>
      </c>
      <c r="E3105" s="1276" t="s">
        <v>36</v>
      </c>
      <c r="F3105" s="1223">
        <f>'Civil-SOR'!$G$302</f>
        <v>550</v>
      </c>
      <c r="G3105" s="1272">
        <v>1</v>
      </c>
      <c r="H3105" s="1273" t="str">
        <f t="shared" si="724"/>
        <v>Each</v>
      </c>
      <c r="I3105" s="1205">
        <f t="shared" si="725"/>
        <v>33</v>
      </c>
      <c r="J3105" s="1096"/>
      <c r="K3105" s="1846"/>
      <c r="L3105" s="1846"/>
    </row>
    <row r="3106" spans="1:12">
      <c r="A3106" s="1197"/>
      <c r="B3106" s="1197"/>
      <c r="C3106" s="1202" t="s">
        <v>1300</v>
      </c>
      <c r="D3106" s="1228">
        <v>3</v>
      </c>
      <c r="E3106" s="1271" t="s">
        <v>36</v>
      </c>
      <c r="F3106" s="1223">
        <f>'Civil-SOR'!$G$307</f>
        <v>520</v>
      </c>
      <c r="G3106" s="1272">
        <v>1</v>
      </c>
      <c r="H3106" s="1273" t="str">
        <f t="shared" si="724"/>
        <v>Each</v>
      </c>
      <c r="I3106" s="1205">
        <f t="shared" si="725"/>
        <v>1560</v>
      </c>
      <c r="J3106" s="1096"/>
      <c r="K3106" s="1846"/>
      <c r="L3106" s="1846"/>
    </row>
    <row r="3107" spans="1:12">
      <c r="A3107" s="1197"/>
      <c r="B3107" s="1197"/>
      <c r="C3107" s="1199" t="str">
        <f>Input!$C$47</f>
        <v>Add for MA @ 40%</v>
      </c>
      <c r="D3107" s="1277">
        <f>Input!$D$47</f>
        <v>0.4</v>
      </c>
      <c r="E3107" s="1276"/>
      <c r="F3107" s="1223">
        <f>SUM(I3104:I3106)</f>
        <v>2318</v>
      </c>
      <c r="G3107" s="1278"/>
      <c r="H3107" s="1279"/>
      <c r="I3107" s="1205">
        <f t="shared" si="725"/>
        <v>927.2</v>
      </c>
      <c r="J3107" s="1096"/>
      <c r="K3107" s="1846"/>
      <c r="L3107" s="1846"/>
    </row>
    <row r="3108" spans="1:12">
      <c r="A3108" s="1197"/>
      <c r="B3108" s="1197"/>
      <c r="C3108" s="1202" t="s">
        <v>1301</v>
      </c>
      <c r="D3108" s="1280">
        <v>0.01</v>
      </c>
      <c r="E3108" s="1271"/>
      <c r="F3108" s="1223">
        <f>SUM(I3100:I3107)</f>
        <v>4296.7355500000003</v>
      </c>
      <c r="G3108" s="1272"/>
      <c r="H3108" s="1273"/>
      <c r="I3108" s="1205">
        <f t="shared" si="725"/>
        <v>42.967355500000004</v>
      </c>
      <c r="J3108" s="1096"/>
      <c r="K3108" s="1846"/>
      <c r="L3108" s="1846"/>
    </row>
    <row r="3109" spans="1:12" s="997" customFormat="1">
      <c r="A3109" s="1802"/>
      <c r="B3109" s="1802"/>
      <c r="C3109" s="1796" t="s">
        <v>1302</v>
      </c>
      <c r="D3109" s="1281"/>
      <c r="E3109" s="1282"/>
      <c r="F3109" s="1283"/>
      <c r="G3109" s="1284"/>
      <c r="H3109" s="1282"/>
      <c r="I3109" s="1285">
        <f>SUM(I3100:I3108)</f>
        <v>4339.7029055000003</v>
      </c>
      <c r="J3109" s="1117"/>
      <c r="K3109" s="996"/>
      <c r="L3109" s="996"/>
    </row>
    <row r="3110" spans="1:12">
      <c r="A3110" s="1197"/>
      <c r="B3110" s="1197"/>
      <c r="C3110" s="1286"/>
      <c r="D3110" s="1228"/>
      <c r="E3110" s="1271"/>
      <c r="F3110" s="1223"/>
      <c r="G3110" s="1272"/>
      <c r="H3110" s="1271"/>
      <c r="I3110" s="1201"/>
      <c r="J3110" s="1096"/>
      <c r="K3110" s="1846"/>
      <c r="L3110" s="1846"/>
    </row>
    <row r="3111" spans="1:12">
      <c r="A3111" s="1197"/>
      <c r="B3111" s="1197"/>
      <c r="C3111" s="1795" t="s">
        <v>1217</v>
      </c>
      <c r="D3111" s="1220" t="s">
        <v>1223</v>
      </c>
      <c r="E3111" s="1221" t="s">
        <v>1207</v>
      </c>
      <c r="F3111" s="1222" t="s">
        <v>1208</v>
      </c>
      <c r="G3111" s="1220" t="s">
        <v>1291</v>
      </c>
      <c r="H3111" s="1220" t="s">
        <v>1292</v>
      </c>
      <c r="I3111" s="1220" t="s">
        <v>1293</v>
      </c>
      <c r="J3111" s="1096"/>
      <c r="K3111" s="1846"/>
      <c r="L3111" s="1846"/>
    </row>
    <row r="3112" spans="1:12">
      <c r="A3112" s="1197"/>
      <c r="B3112" s="1197"/>
      <c r="C3112" s="1807" t="s">
        <v>1317</v>
      </c>
      <c r="D3112" s="1223">
        <f t="shared" ref="D3112:I3112" si="726">$I$3109</f>
        <v>4339.7029055000003</v>
      </c>
      <c r="E3112" s="1223">
        <f t="shared" si="726"/>
        <v>4339.7029055000003</v>
      </c>
      <c r="F3112" s="1223">
        <f t="shared" si="726"/>
        <v>4339.7029055000003</v>
      </c>
      <c r="G3112" s="1223">
        <f t="shared" si="726"/>
        <v>4339.7029055000003</v>
      </c>
      <c r="H3112" s="1223">
        <f t="shared" si="726"/>
        <v>4339.7029055000003</v>
      </c>
      <c r="I3112" s="1223">
        <f t="shared" si="726"/>
        <v>4339.7029055000003</v>
      </c>
      <c r="J3112" s="1096"/>
      <c r="K3112" s="1846"/>
      <c r="L3112" s="1846"/>
    </row>
    <row r="3113" spans="1:12">
      <c r="A3113" s="1197"/>
      <c r="B3113" s="1197"/>
      <c r="C3113" s="1807" t="s">
        <v>1253</v>
      </c>
      <c r="D3113" s="1223">
        <v>0</v>
      </c>
      <c r="E3113" s="1223">
        <f>ROUND($F$3107*10%,2)</f>
        <v>231.8</v>
      </c>
      <c r="F3113" s="1223">
        <f>ROUND($F$3107*20%,2)</f>
        <v>463.6</v>
      </c>
      <c r="G3113" s="1223">
        <f>ROUND($F$3107*30%,2)</f>
        <v>695.4</v>
      </c>
      <c r="H3113" s="1223">
        <f>ROUND($F$3107*40%,2)</f>
        <v>927.2</v>
      </c>
      <c r="I3113" s="1223">
        <f>ROUND($F$3107*50%,2)</f>
        <v>1159</v>
      </c>
      <c r="J3113" s="1096"/>
      <c r="K3113" s="1846"/>
      <c r="L3113" s="1846"/>
    </row>
    <row r="3114" spans="1:12">
      <c r="A3114" s="1197"/>
      <c r="B3114" s="1197"/>
      <c r="C3114" s="1807" t="str">
        <f>Input!$C$47</f>
        <v>Add for MA @ 40%</v>
      </c>
      <c r="D3114" s="1223">
        <f>D3113*Input!$D$47</f>
        <v>0</v>
      </c>
      <c r="E3114" s="1223">
        <f>E3113*Input!$D$47</f>
        <v>92.720000000000013</v>
      </c>
      <c r="F3114" s="1223">
        <f>F3113*Input!$D$47</f>
        <v>185.44000000000003</v>
      </c>
      <c r="G3114" s="1223">
        <f>G3113*Input!$D$47</f>
        <v>278.16000000000003</v>
      </c>
      <c r="H3114" s="1223">
        <f>H3113*Input!$D$47</f>
        <v>370.88000000000005</v>
      </c>
      <c r="I3114" s="1223">
        <f>I3113*Input!$D$47</f>
        <v>463.6</v>
      </c>
      <c r="J3114" s="1096"/>
      <c r="K3114" s="1846"/>
      <c r="L3114" s="1846"/>
    </row>
    <row r="3115" spans="1:12">
      <c r="A3115" s="1197"/>
      <c r="B3115" s="1197"/>
      <c r="C3115" s="1199"/>
      <c r="D3115" s="1223">
        <f t="shared" ref="D3115:I3115" si="727">SUM(D3112:D3114)</f>
        <v>4339.7029055000003</v>
      </c>
      <c r="E3115" s="1223">
        <f t="shared" si="727"/>
        <v>4664.2229055000007</v>
      </c>
      <c r="F3115" s="1223">
        <f t="shared" si="727"/>
        <v>4988.7429055000002</v>
      </c>
      <c r="G3115" s="1223">
        <f t="shared" si="727"/>
        <v>5313.2629054999998</v>
      </c>
      <c r="H3115" s="1223">
        <f t="shared" si="727"/>
        <v>5637.7829055000002</v>
      </c>
      <c r="I3115" s="1223">
        <f t="shared" si="727"/>
        <v>5962.3029055000006</v>
      </c>
      <c r="J3115" s="1096"/>
      <c r="K3115" s="1846"/>
      <c r="L3115" s="1846"/>
    </row>
    <row r="3116" spans="1:12">
      <c r="A3116" s="1197"/>
      <c r="B3116" s="1197"/>
      <c r="C3116" s="1807" t="str">
        <f>Input!$C$48</f>
        <v>Overheads &amp; Contractors Profit @ 13.615%</v>
      </c>
      <c r="D3116" s="1223">
        <f>ROUND(D3115*Input!$D$48,2)</f>
        <v>590.85</v>
      </c>
      <c r="E3116" s="1223">
        <f>ROUND(E3115*Input!$D$48,2)</f>
        <v>635.03</v>
      </c>
      <c r="F3116" s="1223">
        <f>ROUND(F3115*Input!$D$48,2)</f>
        <v>679.22</v>
      </c>
      <c r="G3116" s="1223">
        <f>ROUND(G3115*Input!$D$48,2)</f>
        <v>723.4</v>
      </c>
      <c r="H3116" s="1223">
        <f>ROUND(H3115*Input!$D$48,2)</f>
        <v>767.58</v>
      </c>
      <c r="I3116" s="1223">
        <f>ROUND(I3115*Input!$D$48,2)</f>
        <v>811.77</v>
      </c>
      <c r="J3116" s="1096"/>
      <c r="K3116" s="1846"/>
      <c r="L3116" s="1846"/>
    </row>
    <row r="3117" spans="1:12">
      <c r="A3117" s="1197"/>
      <c r="B3117" s="1197"/>
      <c r="C3117" s="1795" t="s">
        <v>1302</v>
      </c>
      <c r="D3117" s="1223">
        <f t="shared" ref="D3117:I3117" si="728">SUM(D3115:D3116)</f>
        <v>4930.5529055000006</v>
      </c>
      <c r="E3117" s="1223">
        <f t="shared" si="728"/>
        <v>5299.2529055000005</v>
      </c>
      <c r="F3117" s="1223">
        <f t="shared" si="728"/>
        <v>5667.9629055000005</v>
      </c>
      <c r="G3117" s="1223">
        <f t="shared" si="728"/>
        <v>6036.6629054999994</v>
      </c>
      <c r="H3117" s="1223">
        <f t="shared" si="728"/>
        <v>6405.3629055000001</v>
      </c>
      <c r="I3117" s="1223">
        <f t="shared" si="728"/>
        <v>6774.0729055000011</v>
      </c>
      <c r="J3117" s="1096"/>
      <c r="K3117" s="1846"/>
      <c r="L3117" s="1846"/>
    </row>
    <row r="3118" spans="1:12" s="997" customFormat="1">
      <c r="A3118" s="1802"/>
      <c r="B3118" s="1802"/>
      <c r="C3118" s="1796" t="s">
        <v>1117</v>
      </c>
      <c r="D3118" s="1218">
        <f t="shared" ref="D3118:I3118" si="729">D3117/10</f>
        <v>493.05529055000005</v>
      </c>
      <c r="E3118" s="1218">
        <f t="shared" si="729"/>
        <v>529.92529055</v>
      </c>
      <c r="F3118" s="1218">
        <f t="shared" si="729"/>
        <v>566.79629055000009</v>
      </c>
      <c r="G3118" s="1218">
        <f t="shared" si="729"/>
        <v>603.66629054999999</v>
      </c>
      <c r="H3118" s="1218">
        <f t="shared" si="729"/>
        <v>640.53629054999999</v>
      </c>
      <c r="I3118" s="1218">
        <f t="shared" si="729"/>
        <v>677.40729055000008</v>
      </c>
      <c r="J3118" s="1096"/>
      <c r="K3118" s="1846"/>
      <c r="L3118" s="1846"/>
    </row>
    <row r="3119" spans="1:12" s="997" customFormat="1">
      <c r="A3119" s="1802"/>
      <c r="B3119" s="1802"/>
      <c r="C3119" s="1224" t="s">
        <v>1034</v>
      </c>
      <c r="D3119" s="1225">
        <f t="shared" ref="D3119:I3119" si="730">ROUND(D3118,0)</f>
        <v>493</v>
      </c>
      <c r="E3119" s="1225">
        <f t="shared" si="730"/>
        <v>530</v>
      </c>
      <c r="F3119" s="1225">
        <f t="shared" si="730"/>
        <v>567</v>
      </c>
      <c r="G3119" s="1225">
        <f t="shared" si="730"/>
        <v>604</v>
      </c>
      <c r="H3119" s="1225">
        <f t="shared" si="730"/>
        <v>641</v>
      </c>
      <c r="I3119" s="1225">
        <f t="shared" si="730"/>
        <v>677</v>
      </c>
      <c r="J3119" s="1096"/>
      <c r="K3119" s="1846"/>
      <c r="L3119" s="1846"/>
    </row>
    <row r="3120" spans="1:12">
      <c r="A3120" s="1197"/>
      <c r="B3120" s="1197"/>
      <c r="C3120" s="1226"/>
      <c r="D3120" s="1227"/>
      <c r="E3120" s="1228"/>
      <c r="F3120" s="1223"/>
      <c r="G3120" s="1199"/>
      <c r="H3120" s="1229"/>
      <c r="I3120" s="1230"/>
      <c r="J3120" s="1096"/>
      <c r="K3120" s="1846"/>
      <c r="L3120" s="1846"/>
    </row>
    <row r="3121" spans="1:64">
      <c r="A3121" s="1197"/>
      <c r="B3121" s="1197"/>
      <c r="C3121" s="1795" t="s">
        <v>1217</v>
      </c>
      <c r="D3121" s="1220" t="s">
        <v>1357</v>
      </c>
      <c r="E3121" s="1220" t="s">
        <v>1358</v>
      </c>
      <c r="F3121" s="1220" t="s">
        <v>1359</v>
      </c>
      <c r="G3121" s="1199"/>
      <c r="H3121" s="1229"/>
      <c r="I3121" s="1230"/>
      <c r="J3121" s="1846"/>
      <c r="K3121" s="1846"/>
      <c r="L3121" s="1846"/>
    </row>
    <row r="3122" spans="1:64">
      <c r="A3122" s="1197"/>
      <c r="B3122" s="1197"/>
      <c r="C3122" s="1807" t="s">
        <v>1317</v>
      </c>
      <c r="D3122" s="1223">
        <f>$I$3109</f>
        <v>4339.7029055000003</v>
      </c>
      <c r="E3122" s="1223">
        <f>$I$3109</f>
        <v>4339.7029055000003</v>
      </c>
      <c r="F3122" s="1223">
        <f>$I$3109</f>
        <v>4339.7029055000003</v>
      </c>
      <c r="G3122" s="1199"/>
      <c r="H3122" s="1229"/>
      <c r="I3122" s="1230"/>
      <c r="J3122" s="1846"/>
      <c r="K3122" s="1846"/>
      <c r="L3122" s="1846"/>
    </row>
    <row r="3123" spans="1:64">
      <c r="A3123" s="1197"/>
      <c r="B3123" s="1197"/>
      <c r="C3123" s="1807" t="s">
        <v>1253</v>
      </c>
      <c r="D3123" s="1223">
        <f>ROUND($F$3107*60%,2)</f>
        <v>1390.8</v>
      </c>
      <c r="E3123" s="1223">
        <f>ROUND($F$3107*70%,2)</f>
        <v>1622.6</v>
      </c>
      <c r="F3123" s="1223">
        <f>ROUND($F$3107*80%,2)</f>
        <v>1854.4</v>
      </c>
      <c r="G3123" s="1199"/>
      <c r="H3123" s="1229"/>
      <c r="I3123" s="1230"/>
      <c r="J3123" s="1846"/>
      <c r="K3123" s="1846"/>
      <c r="L3123" s="1846"/>
    </row>
    <row r="3124" spans="1:64">
      <c r="A3124" s="1197"/>
      <c r="B3124" s="1197"/>
      <c r="C3124" s="1807" t="str">
        <f>Input!$C$47</f>
        <v>Add for MA @ 40%</v>
      </c>
      <c r="D3124" s="1223">
        <f>D3123*Input!$D$47</f>
        <v>556.32000000000005</v>
      </c>
      <c r="E3124" s="1223">
        <f>E3123*Input!$D$47</f>
        <v>649.04</v>
      </c>
      <c r="F3124" s="1223">
        <f>F3123*Input!$D$47</f>
        <v>741.7600000000001</v>
      </c>
      <c r="G3124" s="1199"/>
      <c r="H3124" s="1229"/>
      <c r="I3124" s="1230"/>
      <c r="J3124" s="1846"/>
      <c r="K3124" s="1846"/>
      <c r="L3124" s="1846"/>
    </row>
    <row r="3125" spans="1:64">
      <c r="A3125" s="1197"/>
      <c r="B3125" s="1197"/>
      <c r="C3125" s="1208"/>
      <c r="D3125" s="1223">
        <f>SUM(D3122:D3124)</f>
        <v>6286.8229055000002</v>
      </c>
      <c r="E3125" s="1223">
        <f>SUM(E3122:E3124)</f>
        <v>6611.3429055000006</v>
      </c>
      <c r="F3125" s="1223">
        <f>SUM(F3122:F3124)</f>
        <v>6935.8629055000001</v>
      </c>
      <c r="G3125" s="1199"/>
      <c r="H3125" s="1229"/>
      <c r="I3125" s="1230"/>
      <c r="J3125" s="1846"/>
      <c r="K3125" s="1846"/>
      <c r="L3125" s="1846"/>
    </row>
    <row r="3126" spans="1:64">
      <c r="A3126" s="1197"/>
      <c r="B3126" s="1197"/>
      <c r="C3126" s="1807" t="str">
        <f>Input!$C$48</f>
        <v>Overheads &amp; Contractors Profit @ 13.615%</v>
      </c>
      <c r="D3126" s="1223">
        <f>ROUND(D3125*Input!$D$48,2)</f>
        <v>855.95</v>
      </c>
      <c r="E3126" s="1223">
        <f>ROUND(E3125*Input!$D$48,2)</f>
        <v>900.13</v>
      </c>
      <c r="F3126" s="1223">
        <f>ROUND(F3125*Input!$D$48,2)</f>
        <v>944.32</v>
      </c>
      <c r="G3126" s="1199"/>
      <c r="H3126" s="1229"/>
      <c r="I3126" s="1230"/>
      <c r="J3126" s="1846"/>
      <c r="K3126" s="1846"/>
      <c r="L3126" s="1846"/>
    </row>
    <row r="3127" spans="1:64">
      <c r="A3127" s="1197"/>
      <c r="B3127" s="1197"/>
      <c r="C3127" s="1795" t="s">
        <v>1302</v>
      </c>
      <c r="D3127" s="1223">
        <f>SUM(D3125:D3126)</f>
        <v>7142.7729055</v>
      </c>
      <c r="E3127" s="1223">
        <f>SUM(E3125:E3126)</f>
        <v>7511.4729055000007</v>
      </c>
      <c r="F3127" s="1223">
        <f>SUM(F3125:F3126)</f>
        <v>7880.1829054999998</v>
      </c>
      <c r="G3127" s="1199"/>
      <c r="H3127" s="1229"/>
      <c r="I3127" s="1230"/>
      <c r="J3127" s="1846"/>
      <c r="K3127" s="1846"/>
      <c r="L3127" s="1846"/>
    </row>
    <row r="3128" spans="1:64">
      <c r="A3128" s="1197"/>
      <c r="B3128" s="1197"/>
      <c r="C3128" s="1795" t="s">
        <v>1117</v>
      </c>
      <c r="D3128" s="1218">
        <f>D3127/10</f>
        <v>714.27729054999998</v>
      </c>
      <c r="E3128" s="1218">
        <f>E3127/10</f>
        <v>751.14729055000009</v>
      </c>
      <c r="F3128" s="1218">
        <f>F3127/10</f>
        <v>788.01829054999996</v>
      </c>
      <c r="G3128" s="1199"/>
      <c r="H3128" s="1229"/>
      <c r="I3128" s="1230"/>
      <c r="J3128" s="1846"/>
      <c r="K3128" s="1846"/>
      <c r="L3128" s="1846"/>
    </row>
    <row r="3129" spans="1:64">
      <c r="A3129" s="1197"/>
      <c r="B3129" s="1197"/>
      <c r="C3129" s="1231" t="s">
        <v>1034</v>
      </c>
      <c r="D3129" s="1225">
        <f>ROUND(D3128,0)</f>
        <v>714</v>
      </c>
      <c r="E3129" s="1225">
        <f>ROUND(E3128,0)</f>
        <v>751</v>
      </c>
      <c r="F3129" s="1225">
        <f>ROUND(F3128,0)</f>
        <v>788</v>
      </c>
      <c r="G3129" s="1199"/>
      <c r="H3129" s="1229"/>
      <c r="I3129" s="1230"/>
      <c r="J3129" s="1846"/>
      <c r="K3129" s="1846"/>
      <c r="L3129" s="1846"/>
    </row>
    <row r="3130" spans="1:64">
      <c r="A3130" s="1197"/>
      <c r="B3130" s="1197"/>
      <c r="C3130" s="1226"/>
      <c r="D3130" s="1227"/>
      <c r="E3130" s="1228"/>
      <c r="F3130" s="1223"/>
      <c r="G3130" s="1199"/>
      <c r="H3130" s="1229"/>
      <c r="I3130" s="1230"/>
      <c r="J3130" s="1846"/>
      <c r="K3130" s="1846"/>
      <c r="L3130" s="1846"/>
    </row>
    <row r="3131" spans="1:64" ht="102.2" customHeight="1">
      <c r="A3131" s="1197">
        <f>A3096+1</f>
        <v>38</v>
      </c>
      <c r="B3131" s="1197"/>
      <c r="C3131" s="2006" t="s">
        <v>3435</v>
      </c>
      <c r="D3131" s="2006"/>
      <c r="E3131" s="2006"/>
      <c r="F3131" s="2006"/>
      <c r="G3131" s="2006"/>
      <c r="H3131" s="2006"/>
      <c r="I3131" s="1814"/>
      <c r="J3131" s="1846"/>
      <c r="K3131" s="1846"/>
      <c r="L3131" s="1846"/>
    </row>
    <row r="3132" spans="1:64">
      <c r="A3132" s="1197"/>
      <c r="B3132" s="1197"/>
      <c r="C3132" s="1198" t="s">
        <v>1451</v>
      </c>
      <c r="D3132" s="1807"/>
      <c r="E3132" s="1807"/>
      <c r="F3132" s="1794"/>
      <c r="G3132" s="1807"/>
      <c r="H3132" s="1807"/>
      <c r="I3132" s="1209"/>
      <c r="J3132" s="1846"/>
      <c r="K3132" s="1846"/>
      <c r="L3132" s="1846"/>
    </row>
    <row r="3133" spans="1:64">
      <c r="A3133" s="1197"/>
      <c r="B3133" s="1197"/>
      <c r="C3133" s="1795" t="s">
        <v>1296</v>
      </c>
      <c r="D3133" s="1807"/>
      <c r="E3133" s="1807"/>
      <c r="F3133" s="1794"/>
      <c r="G3133" s="1807"/>
      <c r="H3133" s="1807"/>
      <c r="I3133" s="1209"/>
      <c r="J3133" s="1846"/>
      <c r="K3133" s="1846"/>
      <c r="L3133" s="1846"/>
    </row>
    <row r="3134" spans="1:64">
      <c r="A3134" s="1197"/>
      <c r="B3134" s="1197"/>
      <c r="C3134" s="1795" t="s">
        <v>1139</v>
      </c>
      <c r="D3134" s="1807"/>
      <c r="E3134" s="1807"/>
      <c r="F3134" s="1794"/>
      <c r="G3134" s="1807"/>
      <c r="H3134" s="1807"/>
      <c r="I3134" s="1209"/>
      <c r="J3134" s="1846"/>
      <c r="K3134" s="1846"/>
      <c r="L3134" s="1846"/>
    </row>
    <row r="3135" spans="1:64">
      <c r="A3135" s="1206"/>
      <c r="B3135" s="1206"/>
      <c r="C3135" s="1807" t="s">
        <v>1452</v>
      </c>
      <c r="D3135" s="1287">
        <v>10.5</v>
      </c>
      <c r="E3135" s="1288" t="s">
        <v>94</v>
      </c>
      <c r="F3135" s="1211">
        <f>'Civil-SOR'!$G$23</f>
        <v>288</v>
      </c>
      <c r="G3135" s="1289">
        <v>1</v>
      </c>
      <c r="H3135" s="1290" t="str">
        <f t="shared" ref="H3135:H3139" si="731">IF(E3135="","",IF(E3135="No.","Each",IF(E3135="Nos.","Each",E3135)))</f>
        <v>sqm</v>
      </c>
      <c r="I3135" s="1211">
        <f t="shared" ref="I3135:I3139" si="732">IF(G3135="",D3135*F3135,(D3135*F3135/G3135))</f>
        <v>3024</v>
      </c>
      <c r="J3135" s="1022"/>
      <c r="K3135" s="1022"/>
      <c r="L3135" s="1022">
        <v>3024</v>
      </c>
      <c r="M3135" s="1291">
        <f t="shared" ref="M3135:M3146" si="733">I3135-L3135</f>
        <v>0</v>
      </c>
      <c r="N3135" s="1066"/>
      <c r="O3135" s="1066"/>
      <c r="P3135" s="1066"/>
      <c r="Q3135" s="1066"/>
      <c r="R3135" s="1066"/>
      <c r="S3135" s="1066"/>
      <c r="T3135" s="1066"/>
      <c r="U3135" s="1066"/>
      <c r="V3135" s="1066"/>
      <c r="W3135" s="1066"/>
      <c r="X3135" s="1066"/>
      <c r="Y3135" s="1066"/>
      <c r="Z3135" s="1066"/>
      <c r="AA3135" s="1066"/>
      <c r="AB3135" s="1066"/>
      <c r="AC3135" s="1066"/>
      <c r="AD3135" s="1066"/>
      <c r="AE3135" s="1066"/>
      <c r="AF3135" s="1066"/>
      <c r="AG3135" s="1066"/>
      <c r="AH3135" s="1066"/>
      <c r="AI3135" s="1066"/>
      <c r="AJ3135" s="1066"/>
      <c r="AK3135" s="1066"/>
      <c r="AL3135" s="1066"/>
      <c r="AM3135" s="1066"/>
      <c r="AN3135" s="1066"/>
      <c r="AO3135" s="1066"/>
      <c r="AP3135" s="1066"/>
      <c r="AQ3135" s="1066"/>
      <c r="AR3135" s="1066"/>
      <c r="AS3135" s="1066"/>
      <c r="AT3135" s="1066"/>
      <c r="AU3135" s="1066"/>
      <c r="AV3135" s="1066"/>
      <c r="AW3135" s="1066"/>
      <c r="AX3135" s="1066"/>
      <c r="AY3135" s="1066"/>
      <c r="AZ3135" s="1066"/>
      <c r="BA3135" s="1066"/>
      <c r="BB3135" s="1066"/>
      <c r="BC3135" s="1066"/>
      <c r="BD3135" s="1066"/>
      <c r="BE3135" s="1066"/>
      <c r="BF3135" s="1066"/>
      <c r="BG3135" s="1066"/>
      <c r="BH3135" s="1066"/>
      <c r="BI3135" s="1066"/>
      <c r="BJ3135" s="1066"/>
      <c r="BK3135" s="1066"/>
      <c r="BL3135" s="1066"/>
    </row>
    <row r="3136" spans="1:64" ht="25.5">
      <c r="A3136" s="1206"/>
      <c r="B3136" s="1206"/>
      <c r="C3136" s="1807" t="s">
        <v>1453</v>
      </c>
      <c r="D3136" s="1287">
        <v>28.8</v>
      </c>
      <c r="E3136" s="1288" t="s">
        <v>1110</v>
      </c>
      <c r="F3136" s="1211">
        <f>LEAD!$N$6</f>
        <v>5200</v>
      </c>
      <c r="G3136" s="1289">
        <v>1000</v>
      </c>
      <c r="H3136" s="1290" t="str">
        <f t="shared" si="731"/>
        <v>Kgs</v>
      </c>
      <c r="I3136" s="1211">
        <f t="shared" si="732"/>
        <v>149.76</v>
      </c>
      <c r="J3136" s="1022"/>
      <c r="K3136" s="1022"/>
      <c r="L3136" s="1022">
        <v>164.16</v>
      </c>
      <c r="M3136" s="1291">
        <f t="shared" si="733"/>
        <v>-14.400000000000006</v>
      </c>
      <c r="N3136" s="1066"/>
      <c r="O3136" s="1066"/>
      <c r="P3136" s="1066"/>
      <c r="Q3136" s="1066"/>
      <c r="R3136" s="1066"/>
      <c r="S3136" s="1066"/>
      <c r="T3136" s="1066"/>
      <c r="U3136" s="1066"/>
      <c r="V3136" s="1066"/>
      <c r="W3136" s="1066"/>
      <c r="X3136" s="1066"/>
      <c r="Y3136" s="1066"/>
      <c r="Z3136" s="1066"/>
      <c r="AA3136" s="1066"/>
      <c r="AB3136" s="1066"/>
      <c r="AC3136" s="1066"/>
      <c r="AD3136" s="1066"/>
      <c r="AE3136" s="1066"/>
      <c r="AF3136" s="1066"/>
      <c r="AG3136" s="1066"/>
      <c r="AH3136" s="1066"/>
      <c r="AI3136" s="1066"/>
      <c r="AJ3136" s="1066"/>
      <c r="AK3136" s="1066"/>
      <c r="AL3136" s="1066"/>
      <c r="AM3136" s="1066"/>
      <c r="AN3136" s="1066"/>
      <c r="AO3136" s="1066"/>
      <c r="AP3136" s="1066"/>
      <c r="AQ3136" s="1066"/>
      <c r="AR3136" s="1066"/>
      <c r="AS3136" s="1066"/>
      <c r="AT3136" s="1066"/>
      <c r="AU3136" s="1066"/>
      <c r="AV3136" s="1066"/>
      <c r="AW3136" s="1066"/>
      <c r="AX3136" s="1066"/>
      <c r="AY3136" s="1066"/>
      <c r="AZ3136" s="1066"/>
      <c r="BA3136" s="1066"/>
      <c r="BB3136" s="1066"/>
      <c r="BC3136" s="1066"/>
      <c r="BD3136" s="1066"/>
      <c r="BE3136" s="1066"/>
      <c r="BF3136" s="1066"/>
      <c r="BG3136" s="1066"/>
      <c r="BH3136" s="1066"/>
      <c r="BI3136" s="1066"/>
      <c r="BJ3136" s="1066"/>
      <c r="BK3136" s="1066"/>
      <c r="BL3136" s="1066"/>
    </row>
    <row r="3137" spans="1:13">
      <c r="A3137" s="1197"/>
      <c r="B3137" s="1197"/>
      <c r="C3137" s="1202" t="s">
        <v>1398</v>
      </c>
      <c r="D3137" s="1227">
        <v>33</v>
      </c>
      <c r="E3137" s="1268" t="s">
        <v>1110</v>
      </c>
      <c r="F3137" s="1205">
        <f>LEAD!$N$6</f>
        <v>5200</v>
      </c>
      <c r="G3137" s="1269">
        <v>1000</v>
      </c>
      <c r="H3137" s="1270" t="str">
        <f t="shared" si="731"/>
        <v>Kgs</v>
      </c>
      <c r="I3137" s="1205">
        <f t="shared" si="732"/>
        <v>171.6</v>
      </c>
      <c r="J3137" s="1846"/>
      <c r="K3137" s="1846"/>
      <c r="L3137" s="1846">
        <v>188.1</v>
      </c>
      <c r="M3137" s="1291">
        <f t="shared" si="733"/>
        <v>-16.5</v>
      </c>
    </row>
    <row r="3138" spans="1:13">
      <c r="A3138" s="1197"/>
      <c r="B3138" s="1197"/>
      <c r="C3138" s="1202" t="s">
        <v>1454</v>
      </c>
      <c r="D3138" s="1227">
        <v>6</v>
      </c>
      <c r="E3138" s="1268" t="s">
        <v>1110</v>
      </c>
      <c r="F3138" s="1205">
        <f>LEAD!$N$6</f>
        <v>5200</v>
      </c>
      <c r="G3138" s="1269">
        <v>1000</v>
      </c>
      <c r="H3138" s="1270" t="str">
        <f t="shared" si="731"/>
        <v>Kgs</v>
      </c>
      <c r="I3138" s="1205">
        <f t="shared" si="732"/>
        <v>31.2</v>
      </c>
      <c r="J3138" s="1846"/>
      <c r="K3138" s="1846"/>
      <c r="L3138" s="1846">
        <v>34.200000000000003</v>
      </c>
      <c r="M3138" s="1291">
        <f t="shared" si="733"/>
        <v>-3.0000000000000036</v>
      </c>
    </row>
    <row r="3139" spans="1:13">
      <c r="A3139" s="1197"/>
      <c r="B3139" s="1197"/>
      <c r="C3139" s="1202" t="s">
        <v>1455</v>
      </c>
      <c r="D3139" s="1228">
        <v>0.12</v>
      </c>
      <c r="E3139" s="1268" t="s">
        <v>484</v>
      </c>
      <c r="F3139" s="1223">
        <f>LEAD!$N$13</f>
        <v>2453.91</v>
      </c>
      <c r="G3139" s="1272">
        <v>1</v>
      </c>
      <c r="H3139" s="1273" t="str">
        <f t="shared" si="731"/>
        <v>Cum</v>
      </c>
      <c r="I3139" s="1205">
        <f t="shared" si="732"/>
        <v>294.46919999999994</v>
      </c>
      <c r="J3139" s="1846"/>
      <c r="K3139" s="1846"/>
      <c r="L3139" s="1846">
        <v>174.4128</v>
      </c>
      <c r="M3139" s="1291">
        <f t="shared" si="733"/>
        <v>120.05639999999994</v>
      </c>
    </row>
    <row r="3140" spans="1:13">
      <c r="A3140" s="1197"/>
      <c r="B3140" s="1197"/>
      <c r="C3140" s="1814" t="s">
        <v>1298</v>
      </c>
      <c r="D3140" s="1199"/>
      <c r="E3140" s="1199"/>
      <c r="F3140" s="1200"/>
      <c r="G3140" s="1199"/>
      <c r="H3140" s="1199"/>
      <c r="I3140" s="1201"/>
      <c r="J3140" s="1846"/>
      <c r="K3140" s="1846"/>
      <c r="L3140" s="1846"/>
      <c r="M3140" s="1291">
        <f t="shared" si="733"/>
        <v>0</v>
      </c>
    </row>
    <row r="3141" spans="1:13">
      <c r="A3141" s="1197"/>
      <c r="B3141" s="1197"/>
      <c r="C3141" s="1202" t="s">
        <v>1325</v>
      </c>
      <c r="D3141" s="1228">
        <v>0.96</v>
      </c>
      <c r="E3141" s="1276" t="s">
        <v>36</v>
      </c>
      <c r="F3141" s="1223">
        <f>'Civil-SOR'!$G$302</f>
        <v>550</v>
      </c>
      <c r="G3141" s="1272">
        <v>1</v>
      </c>
      <c r="H3141" s="1273" t="str">
        <f t="shared" ref="H3141:H3143" si="734">IF(E3141="","",IF(E3141="No.","Each",IF(E3141="Nos.","Each",E3141)))</f>
        <v>Each</v>
      </c>
      <c r="I3141" s="1205">
        <f t="shared" ref="I3141:I3145" si="735">IF(G3141="",D3141*F3141,(D3141*F3141/G3141))</f>
        <v>528</v>
      </c>
      <c r="J3141" s="1846"/>
      <c r="K3141" s="1846"/>
      <c r="L3141" s="1846">
        <v>432</v>
      </c>
      <c r="M3141" s="1291">
        <f t="shared" si="733"/>
        <v>96</v>
      </c>
    </row>
    <row r="3142" spans="1:13">
      <c r="A3142" s="1197"/>
      <c r="B3142" s="1197"/>
      <c r="C3142" s="1202" t="s">
        <v>1326</v>
      </c>
      <c r="D3142" s="1228">
        <v>2.2400000000000002</v>
      </c>
      <c r="E3142" s="1271" t="s">
        <v>36</v>
      </c>
      <c r="F3142" s="1223">
        <f>'Civil-SOR'!$G$307</f>
        <v>520</v>
      </c>
      <c r="G3142" s="1272">
        <v>1</v>
      </c>
      <c r="H3142" s="1273" t="str">
        <f t="shared" si="734"/>
        <v>Each</v>
      </c>
      <c r="I3142" s="1205">
        <f t="shared" si="735"/>
        <v>1164.8000000000002</v>
      </c>
      <c r="J3142" s="1846"/>
      <c r="K3142" s="1846"/>
      <c r="L3142" s="1846">
        <v>952</v>
      </c>
      <c r="M3142" s="1291">
        <f t="shared" si="733"/>
        <v>212.80000000000018</v>
      </c>
    </row>
    <row r="3143" spans="1:13">
      <c r="A3143" s="1197"/>
      <c r="B3143" s="1197"/>
      <c r="C3143" s="1202" t="s">
        <v>1300</v>
      </c>
      <c r="D3143" s="1228">
        <v>3.3</v>
      </c>
      <c r="E3143" s="1271" t="s">
        <v>36</v>
      </c>
      <c r="F3143" s="1223">
        <f>'Civil-SOR'!$G$307</f>
        <v>520</v>
      </c>
      <c r="G3143" s="1272">
        <v>1</v>
      </c>
      <c r="H3143" s="1273" t="str">
        <f t="shared" si="734"/>
        <v>Each</v>
      </c>
      <c r="I3143" s="1205">
        <f t="shared" si="735"/>
        <v>1716</v>
      </c>
      <c r="J3143" s="1846"/>
      <c r="K3143" s="1846"/>
      <c r="L3143" s="1846">
        <v>1617</v>
      </c>
      <c r="M3143" s="1291">
        <f t="shared" si="733"/>
        <v>99</v>
      </c>
    </row>
    <row r="3144" spans="1:13">
      <c r="A3144" s="1197"/>
      <c r="B3144" s="1197"/>
      <c r="C3144" s="1199" t="str">
        <f>Input!$C$47</f>
        <v>Add for MA @ 40%</v>
      </c>
      <c r="D3144" s="1277">
        <f>Input!$D$47</f>
        <v>0.4</v>
      </c>
      <c r="E3144" s="1276"/>
      <c r="F3144" s="1223">
        <f>SUM(I3141:I3143)</f>
        <v>3408.8</v>
      </c>
      <c r="G3144" s="1278"/>
      <c r="H3144" s="1279"/>
      <c r="I3144" s="1205">
        <f t="shared" si="735"/>
        <v>1363.5200000000002</v>
      </c>
      <c r="J3144" s="1846"/>
      <c r="K3144" s="1846"/>
      <c r="L3144" s="1846">
        <v>600.20000000000005</v>
      </c>
      <c r="M3144" s="1291">
        <f t="shared" si="733"/>
        <v>763.32000000000016</v>
      </c>
    </row>
    <row r="3145" spans="1:13">
      <c r="A3145" s="1197"/>
      <c r="B3145" s="1197"/>
      <c r="C3145" s="1202" t="s">
        <v>1301</v>
      </c>
      <c r="D3145" s="1228">
        <v>0.01</v>
      </c>
      <c r="E3145" s="1271"/>
      <c r="F3145" s="1223">
        <f>SUM(I3135:I3144)</f>
        <v>8443.3492000000006</v>
      </c>
      <c r="G3145" s="1272"/>
      <c r="H3145" s="1273"/>
      <c r="I3145" s="1205">
        <f t="shared" si="735"/>
        <v>84.433492000000001</v>
      </c>
      <c r="J3145" s="1846"/>
      <c r="K3145" s="1846"/>
      <c r="L3145" s="1846">
        <v>71.860727999999995</v>
      </c>
      <c r="M3145" s="1291">
        <f t="shared" si="733"/>
        <v>12.572764000000006</v>
      </c>
    </row>
    <row r="3146" spans="1:13" s="997" customFormat="1">
      <c r="A3146" s="1802"/>
      <c r="B3146" s="1802"/>
      <c r="C3146" s="1796" t="s">
        <v>1302</v>
      </c>
      <c r="D3146" s="1281"/>
      <c r="E3146" s="1282"/>
      <c r="F3146" s="1283"/>
      <c r="G3146" s="1284"/>
      <c r="H3146" s="1282"/>
      <c r="I3146" s="1285">
        <f>SUM(I3135:I3145)</f>
        <v>8527.7826920000007</v>
      </c>
      <c r="J3146" s="996"/>
      <c r="K3146" s="996"/>
      <c r="L3146" s="996">
        <v>7257.9335279999996</v>
      </c>
      <c r="M3146" s="1291">
        <f t="shared" si="733"/>
        <v>1269.8491640000011</v>
      </c>
    </row>
    <row r="3147" spans="1:13">
      <c r="A3147" s="1197"/>
      <c r="B3147" s="1197"/>
      <c r="C3147" s="1286"/>
      <c r="D3147" s="1228"/>
      <c r="E3147" s="1271"/>
      <c r="F3147" s="1223"/>
      <c r="G3147" s="1272"/>
      <c r="H3147" s="1271"/>
      <c r="I3147" s="1201"/>
      <c r="J3147" s="1846"/>
      <c r="K3147" s="1846"/>
      <c r="L3147" s="1846"/>
    </row>
    <row r="3148" spans="1:13">
      <c r="A3148" s="1197"/>
      <c r="B3148" s="1197"/>
      <c r="C3148" s="1795" t="s">
        <v>1217</v>
      </c>
      <c r="D3148" s="1220" t="s">
        <v>1223</v>
      </c>
      <c r="E3148" s="1221" t="s">
        <v>1207</v>
      </c>
      <c r="F3148" s="1222" t="s">
        <v>1208</v>
      </c>
      <c r="G3148" s="1220" t="s">
        <v>1291</v>
      </c>
      <c r="H3148" s="1220" t="s">
        <v>1292</v>
      </c>
      <c r="I3148" s="1220" t="s">
        <v>1291</v>
      </c>
      <c r="J3148" s="1846"/>
      <c r="K3148" s="1846"/>
      <c r="L3148" s="1846"/>
    </row>
    <row r="3149" spans="1:13">
      <c r="A3149" s="1197"/>
      <c r="B3149" s="1197"/>
      <c r="C3149" s="1807" t="s">
        <v>1317</v>
      </c>
      <c r="D3149" s="1223">
        <f t="shared" ref="D3149:I3149" si="736">$I$3146</f>
        <v>8527.7826920000007</v>
      </c>
      <c r="E3149" s="1223">
        <f t="shared" si="736"/>
        <v>8527.7826920000007</v>
      </c>
      <c r="F3149" s="1223">
        <f t="shared" si="736"/>
        <v>8527.7826920000007</v>
      </c>
      <c r="G3149" s="1223">
        <f t="shared" si="736"/>
        <v>8527.7826920000007</v>
      </c>
      <c r="H3149" s="1223">
        <f t="shared" si="736"/>
        <v>8527.7826920000007</v>
      </c>
      <c r="I3149" s="1223">
        <f t="shared" si="736"/>
        <v>8527.7826920000007</v>
      </c>
      <c r="J3149" s="1846"/>
      <c r="K3149" s="1846"/>
      <c r="L3149" s="1846"/>
    </row>
    <row r="3150" spans="1:13">
      <c r="A3150" s="1197"/>
      <c r="B3150" s="1197"/>
      <c r="C3150" s="1807" t="s">
        <v>1253</v>
      </c>
      <c r="D3150" s="1223">
        <v>0</v>
      </c>
      <c r="E3150" s="1223">
        <f>ROUND($F$3144*10%,2)</f>
        <v>340.88</v>
      </c>
      <c r="F3150" s="1223">
        <f>ROUND($F$3144*20%,2)</f>
        <v>681.76</v>
      </c>
      <c r="G3150" s="1223">
        <f>ROUND($F$3144*30%,2)</f>
        <v>1022.64</v>
      </c>
      <c r="H3150" s="1223">
        <f>ROUND($F$3144*40%,2)</f>
        <v>1363.52</v>
      </c>
      <c r="I3150" s="1223">
        <f>ROUND($F$3144*50%,2)</f>
        <v>1704.4</v>
      </c>
      <c r="J3150" s="1846"/>
      <c r="K3150" s="1846"/>
      <c r="L3150" s="1846"/>
    </row>
    <row r="3151" spans="1:13">
      <c r="A3151" s="1197"/>
      <c r="B3151" s="1197"/>
      <c r="C3151" s="1807" t="str">
        <f>Input!$C$47</f>
        <v>Add for MA @ 40%</v>
      </c>
      <c r="D3151" s="1223">
        <f>D3150*Input!$D$47</f>
        <v>0</v>
      </c>
      <c r="E3151" s="1223">
        <f>E3150*Input!$D$47</f>
        <v>136.352</v>
      </c>
      <c r="F3151" s="1223">
        <f>F3150*Input!$D$47</f>
        <v>272.70400000000001</v>
      </c>
      <c r="G3151" s="1223">
        <f>G3150*Input!$D$47</f>
        <v>409.05600000000004</v>
      </c>
      <c r="H3151" s="1223">
        <f>H3150*Input!$D$47</f>
        <v>545.40800000000002</v>
      </c>
      <c r="I3151" s="1223">
        <f>I3150*Input!$D$47</f>
        <v>681.7600000000001</v>
      </c>
      <c r="J3151" s="1846"/>
      <c r="K3151" s="1846"/>
      <c r="L3151" s="1846"/>
    </row>
    <row r="3152" spans="1:13">
      <c r="A3152" s="1197"/>
      <c r="B3152" s="1197"/>
      <c r="C3152" s="1199"/>
      <c r="D3152" s="1223">
        <f t="shared" ref="D3152:I3152" si="737">SUM(D3149:D3151)</f>
        <v>8527.7826920000007</v>
      </c>
      <c r="E3152" s="1223">
        <f t="shared" si="737"/>
        <v>9005.0146920000007</v>
      </c>
      <c r="F3152" s="1223">
        <f t="shared" si="737"/>
        <v>9482.2466920000006</v>
      </c>
      <c r="G3152" s="1223">
        <f t="shared" si="737"/>
        <v>9959.4786920000006</v>
      </c>
      <c r="H3152" s="1223">
        <f t="shared" si="737"/>
        <v>10436.710692000001</v>
      </c>
      <c r="I3152" s="1223">
        <f t="shared" si="737"/>
        <v>10913.942692000001</v>
      </c>
      <c r="J3152" s="1846"/>
      <c r="K3152" s="1846"/>
      <c r="L3152" s="1846"/>
    </row>
    <row r="3153" spans="1:12">
      <c r="A3153" s="1197"/>
      <c r="B3153" s="1197"/>
      <c r="C3153" s="1807" t="str">
        <f>Input!$C$48</f>
        <v>Overheads &amp; Contractors Profit @ 13.615%</v>
      </c>
      <c r="D3153" s="1223">
        <f>ROUND(D3152*Input!$D$48,2)</f>
        <v>1161.06</v>
      </c>
      <c r="E3153" s="1223">
        <f>ROUND(E3152*Input!$D$48,2)</f>
        <v>1226.03</v>
      </c>
      <c r="F3153" s="1223">
        <f>ROUND(F3152*Input!$D$48,2)</f>
        <v>1291.01</v>
      </c>
      <c r="G3153" s="1223">
        <f>ROUND(G3152*Input!$D$48,2)</f>
        <v>1355.98</v>
      </c>
      <c r="H3153" s="1223">
        <f>ROUND(H3152*Input!$D$48,2)</f>
        <v>1420.96</v>
      </c>
      <c r="I3153" s="1223">
        <f>ROUND(I3152*Input!$D$48,2)</f>
        <v>1485.93</v>
      </c>
      <c r="J3153" s="1846"/>
      <c r="K3153" s="1846"/>
      <c r="L3153" s="1846"/>
    </row>
    <row r="3154" spans="1:12">
      <c r="A3154" s="1197"/>
      <c r="B3154" s="1197"/>
      <c r="C3154" s="1795" t="s">
        <v>1302</v>
      </c>
      <c r="D3154" s="1223">
        <f t="shared" ref="D3154:I3154" si="738">SUM(D3152:D3153)</f>
        <v>9688.8426920000002</v>
      </c>
      <c r="E3154" s="1223">
        <f t="shared" si="738"/>
        <v>10231.044692000001</v>
      </c>
      <c r="F3154" s="1223">
        <f t="shared" si="738"/>
        <v>10773.256692000001</v>
      </c>
      <c r="G3154" s="1223">
        <f t="shared" si="738"/>
        <v>11315.458692</v>
      </c>
      <c r="H3154" s="1223">
        <f t="shared" si="738"/>
        <v>11857.670692</v>
      </c>
      <c r="I3154" s="1223">
        <f t="shared" si="738"/>
        <v>12399.872692000001</v>
      </c>
      <c r="J3154" s="1846"/>
      <c r="K3154" s="1846"/>
      <c r="L3154" s="1846"/>
    </row>
    <row r="3155" spans="1:12">
      <c r="A3155" s="1197"/>
      <c r="B3155" s="1197"/>
      <c r="C3155" s="1795" t="s">
        <v>1117</v>
      </c>
      <c r="D3155" s="1220">
        <f t="shared" ref="D3155:I3155" si="739">D3154/10</f>
        <v>968.88426920000006</v>
      </c>
      <c r="E3155" s="1220">
        <f t="shared" si="739"/>
        <v>1023.1044692000002</v>
      </c>
      <c r="F3155" s="1220">
        <f t="shared" si="739"/>
        <v>1077.3256692</v>
      </c>
      <c r="G3155" s="1220">
        <f t="shared" si="739"/>
        <v>1131.5458692</v>
      </c>
      <c r="H3155" s="1220">
        <f t="shared" si="739"/>
        <v>1185.7670691999999</v>
      </c>
      <c r="I3155" s="1220">
        <f t="shared" si="739"/>
        <v>1239.9872692000001</v>
      </c>
      <c r="J3155" s="1846"/>
      <c r="K3155" s="1846"/>
      <c r="L3155" s="1846"/>
    </row>
    <row r="3156" spans="1:12" s="997" customFormat="1">
      <c r="A3156" s="1802"/>
      <c r="B3156" s="1802"/>
      <c r="C3156" s="1224" t="s">
        <v>1034</v>
      </c>
      <c r="D3156" s="1225">
        <f t="shared" ref="D3156:I3156" si="740">ROUND(D3155,0)</f>
        <v>969</v>
      </c>
      <c r="E3156" s="1225">
        <f t="shared" si="740"/>
        <v>1023</v>
      </c>
      <c r="F3156" s="1225">
        <f t="shared" si="740"/>
        <v>1077</v>
      </c>
      <c r="G3156" s="1225">
        <f t="shared" si="740"/>
        <v>1132</v>
      </c>
      <c r="H3156" s="1225">
        <f t="shared" si="740"/>
        <v>1186</v>
      </c>
      <c r="I3156" s="1225">
        <f t="shared" si="740"/>
        <v>1240</v>
      </c>
      <c r="J3156" s="1846"/>
      <c r="K3156" s="1846"/>
      <c r="L3156" s="1846"/>
    </row>
    <row r="3157" spans="1:12">
      <c r="A3157" s="1197"/>
      <c r="B3157" s="1197"/>
      <c r="C3157" s="1226"/>
      <c r="D3157" s="1227"/>
      <c r="E3157" s="1228"/>
      <c r="F3157" s="1223"/>
      <c r="G3157" s="1199"/>
      <c r="H3157" s="1229"/>
      <c r="I3157" s="1230"/>
      <c r="J3157" s="1846"/>
      <c r="K3157" s="1846"/>
      <c r="L3157" s="1846"/>
    </row>
    <row r="3158" spans="1:12">
      <c r="A3158" s="1197"/>
      <c r="B3158" s="1197"/>
      <c r="C3158" s="1795" t="s">
        <v>1217</v>
      </c>
      <c r="D3158" s="1220" t="s">
        <v>1357</v>
      </c>
      <c r="E3158" s="1220" t="s">
        <v>1358</v>
      </c>
      <c r="F3158" s="1220" t="s">
        <v>1359</v>
      </c>
      <c r="G3158" s="1199"/>
      <c r="H3158" s="1229"/>
      <c r="I3158" s="1230"/>
      <c r="J3158" s="1846"/>
      <c r="K3158" s="1846"/>
      <c r="L3158" s="1846"/>
    </row>
    <row r="3159" spans="1:12">
      <c r="A3159" s="1197"/>
      <c r="B3159" s="1197"/>
      <c r="C3159" s="1807" t="s">
        <v>1317</v>
      </c>
      <c r="D3159" s="1223">
        <f>$I$3146</f>
        <v>8527.7826920000007</v>
      </c>
      <c r="E3159" s="1223">
        <f>$I$3146</f>
        <v>8527.7826920000007</v>
      </c>
      <c r="F3159" s="1223">
        <f>$I$3146</f>
        <v>8527.7826920000007</v>
      </c>
      <c r="G3159" s="1199"/>
      <c r="H3159" s="1229"/>
      <c r="I3159" s="1230"/>
      <c r="J3159" s="1846"/>
      <c r="K3159" s="1846"/>
      <c r="L3159" s="1846"/>
    </row>
    <row r="3160" spans="1:12">
      <c r="A3160" s="1197"/>
      <c r="B3160" s="1197"/>
      <c r="C3160" s="1807" t="s">
        <v>1253</v>
      </c>
      <c r="D3160" s="1223">
        <f>ROUND($F$3144*60%,2)</f>
        <v>2045.28</v>
      </c>
      <c r="E3160" s="1223">
        <f>ROUND($F$3144*70%,2)</f>
        <v>2386.16</v>
      </c>
      <c r="F3160" s="1223">
        <f>ROUND($F$3144*80%,2)</f>
        <v>2727.04</v>
      </c>
      <c r="G3160" s="1199"/>
      <c r="H3160" s="1229"/>
      <c r="I3160" s="1230"/>
      <c r="J3160" s="1846"/>
      <c r="K3160" s="1846"/>
      <c r="L3160" s="1846"/>
    </row>
    <row r="3161" spans="1:12">
      <c r="A3161" s="1197"/>
      <c r="B3161" s="1197"/>
      <c r="C3161" s="1807" t="str">
        <f>Input!$C$47</f>
        <v>Add for MA @ 40%</v>
      </c>
      <c r="D3161" s="1223">
        <f>D3160*Input!$D$47</f>
        <v>818.11200000000008</v>
      </c>
      <c r="E3161" s="1223">
        <f>E3160*Input!$D$47</f>
        <v>954.46399999999994</v>
      </c>
      <c r="F3161" s="1223">
        <f>F3160*Input!$D$47</f>
        <v>1090.816</v>
      </c>
      <c r="G3161" s="1199"/>
      <c r="H3161" s="1229"/>
      <c r="I3161" s="1230"/>
      <c r="J3161" s="1846"/>
      <c r="K3161" s="1846"/>
      <c r="L3161" s="1846"/>
    </row>
    <row r="3162" spans="1:12">
      <c r="A3162" s="1197"/>
      <c r="B3162" s="1197"/>
      <c r="C3162" s="1208"/>
      <c r="D3162" s="1223">
        <f>SUM(D3159:D3161)</f>
        <v>11391.174692000001</v>
      </c>
      <c r="E3162" s="1223">
        <f>SUM(E3159:E3161)</f>
        <v>11868.406692</v>
      </c>
      <c r="F3162" s="1223">
        <f>SUM(F3159:F3161)</f>
        <v>12345.638692000002</v>
      </c>
      <c r="G3162" s="1199"/>
      <c r="H3162" s="1229"/>
      <c r="I3162" s="1230"/>
      <c r="J3162" s="1846"/>
      <c r="K3162" s="1846"/>
      <c r="L3162" s="1846"/>
    </row>
    <row r="3163" spans="1:12">
      <c r="A3163" s="1197"/>
      <c r="B3163" s="1197"/>
      <c r="C3163" s="1807" t="str">
        <f>Input!$C$48</f>
        <v>Overheads &amp; Contractors Profit @ 13.615%</v>
      </c>
      <c r="D3163" s="1223">
        <f>ROUND(D3162*Input!$D$48,2)</f>
        <v>1550.91</v>
      </c>
      <c r="E3163" s="1223">
        <f>ROUND(E3162*Input!$D$48,2)</f>
        <v>1615.88</v>
      </c>
      <c r="F3163" s="1223">
        <f>ROUND(F3162*Input!$D$48,2)</f>
        <v>1680.86</v>
      </c>
      <c r="G3163" s="1199"/>
      <c r="H3163" s="1229"/>
      <c r="I3163" s="1230"/>
      <c r="J3163" s="1846"/>
      <c r="K3163" s="1846"/>
      <c r="L3163" s="1846"/>
    </row>
    <row r="3164" spans="1:12">
      <c r="A3164" s="1197"/>
      <c r="B3164" s="1197"/>
      <c r="C3164" s="1795" t="s">
        <v>1302</v>
      </c>
      <c r="D3164" s="1223">
        <f>SUM(D3162:D3163)</f>
        <v>12942.084692</v>
      </c>
      <c r="E3164" s="1223">
        <f>SUM(E3162:E3163)</f>
        <v>13484.286692000001</v>
      </c>
      <c r="F3164" s="1223">
        <f>SUM(F3162:F3163)</f>
        <v>14026.498692000003</v>
      </c>
      <c r="G3164" s="1199"/>
      <c r="H3164" s="1229"/>
      <c r="I3164" s="1230"/>
      <c r="J3164" s="1846"/>
      <c r="K3164" s="1846"/>
      <c r="L3164" s="1846"/>
    </row>
    <row r="3165" spans="1:12">
      <c r="A3165" s="1197"/>
      <c r="B3165" s="1197"/>
      <c r="C3165" s="1795" t="s">
        <v>1117</v>
      </c>
      <c r="D3165" s="1220">
        <f>D3164/10</f>
        <v>1294.2084692000001</v>
      </c>
      <c r="E3165" s="1220">
        <f>E3164/10</f>
        <v>1348.4286692000001</v>
      </c>
      <c r="F3165" s="1220">
        <f>F3164/10</f>
        <v>1402.6498692000002</v>
      </c>
      <c r="G3165" s="1199"/>
      <c r="H3165" s="1229"/>
      <c r="I3165" s="1230"/>
      <c r="J3165" s="1846"/>
      <c r="K3165" s="1846"/>
      <c r="L3165" s="1846"/>
    </row>
    <row r="3166" spans="1:12">
      <c r="A3166" s="1197"/>
      <c r="B3166" s="1197"/>
      <c r="C3166" s="1231" t="s">
        <v>1034</v>
      </c>
      <c r="D3166" s="1225">
        <f>ROUND(D3165,0)</f>
        <v>1294</v>
      </c>
      <c r="E3166" s="1225">
        <f>ROUND(E3165,0)</f>
        <v>1348</v>
      </c>
      <c r="F3166" s="1225">
        <f>ROUND(F3165,0)</f>
        <v>1403</v>
      </c>
      <c r="G3166" s="1199"/>
      <c r="H3166" s="1229"/>
      <c r="I3166" s="1230"/>
      <c r="J3166" s="1846"/>
      <c r="K3166" s="1846"/>
      <c r="L3166" s="1846"/>
    </row>
    <row r="3167" spans="1:12">
      <c r="A3167" s="1197"/>
      <c r="B3167" s="1197"/>
      <c r="C3167" s="1226"/>
      <c r="D3167" s="1227"/>
      <c r="E3167" s="1228"/>
      <c r="F3167" s="1223"/>
      <c r="G3167" s="1199"/>
      <c r="H3167" s="1229"/>
      <c r="I3167" s="1230"/>
      <c r="J3167" s="1846"/>
      <c r="K3167" s="1846"/>
      <c r="L3167" s="1846"/>
    </row>
    <row r="3168" spans="1:12" s="1293" customFormat="1" ht="84.4" customHeight="1">
      <c r="A3168" s="1292">
        <f>A3096+1</f>
        <v>38</v>
      </c>
      <c r="B3168" s="1197"/>
      <c r="C3168" s="2011" t="s">
        <v>3436</v>
      </c>
      <c r="D3168" s="2011"/>
      <c r="E3168" s="2011"/>
      <c r="F3168" s="2011"/>
      <c r="G3168" s="2011"/>
      <c r="H3168" s="2011"/>
      <c r="I3168" s="2011"/>
      <c r="J3168" s="1846"/>
      <c r="K3168" s="1846"/>
      <c r="L3168" s="1846"/>
    </row>
    <row r="3169" spans="1:12" s="1293" customFormat="1">
      <c r="A3169" s="1197"/>
      <c r="B3169" s="1197"/>
      <c r="C3169" s="1294" t="s">
        <v>1451</v>
      </c>
      <c r="D3169" s="1807"/>
      <c r="E3169" s="1807"/>
      <c r="F3169" s="1794"/>
      <c r="G3169" s="1807"/>
      <c r="H3169" s="1807"/>
      <c r="I3169" s="1209"/>
      <c r="J3169" s="1846"/>
      <c r="K3169" s="1846"/>
      <c r="L3169" s="1846"/>
    </row>
    <row r="3170" spans="1:12" s="1293" customFormat="1">
      <c r="A3170" s="1197"/>
      <c r="B3170" s="1197"/>
      <c r="C3170" s="1795" t="s">
        <v>1296</v>
      </c>
      <c r="D3170" s="1807"/>
      <c r="E3170" s="1807"/>
      <c r="F3170" s="1794"/>
      <c r="G3170" s="1807"/>
      <c r="H3170" s="1807"/>
      <c r="I3170" s="1209"/>
      <c r="J3170" s="1846"/>
      <c r="K3170" s="1846"/>
      <c r="L3170" s="1846"/>
    </row>
    <row r="3171" spans="1:12" s="1293" customFormat="1">
      <c r="A3171" s="1197"/>
      <c r="B3171" s="1197"/>
      <c r="C3171" s="1795" t="s">
        <v>1139</v>
      </c>
      <c r="D3171" s="1807"/>
      <c r="E3171" s="1807"/>
      <c r="F3171" s="1794"/>
      <c r="G3171" s="1807"/>
      <c r="H3171" s="1807"/>
      <c r="I3171" s="1209"/>
      <c r="J3171" s="1846"/>
      <c r="K3171" s="1846"/>
      <c r="L3171" s="1846"/>
    </row>
    <row r="3172" spans="1:12" s="1293" customFormat="1" ht="25.5">
      <c r="A3172" s="1206"/>
      <c r="B3172" s="1206"/>
      <c r="C3172" s="1807" t="s">
        <v>1456</v>
      </c>
      <c r="D3172" s="1287">
        <v>10.5</v>
      </c>
      <c r="E3172" s="1288" t="s">
        <v>94</v>
      </c>
      <c r="F3172" s="1295">
        <v>437.3</v>
      </c>
      <c r="G3172" s="1289">
        <v>1</v>
      </c>
      <c r="H3172" s="1290" t="str">
        <f t="shared" ref="H3172:H3176" si="741">IF(E3172="","",IF(E3172="No.","Each",IF(E3172="Nos.","Each",E3172)))</f>
        <v>sqm</v>
      </c>
      <c r="I3172" s="1211">
        <f t="shared" ref="I3172:I3176" si="742">IF(G3172="",D3172*F3172,(D3172*F3172/G3172))</f>
        <v>4591.6500000000005</v>
      </c>
      <c r="J3172" s="1846"/>
      <c r="K3172" s="1846"/>
      <c r="L3172" s="1846"/>
    </row>
    <row r="3173" spans="1:12" s="1293" customFormat="1" ht="25.5">
      <c r="A3173" s="1206"/>
      <c r="B3173" s="1206"/>
      <c r="C3173" s="1807" t="s">
        <v>1453</v>
      </c>
      <c r="D3173" s="1287">
        <v>28.8</v>
      </c>
      <c r="E3173" s="1288" t="s">
        <v>1110</v>
      </c>
      <c r="F3173" s="1211">
        <f>LEAD!$N$6</f>
        <v>5200</v>
      </c>
      <c r="G3173" s="1289">
        <v>1000</v>
      </c>
      <c r="H3173" s="1290" t="str">
        <f t="shared" si="741"/>
        <v>Kgs</v>
      </c>
      <c r="I3173" s="1211">
        <f t="shared" si="742"/>
        <v>149.76</v>
      </c>
      <c r="J3173" s="1846"/>
      <c r="K3173" s="1846"/>
      <c r="L3173" s="1846"/>
    </row>
    <row r="3174" spans="1:12" s="1293" customFormat="1">
      <c r="A3174" s="1197"/>
      <c r="B3174" s="1197"/>
      <c r="C3174" s="1807" t="s">
        <v>1398</v>
      </c>
      <c r="D3174" s="1227">
        <v>33</v>
      </c>
      <c r="E3174" s="1268" t="s">
        <v>1110</v>
      </c>
      <c r="F3174" s="1205">
        <f>LEAD!$N$6</f>
        <v>5200</v>
      </c>
      <c r="G3174" s="1269">
        <v>1000</v>
      </c>
      <c r="H3174" s="1270" t="str">
        <f t="shared" si="741"/>
        <v>Kgs</v>
      </c>
      <c r="I3174" s="1205">
        <f t="shared" si="742"/>
        <v>171.6</v>
      </c>
      <c r="J3174" s="1846"/>
      <c r="K3174" s="1846"/>
      <c r="L3174" s="1846"/>
    </row>
    <row r="3175" spans="1:12" s="1293" customFormat="1">
      <c r="A3175" s="1197"/>
      <c r="B3175" s="1197"/>
      <c r="C3175" s="1807" t="s">
        <v>1454</v>
      </c>
      <c r="D3175" s="1227">
        <v>6</v>
      </c>
      <c r="E3175" s="1268" t="s">
        <v>1110</v>
      </c>
      <c r="F3175" s="1205">
        <f>LEAD!$N$6</f>
        <v>5200</v>
      </c>
      <c r="G3175" s="1269">
        <v>1000</v>
      </c>
      <c r="H3175" s="1270" t="str">
        <f t="shared" si="741"/>
        <v>Kgs</v>
      </c>
      <c r="I3175" s="1205">
        <f t="shared" si="742"/>
        <v>31.2</v>
      </c>
      <c r="J3175" s="1846"/>
      <c r="K3175" s="1846"/>
      <c r="L3175" s="1846"/>
    </row>
    <row r="3176" spans="1:12" s="1293" customFormat="1">
      <c r="A3176" s="1197"/>
      <c r="B3176" s="1197"/>
      <c r="C3176" s="1807" t="s">
        <v>1455</v>
      </c>
      <c r="D3176" s="1228">
        <v>0.12</v>
      </c>
      <c r="E3176" s="1268" t="s">
        <v>484</v>
      </c>
      <c r="F3176" s="1223">
        <f>LEAD!$N$13</f>
        <v>2453.91</v>
      </c>
      <c r="G3176" s="1272">
        <v>1</v>
      </c>
      <c r="H3176" s="1273" t="str">
        <f t="shared" si="741"/>
        <v>Cum</v>
      </c>
      <c r="I3176" s="1205">
        <f t="shared" si="742"/>
        <v>294.46919999999994</v>
      </c>
      <c r="J3176" s="1846"/>
      <c r="K3176" s="1846"/>
      <c r="L3176" s="1846"/>
    </row>
    <row r="3177" spans="1:12" s="1293" customFormat="1">
      <c r="A3177" s="1197"/>
      <c r="B3177" s="1197"/>
      <c r="C3177" s="1795" t="s">
        <v>1298</v>
      </c>
      <c r="D3177" s="1199"/>
      <c r="E3177" s="1199"/>
      <c r="F3177" s="1200"/>
      <c r="G3177" s="1199"/>
      <c r="H3177" s="1199"/>
      <c r="I3177" s="1201"/>
      <c r="J3177" s="1846"/>
      <c r="K3177" s="1846"/>
      <c r="L3177" s="1846"/>
    </row>
    <row r="3178" spans="1:12" s="1293" customFormat="1">
      <c r="A3178" s="1197"/>
      <c r="B3178" s="1197"/>
      <c r="C3178" s="1807" t="s">
        <v>1325</v>
      </c>
      <c r="D3178" s="1228">
        <v>0.96</v>
      </c>
      <c r="E3178" s="1276" t="s">
        <v>36</v>
      </c>
      <c r="F3178" s="1223">
        <f>'Civil-SOR'!$G$302</f>
        <v>550</v>
      </c>
      <c r="G3178" s="1272">
        <v>1</v>
      </c>
      <c r="H3178" s="1273" t="str">
        <f t="shared" ref="H3178:H3180" si="743">IF(E3178="","",IF(E3178="No.","Each",IF(E3178="Nos.","Each",E3178)))</f>
        <v>Each</v>
      </c>
      <c r="I3178" s="1205">
        <f t="shared" ref="I3178:I3182" si="744">IF(G3178="",D3178*F3178,(D3178*F3178/G3178))</f>
        <v>528</v>
      </c>
      <c r="J3178" s="1846"/>
      <c r="K3178" s="1846"/>
      <c r="L3178" s="1846"/>
    </row>
    <row r="3179" spans="1:12" s="1293" customFormat="1">
      <c r="A3179" s="1197"/>
      <c r="B3179" s="1197"/>
      <c r="C3179" s="1807" t="s">
        <v>1326</v>
      </c>
      <c r="D3179" s="1228">
        <v>2.2400000000000002</v>
      </c>
      <c r="E3179" s="1271" t="s">
        <v>36</v>
      </c>
      <c r="F3179" s="1223">
        <f>+'Civil-SOR'!$G$307</f>
        <v>520</v>
      </c>
      <c r="G3179" s="1272">
        <v>1</v>
      </c>
      <c r="H3179" s="1273" t="str">
        <f t="shared" si="743"/>
        <v>Each</v>
      </c>
      <c r="I3179" s="1205">
        <f t="shared" si="744"/>
        <v>1164.8000000000002</v>
      </c>
      <c r="J3179" s="1846"/>
      <c r="K3179" s="1846"/>
      <c r="L3179" s="1846"/>
    </row>
    <row r="3180" spans="1:12" s="1293" customFormat="1">
      <c r="A3180" s="1197"/>
      <c r="B3180" s="1197"/>
      <c r="C3180" s="1807" t="s">
        <v>1300</v>
      </c>
      <c r="D3180" s="1228">
        <v>3.3</v>
      </c>
      <c r="E3180" s="1271" t="s">
        <v>36</v>
      </c>
      <c r="F3180" s="1223">
        <f>'Civil-SOR'!$G$307</f>
        <v>520</v>
      </c>
      <c r="G3180" s="1272">
        <v>1</v>
      </c>
      <c r="H3180" s="1273" t="str">
        <f t="shared" si="743"/>
        <v>Each</v>
      </c>
      <c r="I3180" s="1205">
        <f t="shared" si="744"/>
        <v>1716</v>
      </c>
      <c r="J3180" s="1846"/>
      <c r="K3180" s="1846"/>
      <c r="L3180" s="1846"/>
    </row>
    <row r="3181" spans="1:12" s="1293" customFormat="1">
      <c r="A3181" s="1197"/>
      <c r="B3181" s="1197"/>
      <c r="C3181" s="1208" t="str">
        <f>Input!$C$47</f>
        <v>Add for MA @ 40%</v>
      </c>
      <c r="D3181" s="1277">
        <f>Input!$D$47</f>
        <v>0.4</v>
      </c>
      <c r="E3181" s="1276"/>
      <c r="F3181" s="1223">
        <f>SUM(I3178:I3180)</f>
        <v>3408.8</v>
      </c>
      <c r="G3181" s="1278"/>
      <c r="H3181" s="1279"/>
      <c r="I3181" s="1205">
        <f t="shared" si="744"/>
        <v>1363.5200000000002</v>
      </c>
      <c r="J3181" s="1846"/>
      <c r="K3181" s="1846"/>
      <c r="L3181" s="1846"/>
    </row>
    <row r="3182" spans="1:12" s="1293" customFormat="1">
      <c r="A3182" s="1197"/>
      <c r="B3182" s="1197"/>
      <c r="C3182" s="1807" t="s">
        <v>1301</v>
      </c>
      <c r="D3182" s="1228">
        <v>0.01</v>
      </c>
      <c r="E3182" s="1271"/>
      <c r="F3182" s="1223">
        <f>SUM(I3172:I3181)</f>
        <v>10010.999200000002</v>
      </c>
      <c r="G3182" s="1272"/>
      <c r="H3182" s="1273"/>
      <c r="I3182" s="1205">
        <f t="shared" si="744"/>
        <v>100.10999200000002</v>
      </c>
      <c r="J3182" s="1846"/>
      <c r="K3182" s="1846"/>
      <c r="L3182" s="1846"/>
    </row>
    <row r="3183" spans="1:12" s="1293" customFormat="1">
      <c r="A3183" s="1802"/>
      <c r="B3183" s="1802"/>
      <c r="C3183" s="1795" t="s">
        <v>1302</v>
      </c>
      <c r="D3183" s="1281"/>
      <c r="E3183" s="1282"/>
      <c r="F3183" s="1283"/>
      <c r="G3183" s="1284"/>
      <c r="H3183" s="1282"/>
      <c r="I3183" s="1285">
        <f>SUM(I3172:I3182)</f>
        <v>10111.109192000002</v>
      </c>
      <c r="J3183" s="1846"/>
      <c r="K3183" s="1846"/>
      <c r="L3183" s="1846"/>
    </row>
    <row r="3184" spans="1:12" s="1293" customFormat="1">
      <c r="A3184" s="1197"/>
      <c r="B3184" s="1197"/>
      <c r="C3184" s="1296"/>
      <c r="D3184" s="1228"/>
      <c r="E3184" s="1271"/>
      <c r="F3184" s="1223"/>
      <c r="G3184" s="1272"/>
      <c r="H3184" s="1271"/>
      <c r="I3184" s="1201"/>
      <c r="J3184" s="1846"/>
      <c r="K3184" s="1846"/>
      <c r="L3184" s="1846"/>
    </row>
    <row r="3185" spans="1:12" s="1293" customFormat="1">
      <c r="A3185" s="1197"/>
      <c r="B3185" s="1197"/>
      <c r="C3185" s="1795" t="s">
        <v>1217</v>
      </c>
      <c r="D3185" s="1220" t="s">
        <v>1223</v>
      </c>
      <c r="E3185" s="1221" t="s">
        <v>1207</v>
      </c>
      <c r="F3185" s="1222" t="s">
        <v>1208</v>
      </c>
      <c r="G3185" s="1220" t="s">
        <v>1291</v>
      </c>
      <c r="H3185" s="1220" t="s">
        <v>1292</v>
      </c>
      <c r="I3185" s="1220" t="s">
        <v>1291</v>
      </c>
      <c r="J3185" s="1846"/>
      <c r="K3185" s="1846"/>
      <c r="L3185" s="1846"/>
    </row>
    <row r="3186" spans="1:12" s="1293" customFormat="1">
      <c r="A3186" s="1197"/>
      <c r="B3186" s="1197"/>
      <c r="C3186" s="1807" t="s">
        <v>1317</v>
      </c>
      <c r="D3186" s="1223">
        <f t="shared" ref="D3186:I3186" si="745">$I$3183</f>
        <v>10111.109192000002</v>
      </c>
      <c r="E3186" s="1223">
        <f t="shared" si="745"/>
        <v>10111.109192000002</v>
      </c>
      <c r="F3186" s="1223">
        <f t="shared" si="745"/>
        <v>10111.109192000002</v>
      </c>
      <c r="G3186" s="1223">
        <f t="shared" si="745"/>
        <v>10111.109192000002</v>
      </c>
      <c r="H3186" s="1223">
        <f t="shared" si="745"/>
        <v>10111.109192000002</v>
      </c>
      <c r="I3186" s="1223">
        <f t="shared" si="745"/>
        <v>10111.109192000002</v>
      </c>
      <c r="J3186" s="1846"/>
      <c r="K3186" s="1846"/>
      <c r="L3186" s="1846"/>
    </row>
    <row r="3187" spans="1:12" s="1293" customFormat="1">
      <c r="A3187" s="1197"/>
      <c r="B3187" s="1197"/>
      <c r="C3187" s="1807" t="s">
        <v>1253</v>
      </c>
      <c r="D3187" s="1223">
        <v>0</v>
      </c>
      <c r="E3187" s="1223">
        <f>ROUND($F$3181*10%,2)</f>
        <v>340.88</v>
      </c>
      <c r="F3187" s="1223">
        <f>ROUND($F$3181*20%,2)</f>
        <v>681.76</v>
      </c>
      <c r="G3187" s="1223">
        <f>ROUND($F$3181*30%,2)</f>
        <v>1022.64</v>
      </c>
      <c r="H3187" s="1223">
        <f>ROUND($F$3181*40%,2)</f>
        <v>1363.52</v>
      </c>
      <c r="I3187" s="1223">
        <f>ROUND($F$3181*50%,2)</f>
        <v>1704.4</v>
      </c>
      <c r="J3187" s="1846"/>
      <c r="K3187" s="1846"/>
      <c r="L3187" s="1846"/>
    </row>
    <row r="3188" spans="1:12" s="1293" customFormat="1">
      <c r="A3188" s="1197"/>
      <c r="B3188" s="1197"/>
      <c r="C3188" s="1807" t="str">
        <f>Input!$C$47</f>
        <v>Add for MA @ 40%</v>
      </c>
      <c r="D3188" s="1223">
        <f>D3187*Input!$D$47</f>
        <v>0</v>
      </c>
      <c r="E3188" s="1223">
        <f>E3187*Input!$D$47</f>
        <v>136.352</v>
      </c>
      <c r="F3188" s="1223">
        <f>F3187*Input!$D$47</f>
        <v>272.70400000000001</v>
      </c>
      <c r="G3188" s="1223">
        <f>G3187*Input!$D$47</f>
        <v>409.05600000000004</v>
      </c>
      <c r="H3188" s="1223">
        <f>H3187*Input!$D$47</f>
        <v>545.40800000000002</v>
      </c>
      <c r="I3188" s="1223">
        <f>I3187*Input!$D$47</f>
        <v>681.7600000000001</v>
      </c>
      <c r="J3188" s="1846"/>
      <c r="K3188" s="1846"/>
      <c r="L3188" s="1846"/>
    </row>
    <row r="3189" spans="1:12" s="1293" customFormat="1">
      <c r="A3189" s="1197"/>
      <c r="B3189" s="1197"/>
      <c r="C3189" s="1208"/>
      <c r="D3189" s="1223">
        <f t="shared" ref="D3189:I3189" si="746">SUM(D3186:D3188)</f>
        <v>10111.109192000002</v>
      </c>
      <c r="E3189" s="1223">
        <f t="shared" si="746"/>
        <v>10588.341192000002</v>
      </c>
      <c r="F3189" s="1223">
        <f t="shared" si="746"/>
        <v>11065.573192000002</v>
      </c>
      <c r="G3189" s="1223">
        <f t="shared" si="746"/>
        <v>11542.805192000002</v>
      </c>
      <c r="H3189" s="1223">
        <f t="shared" si="746"/>
        <v>12020.037192000002</v>
      </c>
      <c r="I3189" s="1223">
        <f t="shared" si="746"/>
        <v>12497.269192000002</v>
      </c>
      <c r="J3189" s="1846"/>
      <c r="K3189" s="1846"/>
      <c r="L3189" s="1846"/>
    </row>
    <row r="3190" spans="1:12" s="1293" customFormat="1">
      <c r="A3190" s="1197"/>
      <c r="B3190" s="1197"/>
      <c r="C3190" s="1807" t="str">
        <f>Input!$C$48</f>
        <v>Overheads &amp; Contractors Profit @ 13.615%</v>
      </c>
      <c r="D3190" s="1223">
        <f>ROUND(D3189*Input!$D$48,2)</f>
        <v>1376.63</v>
      </c>
      <c r="E3190" s="1223">
        <f>ROUND(E3189*Input!$D$48,2)</f>
        <v>1441.6</v>
      </c>
      <c r="F3190" s="1223">
        <f>ROUND(F3189*Input!$D$48,2)</f>
        <v>1506.58</v>
      </c>
      <c r="G3190" s="1223">
        <f>ROUND(G3189*Input!$D$48,2)</f>
        <v>1571.55</v>
      </c>
      <c r="H3190" s="1223">
        <f>ROUND(H3189*Input!$D$48,2)</f>
        <v>1636.53</v>
      </c>
      <c r="I3190" s="1223">
        <f>ROUND(I3189*Input!$D$48,2)</f>
        <v>1701.5</v>
      </c>
      <c r="J3190" s="1846"/>
      <c r="K3190" s="1846"/>
      <c r="L3190" s="1846"/>
    </row>
    <row r="3191" spans="1:12" s="1293" customFormat="1">
      <c r="A3191" s="1197"/>
      <c r="B3191" s="1197"/>
      <c r="C3191" s="1795" t="s">
        <v>1302</v>
      </c>
      <c r="D3191" s="1223">
        <f t="shared" ref="D3191:I3191" si="747">SUM(D3189:D3190)</f>
        <v>11487.739192000001</v>
      </c>
      <c r="E3191" s="1223">
        <f t="shared" si="747"/>
        <v>12029.941192000002</v>
      </c>
      <c r="F3191" s="1223">
        <f t="shared" si="747"/>
        <v>12572.153192000002</v>
      </c>
      <c r="G3191" s="1223">
        <f t="shared" si="747"/>
        <v>13114.355192000001</v>
      </c>
      <c r="H3191" s="1223">
        <f t="shared" si="747"/>
        <v>13656.567192000002</v>
      </c>
      <c r="I3191" s="1223">
        <f t="shared" si="747"/>
        <v>14198.769192000002</v>
      </c>
      <c r="J3191" s="1846"/>
      <c r="K3191" s="1846"/>
      <c r="L3191" s="1846"/>
    </row>
    <row r="3192" spans="1:12" s="1293" customFormat="1">
      <c r="A3192" s="1197"/>
      <c r="B3192" s="1197"/>
      <c r="C3192" s="1795" t="s">
        <v>1117</v>
      </c>
      <c r="D3192" s="1220">
        <f t="shared" ref="D3192:I3192" si="748">D3191/10</f>
        <v>1148.7739192000001</v>
      </c>
      <c r="E3192" s="1220">
        <f t="shared" si="748"/>
        <v>1202.9941192000001</v>
      </c>
      <c r="F3192" s="1220">
        <f t="shared" si="748"/>
        <v>1257.2153192000001</v>
      </c>
      <c r="G3192" s="1220">
        <f t="shared" si="748"/>
        <v>1311.4355192</v>
      </c>
      <c r="H3192" s="1220">
        <f t="shared" si="748"/>
        <v>1365.6567192000002</v>
      </c>
      <c r="I3192" s="1220">
        <f t="shared" si="748"/>
        <v>1419.8769192000002</v>
      </c>
      <c r="J3192" s="1846"/>
      <c r="K3192" s="1846"/>
      <c r="L3192" s="1846"/>
    </row>
    <row r="3193" spans="1:12" s="1293" customFormat="1">
      <c r="A3193" s="1802"/>
      <c r="B3193" s="1802"/>
      <c r="C3193" s="1231" t="s">
        <v>1034</v>
      </c>
      <c r="D3193" s="1225">
        <f t="shared" ref="D3193:I3193" si="749">ROUND(D3192,0)</f>
        <v>1149</v>
      </c>
      <c r="E3193" s="1225">
        <f t="shared" si="749"/>
        <v>1203</v>
      </c>
      <c r="F3193" s="1225">
        <f t="shared" si="749"/>
        <v>1257</v>
      </c>
      <c r="G3193" s="1225">
        <f t="shared" si="749"/>
        <v>1311</v>
      </c>
      <c r="H3193" s="1225">
        <f t="shared" si="749"/>
        <v>1366</v>
      </c>
      <c r="I3193" s="1225">
        <f t="shared" si="749"/>
        <v>1420</v>
      </c>
      <c r="J3193" s="1846"/>
      <c r="K3193" s="1846"/>
      <c r="L3193" s="1846"/>
    </row>
    <row r="3194" spans="1:12" s="1293" customFormat="1">
      <c r="A3194" s="1197"/>
      <c r="B3194" s="1197"/>
      <c r="C3194" s="1811"/>
      <c r="D3194" s="1227"/>
      <c r="E3194" s="1228"/>
      <c r="F3194" s="1223"/>
      <c r="G3194" s="1199"/>
      <c r="H3194" s="1229"/>
      <c r="I3194" s="1230"/>
      <c r="J3194" s="1846"/>
      <c r="K3194" s="1846"/>
      <c r="L3194" s="1846"/>
    </row>
    <row r="3195" spans="1:12" s="1293" customFormat="1">
      <c r="A3195" s="1197"/>
      <c r="B3195" s="1197"/>
      <c r="C3195" s="1795" t="s">
        <v>1217</v>
      </c>
      <c r="D3195" s="1220" t="s">
        <v>1357</v>
      </c>
      <c r="E3195" s="1220" t="s">
        <v>1358</v>
      </c>
      <c r="F3195" s="1220" t="s">
        <v>1359</v>
      </c>
      <c r="G3195" s="1199"/>
      <c r="H3195" s="1229"/>
      <c r="I3195" s="1230"/>
      <c r="J3195" s="1846"/>
      <c r="K3195" s="1846"/>
      <c r="L3195" s="1846"/>
    </row>
    <row r="3196" spans="1:12" s="1293" customFormat="1">
      <c r="A3196" s="1197"/>
      <c r="B3196" s="1197"/>
      <c r="C3196" s="1807" t="s">
        <v>1317</v>
      </c>
      <c r="D3196" s="1223">
        <f>$I$3183</f>
        <v>10111.109192000002</v>
      </c>
      <c r="E3196" s="1223">
        <f>$I$3183</f>
        <v>10111.109192000002</v>
      </c>
      <c r="F3196" s="1223">
        <f>$I$3183</f>
        <v>10111.109192000002</v>
      </c>
      <c r="G3196" s="1199"/>
      <c r="H3196" s="1229"/>
      <c r="I3196" s="1230"/>
      <c r="J3196" s="1846"/>
      <c r="K3196" s="1846"/>
      <c r="L3196" s="1846"/>
    </row>
    <row r="3197" spans="1:12" s="1293" customFormat="1">
      <c r="A3197" s="1197"/>
      <c r="B3197" s="1197"/>
      <c r="C3197" s="1807" t="s">
        <v>1253</v>
      </c>
      <c r="D3197" s="1223">
        <f>ROUND($F$3181*60%,2)</f>
        <v>2045.28</v>
      </c>
      <c r="E3197" s="1223">
        <f>ROUND($F$3181*70%,2)</f>
        <v>2386.16</v>
      </c>
      <c r="F3197" s="1223">
        <f>ROUND($F$3181*80%,2)</f>
        <v>2727.04</v>
      </c>
      <c r="G3197" s="1199"/>
      <c r="H3197" s="1229"/>
      <c r="I3197" s="1230"/>
      <c r="J3197" s="1846"/>
      <c r="K3197" s="1846"/>
      <c r="L3197" s="1846"/>
    </row>
    <row r="3198" spans="1:12" s="1293" customFormat="1">
      <c r="A3198" s="1197"/>
      <c r="B3198" s="1197"/>
      <c r="C3198" s="1807" t="str">
        <f>Input!$C$47</f>
        <v>Add for MA @ 40%</v>
      </c>
      <c r="D3198" s="1223">
        <f>D3197*Input!$D$47</f>
        <v>818.11200000000008</v>
      </c>
      <c r="E3198" s="1223">
        <f>E3197*Input!$D$47</f>
        <v>954.46399999999994</v>
      </c>
      <c r="F3198" s="1223">
        <f>F3197*Input!$D$47</f>
        <v>1090.816</v>
      </c>
      <c r="G3198" s="1199"/>
      <c r="H3198" s="1229"/>
      <c r="I3198" s="1230"/>
      <c r="J3198" s="1846"/>
      <c r="K3198" s="1846"/>
      <c r="L3198" s="1846"/>
    </row>
    <row r="3199" spans="1:12" s="1293" customFormat="1">
      <c r="A3199" s="1197"/>
      <c r="B3199" s="1197"/>
      <c r="C3199" s="1208"/>
      <c r="D3199" s="1223">
        <f>SUM(D3196:D3198)</f>
        <v>12974.501192000003</v>
      </c>
      <c r="E3199" s="1223">
        <f>SUM(E3196:E3198)</f>
        <v>13451.733192000002</v>
      </c>
      <c r="F3199" s="1223">
        <f>SUM(F3196:F3198)</f>
        <v>13928.965192000001</v>
      </c>
      <c r="G3199" s="1199"/>
      <c r="H3199" s="1229"/>
      <c r="I3199" s="1230"/>
      <c r="J3199" s="1846"/>
      <c r="K3199" s="1846"/>
      <c r="L3199" s="1846"/>
    </row>
    <row r="3200" spans="1:12" s="1293" customFormat="1">
      <c r="A3200" s="1197"/>
      <c r="B3200" s="1197"/>
      <c r="C3200" s="1807" t="str">
        <f>Input!$C$48</f>
        <v>Overheads &amp; Contractors Profit @ 13.615%</v>
      </c>
      <c r="D3200" s="1223">
        <f>ROUND(D3199*Input!$D$48,2)</f>
        <v>1766.48</v>
      </c>
      <c r="E3200" s="1223">
        <f>ROUND(E3199*Input!$D$48,2)</f>
        <v>1831.45</v>
      </c>
      <c r="F3200" s="1223">
        <f>ROUND(F3199*Input!$D$48,2)</f>
        <v>1896.43</v>
      </c>
      <c r="G3200" s="1199"/>
      <c r="H3200" s="1229"/>
      <c r="I3200" s="1230"/>
      <c r="J3200" s="1846"/>
      <c r="K3200" s="1846"/>
      <c r="L3200" s="1846"/>
    </row>
    <row r="3201" spans="1:64" s="1293" customFormat="1">
      <c r="A3201" s="1197"/>
      <c r="B3201" s="1197"/>
      <c r="C3201" s="1795" t="s">
        <v>1302</v>
      </c>
      <c r="D3201" s="1223">
        <f>SUM(D3199:D3200)</f>
        <v>14740.981192000003</v>
      </c>
      <c r="E3201" s="1223">
        <f>SUM(E3199:E3200)</f>
        <v>15283.183192000002</v>
      </c>
      <c r="F3201" s="1223">
        <f>SUM(F3199:F3200)</f>
        <v>15825.395192000002</v>
      </c>
      <c r="G3201" s="1199"/>
      <c r="H3201" s="1229"/>
      <c r="I3201" s="1230"/>
      <c r="J3201" s="1846"/>
      <c r="K3201" s="1846"/>
      <c r="L3201" s="1846"/>
    </row>
    <row r="3202" spans="1:64" s="1293" customFormat="1">
      <c r="A3202" s="1197"/>
      <c r="B3202" s="1197"/>
      <c r="C3202" s="1795" t="s">
        <v>1117</v>
      </c>
      <c r="D3202" s="1220">
        <f>D3201/10</f>
        <v>1474.0981192000004</v>
      </c>
      <c r="E3202" s="1220">
        <f>E3201/10</f>
        <v>1528.3183192000001</v>
      </c>
      <c r="F3202" s="1220">
        <f>F3201/10</f>
        <v>1582.5395192000001</v>
      </c>
      <c r="G3202" s="1199"/>
      <c r="H3202" s="1229"/>
      <c r="I3202" s="1230"/>
      <c r="J3202" s="1846"/>
      <c r="K3202" s="1846"/>
      <c r="L3202" s="1846"/>
    </row>
    <row r="3203" spans="1:64" s="1293" customFormat="1">
      <c r="A3203" s="1197"/>
      <c r="B3203" s="1197"/>
      <c r="C3203" s="1231" t="s">
        <v>1034</v>
      </c>
      <c r="D3203" s="1225">
        <f>ROUND(D3202,0)</f>
        <v>1474</v>
      </c>
      <c r="E3203" s="1225">
        <f>ROUND(E3202,0)</f>
        <v>1528</v>
      </c>
      <c r="F3203" s="1225">
        <f>ROUND(F3202,0)</f>
        <v>1583</v>
      </c>
      <c r="G3203" s="1199"/>
      <c r="H3203" s="1229"/>
      <c r="I3203" s="1230"/>
      <c r="J3203" s="1846"/>
      <c r="K3203" s="1846"/>
      <c r="L3203" s="1846"/>
    </row>
    <row r="3204" spans="1:64" ht="119.45" customHeight="1">
      <c r="A3204" s="1197">
        <f>A3131+1</f>
        <v>39</v>
      </c>
      <c r="B3204" s="1197"/>
      <c r="C3204" s="2006" t="s">
        <v>3437</v>
      </c>
      <c r="D3204" s="2006"/>
      <c r="E3204" s="2006"/>
      <c r="F3204" s="2006"/>
      <c r="G3204" s="2006"/>
      <c r="H3204" s="2006"/>
      <c r="I3204" s="1814"/>
      <c r="J3204" s="1846"/>
      <c r="K3204" s="1846"/>
      <c r="L3204" s="1846"/>
    </row>
    <row r="3205" spans="1:64">
      <c r="A3205" s="1197"/>
      <c r="B3205" s="1197" t="s">
        <v>294</v>
      </c>
      <c r="C3205" s="1795" t="s">
        <v>1457</v>
      </c>
      <c r="D3205" s="1807"/>
      <c r="E3205" s="1807"/>
      <c r="F3205" s="1794"/>
      <c r="G3205" s="1807"/>
      <c r="H3205" s="1807"/>
      <c r="I3205" s="1209"/>
      <c r="J3205" s="1846"/>
      <c r="K3205" s="1846"/>
      <c r="L3205" s="1846"/>
    </row>
    <row r="3206" spans="1:64">
      <c r="A3206" s="1197"/>
      <c r="B3206" s="1197"/>
      <c r="C3206" s="1198" t="s">
        <v>1393</v>
      </c>
      <c r="D3206" s="1199"/>
      <c r="E3206" s="1199"/>
      <c r="F3206" s="1200"/>
      <c r="G3206" s="1199"/>
      <c r="H3206" s="1199"/>
      <c r="I3206" s="1201"/>
      <c r="J3206" s="1846"/>
      <c r="K3206" s="1846"/>
      <c r="L3206" s="1846"/>
    </row>
    <row r="3207" spans="1:64">
      <c r="A3207" s="1197"/>
      <c r="B3207" s="1197"/>
      <c r="C3207" s="1202" t="s">
        <v>1394</v>
      </c>
      <c r="D3207" s="1199"/>
      <c r="E3207" s="1199"/>
      <c r="F3207" s="1200"/>
      <c r="G3207" s="1199"/>
      <c r="H3207" s="1199"/>
      <c r="I3207" s="1201"/>
      <c r="J3207" s="1846"/>
      <c r="K3207" s="1846"/>
      <c r="L3207" s="1846"/>
    </row>
    <row r="3208" spans="1:64">
      <c r="A3208" s="1197"/>
      <c r="B3208" s="1197"/>
      <c r="C3208" s="1814" t="s">
        <v>1395</v>
      </c>
      <c r="D3208" s="1203"/>
      <c r="E3208" s="1199"/>
      <c r="F3208" s="1201"/>
      <c r="G3208" s="1204"/>
      <c r="H3208" s="1199"/>
      <c r="I3208" s="1205"/>
      <c r="J3208" s="1846"/>
      <c r="K3208" s="1846"/>
      <c r="L3208" s="1846"/>
    </row>
    <row r="3209" spans="1:64">
      <c r="A3209" s="1206"/>
      <c r="B3209" s="1206"/>
      <c r="C3209" s="1807" t="s">
        <v>1396</v>
      </c>
      <c r="D3209" s="1207">
        <v>11</v>
      </c>
      <c r="E3209" s="1208" t="s">
        <v>46</v>
      </c>
      <c r="F3209" s="1209">
        <f>LEAD!$N$26</f>
        <v>2705.69</v>
      </c>
      <c r="G3209" s="1210">
        <v>10</v>
      </c>
      <c r="H3209" s="1208" t="s">
        <v>46</v>
      </c>
      <c r="I3209" s="1211">
        <f t="shared" ref="I3209:I3213" si="750">IF(G3209="",D3209*F3209,(D3209*F3209/G3209))</f>
        <v>2976.259</v>
      </c>
      <c r="J3209" s="1022"/>
      <c r="K3209" s="1022"/>
      <c r="L3209" s="1022"/>
      <c r="M3209" s="1066"/>
      <c r="N3209" s="1066"/>
      <c r="O3209" s="1066"/>
      <c r="P3209" s="1066"/>
      <c r="Q3209" s="1066"/>
      <c r="R3209" s="1066"/>
      <c r="S3209" s="1066"/>
      <c r="T3209" s="1066"/>
      <c r="U3209" s="1066"/>
      <c r="V3209" s="1066"/>
      <c r="W3209" s="1066"/>
      <c r="X3209" s="1066"/>
      <c r="Y3209" s="1066"/>
      <c r="Z3209" s="1066"/>
      <c r="AA3209" s="1066"/>
      <c r="AB3209" s="1066"/>
      <c r="AC3209" s="1066"/>
      <c r="AD3209" s="1066"/>
      <c r="AE3209" s="1066"/>
      <c r="AF3209" s="1066"/>
      <c r="AG3209" s="1066"/>
      <c r="AH3209" s="1066"/>
      <c r="AI3209" s="1066"/>
      <c r="AJ3209" s="1066"/>
      <c r="AK3209" s="1066"/>
      <c r="AL3209" s="1066"/>
      <c r="AM3209" s="1066"/>
      <c r="AN3209" s="1066"/>
      <c r="AO3209" s="1066"/>
      <c r="AP3209" s="1066"/>
      <c r="AQ3209" s="1066"/>
      <c r="AR3209" s="1066"/>
      <c r="AS3209" s="1066"/>
      <c r="AT3209" s="1066"/>
      <c r="AU3209" s="1066"/>
      <c r="AV3209" s="1066"/>
      <c r="AW3209" s="1066"/>
      <c r="AX3209" s="1066"/>
      <c r="AY3209" s="1066"/>
      <c r="AZ3209" s="1066"/>
      <c r="BA3209" s="1066"/>
      <c r="BB3209" s="1066"/>
      <c r="BC3209" s="1066"/>
      <c r="BD3209" s="1066"/>
      <c r="BE3209" s="1066"/>
      <c r="BF3209" s="1066"/>
      <c r="BG3209" s="1066"/>
      <c r="BH3209" s="1066"/>
      <c r="BI3209" s="1066"/>
      <c r="BJ3209" s="1066"/>
      <c r="BK3209" s="1066"/>
      <c r="BL3209" s="1066"/>
    </row>
    <row r="3210" spans="1:64">
      <c r="A3210" s="1206"/>
      <c r="B3210" s="1206"/>
      <c r="C3210" s="1807" t="s">
        <v>1458</v>
      </c>
      <c r="D3210" s="1207">
        <v>34.56</v>
      </c>
      <c r="E3210" s="1208" t="s">
        <v>1110</v>
      </c>
      <c r="F3210" s="1209">
        <f>LEAD!$N$6</f>
        <v>5200</v>
      </c>
      <c r="G3210" s="1210">
        <v>1000</v>
      </c>
      <c r="H3210" s="1208" t="s">
        <v>1110</v>
      </c>
      <c r="I3210" s="1211">
        <f t="shared" si="750"/>
        <v>179.71199999999999</v>
      </c>
      <c r="J3210" s="1022"/>
      <c r="K3210" s="1022"/>
      <c r="L3210" s="1022"/>
      <c r="M3210" s="1066"/>
      <c r="N3210" s="1066"/>
      <c r="O3210" s="1066"/>
      <c r="P3210" s="1066"/>
      <c r="Q3210" s="1066"/>
      <c r="R3210" s="1066"/>
      <c r="S3210" s="1066"/>
      <c r="T3210" s="1066"/>
      <c r="U3210" s="1066"/>
      <c r="V3210" s="1066"/>
      <c r="W3210" s="1066"/>
      <c r="X3210" s="1066"/>
      <c r="Y3210" s="1066"/>
      <c r="Z3210" s="1066"/>
      <c r="AA3210" s="1066"/>
      <c r="AB3210" s="1066"/>
      <c r="AC3210" s="1066"/>
      <c r="AD3210" s="1066"/>
      <c r="AE3210" s="1066"/>
      <c r="AF3210" s="1066"/>
      <c r="AG3210" s="1066"/>
      <c r="AH3210" s="1066"/>
      <c r="AI3210" s="1066"/>
      <c r="AJ3210" s="1066"/>
      <c r="AK3210" s="1066"/>
      <c r="AL3210" s="1066"/>
      <c r="AM3210" s="1066"/>
      <c r="AN3210" s="1066"/>
      <c r="AO3210" s="1066"/>
      <c r="AP3210" s="1066"/>
      <c r="AQ3210" s="1066"/>
      <c r="AR3210" s="1066"/>
      <c r="AS3210" s="1066"/>
      <c r="AT3210" s="1066"/>
      <c r="AU3210" s="1066"/>
      <c r="AV3210" s="1066"/>
      <c r="AW3210" s="1066"/>
      <c r="AX3210" s="1066"/>
      <c r="AY3210" s="1066"/>
      <c r="AZ3210" s="1066"/>
      <c r="BA3210" s="1066"/>
      <c r="BB3210" s="1066"/>
      <c r="BC3210" s="1066"/>
      <c r="BD3210" s="1066"/>
      <c r="BE3210" s="1066"/>
      <c r="BF3210" s="1066"/>
      <c r="BG3210" s="1066"/>
      <c r="BH3210" s="1066"/>
      <c r="BI3210" s="1066"/>
      <c r="BJ3210" s="1066"/>
      <c r="BK3210" s="1066"/>
      <c r="BL3210" s="1066"/>
    </row>
    <row r="3211" spans="1:64">
      <c r="A3211" s="1206"/>
      <c r="B3211" s="1206"/>
      <c r="C3211" s="1807" t="s">
        <v>1398</v>
      </c>
      <c r="D3211" s="1207">
        <v>33</v>
      </c>
      <c r="E3211" s="1208" t="s">
        <v>1110</v>
      </c>
      <c r="F3211" s="1209">
        <f>LEAD!$N$6</f>
        <v>5200</v>
      </c>
      <c r="G3211" s="1210">
        <v>1000</v>
      </c>
      <c r="H3211" s="1208" t="s">
        <v>1110</v>
      </c>
      <c r="I3211" s="1211">
        <f t="shared" si="750"/>
        <v>171.6</v>
      </c>
      <c r="J3211" s="1022"/>
      <c r="K3211" s="1022"/>
      <c r="L3211" s="1022"/>
      <c r="M3211" s="1066"/>
      <c r="N3211" s="1066"/>
      <c r="O3211" s="1066"/>
      <c r="P3211" s="1066"/>
      <c r="Q3211" s="1066"/>
      <c r="R3211" s="1066"/>
      <c r="S3211" s="1066"/>
      <c r="T3211" s="1066"/>
      <c r="U3211" s="1066"/>
      <c r="V3211" s="1066"/>
      <c r="W3211" s="1066"/>
      <c r="X3211" s="1066"/>
      <c r="Y3211" s="1066"/>
      <c r="Z3211" s="1066"/>
      <c r="AA3211" s="1066"/>
      <c r="AB3211" s="1066"/>
      <c r="AC3211" s="1066"/>
      <c r="AD3211" s="1066"/>
      <c r="AE3211" s="1066"/>
      <c r="AF3211" s="1066"/>
      <c r="AG3211" s="1066"/>
      <c r="AH3211" s="1066"/>
      <c r="AI3211" s="1066"/>
      <c r="AJ3211" s="1066"/>
      <c r="AK3211" s="1066"/>
      <c r="AL3211" s="1066"/>
      <c r="AM3211" s="1066"/>
      <c r="AN3211" s="1066"/>
      <c r="AO3211" s="1066"/>
      <c r="AP3211" s="1066"/>
      <c r="AQ3211" s="1066"/>
      <c r="AR3211" s="1066"/>
      <c r="AS3211" s="1066"/>
      <c r="AT3211" s="1066"/>
      <c r="AU3211" s="1066"/>
      <c r="AV3211" s="1066"/>
      <c r="AW3211" s="1066"/>
      <c r="AX3211" s="1066"/>
      <c r="AY3211" s="1066"/>
      <c r="AZ3211" s="1066"/>
      <c r="BA3211" s="1066"/>
      <c r="BB3211" s="1066"/>
      <c r="BC3211" s="1066"/>
      <c r="BD3211" s="1066"/>
      <c r="BE3211" s="1066"/>
      <c r="BF3211" s="1066"/>
      <c r="BG3211" s="1066"/>
      <c r="BH3211" s="1066"/>
      <c r="BI3211" s="1066"/>
      <c r="BJ3211" s="1066"/>
      <c r="BK3211" s="1066"/>
      <c r="BL3211" s="1066"/>
    </row>
    <row r="3212" spans="1:64">
      <c r="A3212" s="1206"/>
      <c r="B3212" s="1206"/>
      <c r="C3212" s="1807" t="s">
        <v>1459</v>
      </c>
      <c r="D3212" s="1207">
        <v>20</v>
      </c>
      <c r="E3212" s="1208" t="s">
        <v>1110</v>
      </c>
      <c r="F3212" s="1209">
        <f>LEAD!$N$6</f>
        <v>5200</v>
      </c>
      <c r="G3212" s="1210">
        <v>1000</v>
      </c>
      <c r="H3212" s="1208" t="s">
        <v>1110</v>
      </c>
      <c r="I3212" s="1211">
        <f t="shared" si="750"/>
        <v>104</v>
      </c>
      <c r="J3212" s="1022"/>
      <c r="K3212" s="1022"/>
      <c r="L3212" s="1022"/>
      <c r="M3212" s="1066"/>
      <c r="N3212" s="1066"/>
      <c r="O3212" s="1066"/>
      <c r="P3212" s="1066"/>
      <c r="Q3212" s="1066"/>
      <c r="R3212" s="1066"/>
      <c r="S3212" s="1066"/>
      <c r="T3212" s="1066"/>
      <c r="U3212" s="1066"/>
      <c r="V3212" s="1066"/>
      <c r="W3212" s="1066"/>
      <c r="X3212" s="1066"/>
      <c r="Y3212" s="1066"/>
      <c r="Z3212" s="1066"/>
      <c r="AA3212" s="1066"/>
      <c r="AB3212" s="1066"/>
      <c r="AC3212" s="1066"/>
      <c r="AD3212" s="1066"/>
      <c r="AE3212" s="1066"/>
      <c r="AF3212" s="1066"/>
      <c r="AG3212" s="1066"/>
      <c r="AH3212" s="1066"/>
      <c r="AI3212" s="1066"/>
      <c r="AJ3212" s="1066"/>
      <c r="AK3212" s="1066"/>
      <c r="AL3212" s="1066"/>
      <c r="AM3212" s="1066"/>
      <c r="AN3212" s="1066"/>
      <c r="AO3212" s="1066"/>
      <c r="AP3212" s="1066"/>
      <c r="AQ3212" s="1066"/>
      <c r="AR3212" s="1066"/>
      <c r="AS3212" s="1066"/>
      <c r="AT3212" s="1066"/>
      <c r="AU3212" s="1066"/>
      <c r="AV3212" s="1066"/>
      <c r="AW3212" s="1066"/>
      <c r="AX3212" s="1066"/>
      <c r="AY3212" s="1066"/>
      <c r="AZ3212" s="1066"/>
      <c r="BA3212" s="1066"/>
      <c r="BB3212" s="1066"/>
      <c r="BC3212" s="1066"/>
      <c r="BD3212" s="1066"/>
      <c r="BE3212" s="1066"/>
      <c r="BF3212" s="1066"/>
      <c r="BG3212" s="1066"/>
      <c r="BH3212" s="1066"/>
      <c r="BI3212" s="1066"/>
      <c r="BJ3212" s="1066"/>
      <c r="BK3212" s="1066"/>
      <c r="BL3212" s="1066"/>
    </row>
    <row r="3213" spans="1:64">
      <c r="A3213" s="1206"/>
      <c r="B3213" s="1206"/>
      <c r="C3213" s="1807" t="s">
        <v>1460</v>
      </c>
      <c r="D3213" s="1207">
        <v>0.12</v>
      </c>
      <c r="E3213" s="1208" t="s">
        <v>484</v>
      </c>
      <c r="F3213" s="1209">
        <f>LEAD!$N$13</f>
        <v>2453.91</v>
      </c>
      <c r="G3213" s="1210">
        <v>1</v>
      </c>
      <c r="H3213" s="1208" t="s">
        <v>484</v>
      </c>
      <c r="I3213" s="1211">
        <f t="shared" si="750"/>
        <v>294.46919999999994</v>
      </c>
      <c r="J3213" s="1022"/>
      <c r="K3213" s="1022"/>
      <c r="L3213" s="1022"/>
      <c r="M3213" s="1066"/>
      <c r="N3213" s="1066"/>
      <c r="O3213" s="1066"/>
      <c r="P3213" s="1066"/>
      <c r="Q3213" s="1066"/>
      <c r="R3213" s="1066"/>
      <c r="S3213" s="1066"/>
      <c r="T3213" s="1066"/>
      <c r="U3213" s="1066"/>
      <c r="V3213" s="1066"/>
      <c r="W3213" s="1066"/>
      <c r="X3213" s="1066"/>
      <c r="Y3213" s="1066"/>
      <c r="Z3213" s="1066"/>
      <c r="AA3213" s="1066"/>
      <c r="AB3213" s="1066"/>
      <c r="AC3213" s="1066"/>
      <c r="AD3213" s="1066"/>
      <c r="AE3213" s="1066"/>
      <c r="AF3213" s="1066"/>
      <c r="AG3213" s="1066"/>
      <c r="AH3213" s="1066"/>
      <c r="AI3213" s="1066"/>
      <c r="AJ3213" s="1066"/>
      <c r="AK3213" s="1066"/>
      <c r="AL3213" s="1066"/>
      <c r="AM3213" s="1066"/>
      <c r="AN3213" s="1066"/>
      <c r="AO3213" s="1066"/>
      <c r="AP3213" s="1066"/>
      <c r="AQ3213" s="1066"/>
      <c r="AR3213" s="1066"/>
      <c r="AS3213" s="1066"/>
      <c r="AT3213" s="1066"/>
      <c r="AU3213" s="1066"/>
      <c r="AV3213" s="1066"/>
      <c r="AW3213" s="1066"/>
      <c r="AX3213" s="1066"/>
      <c r="AY3213" s="1066"/>
      <c r="AZ3213" s="1066"/>
      <c r="BA3213" s="1066"/>
      <c r="BB3213" s="1066"/>
      <c r="BC3213" s="1066"/>
      <c r="BD3213" s="1066"/>
      <c r="BE3213" s="1066"/>
      <c r="BF3213" s="1066"/>
      <c r="BG3213" s="1066"/>
      <c r="BH3213" s="1066"/>
      <c r="BI3213" s="1066"/>
      <c r="BJ3213" s="1066"/>
      <c r="BK3213" s="1066"/>
      <c r="BL3213" s="1066"/>
    </row>
    <row r="3214" spans="1:64">
      <c r="A3214" s="1206"/>
      <c r="B3214" s="1206"/>
      <c r="C3214" s="1795" t="s">
        <v>1324</v>
      </c>
      <c r="D3214" s="1207"/>
      <c r="E3214" s="1208"/>
      <c r="F3214" s="1209"/>
      <c r="G3214" s="1210"/>
      <c r="H3214" s="1208"/>
      <c r="I3214" s="1211"/>
      <c r="J3214" s="1022"/>
      <c r="K3214" s="1022"/>
      <c r="L3214" s="1022"/>
      <c r="M3214" s="1066"/>
      <c r="N3214" s="1066"/>
      <c r="O3214" s="1066"/>
      <c r="P3214" s="1066"/>
      <c r="Q3214" s="1066"/>
      <c r="R3214" s="1066"/>
      <c r="S3214" s="1066"/>
      <c r="T3214" s="1066"/>
      <c r="U3214" s="1066"/>
      <c r="V3214" s="1066"/>
      <c r="W3214" s="1066"/>
      <c r="X3214" s="1066"/>
      <c r="Y3214" s="1066"/>
      <c r="Z3214" s="1066"/>
      <c r="AA3214" s="1066"/>
      <c r="AB3214" s="1066"/>
      <c r="AC3214" s="1066"/>
      <c r="AD3214" s="1066"/>
      <c r="AE3214" s="1066"/>
      <c r="AF3214" s="1066"/>
      <c r="AG3214" s="1066"/>
      <c r="AH3214" s="1066"/>
      <c r="AI3214" s="1066"/>
      <c r="AJ3214" s="1066"/>
      <c r="AK3214" s="1066"/>
      <c r="AL3214" s="1066"/>
      <c r="AM3214" s="1066"/>
      <c r="AN3214" s="1066"/>
      <c r="AO3214" s="1066"/>
      <c r="AP3214" s="1066"/>
      <c r="AQ3214" s="1066"/>
      <c r="AR3214" s="1066"/>
      <c r="AS3214" s="1066"/>
      <c r="AT3214" s="1066"/>
      <c r="AU3214" s="1066"/>
      <c r="AV3214" s="1066"/>
      <c r="AW3214" s="1066"/>
      <c r="AX3214" s="1066"/>
      <c r="AY3214" s="1066"/>
      <c r="AZ3214" s="1066"/>
      <c r="BA3214" s="1066"/>
      <c r="BB3214" s="1066"/>
      <c r="BC3214" s="1066"/>
      <c r="BD3214" s="1066"/>
      <c r="BE3214" s="1066"/>
      <c r="BF3214" s="1066"/>
      <c r="BG3214" s="1066"/>
      <c r="BH3214" s="1066"/>
      <c r="BI3214" s="1066"/>
      <c r="BJ3214" s="1066"/>
      <c r="BK3214" s="1066"/>
      <c r="BL3214" s="1066"/>
    </row>
    <row r="3215" spans="1:64">
      <c r="A3215" s="1206"/>
      <c r="B3215" s="1206"/>
      <c r="C3215" s="1807" t="s">
        <v>1299</v>
      </c>
      <c r="D3215" s="1207">
        <v>3.1</v>
      </c>
      <c r="E3215" s="1208" t="s">
        <v>955</v>
      </c>
      <c r="F3215" s="1209">
        <f>'Civil-SOR'!$G$293</f>
        <v>580</v>
      </c>
      <c r="G3215" s="1210">
        <v>1</v>
      </c>
      <c r="H3215" s="1208" t="s">
        <v>501</v>
      </c>
      <c r="I3215" s="1211">
        <f t="shared" ref="I3215:I3221" si="751">IF(G3215="",D3215*F3215,(D3215*F3215/G3215))</f>
        <v>1798</v>
      </c>
      <c r="J3215" s="1022"/>
      <c r="K3215" s="1022"/>
      <c r="L3215" s="1022"/>
      <c r="M3215" s="1066"/>
      <c r="N3215" s="1066"/>
      <c r="O3215" s="1066"/>
      <c r="P3215" s="1066"/>
      <c r="Q3215" s="1066"/>
      <c r="R3215" s="1066"/>
      <c r="S3215" s="1066"/>
      <c r="T3215" s="1066"/>
      <c r="U3215" s="1066"/>
      <c r="V3215" s="1066"/>
      <c r="W3215" s="1066"/>
      <c r="X3215" s="1066"/>
      <c r="Y3215" s="1066"/>
      <c r="Z3215" s="1066"/>
      <c r="AA3215" s="1066"/>
      <c r="AB3215" s="1066"/>
      <c r="AC3215" s="1066"/>
      <c r="AD3215" s="1066"/>
      <c r="AE3215" s="1066"/>
      <c r="AF3215" s="1066"/>
      <c r="AG3215" s="1066"/>
      <c r="AH3215" s="1066"/>
      <c r="AI3215" s="1066"/>
      <c r="AJ3215" s="1066"/>
      <c r="AK3215" s="1066"/>
      <c r="AL3215" s="1066"/>
      <c r="AM3215" s="1066"/>
      <c r="AN3215" s="1066"/>
      <c r="AO3215" s="1066"/>
      <c r="AP3215" s="1066"/>
      <c r="AQ3215" s="1066"/>
      <c r="AR3215" s="1066"/>
      <c r="AS3215" s="1066"/>
      <c r="AT3215" s="1066"/>
      <c r="AU3215" s="1066"/>
      <c r="AV3215" s="1066"/>
      <c r="AW3215" s="1066"/>
      <c r="AX3215" s="1066"/>
      <c r="AY3215" s="1066"/>
      <c r="AZ3215" s="1066"/>
      <c r="BA3215" s="1066"/>
      <c r="BB3215" s="1066"/>
      <c r="BC3215" s="1066"/>
      <c r="BD3215" s="1066"/>
      <c r="BE3215" s="1066"/>
      <c r="BF3215" s="1066"/>
      <c r="BG3215" s="1066"/>
      <c r="BH3215" s="1066"/>
      <c r="BI3215" s="1066"/>
      <c r="BJ3215" s="1066"/>
      <c r="BK3215" s="1066"/>
      <c r="BL3215" s="1066"/>
    </row>
    <row r="3216" spans="1:64">
      <c r="A3216" s="1206"/>
      <c r="B3216" s="1206"/>
      <c r="C3216" s="1807" t="s">
        <v>1325</v>
      </c>
      <c r="D3216" s="1207">
        <v>1.1000000000000001</v>
      </c>
      <c r="E3216" s="1208" t="s">
        <v>955</v>
      </c>
      <c r="F3216" s="1209">
        <f>'Civil-SOR'!$G$302</f>
        <v>550</v>
      </c>
      <c r="G3216" s="1210">
        <v>1</v>
      </c>
      <c r="H3216" s="1208" t="s">
        <v>501</v>
      </c>
      <c r="I3216" s="1211">
        <f t="shared" si="751"/>
        <v>605</v>
      </c>
      <c r="J3216" s="1022"/>
      <c r="K3216" s="1022"/>
      <c r="L3216" s="1022"/>
      <c r="M3216" s="1066"/>
      <c r="N3216" s="1066"/>
      <c r="O3216" s="1066"/>
      <c r="P3216" s="1066"/>
      <c r="Q3216" s="1066"/>
      <c r="R3216" s="1066"/>
      <c r="S3216" s="1066"/>
      <c r="T3216" s="1066"/>
      <c r="U3216" s="1066"/>
      <c r="V3216" s="1066"/>
      <c r="W3216" s="1066"/>
      <c r="X3216" s="1066"/>
      <c r="Y3216" s="1066"/>
      <c r="Z3216" s="1066"/>
      <c r="AA3216" s="1066"/>
      <c r="AB3216" s="1066"/>
      <c r="AC3216" s="1066"/>
      <c r="AD3216" s="1066"/>
      <c r="AE3216" s="1066"/>
      <c r="AF3216" s="1066"/>
      <c r="AG3216" s="1066"/>
      <c r="AH3216" s="1066"/>
      <c r="AI3216" s="1066"/>
      <c r="AJ3216" s="1066"/>
      <c r="AK3216" s="1066"/>
      <c r="AL3216" s="1066"/>
      <c r="AM3216" s="1066"/>
      <c r="AN3216" s="1066"/>
      <c r="AO3216" s="1066"/>
      <c r="AP3216" s="1066"/>
      <c r="AQ3216" s="1066"/>
      <c r="AR3216" s="1066"/>
      <c r="AS3216" s="1066"/>
      <c r="AT3216" s="1066"/>
      <c r="AU3216" s="1066"/>
      <c r="AV3216" s="1066"/>
      <c r="AW3216" s="1066"/>
      <c r="AX3216" s="1066"/>
      <c r="AY3216" s="1066"/>
      <c r="AZ3216" s="1066"/>
      <c r="BA3216" s="1066"/>
      <c r="BB3216" s="1066"/>
      <c r="BC3216" s="1066"/>
      <c r="BD3216" s="1066"/>
      <c r="BE3216" s="1066"/>
      <c r="BF3216" s="1066"/>
      <c r="BG3216" s="1066"/>
      <c r="BH3216" s="1066"/>
      <c r="BI3216" s="1066"/>
      <c r="BJ3216" s="1066"/>
      <c r="BK3216" s="1066"/>
      <c r="BL3216" s="1066"/>
    </row>
    <row r="3217" spans="1:64">
      <c r="A3217" s="1206"/>
      <c r="B3217" s="1206"/>
      <c r="C3217" s="1807" t="s">
        <v>1401</v>
      </c>
      <c r="D3217" s="1207">
        <v>0.86</v>
      </c>
      <c r="E3217" s="1208" t="s">
        <v>955</v>
      </c>
      <c r="F3217" s="1209">
        <f>'Civil-SOR'!$G$307</f>
        <v>520</v>
      </c>
      <c r="G3217" s="1210">
        <v>1</v>
      </c>
      <c r="H3217" s="1208" t="s">
        <v>501</v>
      </c>
      <c r="I3217" s="1211">
        <f t="shared" si="751"/>
        <v>447.2</v>
      </c>
      <c r="J3217" s="1022"/>
      <c r="K3217" s="1022"/>
      <c r="L3217" s="1022"/>
      <c r="M3217" s="1066"/>
      <c r="N3217" s="1066"/>
      <c r="O3217" s="1066"/>
      <c r="P3217" s="1066"/>
      <c r="Q3217" s="1066"/>
      <c r="R3217" s="1066"/>
      <c r="S3217" s="1066"/>
      <c r="T3217" s="1066"/>
      <c r="U3217" s="1066"/>
      <c r="V3217" s="1066"/>
      <c r="W3217" s="1066"/>
      <c r="X3217" s="1066"/>
      <c r="Y3217" s="1066"/>
      <c r="Z3217" s="1066"/>
      <c r="AA3217" s="1066"/>
      <c r="AB3217" s="1066"/>
      <c r="AC3217" s="1066"/>
      <c r="AD3217" s="1066"/>
      <c r="AE3217" s="1066"/>
      <c r="AF3217" s="1066"/>
      <c r="AG3217" s="1066"/>
      <c r="AH3217" s="1066"/>
      <c r="AI3217" s="1066"/>
      <c r="AJ3217" s="1066"/>
      <c r="AK3217" s="1066"/>
      <c r="AL3217" s="1066"/>
      <c r="AM3217" s="1066"/>
      <c r="AN3217" s="1066"/>
      <c r="AO3217" s="1066"/>
      <c r="AP3217" s="1066"/>
      <c r="AQ3217" s="1066"/>
      <c r="AR3217" s="1066"/>
      <c r="AS3217" s="1066"/>
      <c r="AT3217" s="1066"/>
      <c r="AU3217" s="1066"/>
      <c r="AV3217" s="1066"/>
      <c r="AW3217" s="1066"/>
      <c r="AX3217" s="1066"/>
      <c r="AY3217" s="1066"/>
      <c r="AZ3217" s="1066"/>
      <c r="BA3217" s="1066"/>
      <c r="BB3217" s="1066"/>
      <c r="BC3217" s="1066"/>
      <c r="BD3217" s="1066"/>
      <c r="BE3217" s="1066"/>
      <c r="BF3217" s="1066"/>
      <c r="BG3217" s="1066"/>
      <c r="BH3217" s="1066"/>
      <c r="BI3217" s="1066"/>
      <c r="BJ3217" s="1066"/>
      <c r="BK3217" s="1066"/>
      <c r="BL3217" s="1066"/>
    </row>
    <row r="3218" spans="1:64">
      <c r="A3218" s="1206"/>
      <c r="B3218" s="1206"/>
      <c r="C3218" s="1807" t="str">
        <f>Input!$C$47</f>
        <v>Add for MA @ 40%</v>
      </c>
      <c r="D3218" s="1212">
        <f>Input!$D$47</f>
        <v>0.4</v>
      </c>
      <c r="E3218" s="1208"/>
      <c r="F3218" s="1209">
        <f>SUM(I3215:I3217)</f>
        <v>2850.2</v>
      </c>
      <c r="G3218" s="1210"/>
      <c r="H3218" s="1208"/>
      <c r="I3218" s="1211">
        <f t="shared" si="751"/>
        <v>1140.08</v>
      </c>
      <c r="J3218" s="1022"/>
      <c r="K3218" s="1022"/>
      <c r="L3218" s="1022"/>
      <c r="M3218" s="1066"/>
      <c r="N3218" s="1066"/>
      <c r="O3218" s="1066"/>
      <c r="P3218" s="1066"/>
      <c r="Q3218" s="1066"/>
      <c r="R3218" s="1066"/>
      <c r="S3218" s="1066"/>
      <c r="T3218" s="1066"/>
      <c r="U3218" s="1066"/>
      <c r="V3218" s="1066"/>
      <c r="W3218" s="1066"/>
      <c r="X3218" s="1066"/>
      <c r="Y3218" s="1066"/>
      <c r="Z3218" s="1066"/>
      <c r="AA3218" s="1066"/>
      <c r="AB3218" s="1066"/>
      <c r="AC3218" s="1066"/>
      <c r="AD3218" s="1066"/>
      <c r="AE3218" s="1066"/>
      <c r="AF3218" s="1066"/>
      <c r="AG3218" s="1066"/>
      <c r="AH3218" s="1066"/>
      <c r="AI3218" s="1066"/>
      <c r="AJ3218" s="1066"/>
      <c r="AK3218" s="1066"/>
      <c r="AL3218" s="1066"/>
      <c r="AM3218" s="1066"/>
      <c r="AN3218" s="1066"/>
      <c r="AO3218" s="1066"/>
      <c r="AP3218" s="1066"/>
      <c r="AQ3218" s="1066"/>
      <c r="AR3218" s="1066"/>
      <c r="AS3218" s="1066"/>
      <c r="AT3218" s="1066"/>
      <c r="AU3218" s="1066"/>
      <c r="AV3218" s="1066"/>
      <c r="AW3218" s="1066"/>
      <c r="AX3218" s="1066"/>
      <c r="AY3218" s="1066"/>
      <c r="AZ3218" s="1066"/>
      <c r="BA3218" s="1066"/>
      <c r="BB3218" s="1066"/>
      <c r="BC3218" s="1066"/>
      <c r="BD3218" s="1066"/>
      <c r="BE3218" s="1066"/>
      <c r="BF3218" s="1066"/>
      <c r="BG3218" s="1066"/>
      <c r="BH3218" s="1066"/>
      <c r="BI3218" s="1066"/>
      <c r="BJ3218" s="1066"/>
      <c r="BK3218" s="1066"/>
      <c r="BL3218" s="1066"/>
    </row>
    <row r="3219" spans="1:64">
      <c r="A3219" s="1206"/>
      <c r="B3219" s="1206"/>
      <c r="C3219" s="1807" t="s">
        <v>1461</v>
      </c>
      <c r="D3219" s="1212">
        <v>33.33</v>
      </c>
      <c r="E3219" s="1208" t="s">
        <v>197</v>
      </c>
      <c r="F3219" s="1209">
        <f>'Civil-SOR'!$G$201</f>
        <v>73</v>
      </c>
      <c r="G3219" s="1210">
        <v>1</v>
      </c>
      <c r="H3219" s="1208" t="s">
        <v>197</v>
      </c>
      <c r="I3219" s="1211">
        <f t="shared" si="751"/>
        <v>2433.0899999999997</v>
      </c>
      <c r="J3219" s="1022"/>
      <c r="K3219" s="1022"/>
      <c r="L3219" s="1022"/>
      <c r="M3219" s="1066"/>
      <c r="N3219" s="1066"/>
      <c r="O3219" s="1066"/>
      <c r="P3219" s="1066"/>
      <c r="Q3219" s="1066"/>
      <c r="R3219" s="1066"/>
      <c r="S3219" s="1066"/>
      <c r="T3219" s="1066"/>
      <c r="U3219" s="1066"/>
      <c r="V3219" s="1066"/>
      <c r="W3219" s="1066"/>
      <c r="X3219" s="1066"/>
      <c r="Y3219" s="1066"/>
      <c r="Z3219" s="1066"/>
      <c r="AA3219" s="1066"/>
      <c r="AB3219" s="1066"/>
      <c r="AC3219" s="1066"/>
      <c r="AD3219" s="1066"/>
      <c r="AE3219" s="1066"/>
      <c r="AF3219" s="1066"/>
      <c r="AG3219" s="1066"/>
      <c r="AH3219" s="1066"/>
      <c r="AI3219" s="1066"/>
      <c r="AJ3219" s="1066"/>
      <c r="AK3219" s="1066"/>
      <c r="AL3219" s="1066"/>
      <c r="AM3219" s="1066"/>
      <c r="AN3219" s="1066"/>
      <c r="AO3219" s="1066"/>
      <c r="AP3219" s="1066"/>
      <c r="AQ3219" s="1066"/>
      <c r="AR3219" s="1066"/>
      <c r="AS3219" s="1066"/>
      <c r="AT3219" s="1066"/>
      <c r="AU3219" s="1066"/>
      <c r="AV3219" s="1066"/>
      <c r="AW3219" s="1066"/>
      <c r="AX3219" s="1066"/>
      <c r="AY3219" s="1066"/>
      <c r="AZ3219" s="1066"/>
      <c r="BA3219" s="1066"/>
      <c r="BB3219" s="1066"/>
      <c r="BC3219" s="1066"/>
      <c r="BD3219" s="1066"/>
      <c r="BE3219" s="1066"/>
      <c r="BF3219" s="1066"/>
      <c r="BG3219" s="1066"/>
      <c r="BH3219" s="1066"/>
      <c r="BI3219" s="1066"/>
      <c r="BJ3219" s="1066"/>
      <c r="BK3219" s="1066"/>
      <c r="BL3219" s="1066"/>
    </row>
    <row r="3220" spans="1:64">
      <c r="A3220" s="1206"/>
      <c r="B3220" s="1206"/>
      <c r="C3220" s="1807" t="str">
        <f>Input!$C$47</f>
        <v>Add for MA @ 40%</v>
      </c>
      <c r="D3220" s="1212">
        <f>Input!$D$47</f>
        <v>0.4</v>
      </c>
      <c r="E3220" s="1208"/>
      <c r="F3220" s="1209">
        <f>I3219*40%</f>
        <v>973.23599999999988</v>
      </c>
      <c r="G3220" s="1210"/>
      <c r="H3220" s="1208"/>
      <c r="I3220" s="1211">
        <f t="shared" si="751"/>
        <v>389.2944</v>
      </c>
      <c r="J3220" s="1022"/>
      <c r="K3220" s="1022"/>
      <c r="L3220" s="1022"/>
      <c r="M3220" s="1066"/>
      <c r="N3220" s="1066"/>
      <c r="O3220" s="1066"/>
      <c r="P3220" s="1066"/>
      <c r="Q3220" s="1066"/>
      <c r="R3220" s="1066"/>
      <c r="S3220" s="1066"/>
      <c r="T3220" s="1066"/>
      <c r="U3220" s="1066"/>
      <c r="V3220" s="1066"/>
      <c r="W3220" s="1066"/>
      <c r="X3220" s="1066"/>
      <c r="Y3220" s="1066"/>
      <c r="Z3220" s="1066"/>
      <c r="AA3220" s="1066"/>
      <c r="AB3220" s="1066"/>
      <c r="AC3220" s="1066"/>
      <c r="AD3220" s="1066"/>
      <c r="AE3220" s="1066"/>
      <c r="AF3220" s="1066"/>
      <c r="AG3220" s="1066"/>
      <c r="AH3220" s="1066"/>
      <c r="AI3220" s="1066"/>
      <c r="AJ3220" s="1066"/>
      <c r="AK3220" s="1066"/>
      <c r="AL3220" s="1066"/>
      <c r="AM3220" s="1066"/>
      <c r="AN3220" s="1066"/>
      <c r="AO3220" s="1066"/>
      <c r="AP3220" s="1066"/>
      <c r="AQ3220" s="1066"/>
      <c r="AR3220" s="1066"/>
      <c r="AS3220" s="1066"/>
      <c r="AT3220" s="1066"/>
      <c r="AU3220" s="1066"/>
      <c r="AV3220" s="1066"/>
      <c r="AW3220" s="1066"/>
      <c r="AX3220" s="1066"/>
      <c r="AY3220" s="1066"/>
      <c r="AZ3220" s="1066"/>
      <c r="BA3220" s="1066"/>
      <c r="BB3220" s="1066"/>
      <c r="BC3220" s="1066"/>
      <c r="BD3220" s="1066"/>
      <c r="BE3220" s="1066"/>
      <c r="BF3220" s="1066"/>
      <c r="BG3220" s="1066"/>
      <c r="BH3220" s="1066"/>
      <c r="BI3220" s="1066"/>
      <c r="BJ3220" s="1066"/>
      <c r="BK3220" s="1066"/>
      <c r="BL3220" s="1066"/>
    </row>
    <row r="3221" spans="1:64">
      <c r="A3221" s="1206"/>
      <c r="B3221" s="1206"/>
      <c r="C3221" s="1807" t="s">
        <v>1301</v>
      </c>
      <c r="D3221" s="1207">
        <v>0.01</v>
      </c>
      <c r="E3221" s="1208"/>
      <c r="F3221" s="1209">
        <f>SUM(I3209:I3220)</f>
        <v>10538.704599999999</v>
      </c>
      <c r="G3221" s="1210"/>
      <c r="H3221" s="1208"/>
      <c r="I3221" s="1211">
        <f t="shared" si="751"/>
        <v>105.387046</v>
      </c>
      <c r="J3221" s="1022"/>
      <c r="K3221" s="1022"/>
      <c r="L3221" s="1022"/>
      <c r="M3221" s="1066"/>
      <c r="N3221" s="1066"/>
      <c r="O3221" s="1066"/>
      <c r="P3221" s="1066"/>
      <c r="Q3221" s="1066"/>
      <c r="R3221" s="1066"/>
      <c r="S3221" s="1066"/>
      <c r="T3221" s="1066"/>
      <c r="U3221" s="1066"/>
      <c r="V3221" s="1066"/>
      <c r="W3221" s="1066"/>
      <c r="X3221" s="1066"/>
      <c r="Y3221" s="1066"/>
      <c r="Z3221" s="1066"/>
      <c r="AA3221" s="1066"/>
      <c r="AB3221" s="1066"/>
      <c r="AC3221" s="1066"/>
      <c r="AD3221" s="1066"/>
      <c r="AE3221" s="1066"/>
      <c r="AF3221" s="1066"/>
      <c r="AG3221" s="1066"/>
      <c r="AH3221" s="1066"/>
      <c r="AI3221" s="1066"/>
      <c r="AJ3221" s="1066"/>
      <c r="AK3221" s="1066"/>
      <c r="AL3221" s="1066"/>
      <c r="AM3221" s="1066"/>
      <c r="AN3221" s="1066"/>
      <c r="AO3221" s="1066"/>
      <c r="AP3221" s="1066"/>
      <c r="AQ3221" s="1066"/>
      <c r="AR3221" s="1066"/>
      <c r="AS3221" s="1066"/>
      <c r="AT3221" s="1066"/>
      <c r="AU3221" s="1066"/>
      <c r="AV3221" s="1066"/>
      <c r="AW3221" s="1066"/>
      <c r="AX3221" s="1066"/>
      <c r="AY3221" s="1066"/>
      <c r="AZ3221" s="1066"/>
      <c r="BA3221" s="1066"/>
      <c r="BB3221" s="1066"/>
      <c r="BC3221" s="1066"/>
      <c r="BD3221" s="1066"/>
      <c r="BE3221" s="1066"/>
      <c r="BF3221" s="1066"/>
      <c r="BG3221" s="1066"/>
      <c r="BH3221" s="1066"/>
      <c r="BI3221" s="1066"/>
      <c r="BJ3221" s="1066"/>
      <c r="BK3221" s="1066"/>
      <c r="BL3221" s="1066"/>
    </row>
    <row r="3222" spans="1:64" s="997" customFormat="1">
      <c r="A3222" s="1802"/>
      <c r="B3222" s="1802"/>
      <c r="C3222" s="1213" t="s">
        <v>1409</v>
      </c>
      <c r="D3222" s="1214"/>
      <c r="E3222" s="1215"/>
      <c r="F3222" s="1216"/>
      <c r="G3222" s="1217"/>
      <c r="H3222" s="1215"/>
      <c r="I3222" s="1218">
        <f>SUM(I3209:I3221)</f>
        <v>10644.091645999999</v>
      </c>
      <c r="J3222" s="996"/>
      <c r="K3222" s="996"/>
      <c r="L3222" s="996"/>
    </row>
    <row r="3223" spans="1:64">
      <c r="A3223" s="1197"/>
      <c r="B3223" s="1197"/>
      <c r="C3223" s="1795"/>
      <c r="D3223" s="1227"/>
      <c r="E3223" s="1221"/>
      <c r="F3223" s="1221"/>
      <c r="G3223" s="1221"/>
      <c r="H3223" s="1221"/>
      <c r="I3223" s="1220"/>
      <c r="J3223" s="1846"/>
      <c r="K3223" s="1846"/>
      <c r="L3223" s="1846"/>
    </row>
    <row r="3224" spans="1:64">
      <c r="A3224" s="1197"/>
      <c r="B3224" s="1197"/>
      <c r="C3224" s="1795" t="s">
        <v>1403</v>
      </c>
      <c r="D3224" s="1220" t="s">
        <v>1223</v>
      </c>
      <c r="E3224" s="1221" t="s">
        <v>1207</v>
      </c>
      <c r="F3224" s="1222" t="s">
        <v>1208</v>
      </c>
      <c r="G3224" s="1220" t="s">
        <v>1291</v>
      </c>
      <c r="H3224" s="1220" t="s">
        <v>1292</v>
      </c>
      <c r="I3224" s="1220" t="s">
        <v>1293</v>
      </c>
      <c r="J3224" s="1009"/>
      <c r="K3224" s="1009" t="s">
        <v>1358</v>
      </c>
      <c r="L3224" s="1009" t="s">
        <v>1359</v>
      </c>
    </row>
    <row r="3225" spans="1:64">
      <c r="A3225" s="1197"/>
      <c r="B3225" s="1197"/>
      <c r="C3225" s="1807" t="s">
        <v>1317</v>
      </c>
      <c r="D3225" s="1223">
        <f t="shared" ref="D3225:L3225" si="752">$I$3222</f>
        <v>10644.091645999999</v>
      </c>
      <c r="E3225" s="1223">
        <f t="shared" si="752"/>
        <v>10644.091645999999</v>
      </c>
      <c r="F3225" s="1223">
        <f t="shared" si="752"/>
        <v>10644.091645999999</v>
      </c>
      <c r="G3225" s="1223">
        <f t="shared" si="752"/>
        <v>10644.091645999999</v>
      </c>
      <c r="H3225" s="1223">
        <f t="shared" si="752"/>
        <v>10644.091645999999</v>
      </c>
      <c r="I3225" s="1223">
        <f t="shared" si="752"/>
        <v>10644.091645999999</v>
      </c>
      <c r="J3225" s="1001"/>
      <c r="K3225" s="1001">
        <f t="shared" si="752"/>
        <v>10644.091645999999</v>
      </c>
      <c r="L3225" s="1001">
        <f t="shared" si="752"/>
        <v>10644.091645999999</v>
      </c>
    </row>
    <row r="3226" spans="1:64">
      <c r="A3226" s="1197"/>
      <c r="B3226" s="1197"/>
      <c r="C3226" s="1807" t="s">
        <v>1253</v>
      </c>
      <c r="D3226" s="1223">
        <v>0</v>
      </c>
      <c r="E3226" s="1223">
        <f>ROUND($F$3218*10%,2)</f>
        <v>285.02</v>
      </c>
      <c r="F3226" s="1223">
        <f>ROUND($F$3218*20%,2)</f>
        <v>570.04</v>
      </c>
      <c r="G3226" s="1223">
        <f>ROUND($F$3218*30%,2)</f>
        <v>855.06</v>
      </c>
      <c r="H3226" s="1223">
        <f>ROUND($F$3218*40%,2)</f>
        <v>1140.08</v>
      </c>
      <c r="I3226" s="1223">
        <f>ROUND($F$3218*50%,2)</f>
        <v>1425.1</v>
      </c>
      <c r="J3226" s="1001"/>
      <c r="K3226" s="1001">
        <f>ROUND($F$3218*70%,2)</f>
        <v>1995.14</v>
      </c>
      <c r="L3226" s="1001">
        <f>ROUND($F$3218*80%,2)</f>
        <v>2280.16</v>
      </c>
    </row>
    <row r="3227" spans="1:64">
      <c r="A3227" s="1197"/>
      <c r="B3227" s="1197"/>
      <c r="C3227" s="1807" t="str">
        <f>Input!$C$47</f>
        <v>Add for MA @ 40%</v>
      </c>
      <c r="D3227" s="1223">
        <f>D3226*Input!$D$47</f>
        <v>0</v>
      </c>
      <c r="E3227" s="1223">
        <f>E3226*Input!$D$47</f>
        <v>114.008</v>
      </c>
      <c r="F3227" s="1223">
        <f>F3226*Input!$D$47</f>
        <v>228.01599999999999</v>
      </c>
      <c r="G3227" s="1223">
        <f>G3226*Input!$D$47</f>
        <v>342.024</v>
      </c>
      <c r="H3227" s="1223">
        <f>H3226*Input!$D$47</f>
        <v>456.03199999999998</v>
      </c>
      <c r="I3227" s="1223">
        <f>I3226*Input!$D$47</f>
        <v>570.04</v>
      </c>
      <c r="J3227" s="1001"/>
      <c r="K3227" s="1001">
        <f>K3226*Input!$D$47</f>
        <v>798.05600000000004</v>
      </c>
      <c r="L3227" s="1001">
        <f>L3226*Input!$D$47</f>
        <v>912.06399999999996</v>
      </c>
    </row>
    <row r="3228" spans="1:64">
      <c r="A3228" s="1197"/>
      <c r="B3228" s="1197"/>
      <c r="C3228" s="1199"/>
      <c r="D3228" s="1223">
        <f t="shared" ref="D3228:L3228" si="753">SUM(D3225:D3227)</f>
        <v>10644.091645999999</v>
      </c>
      <c r="E3228" s="1223">
        <f t="shared" si="753"/>
        <v>11043.119645999999</v>
      </c>
      <c r="F3228" s="1223">
        <f t="shared" si="753"/>
        <v>11442.147645999998</v>
      </c>
      <c r="G3228" s="1223">
        <f t="shared" si="753"/>
        <v>11841.175645999998</v>
      </c>
      <c r="H3228" s="1223">
        <f t="shared" si="753"/>
        <v>12240.203645999998</v>
      </c>
      <c r="I3228" s="1223">
        <f t="shared" si="753"/>
        <v>12639.231646</v>
      </c>
      <c r="J3228" s="1001"/>
      <c r="K3228" s="1001">
        <f t="shared" si="753"/>
        <v>13437.287645999999</v>
      </c>
      <c r="L3228" s="1001">
        <f t="shared" si="753"/>
        <v>13836.315645999999</v>
      </c>
    </row>
    <row r="3229" spans="1:64">
      <c r="A3229" s="1197"/>
      <c r="B3229" s="1197"/>
      <c r="C3229" s="1807" t="str">
        <f>Input!$C$48</f>
        <v>Overheads &amp; Contractors Profit @ 13.615%</v>
      </c>
      <c r="D3229" s="1223">
        <f>ROUND(D3228*Input!$D$48,2)</f>
        <v>1449.19</v>
      </c>
      <c r="E3229" s="1223">
        <f>ROUND(E3228*Input!$D$48,2)</f>
        <v>1503.52</v>
      </c>
      <c r="F3229" s="1223">
        <f>ROUND(F3228*Input!$D$48,2)</f>
        <v>1557.85</v>
      </c>
      <c r="G3229" s="1223">
        <f>ROUND(G3228*Input!$D$48,2)</f>
        <v>1612.18</v>
      </c>
      <c r="H3229" s="1223">
        <f>ROUND(H3228*Input!$D$48,2)</f>
        <v>1666.5</v>
      </c>
      <c r="I3229" s="1223">
        <f>ROUND(I3228*Input!$D$48,2)</f>
        <v>1720.83</v>
      </c>
      <c r="J3229" s="1001"/>
      <c r="K3229" s="1001">
        <f>ROUND(K3228*Input!$D$48,2)</f>
        <v>1829.49</v>
      </c>
      <c r="L3229" s="1001">
        <f>ROUND(L3228*Input!$D$48,2)</f>
        <v>1883.81</v>
      </c>
    </row>
    <row r="3230" spans="1:64">
      <c r="A3230" s="1197"/>
      <c r="B3230" s="1197"/>
      <c r="C3230" s="1795" t="s">
        <v>1302</v>
      </c>
      <c r="D3230" s="1223">
        <f t="shared" ref="D3230:L3230" si="754">SUM(D3228:D3229)</f>
        <v>12093.281645999999</v>
      </c>
      <c r="E3230" s="1223">
        <f t="shared" si="754"/>
        <v>12546.639646</v>
      </c>
      <c r="F3230" s="1223">
        <f t="shared" si="754"/>
        <v>12999.997645999998</v>
      </c>
      <c r="G3230" s="1223">
        <f t="shared" si="754"/>
        <v>13453.355645999998</v>
      </c>
      <c r="H3230" s="1223">
        <f t="shared" si="754"/>
        <v>13906.703645999998</v>
      </c>
      <c r="I3230" s="1223">
        <f t="shared" si="754"/>
        <v>14360.061646</v>
      </c>
      <c r="J3230" s="1001"/>
      <c r="K3230" s="1001">
        <f t="shared" si="754"/>
        <v>15266.777645999999</v>
      </c>
      <c r="L3230" s="1001">
        <f t="shared" si="754"/>
        <v>15720.125645999999</v>
      </c>
    </row>
    <row r="3231" spans="1:64" s="997" customFormat="1">
      <c r="A3231" s="1802"/>
      <c r="B3231" s="1802"/>
      <c r="C3231" s="1796" t="s">
        <v>1117</v>
      </c>
      <c r="D3231" s="1218">
        <f t="shared" ref="D3231:L3231" si="755">D3230/10</f>
        <v>1209.3281646</v>
      </c>
      <c r="E3231" s="1218">
        <f t="shared" si="755"/>
        <v>1254.6639645999999</v>
      </c>
      <c r="F3231" s="1218">
        <f t="shared" si="755"/>
        <v>1299.9997645999997</v>
      </c>
      <c r="G3231" s="1218">
        <f t="shared" si="755"/>
        <v>1345.3355645999998</v>
      </c>
      <c r="H3231" s="1218">
        <f t="shared" si="755"/>
        <v>1390.6703645999999</v>
      </c>
      <c r="I3231" s="1218">
        <f t="shared" si="755"/>
        <v>1436.0061645999999</v>
      </c>
      <c r="J3231" s="1826"/>
      <c r="K3231" s="1826">
        <f t="shared" si="755"/>
        <v>1526.6777645999998</v>
      </c>
      <c r="L3231" s="1826">
        <f t="shared" si="755"/>
        <v>1572.0125645999999</v>
      </c>
    </row>
    <row r="3232" spans="1:64" s="997" customFormat="1">
      <c r="A3232" s="1802"/>
      <c r="B3232" s="1802"/>
      <c r="C3232" s="1224" t="s">
        <v>1034</v>
      </c>
      <c r="D3232" s="1225">
        <f t="shared" ref="D3232:L3232" si="756">ROUND(D3231,0)</f>
        <v>1209</v>
      </c>
      <c r="E3232" s="1225">
        <f t="shared" si="756"/>
        <v>1255</v>
      </c>
      <c r="F3232" s="1225">
        <f t="shared" si="756"/>
        <v>1300</v>
      </c>
      <c r="G3232" s="1225">
        <f t="shared" si="756"/>
        <v>1345</v>
      </c>
      <c r="H3232" s="1225">
        <f t="shared" si="756"/>
        <v>1391</v>
      </c>
      <c r="I3232" s="1225">
        <f t="shared" si="756"/>
        <v>1436</v>
      </c>
      <c r="J3232" s="999"/>
      <c r="K3232" s="999">
        <f t="shared" si="756"/>
        <v>1527</v>
      </c>
      <c r="L3232" s="999">
        <f t="shared" si="756"/>
        <v>1572</v>
      </c>
    </row>
    <row r="3233" spans="1:12">
      <c r="A3233" s="1197"/>
      <c r="B3233" s="1197"/>
      <c r="C3233" s="1795"/>
      <c r="D3233" s="1227"/>
      <c r="E3233" s="1221"/>
      <c r="F3233" s="1221"/>
      <c r="G3233" s="1221"/>
      <c r="H3233" s="1221"/>
      <c r="I3233" s="1220"/>
      <c r="J3233" s="1846"/>
      <c r="K3233" s="1846"/>
      <c r="L3233" s="1846"/>
    </row>
    <row r="3234" spans="1:12">
      <c r="A3234" s="1197"/>
      <c r="B3234" s="1222" t="s">
        <v>297</v>
      </c>
      <c r="C3234" s="1795" t="s">
        <v>1462</v>
      </c>
      <c r="D3234" s="1227"/>
      <c r="E3234" s="1228"/>
      <c r="F3234" s="1223"/>
      <c r="G3234" s="1199"/>
      <c r="H3234" s="1229"/>
      <c r="I3234" s="1230"/>
      <c r="J3234" s="1846"/>
      <c r="K3234" s="1846"/>
      <c r="L3234" s="1846"/>
    </row>
    <row r="3235" spans="1:12">
      <c r="A3235" s="1197"/>
      <c r="B3235" s="1197"/>
      <c r="C3235" s="1198" t="s">
        <v>1463</v>
      </c>
      <c r="D3235" s="1228"/>
      <c r="E3235" s="1297"/>
      <c r="F3235" s="1223"/>
      <c r="G3235" s="1272"/>
      <c r="H3235" s="1298"/>
      <c r="I3235" s="1219"/>
      <c r="J3235" s="1846"/>
      <c r="K3235" s="1846"/>
      <c r="L3235" s="1846"/>
    </row>
    <row r="3236" spans="1:12">
      <c r="A3236" s="1197"/>
      <c r="B3236" s="1197"/>
      <c r="C3236" s="1795" t="s">
        <v>1464</v>
      </c>
      <c r="D3236" s="1228"/>
      <c r="E3236" s="1297"/>
      <c r="F3236" s="1223"/>
      <c r="G3236" s="1272"/>
      <c r="H3236" s="1298"/>
      <c r="I3236" s="1219"/>
      <c r="J3236" s="1846"/>
      <c r="K3236" s="1846"/>
      <c r="L3236" s="1846"/>
    </row>
    <row r="3237" spans="1:12">
      <c r="A3237" s="1197"/>
      <c r="B3237" s="1197"/>
      <c r="C3237" s="1795" t="s">
        <v>1139</v>
      </c>
      <c r="D3237" s="1228"/>
      <c r="E3237" s="1297"/>
      <c r="F3237" s="1223"/>
      <c r="G3237" s="1272"/>
      <c r="H3237" s="1298"/>
      <c r="I3237" s="1219"/>
      <c r="J3237" s="1846"/>
      <c r="K3237" s="1846"/>
      <c r="L3237" s="1846"/>
    </row>
    <row r="3238" spans="1:12">
      <c r="A3238" s="1197"/>
      <c r="B3238" s="1197"/>
      <c r="C3238" s="1807" t="s">
        <v>1465</v>
      </c>
      <c r="D3238" s="1228">
        <v>11</v>
      </c>
      <c r="E3238" s="1297" t="s">
        <v>94</v>
      </c>
      <c r="F3238" s="1223">
        <f>LEAD!$N$26</f>
        <v>2705.69</v>
      </c>
      <c r="G3238" s="1272">
        <v>10</v>
      </c>
      <c r="H3238" s="1271" t="s">
        <v>94</v>
      </c>
      <c r="I3238" s="1205">
        <f t="shared" ref="I3238:I3241" si="757">IF(G3238="",D3238*F3238,(D3238*F3238/G3238))</f>
        <v>2976.259</v>
      </c>
      <c r="J3238" s="1846"/>
      <c r="K3238" s="1846"/>
      <c r="L3238" s="1846"/>
    </row>
    <row r="3239" spans="1:12">
      <c r="A3239" s="1197"/>
      <c r="B3239" s="1197"/>
      <c r="C3239" s="1807" t="s">
        <v>1466</v>
      </c>
      <c r="D3239" s="1228">
        <v>0.12</v>
      </c>
      <c r="E3239" s="1297" t="s">
        <v>75</v>
      </c>
      <c r="F3239" s="1223">
        <f>LEAD!$N$13</f>
        <v>2453.91</v>
      </c>
      <c r="G3239" s="1272">
        <v>1</v>
      </c>
      <c r="H3239" s="1271" t="s">
        <v>75</v>
      </c>
      <c r="I3239" s="1205">
        <f t="shared" si="757"/>
        <v>294.46919999999994</v>
      </c>
      <c r="J3239" s="1846"/>
      <c r="K3239" s="1846"/>
      <c r="L3239" s="1846"/>
    </row>
    <row r="3240" spans="1:12">
      <c r="A3240" s="1197"/>
      <c r="B3240" s="1197"/>
      <c r="C3240" s="1807" t="s">
        <v>1467</v>
      </c>
      <c r="D3240" s="1228">
        <v>34.56</v>
      </c>
      <c r="E3240" s="1297" t="s">
        <v>1110</v>
      </c>
      <c r="F3240" s="1223">
        <f>LEAD!$N$6</f>
        <v>5200</v>
      </c>
      <c r="G3240" s="1272">
        <v>1000</v>
      </c>
      <c r="H3240" s="1271" t="s">
        <v>1110</v>
      </c>
      <c r="I3240" s="1205">
        <f t="shared" si="757"/>
        <v>179.71199999999999</v>
      </c>
      <c r="J3240" s="1846"/>
      <c r="K3240" s="1846"/>
      <c r="L3240" s="1846"/>
    </row>
    <row r="3241" spans="1:12">
      <c r="A3241" s="1197"/>
      <c r="B3241" s="1197"/>
      <c r="C3241" s="1807" t="s">
        <v>1398</v>
      </c>
      <c r="D3241" s="1228">
        <v>33</v>
      </c>
      <c r="E3241" s="1297" t="s">
        <v>1110</v>
      </c>
      <c r="F3241" s="1223">
        <f>LEAD!$N$6</f>
        <v>5200</v>
      </c>
      <c r="G3241" s="1272">
        <v>1000</v>
      </c>
      <c r="H3241" s="1271" t="s">
        <v>1110</v>
      </c>
      <c r="I3241" s="1205">
        <f t="shared" si="757"/>
        <v>171.6</v>
      </c>
      <c r="J3241" s="1846"/>
      <c r="K3241" s="1846"/>
      <c r="L3241" s="1846"/>
    </row>
    <row r="3242" spans="1:12">
      <c r="A3242" s="1197"/>
      <c r="B3242" s="1197"/>
      <c r="C3242" s="1795" t="s">
        <v>1468</v>
      </c>
      <c r="D3242" s="1228"/>
      <c r="E3242" s="1297"/>
      <c r="F3242" s="1223"/>
      <c r="G3242" s="1272"/>
      <c r="H3242" s="1298"/>
      <c r="I3242" s="1219"/>
      <c r="J3242" s="1846"/>
      <c r="K3242" s="1846"/>
      <c r="L3242" s="1846"/>
    </row>
    <row r="3243" spans="1:12">
      <c r="A3243" s="1197"/>
      <c r="B3243" s="1197"/>
      <c r="C3243" s="1807" t="s">
        <v>1299</v>
      </c>
      <c r="D3243" s="1228">
        <v>0.96</v>
      </c>
      <c r="E3243" s="1297" t="s">
        <v>36</v>
      </c>
      <c r="F3243" s="1223">
        <f>'Civil-SOR'!$G$293</f>
        <v>580</v>
      </c>
      <c r="G3243" s="1272">
        <v>1</v>
      </c>
      <c r="H3243" s="1271" t="s">
        <v>501</v>
      </c>
      <c r="I3243" s="1205">
        <f t="shared" ref="I3243:I3247" si="758">IF(G3243="",D3243*F3243,(D3243*F3243/G3243))</f>
        <v>556.79999999999995</v>
      </c>
      <c r="J3243" s="1846"/>
      <c r="K3243" s="1846"/>
      <c r="L3243" s="1846"/>
    </row>
    <row r="3244" spans="1:12">
      <c r="A3244" s="1197"/>
      <c r="B3244" s="1197"/>
      <c r="C3244" s="1807" t="s">
        <v>1325</v>
      </c>
      <c r="D3244" s="1228">
        <v>2.2400000000000002</v>
      </c>
      <c r="E3244" s="1297" t="s">
        <v>36</v>
      </c>
      <c r="F3244" s="1223">
        <f>'Civil-SOR'!$G$302</f>
        <v>550</v>
      </c>
      <c r="G3244" s="1272">
        <v>1</v>
      </c>
      <c r="H3244" s="1271" t="s">
        <v>501</v>
      </c>
      <c r="I3244" s="1205">
        <f t="shared" si="758"/>
        <v>1232.0000000000002</v>
      </c>
      <c r="J3244" s="1846"/>
      <c r="K3244" s="1846"/>
      <c r="L3244" s="1846"/>
    </row>
    <row r="3245" spans="1:12">
      <c r="A3245" s="1197"/>
      <c r="B3245" s="1197"/>
      <c r="C3245" s="1807" t="s">
        <v>1031</v>
      </c>
      <c r="D3245" s="1228">
        <v>3.1</v>
      </c>
      <c r="E3245" s="1297" t="s">
        <v>36</v>
      </c>
      <c r="F3245" s="1223">
        <f>'Civil-SOR'!$G$307</f>
        <v>520</v>
      </c>
      <c r="G3245" s="1272">
        <v>1</v>
      </c>
      <c r="H3245" s="1271" t="s">
        <v>501</v>
      </c>
      <c r="I3245" s="1205">
        <f t="shared" si="758"/>
        <v>1612</v>
      </c>
      <c r="J3245" s="1846"/>
      <c r="K3245" s="1846"/>
      <c r="L3245" s="1846"/>
    </row>
    <row r="3246" spans="1:12">
      <c r="A3246" s="1197"/>
      <c r="B3246" s="1197"/>
      <c r="C3246" s="1199" t="str">
        <f>Input!$C$47</f>
        <v>Add for MA @ 40%</v>
      </c>
      <c r="D3246" s="1277">
        <f>Input!$D$47</f>
        <v>0.4</v>
      </c>
      <c r="E3246" s="1276"/>
      <c r="F3246" s="1223">
        <f>SUM(I3243:I3245)</f>
        <v>3400.8</v>
      </c>
      <c r="G3246" s="1278"/>
      <c r="H3246" s="1279"/>
      <c r="I3246" s="1205">
        <f t="shared" si="758"/>
        <v>1360.3200000000002</v>
      </c>
      <c r="J3246" s="1846"/>
      <c r="K3246" s="1846"/>
      <c r="L3246" s="1846"/>
    </row>
    <row r="3247" spans="1:12">
      <c r="A3247" s="1197"/>
      <c r="B3247" s="1197"/>
      <c r="C3247" s="1202" t="s">
        <v>1301</v>
      </c>
      <c r="D3247" s="1228">
        <v>0.01</v>
      </c>
      <c r="E3247" s="1297"/>
      <c r="F3247" s="1223">
        <f>SUM(I3238:I3246)</f>
        <v>8383.1602000000003</v>
      </c>
      <c r="G3247" s="1272"/>
      <c r="H3247" s="1271"/>
      <c r="I3247" s="1205">
        <f t="shared" si="758"/>
        <v>83.831602000000004</v>
      </c>
      <c r="J3247" s="1846"/>
      <c r="K3247" s="1846"/>
      <c r="L3247" s="1846"/>
    </row>
    <row r="3248" spans="1:12">
      <c r="A3248" s="1197"/>
      <c r="B3248" s="1197"/>
      <c r="C3248" s="1814" t="s">
        <v>1402</v>
      </c>
      <c r="D3248" s="1228"/>
      <c r="E3248" s="1271"/>
      <c r="F3248" s="1223"/>
      <c r="G3248" s="1272"/>
      <c r="H3248" s="1271"/>
      <c r="I3248" s="1230">
        <f>SUM(I3238:I3247)</f>
        <v>8466.9918020000005</v>
      </c>
      <c r="J3248" s="1846"/>
      <c r="K3248" s="1846"/>
      <c r="L3248" s="1846"/>
    </row>
    <row r="3249" spans="1:12">
      <c r="A3249" s="1197"/>
      <c r="B3249" s="1197"/>
      <c r="C3249" s="1795"/>
      <c r="D3249" s="1227"/>
      <c r="E3249" s="1228"/>
      <c r="F3249" s="1223"/>
      <c r="G3249" s="1199"/>
      <c r="H3249" s="1229"/>
      <c r="I3249" s="1230"/>
      <c r="J3249" s="1846"/>
      <c r="K3249" s="1846"/>
      <c r="L3249" s="1846"/>
    </row>
    <row r="3250" spans="1:12" s="997" customFormat="1">
      <c r="A3250" s="1802"/>
      <c r="B3250" s="1802"/>
      <c r="C3250" s="1796" t="s">
        <v>1217</v>
      </c>
      <c r="D3250" s="1218" t="s">
        <v>1223</v>
      </c>
      <c r="E3250" s="1225" t="s">
        <v>1207</v>
      </c>
      <c r="F3250" s="1299" t="s">
        <v>1208</v>
      </c>
      <c r="G3250" s="1218" t="s">
        <v>1291</v>
      </c>
      <c r="H3250" s="1218" t="s">
        <v>1292</v>
      </c>
      <c r="I3250" s="1218" t="s">
        <v>1293</v>
      </c>
      <c r="J3250" s="1826"/>
      <c r="K3250" s="1826" t="s">
        <v>1358</v>
      </c>
      <c r="L3250" s="1826" t="s">
        <v>1359</v>
      </c>
    </row>
    <row r="3251" spans="1:12">
      <c r="A3251" s="1197"/>
      <c r="B3251" s="1197"/>
      <c r="C3251" s="1807" t="s">
        <v>1317</v>
      </c>
      <c r="D3251" s="1223">
        <f t="shared" ref="D3251:L3251" si="759">$I$3248</f>
        <v>8466.9918020000005</v>
      </c>
      <c r="E3251" s="1223">
        <f t="shared" si="759"/>
        <v>8466.9918020000005</v>
      </c>
      <c r="F3251" s="1223">
        <f t="shared" si="759"/>
        <v>8466.9918020000005</v>
      </c>
      <c r="G3251" s="1223">
        <f t="shared" si="759"/>
        <v>8466.9918020000005</v>
      </c>
      <c r="H3251" s="1223">
        <f t="shared" si="759"/>
        <v>8466.9918020000005</v>
      </c>
      <c r="I3251" s="1223">
        <f t="shared" si="759"/>
        <v>8466.9918020000005</v>
      </c>
      <c r="J3251" s="1001"/>
      <c r="K3251" s="1001">
        <f t="shared" si="759"/>
        <v>8466.9918020000005</v>
      </c>
      <c r="L3251" s="1001">
        <f t="shared" si="759"/>
        <v>8466.9918020000005</v>
      </c>
    </row>
    <row r="3252" spans="1:12">
      <c r="A3252" s="1197"/>
      <c r="B3252" s="1197"/>
      <c r="C3252" s="1807" t="s">
        <v>1253</v>
      </c>
      <c r="D3252" s="1223">
        <v>0</v>
      </c>
      <c r="E3252" s="1223">
        <f>ROUND($F$3246*10%,2)</f>
        <v>340.08</v>
      </c>
      <c r="F3252" s="1223">
        <f>ROUND($F$3246*20%,2)</f>
        <v>680.16</v>
      </c>
      <c r="G3252" s="1223">
        <f>ROUND($F$3246*30%,2)</f>
        <v>1020.24</v>
      </c>
      <c r="H3252" s="1223">
        <f>ROUND($F$3246*40%,2)</f>
        <v>1360.32</v>
      </c>
      <c r="I3252" s="1223">
        <f>ROUND($F$3246*50%,2)</f>
        <v>1700.4</v>
      </c>
      <c r="J3252" s="1001"/>
      <c r="K3252" s="1001">
        <f>ROUND($F$3246*70%,2)</f>
        <v>2380.56</v>
      </c>
      <c r="L3252" s="1001">
        <f>ROUND($F$3246*80%,2)</f>
        <v>2720.64</v>
      </c>
    </row>
    <row r="3253" spans="1:12">
      <c r="A3253" s="1197"/>
      <c r="B3253" s="1197"/>
      <c r="C3253" s="1807" t="str">
        <f>Input!$C$47</f>
        <v>Add for MA @ 40%</v>
      </c>
      <c r="D3253" s="1223">
        <f>D3252*Input!$D$47</f>
        <v>0</v>
      </c>
      <c r="E3253" s="1223">
        <f>E3252*Input!$D$47</f>
        <v>136.03200000000001</v>
      </c>
      <c r="F3253" s="1223">
        <f>F3252*Input!$D$47</f>
        <v>272.06400000000002</v>
      </c>
      <c r="G3253" s="1223">
        <f>G3252*Input!$D$47</f>
        <v>408.096</v>
      </c>
      <c r="H3253" s="1223">
        <f>H3252*Input!$D$47</f>
        <v>544.12800000000004</v>
      </c>
      <c r="I3253" s="1223">
        <f>I3252*Input!$D$47</f>
        <v>680.16000000000008</v>
      </c>
      <c r="J3253" s="1001"/>
      <c r="K3253" s="1001">
        <f>K3252*Input!$D$47</f>
        <v>952.22400000000005</v>
      </c>
      <c r="L3253" s="1001">
        <f>L3252*Input!$D$47</f>
        <v>1088.2560000000001</v>
      </c>
    </row>
    <row r="3254" spans="1:12">
      <c r="A3254" s="1197"/>
      <c r="B3254" s="1197"/>
      <c r="C3254" s="1199"/>
      <c r="D3254" s="1223">
        <f t="shared" ref="D3254:L3254" si="760">SUM(D3251:D3253)</f>
        <v>8466.9918020000005</v>
      </c>
      <c r="E3254" s="1223">
        <f t="shared" si="760"/>
        <v>8943.1038019999996</v>
      </c>
      <c r="F3254" s="1223">
        <f t="shared" si="760"/>
        <v>9419.2158020000006</v>
      </c>
      <c r="G3254" s="1223">
        <f t="shared" si="760"/>
        <v>9895.3278019999998</v>
      </c>
      <c r="H3254" s="1223">
        <f t="shared" si="760"/>
        <v>10371.439802000001</v>
      </c>
      <c r="I3254" s="1223">
        <f t="shared" si="760"/>
        <v>10847.551802</v>
      </c>
      <c r="J3254" s="1001"/>
      <c r="K3254" s="1001">
        <f t="shared" si="760"/>
        <v>11799.775802</v>
      </c>
      <c r="L3254" s="1001">
        <f t="shared" si="760"/>
        <v>12275.887801999999</v>
      </c>
    </row>
    <row r="3255" spans="1:12">
      <c r="A3255" s="1197"/>
      <c r="B3255" s="1197"/>
      <c r="C3255" s="1807" t="str">
        <f>Input!$C$48</f>
        <v>Overheads &amp; Contractors Profit @ 13.615%</v>
      </c>
      <c r="D3255" s="1223">
        <f>ROUND(D3254*Input!$D$48,2)</f>
        <v>1152.78</v>
      </c>
      <c r="E3255" s="1223">
        <f>ROUND(E3254*Input!$D$48,2)</f>
        <v>1217.5999999999999</v>
      </c>
      <c r="F3255" s="1223">
        <f>ROUND(F3254*Input!$D$48,2)</f>
        <v>1282.43</v>
      </c>
      <c r="G3255" s="1223">
        <f>ROUND(G3254*Input!$D$48,2)</f>
        <v>1347.25</v>
      </c>
      <c r="H3255" s="1223">
        <f>ROUND(H3254*Input!$D$48,2)</f>
        <v>1412.07</v>
      </c>
      <c r="I3255" s="1223">
        <f>ROUND(I3254*Input!$D$48,2)</f>
        <v>1476.89</v>
      </c>
      <c r="J3255" s="1001"/>
      <c r="K3255" s="1001">
        <f>ROUND(K3254*Input!$D$48,2)</f>
        <v>1606.54</v>
      </c>
      <c r="L3255" s="1001">
        <f>ROUND(L3254*Input!$D$48,2)</f>
        <v>1671.36</v>
      </c>
    </row>
    <row r="3256" spans="1:12">
      <c r="A3256" s="1197"/>
      <c r="B3256" s="1197"/>
      <c r="C3256" s="1795" t="s">
        <v>1302</v>
      </c>
      <c r="D3256" s="1220">
        <f t="shared" ref="D3256:L3256" si="761">SUM(D3254:D3255)</f>
        <v>9619.7718020000011</v>
      </c>
      <c r="E3256" s="1220">
        <f t="shared" si="761"/>
        <v>10160.703802</v>
      </c>
      <c r="F3256" s="1220">
        <f t="shared" si="761"/>
        <v>10701.645802000001</v>
      </c>
      <c r="G3256" s="1220">
        <f t="shared" si="761"/>
        <v>11242.577802</v>
      </c>
      <c r="H3256" s="1220">
        <f t="shared" si="761"/>
        <v>11783.509802</v>
      </c>
      <c r="I3256" s="1220">
        <f t="shared" si="761"/>
        <v>12324.441801999999</v>
      </c>
      <c r="J3256" s="1009"/>
      <c r="K3256" s="1009">
        <f t="shared" si="761"/>
        <v>13406.315802000001</v>
      </c>
      <c r="L3256" s="1009">
        <f t="shared" si="761"/>
        <v>13947.247802</v>
      </c>
    </row>
    <row r="3257" spans="1:12">
      <c r="A3257" s="1197"/>
      <c r="B3257" s="1197"/>
      <c r="C3257" s="1795" t="s">
        <v>1117</v>
      </c>
      <c r="D3257" s="1220">
        <f t="shared" ref="D3257:L3257" si="762">D3256/10</f>
        <v>961.97718020000013</v>
      </c>
      <c r="E3257" s="1220">
        <f t="shared" si="762"/>
        <v>1016.0703802</v>
      </c>
      <c r="F3257" s="1220">
        <f t="shared" si="762"/>
        <v>1070.1645802</v>
      </c>
      <c r="G3257" s="1220">
        <f t="shared" si="762"/>
        <v>1124.2577802000001</v>
      </c>
      <c r="H3257" s="1220">
        <f t="shared" si="762"/>
        <v>1178.3509802000001</v>
      </c>
      <c r="I3257" s="1220">
        <f t="shared" si="762"/>
        <v>1232.4441801999999</v>
      </c>
      <c r="J3257" s="1009"/>
      <c r="K3257" s="1009">
        <f t="shared" si="762"/>
        <v>1340.6315802000001</v>
      </c>
      <c r="L3257" s="1009">
        <f t="shared" si="762"/>
        <v>1394.7247801999999</v>
      </c>
    </row>
    <row r="3258" spans="1:12" s="997" customFormat="1">
      <c r="A3258" s="1802"/>
      <c r="B3258" s="1802"/>
      <c r="C3258" s="1224" t="s">
        <v>1034</v>
      </c>
      <c r="D3258" s="1225">
        <f t="shared" ref="D3258:L3258" si="763">ROUND(D3257,0)</f>
        <v>962</v>
      </c>
      <c r="E3258" s="1225">
        <f t="shared" si="763"/>
        <v>1016</v>
      </c>
      <c r="F3258" s="1225">
        <f t="shared" si="763"/>
        <v>1070</v>
      </c>
      <c r="G3258" s="1225">
        <f t="shared" si="763"/>
        <v>1124</v>
      </c>
      <c r="H3258" s="1225">
        <f t="shared" si="763"/>
        <v>1178</v>
      </c>
      <c r="I3258" s="1225">
        <f t="shared" si="763"/>
        <v>1232</v>
      </c>
      <c r="J3258" s="999"/>
      <c r="K3258" s="999">
        <f t="shared" si="763"/>
        <v>1341</v>
      </c>
      <c r="L3258" s="999">
        <f t="shared" si="763"/>
        <v>1395</v>
      </c>
    </row>
    <row r="3259" spans="1:12">
      <c r="A3259" s="1197"/>
      <c r="B3259" s="1197"/>
      <c r="C3259" s="1795"/>
      <c r="D3259" s="1221"/>
      <c r="E3259" s="1221"/>
      <c r="F3259" s="1221"/>
      <c r="G3259" s="1221"/>
      <c r="H3259" s="1229"/>
      <c r="I3259" s="1230"/>
      <c r="J3259" s="1846"/>
      <c r="K3259" s="1846"/>
      <c r="L3259" s="1846"/>
    </row>
    <row r="3260" spans="1:12">
      <c r="A3260" s="1197"/>
      <c r="B3260" s="1197"/>
      <c r="C3260" s="1795"/>
      <c r="D3260" s="1221"/>
      <c r="E3260" s="1221"/>
      <c r="F3260" s="1221"/>
      <c r="G3260" s="1221"/>
      <c r="H3260" s="1229"/>
      <c r="I3260" s="1230"/>
      <c r="J3260" s="1846"/>
      <c r="K3260" s="1846"/>
      <c r="L3260" s="1846"/>
    </row>
    <row r="3261" spans="1:12" ht="111.2" customHeight="1">
      <c r="A3261" s="1197">
        <f>A3204+1</f>
        <v>40</v>
      </c>
      <c r="B3261" s="1197"/>
      <c r="C3261" s="2006" t="s">
        <v>3438</v>
      </c>
      <c r="D3261" s="2006"/>
      <c r="E3261" s="2006"/>
      <c r="F3261" s="2006"/>
      <c r="G3261" s="2006"/>
      <c r="H3261" s="2006"/>
      <c r="I3261" s="1814"/>
      <c r="J3261" s="1846"/>
      <c r="K3261" s="1846"/>
      <c r="L3261" s="1846"/>
    </row>
    <row r="3262" spans="1:12">
      <c r="A3262" s="1197"/>
      <c r="B3262" s="1197" t="s">
        <v>294</v>
      </c>
      <c r="C3262" s="1795" t="s">
        <v>1457</v>
      </c>
      <c r="D3262" s="1807"/>
      <c r="E3262" s="1807"/>
      <c r="F3262" s="1794"/>
      <c r="G3262" s="1807"/>
      <c r="H3262" s="1807"/>
      <c r="I3262" s="1209"/>
      <c r="J3262" s="1846"/>
      <c r="K3262" s="1846"/>
      <c r="L3262" s="1846"/>
    </row>
    <row r="3263" spans="1:12">
      <c r="A3263" s="1197"/>
      <c r="B3263" s="1197"/>
      <c r="C3263" s="1198" t="s">
        <v>1393</v>
      </c>
      <c r="D3263" s="1199"/>
      <c r="E3263" s="1199"/>
      <c r="F3263" s="1200"/>
      <c r="G3263" s="1199"/>
      <c r="H3263" s="1199"/>
      <c r="I3263" s="1201"/>
      <c r="J3263" s="1846"/>
      <c r="K3263" s="1846"/>
      <c r="L3263" s="1846"/>
    </row>
    <row r="3264" spans="1:12">
      <c r="A3264" s="1197"/>
      <c r="B3264" s="1197"/>
      <c r="C3264" s="1202" t="s">
        <v>1394</v>
      </c>
      <c r="D3264" s="1199"/>
      <c r="E3264" s="1199"/>
      <c r="F3264" s="1200"/>
      <c r="G3264" s="1199"/>
      <c r="H3264" s="1199"/>
      <c r="I3264" s="1201"/>
      <c r="J3264" s="1846"/>
      <c r="K3264" s="1846"/>
      <c r="L3264" s="1846"/>
    </row>
    <row r="3265" spans="1:64">
      <c r="A3265" s="1197"/>
      <c r="B3265" s="1197"/>
      <c r="C3265" s="1814" t="s">
        <v>1395</v>
      </c>
      <c r="D3265" s="1203"/>
      <c r="E3265" s="1199"/>
      <c r="F3265" s="1201"/>
      <c r="G3265" s="1204"/>
      <c r="H3265" s="1199"/>
      <c r="I3265" s="1205"/>
      <c r="J3265" s="1846"/>
      <c r="K3265" s="1846"/>
      <c r="L3265" s="1846"/>
    </row>
    <row r="3266" spans="1:64" ht="25.5">
      <c r="A3266" s="1206"/>
      <c r="B3266" s="1206"/>
      <c r="C3266" s="1208" t="s">
        <v>1469</v>
      </c>
      <c r="D3266" s="1207">
        <v>11</v>
      </c>
      <c r="E3266" s="1208" t="s">
        <v>46</v>
      </c>
      <c r="F3266" s="1300">
        <f>LEAD!$N$27</f>
        <v>1545.69</v>
      </c>
      <c r="G3266" s="1210">
        <v>10</v>
      </c>
      <c r="H3266" s="1208" t="s">
        <v>46</v>
      </c>
      <c r="I3266" s="1211">
        <f t="shared" ref="I3266:I3270" si="764">IF(G3266="",D3266*F3266,(D3266*F3266/G3266))</f>
        <v>1700.259</v>
      </c>
      <c r="J3266" s="1301"/>
      <c r="K3266" s="1022"/>
      <c r="L3266" s="1022"/>
      <c r="M3266" s="1066"/>
      <c r="N3266" s="1066"/>
      <c r="O3266" s="1066"/>
      <c r="P3266" s="1066"/>
      <c r="Q3266" s="1066"/>
      <c r="R3266" s="1066"/>
      <c r="S3266" s="1066"/>
      <c r="T3266" s="1066"/>
      <c r="U3266" s="1066"/>
      <c r="V3266" s="1066"/>
      <c r="W3266" s="1066"/>
      <c r="X3266" s="1066"/>
      <c r="Y3266" s="1066"/>
      <c r="Z3266" s="1066"/>
      <c r="AA3266" s="1066"/>
      <c r="AB3266" s="1066"/>
      <c r="AC3266" s="1066"/>
      <c r="AD3266" s="1066"/>
      <c r="AE3266" s="1066"/>
      <c r="AF3266" s="1066"/>
      <c r="AG3266" s="1066"/>
      <c r="AH3266" s="1066"/>
      <c r="AI3266" s="1066"/>
      <c r="AJ3266" s="1066"/>
      <c r="AK3266" s="1066"/>
      <c r="AL3266" s="1066"/>
      <c r="AM3266" s="1066"/>
      <c r="AN3266" s="1066"/>
      <c r="AO3266" s="1066"/>
      <c r="AP3266" s="1066"/>
      <c r="AQ3266" s="1066"/>
      <c r="AR3266" s="1066"/>
      <c r="AS3266" s="1066"/>
      <c r="AT3266" s="1066"/>
      <c r="AU3266" s="1066"/>
      <c r="AV3266" s="1066"/>
      <c r="AW3266" s="1066"/>
      <c r="AX3266" s="1066"/>
      <c r="AY3266" s="1066"/>
      <c r="AZ3266" s="1066"/>
      <c r="BA3266" s="1066"/>
      <c r="BB3266" s="1066"/>
      <c r="BC3266" s="1066"/>
      <c r="BD3266" s="1066"/>
      <c r="BE3266" s="1066"/>
      <c r="BF3266" s="1066"/>
      <c r="BG3266" s="1066"/>
      <c r="BH3266" s="1066"/>
      <c r="BI3266" s="1066"/>
      <c r="BJ3266" s="1066"/>
      <c r="BK3266" s="1066"/>
      <c r="BL3266" s="1066"/>
    </row>
    <row r="3267" spans="1:64">
      <c r="A3267" s="1206"/>
      <c r="B3267" s="1206"/>
      <c r="C3267" s="1807" t="s">
        <v>1458</v>
      </c>
      <c r="D3267" s="1207">
        <v>34.56</v>
      </c>
      <c r="E3267" s="1208" t="s">
        <v>1110</v>
      </c>
      <c r="F3267" s="1209">
        <f>LEAD!$N$6</f>
        <v>5200</v>
      </c>
      <c r="G3267" s="1210">
        <v>1000</v>
      </c>
      <c r="H3267" s="1208" t="s">
        <v>1110</v>
      </c>
      <c r="I3267" s="1211">
        <f t="shared" si="764"/>
        <v>179.71199999999999</v>
      </c>
      <c r="J3267" s="1022"/>
      <c r="K3267" s="1022"/>
      <c r="L3267" s="1022"/>
      <c r="M3267" s="1066"/>
      <c r="N3267" s="1066"/>
      <c r="O3267" s="1066"/>
      <c r="P3267" s="1066"/>
      <c r="Q3267" s="1066"/>
      <c r="R3267" s="1066"/>
      <c r="S3267" s="1066"/>
      <c r="T3267" s="1066"/>
      <c r="U3267" s="1066"/>
      <c r="V3267" s="1066"/>
      <c r="W3267" s="1066"/>
      <c r="X3267" s="1066"/>
      <c r="Y3267" s="1066"/>
      <c r="Z3267" s="1066"/>
      <c r="AA3267" s="1066"/>
      <c r="AB3267" s="1066"/>
      <c r="AC3267" s="1066"/>
      <c r="AD3267" s="1066"/>
      <c r="AE3267" s="1066"/>
      <c r="AF3267" s="1066"/>
      <c r="AG3267" s="1066"/>
      <c r="AH3267" s="1066"/>
      <c r="AI3267" s="1066"/>
      <c r="AJ3267" s="1066"/>
      <c r="AK3267" s="1066"/>
      <c r="AL3267" s="1066"/>
      <c r="AM3267" s="1066"/>
      <c r="AN3267" s="1066"/>
      <c r="AO3267" s="1066"/>
      <c r="AP3267" s="1066"/>
      <c r="AQ3267" s="1066"/>
      <c r="AR3267" s="1066"/>
      <c r="AS3267" s="1066"/>
      <c r="AT3267" s="1066"/>
      <c r="AU3267" s="1066"/>
      <c r="AV3267" s="1066"/>
      <c r="AW3267" s="1066"/>
      <c r="AX3267" s="1066"/>
      <c r="AY3267" s="1066"/>
      <c r="AZ3267" s="1066"/>
      <c r="BA3267" s="1066"/>
      <c r="BB3267" s="1066"/>
      <c r="BC3267" s="1066"/>
      <c r="BD3267" s="1066"/>
      <c r="BE3267" s="1066"/>
      <c r="BF3267" s="1066"/>
      <c r="BG3267" s="1066"/>
      <c r="BH3267" s="1066"/>
      <c r="BI3267" s="1066"/>
      <c r="BJ3267" s="1066"/>
      <c r="BK3267" s="1066"/>
      <c r="BL3267" s="1066"/>
    </row>
    <row r="3268" spans="1:64">
      <c r="A3268" s="1206"/>
      <c r="B3268" s="1206"/>
      <c r="C3268" s="1807" t="s">
        <v>1398</v>
      </c>
      <c r="D3268" s="1207">
        <v>33</v>
      </c>
      <c r="E3268" s="1208" t="s">
        <v>1110</v>
      </c>
      <c r="F3268" s="1209">
        <f>LEAD!$N$6</f>
        <v>5200</v>
      </c>
      <c r="G3268" s="1210">
        <v>1000</v>
      </c>
      <c r="H3268" s="1208" t="s">
        <v>1110</v>
      </c>
      <c r="I3268" s="1211">
        <f t="shared" si="764"/>
        <v>171.6</v>
      </c>
      <c r="J3268" s="1022"/>
      <c r="K3268" s="1022"/>
      <c r="L3268" s="1022"/>
      <c r="M3268" s="1066"/>
      <c r="N3268" s="1066"/>
      <c r="O3268" s="1066"/>
      <c r="P3268" s="1066"/>
      <c r="Q3268" s="1066"/>
      <c r="R3268" s="1066"/>
      <c r="S3268" s="1066"/>
      <c r="T3268" s="1066"/>
      <c r="U3268" s="1066"/>
      <c r="V3268" s="1066"/>
      <c r="W3268" s="1066"/>
      <c r="X3268" s="1066"/>
      <c r="Y3268" s="1066"/>
      <c r="Z3268" s="1066"/>
      <c r="AA3268" s="1066"/>
      <c r="AB3268" s="1066"/>
      <c r="AC3268" s="1066"/>
      <c r="AD3268" s="1066"/>
      <c r="AE3268" s="1066"/>
      <c r="AF3268" s="1066"/>
      <c r="AG3268" s="1066"/>
      <c r="AH3268" s="1066"/>
      <c r="AI3268" s="1066"/>
      <c r="AJ3268" s="1066"/>
      <c r="AK3268" s="1066"/>
      <c r="AL3268" s="1066"/>
      <c r="AM3268" s="1066"/>
      <c r="AN3268" s="1066"/>
      <c r="AO3268" s="1066"/>
      <c r="AP3268" s="1066"/>
      <c r="AQ3268" s="1066"/>
      <c r="AR3268" s="1066"/>
      <c r="AS3268" s="1066"/>
      <c r="AT3268" s="1066"/>
      <c r="AU3268" s="1066"/>
      <c r="AV3268" s="1066"/>
      <c r="AW3268" s="1066"/>
      <c r="AX3268" s="1066"/>
      <c r="AY3268" s="1066"/>
      <c r="AZ3268" s="1066"/>
      <c r="BA3268" s="1066"/>
      <c r="BB3268" s="1066"/>
      <c r="BC3268" s="1066"/>
      <c r="BD3268" s="1066"/>
      <c r="BE3268" s="1066"/>
      <c r="BF3268" s="1066"/>
      <c r="BG3268" s="1066"/>
      <c r="BH3268" s="1066"/>
      <c r="BI3268" s="1066"/>
      <c r="BJ3268" s="1066"/>
      <c r="BK3268" s="1066"/>
      <c r="BL3268" s="1066"/>
    </row>
    <row r="3269" spans="1:64">
      <c r="A3269" s="1206"/>
      <c r="B3269" s="1206"/>
      <c r="C3269" s="1807" t="s">
        <v>1459</v>
      </c>
      <c r="D3269" s="1207">
        <v>20</v>
      </c>
      <c r="E3269" s="1208" t="s">
        <v>1110</v>
      </c>
      <c r="F3269" s="1209">
        <f>LEAD!$N$6</f>
        <v>5200</v>
      </c>
      <c r="G3269" s="1210">
        <v>1000</v>
      </c>
      <c r="H3269" s="1208" t="s">
        <v>1110</v>
      </c>
      <c r="I3269" s="1211">
        <f t="shared" si="764"/>
        <v>104</v>
      </c>
      <c r="J3269" s="1022"/>
      <c r="K3269" s="1022"/>
      <c r="L3269" s="1022"/>
      <c r="M3269" s="1066"/>
      <c r="N3269" s="1066"/>
      <c r="O3269" s="1066"/>
      <c r="P3269" s="1066"/>
      <c r="Q3269" s="1066"/>
      <c r="R3269" s="1066"/>
      <c r="S3269" s="1066"/>
      <c r="T3269" s="1066"/>
      <c r="U3269" s="1066"/>
      <c r="V3269" s="1066"/>
      <c r="W3269" s="1066"/>
      <c r="X3269" s="1066"/>
      <c r="Y3269" s="1066"/>
      <c r="Z3269" s="1066"/>
      <c r="AA3269" s="1066"/>
      <c r="AB3269" s="1066"/>
      <c r="AC3269" s="1066"/>
      <c r="AD3269" s="1066"/>
      <c r="AE3269" s="1066"/>
      <c r="AF3269" s="1066"/>
      <c r="AG3269" s="1066"/>
      <c r="AH3269" s="1066"/>
      <c r="AI3269" s="1066"/>
      <c r="AJ3269" s="1066"/>
      <c r="AK3269" s="1066"/>
      <c r="AL3269" s="1066"/>
      <c r="AM3269" s="1066"/>
      <c r="AN3269" s="1066"/>
      <c r="AO3269" s="1066"/>
      <c r="AP3269" s="1066"/>
      <c r="AQ3269" s="1066"/>
      <c r="AR3269" s="1066"/>
      <c r="AS3269" s="1066"/>
      <c r="AT3269" s="1066"/>
      <c r="AU3269" s="1066"/>
      <c r="AV3269" s="1066"/>
      <c r="AW3269" s="1066"/>
      <c r="AX3269" s="1066"/>
      <c r="AY3269" s="1066"/>
      <c r="AZ3269" s="1066"/>
      <c r="BA3269" s="1066"/>
      <c r="BB3269" s="1066"/>
      <c r="BC3269" s="1066"/>
      <c r="BD3269" s="1066"/>
      <c r="BE3269" s="1066"/>
      <c r="BF3269" s="1066"/>
      <c r="BG3269" s="1066"/>
      <c r="BH3269" s="1066"/>
      <c r="BI3269" s="1066"/>
      <c r="BJ3269" s="1066"/>
      <c r="BK3269" s="1066"/>
      <c r="BL3269" s="1066"/>
    </row>
    <row r="3270" spans="1:64">
      <c r="A3270" s="1206"/>
      <c r="B3270" s="1206"/>
      <c r="C3270" s="1807" t="s">
        <v>1460</v>
      </c>
      <c r="D3270" s="1207">
        <v>0.12</v>
      </c>
      <c r="E3270" s="1208" t="s">
        <v>484</v>
      </c>
      <c r="F3270" s="1209">
        <f>LEAD!$N$13</f>
        <v>2453.91</v>
      </c>
      <c r="G3270" s="1210">
        <v>1</v>
      </c>
      <c r="H3270" s="1208" t="s">
        <v>484</v>
      </c>
      <c r="I3270" s="1211">
        <f t="shared" si="764"/>
        <v>294.46919999999994</v>
      </c>
      <c r="J3270" s="1022"/>
      <c r="K3270" s="1022"/>
      <c r="L3270" s="1022"/>
      <c r="M3270" s="1066"/>
      <c r="N3270" s="1066"/>
      <c r="O3270" s="1066"/>
      <c r="P3270" s="1066"/>
      <c r="Q3270" s="1066"/>
      <c r="R3270" s="1066"/>
      <c r="S3270" s="1066"/>
      <c r="T3270" s="1066"/>
      <c r="U3270" s="1066"/>
      <c r="V3270" s="1066"/>
      <c r="W3270" s="1066"/>
      <c r="X3270" s="1066"/>
      <c r="Y3270" s="1066"/>
      <c r="Z3270" s="1066"/>
      <c r="AA3270" s="1066"/>
      <c r="AB3270" s="1066"/>
      <c r="AC3270" s="1066"/>
      <c r="AD3270" s="1066"/>
      <c r="AE3270" s="1066"/>
      <c r="AF3270" s="1066"/>
      <c r="AG3270" s="1066"/>
      <c r="AH3270" s="1066"/>
      <c r="AI3270" s="1066"/>
      <c r="AJ3270" s="1066"/>
      <c r="AK3270" s="1066"/>
      <c r="AL3270" s="1066"/>
      <c r="AM3270" s="1066"/>
      <c r="AN3270" s="1066"/>
      <c r="AO3270" s="1066"/>
      <c r="AP3270" s="1066"/>
      <c r="AQ3270" s="1066"/>
      <c r="AR3270" s="1066"/>
      <c r="AS3270" s="1066"/>
      <c r="AT3270" s="1066"/>
      <c r="AU3270" s="1066"/>
      <c r="AV3270" s="1066"/>
      <c r="AW3270" s="1066"/>
      <c r="AX3270" s="1066"/>
      <c r="AY3270" s="1066"/>
      <c r="AZ3270" s="1066"/>
      <c r="BA3270" s="1066"/>
      <c r="BB3270" s="1066"/>
      <c r="BC3270" s="1066"/>
      <c r="BD3270" s="1066"/>
      <c r="BE3270" s="1066"/>
      <c r="BF3270" s="1066"/>
      <c r="BG3270" s="1066"/>
      <c r="BH3270" s="1066"/>
      <c r="BI3270" s="1066"/>
      <c r="BJ3270" s="1066"/>
      <c r="BK3270" s="1066"/>
      <c r="BL3270" s="1066"/>
    </row>
    <row r="3271" spans="1:64">
      <c r="A3271" s="1206"/>
      <c r="B3271" s="1206"/>
      <c r="C3271" s="1795" t="s">
        <v>1324</v>
      </c>
      <c r="D3271" s="1207"/>
      <c r="E3271" s="1208"/>
      <c r="F3271" s="1209"/>
      <c r="G3271" s="1210"/>
      <c r="H3271" s="1208"/>
      <c r="I3271" s="1211"/>
      <c r="J3271" s="1022"/>
      <c r="K3271" s="1022"/>
      <c r="L3271" s="1022"/>
      <c r="M3271" s="1066"/>
      <c r="N3271" s="1066"/>
      <c r="O3271" s="1066"/>
      <c r="P3271" s="1066"/>
      <c r="Q3271" s="1066"/>
      <c r="R3271" s="1066"/>
      <c r="S3271" s="1066"/>
      <c r="T3271" s="1066"/>
      <c r="U3271" s="1066"/>
      <c r="V3271" s="1066"/>
      <c r="W3271" s="1066"/>
      <c r="X3271" s="1066"/>
      <c r="Y3271" s="1066"/>
      <c r="Z3271" s="1066"/>
      <c r="AA3271" s="1066"/>
      <c r="AB3271" s="1066"/>
      <c r="AC3271" s="1066"/>
      <c r="AD3271" s="1066"/>
      <c r="AE3271" s="1066"/>
      <c r="AF3271" s="1066"/>
      <c r="AG3271" s="1066"/>
      <c r="AH3271" s="1066"/>
      <c r="AI3271" s="1066"/>
      <c r="AJ3271" s="1066"/>
      <c r="AK3271" s="1066"/>
      <c r="AL3271" s="1066"/>
      <c r="AM3271" s="1066"/>
      <c r="AN3271" s="1066"/>
      <c r="AO3271" s="1066"/>
      <c r="AP3271" s="1066"/>
      <c r="AQ3271" s="1066"/>
      <c r="AR3271" s="1066"/>
      <c r="AS3271" s="1066"/>
      <c r="AT3271" s="1066"/>
      <c r="AU3271" s="1066"/>
      <c r="AV3271" s="1066"/>
      <c r="AW3271" s="1066"/>
      <c r="AX3271" s="1066"/>
      <c r="AY3271" s="1066"/>
      <c r="AZ3271" s="1066"/>
      <c r="BA3271" s="1066"/>
      <c r="BB3271" s="1066"/>
      <c r="BC3271" s="1066"/>
      <c r="BD3271" s="1066"/>
      <c r="BE3271" s="1066"/>
      <c r="BF3271" s="1066"/>
      <c r="BG3271" s="1066"/>
      <c r="BH3271" s="1066"/>
      <c r="BI3271" s="1066"/>
      <c r="BJ3271" s="1066"/>
      <c r="BK3271" s="1066"/>
      <c r="BL3271" s="1066"/>
    </row>
    <row r="3272" spans="1:64">
      <c r="A3272" s="1206"/>
      <c r="B3272" s="1206"/>
      <c r="C3272" s="1807" t="s">
        <v>1299</v>
      </c>
      <c r="D3272" s="1207">
        <v>3.1</v>
      </c>
      <c r="E3272" s="1208" t="s">
        <v>955</v>
      </c>
      <c r="F3272" s="1209">
        <f>'Civil-SOR'!$G$293</f>
        <v>580</v>
      </c>
      <c r="G3272" s="1210">
        <v>1</v>
      </c>
      <c r="H3272" s="1208" t="s">
        <v>501</v>
      </c>
      <c r="I3272" s="1211">
        <f t="shared" ref="I3272:I3278" si="765">IF(G3272="",D3272*F3272,(D3272*F3272/G3272))</f>
        <v>1798</v>
      </c>
      <c r="J3272" s="1022"/>
      <c r="K3272" s="1022"/>
      <c r="L3272" s="1022"/>
      <c r="M3272" s="1066"/>
      <c r="N3272" s="1066"/>
      <c r="O3272" s="1066"/>
      <c r="P3272" s="1066"/>
      <c r="Q3272" s="1066"/>
      <c r="R3272" s="1066"/>
      <c r="S3272" s="1066"/>
      <c r="T3272" s="1066"/>
      <c r="U3272" s="1066"/>
      <c r="V3272" s="1066"/>
      <c r="W3272" s="1066"/>
      <c r="X3272" s="1066"/>
      <c r="Y3272" s="1066"/>
      <c r="Z3272" s="1066"/>
      <c r="AA3272" s="1066"/>
      <c r="AB3272" s="1066"/>
      <c r="AC3272" s="1066"/>
      <c r="AD3272" s="1066"/>
      <c r="AE3272" s="1066"/>
      <c r="AF3272" s="1066"/>
      <c r="AG3272" s="1066"/>
      <c r="AH3272" s="1066"/>
      <c r="AI3272" s="1066"/>
      <c r="AJ3272" s="1066"/>
      <c r="AK3272" s="1066"/>
      <c r="AL3272" s="1066"/>
      <c r="AM3272" s="1066"/>
      <c r="AN3272" s="1066"/>
      <c r="AO3272" s="1066"/>
      <c r="AP3272" s="1066"/>
      <c r="AQ3272" s="1066"/>
      <c r="AR3272" s="1066"/>
      <c r="AS3272" s="1066"/>
      <c r="AT3272" s="1066"/>
      <c r="AU3272" s="1066"/>
      <c r="AV3272" s="1066"/>
      <c r="AW3272" s="1066"/>
      <c r="AX3272" s="1066"/>
      <c r="AY3272" s="1066"/>
      <c r="AZ3272" s="1066"/>
      <c r="BA3272" s="1066"/>
      <c r="BB3272" s="1066"/>
      <c r="BC3272" s="1066"/>
      <c r="BD3272" s="1066"/>
      <c r="BE3272" s="1066"/>
      <c r="BF3272" s="1066"/>
      <c r="BG3272" s="1066"/>
      <c r="BH3272" s="1066"/>
      <c r="BI3272" s="1066"/>
      <c r="BJ3272" s="1066"/>
      <c r="BK3272" s="1066"/>
      <c r="BL3272" s="1066"/>
    </row>
    <row r="3273" spans="1:64">
      <c r="A3273" s="1206"/>
      <c r="B3273" s="1206"/>
      <c r="C3273" s="1807" t="s">
        <v>1325</v>
      </c>
      <c r="D3273" s="1207">
        <v>1.1000000000000001</v>
      </c>
      <c r="E3273" s="1208" t="s">
        <v>955</v>
      </c>
      <c r="F3273" s="1209">
        <f>'Civil-SOR'!$G$302</f>
        <v>550</v>
      </c>
      <c r="G3273" s="1210">
        <v>1</v>
      </c>
      <c r="H3273" s="1208" t="s">
        <v>501</v>
      </c>
      <c r="I3273" s="1211">
        <f t="shared" si="765"/>
        <v>605</v>
      </c>
      <c r="J3273" s="1022"/>
      <c r="K3273" s="1022"/>
      <c r="L3273" s="1022"/>
      <c r="M3273" s="1066"/>
      <c r="N3273" s="1066"/>
      <c r="O3273" s="1066"/>
      <c r="P3273" s="1066"/>
      <c r="Q3273" s="1066"/>
      <c r="R3273" s="1066"/>
      <c r="S3273" s="1066"/>
      <c r="T3273" s="1066"/>
      <c r="U3273" s="1066"/>
      <c r="V3273" s="1066"/>
      <c r="W3273" s="1066"/>
      <c r="X3273" s="1066"/>
      <c r="Y3273" s="1066"/>
      <c r="Z3273" s="1066"/>
      <c r="AA3273" s="1066"/>
      <c r="AB3273" s="1066"/>
      <c r="AC3273" s="1066"/>
      <c r="AD3273" s="1066"/>
      <c r="AE3273" s="1066"/>
      <c r="AF3273" s="1066"/>
      <c r="AG3273" s="1066"/>
      <c r="AH3273" s="1066"/>
      <c r="AI3273" s="1066"/>
      <c r="AJ3273" s="1066"/>
      <c r="AK3273" s="1066"/>
      <c r="AL3273" s="1066"/>
      <c r="AM3273" s="1066"/>
      <c r="AN3273" s="1066"/>
      <c r="AO3273" s="1066"/>
      <c r="AP3273" s="1066"/>
      <c r="AQ3273" s="1066"/>
      <c r="AR3273" s="1066"/>
      <c r="AS3273" s="1066"/>
      <c r="AT3273" s="1066"/>
      <c r="AU3273" s="1066"/>
      <c r="AV3273" s="1066"/>
      <c r="AW3273" s="1066"/>
      <c r="AX3273" s="1066"/>
      <c r="AY3273" s="1066"/>
      <c r="AZ3273" s="1066"/>
      <c r="BA3273" s="1066"/>
      <c r="BB3273" s="1066"/>
      <c r="BC3273" s="1066"/>
      <c r="BD3273" s="1066"/>
      <c r="BE3273" s="1066"/>
      <c r="BF3273" s="1066"/>
      <c r="BG3273" s="1066"/>
      <c r="BH3273" s="1066"/>
      <c r="BI3273" s="1066"/>
      <c r="BJ3273" s="1066"/>
      <c r="BK3273" s="1066"/>
      <c r="BL3273" s="1066"/>
    </row>
    <row r="3274" spans="1:64">
      <c r="A3274" s="1206"/>
      <c r="B3274" s="1206"/>
      <c r="C3274" s="1807" t="s">
        <v>1401</v>
      </c>
      <c r="D3274" s="1207">
        <v>0.86</v>
      </c>
      <c r="E3274" s="1208" t="s">
        <v>955</v>
      </c>
      <c r="F3274" s="1209">
        <f>'Civil-SOR'!$G$307</f>
        <v>520</v>
      </c>
      <c r="G3274" s="1210">
        <v>1</v>
      </c>
      <c r="H3274" s="1208" t="s">
        <v>501</v>
      </c>
      <c r="I3274" s="1211">
        <f t="shared" si="765"/>
        <v>447.2</v>
      </c>
      <c r="J3274" s="1022"/>
      <c r="K3274" s="1022"/>
      <c r="L3274" s="1022"/>
      <c r="M3274" s="1066"/>
      <c r="N3274" s="1066"/>
      <c r="O3274" s="1066"/>
      <c r="P3274" s="1066"/>
      <c r="Q3274" s="1066"/>
      <c r="R3274" s="1066"/>
      <c r="S3274" s="1066"/>
      <c r="T3274" s="1066"/>
      <c r="U3274" s="1066"/>
      <c r="V3274" s="1066"/>
      <c r="W3274" s="1066"/>
      <c r="X3274" s="1066"/>
      <c r="Y3274" s="1066"/>
      <c r="Z3274" s="1066"/>
      <c r="AA3274" s="1066"/>
      <c r="AB3274" s="1066"/>
      <c r="AC3274" s="1066"/>
      <c r="AD3274" s="1066"/>
      <c r="AE3274" s="1066"/>
      <c r="AF3274" s="1066"/>
      <c r="AG3274" s="1066"/>
      <c r="AH3274" s="1066"/>
      <c r="AI3274" s="1066"/>
      <c r="AJ3274" s="1066"/>
      <c r="AK3274" s="1066"/>
      <c r="AL3274" s="1066"/>
      <c r="AM3274" s="1066"/>
      <c r="AN3274" s="1066"/>
      <c r="AO3274" s="1066"/>
      <c r="AP3274" s="1066"/>
      <c r="AQ3274" s="1066"/>
      <c r="AR3274" s="1066"/>
      <c r="AS3274" s="1066"/>
      <c r="AT3274" s="1066"/>
      <c r="AU3274" s="1066"/>
      <c r="AV3274" s="1066"/>
      <c r="AW3274" s="1066"/>
      <c r="AX3274" s="1066"/>
      <c r="AY3274" s="1066"/>
      <c r="AZ3274" s="1066"/>
      <c r="BA3274" s="1066"/>
      <c r="BB3274" s="1066"/>
      <c r="BC3274" s="1066"/>
      <c r="BD3274" s="1066"/>
      <c r="BE3274" s="1066"/>
      <c r="BF3274" s="1066"/>
      <c r="BG3274" s="1066"/>
      <c r="BH3274" s="1066"/>
      <c r="BI3274" s="1066"/>
      <c r="BJ3274" s="1066"/>
      <c r="BK3274" s="1066"/>
      <c r="BL3274" s="1066"/>
    </row>
    <row r="3275" spans="1:64">
      <c r="A3275" s="1206"/>
      <c r="B3275" s="1206"/>
      <c r="C3275" s="1807" t="str">
        <f>Input!$C$47</f>
        <v>Add for MA @ 40%</v>
      </c>
      <c r="D3275" s="1212">
        <f>Input!$D$47</f>
        <v>0.4</v>
      </c>
      <c r="E3275" s="1208"/>
      <c r="F3275" s="1209">
        <f>SUM(I3272:I3274)</f>
        <v>2850.2</v>
      </c>
      <c r="G3275" s="1210"/>
      <c r="H3275" s="1208"/>
      <c r="I3275" s="1211">
        <f t="shared" si="765"/>
        <v>1140.08</v>
      </c>
      <c r="J3275" s="1022"/>
      <c r="K3275" s="1022"/>
      <c r="L3275" s="1022"/>
      <c r="M3275" s="1066"/>
      <c r="N3275" s="1066"/>
      <c r="O3275" s="1066"/>
      <c r="P3275" s="1066"/>
      <c r="Q3275" s="1066"/>
      <c r="R3275" s="1066"/>
      <c r="S3275" s="1066"/>
      <c r="T3275" s="1066"/>
      <c r="U3275" s="1066"/>
      <c r="V3275" s="1066"/>
      <c r="W3275" s="1066"/>
      <c r="X3275" s="1066"/>
      <c r="Y3275" s="1066"/>
      <c r="Z3275" s="1066"/>
      <c r="AA3275" s="1066"/>
      <c r="AB3275" s="1066"/>
      <c r="AC3275" s="1066"/>
      <c r="AD3275" s="1066"/>
      <c r="AE3275" s="1066"/>
      <c r="AF3275" s="1066"/>
      <c r="AG3275" s="1066"/>
      <c r="AH3275" s="1066"/>
      <c r="AI3275" s="1066"/>
      <c r="AJ3275" s="1066"/>
      <c r="AK3275" s="1066"/>
      <c r="AL3275" s="1066"/>
      <c r="AM3275" s="1066"/>
      <c r="AN3275" s="1066"/>
      <c r="AO3275" s="1066"/>
      <c r="AP3275" s="1066"/>
      <c r="AQ3275" s="1066"/>
      <c r="AR3275" s="1066"/>
      <c r="AS3275" s="1066"/>
      <c r="AT3275" s="1066"/>
      <c r="AU3275" s="1066"/>
      <c r="AV3275" s="1066"/>
      <c r="AW3275" s="1066"/>
      <c r="AX3275" s="1066"/>
      <c r="AY3275" s="1066"/>
      <c r="AZ3275" s="1066"/>
      <c r="BA3275" s="1066"/>
      <c r="BB3275" s="1066"/>
      <c r="BC3275" s="1066"/>
      <c r="BD3275" s="1066"/>
      <c r="BE3275" s="1066"/>
      <c r="BF3275" s="1066"/>
      <c r="BG3275" s="1066"/>
      <c r="BH3275" s="1066"/>
      <c r="BI3275" s="1066"/>
      <c r="BJ3275" s="1066"/>
      <c r="BK3275" s="1066"/>
      <c r="BL3275" s="1066"/>
    </row>
    <row r="3276" spans="1:64">
      <c r="A3276" s="1206"/>
      <c r="B3276" s="1206"/>
      <c r="C3276" s="1807" t="s">
        <v>1470</v>
      </c>
      <c r="D3276" s="1212">
        <v>33.33</v>
      </c>
      <c r="E3276" s="1208" t="s">
        <v>197</v>
      </c>
      <c r="F3276" s="1209">
        <f>'Civil-SOR'!$G$201</f>
        <v>73</v>
      </c>
      <c r="G3276" s="1210">
        <v>1</v>
      </c>
      <c r="H3276" s="1208" t="s">
        <v>197</v>
      </c>
      <c r="I3276" s="1211">
        <f t="shared" si="765"/>
        <v>2433.0899999999997</v>
      </c>
      <c r="J3276" s="1022"/>
      <c r="K3276" s="1022"/>
      <c r="L3276" s="1022"/>
      <c r="M3276" s="1066"/>
      <c r="N3276" s="1066"/>
      <c r="O3276" s="1066"/>
      <c r="P3276" s="1066"/>
      <c r="Q3276" s="1066"/>
      <c r="R3276" s="1066"/>
      <c r="S3276" s="1066"/>
      <c r="T3276" s="1066"/>
      <c r="U3276" s="1066"/>
      <c r="V3276" s="1066"/>
      <c r="W3276" s="1066"/>
      <c r="X3276" s="1066"/>
      <c r="Y3276" s="1066"/>
      <c r="Z3276" s="1066"/>
      <c r="AA3276" s="1066"/>
      <c r="AB3276" s="1066"/>
      <c r="AC3276" s="1066"/>
      <c r="AD3276" s="1066"/>
      <c r="AE3276" s="1066"/>
      <c r="AF3276" s="1066"/>
      <c r="AG3276" s="1066"/>
      <c r="AH3276" s="1066"/>
      <c r="AI3276" s="1066"/>
      <c r="AJ3276" s="1066"/>
      <c r="AK3276" s="1066"/>
      <c r="AL3276" s="1066"/>
      <c r="AM3276" s="1066"/>
      <c r="AN3276" s="1066"/>
      <c r="AO3276" s="1066"/>
      <c r="AP3276" s="1066"/>
      <c r="AQ3276" s="1066"/>
      <c r="AR3276" s="1066"/>
      <c r="AS3276" s="1066"/>
      <c r="AT3276" s="1066"/>
      <c r="AU3276" s="1066"/>
      <c r="AV3276" s="1066"/>
      <c r="AW3276" s="1066"/>
      <c r="AX3276" s="1066"/>
      <c r="AY3276" s="1066"/>
      <c r="AZ3276" s="1066"/>
      <c r="BA3276" s="1066"/>
      <c r="BB3276" s="1066"/>
      <c r="BC3276" s="1066"/>
      <c r="BD3276" s="1066"/>
      <c r="BE3276" s="1066"/>
      <c r="BF3276" s="1066"/>
      <c r="BG3276" s="1066"/>
      <c r="BH3276" s="1066"/>
      <c r="BI3276" s="1066"/>
      <c r="BJ3276" s="1066"/>
      <c r="BK3276" s="1066"/>
      <c r="BL3276" s="1066"/>
    </row>
    <row r="3277" spans="1:64">
      <c r="A3277" s="1206"/>
      <c r="B3277" s="1206"/>
      <c r="C3277" s="1807" t="str">
        <f>Input!$C$47</f>
        <v>Add for MA @ 40%</v>
      </c>
      <c r="D3277" s="1212">
        <f>Input!$D$47</f>
        <v>0.4</v>
      </c>
      <c r="E3277" s="1208"/>
      <c r="F3277" s="1209">
        <f>I3276*40%</f>
        <v>973.23599999999988</v>
      </c>
      <c r="G3277" s="1210"/>
      <c r="H3277" s="1208"/>
      <c r="I3277" s="1211">
        <f t="shared" si="765"/>
        <v>389.2944</v>
      </c>
      <c r="J3277" s="1022"/>
      <c r="K3277" s="1022"/>
      <c r="L3277" s="1022"/>
      <c r="M3277" s="1066"/>
      <c r="N3277" s="1066"/>
      <c r="O3277" s="1066"/>
      <c r="P3277" s="1066"/>
      <c r="Q3277" s="1066"/>
      <c r="R3277" s="1066"/>
      <c r="S3277" s="1066"/>
      <c r="T3277" s="1066"/>
      <c r="U3277" s="1066"/>
      <c r="V3277" s="1066"/>
      <c r="W3277" s="1066"/>
      <c r="X3277" s="1066"/>
      <c r="Y3277" s="1066"/>
      <c r="Z3277" s="1066"/>
      <c r="AA3277" s="1066"/>
      <c r="AB3277" s="1066"/>
      <c r="AC3277" s="1066"/>
      <c r="AD3277" s="1066"/>
      <c r="AE3277" s="1066"/>
      <c r="AF3277" s="1066"/>
      <c r="AG3277" s="1066"/>
      <c r="AH3277" s="1066"/>
      <c r="AI3277" s="1066"/>
      <c r="AJ3277" s="1066"/>
      <c r="AK3277" s="1066"/>
      <c r="AL3277" s="1066"/>
      <c r="AM3277" s="1066"/>
      <c r="AN3277" s="1066"/>
      <c r="AO3277" s="1066"/>
      <c r="AP3277" s="1066"/>
      <c r="AQ3277" s="1066"/>
      <c r="AR3277" s="1066"/>
      <c r="AS3277" s="1066"/>
      <c r="AT3277" s="1066"/>
      <c r="AU3277" s="1066"/>
      <c r="AV3277" s="1066"/>
      <c r="AW3277" s="1066"/>
      <c r="AX3277" s="1066"/>
      <c r="AY3277" s="1066"/>
      <c r="AZ3277" s="1066"/>
      <c r="BA3277" s="1066"/>
      <c r="BB3277" s="1066"/>
      <c r="BC3277" s="1066"/>
      <c r="BD3277" s="1066"/>
      <c r="BE3277" s="1066"/>
      <c r="BF3277" s="1066"/>
      <c r="BG3277" s="1066"/>
      <c r="BH3277" s="1066"/>
      <c r="BI3277" s="1066"/>
      <c r="BJ3277" s="1066"/>
      <c r="BK3277" s="1066"/>
      <c r="BL3277" s="1066"/>
    </row>
    <row r="3278" spans="1:64">
      <c r="A3278" s="1206"/>
      <c r="B3278" s="1206"/>
      <c r="C3278" s="1807" t="s">
        <v>1301</v>
      </c>
      <c r="D3278" s="1207">
        <v>0.01</v>
      </c>
      <c r="E3278" s="1208"/>
      <c r="F3278" s="1209">
        <f>SUM(I3266:I3277)</f>
        <v>9262.7045999999991</v>
      </c>
      <c r="G3278" s="1210"/>
      <c r="H3278" s="1208"/>
      <c r="I3278" s="1211">
        <f t="shared" si="765"/>
        <v>92.627045999999993</v>
      </c>
      <c r="J3278" s="1022"/>
      <c r="K3278" s="1022"/>
      <c r="L3278" s="1022"/>
      <c r="M3278" s="1066"/>
      <c r="N3278" s="1066"/>
      <c r="O3278" s="1066"/>
      <c r="P3278" s="1066"/>
      <c r="Q3278" s="1066"/>
      <c r="R3278" s="1066"/>
      <c r="S3278" s="1066"/>
      <c r="T3278" s="1066"/>
      <c r="U3278" s="1066"/>
      <c r="V3278" s="1066"/>
      <c r="W3278" s="1066"/>
      <c r="X3278" s="1066"/>
      <c r="Y3278" s="1066"/>
      <c r="Z3278" s="1066"/>
      <c r="AA3278" s="1066"/>
      <c r="AB3278" s="1066"/>
      <c r="AC3278" s="1066"/>
      <c r="AD3278" s="1066"/>
      <c r="AE3278" s="1066"/>
      <c r="AF3278" s="1066"/>
      <c r="AG3278" s="1066"/>
      <c r="AH3278" s="1066"/>
      <c r="AI3278" s="1066"/>
      <c r="AJ3278" s="1066"/>
      <c r="AK3278" s="1066"/>
      <c r="AL3278" s="1066"/>
      <c r="AM3278" s="1066"/>
      <c r="AN3278" s="1066"/>
      <c r="AO3278" s="1066"/>
      <c r="AP3278" s="1066"/>
      <c r="AQ3278" s="1066"/>
      <c r="AR3278" s="1066"/>
      <c r="AS3278" s="1066"/>
      <c r="AT3278" s="1066"/>
      <c r="AU3278" s="1066"/>
      <c r="AV3278" s="1066"/>
      <c r="AW3278" s="1066"/>
      <c r="AX3278" s="1066"/>
      <c r="AY3278" s="1066"/>
      <c r="AZ3278" s="1066"/>
      <c r="BA3278" s="1066"/>
      <c r="BB3278" s="1066"/>
      <c r="BC3278" s="1066"/>
      <c r="BD3278" s="1066"/>
      <c r="BE3278" s="1066"/>
      <c r="BF3278" s="1066"/>
      <c r="BG3278" s="1066"/>
      <c r="BH3278" s="1066"/>
      <c r="BI3278" s="1066"/>
      <c r="BJ3278" s="1066"/>
      <c r="BK3278" s="1066"/>
      <c r="BL3278" s="1066"/>
    </row>
    <row r="3279" spans="1:64" s="997" customFormat="1">
      <c r="A3279" s="1802"/>
      <c r="B3279" s="1802"/>
      <c r="C3279" s="1213" t="s">
        <v>1409</v>
      </c>
      <c r="D3279" s="1214"/>
      <c r="E3279" s="1215"/>
      <c r="F3279" s="1216"/>
      <c r="G3279" s="1217"/>
      <c r="H3279" s="1215"/>
      <c r="I3279" s="1218">
        <f>SUM(I3266:I3278)</f>
        <v>9355.3316459999987</v>
      </c>
      <c r="J3279" s="996"/>
      <c r="K3279" s="996"/>
      <c r="L3279" s="996"/>
    </row>
    <row r="3280" spans="1:64">
      <c r="A3280" s="1197"/>
      <c r="B3280" s="1197"/>
      <c r="C3280" s="1795"/>
      <c r="D3280" s="1227"/>
      <c r="E3280" s="1221"/>
      <c r="F3280" s="1221"/>
      <c r="G3280" s="1221"/>
      <c r="H3280" s="1221"/>
      <c r="I3280" s="1220"/>
      <c r="J3280" s="1846"/>
      <c r="K3280" s="1846"/>
      <c r="L3280" s="1846"/>
    </row>
    <row r="3281" spans="1:12">
      <c r="A3281" s="1802"/>
      <c r="B3281" s="1802"/>
      <c r="C3281" s="1796" t="s">
        <v>1403</v>
      </c>
      <c r="D3281" s="1218" t="s">
        <v>1223</v>
      </c>
      <c r="E3281" s="1225" t="s">
        <v>1207</v>
      </c>
      <c r="F3281" s="1299" t="s">
        <v>1208</v>
      </c>
      <c r="G3281" s="1218" t="s">
        <v>1291</v>
      </c>
      <c r="H3281" s="1218" t="s">
        <v>1292</v>
      </c>
      <c r="I3281" s="1218" t="s">
        <v>1293</v>
      </c>
      <c r="J3281" s="1826"/>
      <c r="K3281" s="1826" t="s">
        <v>1358</v>
      </c>
      <c r="L3281" s="1826" t="s">
        <v>1359</v>
      </c>
    </row>
    <row r="3282" spans="1:12">
      <c r="A3282" s="1197"/>
      <c r="B3282" s="1197"/>
      <c r="C3282" s="1807" t="s">
        <v>1317</v>
      </c>
      <c r="D3282" s="1223">
        <f t="shared" ref="D3282:L3282" si="766">$I$3279</f>
        <v>9355.3316459999987</v>
      </c>
      <c r="E3282" s="1223">
        <f t="shared" si="766"/>
        <v>9355.3316459999987</v>
      </c>
      <c r="F3282" s="1223">
        <f t="shared" si="766"/>
        <v>9355.3316459999987</v>
      </c>
      <c r="G3282" s="1223">
        <f t="shared" si="766"/>
        <v>9355.3316459999987</v>
      </c>
      <c r="H3282" s="1223">
        <f t="shared" si="766"/>
        <v>9355.3316459999987</v>
      </c>
      <c r="I3282" s="1223">
        <f t="shared" si="766"/>
        <v>9355.3316459999987</v>
      </c>
      <c r="J3282" s="1001"/>
      <c r="K3282" s="1001">
        <f t="shared" si="766"/>
        <v>9355.3316459999987</v>
      </c>
      <c r="L3282" s="1001">
        <f t="shared" si="766"/>
        <v>9355.3316459999987</v>
      </c>
    </row>
    <row r="3283" spans="1:12">
      <c r="A3283" s="1197"/>
      <c r="B3283" s="1197"/>
      <c r="C3283" s="1807" t="s">
        <v>1253</v>
      </c>
      <c r="D3283" s="1223">
        <v>0</v>
      </c>
      <c r="E3283" s="1223">
        <f>ROUND($F$3275*10%,2)</f>
        <v>285.02</v>
      </c>
      <c r="F3283" s="1223">
        <f>ROUND($F$3275*20%,2)</f>
        <v>570.04</v>
      </c>
      <c r="G3283" s="1223">
        <f>ROUND($F$3275*30%,2)</f>
        <v>855.06</v>
      </c>
      <c r="H3283" s="1223">
        <f>ROUND($F$3275*40%,2)</f>
        <v>1140.08</v>
      </c>
      <c r="I3283" s="1223">
        <f>ROUND($F$3275*50%,2)</f>
        <v>1425.1</v>
      </c>
      <c r="J3283" s="1001"/>
      <c r="K3283" s="1001">
        <f>ROUND($F$3275*70%,2)</f>
        <v>1995.14</v>
      </c>
      <c r="L3283" s="1001">
        <f>ROUND($F$3275*80%,2)</f>
        <v>2280.16</v>
      </c>
    </row>
    <row r="3284" spans="1:12">
      <c r="A3284" s="1197"/>
      <c r="B3284" s="1197"/>
      <c r="C3284" s="1807" t="str">
        <f>Input!$C$47</f>
        <v>Add for MA @ 40%</v>
      </c>
      <c r="D3284" s="1223">
        <f>D3283*Input!$D$47</f>
        <v>0</v>
      </c>
      <c r="E3284" s="1223">
        <f>E3283*Input!$D$47</f>
        <v>114.008</v>
      </c>
      <c r="F3284" s="1223">
        <f>F3283*Input!$D$47</f>
        <v>228.01599999999999</v>
      </c>
      <c r="G3284" s="1223">
        <f>G3283*Input!$D$47</f>
        <v>342.024</v>
      </c>
      <c r="H3284" s="1223">
        <f>H3283*Input!$D$47</f>
        <v>456.03199999999998</v>
      </c>
      <c r="I3284" s="1223">
        <f>I3283*Input!$D$47</f>
        <v>570.04</v>
      </c>
      <c r="J3284" s="1001"/>
      <c r="K3284" s="1001">
        <f>K3283*Input!$D$47</f>
        <v>798.05600000000004</v>
      </c>
      <c r="L3284" s="1001">
        <f>L3283*Input!$D$47</f>
        <v>912.06399999999996</v>
      </c>
    </row>
    <row r="3285" spans="1:12">
      <c r="A3285" s="1197"/>
      <c r="B3285" s="1197"/>
      <c r="C3285" s="1199"/>
      <c r="D3285" s="1223">
        <f t="shared" ref="D3285:L3285" si="767">SUM(D3282:D3284)</f>
        <v>9355.3316459999987</v>
      </c>
      <c r="E3285" s="1223">
        <f t="shared" si="767"/>
        <v>9754.359645999999</v>
      </c>
      <c r="F3285" s="1223">
        <f t="shared" si="767"/>
        <v>10153.387645999999</v>
      </c>
      <c r="G3285" s="1223">
        <f t="shared" si="767"/>
        <v>10552.415645999998</v>
      </c>
      <c r="H3285" s="1223">
        <f t="shared" si="767"/>
        <v>10951.443645999998</v>
      </c>
      <c r="I3285" s="1223">
        <f t="shared" si="767"/>
        <v>11350.471645999998</v>
      </c>
      <c r="J3285" s="1001"/>
      <c r="K3285" s="1001">
        <f t="shared" si="767"/>
        <v>12148.527645999999</v>
      </c>
      <c r="L3285" s="1001">
        <f t="shared" si="767"/>
        <v>12547.555645999999</v>
      </c>
    </row>
    <row r="3286" spans="1:12">
      <c r="A3286" s="1197"/>
      <c r="B3286" s="1197"/>
      <c r="C3286" s="1807" t="str">
        <f>Input!$C$48</f>
        <v>Overheads &amp; Contractors Profit @ 13.615%</v>
      </c>
      <c r="D3286" s="1223">
        <f>ROUND(D3285*Input!$D$48,2)</f>
        <v>1273.73</v>
      </c>
      <c r="E3286" s="1223">
        <f>ROUND(E3285*Input!$D$48,2)</f>
        <v>1328.06</v>
      </c>
      <c r="F3286" s="1223">
        <f>ROUND(F3285*Input!$D$48,2)</f>
        <v>1382.38</v>
      </c>
      <c r="G3286" s="1223">
        <f>ROUND(G3285*Input!$D$48,2)</f>
        <v>1436.71</v>
      </c>
      <c r="H3286" s="1223">
        <f>ROUND(H3285*Input!$D$48,2)</f>
        <v>1491.04</v>
      </c>
      <c r="I3286" s="1223">
        <f>ROUND(I3285*Input!$D$48,2)</f>
        <v>1545.37</v>
      </c>
      <c r="J3286" s="1001"/>
      <c r="K3286" s="1001">
        <f>ROUND(K3285*Input!$D$48,2)</f>
        <v>1654.02</v>
      </c>
      <c r="L3286" s="1001">
        <f>ROUND(L3285*Input!$D$48,2)</f>
        <v>1708.35</v>
      </c>
    </row>
    <row r="3287" spans="1:12">
      <c r="A3287" s="1197"/>
      <c r="B3287" s="1197"/>
      <c r="C3287" s="1795" t="s">
        <v>1302</v>
      </c>
      <c r="D3287" s="1220">
        <f t="shared" ref="D3287:L3287" si="768">SUM(D3285:D3286)</f>
        <v>10629.061645999998</v>
      </c>
      <c r="E3287" s="1220">
        <f t="shared" si="768"/>
        <v>11082.419645999998</v>
      </c>
      <c r="F3287" s="1220">
        <f t="shared" si="768"/>
        <v>11535.767646</v>
      </c>
      <c r="G3287" s="1220">
        <f t="shared" si="768"/>
        <v>11989.125645999997</v>
      </c>
      <c r="H3287" s="1220">
        <f t="shared" si="768"/>
        <v>12442.483645999997</v>
      </c>
      <c r="I3287" s="1220">
        <f t="shared" si="768"/>
        <v>12895.841645999997</v>
      </c>
      <c r="J3287" s="1009"/>
      <c r="K3287" s="1009">
        <f t="shared" si="768"/>
        <v>13802.547645999999</v>
      </c>
      <c r="L3287" s="1009">
        <f t="shared" si="768"/>
        <v>14255.905645999999</v>
      </c>
    </row>
    <row r="3288" spans="1:12">
      <c r="A3288" s="1197"/>
      <c r="B3288" s="1197"/>
      <c r="C3288" s="1795" t="s">
        <v>1117</v>
      </c>
      <c r="D3288" s="1220">
        <f t="shared" ref="D3288:L3288" si="769">D3287/10</f>
        <v>1062.9061645999998</v>
      </c>
      <c r="E3288" s="1220">
        <f t="shared" si="769"/>
        <v>1108.2419645999998</v>
      </c>
      <c r="F3288" s="1220">
        <f t="shared" si="769"/>
        <v>1153.5767645999999</v>
      </c>
      <c r="G3288" s="1220">
        <f t="shared" si="769"/>
        <v>1198.9125645999998</v>
      </c>
      <c r="H3288" s="1220">
        <f t="shared" si="769"/>
        <v>1244.2483645999996</v>
      </c>
      <c r="I3288" s="1220">
        <f t="shared" si="769"/>
        <v>1289.5841645999997</v>
      </c>
      <c r="J3288" s="1009"/>
      <c r="K3288" s="1009">
        <f t="shared" si="769"/>
        <v>1380.2547645999998</v>
      </c>
      <c r="L3288" s="1009">
        <f t="shared" si="769"/>
        <v>1425.5905645999999</v>
      </c>
    </row>
    <row r="3289" spans="1:12" s="997" customFormat="1">
      <c r="A3289" s="1802"/>
      <c r="B3289" s="1802"/>
      <c r="C3289" s="1224" t="s">
        <v>1034</v>
      </c>
      <c r="D3289" s="1225">
        <f t="shared" ref="D3289:L3289" si="770">ROUND(D3288,0)</f>
        <v>1063</v>
      </c>
      <c r="E3289" s="1225">
        <f t="shared" si="770"/>
        <v>1108</v>
      </c>
      <c r="F3289" s="1225">
        <f t="shared" si="770"/>
        <v>1154</v>
      </c>
      <c r="G3289" s="1225">
        <f t="shared" si="770"/>
        <v>1199</v>
      </c>
      <c r="H3289" s="1225">
        <f t="shared" si="770"/>
        <v>1244</v>
      </c>
      <c r="I3289" s="1225">
        <f t="shared" si="770"/>
        <v>1290</v>
      </c>
      <c r="J3289" s="999"/>
      <c r="K3289" s="999">
        <f t="shared" si="770"/>
        <v>1380</v>
      </c>
      <c r="L3289" s="999">
        <f t="shared" si="770"/>
        <v>1426</v>
      </c>
    </row>
    <row r="3290" spans="1:12">
      <c r="A3290" s="1197"/>
      <c r="B3290" s="1197"/>
      <c r="C3290" s="1795"/>
      <c r="D3290" s="1227"/>
      <c r="E3290" s="1221"/>
      <c r="F3290" s="1221"/>
      <c r="G3290" s="1221"/>
      <c r="H3290" s="1221"/>
      <c r="I3290" s="1220"/>
      <c r="J3290" s="1846"/>
      <c r="K3290" s="1846"/>
      <c r="L3290" s="1846"/>
    </row>
    <row r="3291" spans="1:12">
      <c r="A3291" s="1197"/>
      <c r="B3291" s="1197"/>
      <c r="C3291" s="1795"/>
      <c r="D3291" s="1227"/>
      <c r="E3291" s="1221"/>
      <c r="F3291" s="1221"/>
      <c r="G3291" s="1221"/>
      <c r="H3291" s="1221"/>
      <c r="I3291" s="1220"/>
      <c r="J3291" s="1846"/>
      <c r="K3291" s="1846"/>
      <c r="L3291" s="1846"/>
    </row>
    <row r="3292" spans="1:12">
      <c r="A3292" s="1197"/>
      <c r="B3292" s="1222" t="s">
        <v>297</v>
      </c>
      <c r="C3292" s="1795" t="s">
        <v>1462</v>
      </c>
      <c r="D3292" s="1227"/>
      <c r="E3292" s="1228"/>
      <c r="F3292" s="1223"/>
      <c r="G3292" s="1199"/>
      <c r="H3292" s="1229"/>
      <c r="I3292" s="1230"/>
      <c r="J3292" s="1846"/>
      <c r="K3292" s="1846"/>
      <c r="L3292" s="1846"/>
    </row>
    <row r="3293" spans="1:12">
      <c r="A3293" s="1197"/>
      <c r="B3293" s="1197"/>
      <c r="C3293" s="1198" t="s">
        <v>1471</v>
      </c>
      <c r="D3293" s="1228"/>
      <c r="E3293" s="1297"/>
      <c r="F3293" s="1223"/>
      <c r="G3293" s="1272"/>
      <c r="H3293" s="1298"/>
      <c r="I3293" s="1219"/>
      <c r="J3293" s="1846"/>
      <c r="K3293" s="1846"/>
      <c r="L3293" s="1846"/>
    </row>
    <row r="3294" spans="1:12">
      <c r="A3294" s="1197"/>
      <c r="B3294" s="1197"/>
      <c r="C3294" s="1807" t="s">
        <v>1464</v>
      </c>
      <c r="D3294" s="1228"/>
      <c r="E3294" s="1297"/>
      <c r="F3294" s="1223"/>
      <c r="G3294" s="1272"/>
      <c r="H3294" s="1298"/>
      <c r="I3294" s="1219"/>
      <c r="J3294" s="1846"/>
      <c r="K3294" s="1846"/>
      <c r="L3294" s="1846"/>
    </row>
    <row r="3295" spans="1:12">
      <c r="A3295" s="1197"/>
      <c r="B3295" s="1197"/>
      <c r="C3295" s="1795" t="s">
        <v>1139</v>
      </c>
      <c r="D3295" s="1228"/>
      <c r="E3295" s="1297"/>
      <c r="F3295" s="1223"/>
      <c r="G3295" s="1272"/>
      <c r="H3295" s="1298"/>
      <c r="I3295" s="1219"/>
      <c r="J3295" s="1846"/>
      <c r="K3295" s="1846"/>
      <c r="L3295" s="1846"/>
    </row>
    <row r="3296" spans="1:12">
      <c r="A3296" s="1197"/>
      <c r="B3296" s="1197"/>
      <c r="C3296" s="1807" t="s">
        <v>1472</v>
      </c>
      <c r="D3296" s="1228">
        <v>11</v>
      </c>
      <c r="E3296" s="1297" t="s">
        <v>94</v>
      </c>
      <c r="F3296" s="1223">
        <f>LEAD!$N$27</f>
        <v>1545.69</v>
      </c>
      <c r="G3296" s="1272">
        <v>10</v>
      </c>
      <c r="H3296" s="1271" t="s">
        <v>94</v>
      </c>
      <c r="I3296" s="1205">
        <f t="shared" ref="I3296:I3299" si="771">IF(G3296="",D3296*F3296,(D3296*F3296/G3296))</f>
        <v>1700.259</v>
      </c>
      <c r="J3296" s="1846"/>
      <c r="K3296" s="1846"/>
      <c r="L3296" s="1846"/>
    </row>
    <row r="3297" spans="1:12">
      <c r="A3297" s="1197"/>
      <c r="B3297" s="1197"/>
      <c r="C3297" s="1807" t="s">
        <v>1466</v>
      </c>
      <c r="D3297" s="1228">
        <v>0.12</v>
      </c>
      <c r="E3297" s="1297" t="s">
        <v>75</v>
      </c>
      <c r="F3297" s="1223">
        <f>LEAD!$N$13</f>
        <v>2453.91</v>
      </c>
      <c r="G3297" s="1272">
        <v>1</v>
      </c>
      <c r="H3297" s="1271" t="s">
        <v>75</v>
      </c>
      <c r="I3297" s="1205">
        <f t="shared" si="771"/>
        <v>294.46919999999994</v>
      </c>
      <c r="J3297" s="1846"/>
      <c r="K3297" s="1846"/>
      <c r="L3297" s="1846"/>
    </row>
    <row r="3298" spans="1:12">
      <c r="A3298" s="1197"/>
      <c r="B3298" s="1197"/>
      <c r="C3298" s="1807" t="s">
        <v>1467</v>
      </c>
      <c r="D3298" s="1228">
        <v>34.56</v>
      </c>
      <c r="E3298" s="1297" t="s">
        <v>1110</v>
      </c>
      <c r="F3298" s="1223">
        <f>LEAD!$N$6</f>
        <v>5200</v>
      </c>
      <c r="G3298" s="1272">
        <v>1000</v>
      </c>
      <c r="H3298" s="1271" t="s">
        <v>1110</v>
      </c>
      <c r="I3298" s="1205">
        <f t="shared" si="771"/>
        <v>179.71199999999999</v>
      </c>
      <c r="J3298" s="1846"/>
      <c r="K3298" s="1846"/>
      <c r="L3298" s="1846"/>
    </row>
    <row r="3299" spans="1:12">
      <c r="A3299" s="1197"/>
      <c r="B3299" s="1197"/>
      <c r="C3299" s="1807" t="s">
        <v>1398</v>
      </c>
      <c r="D3299" s="1228">
        <v>33</v>
      </c>
      <c r="E3299" s="1297" t="s">
        <v>1110</v>
      </c>
      <c r="F3299" s="1223">
        <f>LEAD!$N$6</f>
        <v>5200</v>
      </c>
      <c r="G3299" s="1272">
        <v>1000</v>
      </c>
      <c r="H3299" s="1271" t="s">
        <v>1110</v>
      </c>
      <c r="I3299" s="1205">
        <f t="shared" si="771"/>
        <v>171.6</v>
      </c>
      <c r="J3299" s="1846"/>
      <c r="K3299" s="1846"/>
      <c r="L3299" s="1846"/>
    </row>
    <row r="3300" spans="1:12">
      <c r="A3300" s="1197"/>
      <c r="B3300" s="1197"/>
      <c r="C3300" s="1795" t="s">
        <v>1468</v>
      </c>
      <c r="D3300" s="1228"/>
      <c r="E3300" s="1297"/>
      <c r="F3300" s="1223"/>
      <c r="G3300" s="1272"/>
      <c r="H3300" s="1298"/>
      <c r="I3300" s="1219"/>
      <c r="J3300" s="1846"/>
      <c r="K3300" s="1846"/>
      <c r="L3300" s="1846"/>
    </row>
    <row r="3301" spans="1:12">
      <c r="A3301" s="1197"/>
      <c r="B3301" s="1197"/>
      <c r="C3301" s="1807" t="s">
        <v>1299</v>
      </c>
      <c r="D3301" s="1228">
        <v>0.96</v>
      </c>
      <c r="E3301" s="1297" t="s">
        <v>36</v>
      </c>
      <c r="F3301" s="1223">
        <f>'Civil-SOR'!$G$293</f>
        <v>580</v>
      </c>
      <c r="G3301" s="1272">
        <v>1</v>
      </c>
      <c r="H3301" s="1271" t="s">
        <v>501</v>
      </c>
      <c r="I3301" s="1205">
        <f t="shared" ref="I3301:I3305" si="772">IF(G3301="",D3301*F3301,(D3301*F3301/G3301))</f>
        <v>556.79999999999995</v>
      </c>
      <c r="J3301" s="1846"/>
      <c r="K3301" s="1846"/>
      <c r="L3301" s="1846"/>
    </row>
    <row r="3302" spans="1:12">
      <c r="A3302" s="1197"/>
      <c r="B3302" s="1197"/>
      <c r="C3302" s="1807" t="s">
        <v>1325</v>
      </c>
      <c r="D3302" s="1228">
        <v>2.2400000000000002</v>
      </c>
      <c r="E3302" s="1297" t="s">
        <v>36</v>
      </c>
      <c r="F3302" s="1223">
        <f>'Civil-SOR'!$G$302</f>
        <v>550</v>
      </c>
      <c r="G3302" s="1272">
        <v>1</v>
      </c>
      <c r="H3302" s="1271" t="s">
        <v>501</v>
      </c>
      <c r="I3302" s="1205">
        <f t="shared" si="772"/>
        <v>1232.0000000000002</v>
      </c>
      <c r="J3302" s="1846"/>
      <c r="K3302" s="1846"/>
      <c r="L3302" s="1846"/>
    </row>
    <row r="3303" spans="1:12">
      <c r="A3303" s="1197"/>
      <c r="B3303" s="1197"/>
      <c r="C3303" s="1807" t="s">
        <v>1031</v>
      </c>
      <c r="D3303" s="1228">
        <v>3.1</v>
      </c>
      <c r="E3303" s="1297" t="s">
        <v>36</v>
      </c>
      <c r="F3303" s="1223">
        <f>'Civil-SOR'!$G$307</f>
        <v>520</v>
      </c>
      <c r="G3303" s="1272">
        <v>1</v>
      </c>
      <c r="H3303" s="1271" t="s">
        <v>501</v>
      </c>
      <c r="I3303" s="1205">
        <f t="shared" si="772"/>
        <v>1612</v>
      </c>
      <c r="J3303" s="1846"/>
      <c r="K3303" s="1846"/>
      <c r="L3303" s="1846"/>
    </row>
    <row r="3304" spans="1:12">
      <c r="A3304" s="1197"/>
      <c r="B3304" s="1197"/>
      <c r="C3304" s="1199" t="str">
        <f>Input!$C$47</f>
        <v>Add for MA @ 40%</v>
      </c>
      <c r="D3304" s="1277">
        <f>Input!$D$47</f>
        <v>0.4</v>
      </c>
      <c r="E3304" s="1276"/>
      <c r="F3304" s="1223">
        <f>SUM(I3301:I3303)</f>
        <v>3400.8</v>
      </c>
      <c r="G3304" s="1278"/>
      <c r="H3304" s="1279"/>
      <c r="I3304" s="1205">
        <f t="shared" si="772"/>
        <v>1360.3200000000002</v>
      </c>
      <c r="J3304" s="1846"/>
      <c r="K3304" s="1846"/>
      <c r="L3304" s="1846"/>
    </row>
    <row r="3305" spans="1:12">
      <c r="A3305" s="1197"/>
      <c r="B3305" s="1197"/>
      <c r="C3305" s="1202" t="s">
        <v>1301</v>
      </c>
      <c r="D3305" s="1228">
        <v>0.01</v>
      </c>
      <c r="E3305" s="1297"/>
      <c r="F3305" s="1223">
        <f>SUM(I3296:I3304)</f>
        <v>7107.1602000000003</v>
      </c>
      <c r="G3305" s="1272"/>
      <c r="H3305" s="1271"/>
      <c r="I3305" s="1205">
        <f t="shared" si="772"/>
        <v>71.071601999999999</v>
      </c>
      <c r="J3305" s="1846"/>
      <c r="K3305" s="1846"/>
      <c r="L3305" s="1846"/>
    </row>
    <row r="3306" spans="1:12" s="997" customFormat="1">
      <c r="A3306" s="1802"/>
      <c r="B3306" s="1802"/>
      <c r="C3306" s="1796" t="s">
        <v>1402</v>
      </c>
      <c r="D3306" s="1281"/>
      <c r="E3306" s="1282"/>
      <c r="F3306" s="1283"/>
      <c r="G3306" s="1284"/>
      <c r="H3306" s="1282"/>
      <c r="I3306" s="1285">
        <f>SUM(I3296:I3305)</f>
        <v>7178.2318020000002</v>
      </c>
      <c r="J3306" s="996"/>
      <c r="K3306" s="996"/>
      <c r="L3306" s="996"/>
    </row>
    <row r="3307" spans="1:12">
      <c r="A3307" s="1197"/>
      <c r="B3307" s="1197"/>
      <c r="C3307" s="1795"/>
      <c r="D3307" s="1227"/>
      <c r="E3307" s="1228"/>
      <c r="F3307" s="1223"/>
      <c r="G3307" s="1199"/>
      <c r="H3307" s="1229"/>
      <c r="I3307" s="1230"/>
      <c r="J3307" s="1846"/>
      <c r="K3307" s="1846"/>
      <c r="L3307" s="1846"/>
    </row>
    <row r="3308" spans="1:12" s="997" customFormat="1">
      <c r="A3308" s="1802"/>
      <c r="B3308" s="1802"/>
      <c r="C3308" s="1796" t="s">
        <v>1217</v>
      </c>
      <c r="D3308" s="1218" t="s">
        <v>1223</v>
      </c>
      <c r="E3308" s="1225" t="s">
        <v>1207</v>
      </c>
      <c r="F3308" s="1299" t="s">
        <v>1208</v>
      </c>
      <c r="G3308" s="1218" t="s">
        <v>1291</v>
      </c>
      <c r="H3308" s="1218" t="s">
        <v>1292</v>
      </c>
      <c r="I3308" s="1218" t="s">
        <v>1293</v>
      </c>
      <c r="J3308" s="1826"/>
      <c r="K3308" s="1826" t="s">
        <v>1358</v>
      </c>
      <c r="L3308" s="1826" t="s">
        <v>1359</v>
      </c>
    </row>
    <row r="3309" spans="1:12">
      <c r="A3309" s="1197"/>
      <c r="B3309" s="1197"/>
      <c r="C3309" s="1807" t="s">
        <v>1317</v>
      </c>
      <c r="D3309" s="1223">
        <f t="shared" ref="D3309:L3309" si="773">$I$3306</f>
        <v>7178.2318020000002</v>
      </c>
      <c r="E3309" s="1223">
        <f t="shared" si="773"/>
        <v>7178.2318020000002</v>
      </c>
      <c r="F3309" s="1223">
        <f t="shared" si="773"/>
        <v>7178.2318020000002</v>
      </c>
      <c r="G3309" s="1223">
        <f t="shared" si="773"/>
        <v>7178.2318020000002</v>
      </c>
      <c r="H3309" s="1223">
        <f t="shared" si="773"/>
        <v>7178.2318020000002</v>
      </c>
      <c r="I3309" s="1223">
        <f t="shared" si="773"/>
        <v>7178.2318020000002</v>
      </c>
      <c r="J3309" s="1001"/>
      <c r="K3309" s="1001">
        <f t="shared" si="773"/>
        <v>7178.2318020000002</v>
      </c>
      <c r="L3309" s="1001">
        <f t="shared" si="773"/>
        <v>7178.2318020000002</v>
      </c>
    </row>
    <row r="3310" spans="1:12">
      <c r="A3310" s="1197"/>
      <c r="B3310" s="1197"/>
      <c r="C3310" s="1807" t="s">
        <v>1253</v>
      </c>
      <c r="D3310" s="1223">
        <v>0</v>
      </c>
      <c r="E3310" s="1223">
        <f>ROUND($F$3304*10%,2)</f>
        <v>340.08</v>
      </c>
      <c r="F3310" s="1223">
        <f>ROUND($F$3304*20%,2)</f>
        <v>680.16</v>
      </c>
      <c r="G3310" s="1223">
        <f>ROUND($F$3304*30%,2)</f>
        <v>1020.24</v>
      </c>
      <c r="H3310" s="1223">
        <f>ROUND($F$3304*40%,2)</f>
        <v>1360.32</v>
      </c>
      <c r="I3310" s="1223">
        <f>ROUND($F$3304*50%,2)</f>
        <v>1700.4</v>
      </c>
      <c r="J3310" s="1001"/>
      <c r="K3310" s="1001">
        <f>ROUND($F$3304*70%,2)</f>
        <v>2380.56</v>
      </c>
      <c r="L3310" s="1001">
        <f>ROUND($F$3304*80%,2)</f>
        <v>2720.64</v>
      </c>
    </row>
    <row r="3311" spans="1:12">
      <c r="A3311" s="1197"/>
      <c r="B3311" s="1197"/>
      <c r="C3311" s="1807" t="str">
        <f>Input!$C$47</f>
        <v>Add for MA @ 40%</v>
      </c>
      <c r="D3311" s="1223">
        <f>D3310*Input!$D$47</f>
        <v>0</v>
      </c>
      <c r="E3311" s="1223">
        <f>E3310*Input!$D$47</f>
        <v>136.03200000000001</v>
      </c>
      <c r="F3311" s="1223">
        <f>F3310*Input!$D$47</f>
        <v>272.06400000000002</v>
      </c>
      <c r="G3311" s="1223">
        <f>G3310*Input!$D$47</f>
        <v>408.096</v>
      </c>
      <c r="H3311" s="1223">
        <f>H3310*Input!$D$47</f>
        <v>544.12800000000004</v>
      </c>
      <c r="I3311" s="1223">
        <f>I3310*Input!$D$47</f>
        <v>680.16000000000008</v>
      </c>
      <c r="J3311" s="1001"/>
      <c r="K3311" s="1001">
        <f>K3310*Input!$D$47</f>
        <v>952.22400000000005</v>
      </c>
      <c r="L3311" s="1001">
        <f>L3310*Input!$D$47</f>
        <v>1088.2560000000001</v>
      </c>
    </row>
    <row r="3312" spans="1:12">
      <c r="A3312" s="1197"/>
      <c r="B3312" s="1197"/>
      <c r="C3312" s="1199"/>
      <c r="D3312" s="1223">
        <f t="shared" ref="D3312:L3312" si="774">SUM(D3309:D3311)</f>
        <v>7178.2318020000002</v>
      </c>
      <c r="E3312" s="1223">
        <f t="shared" si="774"/>
        <v>7654.3438020000003</v>
      </c>
      <c r="F3312" s="1223">
        <f t="shared" si="774"/>
        <v>8130.4558020000004</v>
      </c>
      <c r="G3312" s="1223">
        <f t="shared" si="774"/>
        <v>8606.5678019999996</v>
      </c>
      <c r="H3312" s="1223">
        <f t="shared" si="774"/>
        <v>9082.6798020000006</v>
      </c>
      <c r="I3312" s="1223">
        <f t="shared" si="774"/>
        <v>9558.7918019999997</v>
      </c>
      <c r="J3312" s="1001"/>
      <c r="K3312" s="1001">
        <f t="shared" si="774"/>
        <v>10511.015802</v>
      </c>
      <c r="L3312" s="1001">
        <f t="shared" si="774"/>
        <v>10987.127801999999</v>
      </c>
    </row>
    <row r="3313" spans="1:64">
      <c r="A3313" s="1197"/>
      <c r="B3313" s="1197"/>
      <c r="C3313" s="1807" t="str">
        <f>Input!$C$48</f>
        <v>Overheads &amp; Contractors Profit @ 13.615%</v>
      </c>
      <c r="D3313" s="1223">
        <f>ROUND(D3312*Input!$D$48,2)</f>
        <v>977.32</v>
      </c>
      <c r="E3313" s="1223">
        <f>ROUND(E3312*Input!$D$48,2)</f>
        <v>1042.1400000000001</v>
      </c>
      <c r="F3313" s="1223">
        <f>ROUND(F3312*Input!$D$48,2)</f>
        <v>1106.96</v>
      </c>
      <c r="G3313" s="1223">
        <f>ROUND(G3312*Input!$D$48,2)</f>
        <v>1171.78</v>
      </c>
      <c r="H3313" s="1223">
        <f>ROUND(H3312*Input!$D$48,2)</f>
        <v>1236.6099999999999</v>
      </c>
      <c r="I3313" s="1223">
        <f>ROUND(I3312*Input!$D$48,2)</f>
        <v>1301.43</v>
      </c>
      <c r="J3313" s="1001"/>
      <c r="K3313" s="1001">
        <f>ROUND(K3312*Input!$D$48,2)</f>
        <v>1431.07</v>
      </c>
      <c r="L3313" s="1001">
        <f>ROUND(L3312*Input!$D$48,2)</f>
        <v>1495.9</v>
      </c>
    </row>
    <row r="3314" spans="1:64">
      <c r="A3314" s="1197"/>
      <c r="B3314" s="1197"/>
      <c r="C3314" s="1795" t="s">
        <v>1302</v>
      </c>
      <c r="D3314" s="1223">
        <f t="shared" ref="D3314:L3314" si="775">SUM(D3312:D3313)</f>
        <v>8155.551802</v>
      </c>
      <c r="E3314" s="1223">
        <f t="shared" si="775"/>
        <v>8696.4838020000007</v>
      </c>
      <c r="F3314" s="1223">
        <f t="shared" si="775"/>
        <v>9237.4158019999995</v>
      </c>
      <c r="G3314" s="1223">
        <f t="shared" si="775"/>
        <v>9778.3478020000002</v>
      </c>
      <c r="H3314" s="1223">
        <f t="shared" si="775"/>
        <v>10319.289802000001</v>
      </c>
      <c r="I3314" s="1223">
        <f t="shared" si="775"/>
        <v>10860.221802</v>
      </c>
      <c r="J3314" s="1001"/>
      <c r="K3314" s="1001">
        <f t="shared" si="775"/>
        <v>11942.085802</v>
      </c>
      <c r="L3314" s="1001">
        <f t="shared" si="775"/>
        <v>12483.027801999999</v>
      </c>
    </row>
    <row r="3315" spans="1:64" s="997" customFormat="1">
      <c r="A3315" s="1802"/>
      <c r="B3315" s="1802"/>
      <c r="C3315" s="1796" t="s">
        <v>1117</v>
      </c>
      <c r="D3315" s="1218">
        <f t="shared" ref="D3315:L3315" si="776">D3314/10</f>
        <v>815.5551802</v>
      </c>
      <c r="E3315" s="1218">
        <f t="shared" si="776"/>
        <v>869.64838020000002</v>
      </c>
      <c r="F3315" s="1218">
        <f t="shared" si="776"/>
        <v>923.74158019999993</v>
      </c>
      <c r="G3315" s="1218">
        <f t="shared" si="776"/>
        <v>977.83478020000007</v>
      </c>
      <c r="H3315" s="1218">
        <f t="shared" si="776"/>
        <v>1031.9289802000001</v>
      </c>
      <c r="I3315" s="1218">
        <f t="shared" si="776"/>
        <v>1086.0221802000001</v>
      </c>
      <c r="J3315" s="1826"/>
      <c r="K3315" s="1826">
        <f t="shared" si="776"/>
        <v>1194.2085801999999</v>
      </c>
      <c r="L3315" s="1826">
        <f t="shared" si="776"/>
        <v>1248.3027801999999</v>
      </c>
    </row>
    <row r="3316" spans="1:64" s="997" customFormat="1">
      <c r="A3316" s="1802"/>
      <c r="B3316" s="1802"/>
      <c r="C3316" s="1224" t="s">
        <v>1034</v>
      </c>
      <c r="D3316" s="1225">
        <f t="shared" ref="D3316:L3316" si="777">ROUND(D3315,0)</f>
        <v>816</v>
      </c>
      <c r="E3316" s="1225">
        <f t="shared" si="777"/>
        <v>870</v>
      </c>
      <c r="F3316" s="1225">
        <f t="shared" si="777"/>
        <v>924</v>
      </c>
      <c r="G3316" s="1225">
        <f t="shared" si="777"/>
        <v>978</v>
      </c>
      <c r="H3316" s="1225">
        <f t="shared" si="777"/>
        <v>1032</v>
      </c>
      <c r="I3316" s="1225">
        <f t="shared" si="777"/>
        <v>1086</v>
      </c>
      <c r="J3316" s="999"/>
      <c r="K3316" s="999">
        <f t="shared" si="777"/>
        <v>1194</v>
      </c>
      <c r="L3316" s="999">
        <f t="shared" si="777"/>
        <v>1248</v>
      </c>
    </row>
    <row r="3317" spans="1:64">
      <c r="A3317" s="1197"/>
      <c r="B3317" s="1197"/>
      <c r="C3317" s="1795"/>
      <c r="D3317" s="1221"/>
      <c r="E3317" s="1221"/>
      <c r="F3317" s="1221"/>
      <c r="G3317" s="1221"/>
      <c r="H3317" s="1229"/>
      <c r="I3317" s="1230"/>
      <c r="J3317" s="1846"/>
      <c r="K3317" s="1846"/>
      <c r="L3317" s="1846"/>
    </row>
    <row r="3318" spans="1:64" ht="133.5" customHeight="1">
      <c r="A3318" s="1197">
        <f>1+A3131</f>
        <v>39</v>
      </c>
      <c r="B3318" s="1197"/>
      <c r="C3318" s="2006" t="s">
        <v>3439</v>
      </c>
      <c r="D3318" s="2006"/>
      <c r="E3318" s="2006"/>
      <c r="F3318" s="2006"/>
      <c r="G3318" s="2006"/>
      <c r="H3318" s="2006"/>
      <c r="I3318" s="1814"/>
      <c r="J3318" s="1846"/>
      <c r="K3318" s="1846"/>
      <c r="L3318" s="1846"/>
    </row>
    <row r="3319" spans="1:64">
      <c r="A3319" s="1197"/>
      <c r="B3319" s="1197" t="s">
        <v>294</v>
      </c>
      <c r="C3319" s="1795" t="s">
        <v>1457</v>
      </c>
      <c r="D3319" s="1807"/>
      <c r="E3319" s="1807"/>
      <c r="F3319" s="1794"/>
      <c r="G3319" s="1807"/>
      <c r="H3319" s="1807"/>
      <c r="I3319" s="1209"/>
      <c r="J3319" s="1846"/>
      <c r="K3319" s="1846"/>
      <c r="L3319" s="1846"/>
    </row>
    <row r="3320" spans="1:64">
      <c r="A3320" s="1197"/>
      <c r="B3320" s="1197"/>
      <c r="C3320" s="1198" t="s">
        <v>1441</v>
      </c>
      <c r="D3320" s="1199"/>
      <c r="E3320" s="1199"/>
      <c r="F3320" s="1200"/>
      <c r="G3320" s="1199"/>
      <c r="H3320" s="1199"/>
      <c r="I3320" s="1201"/>
      <c r="J3320" s="1846"/>
      <c r="K3320" s="1846"/>
      <c r="L3320" s="1846"/>
    </row>
    <row r="3321" spans="1:64">
      <c r="A3321" s="1197"/>
      <c r="B3321" s="1197"/>
      <c r="C3321" s="1202" t="s">
        <v>1394</v>
      </c>
      <c r="D3321" s="1199"/>
      <c r="E3321" s="1199"/>
      <c r="F3321" s="1200"/>
      <c r="G3321" s="1199"/>
      <c r="H3321" s="1199"/>
      <c r="I3321" s="1201"/>
      <c r="J3321" s="1846"/>
      <c r="K3321" s="1846"/>
      <c r="L3321" s="1846"/>
    </row>
    <row r="3322" spans="1:64">
      <c r="A3322" s="1197"/>
      <c r="B3322" s="1197"/>
      <c r="C3322" s="1814" t="s">
        <v>1395</v>
      </c>
      <c r="D3322" s="1203"/>
      <c r="E3322" s="1199"/>
      <c r="F3322" s="1201"/>
      <c r="G3322" s="1204"/>
      <c r="H3322" s="1199"/>
      <c r="I3322" s="1205"/>
      <c r="J3322" s="1846"/>
      <c r="K3322" s="1846"/>
      <c r="L3322" s="1846"/>
    </row>
    <row r="3323" spans="1:64" ht="25.5">
      <c r="A3323" s="1206"/>
      <c r="B3323" s="1206"/>
      <c r="C3323" s="1807" t="s">
        <v>1442</v>
      </c>
      <c r="D3323" s="1207">
        <v>10.5</v>
      </c>
      <c r="E3323" s="1208" t="s">
        <v>46</v>
      </c>
      <c r="F3323" s="1209">
        <f>LEAD!$N$28</f>
        <v>3030</v>
      </c>
      <c r="G3323" s="1210">
        <v>1</v>
      </c>
      <c r="H3323" s="1208" t="s">
        <v>46</v>
      </c>
      <c r="I3323" s="1211">
        <f t="shared" ref="I3323:I3327" si="778">IF(G3323="",D3323*F3323,(D3323*F3323/G3323))</f>
        <v>31815</v>
      </c>
      <c r="J3323" s="1022"/>
      <c r="K3323" s="1022"/>
      <c r="L3323" s="1022"/>
      <c r="M3323" s="1066"/>
      <c r="N3323" s="1066"/>
      <c r="O3323" s="1066"/>
      <c r="P3323" s="1066"/>
      <c r="Q3323" s="1066"/>
      <c r="R3323" s="1066"/>
      <c r="S3323" s="1066"/>
      <c r="T3323" s="1066"/>
      <c r="U3323" s="1066"/>
      <c r="V3323" s="1066"/>
      <c r="W3323" s="1066"/>
      <c r="X3323" s="1066"/>
      <c r="Y3323" s="1066"/>
      <c r="Z3323" s="1066"/>
      <c r="AA3323" s="1066"/>
      <c r="AB3323" s="1066"/>
      <c r="AC3323" s="1066"/>
      <c r="AD3323" s="1066"/>
      <c r="AE3323" s="1066"/>
      <c r="AF3323" s="1066"/>
      <c r="AG3323" s="1066"/>
      <c r="AH3323" s="1066"/>
      <c r="AI3323" s="1066"/>
      <c r="AJ3323" s="1066"/>
      <c r="AK3323" s="1066"/>
      <c r="AL3323" s="1066"/>
      <c r="AM3323" s="1066"/>
      <c r="AN3323" s="1066"/>
      <c r="AO3323" s="1066"/>
      <c r="AP3323" s="1066"/>
      <c r="AQ3323" s="1066"/>
      <c r="AR3323" s="1066"/>
      <c r="AS3323" s="1066"/>
      <c r="AT3323" s="1066"/>
      <c r="AU3323" s="1066"/>
      <c r="AV3323" s="1066"/>
      <c r="AW3323" s="1066"/>
      <c r="AX3323" s="1066"/>
      <c r="AY3323" s="1066"/>
      <c r="AZ3323" s="1066"/>
      <c r="BA3323" s="1066"/>
      <c r="BB3323" s="1066"/>
      <c r="BC3323" s="1066"/>
      <c r="BD3323" s="1066"/>
      <c r="BE3323" s="1066"/>
      <c r="BF3323" s="1066"/>
      <c r="BG3323" s="1066"/>
      <c r="BH3323" s="1066"/>
      <c r="BI3323" s="1066"/>
      <c r="BJ3323" s="1066"/>
      <c r="BK3323" s="1066"/>
      <c r="BL3323" s="1066"/>
    </row>
    <row r="3324" spans="1:64">
      <c r="A3324" s="1206"/>
      <c r="B3324" s="1206"/>
      <c r="C3324" s="1807" t="s">
        <v>1473</v>
      </c>
      <c r="D3324" s="1207">
        <v>34.56</v>
      </c>
      <c r="E3324" s="1208" t="s">
        <v>1110</v>
      </c>
      <c r="F3324" s="1209">
        <f>LEAD!$N$6</f>
        <v>5200</v>
      </c>
      <c r="G3324" s="1210">
        <v>1000</v>
      </c>
      <c r="H3324" s="1208" t="s">
        <v>1110</v>
      </c>
      <c r="I3324" s="1211">
        <f t="shared" si="778"/>
        <v>179.71199999999999</v>
      </c>
      <c r="J3324" s="1022"/>
      <c r="K3324" s="1022"/>
      <c r="L3324" s="1022"/>
      <c r="M3324" s="1066"/>
      <c r="N3324" s="1066"/>
      <c r="O3324" s="1066"/>
      <c r="P3324" s="1066"/>
      <c r="Q3324" s="1066"/>
      <c r="R3324" s="1066"/>
      <c r="S3324" s="1066"/>
      <c r="T3324" s="1066"/>
      <c r="U3324" s="1066"/>
      <c r="V3324" s="1066"/>
      <c r="W3324" s="1066"/>
      <c r="X3324" s="1066"/>
      <c r="Y3324" s="1066"/>
      <c r="Z3324" s="1066"/>
      <c r="AA3324" s="1066"/>
      <c r="AB3324" s="1066"/>
      <c r="AC3324" s="1066"/>
      <c r="AD3324" s="1066"/>
      <c r="AE3324" s="1066"/>
      <c r="AF3324" s="1066"/>
      <c r="AG3324" s="1066"/>
      <c r="AH3324" s="1066"/>
      <c r="AI3324" s="1066"/>
      <c r="AJ3324" s="1066"/>
      <c r="AK3324" s="1066"/>
      <c r="AL3324" s="1066"/>
      <c r="AM3324" s="1066"/>
      <c r="AN3324" s="1066"/>
      <c r="AO3324" s="1066"/>
      <c r="AP3324" s="1066"/>
      <c r="AQ3324" s="1066"/>
      <c r="AR3324" s="1066"/>
      <c r="AS3324" s="1066"/>
      <c r="AT3324" s="1066"/>
      <c r="AU3324" s="1066"/>
      <c r="AV3324" s="1066"/>
      <c r="AW3324" s="1066"/>
      <c r="AX3324" s="1066"/>
      <c r="AY3324" s="1066"/>
      <c r="AZ3324" s="1066"/>
      <c r="BA3324" s="1066"/>
      <c r="BB3324" s="1066"/>
      <c r="BC3324" s="1066"/>
      <c r="BD3324" s="1066"/>
      <c r="BE3324" s="1066"/>
      <c r="BF3324" s="1066"/>
      <c r="BG3324" s="1066"/>
      <c r="BH3324" s="1066"/>
      <c r="BI3324" s="1066"/>
      <c r="BJ3324" s="1066"/>
      <c r="BK3324" s="1066"/>
      <c r="BL3324" s="1066"/>
    </row>
    <row r="3325" spans="1:64">
      <c r="A3325" s="1206"/>
      <c r="B3325" s="1206"/>
      <c r="C3325" s="1807" t="s">
        <v>1398</v>
      </c>
      <c r="D3325" s="1207">
        <v>33</v>
      </c>
      <c r="E3325" s="1208" t="s">
        <v>1110</v>
      </c>
      <c r="F3325" s="1209">
        <f>LEAD!$N$6</f>
        <v>5200</v>
      </c>
      <c r="G3325" s="1210">
        <v>1000</v>
      </c>
      <c r="H3325" s="1208" t="s">
        <v>1110</v>
      </c>
      <c r="I3325" s="1211">
        <f t="shared" si="778"/>
        <v>171.6</v>
      </c>
      <c r="J3325" s="1022"/>
      <c r="K3325" s="1022"/>
      <c r="L3325" s="1022"/>
      <c r="M3325" s="1066"/>
      <c r="N3325" s="1066"/>
      <c r="O3325" s="1066"/>
      <c r="P3325" s="1066"/>
      <c r="Q3325" s="1066"/>
      <c r="R3325" s="1066"/>
      <c r="S3325" s="1066"/>
      <c r="T3325" s="1066"/>
      <c r="U3325" s="1066"/>
      <c r="V3325" s="1066"/>
      <c r="W3325" s="1066"/>
      <c r="X3325" s="1066"/>
      <c r="Y3325" s="1066"/>
      <c r="Z3325" s="1066"/>
      <c r="AA3325" s="1066"/>
      <c r="AB3325" s="1066"/>
      <c r="AC3325" s="1066"/>
      <c r="AD3325" s="1066"/>
      <c r="AE3325" s="1066"/>
      <c r="AF3325" s="1066"/>
      <c r="AG3325" s="1066"/>
      <c r="AH3325" s="1066"/>
      <c r="AI3325" s="1066"/>
      <c r="AJ3325" s="1066"/>
      <c r="AK3325" s="1066"/>
      <c r="AL3325" s="1066"/>
      <c r="AM3325" s="1066"/>
      <c r="AN3325" s="1066"/>
      <c r="AO3325" s="1066"/>
      <c r="AP3325" s="1066"/>
      <c r="AQ3325" s="1066"/>
      <c r="AR3325" s="1066"/>
      <c r="AS3325" s="1066"/>
      <c r="AT3325" s="1066"/>
      <c r="AU3325" s="1066"/>
      <c r="AV3325" s="1066"/>
      <c r="AW3325" s="1066"/>
      <c r="AX3325" s="1066"/>
      <c r="AY3325" s="1066"/>
      <c r="AZ3325" s="1066"/>
      <c r="BA3325" s="1066"/>
      <c r="BB3325" s="1066"/>
      <c r="BC3325" s="1066"/>
      <c r="BD3325" s="1066"/>
      <c r="BE3325" s="1066"/>
      <c r="BF3325" s="1066"/>
      <c r="BG3325" s="1066"/>
      <c r="BH3325" s="1066"/>
      <c r="BI3325" s="1066"/>
      <c r="BJ3325" s="1066"/>
      <c r="BK3325" s="1066"/>
      <c r="BL3325" s="1066"/>
    </row>
    <row r="3326" spans="1:64">
      <c r="A3326" s="1206"/>
      <c r="B3326" s="1206"/>
      <c r="C3326" s="1807" t="s">
        <v>1443</v>
      </c>
      <c r="D3326" s="1207">
        <v>6</v>
      </c>
      <c r="E3326" s="1208" t="s">
        <v>1110</v>
      </c>
      <c r="F3326" s="1209">
        <f>'Civil-SOR'!$G$185</f>
        <v>34</v>
      </c>
      <c r="G3326" s="1210">
        <v>1</v>
      </c>
      <c r="H3326" s="1208" t="s">
        <v>97</v>
      </c>
      <c r="I3326" s="1211">
        <f t="shared" si="778"/>
        <v>204</v>
      </c>
      <c r="J3326" s="1022"/>
      <c r="K3326" s="1022"/>
      <c r="L3326" s="1022"/>
      <c r="M3326" s="1066"/>
      <c r="N3326" s="1066"/>
      <c r="O3326" s="1066"/>
      <c r="P3326" s="1066"/>
      <c r="Q3326" s="1066"/>
      <c r="R3326" s="1066"/>
      <c r="S3326" s="1066"/>
      <c r="T3326" s="1066"/>
      <c r="U3326" s="1066"/>
      <c r="V3326" s="1066"/>
      <c r="W3326" s="1066"/>
      <c r="X3326" s="1066"/>
      <c r="Y3326" s="1066"/>
      <c r="Z3326" s="1066"/>
      <c r="AA3326" s="1066"/>
      <c r="AB3326" s="1066"/>
      <c r="AC3326" s="1066"/>
      <c r="AD3326" s="1066"/>
      <c r="AE3326" s="1066"/>
      <c r="AF3326" s="1066"/>
      <c r="AG3326" s="1066"/>
      <c r="AH3326" s="1066"/>
      <c r="AI3326" s="1066"/>
      <c r="AJ3326" s="1066"/>
      <c r="AK3326" s="1066"/>
      <c r="AL3326" s="1066"/>
      <c r="AM3326" s="1066"/>
      <c r="AN3326" s="1066"/>
      <c r="AO3326" s="1066"/>
      <c r="AP3326" s="1066"/>
      <c r="AQ3326" s="1066"/>
      <c r="AR3326" s="1066"/>
      <c r="AS3326" s="1066"/>
      <c r="AT3326" s="1066"/>
      <c r="AU3326" s="1066"/>
      <c r="AV3326" s="1066"/>
      <c r="AW3326" s="1066"/>
      <c r="AX3326" s="1066"/>
      <c r="AY3326" s="1066"/>
      <c r="AZ3326" s="1066"/>
      <c r="BA3326" s="1066"/>
      <c r="BB3326" s="1066"/>
      <c r="BC3326" s="1066"/>
      <c r="BD3326" s="1066"/>
      <c r="BE3326" s="1066"/>
      <c r="BF3326" s="1066"/>
      <c r="BG3326" s="1066"/>
      <c r="BH3326" s="1066"/>
      <c r="BI3326" s="1066"/>
      <c r="BJ3326" s="1066"/>
      <c r="BK3326" s="1066"/>
      <c r="BL3326" s="1066"/>
    </row>
    <row r="3327" spans="1:64">
      <c r="A3327" s="1206"/>
      <c r="B3327" s="1206"/>
      <c r="C3327" s="1807" t="s">
        <v>1460</v>
      </c>
      <c r="D3327" s="1207">
        <v>0.12</v>
      </c>
      <c r="E3327" s="1208" t="s">
        <v>484</v>
      </c>
      <c r="F3327" s="1209">
        <f>LEAD!$N$13</f>
        <v>2453.91</v>
      </c>
      <c r="G3327" s="1210">
        <v>1</v>
      </c>
      <c r="H3327" s="1208" t="s">
        <v>484</v>
      </c>
      <c r="I3327" s="1211">
        <f t="shared" si="778"/>
        <v>294.46919999999994</v>
      </c>
      <c r="J3327" s="1022"/>
      <c r="K3327" s="1022"/>
      <c r="L3327" s="1022"/>
      <c r="M3327" s="1066"/>
      <c r="N3327" s="1066"/>
      <c r="O3327" s="1066"/>
      <c r="P3327" s="1066"/>
      <c r="Q3327" s="1066"/>
      <c r="R3327" s="1066"/>
      <c r="S3327" s="1066"/>
      <c r="T3327" s="1066"/>
      <c r="U3327" s="1066"/>
      <c r="V3327" s="1066"/>
      <c r="W3327" s="1066"/>
      <c r="X3327" s="1066"/>
      <c r="Y3327" s="1066"/>
      <c r="Z3327" s="1066"/>
      <c r="AA3327" s="1066"/>
      <c r="AB3327" s="1066"/>
      <c r="AC3327" s="1066"/>
      <c r="AD3327" s="1066"/>
      <c r="AE3327" s="1066"/>
      <c r="AF3327" s="1066"/>
      <c r="AG3327" s="1066"/>
      <c r="AH3327" s="1066"/>
      <c r="AI3327" s="1066"/>
      <c r="AJ3327" s="1066"/>
      <c r="AK3327" s="1066"/>
      <c r="AL3327" s="1066"/>
      <c r="AM3327" s="1066"/>
      <c r="AN3327" s="1066"/>
      <c r="AO3327" s="1066"/>
      <c r="AP3327" s="1066"/>
      <c r="AQ3327" s="1066"/>
      <c r="AR3327" s="1066"/>
      <c r="AS3327" s="1066"/>
      <c r="AT3327" s="1066"/>
      <c r="AU3327" s="1066"/>
      <c r="AV3327" s="1066"/>
      <c r="AW3327" s="1066"/>
      <c r="AX3327" s="1066"/>
      <c r="AY3327" s="1066"/>
      <c r="AZ3327" s="1066"/>
      <c r="BA3327" s="1066"/>
      <c r="BB3327" s="1066"/>
      <c r="BC3327" s="1066"/>
      <c r="BD3327" s="1066"/>
      <c r="BE3327" s="1066"/>
      <c r="BF3327" s="1066"/>
      <c r="BG3327" s="1066"/>
      <c r="BH3327" s="1066"/>
      <c r="BI3327" s="1066"/>
      <c r="BJ3327" s="1066"/>
      <c r="BK3327" s="1066"/>
      <c r="BL3327" s="1066"/>
    </row>
    <row r="3328" spans="1:64">
      <c r="A3328" s="1206"/>
      <c r="B3328" s="1206"/>
      <c r="C3328" s="1795" t="s">
        <v>1324</v>
      </c>
      <c r="D3328" s="1207"/>
      <c r="E3328" s="1208"/>
      <c r="F3328" s="1209"/>
      <c r="G3328" s="1210"/>
      <c r="H3328" s="1208"/>
      <c r="I3328" s="1211"/>
      <c r="J3328" s="1022"/>
      <c r="K3328" s="1022"/>
      <c r="L3328" s="1022"/>
      <c r="M3328" s="1066"/>
      <c r="N3328" s="1066"/>
      <c r="O3328" s="1066"/>
      <c r="P3328" s="1066"/>
      <c r="Q3328" s="1066"/>
      <c r="R3328" s="1066"/>
      <c r="S3328" s="1066"/>
      <c r="T3328" s="1066"/>
      <c r="U3328" s="1066"/>
      <c r="V3328" s="1066"/>
      <c r="W3328" s="1066"/>
      <c r="X3328" s="1066"/>
      <c r="Y3328" s="1066"/>
      <c r="Z3328" s="1066"/>
      <c r="AA3328" s="1066"/>
      <c r="AB3328" s="1066"/>
      <c r="AC3328" s="1066"/>
      <c r="AD3328" s="1066"/>
      <c r="AE3328" s="1066"/>
      <c r="AF3328" s="1066"/>
      <c r="AG3328" s="1066"/>
      <c r="AH3328" s="1066"/>
      <c r="AI3328" s="1066"/>
      <c r="AJ3328" s="1066"/>
      <c r="AK3328" s="1066"/>
      <c r="AL3328" s="1066"/>
      <c r="AM3328" s="1066"/>
      <c r="AN3328" s="1066"/>
      <c r="AO3328" s="1066"/>
      <c r="AP3328" s="1066"/>
      <c r="AQ3328" s="1066"/>
      <c r="AR3328" s="1066"/>
      <c r="AS3328" s="1066"/>
      <c r="AT3328" s="1066"/>
      <c r="AU3328" s="1066"/>
      <c r="AV3328" s="1066"/>
      <c r="AW3328" s="1066"/>
      <c r="AX3328" s="1066"/>
      <c r="AY3328" s="1066"/>
      <c r="AZ3328" s="1066"/>
      <c r="BA3328" s="1066"/>
      <c r="BB3328" s="1066"/>
      <c r="BC3328" s="1066"/>
      <c r="BD3328" s="1066"/>
      <c r="BE3328" s="1066"/>
      <c r="BF3328" s="1066"/>
      <c r="BG3328" s="1066"/>
      <c r="BH3328" s="1066"/>
      <c r="BI3328" s="1066"/>
      <c r="BJ3328" s="1066"/>
      <c r="BK3328" s="1066"/>
      <c r="BL3328" s="1066"/>
    </row>
    <row r="3329" spans="1:64">
      <c r="A3329" s="1206"/>
      <c r="B3329" s="1206"/>
      <c r="C3329" s="1807" t="s">
        <v>1299</v>
      </c>
      <c r="D3329" s="1207">
        <v>3</v>
      </c>
      <c r="E3329" s="1208" t="s">
        <v>955</v>
      </c>
      <c r="F3329" s="1209">
        <f>'Civil-SOR'!$G$293</f>
        <v>580</v>
      </c>
      <c r="G3329" s="1210">
        <v>1</v>
      </c>
      <c r="H3329" s="1208" t="s">
        <v>501</v>
      </c>
      <c r="I3329" s="1211">
        <f t="shared" ref="I3329:I3336" si="779">IF(G3329="",D3329*F3329,(D3329*F3329/G3329))</f>
        <v>1740</v>
      </c>
      <c r="J3329" s="1022"/>
      <c r="K3329" s="1022"/>
      <c r="L3329" s="1022"/>
      <c r="M3329" s="1066"/>
      <c r="N3329" s="1066"/>
      <c r="O3329" s="1066"/>
      <c r="P3329" s="1066"/>
      <c r="Q3329" s="1066"/>
      <c r="R3329" s="1066"/>
      <c r="S3329" s="1066"/>
      <c r="T3329" s="1066"/>
      <c r="U3329" s="1066"/>
      <c r="V3329" s="1066"/>
      <c r="W3329" s="1066"/>
      <c r="X3329" s="1066"/>
      <c r="Y3329" s="1066"/>
      <c r="Z3329" s="1066"/>
      <c r="AA3329" s="1066"/>
      <c r="AB3329" s="1066"/>
      <c r="AC3329" s="1066"/>
      <c r="AD3329" s="1066"/>
      <c r="AE3329" s="1066"/>
      <c r="AF3329" s="1066"/>
      <c r="AG3329" s="1066"/>
      <c r="AH3329" s="1066"/>
      <c r="AI3329" s="1066"/>
      <c r="AJ3329" s="1066"/>
      <c r="AK3329" s="1066"/>
      <c r="AL3329" s="1066"/>
      <c r="AM3329" s="1066"/>
      <c r="AN3329" s="1066"/>
      <c r="AO3329" s="1066"/>
      <c r="AP3329" s="1066"/>
      <c r="AQ3329" s="1066"/>
      <c r="AR3329" s="1066"/>
      <c r="AS3329" s="1066"/>
      <c r="AT3329" s="1066"/>
      <c r="AU3329" s="1066"/>
      <c r="AV3329" s="1066"/>
      <c r="AW3329" s="1066"/>
      <c r="AX3329" s="1066"/>
      <c r="AY3329" s="1066"/>
      <c r="AZ3329" s="1066"/>
      <c r="BA3329" s="1066"/>
      <c r="BB3329" s="1066"/>
      <c r="BC3329" s="1066"/>
      <c r="BD3329" s="1066"/>
      <c r="BE3329" s="1066"/>
      <c r="BF3329" s="1066"/>
      <c r="BG3329" s="1066"/>
      <c r="BH3329" s="1066"/>
      <c r="BI3329" s="1066"/>
      <c r="BJ3329" s="1066"/>
      <c r="BK3329" s="1066"/>
      <c r="BL3329" s="1066"/>
    </row>
    <row r="3330" spans="1:64">
      <c r="A3330" s="1206"/>
      <c r="B3330" s="1206"/>
      <c r="C3330" s="1807" t="s">
        <v>1325</v>
      </c>
      <c r="D3330" s="1207">
        <v>1</v>
      </c>
      <c r="E3330" s="1208" t="s">
        <v>955</v>
      </c>
      <c r="F3330" s="1209">
        <f>'Civil-SOR'!$G$302</f>
        <v>550</v>
      </c>
      <c r="G3330" s="1210">
        <v>1</v>
      </c>
      <c r="H3330" s="1208" t="s">
        <v>501</v>
      </c>
      <c r="I3330" s="1211">
        <f t="shared" si="779"/>
        <v>550</v>
      </c>
      <c r="J3330" s="1022"/>
      <c r="K3330" s="1022"/>
      <c r="L3330" s="1022"/>
      <c r="M3330" s="1066"/>
      <c r="N3330" s="1066"/>
      <c r="O3330" s="1066"/>
      <c r="P3330" s="1066"/>
      <c r="Q3330" s="1066"/>
      <c r="R3330" s="1066"/>
      <c r="S3330" s="1066"/>
      <c r="T3330" s="1066"/>
      <c r="U3330" s="1066"/>
      <c r="V3330" s="1066"/>
      <c r="W3330" s="1066"/>
      <c r="X3330" s="1066"/>
      <c r="Y3330" s="1066"/>
      <c r="Z3330" s="1066"/>
      <c r="AA3330" s="1066"/>
      <c r="AB3330" s="1066"/>
      <c r="AC3330" s="1066"/>
      <c r="AD3330" s="1066"/>
      <c r="AE3330" s="1066"/>
      <c r="AF3330" s="1066"/>
      <c r="AG3330" s="1066"/>
      <c r="AH3330" s="1066"/>
      <c r="AI3330" s="1066"/>
      <c r="AJ3330" s="1066"/>
      <c r="AK3330" s="1066"/>
      <c r="AL3330" s="1066"/>
      <c r="AM3330" s="1066"/>
      <c r="AN3330" s="1066"/>
      <c r="AO3330" s="1066"/>
      <c r="AP3330" s="1066"/>
      <c r="AQ3330" s="1066"/>
      <c r="AR3330" s="1066"/>
      <c r="AS3330" s="1066"/>
      <c r="AT3330" s="1066"/>
      <c r="AU3330" s="1066"/>
      <c r="AV3330" s="1066"/>
      <c r="AW3330" s="1066"/>
      <c r="AX3330" s="1066"/>
      <c r="AY3330" s="1066"/>
      <c r="AZ3330" s="1066"/>
      <c r="BA3330" s="1066"/>
      <c r="BB3330" s="1066"/>
      <c r="BC3330" s="1066"/>
      <c r="BD3330" s="1066"/>
      <c r="BE3330" s="1066"/>
      <c r="BF3330" s="1066"/>
      <c r="BG3330" s="1066"/>
      <c r="BH3330" s="1066"/>
      <c r="BI3330" s="1066"/>
      <c r="BJ3330" s="1066"/>
      <c r="BK3330" s="1066"/>
      <c r="BL3330" s="1066"/>
    </row>
    <row r="3331" spans="1:64">
      <c r="A3331" s="1206"/>
      <c r="B3331" s="1206"/>
      <c r="C3331" s="1807" t="s">
        <v>1401</v>
      </c>
      <c r="D3331" s="1207">
        <v>8</v>
      </c>
      <c r="E3331" s="1208" t="s">
        <v>955</v>
      </c>
      <c r="F3331" s="1209">
        <f>'Civil-SOR'!$G$307</f>
        <v>520</v>
      </c>
      <c r="G3331" s="1210">
        <v>1</v>
      </c>
      <c r="H3331" s="1208" t="s">
        <v>501</v>
      </c>
      <c r="I3331" s="1211">
        <f t="shared" si="779"/>
        <v>4160</v>
      </c>
      <c r="J3331" s="1022"/>
      <c r="K3331" s="1022"/>
      <c r="L3331" s="1022"/>
      <c r="M3331" s="1066"/>
      <c r="N3331" s="1066"/>
      <c r="O3331" s="1066"/>
      <c r="P3331" s="1066"/>
      <c r="Q3331" s="1066"/>
      <c r="R3331" s="1066"/>
      <c r="S3331" s="1066"/>
      <c r="T3331" s="1066"/>
      <c r="U3331" s="1066"/>
      <c r="V3331" s="1066"/>
      <c r="W3331" s="1066"/>
      <c r="X3331" s="1066"/>
      <c r="Y3331" s="1066"/>
      <c r="Z3331" s="1066"/>
      <c r="AA3331" s="1066"/>
      <c r="AB3331" s="1066"/>
      <c r="AC3331" s="1066"/>
      <c r="AD3331" s="1066"/>
      <c r="AE3331" s="1066"/>
      <c r="AF3331" s="1066"/>
      <c r="AG3331" s="1066"/>
      <c r="AH3331" s="1066"/>
      <c r="AI3331" s="1066"/>
      <c r="AJ3331" s="1066"/>
      <c r="AK3331" s="1066"/>
      <c r="AL3331" s="1066"/>
      <c r="AM3331" s="1066"/>
      <c r="AN3331" s="1066"/>
      <c r="AO3331" s="1066"/>
      <c r="AP3331" s="1066"/>
      <c r="AQ3331" s="1066"/>
      <c r="AR3331" s="1066"/>
      <c r="AS3331" s="1066"/>
      <c r="AT3331" s="1066"/>
      <c r="AU3331" s="1066"/>
      <c r="AV3331" s="1066"/>
      <c r="AW3331" s="1066"/>
      <c r="AX3331" s="1066"/>
      <c r="AY3331" s="1066"/>
      <c r="AZ3331" s="1066"/>
      <c r="BA3331" s="1066"/>
      <c r="BB3331" s="1066"/>
      <c r="BC3331" s="1066"/>
      <c r="BD3331" s="1066"/>
      <c r="BE3331" s="1066"/>
      <c r="BF3331" s="1066"/>
      <c r="BG3331" s="1066"/>
      <c r="BH3331" s="1066"/>
      <c r="BI3331" s="1066"/>
      <c r="BJ3331" s="1066"/>
      <c r="BK3331" s="1066"/>
      <c r="BL3331" s="1066"/>
    </row>
    <row r="3332" spans="1:64">
      <c r="A3332" s="1206"/>
      <c r="B3332" s="1206"/>
      <c r="C3332" s="1807" t="str">
        <f>Input!$C$47</f>
        <v>Add for MA @ 40%</v>
      </c>
      <c r="D3332" s="1212">
        <f>Input!$D$47</f>
        <v>0.4</v>
      </c>
      <c r="E3332" s="1208"/>
      <c r="F3332" s="1209">
        <f>SUM(I3329:I3331)</f>
        <v>6450</v>
      </c>
      <c r="G3332" s="1210"/>
      <c r="H3332" s="1208"/>
      <c r="I3332" s="1211">
        <f t="shared" si="779"/>
        <v>2580</v>
      </c>
      <c r="J3332" s="1022"/>
      <c r="K3332" s="1022"/>
      <c r="L3332" s="1022"/>
      <c r="M3332" s="1066"/>
      <c r="N3332" s="1066"/>
      <c r="O3332" s="1066"/>
      <c r="P3332" s="1066"/>
      <c r="Q3332" s="1066"/>
      <c r="R3332" s="1066"/>
      <c r="S3332" s="1066"/>
      <c r="T3332" s="1066"/>
      <c r="U3332" s="1066"/>
      <c r="V3332" s="1066"/>
      <c r="W3332" s="1066"/>
      <c r="X3332" s="1066"/>
      <c r="Y3332" s="1066"/>
      <c r="Z3332" s="1066"/>
      <c r="AA3332" s="1066"/>
      <c r="AB3332" s="1066"/>
      <c r="AC3332" s="1066"/>
      <c r="AD3332" s="1066"/>
      <c r="AE3332" s="1066"/>
      <c r="AF3332" s="1066"/>
      <c r="AG3332" s="1066"/>
      <c r="AH3332" s="1066"/>
      <c r="AI3332" s="1066"/>
      <c r="AJ3332" s="1066"/>
      <c r="AK3332" s="1066"/>
      <c r="AL3332" s="1066"/>
      <c r="AM3332" s="1066"/>
      <c r="AN3332" s="1066"/>
      <c r="AO3332" s="1066"/>
      <c r="AP3332" s="1066"/>
      <c r="AQ3332" s="1066"/>
      <c r="AR3332" s="1066"/>
      <c r="AS3332" s="1066"/>
      <c r="AT3332" s="1066"/>
      <c r="AU3332" s="1066"/>
      <c r="AV3332" s="1066"/>
      <c r="AW3332" s="1066"/>
      <c r="AX3332" s="1066"/>
      <c r="AY3332" s="1066"/>
      <c r="AZ3332" s="1066"/>
      <c r="BA3332" s="1066"/>
      <c r="BB3332" s="1066"/>
      <c r="BC3332" s="1066"/>
      <c r="BD3332" s="1066"/>
      <c r="BE3332" s="1066"/>
      <c r="BF3332" s="1066"/>
      <c r="BG3332" s="1066"/>
      <c r="BH3332" s="1066"/>
      <c r="BI3332" s="1066"/>
      <c r="BJ3332" s="1066"/>
      <c r="BK3332" s="1066"/>
      <c r="BL3332" s="1066"/>
    </row>
    <row r="3333" spans="1:64">
      <c r="A3333" s="1206"/>
      <c r="B3333" s="1206"/>
      <c r="C3333" s="1807" t="s">
        <v>1474</v>
      </c>
      <c r="D3333" s="1212">
        <v>33.33</v>
      </c>
      <c r="E3333" s="1208" t="s">
        <v>197</v>
      </c>
      <c r="F3333" s="1211">
        <f>'Civil-SOR'!$G$200</f>
        <v>24</v>
      </c>
      <c r="G3333" s="1210">
        <v>1</v>
      </c>
      <c r="H3333" s="1208" t="s">
        <v>197</v>
      </c>
      <c r="I3333" s="1211">
        <f t="shared" si="779"/>
        <v>799.92</v>
      </c>
      <c r="J3333" s="1022"/>
      <c r="K3333" s="1022"/>
      <c r="L3333" s="1022"/>
      <c r="M3333" s="1066"/>
      <c r="N3333" s="1066"/>
      <c r="O3333" s="1066"/>
      <c r="P3333" s="1066"/>
      <c r="Q3333" s="1066"/>
      <c r="R3333" s="1066"/>
      <c r="S3333" s="1066"/>
      <c r="T3333" s="1066"/>
      <c r="U3333" s="1066"/>
      <c r="V3333" s="1066"/>
      <c r="W3333" s="1066"/>
      <c r="X3333" s="1066"/>
      <c r="Y3333" s="1066"/>
      <c r="Z3333" s="1066"/>
      <c r="AA3333" s="1066"/>
      <c r="AB3333" s="1066"/>
      <c r="AC3333" s="1066"/>
      <c r="AD3333" s="1066"/>
      <c r="AE3333" s="1066"/>
      <c r="AF3333" s="1066"/>
      <c r="AG3333" s="1066"/>
      <c r="AH3333" s="1066"/>
      <c r="AI3333" s="1066"/>
      <c r="AJ3333" s="1066"/>
      <c r="AK3333" s="1066"/>
      <c r="AL3333" s="1066"/>
      <c r="AM3333" s="1066"/>
      <c r="AN3333" s="1066"/>
      <c r="AO3333" s="1066"/>
      <c r="AP3333" s="1066"/>
      <c r="AQ3333" s="1066"/>
      <c r="AR3333" s="1066"/>
      <c r="AS3333" s="1066"/>
      <c r="AT3333" s="1066"/>
      <c r="AU3333" s="1066"/>
      <c r="AV3333" s="1066"/>
      <c r="AW3333" s="1066"/>
      <c r="AX3333" s="1066"/>
      <c r="AY3333" s="1066"/>
      <c r="AZ3333" s="1066"/>
      <c r="BA3333" s="1066"/>
      <c r="BB3333" s="1066"/>
      <c r="BC3333" s="1066"/>
      <c r="BD3333" s="1066"/>
      <c r="BE3333" s="1066"/>
      <c r="BF3333" s="1066"/>
      <c r="BG3333" s="1066"/>
      <c r="BH3333" s="1066"/>
      <c r="BI3333" s="1066"/>
      <c r="BJ3333" s="1066"/>
      <c r="BK3333" s="1066"/>
      <c r="BL3333" s="1066"/>
    </row>
    <row r="3334" spans="1:64">
      <c r="A3334" s="1206"/>
      <c r="B3334" s="1206"/>
      <c r="C3334" s="1807" t="s">
        <v>1475</v>
      </c>
      <c r="D3334" s="1212">
        <v>33.33</v>
      </c>
      <c r="E3334" s="1208" t="s">
        <v>197</v>
      </c>
      <c r="F3334" s="1211">
        <f>'Civil-SOR'!$G$198</f>
        <v>456</v>
      </c>
      <c r="G3334" s="1210">
        <v>1</v>
      </c>
      <c r="H3334" s="1208" t="s">
        <v>197</v>
      </c>
      <c r="I3334" s="1211">
        <f t="shared" si="779"/>
        <v>15198.48</v>
      </c>
      <c r="J3334" s="1022"/>
      <c r="K3334" s="1022"/>
      <c r="L3334" s="1022"/>
      <c r="M3334" s="1066"/>
      <c r="N3334" s="1066"/>
      <c r="O3334" s="1066"/>
      <c r="P3334" s="1066"/>
      <c r="Q3334" s="1066"/>
      <c r="R3334" s="1066"/>
      <c r="S3334" s="1066"/>
      <c r="T3334" s="1066"/>
      <c r="U3334" s="1066"/>
      <c r="V3334" s="1066"/>
      <c r="W3334" s="1066"/>
      <c r="X3334" s="1066"/>
      <c r="Y3334" s="1066"/>
      <c r="Z3334" s="1066"/>
      <c r="AA3334" s="1066"/>
      <c r="AB3334" s="1066"/>
      <c r="AC3334" s="1066"/>
      <c r="AD3334" s="1066"/>
      <c r="AE3334" s="1066"/>
      <c r="AF3334" s="1066"/>
      <c r="AG3334" s="1066"/>
      <c r="AH3334" s="1066"/>
      <c r="AI3334" s="1066"/>
      <c r="AJ3334" s="1066"/>
      <c r="AK3334" s="1066"/>
      <c r="AL3334" s="1066"/>
      <c r="AM3334" s="1066"/>
      <c r="AN3334" s="1066"/>
      <c r="AO3334" s="1066"/>
      <c r="AP3334" s="1066"/>
      <c r="AQ3334" s="1066"/>
      <c r="AR3334" s="1066"/>
      <c r="AS3334" s="1066"/>
      <c r="AT3334" s="1066"/>
      <c r="AU3334" s="1066"/>
      <c r="AV3334" s="1066"/>
      <c r="AW3334" s="1066"/>
      <c r="AX3334" s="1066"/>
      <c r="AY3334" s="1066"/>
      <c r="AZ3334" s="1066"/>
      <c r="BA3334" s="1066"/>
      <c r="BB3334" s="1066"/>
      <c r="BC3334" s="1066"/>
      <c r="BD3334" s="1066"/>
      <c r="BE3334" s="1066"/>
      <c r="BF3334" s="1066"/>
      <c r="BG3334" s="1066"/>
      <c r="BH3334" s="1066"/>
      <c r="BI3334" s="1066"/>
      <c r="BJ3334" s="1066"/>
      <c r="BK3334" s="1066"/>
      <c r="BL3334" s="1066"/>
    </row>
    <row r="3335" spans="1:64">
      <c r="A3335" s="1206"/>
      <c r="B3335" s="1206"/>
      <c r="C3335" s="1807" t="str">
        <f>Input!$C$47</f>
        <v>Add for MA @ 40%</v>
      </c>
      <c r="D3335" s="1212">
        <f>Input!$D$47</f>
        <v>0.4</v>
      </c>
      <c r="E3335" s="1208"/>
      <c r="F3335" s="1209">
        <f>SUM(I3333:I3334)*40%</f>
        <v>6399.3600000000006</v>
      </c>
      <c r="G3335" s="1210"/>
      <c r="H3335" s="1208"/>
      <c r="I3335" s="1211">
        <f t="shared" si="779"/>
        <v>2559.7440000000006</v>
      </c>
      <c r="J3335" s="1022"/>
      <c r="K3335" s="1022"/>
      <c r="L3335" s="1022"/>
      <c r="M3335" s="1066"/>
      <c r="N3335" s="1066"/>
      <c r="O3335" s="1066"/>
      <c r="P3335" s="1066"/>
      <c r="Q3335" s="1066"/>
      <c r="R3335" s="1066"/>
      <c r="S3335" s="1066"/>
      <c r="T3335" s="1066"/>
      <c r="U3335" s="1066"/>
      <c r="V3335" s="1066"/>
      <c r="W3335" s="1066"/>
      <c r="X3335" s="1066"/>
      <c r="Y3335" s="1066"/>
      <c r="Z3335" s="1066"/>
      <c r="AA3335" s="1066"/>
      <c r="AB3335" s="1066"/>
      <c r="AC3335" s="1066"/>
      <c r="AD3335" s="1066"/>
      <c r="AE3335" s="1066"/>
      <c r="AF3335" s="1066"/>
      <c r="AG3335" s="1066"/>
      <c r="AH3335" s="1066"/>
      <c r="AI3335" s="1066"/>
      <c r="AJ3335" s="1066"/>
      <c r="AK3335" s="1066"/>
      <c r="AL3335" s="1066"/>
      <c r="AM3335" s="1066"/>
      <c r="AN3335" s="1066"/>
      <c r="AO3335" s="1066"/>
      <c r="AP3335" s="1066"/>
      <c r="AQ3335" s="1066"/>
      <c r="AR3335" s="1066"/>
      <c r="AS3335" s="1066"/>
      <c r="AT3335" s="1066"/>
      <c r="AU3335" s="1066"/>
      <c r="AV3335" s="1066"/>
      <c r="AW3335" s="1066"/>
      <c r="AX3335" s="1066"/>
      <c r="AY3335" s="1066"/>
      <c r="AZ3335" s="1066"/>
      <c r="BA3335" s="1066"/>
      <c r="BB3335" s="1066"/>
      <c r="BC3335" s="1066"/>
      <c r="BD3335" s="1066"/>
      <c r="BE3335" s="1066"/>
      <c r="BF3335" s="1066"/>
      <c r="BG3335" s="1066"/>
      <c r="BH3335" s="1066"/>
      <c r="BI3335" s="1066"/>
      <c r="BJ3335" s="1066"/>
      <c r="BK3335" s="1066"/>
      <c r="BL3335" s="1066"/>
    </row>
    <row r="3336" spans="1:64">
      <c r="A3336" s="1206"/>
      <c r="B3336" s="1206"/>
      <c r="C3336" s="1807" t="s">
        <v>1301</v>
      </c>
      <c r="D3336" s="1207">
        <v>0.01</v>
      </c>
      <c r="E3336" s="1208"/>
      <c r="F3336" s="1209">
        <f>SUM(I3323:I3335)</f>
        <v>60252.925199999991</v>
      </c>
      <c r="G3336" s="1210"/>
      <c r="H3336" s="1208"/>
      <c r="I3336" s="1211">
        <f t="shared" si="779"/>
        <v>602.52925199999993</v>
      </c>
      <c r="J3336" s="1022"/>
      <c r="K3336" s="1022"/>
      <c r="L3336" s="1022"/>
      <c r="M3336" s="1066"/>
      <c r="N3336" s="1066"/>
      <c r="O3336" s="1066"/>
      <c r="P3336" s="1066"/>
      <c r="Q3336" s="1066"/>
      <c r="R3336" s="1066"/>
      <c r="S3336" s="1066"/>
      <c r="T3336" s="1066"/>
      <c r="U3336" s="1066"/>
      <c r="V3336" s="1066"/>
      <c r="W3336" s="1066"/>
      <c r="X3336" s="1066"/>
      <c r="Y3336" s="1066"/>
      <c r="Z3336" s="1066"/>
      <c r="AA3336" s="1066"/>
      <c r="AB3336" s="1066"/>
      <c r="AC3336" s="1066"/>
      <c r="AD3336" s="1066"/>
      <c r="AE3336" s="1066"/>
      <c r="AF3336" s="1066"/>
      <c r="AG3336" s="1066"/>
      <c r="AH3336" s="1066"/>
      <c r="AI3336" s="1066"/>
      <c r="AJ3336" s="1066"/>
      <c r="AK3336" s="1066"/>
      <c r="AL3336" s="1066"/>
      <c r="AM3336" s="1066"/>
      <c r="AN3336" s="1066"/>
      <c r="AO3336" s="1066"/>
      <c r="AP3336" s="1066"/>
      <c r="AQ3336" s="1066"/>
      <c r="AR3336" s="1066"/>
      <c r="AS3336" s="1066"/>
      <c r="AT3336" s="1066"/>
      <c r="AU3336" s="1066"/>
      <c r="AV3336" s="1066"/>
      <c r="AW3336" s="1066"/>
      <c r="AX3336" s="1066"/>
      <c r="AY3336" s="1066"/>
      <c r="AZ3336" s="1066"/>
      <c r="BA3336" s="1066"/>
      <c r="BB3336" s="1066"/>
      <c r="BC3336" s="1066"/>
      <c r="BD3336" s="1066"/>
      <c r="BE3336" s="1066"/>
      <c r="BF3336" s="1066"/>
      <c r="BG3336" s="1066"/>
      <c r="BH3336" s="1066"/>
      <c r="BI3336" s="1066"/>
      <c r="BJ3336" s="1066"/>
      <c r="BK3336" s="1066"/>
      <c r="BL3336" s="1066"/>
    </row>
    <row r="3337" spans="1:64">
      <c r="A3337" s="1197"/>
      <c r="B3337" s="1197"/>
      <c r="C3337" s="1814" t="s">
        <v>1409</v>
      </c>
      <c r="D3337" s="1203"/>
      <c r="E3337" s="1199"/>
      <c r="F3337" s="1201"/>
      <c r="G3337" s="1204"/>
      <c r="H3337" s="1199"/>
      <c r="I3337" s="1219">
        <f>SUM(I3323:I3336)</f>
        <v>60855.454451999991</v>
      </c>
      <c r="J3337" s="1846"/>
      <c r="K3337" s="1846"/>
      <c r="L3337" s="1846"/>
    </row>
    <row r="3338" spans="1:64">
      <c r="A3338" s="1197"/>
      <c r="B3338" s="1197"/>
      <c r="C3338" s="1814"/>
      <c r="D3338" s="1203"/>
      <c r="E3338" s="1199"/>
      <c r="F3338" s="1201"/>
      <c r="G3338" s="1204"/>
      <c r="H3338" s="1199"/>
      <c r="I3338" s="1219"/>
      <c r="J3338" s="1846"/>
      <c r="K3338" s="1846"/>
      <c r="L3338" s="1846"/>
    </row>
    <row r="3339" spans="1:64" s="997" customFormat="1">
      <c r="A3339" s="1802"/>
      <c r="B3339" s="1802"/>
      <c r="C3339" s="1796" t="s">
        <v>1217</v>
      </c>
      <c r="D3339" s="1218" t="s">
        <v>1223</v>
      </c>
      <c r="E3339" s="1225" t="s">
        <v>1207</v>
      </c>
      <c r="F3339" s="1299" t="s">
        <v>1208</v>
      </c>
      <c r="G3339" s="1218" t="s">
        <v>1291</v>
      </c>
      <c r="H3339" s="1218" t="s">
        <v>1292</v>
      </c>
      <c r="I3339" s="1218" t="s">
        <v>1293</v>
      </c>
      <c r="J3339" s="1826"/>
      <c r="K3339" s="1826" t="s">
        <v>1358</v>
      </c>
      <c r="L3339" s="1826" t="s">
        <v>1359</v>
      </c>
    </row>
    <row r="3340" spans="1:64">
      <c r="A3340" s="1197"/>
      <c r="B3340" s="1197"/>
      <c r="C3340" s="1807" t="s">
        <v>1317</v>
      </c>
      <c r="D3340" s="1223">
        <f t="shared" ref="D3340:L3340" si="780">$I$3337</f>
        <v>60855.454451999991</v>
      </c>
      <c r="E3340" s="1223">
        <f t="shared" si="780"/>
        <v>60855.454451999991</v>
      </c>
      <c r="F3340" s="1223">
        <f t="shared" si="780"/>
        <v>60855.454451999991</v>
      </c>
      <c r="G3340" s="1223">
        <f t="shared" si="780"/>
        <v>60855.454451999991</v>
      </c>
      <c r="H3340" s="1223">
        <f t="shared" si="780"/>
        <v>60855.454451999991</v>
      </c>
      <c r="I3340" s="1223">
        <f t="shared" si="780"/>
        <v>60855.454451999991</v>
      </c>
      <c r="J3340" s="1001"/>
      <c r="K3340" s="1001">
        <f t="shared" si="780"/>
        <v>60855.454451999991</v>
      </c>
      <c r="L3340" s="1001">
        <f t="shared" si="780"/>
        <v>60855.454451999991</v>
      </c>
    </row>
    <row r="3341" spans="1:64">
      <c r="A3341" s="1197"/>
      <c r="B3341" s="1197"/>
      <c r="C3341" s="1807" t="s">
        <v>1253</v>
      </c>
      <c r="D3341" s="1223">
        <v>0</v>
      </c>
      <c r="E3341" s="1223">
        <f>ROUND($F$3332*10%,2)</f>
        <v>645</v>
      </c>
      <c r="F3341" s="1223">
        <f>ROUND($F$3332*20%,2)</f>
        <v>1290</v>
      </c>
      <c r="G3341" s="1223">
        <f>ROUND($F$3332*30%,2)</f>
        <v>1935</v>
      </c>
      <c r="H3341" s="1223">
        <f>ROUND($F$3332*40%,2)</f>
        <v>2580</v>
      </c>
      <c r="I3341" s="1223">
        <f>ROUND($F$3332*50%,2)</f>
        <v>3225</v>
      </c>
      <c r="J3341" s="1001"/>
      <c r="K3341" s="1001">
        <f>ROUND($F$3332*70%,2)</f>
        <v>4515</v>
      </c>
      <c r="L3341" s="1001">
        <f>ROUND($F$3332*80%,2)</f>
        <v>5160</v>
      </c>
    </row>
    <row r="3342" spans="1:64">
      <c r="A3342" s="1197"/>
      <c r="B3342" s="1197"/>
      <c r="C3342" s="1807" t="str">
        <f>Input!$C$47</f>
        <v>Add for MA @ 40%</v>
      </c>
      <c r="D3342" s="1223">
        <f>D3341*Input!$D$47</f>
        <v>0</v>
      </c>
      <c r="E3342" s="1223">
        <f>E3341*Input!$D$47</f>
        <v>258</v>
      </c>
      <c r="F3342" s="1223">
        <f>F3341*Input!$D$47</f>
        <v>516</v>
      </c>
      <c r="G3342" s="1223">
        <f>G3341*Input!$D$47</f>
        <v>774</v>
      </c>
      <c r="H3342" s="1223">
        <f>H3341*Input!$D$47</f>
        <v>1032</v>
      </c>
      <c r="I3342" s="1223">
        <f>I3341*Input!$D$47</f>
        <v>1290</v>
      </c>
      <c r="J3342" s="1001"/>
      <c r="K3342" s="1001">
        <f>K3341*Input!$D$47</f>
        <v>1806</v>
      </c>
      <c r="L3342" s="1001">
        <f>L3341*Input!$D$47</f>
        <v>2064</v>
      </c>
    </row>
    <row r="3343" spans="1:64">
      <c r="A3343" s="1197"/>
      <c r="B3343" s="1197"/>
      <c r="C3343" s="1199"/>
      <c r="D3343" s="1223">
        <f t="shared" ref="D3343:L3343" si="781">SUM(D3340:D3342)</f>
        <v>60855.454451999991</v>
      </c>
      <c r="E3343" s="1223">
        <f t="shared" si="781"/>
        <v>61758.454451999991</v>
      </c>
      <c r="F3343" s="1223">
        <f t="shared" si="781"/>
        <v>62661.454451999991</v>
      </c>
      <c r="G3343" s="1223">
        <f t="shared" si="781"/>
        <v>63564.454451999991</v>
      </c>
      <c r="H3343" s="1223">
        <f t="shared" si="781"/>
        <v>64467.454451999991</v>
      </c>
      <c r="I3343" s="1223">
        <f t="shared" si="781"/>
        <v>65370.454451999991</v>
      </c>
      <c r="J3343" s="1001"/>
      <c r="K3343" s="1001">
        <f t="shared" si="781"/>
        <v>67176.454451999991</v>
      </c>
      <c r="L3343" s="1001">
        <f t="shared" si="781"/>
        <v>68079.454451999991</v>
      </c>
    </row>
    <row r="3344" spans="1:64">
      <c r="A3344" s="1197"/>
      <c r="B3344" s="1197"/>
      <c r="C3344" s="1807" t="str">
        <f>Input!$C$48</f>
        <v>Overheads &amp; Contractors Profit @ 13.615%</v>
      </c>
      <c r="D3344" s="1223">
        <f>ROUND(D3343*Input!$D$48,2)</f>
        <v>8285.4699999999993</v>
      </c>
      <c r="E3344" s="1223">
        <f>ROUND(E3343*Input!$D$48,2)</f>
        <v>8408.41</v>
      </c>
      <c r="F3344" s="1223">
        <f>ROUND(F3343*Input!$D$48,2)</f>
        <v>8531.36</v>
      </c>
      <c r="G3344" s="1223">
        <f>ROUND(G3343*Input!$D$48,2)</f>
        <v>8654.2999999999993</v>
      </c>
      <c r="H3344" s="1223">
        <f>ROUND(H3343*Input!$D$48,2)</f>
        <v>8777.24</v>
      </c>
      <c r="I3344" s="1223">
        <f>ROUND(I3343*Input!$D$48,2)</f>
        <v>8900.19</v>
      </c>
      <c r="J3344" s="1001"/>
      <c r="K3344" s="1001">
        <f>ROUND(K3343*Input!$D$48,2)</f>
        <v>9146.07</v>
      </c>
      <c r="L3344" s="1001">
        <f>ROUND(L3343*Input!$D$48,2)</f>
        <v>9269.02</v>
      </c>
    </row>
    <row r="3345" spans="1:12">
      <c r="A3345" s="1197"/>
      <c r="B3345" s="1197"/>
      <c r="C3345" s="1795" t="s">
        <v>1302</v>
      </c>
      <c r="D3345" s="1220">
        <f t="shared" ref="D3345:L3345" si="782">SUM(D3343:D3344)</f>
        <v>69140.924451999992</v>
      </c>
      <c r="E3345" s="1220">
        <f t="shared" si="782"/>
        <v>70166.864451999994</v>
      </c>
      <c r="F3345" s="1220">
        <f t="shared" si="782"/>
        <v>71192.814451999991</v>
      </c>
      <c r="G3345" s="1220">
        <f t="shared" si="782"/>
        <v>72218.754451999994</v>
      </c>
      <c r="H3345" s="1220">
        <f t="shared" si="782"/>
        <v>73244.694451999996</v>
      </c>
      <c r="I3345" s="1220">
        <f t="shared" si="782"/>
        <v>74270.644451999993</v>
      </c>
      <c r="J3345" s="1009"/>
      <c r="K3345" s="1009">
        <f t="shared" si="782"/>
        <v>76322.524451999983</v>
      </c>
      <c r="L3345" s="1009">
        <f t="shared" si="782"/>
        <v>77348.474451999995</v>
      </c>
    </row>
    <row r="3346" spans="1:12">
      <c r="A3346" s="1197"/>
      <c r="B3346" s="1197"/>
      <c r="C3346" s="1795" t="s">
        <v>1117</v>
      </c>
      <c r="D3346" s="1302">
        <f t="shared" ref="D3346:L3346" si="783">D3345/10</f>
        <v>6914.092445199999</v>
      </c>
      <c r="E3346" s="1302">
        <f t="shared" si="783"/>
        <v>7016.6864451999991</v>
      </c>
      <c r="F3346" s="1220">
        <f t="shared" si="783"/>
        <v>7119.2814451999993</v>
      </c>
      <c r="G3346" s="1302">
        <f t="shared" si="783"/>
        <v>7221.8754451999994</v>
      </c>
      <c r="H3346" s="1302">
        <f t="shared" si="783"/>
        <v>7324.4694451999994</v>
      </c>
      <c r="I3346" s="1302">
        <f t="shared" si="783"/>
        <v>7427.0644451999997</v>
      </c>
      <c r="J3346" s="1009"/>
      <c r="K3346" s="1009">
        <f t="shared" si="783"/>
        <v>7632.252445199998</v>
      </c>
      <c r="L3346" s="1009">
        <f t="shared" si="783"/>
        <v>7734.8474451999991</v>
      </c>
    </row>
    <row r="3347" spans="1:12" s="997" customFormat="1">
      <c r="A3347" s="1802"/>
      <c r="B3347" s="1802"/>
      <c r="C3347" s="1224" t="s">
        <v>1034</v>
      </c>
      <c r="D3347" s="1225">
        <f t="shared" ref="D3347:L3347" si="784">ROUND(D3346,0)</f>
        <v>6914</v>
      </c>
      <c r="E3347" s="1225">
        <f t="shared" si="784"/>
        <v>7017</v>
      </c>
      <c r="F3347" s="1225">
        <f t="shared" si="784"/>
        <v>7119</v>
      </c>
      <c r="G3347" s="1225">
        <f t="shared" si="784"/>
        <v>7222</v>
      </c>
      <c r="H3347" s="1225">
        <f t="shared" si="784"/>
        <v>7324</v>
      </c>
      <c r="I3347" s="1225">
        <f t="shared" si="784"/>
        <v>7427</v>
      </c>
      <c r="J3347" s="999"/>
      <c r="K3347" s="999">
        <f t="shared" si="784"/>
        <v>7632</v>
      </c>
      <c r="L3347" s="999">
        <f t="shared" si="784"/>
        <v>7735</v>
      </c>
    </row>
    <row r="3348" spans="1:12">
      <c r="A3348" s="1197"/>
      <c r="B3348" s="1197"/>
      <c r="C3348" s="1795"/>
      <c r="D3348" s="1221"/>
      <c r="E3348" s="1221"/>
      <c r="F3348" s="1221"/>
      <c r="G3348" s="1221"/>
      <c r="H3348" s="1221"/>
      <c r="I3348" s="1220"/>
      <c r="J3348" s="1846"/>
      <c r="K3348" s="1846"/>
      <c r="L3348" s="1846"/>
    </row>
    <row r="3349" spans="1:12">
      <c r="A3349" s="1197"/>
      <c r="B3349" s="1197"/>
      <c r="C3349" s="1795" t="s">
        <v>1217</v>
      </c>
      <c r="D3349" s="1218" t="s">
        <v>1357</v>
      </c>
      <c r="E3349" s="1218" t="s">
        <v>1358</v>
      </c>
      <c r="F3349" s="1218" t="s">
        <v>1359</v>
      </c>
      <c r="G3349" s="1221"/>
      <c r="H3349" s="1221"/>
      <c r="I3349" s="1220"/>
      <c r="J3349" s="1846"/>
      <c r="K3349" s="1846"/>
      <c r="L3349" s="1846"/>
    </row>
    <row r="3350" spans="1:12">
      <c r="A3350" s="1197"/>
      <c r="B3350" s="1197"/>
      <c r="C3350" s="1807" t="s">
        <v>1317</v>
      </c>
      <c r="D3350" s="1223">
        <f>$I$3337</f>
        <v>60855.454451999991</v>
      </c>
      <c r="E3350" s="1223">
        <f>$I$3337</f>
        <v>60855.454451999991</v>
      </c>
      <c r="F3350" s="1223">
        <f>$I$3337</f>
        <v>60855.454451999991</v>
      </c>
      <c r="G3350" s="1221"/>
      <c r="H3350" s="1221"/>
      <c r="I3350" s="1220"/>
      <c r="J3350" s="1846"/>
      <c r="K3350" s="1846"/>
      <c r="L3350" s="1846"/>
    </row>
    <row r="3351" spans="1:12">
      <c r="A3351" s="1197"/>
      <c r="B3351" s="1197"/>
      <c r="C3351" s="1807" t="s">
        <v>1253</v>
      </c>
      <c r="D3351" s="1223">
        <f>ROUND($F$3332*60%,2)</f>
        <v>3870</v>
      </c>
      <c r="E3351" s="1223">
        <f>ROUND($F$3332*70%,2)</f>
        <v>4515</v>
      </c>
      <c r="F3351" s="1223">
        <f>ROUND($F$3332*80%,2)</f>
        <v>5160</v>
      </c>
      <c r="G3351" s="1221"/>
      <c r="H3351" s="1221"/>
      <c r="I3351" s="1220"/>
      <c r="J3351" s="1846"/>
      <c r="K3351" s="1846"/>
      <c r="L3351" s="1846"/>
    </row>
    <row r="3352" spans="1:12">
      <c r="A3352" s="1197"/>
      <c r="B3352" s="1197"/>
      <c r="C3352" s="1807" t="str">
        <f>Input!$C$47</f>
        <v>Add for MA @ 40%</v>
      </c>
      <c r="D3352" s="1223">
        <f>D3351*Input!$D$47</f>
        <v>1548</v>
      </c>
      <c r="E3352" s="1223">
        <f>E3351*Input!$D$47</f>
        <v>1806</v>
      </c>
      <c r="F3352" s="1223">
        <f>F3351*Input!$D$47</f>
        <v>2064</v>
      </c>
      <c r="G3352" s="1221"/>
      <c r="H3352" s="1221"/>
      <c r="I3352" s="1220"/>
      <c r="J3352" s="1846"/>
      <c r="K3352" s="1846"/>
      <c r="L3352" s="1846"/>
    </row>
    <row r="3353" spans="1:12">
      <c r="A3353" s="1197"/>
      <c r="B3353" s="1197"/>
      <c r="C3353" s="1208"/>
      <c r="D3353" s="1223">
        <f>SUM(D3350:D3352)</f>
        <v>66273.454451999991</v>
      </c>
      <c r="E3353" s="1223">
        <f>SUM(E3350:E3352)</f>
        <v>67176.454451999991</v>
      </c>
      <c r="F3353" s="1223">
        <f>SUM(F3350:F3352)</f>
        <v>68079.454451999991</v>
      </c>
      <c r="G3353" s="1221"/>
      <c r="H3353" s="1221"/>
      <c r="I3353" s="1220"/>
      <c r="J3353" s="1846"/>
      <c r="K3353" s="1846"/>
      <c r="L3353" s="1846"/>
    </row>
    <row r="3354" spans="1:12">
      <c r="A3354" s="1197"/>
      <c r="B3354" s="1197"/>
      <c r="C3354" s="1807" t="str">
        <f>Input!$C$48</f>
        <v>Overheads &amp; Contractors Profit @ 13.615%</v>
      </c>
      <c r="D3354" s="1223">
        <f>ROUND(D3353*Input!$D$48,2)</f>
        <v>9023.1299999999992</v>
      </c>
      <c r="E3354" s="1223">
        <f>ROUND(E3353*Input!$D$48,2)</f>
        <v>9146.07</v>
      </c>
      <c r="F3354" s="1223">
        <f>ROUND(F3353*Input!$D$48,2)</f>
        <v>9269.02</v>
      </c>
      <c r="G3354" s="1221"/>
      <c r="H3354" s="1221"/>
      <c r="I3354" s="1220"/>
      <c r="J3354" s="1846"/>
      <c r="K3354" s="1846"/>
      <c r="L3354" s="1846"/>
    </row>
    <row r="3355" spans="1:12">
      <c r="A3355" s="1197"/>
      <c r="B3355" s="1197"/>
      <c r="C3355" s="1795" t="s">
        <v>1302</v>
      </c>
      <c r="D3355" s="1220">
        <f>SUM(D3353:D3354)</f>
        <v>75296.584451999996</v>
      </c>
      <c r="E3355" s="1220">
        <f>SUM(E3353:E3354)</f>
        <v>76322.524451999983</v>
      </c>
      <c r="F3355" s="1220">
        <f>SUM(F3353:F3354)</f>
        <v>77348.474451999995</v>
      </c>
      <c r="G3355" s="1221"/>
      <c r="H3355" s="1221"/>
      <c r="I3355" s="1220"/>
      <c r="J3355" s="1846"/>
      <c r="K3355" s="1846"/>
      <c r="L3355" s="1846"/>
    </row>
    <row r="3356" spans="1:12">
      <c r="A3356" s="1197"/>
      <c r="B3356" s="1197"/>
      <c r="C3356" s="1795" t="s">
        <v>1117</v>
      </c>
      <c r="D3356" s="1220">
        <f>D3355/10</f>
        <v>7529.6584451999997</v>
      </c>
      <c r="E3356" s="1220">
        <f>E3355/10</f>
        <v>7632.252445199998</v>
      </c>
      <c r="F3356" s="1220">
        <f>F3355/10</f>
        <v>7734.8474451999991</v>
      </c>
      <c r="G3356" s="1221"/>
      <c r="H3356" s="1221"/>
      <c r="I3356" s="1220"/>
      <c r="J3356" s="1846"/>
      <c r="K3356" s="1846"/>
      <c r="L3356" s="1846"/>
    </row>
    <row r="3357" spans="1:12">
      <c r="A3357" s="1197"/>
      <c r="B3357" s="1197"/>
      <c r="C3357" s="1231" t="s">
        <v>1034</v>
      </c>
      <c r="D3357" s="1225">
        <f>ROUND(D3356,0)</f>
        <v>7530</v>
      </c>
      <c r="E3357" s="1225">
        <f>ROUND(E3356,0)</f>
        <v>7632</v>
      </c>
      <c r="F3357" s="1225">
        <f>ROUND(F3356,0)</f>
        <v>7735</v>
      </c>
      <c r="G3357" s="1221"/>
      <c r="H3357" s="1221"/>
      <c r="I3357" s="1220"/>
      <c r="J3357" s="1846"/>
      <c r="K3357" s="1846"/>
      <c r="L3357" s="1846"/>
    </row>
    <row r="3358" spans="1:12">
      <c r="A3358" s="1197"/>
      <c r="B3358" s="1197"/>
      <c r="C3358" s="1795"/>
      <c r="D3358" s="1221"/>
      <c r="E3358" s="1221"/>
      <c r="F3358" s="1221"/>
      <c r="G3358" s="1221"/>
      <c r="H3358" s="1221"/>
      <c r="I3358" s="1220"/>
      <c r="J3358" s="1846"/>
      <c r="K3358" s="1846"/>
      <c r="L3358" s="1846"/>
    </row>
    <row r="3359" spans="1:12">
      <c r="A3359" s="1197"/>
      <c r="B3359" s="1222" t="s">
        <v>297</v>
      </c>
      <c r="C3359" s="1795" t="s">
        <v>1462</v>
      </c>
      <c r="D3359" s="1221"/>
      <c r="E3359" s="1221"/>
      <c r="F3359" s="1221"/>
      <c r="G3359" s="1221"/>
      <c r="H3359" s="1221"/>
      <c r="I3359" s="1220"/>
      <c r="J3359" s="1846"/>
      <c r="K3359" s="1846"/>
      <c r="L3359" s="1846"/>
    </row>
    <row r="3360" spans="1:12">
      <c r="A3360" s="1197"/>
      <c r="B3360" s="1197"/>
      <c r="C3360" s="1198" t="s">
        <v>1471</v>
      </c>
      <c r="D3360" s="1228"/>
      <c r="E3360" s="1297"/>
      <c r="F3360" s="1223"/>
      <c r="G3360" s="1272"/>
      <c r="H3360" s="1298"/>
      <c r="I3360" s="1219"/>
      <c r="J3360" s="1846"/>
      <c r="K3360" s="1846"/>
      <c r="L3360" s="1846"/>
    </row>
    <row r="3361" spans="1:12">
      <c r="A3361" s="1197"/>
      <c r="B3361" s="1197"/>
      <c r="C3361" s="1807" t="s">
        <v>1464</v>
      </c>
      <c r="D3361" s="1228"/>
      <c r="E3361" s="1297"/>
      <c r="F3361" s="1223"/>
      <c r="G3361" s="1272"/>
      <c r="H3361" s="1298"/>
      <c r="I3361" s="1219"/>
      <c r="J3361" s="1846"/>
      <c r="K3361" s="1846"/>
      <c r="L3361" s="1846"/>
    </row>
    <row r="3362" spans="1:12">
      <c r="A3362" s="1197"/>
      <c r="B3362" s="1197"/>
      <c r="C3362" s="1795" t="s">
        <v>1139</v>
      </c>
      <c r="D3362" s="1228"/>
      <c r="E3362" s="1297"/>
      <c r="F3362" s="1223"/>
      <c r="G3362" s="1272"/>
      <c r="H3362" s="1298"/>
      <c r="I3362" s="1219"/>
      <c r="J3362" s="1846"/>
      <c r="K3362" s="1846"/>
      <c r="L3362" s="1846"/>
    </row>
    <row r="3363" spans="1:12">
      <c r="A3363" s="1197"/>
      <c r="B3363" s="1197"/>
      <c r="C3363" s="1807" t="s">
        <v>1476</v>
      </c>
      <c r="D3363" s="1228">
        <v>10.5</v>
      </c>
      <c r="E3363" s="1297" t="s">
        <v>94</v>
      </c>
      <c r="F3363" s="1223">
        <f>LEAD!$N$28</f>
        <v>3030</v>
      </c>
      <c r="G3363" s="1272">
        <v>1</v>
      </c>
      <c r="H3363" s="1271" t="s">
        <v>94</v>
      </c>
      <c r="I3363" s="1205">
        <f t="shared" ref="I3363:I3369" si="785">IF(G3363="",D3363*F3363,(D3363*F3363/G3363))</f>
        <v>31815</v>
      </c>
      <c r="J3363" s="1096"/>
      <c r="K3363" s="1846"/>
      <c r="L3363" s="1846"/>
    </row>
    <row r="3364" spans="1:12">
      <c r="A3364" s="1197"/>
      <c r="B3364" s="1197"/>
      <c r="C3364" s="1807" t="s">
        <v>1466</v>
      </c>
      <c r="D3364" s="1228">
        <v>0.12</v>
      </c>
      <c r="E3364" s="1297" t="s">
        <v>75</v>
      </c>
      <c r="F3364" s="1223">
        <f>LEAD!$N$13</f>
        <v>2453.91</v>
      </c>
      <c r="G3364" s="1272">
        <v>1</v>
      </c>
      <c r="H3364" s="1271" t="s">
        <v>75</v>
      </c>
      <c r="I3364" s="1205">
        <f t="shared" si="785"/>
        <v>294.46919999999994</v>
      </c>
      <c r="J3364" s="1096"/>
      <c r="K3364" s="1846"/>
      <c r="L3364" s="1846"/>
    </row>
    <row r="3365" spans="1:12">
      <c r="A3365" s="1197"/>
      <c r="B3365" s="1197"/>
      <c r="C3365" s="1807" t="s">
        <v>1467</v>
      </c>
      <c r="D3365" s="1228">
        <v>34.56</v>
      </c>
      <c r="E3365" s="1297" t="s">
        <v>1110</v>
      </c>
      <c r="F3365" s="1223">
        <f>LEAD!$N$6</f>
        <v>5200</v>
      </c>
      <c r="G3365" s="1272">
        <v>1000</v>
      </c>
      <c r="H3365" s="1271" t="s">
        <v>1110</v>
      </c>
      <c r="I3365" s="1205">
        <f t="shared" si="785"/>
        <v>179.71199999999999</v>
      </c>
      <c r="J3365" s="1096"/>
      <c r="K3365" s="1846"/>
      <c r="L3365" s="1846"/>
    </row>
    <row r="3366" spans="1:12">
      <c r="A3366" s="1197"/>
      <c r="B3366" s="1197"/>
      <c r="C3366" s="1807" t="s">
        <v>1398</v>
      </c>
      <c r="D3366" s="1228">
        <v>33</v>
      </c>
      <c r="E3366" s="1297" t="s">
        <v>1110</v>
      </c>
      <c r="F3366" s="1223">
        <f>LEAD!$N$6</f>
        <v>5200</v>
      </c>
      <c r="G3366" s="1272">
        <v>1000</v>
      </c>
      <c r="H3366" s="1271" t="s">
        <v>1110</v>
      </c>
      <c r="I3366" s="1205">
        <f t="shared" si="785"/>
        <v>171.6</v>
      </c>
      <c r="J3366" s="1096"/>
      <c r="K3366" s="1846"/>
      <c r="L3366" s="1846"/>
    </row>
    <row r="3367" spans="1:12" s="1003" customFormat="1" ht="25.5">
      <c r="A3367" s="1197"/>
      <c r="B3367" s="1197"/>
      <c r="C3367" s="1807" t="s">
        <v>1477</v>
      </c>
      <c r="D3367" s="1228">
        <v>5</v>
      </c>
      <c r="E3367" s="1297" t="s">
        <v>1110</v>
      </c>
      <c r="F3367" s="1223">
        <f>'Civil-SOR'!$G$185</f>
        <v>34</v>
      </c>
      <c r="G3367" s="1272">
        <v>1</v>
      </c>
      <c r="H3367" s="1271" t="s">
        <v>97</v>
      </c>
      <c r="I3367" s="1223">
        <f t="shared" si="785"/>
        <v>170</v>
      </c>
      <c r="J3367" s="1018"/>
      <c r="K3367" s="1002"/>
      <c r="L3367" s="1002"/>
    </row>
    <row r="3368" spans="1:12" s="1003" customFormat="1">
      <c r="A3368" s="1197"/>
      <c r="B3368" s="1197"/>
      <c r="C3368" s="1807" t="s">
        <v>1478</v>
      </c>
      <c r="D3368" s="1228">
        <v>66.67</v>
      </c>
      <c r="E3368" s="1297" t="s">
        <v>197</v>
      </c>
      <c r="F3368" s="1223">
        <f>'Civil-SOR'!$G$200</f>
        <v>24</v>
      </c>
      <c r="G3368" s="1272">
        <v>1</v>
      </c>
      <c r="H3368" s="1271" t="s">
        <v>197</v>
      </c>
      <c r="I3368" s="1223">
        <f t="shared" si="785"/>
        <v>1600.08</v>
      </c>
      <c r="J3368" s="1018"/>
      <c r="K3368" s="1002"/>
      <c r="L3368" s="1002"/>
    </row>
    <row r="3369" spans="1:12">
      <c r="A3369" s="1197"/>
      <c r="B3369" s="1197"/>
      <c r="C3369" s="1199" t="str">
        <f>Input!$C$47</f>
        <v>Add for MA @ 40%</v>
      </c>
      <c r="D3369" s="1277">
        <f>Input!$D$47</f>
        <v>0.4</v>
      </c>
      <c r="E3369" s="1276"/>
      <c r="F3369" s="1223">
        <f>I3368*40%</f>
        <v>640.03200000000004</v>
      </c>
      <c r="G3369" s="1278"/>
      <c r="H3369" s="1279"/>
      <c r="I3369" s="1205">
        <f t="shared" si="785"/>
        <v>256.01280000000003</v>
      </c>
      <c r="J3369" s="1096"/>
      <c r="K3369" s="1846"/>
      <c r="L3369" s="1846"/>
    </row>
    <row r="3370" spans="1:12">
      <c r="A3370" s="1197"/>
      <c r="B3370" s="1197"/>
      <c r="C3370" s="1795" t="s">
        <v>1468</v>
      </c>
      <c r="D3370" s="1228"/>
      <c r="E3370" s="1297"/>
      <c r="F3370" s="1223"/>
      <c r="G3370" s="1272"/>
      <c r="H3370" s="1298"/>
      <c r="I3370" s="1219"/>
      <c r="J3370" s="1096"/>
      <c r="K3370" s="1846"/>
      <c r="L3370" s="1846"/>
    </row>
    <row r="3371" spans="1:12">
      <c r="A3371" s="1197"/>
      <c r="B3371" s="1197"/>
      <c r="C3371" s="1807" t="s">
        <v>1299</v>
      </c>
      <c r="D3371" s="1228">
        <v>2.1</v>
      </c>
      <c r="E3371" s="1297" t="s">
        <v>36</v>
      </c>
      <c r="F3371" s="1223">
        <f>'Civil-SOR'!$G$293</f>
        <v>580</v>
      </c>
      <c r="G3371" s="1272">
        <v>1</v>
      </c>
      <c r="H3371" s="1271" t="s">
        <v>501</v>
      </c>
      <c r="I3371" s="1205">
        <f t="shared" ref="I3371:I3375" si="786">IF(G3371="",D3371*F3371,(D3371*F3371/G3371))</f>
        <v>1218</v>
      </c>
      <c r="J3371" s="1096"/>
      <c r="K3371" s="1846"/>
      <c r="L3371" s="1846"/>
    </row>
    <row r="3372" spans="1:12">
      <c r="A3372" s="1197"/>
      <c r="B3372" s="1197"/>
      <c r="C3372" s="1807" t="s">
        <v>1479</v>
      </c>
      <c r="D3372" s="1228">
        <v>0.8</v>
      </c>
      <c r="E3372" s="1297" t="s">
        <v>36</v>
      </c>
      <c r="F3372" s="1223">
        <f>'Civil-SOR'!$G$307</f>
        <v>520</v>
      </c>
      <c r="G3372" s="1272">
        <v>1</v>
      </c>
      <c r="H3372" s="1271" t="s">
        <v>501</v>
      </c>
      <c r="I3372" s="1205">
        <f t="shared" si="786"/>
        <v>416</v>
      </c>
      <c r="J3372" s="1096"/>
      <c r="K3372" s="1846"/>
      <c r="L3372" s="1846"/>
    </row>
    <row r="3373" spans="1:12">
      <c r="A3373" s="1197"/>
      <c r="B3373" s="1197"/>
      <c r="C3373" s="1807" t="s">
        <v>1325</v>
      </c>
      <c r="D3373" s="1228">
        <v>4.9000000000000004</v>
      </c>
      <c r="E3373" s="1297" t="s">
        <v>36</v>
      </c>
      <c r="F3373" s="1223">
        <f>'Civil-SOR'!$G$302</f>
        <v>550</v>
      </c>
      <c r="G3373" s="1272">
        <v>1</v>
      </c>
      <c r="H3373" s="1271" t="s">
        <v>501</v>
      </c>
      <c r="I3373" s="1205">
        <f t="shared" si="786"/>
        <v>2695</v>
      </c>
      <c r="J3373" s="1096"/>
      <c r="K3373" s="1846"/>
      <c r="L3373" s="1846"/>
    </row>
    <row r="3374" spans="1:12">
      <c r="A3374" s="1197"/>
      <c r="B3374" s="1197"/>
      <c r="C3374" s="1199" t="str">
        <f>Input!$C$47</f>
        <v>Add for MA @ 40%</v>
      </c>
      <c r="D3374" s="1277">
        <f>Input!$D$47</f>
        <v>0.4</v>
      </c>
      <c r="E3374" s="1276"/>
      <c r="F3374" s="1223">
        <f>SUM(I3371:I3372)</f>
        <v>1634</v>
      </c>
      <c r="G3374" s="1278"/>
      <c r="H3374" s="1279"/>
      <c r="I3374" s="1205">
        <f t="shared" si="786"/>
        <v>653.6</v>
      </c>
      <c r="J3374" s="1096"/>
      <c r="K3374" s="1846"/>
      <c r="L3374" s="1846"/>
    </row>
    <row r="3375" spans="1:12">
      <c r="A3375" s="1197"/>
      <c r="B3375" s="1197"/>
      <c r="C3375" s="1202" t="s">
        <v>1301</v>
      </c>
      <c r="D3375" s="1227">
        <v>0.01</v>
      </c>
      <c r="E3375" s="1303"/>
      <c r="F3375" s="1205">
        <f>SUM(I3363:I3374)</f>
        <v>39469.473999999995</v>
      </c>
      <c r="G3375" s="1269"/>
      <c r="H3375" s="1268"/>
      <c r="I3375" s="1205">
        <f t="shared" si="786"/>
        <v>394.69473999999997</v>
      </c>
      <c r="J3375" s="1096"/>
      <c r="K3375" s="1846"/>
      <c r="L3375" s="1846"/>
    </row>
    <row r="3376" spans="1:12" s="997" customFormat="1">
      <c r="A3376" s="1802"/>
      <c r="B3376" s="1802"/>
      <c r="C3376" s="1796" t="s">
        <v>1402</v>
      </c>
      <c r="D3376" s="1281"/>
      <c r="E3376" s="1282"/>
      <c r="F3376" s="1283"/>
      <c r="G3376" s="1284"/>
      <c r="H3376" s="1282"/>
      <c r="I3376" s="1285">
        <f>SUM(I3363:I3375)</f>
        <v>39864.168739999994</v>
      </c>
      <c r="J3376" s="1117"/>
      <c r="K3376" s="996"/>
      <c r="L3376" s="996"/>
    </row>
    <row r="3377" spans="1:12">
      <c r="A3377" s="1197"/>
      <c r="B3377" s="1197"/>
      <c r="C3377" s="1814"/>
      <c r="D3377" s="1228"/>
      <c r="E3377" s="1271"/>
      <c r="F3377" s="1223"/>
      <c r="G3377" s="1272"/>
      <c r="H3377" s="1271"/>
      <c r="I3377" s="1201"/>
      <c r="J3377" s="1846"/>
      <c r="K3377" s="1846"/>
      <c r="L3377" s="1846"/>
    </row>
    <row r="3378" spans="1:12" s="997" customFormat="1">
      <c r="A3378" s="1802"/>
      <c r="B3378" s="1802"/>
      <c r="C3378" s="1796" t="s">
        <v>1217</v>
      </c>
      <c r="D3378" s="1218" t="s">
        <v>1223</v>
      </c>
      <c r="E3378" s="1225" t="s">
        <v>1207</v>
      </c>
      <c r="F3378" s="1299" t="s">
        <v>1208</v>
      </c>
      <c r="G3378" s="1218" t="s">
        <v>1291</v>
      </c>
      <c r="H3378" s="1218" t="s">
        <v>1292</v>
      </c>
      <c r="I3378" s="1218" t="s">
        <v>1293</v>
      </c>
      <c r="J3378" s="1826"/>
      <c r="K3378" s="1826" t="s">
        <v>1358</v>
      </c>
      <c r="L3378" s="1826" t="s">
        <v>1359</v>
      </c>
    </row>
    <row r="3379" spans="1:12">
      <c r="A3379" s="1197"/>
      <c r="B3379" s="1197"/>
      <c r="C3379" s="1807" t="s">
        <v>1317</v>
      </c>
      <c r="D3379" s="1223">
        <f t="shared" ref="D3379:L3379" si="787">$I$3376</f>
        <v>39864.168739999994</v>
      </c>
      <c r="E3379" s="1223">
        <f t="shared" si="787"/>
        <v>39864.168739999994</v>
      </c>
      <c r="F3379" s="1223">
        <f t="shared" si="787"/>
        <v>39864.168739999994</v>
      </c>
      <c r="G3379" s="1223">
        <f t="shared" si="787"/>
        <v>39864.168739999994</v>
      </c>
      <c r="H3379" s="1223">
        <f t="shared" si="787"/>
        <v>39864.168739999994</v>
      </c>
      <c r="I3379" s="1223">
        <f t="shared" si="787"/>
        <v>39864.168739999994</v>
      </c>
      <c r="J3379" s="1001"/>
      <c r="K3379" s="1001">
        <f t="shared" si="787"/>
        <v>39864.168739999994</v>
      </c>
      <c r="L3379" s="1001">
        <f t="shared" si="787"/>
        <v>39864.168739999994</v>
      </c>
    </row>
    <row r="3380" spans="1:12">
      <c r="A3380" s="1197"/>
      <c r="B3380" s="1197"/>
      <c r="C3380" s="1807" t="s">
        <v>1253</v>
      </c>
      <c r="D3380" s="1223">
        <v>0</v>
      </c>
      <c r="E3380" s="1223">
        <f>ROUND($F$3374*10%,2)</f>
        <v>163.4</v>
      </c>
      <c r="F3380" s="1223">
        <f>ROUND($F$3374*20%,2)</f>
        <v>326.8</v>
      </c>
      <c r="G3380" s="1223">
        <f>ROUND($F$3374*30%,2)</f>
        <v>490.2</v>
      </c>
      <c r="H3380" s="1223">
        <f>ROUND($F$3374*40%,2)</f>
        <v>653.6</v>
      </c>
      <c r="I3380" s="1223">
        <f>ROUND($F$3374*50%,2)</f>
        <v>817</v>
      </c>
      <c r="J3380" s="1001"/>
      <c r="K3380" s="1001">
        <f>ROUND($F$3374*70%,2)</f>
        <v>1143.8</v>
      </c>
      <c r="L3380" s="1001">
        <f>ROUND($F$3374*80%,2)</f>
        <v>1307.2</v>
      </c>
    </row>
    <row r="3381" spans="1:12">
      <c r="A3381" s="1197"/>
      <c r="B3381" s="1197"/>
      <c r="C3381" s="1807" t="str">
        <f>Input!$C$47</f>
        <v>Add for MA @ 40%</v>
      </c>
      <c r="D3381" s="1223">
        <f>D3380*Input!$D$47</f>
        <v>0</v>
      </c>
      <c r="E3381" s="1223">
        <f>E3380*Input!$D$47</f>
        <v>65.36</v>
      </c>
      <c r="F3381" s="1223">
        <f>F3380*Input!$D$47</f>
        <v>130.72</v>
      </c>
      <c r="G3381" s="1223">
        <f>G3380*Input!$D$47</f>
        <v>196.08</v>
      </c>
      <c r="H3381" s="1223">
        <f>H3380*Input!$D$47</f>
        <v>261.44</v>
      </c>
      <c r="I3381" s="1223">
        <f>I3380*Input!$D$47</f>
        <v>326.8</v>
      </c>
      <c r="J3381" s="1001"/>
      <c r="K3381" s="1001">
        <f>K3380*Input!$D$47</f>
        <v>457.52</v>
      </c>
      <c r="L3381" s="1001">
        <f>L3380*Input!$D$47</f>
        <v>522.88</v>
      </c>
    </row>
    <row r="3382" spans="1:12">
      <c r="A3382" s="1197"/>
      <c r="B3382" s="1197"/>
      <c r="C3382" s="1199"/>
      <c r="D3382" s="1223">
        <f t="shared" ref="D3382:L3382" si="788">SUM(D3379:D3381)</f>
        <v>39864.168739999994</v>
      </c>
      <c r="E3382" s="1223">
        <f t="shared" si="788"/>
        <v>40092.928739999996</v>
      </c>
      <c r="F3382" s="1223">
        <f t="shared" si="788"/>
        <v>40321.688739999998</v>
      </c>
      <c r="G3382" s="1223">
        <f t="shared" si="788"/>
        <v>40550.448739999993</v>
      </c>
      <c r="H3382" s="1223">
        <f t="shared" si="788"/>
        <v>40779.208739999995</v>
      </c>
      <c r="I3382" s="1223">
        <f t="shared" si="788"/>
        <v>41007.968739999997</v>
      </c>
      <c r="J3382" s="1001"/>
      <c r="K3382" s="1001">
        <f t="shared" si="788"/>
        <v>41465.488739999993</v>
      </c>
      <c r="L3382" s="1001">
        <f t="shared" si="788"/>
        <v>41694.248739999988</v>
      </c>
    </row>
    <row r="3383" spans="1:12">
      <c r="A3383" s="1197"/>
      <c r="B3383" s="1197"/>
      <c r="C3383" s="1807" t="str">
        <f>Input!$C$48</f>
        <v>Overheads &amp; Contractors Profit @ 13.615%</v>
      </c>
      <c r="D3383" s="1223">
        <f>ROUND(D3382*Input!$D$48,2)</f>
        <v>5427.51</v>
      </c>
      <c r="E3383" s="1223">
        <f>ROUND(E3382*Input!$D$48,2)</f>
        <v>5458.65</v>
      </c>
      <c r="F3383" s="1223">
        <f>ROUND(F3382*Input!$D$48,2)</f>
        <v>5489.8</v>
      </c>
      <c r="G3383" s="1223">
        <f>ROUND(G3382*Input!$D$48,2)</f>
        <v>5520.94</v>
      </c>
      <c r="H3383" s="1223">
        <f>ROUND(H3382*Input!$D$48,2)</f>
        <v>5552.09</v>
      </c>
      <c r="I3383" s="1223">
        <f>ROUND(I3382*Input!$D$48,2)</f>
        <v>5583.23</v>
      </c>
      <c r="J3383" s="1001"/>
      <c r="K3383" s="1001">
        <f>ROUND(K3382*Input!$D$48,2)</f>
        <v>5645.53</v>
      </c>
      <c r="L3383" s="1001">
        <f>ROUND(L3382*Input!$D$48,2)</f>
        <v>5676.67</v>
      </c>
    </row>
    <row r="3384" spans="1:12">
      <c r="A3384" s="1197"/>
      <c r="B3384" s="1197"/>
      <c r="C3384" s="1795" t="s">
        <v>1302</v>
      </c>
      <c r="D3384" s="1220">
        <f t="shared" ref="D3384:L3384" si="789">SUM(D3382:D3383)</f>
        <v>45291.678739999996</v>
      </c>
      <c r="E3384" s="1220">
        <f t="shared" si="789"/>
        <v>45551.578739999997</v>
      </c>
      <c r="F3384" s="1220">
        <f t="shared" si="789"/>
        <v>45811.488740000001</v>
      </c>
      <c r="G3384" s="1220">
        <f t="shared" si="789"/>
        <v>46071.388739999995</v>
      </c>
      <c r="H3384" s="1220">
        <f t="shared" si="789"/>
        <v>46331.298739999998</v>
      </c>
      <c r="I3384" s="1220">
        <f t="shared" si="789"/>
        <v>46591.198739999993</v>
      </c>
      <c r="J3384" s="1009"/>
      <c r="K3384" s="1009">
        <f t="shared" si="789"/>
        <v>47111.018739999992</v>
      </c>
      <c r="L3384" s="1009">
        <f t="shared" si="789"/>
        <v>47370.918739999986</v>
      </c>
    </row>
    <row r="3385" spans="1:12">
      <c r="A3385" s="1197"/>
      <c r="B3385" s="1197"/>
      <c r="C3385" s="1795" t="s">
        <v>1117</v>
      </c>
      <c r="D3385" s="1220">
        <f t="shared" ref="D3385:L3385" si="790">D3384/10</f>
        <v>4529.1678739999998</v>
      </c>
      <c r="E3385" s="1220">
        <f t="shared" si="790"/>
        <v>4555.1578739999995</v>
      </c>
      <c r="F3385" s="1220">
        <f t="shared" si="790"/>
        <v>4581.1488740000004</v>
      </c>
      <c r="G3385" s="1220">
        <f t="shared" si="790"/>
        <v>4607.1388739999993</v>
      </c>
      <c r="H3385" s="1220">
        <f t="shared" si="790"/>
        <v>4633.1298740000002</v>
      </c>
      <c r="I3385" s="1220">
        <f t="shared" si="790"/>
        <v>4659.1198739999991</v>
      </c>
      <c r="J3385" s="1009"/>
      <c r="K3385" s="1009">
        <f t="shared" si="790"/>
        <v>4711.101873999999</v>
      </c>
      <c r="L3385" s="1009">
        <f t="shared" si="790"/>
        <v>4737.0918739999988</v>
      </c>
    </row>
    <row r="3386" spans="1:12" s="997" customFormat="1">
      <c r="A3386" s="1802"/>
      <c r="B3386" s="1802"/>
      <c r="C3386" s="1224" t="s">
        <v>1034</v>
      </c>
      <c r="D3386" s="1225">
        <f t="shared" ref="D3386:L3386" si="791">ROUND(D3385,0)</f>
        <v>4529</v>
      </c>
      <c r="E3386" s="1225">
        <f t="shared" si="791"/>
        <v>4555</v>
      </c>
      <c r="F3386" s="1225">
        <f t="shared" si="791"/>
        <v>4581</v>
      </c>
      <c r="G3386" s="1225">
        <f t="shared" si="791"/>
        <v>4607</v>
      </c>
      <c r="H3386" s="1225">
        <f t="shared" si="791"/>
        <v>4633</v>
      </c>
      <c r="I3386" s="1225">
        <f t="shared" si="791"/>
        <v>4659</v>
      </c>
      <c r="J3386" s="999"/>
      <c r="K3386" s="999">
        <f t="shared" si="791"/>
        <v>4711</v>
      </c>
      <c r="L3386" s="999">
        <f t="shared" si="791"/>
        <v>4737</v>
      </c>
    </row>
    <row r="3387" spans="1:12">
      <c r="A3387" s="1197"/>
      <c r="B3387" s="1197"/>
      <c r="C3387" s="1795"/>
      <c r="D3387" s="1221"/>
      <c r="E3387" s="1221"/>
      <c r="F3387" s="1221"/>
      <c r="G3387" s="1221"/>
      <c r="H3387" s="1221"/>
      <c r="I3387" s="1220"/>
      <c r="J3387" s="1846"/>
      <c r="K3387" s="1846"/>
      <c r="L3387" s="1846"/>
    </row>
    <row r="3388" spans="1:12">
      <c r="A3388" s="1197"/>
      <c r="B3388" s="1197"/>
      <c r="C3388" s="1795" t="s">
        <v>1217</v>
      </c>
      <c r="D3388" s="1218" t="s">
        <v>1357</v>
      </c>
      <c r="E3388" s="1218" t="s">
        <v>1358</v>
      </c>
      <c r="F3388" s="1218" t="s">
        <v>1359</v>
      </c>
      <c r="G3388" s="1221"/>
      <c r="H3388" s="1221"/>
      <c r="I3388" s="1220"/>
      <c r="J3388" s="1846"/>
      <c r="K3388" s="1846"/>
      <c r="L3388" s="1846"/>
    </row>
    <row r="3389" spans="1:12">
      <c r="A3389" s="1197"/>
      <c r="B3389" s="1197"/>
      <c r="C3389" s="1807" t="s">
        <v>1317</v>
      </c>
      <c r="D3389" s="1223">
        <f>$I$3376</f>
        <v>39864.168739999994</v>
      </c>
      <c r="E3389" s="1223">
        <f>$I$3376</f>
        <v>39864.168739999994</v>
      </c>
      <c r="F3389" s="1223">
        <f>$I$3376</f>
        <v>39864.168739999994</v>
      </c>
      <c r="G3389" s="1221"/>
      <c r="H3389" s="1221"/>
      <c r="I3389" s="1220"/>
      <c r="J3389" s="1846"/>
      <c r="K3389" s="1846"/>
      <c r="L3389" s="1846"/>
    </row>
    <row r="3390" spans="1:12">
      <c r="A3390" s="1197"/>
      <c r="B3390" s="1197"/>
      <c r="C3390" s="1807" t="s">
        <v>1253</v>
      </c>
      <c r="D3390" s="1223">
        <f>ROUND($F$3374*60%,2)</f>
        <v>980.4</v>
      </c>
      <c r="E3390" s="1223">
        <f>ROUND($F$3374*70%,2)</f>
        <v>1143.8</v>
      </c>
      <c r="F3390" s="1223">
        <f>ROUND($F$3374*80%,2)</f>
        <v>1307.2</v>
      </c>
      <c r="G3390" s="1221"/>
      <c r="H3390" s="1221"/>
      <c r="I3390" s="1220"/>
      <c r="J3390" s="1846"/>
      <c r="K3390" s="1846"/>
      <c r="L3390" s="1846"/>
    </row>
    <row r="3391" spans="1:12">
      <c r="A3391" s="1197"/>
      <c r="B3391" s="1197"/>
      <c r="C3391" s="1807" t="str">
        <f>Input!$C$47</f>
        <v>Add for MA @ 40%</v>
      </c>
      <c r="D3391" s="1223">
        <f>D3390*Input!$D$47</f>
        <v>392.16</v>
      </c>
      <c r="E3391" s="1223">
        <f>E3390*Input!$D$47</f>
        <v>457.52</v>
      </c>
      <c r="F3391" s="1223">
        <f>F3390*Input!$D$47</f>
        <v>522.88</v>
      </c>
      <c r="G3391" s="1221"/>
      <c r="H3391" s="1221"/>
      <c r="I3391" s="1220"/>
      <c r="J3391" s="1846"/>
      <c r="K3391" s="1846"/>
      <c r="L3391" s="1846"/>
    </row>
    <row r="3392" spans="1:12">
      <c r="A3392" s="1197"/>
      <c r="B3392" s="1197"/>
      <c r="C3392" s="1208"/>
      <c r="D3392" s="1223">
        <f>SUM(D3389:D3391)</f>
        <v>41236.728739999999</v>
      </c>
      <c r="E3392" s="1223">
        <f>SUM(E3389:E3391)</f>
        <v>41465.488739999993</v>
      </c>
      <c r="F3392" s="1223">
        <f>SUM(F3389:F3391)</f>
        <v>41694.248739999988</v>
      </c>
      <c r="G3392" s="1221"/>
      <c r="H3392" s="1221"/>
      <c r="I3392" s="1220"/>
      <c r="J3392" s="1846"/>
      <c r="K3392" s="1846"/>
      <c r="L3392" s="1846"/>
    </row>
    <row r="3393" spans="1:12">
      <c r="A3393" s="1197"/>
      <c r="B3393" s="1197"/>
      <c r="C3393" s="1807" t="str">
        <f>Input!$C$48</f>
        <v>Overheads &amp; Contractors Profit @ 13.615%</v>
      </c>
      <c r="D3393" s="1223">
        <f>ROUND(D3392*Input!$D$48,2)</f>
        <v>5614.38</v>
      </c>
      <c r="E3393" s="1223">
        <f>ROUND(E3392*Input!$D$48,2)</f>
        <v>5645.53</v>
      </c>
      <c r="F3393" s="1223">
        <f>ROUND(F3392*Input!$D$48,2)</f>
        <v>5676.67</v>
      </c>
      <c r="G3393" s="1221"/>
      <c r="H3393" s="1221"/>
      <c r="I3393" s="1220"/>
      <c r="J3393" s="1846"/>
      <c r="K3393" s="1846"/>
      <c r="L3393" s="1846"/>
    </row>
    <row r="3394" spans="1:12">
      <c r="A3394" s="1197"/>
      <c r="B3394" s="1197"/>
      <c r="C3394" s="1795" t="s">
        <v>1302</v>
      </c>
      <c r="D3394" s="1220">
        <f>SUM(D3392:D3393)</f>
        <v>46851.108739999996</v>
      </c>
      <c r="E3394" s="1220">
        <f>SUM(E3392:E3393)</f>
        <v>47111.018739999992</v>
      </c>
      <c r="F3394" s="1220">
        <f>SUM(F3392:F3393)</f>
        <v>47370.918739999986</v>
      </c>
      <c r="G3394" s="1221"/>
      <c r="H3394" s="1221"/>
      <c r="I3394" s="1220"/>
      <c r="J3394" s="1846"/>
      <c r="K3394" s="1846"/>
      <c r="L3394" s="1846"/>
    </row>
    <row r="3395" spans="1:12">
      <c r="A3395" s="1197"/>
      <c r="B3395" s="1197"/>
      <c r="C3395" s="1795" t="s">
        <v>1117</v>
      </c>
      <c r="D3395" s="1220">
        <f>D3394/10</f>
        <v>4685.110874</v>
      </c>
      <c r="E3395" s="1220">
        <f>E3394/10</f>
        <v>4711.101873999999</v>
      </c>
      <c r="F3395" s="1220">
        <f>F3394/10</f>
        <v>4737.0918739999988</v>
      </c>
      <c r="G3395" s="1221"/>
      <c r="H3395" s="1221"/>
      <c r="I3395" s="1220"/>
      <c r="J3395" s="1846"/>
      <c r="K3395" s="1846"/>
      <c r="L3395" s="1846"/>
    </row>
    <row r="3396" spans="1:12">
      <c r="A3396" s="1197"/>
      <c r="B3396" s="1197"/>
      <c r="C3396" s="1231" t="s">
        <v>1034</v>
      </c>
      <c r="D3396" s="1225">
        <f>ROUND(D3395,0)</f>
        <v>4685</v>
      </c>
      <c r="E3396" s="1225">
        <f>ROUND(E3395,0)</f>
        <v>4711</v>
      </c>
      <c r="F3396" s="1225">
        <f>ROUND(F3395,0)</f>
        <v>4737</v>
      </c>
      <c r="G3396" s="1221"/>
      <c r="H3396" s="1221"/>
      <c r="I3396" s="1220"/>
      <c r="J3396" s="1846"/>
      <c r="K3396" s="1846"/>
      <c r="L3396" s="1846"/>
    </row>
    <row r="3397" spans="1:12">
      <c r="A3397" s="1197"/>
      <c r="B3397" s="1197"/>
      <c r="C3397" s="1795"/>
      <c r="D3397" s="1221"/>
      <c r="E3397" s="1221"/>
      <c r="F3397" s="1221"/>
      <c r="G3397" s="1221"/>
      <c r="H3397" s="1221"/>
      <c r="I3397" s="1220"/>
      <c r="J3397" s="1846"/>
      <c r="K3397" s="1846"/>
      <c r="L3397" s="1846"/>
    </row>
    <row r="3398" spans="1:12" ht="79.150000000000006" customHeight="1">
      <c r="A3398" s="1197">
        <f>A3318+1</f>
        <v>40</v>
      </c>
      <c r="B3398" s="1197"/>
      <c r="C3398" s="2006" t="s">
        <v>3440</v>
      </c>
      <c r="D3398" s="2006"/>
      <c r="E3398" s="2006"/>
      <c r="F3398" s="2006"/>
      <c r="G3398" s="2006"/>
      <c r="H3398" s="2006"/>
      <c r="I3398" s="1814"/>
      <c r="J3398" s="1846"/>
      <c r="K3398" s="1846"/>
      <c r="L3398" s="1846"/>
    </row>
    <row r="3399" spans="1:12">
      <c r="A3399" s="1197"/>
      <c r="B3399" s="1197"/>
      <c r="C3399" s="1198" t="s">
        <v>1463</v>
      </c>
      <c r="D3399" s="1228"/>
      <c r="E3399" s="1297"/>
      <c r="F3399" s="1223"/>
      <c r="G3399" s="1272"/>
      <c r="H3399" s="1298"/>
      <c r="I3399" s="1219"/>
      <c r="J3399" s="1846"/>
      <c r="K3399" s="1846"/>
      <c r="L3399" s="1846"/>
    </row>
    <row r="3400" spans="1:12">
      <c r="A3400" s="1197"/>
      <c r="B3400" s="1197"/>
      <c r="C3400" s="1807" t="s">
        <v>1464</v>
      </c>
      <c r="D3400" s="1228"/>
      <c r="E3400" s="1297"/>
      <c r="F3400" s="1223"/>
      <c r="G3400" s="1272"/>
      <c r="H3400" s="1298"/>
      <c r="I3400" s="1219"/>
      <c r="J3400" s="1846"/>
      <c r="K3400" s="1846"/>
      <c r="L3400" s="1846"/>
    </row>
    <row r="3401" spans="1:12">
      <c r="A3401" s="1197"/>
      <c r="B3401" s="1197"/>
      <c r="C3401" s="1795" t="s">
        <v>1139</v>
      </c>
      <c r="D3401" s="1228"/>
      <c r="E3401" s="1297"/>
      <c r="F3401" s="1223"/>
      <c r="G3401" s="1272"/>
      <c r="H3401" s="1298"/>
      <c r="I3401" s="1219"/>
      <c r="J3401" s="1846"/>
      <c r="K3401" s="1846"/>
      <c r="L3401" s="1846"/>
    </row>
    <row r="3402" spans="1:12">
      <c r="A3402" s="1197"/>
      <c r="B3402" s="1197"/>
      <c r="C3402" s="1807" t="s">
        <v>1465</v>
      </c>
      <c r="D3402" s="1228">
        <v>11</v>
      </c>
      <c r="E3402" s="1297" t="s">
        <v>94</v>
      </c>
      <c r="F3402" s="1223">
        <f>LEAD!$N$26</f>
        <v>2705.69</v>
      </c>
      <c r="G3402" s="1272">
        <v>10</v>
      </c>
      <c r="H3402" s="1271" t="s">
        <v>94</v>
      </c>
      <c r="I3402" s="1205">
        <f t="shared" ref="I3402:I3405" si="792">IF(G3402="",D3402*F3402,(D3402*F3402/G3402))</f>
        <v>2976.259</v>
      </c>
      <c r="J3402" s="1846"/>
      <c r="K3402" s="1846"/>
      <c r="L3402" s="1846"/>
    </row>
    <row r="3403" spans="1:12">
      <c r="A3403" s="1197"/>
      <c r="B3403" s="1197"/>
      <c r="C3403" s="1807" t="s">
        <v>1466</v>
      </c>
      <c r="D3403" s="1228">
        <v>0.12</v>
      </c>
      <c r="E3403" s="1297" t="s">
        <v>75</v>
      </c>
      <c r="F3403" s="1223">
        <f>LEAD!$N$13</f>
        <v>2453.91</v>
      </c>
      <c r="G3403" s="1272">
        <v>1</v>
      </c>
      <c r="H3403" s="1271" t="s">
        <v>75</v>
      </c>
      <c r="I3403" s="1205">
        <f t="shared" si="792"/>
        <v>294.46919999999994</v>
      </c>
      <c r="J3403" s="1846"/>
      <c r="K3403" s="1846"/>
      <c r="L3403" s="1846"/>
    </row>
    <row r="3404" spans="1:12">
      <c r="A3404" s="1197"/>
      <c r="B3404" s="1197"/>
      <c r="C3404" s="1807" t="s">
        <v>1467</v>
      </c>
      <c r="D3404" s="1228">
        <v>34.56</v>
      </c>
      <c r="E3404" s="1297" t="s">
        <v>1110</v>
      </c>
      <c r="F3404" s="1223">
        <f>LEAD!$N$6</f>
        <v>5200</v>
      </c>
      <c r="G3404" s="1272">
        <v>1000</v>
      </c>
      <c r="H3404" s="1271" t="s">
        <v>1110</v>
      </c>
      <c r="I3404" s="1205">
        <f t="shared" si="792"/>
        <v>179.71199999999999</v>
      </c>
      <c r="J3404" s="1846"/>
      <c r="K3404" s="1846"/>
      <c r="L3404" s="1846"/>
    </row>
    <row r="3405" spans="1:12">
      <c r="A3405" s="1197"/>
      <c r="B3405" s="1197"/>
      <c r="C3405" s="1807" t="s">
        <v>1398</v>
      </c>
      <c r="D3405" s="1228">
        <v>33</v>
      </c>
      <c r="E3405" s="1297" t="s">
        <v>1110</v>
      </c>
      <c r="F3405" s="1223">
        <f>LEAD!$N$6</f>
        <v>5200</v>
      </c>
      <c r="G3405" s="1272">
        <v>1000</v>
      </c>
      <c r="H3405" s="1271" t="s">
        <v>1110</v>
      </c>
      <c r="I3405" s="1205">
        <f t="shared" si="792"/>
        <v>171.6</v>
      </c>
      <c r="J3405" s="1846"/>
      <c r="K3405" s="1846"/>
      <c r="L3405" s="1846"/>
    </row>
    <row r="3406" spans="1:12">
      <c r="A3406" s="1197"/>
      <c r="B3406" s="1197"/>
      <c r="C3406" s="1795" t="s">
        <v>1468</v>
      </c>
      <c r="D3406" s="1228"/>
      <c r="E3406" s="1297"/>
      <c r="F3406" s="1223"/>
      <c r="G3406" s="1272"/>
      <c r="H3406" s="1298"/>
      <c r="I3406" s="1219"/>
      <c r="J3406" s="1846"/>
      <c r="K3406" s="1846"/>
      <c r="L3406" s="1846"/>
    </row>
    <row r="3407" spans="1:12">
      <c r="A3407" s="1197"/>
      <c r="B3407" s="1197"/>
      <c r="C3407" s="1807" t="s">
        <v>1299</v>
      </c>
      <c r="D3407" s="1228">
        <v>0.96</v>
      </c>
      <c r="E3407" s="1297" t="s">
        <v>36</v>
      </c>
      <c r="F3407" s="1223">
        <f>'Civil-SOR'!$G$293</f>
        <v>580</v>
      </c>
      <c r="G3407" s="1272">
        <v>1</v>
      </c>
      <c r="H3407" s="1271" t="s">
        <v>501</v>
      </c>
      <c r="I3407" s="1205">
        <f t="shared" ref="I3407:I3411" si="793">IF(G3407="",D3407*F3407,(D3407*F3407/G3407))</f>
        <v>556.79999999999995</v>
      </c>
      <c r="J3407" s="1846"/>
      <c r="K3407" s="1846"/>
      <c r="L3407" s="1846"/>
    </row>
    <row r="3408" spans="1:12">
      <c r="A3408" s="1197"/>
      <c r="B3408" s="1197"/>
      <c r="C3408" s="1807" t="s">
        <v>1325</v>
      </c>
      <c r="D3408" s="1228">
        <v>2.2400000000000002</v>
      </c>
      <c r="E3408" s="1297" t="s">
        <v>36</v>
      </c>
      <c r="F3408" s="1223">
        <f>'Civil-SOR'!$G$302</f>
        <v>550</v>
      </c>
      <c r="G3408" s="1272">
        <v>1</v>
      </c>
      <c r="H3408" s="1271" t="s">
        <v>501</v>
      </c>
      <c r="I3408" s="1205">
        <f t="shared" si="793"/>
        <v>1232.0000000000002</v>
      </c>
      <c r="J3408" s="1846"/>
      <c r="K3408" s="1846"/>
      <c r="L3408" s="1846"/>
    </row>
    <row r="3409" spans="1:12">
      <c r="A3409" s="1197"/>
      <c r="B3409" s="1197"/>
      <c r="C3409" s="1807" t="s">
        <v>1031</v>
      </c>
      <c r="D3409" s="1228">
        <v>3.1</v>
      </c>
      <c r="E3409" s="1297" t="s">
        <v>36</v>
      </c>
      <c r="F3409" s="1223">
        <f>'Civil-SOR'!$G$307</f>
        <v>520</v>
      </c>
      <c r="G3409" s="1272">
        <v>1</v>
      </c>
      <c r="H3409" s="1271" t="s">
        <v>501</v>
      </c>
      <c r="I3409" s="1205">
        <f t="shared" si="793"/>
        <v>1612</v>
      </c>
      <c r="J3409" s="1846"/>
      <c r="K3409" s="1846"/>
      <c r="L3409" s="1846"/>
    </row>
    <row r="3410" spans="1:12">
      <c r="A3410" s="1197"/>
      <c r="B3410" s="1197"/>
      <c r="C3410" s="1199" t="str">
        <f>Input!$C$47</f>
        <v>Add for MA @ 40%</v>
      </c>
      <c r="D3410" s="1277">
        <f>Input!$D$47</f>
        <v>0.4</v>
      </c>
      <c r="E3410" s="1276"/>
      <c r="F3410" s="1223">
        <f>SUM(I3407:I3409)</f>
        <v>3400.8</v>
      </c>
      <c r="G3410" s="1278"/>
      <c r="H3410" s="1279"/>
      <c r="I3410" s="1205">
        <f t="shared" si="793"/>
        <v>1360.3200000000002</v>
      </c>
      <c r="J3410" s="1846"/>
      <c r="K3410" s="1846"/>
      <c r="L3410" s="1846"/>
    </row>
    <row r="3411" spans="1:12">
      <c r="A3411" s="1197"/>
      <c r="B3411" s="1197"/>
      <c r="C3411" s="1202" t="s">
        <v>1301</v>
      </c>
      <c r="D3411" s="1228">
        <v>0.01</v>
      </c>
      <c r="E3411" s="1297"/>
      <c r="F3411" s="1223">
        <f>SUM(I3402:I3410)</f>
        <v>8383.1602000000003</v>
      </c>
      <c r="G3411" s="1272"/>
      <c r="H3411" s="1271"/>
      <c r="I3411" s="1205">
        <f t="shared" si="793"/>
        <v>83.831602000000004</v>
      </c>
      <c r="J3411" s="1846"/>
      <c r="K3411" s="1846"/>
      <c r="L3411" s="1846"/>
    </row>
    <row r="3412" spans="1:12" s="997" customFormat="1">
      <c r="A3412" s="1802"/>
      <c r="B3412" s="1802"/>
      <c r="C3412" s="1796" t="s">
        <v>1402</v>
      </c>
      <c r="D3412" s="1281"/>
      <c r="E3412" s="1282"/>
      <c r="F3412" s="1283"/>
      <c r="G3412" s="1284"/>
      <c r="H3412" s="1282"/>
      <c r="I3412" s="1285">
        <f>SUM(I3402:I3411)</f>
        <v>8466.9918020000005</v>
      </c>
      <c r="J3412" s="996"/>
      <c r="K3412" s="996"/>
      <c r="L3412" s="996"/>
    </row>
    <row r="3413" spans="1:12">
      <c r="A3413" s="1197"/>
      <c r="B3413" s="1197"/>
      <c r="C3413" s="1814"/>
      <c r="D3413" s="1228"/>
      <c r="E3413" s="1271"/>
      <c r="F3413" s="1223"/>
      <c r="G3413" s="1272"/>
      <c r="H3413" s="1271"/>
      <c r="I3413" s="1230"/>
      <c r="J3413" s="1846"/>
      <c r="K3413" s="1846"/>
      <c r="L3413" s="1846"/>
    </row>
    <row r="3414" spans="1:12" s="997" customFormat="1">
      <c r="A3414" s="1802"/>
      <c r="B3414" s="1802"/>
      <c r="C3414" s="1796" t="s">
        <v>1217</v>
      </c>
      <c r="D3414" s="1218" t="s">
        <v>1223</v>
      </c>
      <c r="E3414" s="1225" t="s">
        <v>1207</v>
      </c>
      <c r="F3414" s="1299" t="s">
        <v>1208</v>
      </c>
      <c r="G3414" s="1218" t="s">
        <v>1291</v>
      </c>
      <c r="H3414" s="1218" t="s">
        <v>1292</v>
      </c>
      <c r="I3414" s="1218" t="s">
        <v>1293</v>
      </c>
      <c r="J3414" s="1826"/>
      <c r="K3414" s="1826" t="s">
        <v>1358</v>
      </c>
      <c r="L3414" s="1826" t="s">
        <v>1359</v>
      </c>
    </row>
    <row r="3415" spans="1:12">
      <c r="A3415" s="1197"/>
      <c r="B3415" s="1197"/>
      <c r="C3415" s="1807" t="s">
        <v>1317</v>
      </c>
      <c r="D3415" s="1223">
        <f t="shared" ref="D3415:L3415" si="794">$I$3412</f>
        <v>8466.9918020000005</v>
      </c>
      <c r="E3415" s="1223">
        <f t="shared" si="794"/>
        <v>8466.9918020000005</v>
      </c>
      <c r="F3415" s="1223">
        <f t="shared" si="794"/>
        <v>8466.9918020000005</v>
      </c>
      <c r="G3415" s="1223">
        <f t="shared" si="794"/>
        <v>8466.9918020000005</v>
      </c>
      <c r="H3415" s="1223">
        <f t="shared" si="794"/>
        <v>8466.9918020000005</v>
      </c>
      <c r="I3415" s="1223">
        <f t="shared" si="794"/>
        <v>8466.9918020000005</v>
      </c>
      <c r="J3415" s="1001"/>
      <c r="K3415" s="1001">
        <f t="shared" si="794"/>
        <v>8466.9918020000005</v>
      </c>
      <c r="L3415" s="1001">
        <f t="shared" si="794"/>
        <v>8466.9918020000005</v>
      </c>
    </row>
    <row r="3416" spans="1:12">
      <c r="A3416" s="1197"/>
      <c r="B3416" s="1197"/>
      <c r="C3416" s="1807" t="s">
        <v>1253</v>
      </c>
      <c r="D3416" s="1223">
        <v>0</v>
      </c>
      <c r="E3416" s="1223">
        <f>ROUND($F$3410*10%,2)</f>
        <v>340.08</v>
      </c>
      <c r="F3416" s="1223">
        <f>ROUND($F$3410*20%,2)</f>
        <v>680.16</v>
      </c>
      <c r="G3416" s="1223">
        <f>ROUND($F$3410*30%,2)</f>
        <v>1020.24</v>
      </c>
      <c r="H3416" s="1223">
        <f>ROUND($F$3410*40%,2)</f>
        <v>1360.32</v>
      </c>
      <c r="I3416" s="1223">
        <f>ROUND($F$3410*50%,2)</f>
        <v>1700.4</v>
      </c>
      <c r="J3416" s="1001"/>
      <c r="K3416" s="1001">
        <f>ROUND($F$3410*70%,2)</f>
        <v>2380.56</v>
      </c>
      <c r="L3416" s="1001">
        <f>ROUND($F$3410*80%,2)</f>
        <v>2720.64</v>
      </c>
    </row>
    <row r="3417" spans="1:12">
      <c r="A3417" s="1197"/>
      <c r="B3417" s="1197"/>
      <c r="C3417" s="1807" t="str">
        <f>Input!$C$47</f>
        <v>Add for MA @ 40%</v>
      </c>
      <c r="D3417" s="1223">
        <f>D3416*Input!$D$47</f>
        <v>0</v>
      </c>
      <c r="E3417" s="1223">
        <f>E3416*Input!$D$47</f>
        <v>136.03200000000001</v>
      </c>
      <c r="F3417" s="1223">
        <f>F3416*Input!$D$47</f>
        <v>272.06400000000002</v>
      </c>
      <c r="G3417" s="1223">
        <f>G3416*Input!$D$47</f>
        <v>408.096</v>
      </c>
      <c r="H3417" s="1223">
        <f>H3416*Input!$D$47</f>
        <v>544.12800000000004</v>
      </c>
      <c r="I3417" s="1223">
        <f>I3416*Input!$D$47</f>
        <v>680.16000000000008</v>
      </c>
      <c r="J3417" s="1001"/>
      <c r="K3417" s="1001">
        <f>K3416*Input!$D$47</f>
        <v>952.22400000000005</v>
      </c>
      <c r="L3417" s="1001">
        <f>L3416*Input!$D$47</f>
        <v>1088.2560000000001</v>
      </c>
    </row>
    <row r="3418" spans="1:12">
      <c r="A3418" s="1197"/>
      <c r="B3418" s="1197"/>
      <c r="C3418" s="1199"/>
      <c r="D3418" s="1223">
        <f t="shared" ref="D3418:L3418" si="795">SUM(D3415:D3417)</f>
        <v>8466.9918020000005</v>
      </c>
      <c r="E3418" s="1223">
        <f t="shared" si="795"/>
        <v>8943.1038019999996</v>
      </c>
      <c r="F3418" s="1223">
        <f t="shared" si="795"/>
        <v>9419.2158020000006</v>
      </c>
      <c r="G3418" s="1223">
        <f t="shared" si="795"/>
        <v>9895.3278019999998</v>
      </c>
      <c r="H3418" s="1223">
        <f t="shared" si="795"/>
        <v>10371.439802000001</v>
      </c>
      <c r="I3418" s="1223">
        <f t="shared" si="795"/>
        <v>10847.551802</v>
      </c>
      <c r="J3418" s="1001"/>
      <c r="K3418" s="1001">
        <f t="shared" si="795"/>
        <v>11799.775802</v>
      </c>
      <c r="L3418" s="1001">
        <f t="shared" si="795"/>
        <v>12275.887801999999</v>
      </c>
    </row>
    <row r="3419" spans="1:12">
      <c r="A3419" s="1197"/>
      <c r="B3419" s="1197"/>
      <c r="C3419" s="1807" t="str">
        <f>Input!$C$48</f>
        <v>Overheads &amp; Contractors Profit @ 13.615%</v>
      </c>
      <c r="D3419" s="1223">
        <f>ROUND(D3418*Input!$D$48,2)</f>
        <v>1152.78</v>
      </c>
      <c r="E3419" s="1223">
        <f>ROUND(E3418*Input!$D$48,2)</f>
        <v>1217.5999999999999</v>
      </c>
      <c r="F3419" s="1223">
        <f>ROUND(F3418*Input!$D$48,2)</f>
        <v>1282.43</v>
      </c>
      <c r="G3419" s="1223">
        <f>ROUND(G3418*Input!$D$48,2)</f>
        <v>1347.25</v>
      </c>
      <c r="H3419" s="1223">
        <f>ROUND(H3418*Input!$D$48,2)</f>
        <v>1412.07</v>
      </c>
      <c r="I3419" s="1223">
        <f>ROUND(I3418*Input!$D$48,2)</f>
        <v>1476.89</v>
      </c>
      <c r="J3419" s="1001"/>
      <c r="K3419" s="1001">
        <f>ROUND(K3418*Input!$D$48,2)</f>
        <v>1606.54</v>
      </c>
      <c r="L3419" s="1001">
        <f>ROUND(L3418*Input!$D$48,2)</f>
        <v>1671.36</v>
      </c>
    </row>
    <row r="3420" spans="1:12">
      <c r="A3420" s="1197"/>
      <c r="B3420" s="1197"/>
      <c r="C3420" s="1795" t="s">
        <v>1302</v>
      </c>
      <c r="D3420" s="1220">
        <f t="shared" ref="D3420:L3420" si="796">SUM(D3418:D3419)</f>
        <v>9619.7718020000011</v>
      </c>
      <c r="E3420" s="1220">
        <f t="shared" si="796"/>
        <v>10160.703802</v>
      </c>
      <c r="F3420" s="1220">
        <f t="shared" si="796"/>
        <v>10701.645802000001</v>
      </c>
      <c r="G3420" s="1220">
        <f t="shared" si="796"/>
        <v>11242.577802</v>
      </c>
      <c r="H3420" s="1220">
        <f t="shared" si="796"/>
        <v>11783.509802</v>
      </c>
      <c r="I3420" s="1220">
        <f t="shared" si="796"/>
        <v>12324.441801999999</v>
      </c>
      <c r="J3420" s="1009"/>
      <c r="K3420" s="1009">
        <f t="shared" si="796"/>
        <v>13406.315802000001</v>
      </c>
      <c r="L3420" s="1009">
        <f t="shared" si="796"/>
        <v>13947.247802</v>
      </c>
    </row>
    <row r="3421" spans="1:12">
      <c r="A3421" s="1197"/>
      <c r="B3421" s="1197"/>
      <c r="C3421" s="1795" t="s">
        <v>1288</v>
      </c>
      <c r="D3421" s="1220">
        <f t="shared" ref="D3421:L3421" si="797">D3420*0.01</f>
        <v>96.197718020000011</v>
      </c>
      <c r="E3421" s="1220">
        <f t="shared" si="797"/>
        <v>101.60703802</v>
      </c>
      <c r="F3421" s="1220">
        <f t="shared" si="797"/>
        <v>107.01645802000002</v>
      </c>
      <c r="G3421" s="1220">
        <f t="shared" si="797"/>
        <v>112.42577802</v>
      </c>
      <c r="H3421" s="1220">
        <f t="shared" si="797"/>
        <v>117.83509802</v>
      </c>
      <c r="I3421" s="1220">
        <f t="shared" si="797"/>
        <v>123.24441802</v>
      </c>
      <c r="J3421" s="1009"/>
      <c r="K3421" s="1009">
        <f t="shared" si="797"/>
        <v>134.06315802</v>
      </c>
      <c r="L3421" s="1009">
        <f t="shared" si="797"/>
        <v>139.47247802000001</v>
      </c>
    </row>
    <row r="3422" spans="1:12" s="997" customFormat="1">
      <c r="A3422" s="1802"/>
      <c r="B3422" s="1802"/>
      <c r="C3422" s="1224" t="s">
        <v>1034</v>
      </c>
      <c r="D3422" s="1225">
        <f t="shared" ref="D3422:L3422" si="798">ROUND(D3421,0)</f>
        <v>96</v>
      </c>
      <c r="E3422" s="1225">
        <f t="shared" si="798"/>
        <v>102</v>
      </c>
      <c r="F3422" s="1225">
        <f t="shared" si="798"/>
        <v>107</v>
      </c>
      <c r="G3422" s="1225">
        <f t="shared" si="798"/>
        <v>112</v>
      </c>
      <c r="H3422" s="1225">
        <f t="shared" si="798"/>
        <v>118</v>
      </c>
      <c r="I3422" s="1225">
        <f t="shared" si="798"/>
        <v>123</v>
      </c>
      <c r="J3422" s="999"/>
      <c r="K3422" s="999">
        <f t="shared" si="798"/>
        <v>134</v>
      </c>
      <c r="L3422" s="999">
        <f t="shared" si="798"/>
        <v>139</v>
      </c>
    </row>
    <row r="3423" spans="1:12">
      <c r="A3423" s="1197"/>
      <c r="B3423" s="1197"/>
      <c r="C3423" s="1795"/>
      <c r="D3423" s="1221"/>
      <c r="E3423" s="1221"/>
      <c r="F3423" s="1221"/>
      <c r="G3423" s="1221"/>
      <c r="H3423" s="1221"/>
      <c r="I3423" s="1220"/>
      <c r="J3423" s="1846"/>
      <c r="K3423" s="1846"/>
      <c r="L3423" s="1846"/>
    </row>
    <row r="3424" spans="1:12" ht="77.650000000000006" customHeight="1">
      <c r="A3424" s="1197">
        <f>A3398+1</f>
        <v>41</v>
      </c>
      <c r="B3424" s="1197"/>
      <c r="C3424" s="2006" t="s">
        <v>3441</v>
      </c>
      <c r="D3424" s="2006"/>
      <c r="E3424" s="2006"/>
      <c r="F3424" s="2006"/>
      <c r="G3424" s="2006"/>
      <c r="H3424" s="2006"/>
      <c r="I3424" s="1814"/>
      <c r="J3424" s="1846"/>
      <c r="K3424" s="1846"/>
      <c r="L3424" s="1846"/>
    </row>
    <row r="3425" spans="1:12">
      <c r="A3425" s="1197"/>
      <c r="B3425" s="1197"/>
      <c r="C3425" s="1198" t="s">
        <v>1480</v>
      </c>
      <c r="D3425" s="1228"/>
      <c r="E3425" s="1297"/>
      <c r="F3425" s="1223"/>
      <c r="G3425" s="1272"/>
      <c r="H3425" s="1298"/>
      <c r="I3425" s="1219"/>
      <c r="J3425" s="1846"/>
      <c r="K3425" s="1846"/>
      <c r="L3425" s="1846"/>
    </row>
    <row r="3426" spans="1:12">
      <c r="A3426" s="1197"/>
      <c r="B3426" s="1197"/>
      <c r="C3426" s="1807" t="s">
        <v>1464</v>
      </c>
      <c r="D3426" s="1228"/>
      <c r="E3426" s="1297"/>
      <c r="F3426" s="1223"/>
      <c r="G3426" s="1272"/>
      <c r="H3426" s="1298"/>
      <c r="I3426" s="1219"/>
      <c r="J3426" s="1846"/>
      <c r="K3426" s="1846"/>
      <c r="L3426" s="1846"/>
    </row>
    <row r="3427" spans="1:12">
      <c r="A3427" s="1197"/>
      <c r="B3427" s="1197"/>
      <c r="C3427" s="1795" t="s">
        <v>1139</v>
      </c>
      <c r="D3427" s="1228"/>
      <c r="E3427" s="1297"/>
      <c r="F3427" s="1223"/>
      <c r="G3427" s="1272"/>
      <c r="H3427" s="1298"/>
      <c r="I3427" s="1219"/>
      <c r="J3427" s="1846"/>
      <c r="K3427" s="1846"/>
      <c r="L3427" s="1846"/>
    </row>
    <row r="3428" spans="1:12">
      <c r="A3428" s="1197"/>
      <c r="B3428" s="1197"/>
      <c r="C3428" s="1807" t="s">
        <v>1472</v>
      </c>
      <c r="D3428" s="1228">
        <v>10.5</v>
      </c>
      <c r="E3428" s="1297" t="s">
        <v>94</v>
      </c>
      <c r="F3428" s="1223">
        <f>LEAD!$N$27</f>
        <v>1545.69</v>
      </c>
      <c r="G3428" s="1272">
        <v>10</v>
      </c>
      <c r="H3428" s="1271" t="s">
        <v>94</v>
      </c>
      <c r="I3428" s="1205">
        <f t="shared" ref="I3428:I3431" si="799">IF(G3428="",D3428*F3428,(D3428*F3428/G3428))</f>
        <v>1622.9745</v>
      </c>
      <c r="J3428" s="1846"/>
      <c r="K3428" s="1846"/>
      <c r="L3428" s="1846"/>
    </row>
    <row r="3429" spans="1:12">
      <c r="A3429" s="1197"/>
      <c r="B3429" s="1197"/>
      <c r="C3429" s="1807" t="s">
        <v>1466</v>
      </c>
      <c r="D3429" s="1228">
        <v>0.12</v>
      </c>
      <c r="E3429" s="1297" t="s">
        <v>75</v>
      </c>
      <c r="F3429" s="1223">
        <f>LEAD!$N$13</f>
        <v>2453.91</v>
      </c>
      <c r="G3429" s="1272">
        <v>1</v>
      </c>
      <c r="H3429" s="1271" t="s">
        <v>75</v>
      </c>
      <c r="I3429" s="1205">
        <f t="shared" si="799"/>
        <v>294.46919999999994</v>
      </c>
      <c r="J3429" s="1846"/>
      <c r="K3429" s="1846"/>
      <c r="L3429" s="1846"/>
    </row>
    <row r="3430" spans="1:12">
      <c r="A3430" s="1197"/>
      <c r="B3430" s="1197"/>
      <c r="C3430" s="1807" t="s">
        <v>1467</v>
      </c>
      <c r="D3430" s="1228">
        <v>34.56</v>
      </c>
      <c r="E3430" s="1297" t="s">
        <v>1110</v>
      </c>
      <c r="F3430" s="1223">
        <f>LEAD!$N$6</f>
        <v>5200</v>
      </c>
      <c r="G3430" s="1272">
        <v>1000</v>
      </c>
      <c r="H3430" s="1271" t="s">
        <v>1110</v>
      </c>
      <c r="I3430" s="1205">
        <f t="shared" si="799"/>
        <v>179.71199999999999</v>
      </c>
      <c r="J3430" s="1846"/>
      <c r="K3430" s="1846"/>
      <c r="L3430" s="1846"/>
    </row>
    <row r="3431" spans="1:12">
      <c r="A3431" s="1197"/>
      <c r="B3431" s="1197"/>
      <c r="C3431" s="1807" t="s">
        <v>1398</v>
      </c>
      <c r="D3431" s="1228">
        <v>33</v>
      </c>
      <c r="E3431" s="1297" t="s">
        <v>1110</v>
      </c>
      <c r="F3431" s="1223">
        <f>LEAD!$N$6</f>
        <v>5200</v>
      </c>
      <c r="G3431" s="1272">
        <v>1000</v>
      </c>
      <c r="H3431" s="1271" t="s">
        <v>1110</v>
      </c>
      <c r="I3431" s="1205">
        <f t="shared" si="799"/>
        <v>171.6</v>
      </c>
      <c r="J3431" s="1846"/>
      <c r="K3431" s="1846"/>
      <c r="L3431" s="1846"/>
    </row>
    <row r="3432" spans="1:12">
      <c r="A3432" s="1197"/>
      <c r="B3432" s="1197"/>
      <c r="C3432" s="1795" t="s">
        <v>1468</v>
      </c>
      <c r="D3432" s="1228"/>
      <c r="E3432" s="1297"/>
      <c r="F3432" s="1223"/>
      <c r="G3432" s="1272"/>
      <c r="H3432" s="1298"/>
      <c r="I3432" s="1219"/>
      <c r="J3432" s="1846"/>
      <c r="K3432" s="1846"/>
      <c r="L3432" s="1846"/>
    </row>
    <row r="3433" spans="1:12">
      <c r="A3433" s="1197"/>
      <c r="B3433" s="1197"/>
      <c r="C3433" s="1807" t="s">
        <v>1299</v>
      </c>
      <c r="D3433" s="1228">
        <v>0.96</v>
      </c>
      <c r="E3433" s="1297" t="s">
        <v>36</v>
      </c>
      <c r="F3433" s="1223">
        <f>'Civil-SOR'!$G$293</f>
        <v>580</v>
      </c>
      <c r="G3433" s="1272">
        <v>1</v>
      </c>
      <c r="H3433" s="1271" t="s">
        <v>501</v>
      </c>
      <c r="I3433" s="1205">
        <f t="shared" ref="I3433:I3437" si="800">IF(G3433="",D3433*F3433,(D3433*F3433/G3433))</f>
        <v>556.79999999999995</v>
      </c>
      <c r="J3433" s="1846"/>
      <c r="K3433" s="1846"/>
      <c r="L3433" s="1846"/>
    </row>
    <row r="3434" spans="1:12">
      <c r="A3434" s="1197"/>
      <c r="B3434" s="1197"/>
      <c r="C3434" s="1807" t="s">
        <v>1325</v>
      </c>
      <c r="D3434" s="1228">
        <v>2.2400000000000002</v>
      </c>
      <c r="E3434" s="1297" t="s">
        <v>36</v>
      </c>
      <c r="F3434" s="1223">
        <f>'Civil-SOR'!$G$302</f>
        <v>550</v>
      </c>
      <c r="G3434" s="1272">
        <v>1</v>
      </c>
      <c r="H3434" s="1271" t="s">
        <v>501</v>
      </c>
      <c r="I3434" s="1205">
        <f t="shared" si="800"/>
        <v>1232.0000000000002</v>
      </c>
      <c r="J3434" s="1846"/>
      <c r="K3434" s="1846"/>
      <c r="L3434" s="1846"/>
    </row>
    <row r="3435" spans="1:12">
      <c r="A3435" s="1197"/>
      <c r="B3435" s="1197"/>
      <c r="C3435" s="1807" t="s">
        <v>1031</v>
      </c>
      <c r="D3435" s="1228">
        <v>3.1</v>
      </c>
      <c r="E3435" s="1297" t="s">
        <v>36</v>
      </c>
      <c r="F3435" s="1223">
        <f>'Civil-SOR'!$G$307</f>
        <v>520</v>
      </c>
      <c r="G3435" s="1272">
        <v>1</v>
      </c>
      <c r="H3435" s="1271" t="s">
        <v>501</v>
      </c>
      <c r="I3435" s="1205">
        <f t="shared" si="800"/>
        <v>1612</v>
      </c>
      <c r="J3435" s="1846"/>
      <c r="K3435" s="1846"/>
      <c r="L3435" s="1846"/>
    </row>
    <row r="3436" spans="1:12">
      <c r="A3436" s="1197"/>
      <c r="B3436" s="1197"/>
      <c r="C3436" s="1199" t="str">
        <f>Input!$C$47</f>
        <v>Add for MA @ 40%</v>
      </c>
      <c r="D3436" s="1277">
        <f>Input!$D$47</f>
        <v>0.4</v>
      </c>
      <c r="E3436" s="1276"/>
      <c r="F3436" s="1223">
        <f>SUM(I3433:I3435)</f>
        <v>3400.8</v>
      </c>
      <c r="G3436" s="1278"/>
      <c r="H3436" s="1279"/>
      <c r="I3436" s="1205">
        <f t="shared" si="800"/>
        <v>1360.3200000000002</v>
      </c>
      <c r="J3436" s="1846"/>
      <c r="K3436" s="1846"/>
      <c r="L3436" s="1846"/>
    </row>
    <row r="3437" spans="1:12">
      <c r="A3437" s="1197"/>
      <c r="B3437" s="1197"/>
      <c r="C3437" s="1202" t="s">
        <v>1301</v>
      </c>
      <c r="D3437" s="1228">
        <v>0.01</v>
      </c>
      <c r="E3437" s="1297"/>
      <c r="F3437" s="1223">
        <f>SUM(I3428:I3436)</f>
        <v>7029.8757000000005</v>
      </c>
      <c r="G3437" s="1272"/>
      <c r="H3437" s="1271"/>
      <c r="I3437" s="1205">
        <f t="shared" si="800"/>
        <v>70.298757000000009</v>
      </c>
      <c r="J3437" s="1846"/>
      <c r="K3437" s="1846"/>
      <c r="L3437" s="1846"/>
    </row>
    <row r="3438" spans="1:12">
      <c r="A3438" s="1197"/>
      <c r="B3438" s="1197"/>
      <c r="C3438" s="1224" t="s">
        <v>1034</v>
      </c>
      <c r="D3438" s="1228"/>
      <c r="E3438" s="1271"/>
      <c r="F3438" s="1223"/>
      <c r="G3438" s="1272"/>
      <c r="H3438" s="1271"/>
      <c r="I3438" s="1230">
        <f>SUM(I3428:I3437)</f>
        <v>7100.1744570000001</v>
      </c>
      <c r="J3438" s="1846"/>
      <c r="K3438" s="1846"/>
      <c r="L3438" s="1846"/>
    </row>
    <row r="3439" spans="1:12">
      <c r="A3439" s="1197"/>
      <c r="B3439" s="1197"/>
      <c r="C3439" s="1814"/>
      <c r="D3439" s="1228"/>
      <c r="E3439" s="1271"/>
      <c r="F3439" s="1223"/>
      <c r="G3439" s="1272"/>
      <c r="H3439" s="1271"/>
      <c r="I3439" s="1230"/>
      <c r="J3439" s="1846"/>
      <c r="K3439" s="1846"/>
      <c r="L3439" s="1846"/>
    </row>
    <row r="3440" spans="1:12" s="997" customFormat="1">
      <c r="A3440" s="1802"/>
      <c r="B3440" s="1802"/>
      <c r="C3440" s="1796" t="s">
        <v>1217</v>
      </c>
      <c r="D3440" s="1218" t="s">
        <v>1223</v>
      </c>
      <c r="E3440" s="1225" t="s">
        <v>1207</v>
      </c>
      <c r="F3440" s="1299" t="s">
        <v>1208</v>
      </c>
      <c r="G3440" s="1218" t="s">
        <v>1291</v>
      </c>
      <c r="H3440" s="1218" t="s">
        <v>1292</v>
      </c>
      <c r="I3440" s="1218" t="s">
        <v>1293</v>
      </c>
      <c r="J3440" s="1826"/>
      <c r="K3440" s="1826" t="s">
        <v>1358</v>
      </c>
      <c r="L3440" s="1826" t="s">
        <v>1359</v>
      </c>
    </row>
    <row r="3441" spans="1:64">
      <c r="A3441" s="1197"/>
      <c r="B3441" s="1197"/>
      <c r="C3441" s="1807" t="s">
        <v>1317</v>
      </c>
      <c r="D3441" s="1223">
        <f t="shared" ref="D3441:L3441" si="801">$I$3438</f>
        <v>7100.1744570000001</v>
      </c>
      <c r="E3441" s="1223">
        <f t="shared" si="801"/>
        <v>7100.1744570000001</v>
      </c>
      <c r="F3441" s="1223">
        <f t="shared" si="801"/>
        <v>7100.1744570000001</v>
      </c>
      <c r="G3441" s="1223">
        <f t="shared" si="801"/>
        <v>7100.1744570000001</v>
      </c>
      <c r="H3441" s="1223">
        <f t="shared" si="801"/>
        <v>7100.1744570000001</v>
      </c>
      <c r="I3441" s="1223">
        <f t="shared" si="801"/>
        <v>7100.1744570000001</v>
      </c>
      <c r="J3441" s="1001"/>
      <c r="K3441" s="1001">
        <f t="shared" si="801"/>
        <v>7100.1744570000001</v>
      </c>
      <c r="L3441" s="1001">
        <f t="shared" si="801"/>
        <v>7100.1744570000001</v>
      </c>
    </row>
    <row r="3442" spans="1:64">
      <c r="A3442" s="1197"/>
      <c r="B3442" s="1197"/>
      <c r="C3442" s="1807" t="s">
        <v>1253</v>
      </c>
      <c r="D3442" s="1223">
        <v>0</v>
      </c>
      <c r="E3442" s="1223">
        <f>ROUND($F$3436*10%,2)</f>
        <v>340.08</v>
      </c>
      <c r="F3442" s="1223">
        <f>ROUND($F$3436*20%,2)</f>
        <v>680.16</v>
      </c>
      <c r="G3442" s="1223">
        <f>ROUND($F$3436*30%,2)</f>
        <v>1020.24</v>
      </c>
      <c r="H3442" s="1223">
        <f>ROUND($F$3436*40%,2)</f>
        <v>1360.32</v>
      </c>
      <c r="I3442" s="1223">
        <f>ROUND($F$3436*50%,2)</f>
        <v>1700.4</v>
      </c>
      <c r="J3442" s="1001"/>
      <c r="K3442" s="1001">
        <f>ROUND($F$3436*70%,2)</f>
        <v>2380.56</v>
      </c>
      <c r="L3442" s="1001">
        <f>ROUND($F$3436*80%,2)</f>
        <v>2720.64</v>
      </c>
    </row>
    <row r="3443" spans="1:64">
      <c r="A3443" s="1197"/>
      <c r="B3443" s="1197"/>
      <c r="C3443" s="1807" t="str">
        <f>Input!$C$47</f>
        <v>Add for MA @ 40%</v>
      </c>
      <c r="D3443" s="1223">
        <f>D3442*Input!$D$47</f>
        <v>0</v>
      </c>
      <c r="E3443" s="1223">
        <f>E3442*Input!$D$47</f>
        <v>136.03200000000001</v>
      </c>
      <c r="F3443" s="1223">
        <f>F3442*Input!$D$47</f>
        <v>272.06400000000002</v>
      </c>
      <c r="G3443" s="1223">
        <f>G3442*Input!$D$47</f>
        <v>408.096</v>
      </c>
      <c r="H3443" s="1223">
        <f>H3442*Input!$D$47</f>
        <v>544.12800000000004</v>
      </c>
      <c r="I3443" s="1223">
        <f>I3442*Input!$D$47</f>
        <v>680.16000000000008</v>
      </c>
      <c r="J3443" s="1001"/>
      <c r="K3443" s="1001">
        <f>K3442*Input!$D$47</f>
        <v>952.22400000000005</v>
      </c>
      <c r="L3443" s="1001">
        <f>L3442*Input!$D$47</f>
        <v>1088.2560000000001</v>
      </c>
    </row>
    <row r="3444" spans="1:64">
      <c r="A3444" s="1197"/>
      <c r="B3444" s="1197"/>
      <c r="C3444" s="1199"/>
      <c r="D3444" s="1223">
        <f t="shared" ref="D3444:L3444" si="802">SUM(D3441:D3443)</f>
        <v>7100.1744570000001</v>
      </c>
      <c r="E3444" s="1223">
        <f t="shared" si="802"/>
        <v>7576.2864570000002</v>
      </c>
      <c r="F3444" s="1223">
        <f t="shared" si="802"/>
        <v>8052.3984570000002</v>
      </c>
      <c r="G3444" s="1223">
        <f t="shared" si="802"/>
        <v>8528.5104570000003</v>
      </c>
      <c r="H3444" s="1223">
        <f t="shared" si="802"/>
        <v>9004.6224570000013</v>
      </c>
      <c r="I3444" s="1223">
        <f t="shared" si="802"/>
        <v>9480.7344570000005</v>
      </c>
      <c r="J3444" s="1001"/>
      <c r="K3444" s="1001">
        <f t="shared" si="802"/>
        <v>10432.958457000001</v>
      </c>
      <c r="L3444" s="1001">
        <f t="shared" si="802"/>
        <v>10909.070457</v>
      </c>
    </row>
    <row r="3445" spans="1:64">
      <c r="A3445" s="1197"/>
      <c r="B3445" s="1197"/>
      <c r="C3445" s="1807" t="str">
        <f>Input!$C$48</f>
        <v>Overheads &amp; Contractors Profit @ 13.615%</v>
      </c>
      <c r="D3445" s="1223">
        <f>ROUND(D3444*Input!$D$48,2)</f>
        <v>966.69</v>
      </c>
      <c r="E3445" s="1223">
        <f>ROUND(E3444*Input!$D$48,2)</f>
        <v>1031.51</v>
      </c>
      <c r="F3445" s="1223">
        <f>ROUND(F3444*Input!$D$48,2)</f>
        <v>1096.33</v>
      </c>
      <c r="G3445" s="1223">
        <f>ROUND(G3444*Input!$D$48,2)</f>
        <v>1161.1600000000001</v>
      </c>
      <c r="H3445" s="1223">
        <f>ROUND(H3444*Input!$D$48,2)</f>
        <v>1225.98</v>
      </c>
      <c r="I3445" s="1223">
        <f>ROUND(I3444*Input!$D$48,2)</f>
        <v>1290.8</v>
      </c>
      <c r="J3445" s="1001"/>
      <c r="K3445" s="1001">
        <f>ROUND(K3444*Input!$D$48,2)</f>
        <v>1420.45</v>
      </c>
      <c r="L3445" s="1001">
        <f>ROUND(L3444*Input!$D$48,2)</f>
        <v>1485.27</v>
      </c>
    </row>
    <row r="3446" spans="1:64">
      <c r="A3446" s="1197"/>
      <c r="B3446" s="1197"/>
      <c r="C3446" s="1795" t="s">
        <v>1302</v>
      </c>
      <c r="D3446" s="1223">
        <f t="shared" ref="D3446:L3446" si="803">SUM(D3444:D3445)</f>
        <v>8066.8644569999997</v>
      </c>
      <c r="E3446" s="1223">
        <f t="shared" si="803"/>
        <v>8607.7964570000004</v>
      </c>
      <c r="F3446" s="1223">
        <f t="shared" si="803"/>
        <v>9148.7284570000011</v>
      </c>
      <c r="G3446" s="1223">
        <f t="shared" si="803"/>
        <v>9689.6704570000002</v>
      </c>
      <c r="H3446" s="1223">
        <f t="shared" si="803"/>
        <v>10230.602457000001</v>
      </c>
      <c r="I3446" s="1223">
        <f t="shared" si="803"/>
        <v>10771.534457</v>
      </c>
      <c r="J3446" s="1001"/>
      <c r="K3446" s="1001">
        <f t="shared" si="803"/>
        <v>11853.408457000001</v>
      </c>
      <c r="L3446" s="1001">
        <f t="shared" si="803"/>
        <v>12394.340457</v>
      </c>
    </row>
    <row r="3447" spans="1:64">
      <c r="A3447" s="1197"/>
      <c r="B3447" s="1197"/>
      <c r="C3447" s="1795" t="s">
        <v>1288</v>
      </c>
      <c r="D3447" s="1220">
        <f t="shared" ref="D3447:L3447" si="804">D3446*0.01</f>
        <v>80.668644569999998</v>
      </c>
      <c r="E3447" s="1220">
        <f t="shared" si="804"/>
        <v>86.077964570000006</v>
      </c>
      <c r="F3447" s="1220">
        <f t="shared" si="804"/>
        <v>91.487284570000014</v>
      </c>
      <c r="G3447" s="1220">
        <f t="shared" si="804"/>
        <v>96.896704569999997</v>
      </c>
      <c r="H3447" s="1220">
        <f t="shared" si="804"/>
        <v>102.30602457000001</v>
      </c>
      <c r="I3447" s="1220">
        <f t="shared" si="804"/>
        <v>107.71534457</v>
      </c>
      <c r="J3447" s="1009"/>
      <c r="K3447" s="1009">
        <f t="shared" si="804"/>
        <v>118.53408457000002</v>
      </c>
      <c r="L3447" s="1009">
        <f t="shared" si="804"/>
        <v>123.94340457</v>
      </c>
    </row>
    <row r="3448" spans="1:64" s="997" customFormat="1">
      <c r="A3448" s="1802"/>
      <c r="B3448" s="1802"/>
      <c r="C3448" s="1224" t="s">
        <v>1034</v>
      </c>
      <c r="D3448" s="1225">
        <f t="shared" ref="D3448:L3448" si="805">ROUND(D3447,0)</f>
        <v>81</v>
      </c>
      <c r="E3448" s="1225">
        <f t="shared" si="805"/>
        <v>86</v>
      </c>
      <c r="F3448" s="1225">
        <f t="shared" si="805"/>
        <v>91</v>
      </c>
      <c r="G3448" s="1225">
        <f t="shared" si="805"/>
        <v>97</v>
      </c>
      <c r="H3448" s="1225">
        <f t="shared" si="805"/>
        <v>102</v>
      </c>
      <c r="I3448" s="1225">
        <f t="shared" si="805"/>
        <v>108</v>
      </c>
      <c r="J3448" s="999"/>
      <c r="K3448" s="999">
        <f t="shared" si="805"/>
        <v>119</v>
      </c>
      <c r="L3448" s="999">
        <f t="shared" si="805"/>
        <v>124</v>
      </c>
    </row>
    <row r="3449" spans="1:64">
      <c r="A3449" s="1197"/>
      <c r="B3449" s="1197"/>
      <c r="C3449" s="1795"/>
      <c r="D3449" s="1221"/>
      <c r="E3449" s="1221"/>
      <c r="F3449" s="1221"/>
      <c r="G3449" s="1221"/>
      <c r="H3449" s="1221"/>
      <c r="I3449" s="1220"/>
      <c r="J3449" s="1846"/>
      <c r="K3449" s="1846"/>
      <c r="L3449" s="1846"/>
    </row>
    <row r="3450" spans="1:64" ht="88.15" customHeight="1">
      <c r="A3450" s="1197">
        <f>A3424+1</f>
        <v>42</v>
      </c>
      <c r="B3450" s="1197"/>
      <c r="C3450" s="2011" t="s">
        <v>3442</v>
      </c>
      <c r="D3450" s="2011"/>
      <c r="E3450" s="2011"/>
      <c r="F3450" s="2011"/>
      <c r="G3450" s="2011"/>
      <c r="H3450" s="2011"/>
      <c r="I3450" s="1814"/>
      <c r="J3450" s="1846"/>
      <c r="K3450" s="1846"/>
      <c r="L3450" s="1846"/>
    </row>
    <row r="3451" spans="1:64">
      <c r="A3451" s="1197"/>
      <c r="B3451" s="1197"/>
      <c r="C3451" s="1198" t="s">
        <v>1481</v>
      </c>
      <c r="D3451" s="1228"/>
      <c r="E3451" s="1297"/>
      <c r="F3451" s="1223"/>
      <c r="G3451" s="1272"/>
      <c r="H3451" s="1298"/>
      <c r="I3451" s="1219"/>
      <c r="J3451" s="1846"/>
      <c r="K3451" s="1846"/>
      <c r="L3451" s="1846"/>
    </row>
    <row r="3452" spans="1:64">
      <c r="A3452" s="1197"/>
      <c r="B3452" s="1197"/>
      <c r="C3452" s="1807" t="s">
        <v>1464</v>
      </c>
      <c r="D3452" s="1228"/>
      <c r="E3452" s="1297"/>
      <c r="F3452" s="1223"/>
      <c r="G3452" s="1272"/>
      <c r="H3452" s="1298"/>
      <c r="I3452" s="1219"/>
      <c r="J3452" s="1846"/>
      <c r="K3452" s="1846"/>
      <c r="L3452" s="1846"/>
    </row>
    <row r="3453" spans="1:64">
      <c r="A3453" s="1197"/>
      <c r="B3453" s="1197"/>
      <c r="C3453" s="1795" t="s">
        <v>1139</v>
      </c>
      <c r="D3453" s="1228"/>
      <c r="E3453" s="1297"/>
      <c r="F3453" s="1223"/>
      <c r="G3453" s="1272"/>
      <c r="H3453" s="1298"/>
      <c r="I3453" s="1219"/>
      <c r="J3453" s="1846"/>
      <c r="K3453" s="1846"/>
      <c r="L3453" s="1846"/>
    </row>
    <row r="3454" spans="1:64" ht="25.5">
      <c r="A3454" s="1206"/>
      <c r="B3454" s="1206"/>
      <c r="C3454" s="1807" t="s">
        <v>1482</v>
      </c>
      <c r="D3454" s="1287">
        <v>10.5</v>
      </c>
      <c r="E3454" s="1304" t="s">
        <v>94</v>
      </c>
      <c r="F3454" s="1295">
        <v>300</v>
      </c>
      <c r="G3454" s="1289">
        <v>1</v>
      </c>
      <c r="H3454" s="1288" t="s">
        <v>94</v>
      </c>
      <c r="I3454" s="1211">
        <f t="shared" ref="I3454:I3458" si="806">IF(G3454="",D3454*F3454,(D3454*F3454/G3454))</f>
        <v>3150</v>
      </c>
      <c r="J3454" s="1301"/>
      <c r="K3454" s="1022"/>
      <c r="L3454" s="1022"/>
      <c r="M3454" s="1066"/>
      <c r="N3454" s="1066"/>
      <c r="O3454" s="1066"/>
      <c r="P3454" s="1066"/>
      <c r="Q3454" s="1066"/>
      <c r="R3454" s="1066"/>
      <c r="S3454" s="1066"/>
      <c r="T3454" s="1066"/>
      <c r="U3454" s="1066"/>
      <c r="V3454" s="1066"/>
      <c r="W3454" s="1066"/>
      <c r="X3454" s="1066"/>
      <c r="Y3454" s="1066"/>
      <c r="Z3454" s="1066"/>
      <c r="AA3454" s="1066"/>
      <c r="AB3454" s="1066"/>
      <c r="AC3454" s="1066"/>
      <c r="AD3454" s="1066"/>
      <c r="AE3454" s="1066"/>
      <c r="AF3454" s="1066"/>
      <c r="AG3454" s="1066"/>
      <c r="AH3454" s="1066"/>
      <c r="AI3454" s="1066"/>
      <c r="AJ3454" s="1066"/>
      <c r="AK3454" s="1066"/>
      <c r="AL3454" s="1066"/>
      <c r="AM3454" s="1066"/>
      <c r="AN3454" s="1066"/>
      <c r="AO3454" s="1066"/>
      <c r="AP3454" s="1066"/>
      <c r="AQ3454" s="1066"/>
      <c r="AR3454" s="1066"/>
      <c r="AS3454" s="1066"/>
      <c r="AT3454" s="1066"/>
      <c r="AU3454" s="1066"/>
      <c r="AV3454" s="1066"/>
      <c r="AW3454" s="1066"/>
      <c r="AX3454" s="1066"/>
      <c r="AY3454" s="1066"/>
      <c r="AZ3454" s="1066"/>
      <c r="BA3454" s="1066"/>
      <c r="BB3454" s="1066"/>
      <c r="BC3454" s="1066"/>
      <c r="BD3454" s="1066"/>
      <c r="BE3454" s="1066"/>
      <c r="BF3454" s="1066"/>
      <c r="BG3454" s="1066"/>
      <c r="BH3454" s="1066"/>
      <c r="BI3454" s="1066"/>
      <c r="BJ3454" s="1066"/>
      <c r="BK3454" s="1066"/>
      <c r="BL3454" s="1066"/>
    </row>
    <row r="3455" spans="1:64">
      <c r="A3455" s="1206"/>
      <c r="B3455" s="1206"/>
      <c r="C3455" s="1807" t="s">
        <v>1466</v>
      </c>
      <c r="D3455" s="1287">
        <v>0.12</v>
      </c>
      <c r="E3455" s="1304" t="s">
        <v>75</v>
      </c>
      <c r="F3455" s="1305">
        <f>LEAD!$N$13</f>
        <v>2453.91</v>
      </c>
      <c r="G3455" s="1289">
        <v>1</v>
      </c>
      <c r="H3455" s="1288" t="s">
        <v>75</v>
      </c>
      <c r="I3455" s="1211">
        <f t="shared" si="806"/>
        <v>294.46919999999994</v>
      </c>
      <c r="J3455" s="1022"/>
      <c r="K3455" s="1022"/>
      <c r="L3455" s="1022"/>
      <c r="M3455" s="1066"/>
      <c r="N3455" s="1066"/>
      <c r="O3455" s="1066"/>
      <c r="P3455" s="1066"/>
      <c r="Q3455" s="1066"/>
      <c r="R3455" s="1066"/>
      <c r="S3455" s="1066"/>
      <c r="T3455" s="1066"/>
      <c r="U3455" s="1066"/>
      <c r="V3455" s="1066"/>
      <c r="W3455" s="1066"/>
      <c r="X3455" s="1066"/>
      <c r="Y3455" s="1066"/>
      <c r="Z3455" s="1066"/>
      <c r="AA3455" s="1066"/>
      <c r="AB3455" s="1066"/>
      <c r="AC3455" s="1066"/>
      <c r="AD3455" s="1066"/>
      <c r="AE3455" s="1066"/>
      <c r="AF3455" s="1066"/>
      <c r="AG3455" s="1066"/>
      <c r="AH3455" s="1066"/>
      <c r="AI3455" s="1066"/>
      <c r="AJ3455" s="1066"/>
      <c r="AK3455" s="1066"/>
      <c r="AL3455" s="1066"/>
      <c r="AM3455" s="1066"/>
      <c r="AN3455" s="1066"/>
      <c r="AO3455" s="1066"/>
      <c r="AP3455" s="1066"/>
      <c r="AQ3455" s="1066"/>
      <c r="AR3455" s="1066"/>
      <c r="AS3455" s="1066"/>
      <c r="AT3455" s="1066"/>
      <c r="AU3455" s="1066"/>
      <c r="AV3455" s="1066"/>
      <c r="AW3455" s="1066"/>
      <c r="AX3455" s="1066"/>
      <c r="AY3455" s="1066"/>
      <c r="AZ3455" s="1066"/>
      <c r="BA3455" s="1066"/>
      <c r="BB3455" s="1066"/>
      <c r="BC3455" s="1066"/>
      <c r="BD3455" s="1066"/>
      <c r="BE3455" s="1066"/>
      <c r="BF3455" s="1066"/>
      <c r="BG3455" s="1066"/>
      <c r="BH3455" s="1066"/>
      <c r="BI3455" s="1066"/>
      <c r="BJ3455" s="1066"/>
      <c r="BK3455" s="1066"/>
      <c r="BL3455" s="1066"/>
    </row>
    <row r="3456" spans="1:64">
      <c r="A3456" s="1206"/>
      <c r="B3456" s="1206"/>
      <c r="C3456" s="1807" t="s">
        <v>1467</v>
      </c>
      <c r="D3456" s="1287">
        <v>34.56</v>
      </c>
      <c r="E3456" s="1304" t="s">
        <v>1110</v>
      </c>
      <c r="F3456" s="1211">
        <f>LEAD!$N$6</f>
        <v>5200</v>
      </c>
      <c r="G3456" s="1289">
        <v>1000</v>
      </c>
      <c r="H3456" s="1288" t="s">
        <v>1110</v>
      </c>
      <c r="I3456" s="1211">
        <f t="shared" si="806"/>
        <v>179.71199999999999</v>
      </c>
      <c r="J3456" s="1022"/>
      <c r="K3456" s="1022"/>
      <c r="L3456" s="1022"/>
      <c r="M3456" s="1066"/>
      <c r="N3456" s="1066"/>
      <c r="O3456" s="1066"/>
      <c r="P3456" s="1066"/>
      <c r="Q3456" s="1066"/>
      <c r="R3456" s="1066"/>
      <c r="S3456" s="1066"/>
      <c r="T3456" s="1066"/>
      <c r="U3456" s="1066"/>
      <c r="V3456" s="1066"/>
      <c r="W3456" s="1066"/>
      <c r="X3456" s="1066"/>
      <c r="Y3456" s="1066"/>
      <c r="Z3456" s="1066"/>
      <c r="AA3456" s="1066"/>
      <c r="AB3456" s="1066"/>
      <c r="AC3456" s="1066"/>
      <c r="AD3456" s="1066"/>
      <c r="AE3456" s="1066"/>
      <c r="AF3456" s="1066"/>
      <c r="AG3456" s="1066"/>
      <c r="AH3456" s="1066"/>
      <c r="AI3456" s="1066"/>
      <c r="AJ3456" s="1066"/>
      <c r="AK3456" s="1066"/>
      <c r="AL3456" s="1066"/>
      <c r="AM3456" s="1066"/>
      <c r="AN3456" s="1066"/>
      <c r="AO3456" s="1066"/>
      <c r="AP3456" s="1066"/>
      <c r="AQ3456" s="1066"/>
      <c r="AR3456" s="1066"/>
      <c r="AS3456" s="1066"/>
      <c r="AT3456" s="1066"/>
      <c r="AU3456" s="1066"/>
      <c r="AV3456" s="1066"/>
      <c r="AW3456" s="1066"/>
      <c r="AX3456" s="1066"/>
      <c r="AY3456" s="1066"/>
      <c r="AZ3456" s="1066"/>
      <c r="BA3456" s="1066"/>
      <c r="BB3456" s="1066"/>
      <c r="BC3456" s="1066"/>
      <c r="BD3456" s="1066"/>
      <c r="BE3456" s="1066"/>
      <c r="BF3456" s="1066"/>
      <c r="BG3456" s="1066"/>
      <c r="BH3456" s="1066"/>
      <c r="BI3456" s="1066"/>
      <c r="BJ3456" s="1066"/>
      <c r="BK3456" s="1066"/>
      <c r="BL3456" s="1066"/>
    </row>
    <row r="3457" spans="1:64">
      <c r="A3457" s="1206"/>
      <c r="B3457" s="1206"/>
      <c r="C3457" s="1807" t="s">
        <v>1398</v>
      </c>
      <c r="D3457" s="1287">
        <v>33</v>
      </c>
      <c r="E3457" s="1304" t="s">
        <v>1110</v>
      </c>
      <c r="F3457" s="1211">
        <f>LEAD!$N$6</f>
        <v>5200</v>
      </c>
      <c r="G3457" s="1289">
        <v>1000</v>
      </c>
      <c r="H3457" s="1288" t="s">
        <v>1110</v>
      </c>
      <c r="I3457" s="1211">
        <f t="shared" si="806"/>
        <v>171.6</v>
      </c>
      <c r="J3457" s="1022"/>
      <c r="K3457" s="1022"/>
      <c r="L3457" s="1022"/>
      <c r="M3457" s="1066"/>
      <c r="N3457" s="1066"/>
      <c r="O3457" s="1066"/>
      <c r="P3457" s="1066"/>
      <c r="Q3457" s="1066"/>
      <c r="R3457" s="1066"/>
      <c r="S3457" s="1066"/>
      <c r="T3457" s="1066"/>
      <c r="U3457" s="1066"/>
      <c r="V3457" s="1066"/>
      <c r="W3457" s="1066"/>
      <c r="X3457" s="1066"/>
      <c r="Y3457" s="1066"/>
      <c r="Z3457" s="1066"/>
      <c r="AA3457" s="1066"/>
      <c r="AB3457" s="1066"/>
      <c r="AC3457" s="1066"/>
      <c r="AD3457" s="1066"/>
      <c r="AE3457" s="1066"/>
      <c r="AF3457" s="1066"/>
      <c r="AG3457" s="1066"/>
      <c r="AH3457" s="1066"/>
      <c r="AI3457" s="1066"/>
      <c r="AJ3457" s="1066"/>
      <c r="AK3457" s="1066"/>
      <c r="AL3457" s="1066"/>
      <c r="AM3457" s="1066"/>
      <c r="AN3457" s="1066"/>
      <c r="AO3457" s="1066"/>
      <c r="AP3457" s="1066"/>
      <c r="AQ3457" s="1066"/>
      <c r="AR3457" s="1066"/>
      <c r="AS3457" s="1066"/>
      <c r="AT3457" s="1066"/>
      <c r="AU3457" s="1066"/>
      <c r="AV3457" s="1066"/>
      <c r="AW3457" s="1066"/>
      <c r="AX3457" s="1066"/>
      <c r="AY3457" s="1066"/>
      <c r="AZ3457" s="1066"/>
      <c r="BA3457" s="1066"/>
      <c r="BB3457" s="1066"/>
      <c r="BC3457" s="1066"/>
      <c r="BD3457" s="1066"/>
      <c r="BE3457" s="1066"/>
      <c r="BF3457" s="1066"/>
      <c r="BG3457" s="1066"/>
      <c r="BH3457" s="1066"/>
      <c r="BI3457" s="1066"/>
      <c r="BJ3457" s="1066"/>
      <c r="BK3457" s="1066"/>
      <c r="BL3457" s="1066"/>
    </row>
    <row r="3458" spans="1:64">
      <c r="A3458" s="1206"/>
      <c r="B3458" s="1206"/>
      <c r="C3458" s="1807" t="s">
        <v>1483</v>
      </c>
      <c r="D3458" s="1287">
        <v>6</v>
      </c>
      <c r="E3458" s="1304" t="s">
        <v>1110</v>
      </c>
      <c r="F3458" s="1211">
        <f>'Civil-SOR'!$G$185</f>
        <v>34</v>
      </c>
      <c r="G3458" s="1289">
        <v>1</v>
      </c>
      <c r="H3458" s="1288" t="s">
        <v>97</v>
      </c>
      <c r="I3458" s="1211">
        <f t="shared" si="806"/>
        <v>204</v>
      </c>
      <c r="J3458" s="1022"/>
      <c r="K3458" s="1022"/>
      <c r="L3458" s="1022"/>
      <c r="M3458" s="1066"/>
      <c r="N3458" s="1066"/>
      <c r="O3458" s="1066"/>
      <c r="P3458" s="1066"/>
      <c r="Q3458" s="1066"/>
      <c r="R3458" s="1066"/>
      <c r="S3458" s="1066"/>
      <c r="T3458" s="1066"/>
      <c r="U3458" s="1066"/>
      <c r="V3458" s="1066"/>
      <c r="W3458" s="1066"/>
      <c r="X3458" s="1066"/>
      <c r="Y3458" s="1066"/>
      <c r="Z3458" s="1066"/>
      <c r="AA3458" s="1066"/>
      <c r="AB3458" s="1066"/>
      <c r="AC3458" s="1066"/>
      <c r="AD3458" s="1066"/>
      <c r="AE3458" s="1066"/>
      <c r="AF3458" s="1066"/>
      <c r="AG3458" s="1066"/>
      <c r="AH3458" s="1066"/>
      <c r="AI3458" s="1066"/>
      <c r="AJ3458" s="1066"/>
      <c r="AK3458" s="1066"/>
      <c r="AL3458" s="1066"/>
      <c r="AM3458" s="1066"/>
      <c r="AN3458" s="1066"/>
      <c r="AO3458" s="1066"/>
      <c r="AP3458" s="1066"/>
      <c r="AQ3458" s="1066"/>
      <c r="AR3458" s="1066"/>
      <c r="AS3458" s="1066"/>
      <c r="AT3458" s="1066"/>
      <c r="AU3458" s="1066"/>
      <c r="AV3458" s="1066"/>
      <c r="AW3458" s="1066"/>
      <c r="AX3458" s="1066"/>
      <c r="AY3458" s="1066"/>
      <c r="AZ3458" s="1066"/>
      <c r="BA3458" s="1066"/>
      <c r="BB3458" s="1066"/>
      <c r="BC3458" s="1066"/>
      <c r="BD3458" s="1066"/>
      <c r="BE3458" s="1066"/>
      <c r="BF3458" s="1066"/>
      <c r="BG3458" s="1066"/>
      <c r="BH3458" s="1066"/>
      <c r="BI3458" s="1066"/>
      <c r="BJ3458" s="1066"/>
      <c r="BK3458" s="1066"/>
      <c r="BL3458" s="1066"/>
    </row>
    <row r="3459" spans="1:64">
      <c r="A3459" s="1206"/>
      <c r="B3459" s="1206"/>
      <c r="C3459" s="1795" t="s">
        <v>1468</v>
      </c>
      <c r="D3459" s="1287"/>
      <c r="E3459" s="1304"/>
      <c r="F3459" s="1211"/>
      <c r="G3459" s="1289"/>
      <c r="H3459" s="1306"/>
      <c r="I3459" s="1307"/>
      <c r="J3459" s="1022"/>
      <c r="K3459" s="1022"/>
      <c r="L3459" s="1022"/>
      <c r="M3459" s="1066"/>
      <c r="N3459" s="1066"/>
      <c r="O3459" s="1066"/>
      <c r="P3459" s="1066"/>
      <c r="Q3459" s="1066"/>
      <c r="R3459" s="1066"/>
      <c r="S3459" s="1066"/>
      <c r="T3459" s="1066"/>
      <c r="U3459" s="1066"/>
      <c r="V3459" s="1066"/>
      <c r="W3459" s="1066"/>
      <c r="X3459" s="1066"/>
      <c r="Y3459" s="1066"/>
      <c r="Z3459" s="1066"/>
      <c r="AA3459" s="1066"/>
      <c r="AB3459" s="1066"/>
      <c r="AC3459" s="1066"/>
      <c r="AD3459" s="1066"/>
      <c r="AE3459" s="1066"/>
      <c r="AF3459" s="1066"/>
      <c r="AG3459" s="1066"/>
      <c r="AH3459" s="1066"/>
      <c r="AI3459" s="1066"/>
      <c r="AJ3459" s="1066"/>
      <c r="AK3459" s="1066"/>
      <c r="AL3459" s="1066"/>
      <c r="AM3459" s="1066"/>
      <c r="AN3459" s="1066"/>
      <c r="AO3459" s="1066"/>
      <c r="AP3459" s="1066"/>
      <c r="AQ3459" s="1066"/>
      <c r="AR3459" s="1066"/>
      <c r="AS3459" s="1066"/>
      <c r="AT3459" s="1066"/>
      <c r="AU3459" s="1066"/>
      <c r="AV3459" s="1066"/>
      <c r="AW3459" s="1066"/>
      <c r="AX3459" s="1066"/>
      <c r="AY3459" s="1066"/>
      <c r="AZ3459" s="1066"/>
      <c r="BA3459" s="1066"/>
      <c r="BB3459" s="1066"/>
      <c r="BC3459" s="1066"/>
      <c r="BD3459" s="1066"/>
      <c r="BE3459" s="1066"/>
      <c r="BF3459" s="1066"/>
      <c r="BG3459" s="1066"/>
      <c r="BH3459" s="1066"/>
      <c r="BI3459" s="1066"/>
      <c r="BJ3459" s="1066"/>
      <c r="BK3459" s="1066"/>
      <c r="BL3459" s="1066"/>
    </row>
    <row r="3460" spans="1:64">
      <c r="A3460" s="1206"/>
      <c r="B3460" s="1206"/>
      <c r="C3460" s="1807" t="s">
        <v>1299</v>
      </c>
      <c r="D3460" s="1287">
        <v>0.77</v>
      </c>
      <c r="E3460" s="1304" t="s">
        <v>36</v>
      </c>
      <c r="F3460" s="1211">
        <f>'Civil-SOR'!$G$293</f>
        <v>580</v>
      </c>
      <c r="G3460" s="1289">
        <v>1</v>
      </c>
      <c r="H3460" s="1288" t="s">
        <v>501</v>
      </c>
      <c r="I3460" s="1211">
        <f t="shared" ref="I3460:I3463" si="807">IF(G3460="",D3460*F3460,(D3460*F3460/G3460))</f>
        <v>446.6</v>
      </c>
      <c r="J3460" s="1022"/>
      <c r="K3460" s="1022"/>
      <c r="L3460" s="1022"/>
      <c r="M3460" s="1066"/>
      <c r="N3460" s="1066"/>
      <c r="O3460" s="1066"/>
      <c r="P3460" s="1066"/>
      <c r="Q3460" s="1066"/>
      <c r="R3460" s="1066"/>
      <c r="S3460" s="1066"/>
      <c r="T3460" s="1066"/>
      <c r="U3460" s="1066"/>
      <c r="V3460" s="1066"/>
      <c r="W3460" s="1066"/>
      <c r="X3460" s="1066"/>
      <c r="Y3460" s="1066"/>
      <c r="Z3460" s="1066"/>
      <c r="AA3460" s="1066"/>
      <c r="AB3460" s="1066"/>
      <c r="AC3460" s="1066"/>
      <c r="AD3460" s="1066"/>
      <c r="AE3460" s="1066"/>
      <c r="AF3460" s="1066"/>
      <c r="AG3460" s="1066"/>
      <c r="AH3460" s="1066"/>
      <c r="AI3460" s="1066"/>
      <c r="AJ3460" s="1066"/>
      <c r="AK3460" s="1066"/>
      <c r="AL3460" s="1066"/>
      <c r="AM3460" s="1066"/>
      <c r="AN3460" s="1066"/>
      <c r="AO3460" s="1066"/>
      <c r="AP3460" s="1066"/>
      <c r="AQ3460" s="1066"/>
      <c r="AR3460" s="1066"/>
      <c r="AS3460" s="1066"/>
      <c r="AT3460" s="1066"/>
      <c r="AU3460" s="1066"/>
      <c r="AV3460" s="1066"/>
      <c r="AW3460" s="1066"/>
      <c r="AX3460" s="1066"/>
      <c r="AY3460" s="1066"/>
      <c r="AZ3460" s="1066"/>
      <c r="BA3460" s="1066"/>
      <c r="BB3460" s="1066"/>
      <c r="BC3460" s="1066"/>
      <c r="BD3460" s="1066"/>
      <c r="BE3460" s="1066"/>
      <c r="BF3460" s="1066"/>
      <c r="BG3460" s="1066"/>
      <c r="BH3460" s="1066"/>
      <c r="BI3460" s="1066"/>
      <c r="BJ3460" s="1066"/>
      <c r="BK3460" s="1066"/>
      <c r="BL3460" s="1066"/>
    </row>
    <row r="3461" spans="1:64">
      <c r="A3461" s="1206"/>
      <c r="B3461" s="1206"/>
      <c r="C3461" s="1807" t="s">
        <v>1031</v>
      </c>
      <c r="D3461" s="1287">
        <v>0.8</v>
      </c>
      <c r="E3461" s="1304" t="s">
        <v>36</v>
      </c>
      <c r="F3461" s="1211">
        <f>'Civil-SOR'!$G$307</f>
        <v>520</v>
      </c>
      <c r="G3461" s="1289">
        <v>1</v>
      </c>
      <c r="H3461" s="1288" t="s">
        <v>501</v>
      </c>
      <c r="I3461" s="1211">
        <f t="shared" si="807"/>
        <v>416</v>
      </c>
      <c r="J3461" s="1022"/>
      <c r="K3461" s="1022"/>
      <c r="L3461" s="1022"/>
      <c r="M3461" s="1066"/>
      <c r="N3461" s="1066"/>
      <c r="O3461" s="1066"/>
      <c r="P3461" s="1066"/>
      <c r="Q3461" s="1066"/>
      <c r="R3461" s="1066"/>
      <c r="S3461" s="1066"/>
      <c r="T3461" s="1066"/>
      <c r="U3461" s="1066"/>
      <c r="V3461" s="1066"/>
      <c r="W3461" s="1066"/>
      <c r="X3461" s="1066"/>
      <c r="Y3461" s="1066"/>
      <c r="Z3461" s="1066"/>
      <c r="AA3461" s="1066"/>
      <c r="AB3461" s="1066"/>
      <c r="AC3461" s="1066"/>
      <c r="AD3461" s="1066"/>
      <c r="AE3461" s="1066"/>
      <c r="AF3461" s="1066"/>
      <c r="AG3461" s="1066"/>
      <c r="AH3461" s="1066"/>
      <c r="AI3461" s="1066"/>
      <c r="AJ3461" s="1066"/>
      <c r="AK3461" s="1066"/>
      <c r="AL3461" s="1066"/>
      <c r="AM3461" s="1066"/>
      <c r="AN3461" s="1066"/>
      <c r="AO3461" s="1066"/>
      <c r="AP3461" s="1066"/>
      <c r="AQ3461" s="1066"/>
      <c r="AR3461" s="1066"/>
      <c r="AS3461" s="1066"/>
      <c r="AT3461" s="1066"/>
      <c r="AU3461" s="1066"/>
      <c r="AV3461" s="1066"/>
      <c r="AW3461" s="1066"/>
      <c r="AX3461" s="1066"/>
      <c r="AY3461" s="1066"/>
      <c r="AZ3461" s="1066"/>
      <c r="BA3461" s="1066"/>
      <c r="BB3461" s="1066"/>
      <c r="BC3461" s="1066"/>
      <c r="BD3461" s="1066"/>
      <c r="BE3461" s="1066"/>
      <c r="BF3461" s="1066"/>
      <c r="BG3461" s="1066"/>
      <c r="BH3461" s="1066"/>
      <c r="BI3461" s="1066"/>
      <c r="BJ3461" s="1066"/>
      <c r="BK3461" s="1066"/>
      <c r="BL3461" s="1066"/>
    </row>
    <row r="3462" spans="1:64">
      <c r="A3462" s="1206"/>
      <c r="B3462" s="1206"/>
      <c r="C3462" s="1208" t="str">
        <f>Input!$C$47</f>
        <v>Add for MA @ 40%</v>
      </c>
      <c r="D3462" s="1212">
        <f>Input!$D$47</f>
        <v>0.4</v>
      </c>
      <c r="E3462" s="1308"/>
      <c r="F3462" s="1211">
        <f>SUM(I3460:I3461)</f>
        <v>862.6</v>
      </c>
      <c r="G3462" s="1210"/>
      <c r="H3462" s="1813"/>
      <c r="I3462" s="1211">
        <f t="shared" si="807"/>
        <v>345.04</v>
      </c>
      <c r="J3462" s="1022"/>
      <c r="K3462" s="1022"/>
      <c r="L3462" s="1022"/>
      <c r="M3462" s="1066"/>
      <c r="N3462" s="1066"/>
      <c r="O3462" s="1066"/>
      <c r="P3462" s="1066"/>
      <c r="Q3462" s="1066"/>
      <c r="R3462" s="1066"/>
      <c r="S3462" s="1066"/>
      <c r="T3462" s="1066"/>
      <c r="U3462" s="1066"/>
      <c r="V3462" s="1066"/>
      <c r="W3462" s="1066"/>
      <c r="X3462" s="1066"/>
      <c r="Y3462" s="1066"/>
      <c r="Z3462" s="1066"/>
      <c r="AA3462" s="1066"/>
      <c r="AB3462" s="1066"/>
      <c r="AC3462" s="1066"/>
      <c r="AD3462" s="1066"/>
      <c r="AE3462" s="1066"/>
      <c r="AF3462" s="1066"/>
      <c r="AG3462" s="1066"/>
      <c r="AH3462" s="1066"/>
      <c r="AI3462" s="1066"/>
      <c r="AJ3462" s="1066"/>
      <c r="AK3462" s="1066"/>
      <c r="AL3462" s="1066"/>
      <c r="AM3462" s="1066"/>
      <c r="AN3462" s="1066"/>
      <c r="AO3462" s="1066"/>
      <c r="AP3462" s="1066"/>
      <c r="AQ3462" s="1066"/>
      <c r="AR3462" s="1066"/>
      <c r="AS3462" s="1066"/>
      <c r="AT3462" s="1066"/>
      <c r="AU3462" s="1066"/>
      <c r="AV3462" s="1066"/>
      <c r="AW3462" s="1066"/>
      <c r="AX3462" s="1066"/>
      <c r="AY3462" s="1066"/>
      <c r="AZ3462" s="1066"/>
      <c r="BA3462" s="1066"/>
      <c r="BB3462" s="1066"/>
      <c r="BC3462" s="1066"/>
      <c r="BD3462" s="1066"/>
      <c r="BE3462" s="1066"/>
      <c r="BF3462" s="1066"/>
      <c r="BG3462" s="1066"/>
      <c r="BH3462" s="1066"/>
      <c r="BI3462" s="1066"/>
      <c r="BJ3462" s="1066"/>
      <c r="BK3462" s="1066"/>
      <c r="BL3462" s="1066"/>
    </row>
    <row r="3463" spans="1:64">
      <c r="A3463" s="1206"/>
      <c r="B3463" s="1206"/>
      <c r="C3463" s="1807" t="s">
        <v>1301</v>
      </c>
      <c r="D3463" s="1287">
        <v>0.01</v>
      </c>
      <c r="E3463" s="1304"/>
      <c r="F3463" s="1211">
        <f>SUM(I3454:I3462)</f>
        <v>5207.4211999999998</v>
      </c>
      <c r="G3463" s="1289"/>
      <c r="H3463" s="1288"/>
      <c r="I3463" s="1211">
        <f t="shared" si="807"/>
        <v>52.074211999999996</v>
      </c>
      <c r="J3463" s="1022"/>
      <c r="K3463" s="1022"/>
      <c r="L3463" s="1022"/>
      <c r="M3463" s="1066"/>
      <c r="N3463" s="1066"/>
      <c r="O3463" s="1066"/>
      <c r="P3463" s="1066"/>
      <c r="Q3463" s="1066"/>
      <c r="R3463" s="1066"/>
      <c r="S3463" s="1066"/>
      <c r="T3463" s="1066"/>
      <c r="U3463" s="1066"/>
      <c r="V3463" s="1066"/>
      <c r="W3463" s="1066"/>
      <c r="X3463" s="1066"/>
      <c r="Y3463" s="1066"/>
      <c r="Z3463" s="1066"/>
      <c r="AA3463" s="1066"/>
      <c r="AB3463" s="1066"/>
      <c r="AC3463" s="1066"/>
      <c r="AD3463" s="1066"/>
      <c r="AE3463" s="1066"/>
      <c r="AF3463" s="1066"/>
      <c r="AG3463" s="1066"/>
      <c r="AH3463" s="1066"/>
      <c r="AI3463" s="1066"/>
      <c r="AJ3463" s="1066"/>
      <c r="AK3463" s="1066"/>
      <c r="AL3463" s="1066"/>
      <c r="AM3463" s="1066"/>
      <c r="AN3463" s="1066"/>
      <c r="AO3463" s="1066"/>
      <c r="AP3463" s="1066"/>
      <c r="AQ3463" s="1066"/>
      <c r="AR3463" s="1066"/>
      <c r="AS3463" s="1066"/>
      <c r="AT3463" s="1066"/>
      <c r="AU3463" s="1066"/>
      <c r="AV3463" s="1066"/>
      <c r="AW3463" s="1066"/>
      <c r="AX3463" s="1066"/>
      <c r="AY3463" s="1066"/>
      <c r="AZ3463" s="1066"/>
      <c r="BA3463" s="1066"/>
      <c r="BB3463" s="1066"/>
      <c r="BC3463" s="1066"/>
      <c r="BD3463" s="1066"/>
      <c r="BE3463" s="1066"/>
      <c r="BF3463" s="1066"/>
      <c r="BG3463" s="1066"/>
      <c r="BH3463" s="1066"/>
      <c r="BI3463" s="1066"/>
      <c r="BJ3463" s="1066"/>
      <c r="BK3463" s="1066"/>
      <c r="BL3463" s="1066"/>
    </row>
    <row r="3464" spans="1:64" s="997" customFormat="1">
      <c r="A3464" s="1802"/>
      <c r="B3464" s="1802"/>
      <c r="C3464" s="1796" t="s">
        <v>1302</v>
      </c>
      <c r="D3464" s="1281"/>
      <c r="E3464" s="1281"/>
      <c r="F3464" s="1283"/>
      <c r="G3464" s="1215"/>
      <c r="H3464" s="1309"/>
      <c r="I3464" s="1285">
        <f>SUM(I3454:I3463)</f>
        <v>5259.4954120000002</v>
      </c>
      <c r="J3464" s="996"/>
      <c r="K3464" s="996"/>
      <c r="L3464" s="996"/>
    </row>
    <row r="3465" spans="1:64">
      <c r="A3465" s="1197"/>
      <c r="B3465" s="1197"/>
      <c r="C3465" s="1310"/>
      <c r="D3465" s="1227"/>
      <c r="E3465" s="1228"/>
      <c r="F3465" s="1223"/>
      <c r="G3465" s="1199"/>
      <c r="H3465" s="1229"/>
      <c r="I3465" s="1201"/>
      <c r="J3465" s="1846"/>
      <c r="K3465" s="1846"/>
      <c r="L3465" s="1846"/>
    </row>
    <row r="3466" spans="1:64" s="997" customFormat="1">
      <c r="A3466" s="1802"/>
      <c r="B3466" s="1802"/>
      <c r="C3466" s="1796" t="s">
        <v>1217</v>
      </c>
      <c r="D3466" s="1218" t="s">
        <v>1223</v>
      </c>
      <c r="E3466" s="1225" t="s">
        <v>1207</v>
      </c>
      <c r="F3466" s="1299" t="s">
        <v>1208</v>
      </c>
      <c r="G3466" s="1218" t="s">
        <v>1291</v>
      </c>
      <c r="H3466" s="1218" t="s">
        <v>1292</v>
      </c>
      <c r="I3466" s="1218" t="s">
        <v>1293</v>
      </c>
      <c r="J3466" s="1826"/>
      <c r="K3466" s="1826" t="s">
        <v>1358</v>
      </c>
      <c r="L3466" s="1826" t="s">
        <v>1359</v>
      </c>
    </row>
    <row r="3467" spans="1:64">
      <c r="A3467" s="1197"/>
      <c r="B3467" s="1197"/>
      <c r="C3467" s="1807" t="s">
        <v>1317</v>
      </c>
      <c r="D3467" s="1223">
        <f t="shared" ref="D3467:L3467" si="808">$I$3464</f>
        <v>5259.4954120000002</v>
      </c>
      <c r="E3467" s="1223">
        <f t="shared" si="808"/>
        <v>5259.4954120000002</v>
      </c>
      <c r="F3467" s="1223">
        <f t="shared" si="808"/>
        <v>5259.4954120000002</v>
      </c>
      <c r="G3467" s="1223">
        <f t="shared" si="808"/>
        <v>5259.4954120000002</v>
      </c>
      <c r="H3467" s="1223">
        <f t="shared" si="808"/>
        <v>5259.4954120000002</v>
      </c>
      <c r="I3467" s="1223">
        <f t="shared" si="808"/>
        <v>5259.4954120000002</v>
      </c>
      <c r="J3467" s="1001"/>
      <c r="K3467" s="1001">
        <f t="shared" si="808"/>
        <v>5259.4954120000002</v>
      </c>
      <c r="L3467" s="1001">
        <f t="shared" si="808"/>
        <v>5259.4954120000002</v>
      </c>
    </row>
    <row r="3468" spans="1:64">
      <c r="A3468" s="1197"/>
      <c r="B3468" s="1197"/>
      <c r="C3468" s="1807" t="s">
        <v>1253</v>
      </c>
      <c r="D3468" s="1223">
        <v>0</v>
      </c>
      <c r="E3468" s="1223">
        <f>ROUND($F$3462*10%,2)</f>
        <v>86.26</v>
      </c>
      <c r="F3468" s="1223">
        <f>ROUND($F$3462*20%,2)</f>
        <v>172.52</v>
      </c>
      <c r="G3468" s="1223">
        <f>ROUND($F$3462*30%,2)</f>
        <v>258.77999999999997</v>
      </c>
      <c r="H3468" s="1223">
        <f>ROUND($F$3462*40%,2)</f>
        <v>345.04</v>
      </c>
      <c r="I3468" s="1223">
        <f>ROUND($F$3462*50%,2)</f>
        <v>431.3</v>
      </c>
      <c r="J3468" s="1001"/>
      <c r="K3468" s="1001">
        <f>ROUND($F$3462*70%,2)</f>
        <v>603.82000000000005</v>
      </c>
      <c r="L3468" s="1001">
        <f>ROUND($F$3462*80%,2)</f>
        <v>690.08</v>
      </c>
    </row>
    <row r="3469" spans="1:64">
      <c r="A3469" s="1197"/>
      <c r="B3469" s="1197"/>
      <c r="C3469" s="1807" t="str">
        <f>Input!$C$47</f>
        <v>Add for MA @ 40%</v>
      </c>
      <c r="D3469" s="1223">
        <f>D3468*Input!$D$47</f>
        <v>0</v>
      </c>
      <c r="E3469" s="1223">
        <f>E3468*Input!$D$47</f>
        <v>34.504000000000005</v>
      </c>
      <c r="F3469" s="1223">
        <f>F3468*Input!$D$47</f>
        <v>69.00800000000001</v>
      </c>
      <c r="G3469" s="1223">
        <f>G3468*Input!$D$47</f>
        <v>103.512</v>
      </c>
      <c r="H3469" s="1223">
        <f>H3468*Input!$D$47</f>
        <v>138.01600000000002</v>
      </c>
      <c r="I3469" s="1223">
        <f>I3468*Input!$D$47</f>
        <v>172.52</v>
      </c>
      <c r="J3469" s="1001"/>
      <c r="K3469" s="1001">
        <f>K3468*Input!$D$47</f>
        <v>241.52800000000002</v>
      </c>
      <c r="L3469" s="1001">
        <f>L3468*Input!$D$47</f>
        <v>276.03200000000004</v>
      </c>
    </row>
    <row r="3470" spans="1:64">
      <c r="A3470" s="1197"/>
      <c r="B3470" s="1197"/>
      <c r="C3470" s="1199"/>
      <c r="D3470" s="1223">
        <f t="shared" ref="D3470:L3470" si="809">SUM(D3467:D3469)</f>
        <v>5259.4954120000002</v>
      </c>
      <c r="E3470" s="1223">
        <f t="shared" si="809"/>
        <v>5380.2594120000003</v>
      </c>
      <c r="F3470" s="1223">
        <f t="shared" si="809"/>
        <v>5501.0234120000005</v>
      </c>
      <c r="G3470" s="1223">
        <f t="shared" si="809"/>
        <v>5621.7874119999997</v>
      </c>
      <c r="H3470" s="1223">
        <f t="shared" si="809"/>
        <v>5742.5514119999998</v>
      </c>
      <c r="I3470" s="1223">
        <f t="shared" si="809"/>
        <v>5863.3154120000008</v>
      </c>
      <c r="J3470" s="1001"/>
      <c r="K3470" s="1001">
        <f t="shared" si="809"/>
        <v>6104.8434120000002</v>
      </c>
      <c r="L3470" s="1001">
        <f t="shared" si="809"/>
        <v>6225.6074120000003</v>
      </c>
    </row>
    <row r="3471" spans="1:64">
      <c r="A3471" s="1197"/>
      <c r="B3471" s="1197"/>
      <c r="C3471" s="1807" t="str">
        <f>Input!$C$48</f>
        <v>Overheads &amp; Contractors Profit @ 13.615%</v>
      </c>
      <c r="D3471" s="1223">
        <f>ROUND(D3470*Input!$D$48,2)</f>
        <v>716.08</v>
      </c>
      <c r="E3471" s="1223">
        <f>ROUND(E3470*Input!$D$48,2)</f>
        <v>732.52</v>
      </c>
      <c r="F3471" s="1223">
        <f>ROUND(F3470*Input!$D$48,2)</f>
        <v>748.96</v>
      </c>
      <c r="G3471" s="1223">
        <f>ROUND(G3470*Input!$D$48,2)</f>
        <v>765.41</v>
      </c>
      <c r="H3471" s="1223">
        <f>ROUND(H3470*Input!$D$48,2)</f>
        <v>781.85</v>
      </c>
      <c r="I3471" s="1223">
        <f>ROUND(I3470*Input!$D$48,2)</f>
        <v>798.29</v>
      </c>
      <c r="J3471" s="1001"/>
      <c r="K3471" s="1001">
        <f>ROUND(K3470*Input!$D$48,2)</f>
        <v>831.17</v>
      </c>
      <c r="L3471" s="1001">
        <f>ROUND(L3470*Input!$D$48,2)</f>
        <v>847.62</v>
      </c>
    </row>
    <row r="3472" spans="1:64">
      <c r="A3472" s="1197"/>
      <c r="B3472" s="1197"/>
      <c r="C3472" s="1795" t="s">
        <v>1302</v>
      </c>
      <c r="D3472" s="1223">
        <f t="shared" ref="D3472:L3472" si="810">SUM(D3470:D3471)</f>
        <v>5975.5754120000001</v>
      </c>
      <c r="E3472" s="1223">
        <f t="shared" si="810"/>
        <v>6112.7794119999999</v>
      </c>
      <c r="F3472" s="1223">
        <f t="shared" si="810"/>
        <v>6249.9834120000005</v>
      </c>
      <c r="G3472" s="1223">
        <f t="shared" si="810"/>
        <v>6387.1974119999995</v>
      </c>
      <c r="H3472" s="1223">
        <f t="shared" si="810"/>
        <v>6524.4014120000002</v>
      </c>
      <c r="I3472" s="1223">
        <f t="shared" si="810"/>
        <v>6661.6054120000008</v>
      </c>
      <c r="J3472" s="1001"/>
      <c r="K3472" s="1001">
        <f t="shared" si="810"/>
        <v>6936.0134120000002</v>
      </c>
      <c r="L3472" s="1001">
        <f t="shared" si="810"/>
        <v>7073.2274120000002</v>
      </c>
    </row>
    <row r="3473" spans="1:12">
      <c r="A3473" s="1197"/>
      <c r="B3473" s="1197"/>
      <c r="C3473" s="1795" t="s">
        <v>1288</v>
      </c>
      <c r="D3473" s="1220">
        <f t="shared" ref="D3473:L3473" si="811">D3472*0.01</f>
        <v>59.755754120000006</v>
      </c>
      <c r="E3473" s="1220">
        <f t="shared" si="811"/>
        <v>61.127794119999997</v>
      </c>
      <c r="F3473" s="1220">
        <f t="shared" si="811"/>
        <v>62.49983412000001</v>
      </c>
      <c r="G3473" s="1220">
        <f t="shared" si="811"/>
        <v>63.871974119999997</v>
      </c>
      <c r="H3473" s="1220">
        <f t="shared" si="811"/>
        <v>65.244014120000003</v>
      </c>
      <c r="I3473" s="1220">
        <f t="shared" si="811"/>
        <v>66.616054120000015</v>
      </c>
      <c r="J3473" s="1009"/>
      <c r="K3473" s="1009">
        <f t="shared" si="811"/>
        <v>69.360134119999998</v>
      </c>
      <c r="L3473" s="1009">
        <f t="shared" si="811"/>
        <v>70.73227412</v>
      </c>
    </row>
    <row r="3474" spans="1:12" s="997" customFormat="1">
      <c r="A3474" s="1802"/>
      <c r="B3474" s="1802"/>
      <c r="C3474" s="1224" t="s">
        <v>1034</v>
      </c>
      <c r="D3474" s="1225">
        <f t="shared" ref="D3474:L3474" si="812">ROUND(D3473,0)</f>
        <v>60</v>
      </c>
      <c r="E3474" s="1225">
        <f t="shared" si="812"/>
        <v>61</v>
      </c>
      <c r="F3474" s="1225">
        <f t="shared" si="812"/>
        <v>62</v>
      </c>
      <c r="G3474" s="1225">
        <f t="shared" si="812"/>
        <v>64</v>
      </c>
      <c r="H3474" s="1225">
        <f t="shared" si="812"/>
        <v>65</v>
      </c>
      <c r="I3474" s="1225">
        <f t="shared" si="812"/>
        <v>67</v>
      </c>
      <c r="J3474" s="999"/>
      <c r="K3474" s="999">
        <f t="shared" si="812"/>
        <v>69</v>
      </c>
      <c r="L3474" s="999">
        <f t="shared" si="812"/>
        <v>71</v>
      </c>
    </row>
    <row r="3475" spans="1:12">
      <c r="A3475" s="1197"/>
      <c r="B3475" s="1197"/>
      <c r="C3475" s="1310"/>
      <c r="D3475" s="1227"/>
      <c r="E3475" s="1228"/>
      <c r="F3475" s="1223"/>
      <c r="G3475" s="1199"/>
      <c r="H3475" s="1229"/>
      <c r="I3475" s="1201"/>
      <c r="J3475" s="1846"/>
      <c r="K3475" s="1846"/>
      <c r="L3475" s="1846"/>
    </row>
    <row r="3476" spans="1:12" ht="89.65" customHeight="1">
      <c r="A3476" s="1197">
        <f>1+A3318</f>
        <v>40</v>
      </c>
      <c r="B3476" s="1197"/>
      <c r="C3476" s="2031" t="s">
        <v>3594</v>
      </c>
      <c r="D3476" s="2032"/>
      <c r="E3476" s="2032"/>
      <c r="F3476" s="2032"/>
      <c r="G3476" s="2032"/>
      <c r="H3476" s="2032"/>
      <c r="I3476" s="2033"/>
      <c r="J3476" s="1846"/>
      <c r="K3476" s="1846"/>
      <c r="L3476" s="1846"/>
    </row>
    <row r="3477" spans="1:12">
      <c r="A3477" s="1197"/>
      <c r="B3477" s="1197"/>
      <c r="C3477" s="1198" t="s">
        <v>1484</v>
      </c>
      <c r="D3477" s="1228"/>
      <c r="E3477" s="1297"/>
      <c r="F3477" s="1223"/>
      <c r="G3477" s="1272"/>
      <c r="H3477" s="1298"/>
      <c r="I3477" s="1219"/>
      <c r="J3477" s="1846"/>
      <c r="K3477" s="1846"/>
      <c r="L3477" s="1846"/>
    </row>
    <row r="3478" spans="1:12">
      <c r="A3478" s="1197"/>
      <c r="B3478" s="1197"/>
      <c r="C3478" s="1795" t="s">
        <v>1464</v>
      </c>
      <c r="D3478" s="1228"/>
      <c r="E3478" s="1297"/>
      <c r="F3478" s="1223"/>
      <c r="G3478" s="1272"/>
      <c r="H3478" s="1298"/>
      <c r="I3478" s="1219"/>
      <c r="J3478" s="1846"/>
      <c r="K3478" s="1846"/>
      <c r="L3478" s="1846"/>
    </row>
    <row r="3479" spans="1:12">
      <c r="A3479" s="1197"/>
      <c r="B3479" s="1197"/>
      <c r="C3479" s="1807" t="s">
        <v>1485</v>
      </c>
      <c r="D3479" s="1228">
        <v>10.5</v>
      </c>
      <c r="E3479" s="1297" t="s">
        <v>94</v>
      </c>
      <c r="F3479" s="1223">
        <f>+'Civil-SOR'!$G$20</f>
        <v>578</v>
      </c>
      <c r="G3479" s="1272">
        <v>1</v>
      </c>
      <c r="H3479" s="1271" t="s">
        <v>94</v>
      </c>
      <c r="I3479" s="1205">
        <f t="shared" ref="I3479:I3483" si="813">IF(G3479="",D3479*F3479,(D3479*F3479/G3479))</f>
        <v>6069</v>
      </c>
      <c r="J3479" s="1846"/>
      <c r="K3479" s="1846"/>
      <c r="L3479" s="1846"/>
    </row>
    <row r="3480" spans="1:12">
      <c r="A3480" s="1197"/>
      <c r="B3480" s="1197"/>
      <c r="C3480" s="1807" t="s">
        <v>1466</v>
      </c>
      <c r="D3480" s="1228">
        <v>0.12</v>
      </c>
      <c r="E3480" s="1297" t="s">
        <v>75</v>
      </c>
      <c r="F3480" s="1223">
        <f>LEAD!$N$13</f>
        <v>2453.91</v>
      </c>
      <c r="G3480" s="1272">
        <v>1</v>
      </c>
      <c r="H3480" s="1271" t="s">
        <v>75</v>
      </c>
      <c r="I3480" s="1205">
        <f t="shared" si="813"/>
        <v>294.46919999999994</v>
      </c>
      <c r="J3480" s="1846"/>
      <c r="K3480" s="1846"/>
      <c r="L3480" s="1846"/>
    </row>
    <row r="3481" spans="1:12">
      <c r="A3481" s="1197"/>
      <c r="B3481" s="1197"/>
      <c r="C3481" s="1807" t="s">
        <v>1467</v>
      </c>
      <c r="D3481" s="1228">
        <v>34.56</v>
      </c>
      <c r="E3481" s="1297" t="s">
        <v>1110</v>
      </c>
      <c r="F3481" s="1223">
        <f>LEAD!$N$6</f>
        <v>5200</v>
      </c>
      <c r="G3481" s="1272">
        <v>1000</v>
      </c>
      <c r="H3481" s="1271" t="s">
        <v>1110</v>
      </c>
      <c r="I3481" s="1205">
        <f t="shared" si="813"/>
        <v>179.71199999999999</v>
      </c>
      <c r="J3481" s="1846"/>
      <c r="K3481" s="1846"/>
      <c r="L3481" s="1846"/>
    </row>
    <row r="3482" spans="1:12">
      <c r="A3482" s="1197"/>
      <c r="B3482" s="1197"/>
      <c r="C3482" s="1807" t="s">
        <v>1398</v>
      </c>
      <c r="D3482" s="1228">
        <v>33</v>
      </c>
      <c r="E3482" s="1297" t="s">
        <v>1110</v>
      </c>
      <c r="F3482" s="1223">
        <f>LEAD!$N$6</f>
        <v>5200</v>
      </c>
      <c r="G3482" s="1272">
        <v>1000</v>
      </c>
      <c r="H3482" s="1271" t="s">
        <v>1110</v>
      </c>
      <c r="I3482" s="1205">
        <f t="shared" si="813"/>
        <v>171.6</v>
      </c>
      <c r="J3482" s="1846"/>
      <c r="K3482" s="1846"/>
      <c r="L3482" s="1846"/>
    </row>
    <row r="3483" spans="1:12">
      <c r="A3483" s="1197"/>
      <c r="B3483" s="1197"/>
      <c r="C3483" s="1807" t="s">
        <v>1483</v>
      </c>
      <c r="D3483" s="1228">
        <v>2</v>
      </c>
      <c r="E3483" s="1297" t="s">
        <v>1110</v>
      </c>
      <c r="F3483" s="1223">
        <f>'Civil-SOR'!$G$185</f>
        <v>34</v>
      </c>
      <c r="G3483" s="1272">
        <v>1</v>
      </c>
      <c r="H3483" s="1271" t="s">
        <v>97</v>
      </c>
      <c r="I3483" s="1205">
        <f t="shared" si="813"/>
        <v>68</v>
      </c>
      <c r="J3483" s="1846"/>
      <c r="K3483" s="1846"/>
      <c r="L3483" s="1846"/>
    </row>
    <row r="3484" spans="1:12">
      <c r="A3484" s="1197"/>
      <c r="B3484" s="1197"/>
      <c r="C3484" s="1795" t="s">
        <v>1468</v>
      </c>
      <c r="D3484" s="1228"/>
      <c r="E3484" s="1297"/>
      <c r="F3484" s="1223"/>
      <c r="G3484" s="1272"/>
      <c r="H3484" s="1298"/>
      <c r="I3484" s="1219"/>
      <c r="J3484" s="1846"/>
      <c r="K3484" s="1846"/>
      <c r="L3484" s="1846"/>
    </row>
    <row r="3485" spans="1:12">
      <c r="A3485" s="1197"/>
      <c r="B3485" s="1197"/>
      <c r="C3485" s="1807" t="s">
        <v>1299</v>
      </c>
      <c r="D3485" s="1228">
        <v>0.96</v>
      </c>
      <c r="E3485" s="1297" t="s">
        <v>36</v>
      </c>
      <c r="F3485" s="1223">
        <f>'Civil-SOR'!$G$293</f>
        <v>580</v>
      </c>
      <c r="G3485" s="1272">
        <v>1</v>
      </c>
      <c r="H3485" s="1271" t="s">
        <v>501</v>
      </c>
      <c r="I3485" s="1205">
        <f t="shared" ref="I3485:I3489" si="814">IF(G3485="",D3485*F3485,(D3485*F3485/G3485))</f>
        <v>556.79999999999995</v>
      </c>
      <c r="J3485" s="1846"/>
      <c r="K3485" s="1846"/>
      <c r="L3485" s="1846"/>
    </row>
    <row r="3486" spans="1:12">
      <c r="A3486" s="1197"/>
      <c r="B3486" s="1197"/>
      <c r="C3486" s="1807" t="s">
        <v>1325</v>
      </c>
      <c r="D3486" s="1228">
        <v>2.2400000000000002</v>
      </c>
      <c r="E3486" s="1297" t="s">
        <v>36</v>
      </c>
      <c r="F3486" s="1223">
        <f>'Civil-SOR'!$G$302</f>
        <v>550</v>
      </c>
      <c r="G3486" s="1272">
        <v>1</v>
      </c>
      <c r="H3486" s="1271" t="s">
        <v>501</v>
      </c>
      <c r="I3486" s="1205">
        <f t="shared" si="814"/>
        <v>1232.0000000000002</v>
      </c>
      <c r="J3486" s="1846"/>
      <c r="K3486" s="1846"/>
      <c r="L3486" s="1846"/>
    </row>
    <row r="3487" spans="1:12">
      <c r="A3487" s="1197"/>
      <c r="B3487" s="1197"/>
      <c r="C3487" s="1807" t="s">
        <v>1031</v>
      </c>
      <c r="D3487" s="1228">
        <v>3.3</v>
      </c>
      <c r="E3487" s="1297" t="s">
        <v>36</v>
      </c>
      <c r="F3487" s="1223">
        <f>'Civil-SOR'!$G$307</f>
        <v>520</v>
      </c>
      <c r="G3487" s="1272">
        <v>1</v>
      </c>
      <c r="H3487" s="1271" t="s">
        <v>501</v>
      </c>
      <c r="I3487" s="1205">
        <f t="shared" si="814"/>
        <v>1716</v>
      </c>
      <c r="J3487" s="1846"/>
      <c r="K3487" s="1846"/>
      <c r="L3487" s="1846"/>
    </row>
    <row r="3488" spans="1:12">
      <c r="A3488" s="1197"/>
      <c r="B3488" s="1197"/>
      <c r="C3488" s="1199" t="str">
        <f>Input!$C$47</f>
        <v>Add for MA @ 40%</v>
      </c>
      <c r="D3488" s="1277">
        <f>Input!$D$47</f>
        <v>0.4</v>
      </c>
      <c r="E3488" s="1276"/>
      <c r="F3488" s="1223">
        <f>SUM(I3485:I3487)</f>
        <v>3504.8</v>
      </c>
      <c r="G3488" s="1278"/>
      <c r="H3488" s="1279"/>
      <c r="I3488" s="1205">
        <f t="shared" si="814"/>
        <v>1401.92</v>
      </c>
      <c r="J3488" s="1846"/>
      <c r="K3488" s="1846"/>
      <c r="L3488" s="1846"/>
    </row>
    <row r="3489" spans="1:12">
      <c r="A3489" s="1197"/>
      <c r="B3489" s="1197"/>
      <c r="C3489" s="1202" t="s">
        <v>1301</v>
      </c>
      <c r="D3489" s="1228">
        <v>0.01</v>
      </c>
      <c r="E3489" s="1297"/>
      <c r="F3489" s="1223">
        <f>SUM(I3479:I3488)</f>
        <v>11689.501200000001</v>
      </c>
      <c r="G3489" s="1272"/>
      <c r="H3489" s="1271"/>
      <c r="I3489" s="1205">
        <f t="shared" si="814"/>
        <v>116.89501200000001</v>
      </c>
      <c r="J3489" s="1846"/>
      <c r="K3489" s="1846"/>
      <c r="L3489" s="1846"/>
    </row>
    <row r="3490" spans="1:12">
      <c r="A3490" s="1197"/>
      <c r="B3490" s="1197"/>
      <c r="C3490" s="1814" t="s">
        <v>1402</v>
      </c>
      <c r="D3490" s="1228"/>
      <c r="E3490" s="1271"/>
      <c r="F3490" s="1223"/>
      <c r="G3490" s="1272"/>
      <c r="H3490" s="1271"/>
      <c r="I3490" s="1230">
        <f>SUM(I3479:I3489)</f>
        <v>11806.396212000001</v>
      </c>
      <c r="J3490" s="1846"/>
      <c r="K3490" s="1846"/>
      <c r="L3490" s="1846"/>
    </row>
    <row r="3491" spans="1:12">
      <c r="A3491" s="1197"/>
      <c r="B3491" s="1197"/>
      <c r="C3491" s="1814"/>
      <c r="D3491" s="1228"/>
      <c r="E3491" s="1271"/>
      <c r="F3491" s="1223"/>
      <c r="G3491" s="1272"/>
      <c r="H3491" s="1271"/>
      <c r="I3491" s="1201"/>
      <c r="J3491" s="1846"/>
      <c r="K3491" s="1846"/>
      <c r="L3491" s="1846"/>
    </row>
    <row r="3492" spans="1:12" s="997" customFormat="1">
      <c r="A3492" s="1802"/>
      <c r="B3492" s="1802"/>
      <c r="C3492" s="1796" t="s">
        <v>1217</v>
      </c>
      <c r="D3492" s="1218" t="s">
        <v>1223</v>
      </c>
      <c r="E3492" s="1225" t="s">
        <v>1207</v>
      </c>
      <c r="F3492" s="1299" t="s">
        <v>1208</v>
      </c>
      <c r="G3492" s="1218" t="s">
        <v>1291</v>
      </c>
      <c r="H3492" s="1218" t="s">
        <v>1292</v>
      </c>
      <c r="I3492" s="1218" t="s">
        <v>1293</v>
      </c>
      <c r="J3492" s="1826"/>
      <c r="K3492" s="1826" t="s">
        <v>1358</v>
      </c>
      <c r="L3492" s="1826" t="s">
        <v>1359</v>
      </c>
    </row>
    <row r="3493" spans="1:12">
      <c r="A3493" s="1197"/>
      <c r="B3493" s="1197"/>
      <c r="C3493" s="1807" t="s">
        <v>1317</v>
      </c>
      <c r="D3493" s="1223">
        <f t="shared" ref="D3493:L3493" si="815">$I$3490</f>
        <v>11806.396212000001</v>
      </c>
      <c r="E3493" s="1223">
        <f t="shared" si="815"/>
        <v>11806.396212000001</v>
      </c>
      <c r="F3493" s="1223">
        <f t="shared" si="815"/>
        <v>11806.396212000001</v>
      </c>
      <c r="G3493" s="1223">
        <f t="shared" si="815"/>
        <v>11806.396212000001</v>
      </c>
      <c r="H3493" s="1223">
        <f t="shared" si="815"/>
        <v>11806.396212000001</v>
      </c>
      <c r="I3493" s="1223">
        <f t="shared" si="815"/>
        <v>11806.396212000001</v>
      </c>
      <c r="J3493" s="1001"/>
      <c r="K3493" s="1001">
        <f t="shared" si="815"/>
        <v>11806.396212000001</v>
      </c>
      <c r="L3493" s="1001">
        <f t="shared" si="815"/>
        <v>11806.396212000001</v>
      </c>
    </row>
    <row r="3494" spans="1:12">
      <c r="A3494" s="1197"/>
      <c r="B3494" s="1197"/>
      <c r="C3494" s="1807" t="s">
        <v>1253</v>
      </c>
      <c r="D3494" s="1223">
        <v>0</v>
      </c>
      <c r="E3494" s="1223">
        <f>ROUND($F$3488*10%,2)</f>
        <v>350.48</v>
      </c>
      <c r="F3494" s="1223">
        <f>ROUND($F$3488*20%,2)</f>
        <v>700.96</v>
      </c>
      <c r="G3494" s="1223">
        <f>ROUND($F$3488*30%,2)</f>
        <v>1051.44</v>
      </c>
      <c r="H3494" s="1223">
        <f>ROUND($F$3488*40%,2)</f>
        <v>1401.92</v>
      </c>
      <c r="I3494" s="1223">
        <f>ROUND($F$3488*50%,2)</f>
        <v>1752.4</v>
      </c>
      <c r="J3494" s="1001"/>
      <c r="K3494" s="1001">
        <f>ROUND($F$3488*70%,2)</f>
        <v>2453.36</v>
      </c>
      <c r="L3494" s="1001">
        <f>ROUND($F$3488*80%,2)</f>
        <v>2803.84</v>
      </c>
    </row>
    <row r="3495" spans="1:12">
      <c r="A3495" s="1197"/>
      <c r="B3495" s="1197"/>
      <c r="C3495" s="1807" t="str">
        <f>Input!$C$47</f>
        <v>Add for MA @ 40%</v>
      </c>
      <c r="D3495" s="1223">
        <f>D3494*Input!$D$47</f>
        <v>0</v>
      </c>
      <c r="E3495" s="1223">
        <f>E3494*Input!$D$47</f>
        <v>140.19200000000001</v>
      </c>
      <c r="F3495" s="1223">
        <f>F3494*Input!$D$47</f>
        <v>280.38400000000001</v>
      </c>
      <c r="G3495" s="1223">
        <f>G3494*Input!$D$47</f>
        <v>420.57600000000002</v>
      </c>
      <c r="H3495" s="1223">
        <f>H3494*Input!$D$47</f>
        <v>560.76800000000003</v>
      </c>
      <c r="I3495" s="1223">
        <f>I3494*Input!$D$47</f>
        <v>700.96</v>
      </c>
      <c r="J3495" s="1001"/>
      <c r="K3495" s="1001">
        <f>K3494*Input!$D$47</f>
        <v>981.34400000000005</v>
      </c>
      <c r="L3495" s="1001">
        <f>L3494*Input!$D$47</f>
        <v>1121.5360000000001</v>
      </c>
    </row>
    <row r="3496" spans="1:12">
      <c r="A3496" s="1197"/>
      <c r="B3496" s="1197"/>
      <c r="C3496" s="1199"/>
      <c r="D3496" s="1223">
        <f t="shared" ref="D3496:L3496" si="816">SUM(D3493:D3495)</f>
        <v>11806.396212000001</v>
      </c>
      <c r="E3496" s="1223">
        <f t="shared" si="816"/>
        <v>12297.068212000002</v>
      </c>
      <c r="F3496" s="1223">
        <f t="shared" si="816"/>
        <v>12787.740212000002</v>
      </c>
      <c r="G3496" s="1223">
        <f t="shared" si="816"/>
        <v>13278.412212000003</v>
      </c>
      <c r="H3496" s="1223">
        <f t="shared" si="816"/>
        <v>13769.084212000002</v>
      </c>
      <c r="I3496" s="1223">
        <f t="shared" si="816"/>
        <v>14259.756212</v>
      </c>
      <c r="J3496" s="1001"/>
      <c r="K3496" s="1001">
        <f t="shared" si="816"/>
        <v>15241.100212000001</v>
      </c>
      <c r="L3496" s="1001">
        <f t="shared" si="816"/>
        <v>15731.772212000002</v>
      </c>
    </row>
    <row r="3497" spans="1:12">
      <c r="A3497" s="1197"/>
      <c r="B3497" s="1197"/>
      <c r="C3497" s="1807" t="str">
        <f>Input!$C$48</f>
        <v>Overheads &amp; Contractors Profit @ 13.615%</v>
      </c>
      <c r="D3497" s="1223">
        <f>ROUND(D3496*Input!$D$48,2)</f>
        <v>1607.44</v>
      </c>
      <c r="E3497" s="1223">
        <f>ROUND(E3496*Input!$D$48,2)</f>
        <v>1674.25</v>
      </c>
      <c r="F3497" s="1223">
        <f>ROUND(F3496*Input!$D$48,2)</f>
        <v>1741.05</v>
      </c>
      <c r="G3497" s="1223">
        <f>ROUND(G3496*Input!$D$48,2)</f>
        <v>1807.86</v>
      </c>
      <c r="H3497" s="1223">
        <f>ROUND(H3496*Input!$D$48,2)</f>
        <v>1874.66</v>
      </c>
      <c r="I3497" s="1223">
        <f>ROUND(I3496*Input!$D$48,2)</f>
        <v>1941.47</v>
      </c>
      <c r="J3497" s="1001"/>
      <c r="K3497" s="1001">
        <f>ROUND(K3496*Input!$D$48,2)</f>
        <v>2075.08</v>
      </c>
      <c r="L3497" s="1001">
        <f>ROUND(L3496*Input!$D$48,2)</f>
        <v>2141.88</v>
      </c>
    </row>
    <row r="3498" spans="1:12">
      <c r="A3498" s="1197"/>
      <c r="B3498" s="1197"/>
      <c r="C3498" s="1795" t="s">
        <v>1302</v>
      </c>
      <c r="D3498" s="1223">
        <f t="shared" ref="D3498:L3498" si="817">SUM(D3496:D3497)</f>
        <v>13413.836212000002</v>
      </c>
      <c r="E3498" s="1223">
        <f t="shared" si="817"/>
        <v>13971.318212000002</v>
      </c>
      <c r="F3498" s="1223">
        <f t="shared" si="817"/>
        <v>14528.790212000002</v>
      </c>
      <c r="G3498" s="1223">
        <f t="shared" si="817"/>
        <v>15086.272212000003</v>
      </c>
      <c r="H3498" s="1223">
        <f t="shared" si="817"/>
        <v>15643.744212000001</v>
      </c>
      <c r="I3498" s="1223">
        <f t="shared" si="817"/>
        <v>16201.226212</v>
      </c>
      <c r="J3498" s="1001"/>
      <c r="K3498" s="1001">
        <f t="shared" si="817"/>
        <v>17316.180211999999</v>
      </c>
      <c r="L3498" s="1001">
        <f t="shared" si="817"/>
        <v>17873.652212000001</v>
      </c>
    </row>
    <row r="3499" spans="1:12">
      <c r="A3499" s="1197"/>
      <c r="B3499" s="1197"/>
      <c r="C3499" s="1795" t="s">
        <v>1288</v>
      </c>
      <c r="D3499" s="1220">
        <f t="shared" ref="D3499:L3499" si="818">D3498*0.01</f>
        <v>134.13836212000001</v>
      </c>
      <c r="E3499" s="1220">
        <f t="shared" si="818"/>
        <v>139.71318212000003</v>
      </c>
      <c r="F3499" s="1220">
        <f t="shared" si="818"/>
        <v>145.28790212000001</v>
      </c>
      <c r="G3499" s="1220">
        <f t="shared" si="818"/>
        <v>150.86272212000003</v>
      </c>
      <c r="H3499" s="1220">
        <f t="shared" si="818"/>
        <v>156.43744212000001</v>
      </c>
      <c r="I3499" s="1220">
        <f t="shared" si="818"/>
        <v>162.01226212</v>
      </c>
      <c r="J3499" s="1009"/>
      <c r="K3499" s="1009">
        <f t="shared" si="818"/>
        <v>173.16180212</v>
      </c>
      <c r="L3499" s="1009">
        <f t="shared" si="818"/>
        <v>178.73652212000002</v>
      </c>
    </row>
    <row r="3500" spans="1:12" s="997" customFormat="1">
      <c r="A3500" s="1802"/>
      <c r="B3500" s="1802"/>
      <c r="C3500" s="1224" t="s">
        <v>1034</v>
      </c>
      <c r="D3500" s="1225">
        <f t="shared" ref="D3500:L3500" si="819">ROUND(D3499,0)</f>
        <v>134</v>
      </c>
      <c r="E3500" s="1225">
        <f t="shared" si="819"/>
        <v>140</v>
      </c>
      <c r="F3500" s="1225">
        <f t="shared" si="819"/>
        <v>145</v>
      </c>
      <c r="G3500" s="1225">
        <f t="shared" si="819"/>
        <v>151</v>
      </c>
      <c r="H3500" s="1225">
        <f t="shared" si="819"/>
        <v>156</v>
      </c>
      <c r="I3500" s="1225">
        <f t="shared" si="819"/>
        <v>162</v>
      </c>
      <c r="J3500" s="999"/>
      <c r="K3500" s="999">
        <f t="shared" si="819"/>
        <v>173</v>
      </c>
      <c r="L3500" s="999">
        <f t="shared" si="819"/>
        <v>179</v>
      </c>
    </row>
    <row r="3501" spans="1:12">
      <c r="A3501" s="1197"/>
      <c r="B3501" s="1197"/>
      <c r="C3501" s="1199"/>
      <c r="D3501" s="1227"/>
      <c r="E3501" s="1228"/>
      <c r="F3501" s="1223"/>
      <c r="G3501" s="1199"/>
      <c r="H3501" s="1311"/>
      <c r="I3501" s="1220"/>
      <c r="J3501" s="1846"/>
      <c r="K3501" s="1846"/>
      <c r="L3501" s="1846"/>
    </row>
    <row r="3502" spans="1:12" ht="92.45" customHeight="1">
      <c r="A3502" s="1197">
        <f>A3476+1</f>
        <v>41</v>
      </c>
      <c r="B3502" s="1197"/>
      <c r="C3502" s="2006" t="s">
        <v>3699</v>
      </c>
      <c r="D3502" s="2006"/>
      <c r="E3502" s="2006"/>
      <c r="F3502" s="2006"/>
      <c r="G3502" s="2006"/>
      <c r="H3502" s="2006"/>
      <c r="I3502" s="1814"/>
      <c r="J3502" s="1846"/>
      <c r="K3502" s="1846"/>
      <c r="L3502" s="1846"/>
    </row>
    <row r="3503" spans="1:12">
      <c r="A3503" s="1197"/>
      <c r="B3503" s="1197"/>
      <c r="C3503" s="1198" t="s">
        <v>1471</v>
      </c>
      <c r="D3503" s="1228"/>
      <c r="E3503" s="1297"/>
      <c r="F3503" s="1223"/>
      <c r="G3503" s="1272"/>
      <c r="H3503" s="1298"/>
      <c r="I3503" s="1219"/>
      <c r="J3503" s="1846"/>
      <c r="K3503" s="1846"/>
      <c r="L3503" s="1846"/>
    </row>
    <row r="3504" spans="1:12">
      <c r="A3504" s="1197"/>
      <c r="B3504" s="1197"/>
      <c r="C3504" s="1807" t="s">
        <v>1464</v>
      </c>
      <c r="D3504" s="1228"/>
      <c r="E3504" s="1297"/>
      <c r="F3504" s="1223"/>
      <c r="G3504" s="1272"/>
      <c r="H3504" s="1298"/>
      <c r="I3504" s="1219"/>
      <c r="J3504" s="1846"/>
      <c r="K3504" s="1846"/>
      <c r="L3504" s="1846"/>
    </row>
    <row r="3505" spans="1:12">
      <c r="A3505" s="1197"/>
      <c r="B3505" s="1197"/>
      <c r="C3505" s="1807" t="s">
        <v>1485</v>
      </c>
      <c r="D3505" s="1228">
        <v>10.5</v>
      </c>
      <c r="E3505" s="1297" t="s">
        <v>94</v>
      </c>
      <c r="F3505" s="1223">
        <f>'Civil-SOR'!$G$19</f>
        <v>443</v>
      </c>
      <c r="G3505" s="1272">
        <v>1</v>
      </c>
      <c r="H3505" s="1271" t="s">
        <v>94</v>
      </c>
      <c r="I3505" s="1205">
        <f t="shared" ref="I3505:I3509" si="820">IF(G3505="",D3505*F3505,(D3505*F3505/G3505))</f>
        <v>4651.5</v>
      </c>
      <c r="J3505" s="1846"/>
      <c r="K3505" s="1846"/>
      <c r="L3505" s="1846"/>
    </row>
    <row r="3506" spans="1:12">
      <c r="A3506" s="1197"/>
      <c r="B3506" s="1197"/>
      <c r="C3506" s="1807" t="s">
        <v>1466</v>
      </c>
      <c r="D3506" s="1228">
        <v>0.12</v>
      </c>
      <c r="E3506" s="1297" t="s">
        <v>75</v>
      </c>
      <c r="F3506" s="1223">
        <f>LEAD!$N$13</f>
        <v>2453.91</v>
      </c>
      <c r="G3506" s="1272">
        <v>1</v>
      </c>
      <c r="H3506" s="1271" t="s">
        <v>75</v>
      </c>
      <c r="I3506" s="1205">
        <f t="shared" si="820"/>
        <v>294.46919999999994</v>
      </c>
      <c r="J3506" s="1846"/>
      <c r="K3506" s="1846"/>
      <c r="L3506" s="1846"/>
    </row>
    <row r="3507" spans="1:12">
      <c r="A3507" s="1197"/>
      <c r="B3507" s="1197"/>
      <c r="C3507" s="1807" t="s">
        <v>1467</v>
      </c>
      <c r="D3507" s="1228">
        <v>34.56</v>
      </c>
      <c r="E3507" s="1297" t="s">
        <v>1110</v>
      </c>
      <c r="F3507" s="1223">
        <f>LEAD!$N$6</f>
        <v>5200</v>
      </c>
      <c r="G3507" s="1272">
        <v>1000</v>
      </c>
      <c r="H3507" s="1271" t="s">
        <v>1110</v>
      </c>
      <c r="I3507" s="1205">
        <f t="shared" si="820"/>
        <v>179.71199999999999</v>
      </c>
      <c r="J3507" s="1846"/>
      <c r="K3507" s="1846"/>
      <c r="L3507" s="1846"/>
    </row>
    <row r="3508" spans="1:12">
      <c r="A3508" s="1197"/>
      <c r="B3508" s="1197"/>
      <c r="C3508" s="1807" t="s">
        <v>1398</v>
      </c>
      <c r="D3508" s="1228">
        <v>33</v>
      </c>
      <c r="E3508" s="1297" t="s">
        <v>1110</v>
      </c>
      <c r="F3508" s="1223">
        <f>LEAD!$N$6</f>
        <v>5200</v>
      </c>
      <c r="G3508" s="1272">
        <v>1000</v>
      </c>
      <c r="H3508" s="1271" t="s">
        <v>1110</v>
      </c>
      <c r="I3508" s="1205">
        <f t="shared" si="820"/>
        <v>171.6</v>
      </c>
      <c r="J3508" s="1846"/>
      <c r="K3508" s="1846"/>
      <c r="L3508" s="1846"/>
    </row>
    <row r="3509" spans="1:12">
      <c r="A3509" s="1197"/>
      <c r="B3509" s="1197"/>
      <c r="C3509" s="1807" t="s">
        <v>1483</v>
      </c>
      <c r="D3509" s="1228">
        <v>2</v>
      </c>
      <c r="E3509" s="1297" t="s">
        <v>1110</v>
      </c>
      <c r="F3509" s="1223">
        <f>'Civil-SOR'!$G$185</f>
        <v>34</v>
      </c>
      <c r="G3509" s="1272">
        <v>1</v>
      </c>
      <c r="H3509" s="1271" t="s">
        <v>97</v>
      </c>
      <c r="I3509" s="1205">
        <f t="shared" si="820"/>
        <v>68</v>
      </c>
      <c r="J3509" s="1846"/>
      <c r="K3509" s="1846"/>
      <c r="L3509" s="1846"/>
    </row>
    <row r="3510" spans="1:12">
      <c r="A3510" s="1197"/>
      <c r="B3510" s="1197"/>
      <c r="C3510" s="1795" t="s">
        <v>1468</v>
      </c>
      <c r="D3510" s="1228"/>
      <c r="E3510" s="1297"/>
      <c r="F3510" s="1223"/>
      <c r="G3510" s="1272"/>
      <c r="H3510" s="1298"/>
      <c r="I3510" s="1219"/>
      <c r="J3510" s="1846"/>
      <c r="K3510" s="1846"/>
      <c r="L3510" s="1846"/>
    </row>
    <row r="3511" spans="1:12">
      <c r="A3511" s="1197"/>
      <c r="B3511" s="1197"/>
      <c r="C3511" s="1807" t="s">
        <v>1299</v>
      </c>
      <c r="D3511" s="1228">
        <v>0.96</v>
      </c>
      <c r="E3511" s="1297" t="s">
        <v>36</v>
      </c>
      <c r="F3511" s="1223">
        <f>'Civil-SOR'!$G$293</f>
        <v>580</v>
      </c>
      <c r="G3511" s="1272">
        <v>1</v>
      </c>
      <c r="H3511" s="1271" t="s">
        <v>501</v>
      </c>
      <c r="I3511" s="1205">
        <f t="shared" ref="I3511:I3515" si="821">IF(G3511="",D3511*F3511,(D3511*F3511/G3511))</f>
        <v>556.79999999999995</v>
      </c>
      <c r="J3511" s="1846"/>
      <c r="K3511" s="1846"/>
      <c r="L3511" s="1846"/>
    </row>
    <row r="3512" spans="1:12">
      <c r="A3512" s="1197"/>
      <c r="B3512" s="1197"/>
      <c r="C3512" s="1807" t="s">
        <v>1325</v>
      </c>
      <c r="D3512" s="1228">
        <v>2.2400000000000002</v>
      </c>
      <c r="E3512" s="1297" t="s">
        <v>36</v>
      </c>
      <c r="F3512" s="1223">
        <f>'Civil-SOR'!$G$302</f>
        <v>550</v>
      </c>
      <c r="G3512" s="1272">
        <v>1</v>
      </c>
      <c r="H3512" s="1271" t="s">
        <v>501</v>
      </c>
      <c r="I3512" s="1205">
        <f t="shared" si="821"/>
        <v>1232.0000000000002</v>
      </c>
      <c r="J3512" s="1846"/>
      <c r="K3512" s="1846"/>
      <c r="L3512" s="1846"/>
    </row>
    <row r="3513" spans="1:12">
      <c r="A3513" s="1197"/>
      <c r="B3513" s="1197"/>
      <c r="C3513" s="1807" t="s">
        <v>1031</v>
      </c>
      <c r="D3513" s="1228">
        <v>3.3</v>
      </c>
      <c r="E3513" s="1297" t="s">
        <v>36</v>
      </c>
      <c r="F3513" s="1223">
        <f>'Civil-SOR'!$G$307</f>
        <v>520</v>
      </c>
      <c r="G3513" s="1272">
        <v>1</v>
      </c>
      <c r="H3513" s="1271" t="s">
        <v>501</v>
      </c>
      <c r="I3513" s="1205">
        <f t="shared" si="821"/>
        <v>1716</v>
      </c>
      <c r="J3513" s="1846"/>
      <c r="K3513" s="1846"/>
      <c r="L3513" s="1846"/>
    </row>
    <row r="3514" spans="1:12">
      <c r="A3514" s="1197"/>
      <c r="B3514" s="1197"/>
      <c r="C3514" s="1199" t="str">
        <f>Input!$C$47</f>
        <v>Add for MA @ 40%</v>
      </c>
      <c r="D3514" s="1277">
        <f>Input!$D$47</f>
        <v>0.4</v>
      </c>
      <c r="E3514" s="1276"/>
      <c r="F3514" s="1223">
        <f>SUM(I3511:I3513)</f>
        <v>3504.8</v>
      </c>
      <c r="G3514" s="1278"/>
      <c r="H3514" s="1279"/>
      <c r="I3514" s="1205">
        <f t="shared" si="821"/>
        <v>1401.92</v>
      </c>
      <c r="J3514" s="1846"/>
      <c r="K3514" s="1846"/>
      <c r="L3514" s="1846"/>
    </row>
    <row r="3515" spans="1:12">
      <c r="A3515" s="1197"/>
      <c r="B3515" s="1197"/>
      <c r="C3515" s="1202" t="s">
        <v>1301</v>
      </c>
      <c r="D3515" s="1228">
        <v>0.01</v>
      </c>
      <c r="E3515" s="1297"/>
      <c r="F3515" s="1223">
        <f>SUM(I3505:I3514)</f>
        <v>10272.001200000001</v>
      </c>
      <c r="G3515" s="1272"/>
      <c r="H3515" s="1271"/>
      <c r="I3515" s="1205">
        <f t="shared" si="821"/>
        <v>102.72001200000001</v>
      </c>
      <c r="J3515" s="1846"/>
      <c r="K3515" s="1846"/>
      <c r="L3515" s="1846"/>
    </row>
    <row r="3516" spans="1:12">
      <c r="A3516" s="1197"/>
      <c r="B3516" s="1197"/>
      <c r="C3516" s="1814" t="s">
        <v>1402</v>
      </c>
      <c r="D3516" s="1228"/>
      <c r="E3516" s="1271"/>
      <c r="F3516" s="1223"/>
      <c r="G3516" s="1272"/>
      <c r="H3516" s="1271"/>
      <c r="I3516" s="1230">
        <f>SUM(I3505:I3515)</f>
        <v>10374.721212</v>
      </c>
      <c r="J3516" s="1846"/>
      <c r="K3516" s="1846"/>
      <c r="L3516" s="1846"/>
    </row>
    <row r="3517" spans="1:12">
      <c r="A3517" s="1197"/>
      <c r="B3517" s="1197"/>
      <c r="C3517" s="1814"/>
      <c r="D3517" s="1228"/>
      <c r="E3517" s="1271"/>
      <c r="F3517" s="1223"/>
      <c r="G3517" s="1272"/>
      <c r="H3517" s="1271"/>
      <c r="I3517" s="1201"/>
      <c r="J3517" s="1846"/>
      <c r="K3517" s="1846"/>
      <c r="L3517" s="1846"/>
    </row>
    <row r="3518" spans="1:12" s="997" customFormat="1">
      <c r="A3518" s="1802"/>
      <c r="B3518" s="1802"/>
      <c r="C3518" s="1796" t="s">
        <v>1217</v>
      </c>
      <c r="D3518" s="1218" t="s">
        <v>1223</v>
      </c>
      <c r="E3518" s="1225" t="s">
        <v>1207</v>
      </c>
      <c r="F3518" s="1299" t="s">
        <v>1208</v>
      </c>
      <c r="G3518" s="1218" t="s">
        <v>1291</v>
      </c>
      <c r="H3518" s="1218" t="s">
        <v>1292</v>
      </c>
      <c r="I3518" s="1218" t="s">
        <v>1293</v>
      </c>
      <c r="J3518" s="1826"/>
      <c r="K3518" s="1826" t="s">
        <v>1358</v>
      </c>
      <c r="L3518" s="1826" t="s">
        <v>1359</v>
      </c>
    </row>
    <row r="3519" spans="1:12">
      <c r="A3519" s="1197"/>
      <c r="B3519" s="1197"/>
      <c r="C3519" s="1807" t="s">
        <v>1317</v>
      </c>
      <c r="D3519" s="1223">
        <f t="shared" ref="D3519:L3519" si="822">$I$3516</f>
        <v>10374.721212</v>
      </c>
      <c r="E3519" s="1223">
        <f t="shared" si="822"/>
        <v>10374.721212</v>
      </c>
      <c r="F3519" s="1223">
        <f t="shared" si="822"/>
        <v>10374.721212</v>
      </c>
      <c r="G3519" s="1223">
        <f t="shared" si="822"/>
        <v>10374.721212</v>
      </c>
      <c r="H3519" s="1223">
        <f t="shared" si="822"/>
        <v>10374.721212</v>
      </c>
      <c r="I3519" s="1223">
        <f t="shared" si="822"/>
        <v>10374.721212</v>
      </c>
      <c r="J3519" s="1001"/>
      <c r="K3519" s="1001">
        <f t="shared" si="822"/>
        <v>10374.721212</v>
      </c>
      <c r="L3519" s="1001">
        <f t="shared" si="822"/>
        <v>10374.721212</v>
      </c>
    </row>
    <row r="3520" spans="1:12">
      <c r="A3520" s="1197"/>
      <c r="B3520" s="1197"/>
      <c r="C3520" s="1807" t="s">
        <v>1253</v>
      </c>
      <c r="D3520" s="1223">
        <v>0</v>
      </c>
      <c r="E3520" s="1223">
        <f>ROUND($F$3514*10%,2)</f>
        <v>350.48</v>
      </c>
      <c r="F3520" s="1223">
        <f>ROUND($F$3514*20%,2)</f>
        <v>700.96</v>
      </c>
      <c r="G3520" s="1223">
        <f>ROUND($F$3514*30%,2)</f>
        <v>1051.44</v>
      </c>
      <c r="H3520" s="1223">
        <f>ROUND($F$3514*40%,2)</f>
        <v>1401.92</v>
      </c>
      <c r="I3520" s="1223">
        <f>ROUND($F$3514*50%,2)</f>
        <v>1752.4</v>
      </c>
      <c r="J3520" s="1001"/>
      <c r="K3520" s="1001">
        <f>ROUND($F$3514*70%,2)</f>
        <v>2453.36</v>
      </c>
      <c r="L3520" s="1001">
        <f>ROUND($F$3514*80%,2)</f>
        <v>2803.84</v>
      </c>
    </row>
    <row r="3521" spans="1:12">
      <c r="A3521" s="1197"/>
      <c r="B3521" s="1197"/>
      <c r="C3521" s="1807" t="str">
        <f>Input!$C$47</f>
        <v>Add for MA @ 40%</v>
      </c>
      <c r="D3521" s="1223">
        <f>D3520*Input!$D$47</f>
        <v>0</v>
      </c>
      <c r="E3521" s="1223">
        <f>E3520*Input!$D$47</f>
        <v>140.19200000000001</v>
      </c>
      <c r="F3521" s="1223">
        <f>F3520*Input!$D$47</f>
        <v>280.38400000000001</v>
      </c>
      <c r="G3521" s="1223">
        <f>G3520*Input!$D$47</f>
        <v>420.57600000000002</v>
      </c>
      <c r="H3521" s="1223">
        <f>H3520*Input!$D$47</f>
        <v>560.76800000000003</v>
      </c>
      <c r="I3521" s="1223">
        <f>I3520*Input!$D$47</f>
        <v>700.96</v>
      </c>
      <c r="J3521" s="1001"/>
      <c r="K3521" s="1001">
        <f>K3520*Input!$D$47</f>
        <v>981.34400000000005</v>
      </c>
      <c r="L3521" s="1001">
        <f>L3520*Input!$D$47</f>
        <v>1121.5360000000001</v>
      </c>
    </row>
    <row r="3522" spans="1:12">
      <c r="A3522" s="1197"/>
      <c r="B3522" s="1197"/>
      <c r="C3522" s="1199"/>
      <c r="D3522" s="1223">
        <f t="shared" ref="D3522:L3522" si="823">SUM(D3519:D3521)</f>
        <v>10374.721212</v>
      </c>
      <c r="E3522" s="1223">
        <f t="shared" si="823"/>
        <v>10865.393211999999</v>
      </c>
      <c r="F3522" s="1223">
        <f t="shared" si="823"/>
        <v>11356.065212</v>
      </c>
      <c r="G3522" s="1223">
        <f t="shared" si="823"/>
        <v>11846.737212</v>
      </c>
      <c r="H3522" s="1223">
        <f t="shared" si="823"/>
        <v>12337.409212</v>
      </c>
      <c r="I3522" s="1223">
        <f t="shared" si="823"/>
        <v>12828.081212000001</v>
      </c>
      <c r="J3522" s="1001"/>
      <c r="K3522" s="1001">
        <f t="shared" si="823"/>
        <v>13809.425212000002</v>
      </c>
      <c r="L3522" s="1001">
        <f t="shared" si="823"/>
        <v>14300.097212000001</v>
      </c>
    </row>
    <row r="3523" spans="1:12">
      <c r="A3523" s="1197"/>
      <c r="B3523" s="1197"/>
      <c r="C3523" s="1807" t="str">
        <f>Input!$C$48</f>
        <v>Overheads &amp; Contractors Profit @ 13.615%</v>
      </c>
      <c r="D3523" s="1223">
        <f>ROUND(D3522*Input!$D$48,2)</f>
        <v>1412.52</v>
      </c>
      <c r="E3523" s="1223">
        <f>ROUND(E3522*Input!$D$48,2)</f>
        <v>1479.32</v>
      </c>
      <c r="F3523" s="1223">
        <f>ROUND(F3522*Input!$D$48,2)</f>
        <v>1546.13</v>
      </c>
      <c r="G3523" s="1223">
        <f>ROUND(G3522*Input!$D$48,2)</f>
        <v>1612.93</v>
      </c>
      <c r="H3523" s="1223">
        <f>ROUND(H3522*Input!$D$48,2)</f>
        <v>1679.74</v>
      </c>
      <c r="I3523" s="1223">
        <f>ROUND(I3522*Input!$D$48,2)</f>
        <v>1746.54</v>
      </c>
      <c r="J3523" s="1001"/>
      <c r="K3523" s="1001">
        <f>ROUND(K3522*Input!$D$48,2)</f>
        <v>1880.15</v>
      </c>
      <c r="L3523" s="1001">
        <f>ROUND(L3522*Input!$D$48,2)</f>
        <v>1946.96</v>
      </c>
    </row>
    <row r="3524" spans="1:12">
      <c r="A3524" s="1197"/>
      <c r="B3524" s="1197"/>
      <c r="C3524" s="1795" t="s">
        <v>1302</v>
      </c>
      <c r="D3524" s="1223">
        <f t="shared" ref="D3524:L3524" si="824">SUM(D3522:D3523)</f>
        <v>11787.241212000001</v>
      </c>
      <c r="E3524" s="1223">
        <f t="shared" si="824"/>
        <v>12344.713211999999</v>
      </c>
      <c r="F3524" s="1223">
        <f t="shared" si="824"/>
        <v>12902.195211999999</v>
      </c>
      <c r="G3524" s="1223">
        <f t="shared" si="824"/>
        <v>13459.667212</v>
      </c>
      <c r="H3524" s="1223">
        <f t="shared" si="824"/>
        <v>14017.149212</v>
      </c>
      <c r="I3524" s="1223">
        <f t="shared" si="824"/>
        <v>14574.621212000002</v>
      </c>
      <c r="J3524" s="1001"/>
      <c r="K3524" s="1001">
        <f t="shared" si="824"/>
        <v>15689.575212000002</v>
      </c>
      <c r="L3524" s="1001">
        <f t="shared" si="824"/>
        <v>16247.057212</v>
      </c>
    </row>
    <row r="3525" spans="1:12">
      <c r="A3525" s="1197"/>
      <c r="B3525" s="1197"/>
      <c r="C3525" s="1795" t="s">
        <v>1288</v>
      </c>
      <c r="D3525" s="1220">
        <f t="shared" ref="D3525:L3525" si="825">D3524*0.01</f>
        <v>117.87241212000001</v>
      </c>
      <c r="E3525" s="1220">
        <f t="shared" si="825"/>
        <v>123.44713211999999</v>
      </c>
      <c r="F3525" s="1220">
        <f t="shared" si="825"/>
        <v>129.02195211999998</v>
      </c>
      <c r="G3525" s="1220">
        <f t="shared" si="825"/>
        <v>134.59667211999999</v>
      </c>
      <c r="H3525" s="1220">
        <f t="shared" si="825"/>
        <v>140.17149212000001</v>
      </c>
      <c r="I3525" s="1220">
        <f t="shared" si="825"/>
        <v>145.74621212000002</v>
      </c>
      <c r="J3525" s="1009"/>
      <c r="K3525" s="1009">
        <f t="shared" si="825"/>
        <v>156.89575212000003</v>
      </c>
      <c r="L3525" s="1009">
        <f t="shared" si="825"/>
        <v>162.47057212000001</v>
      </c>
    </row>
    <row r="3526" spans="1:12" s="997" customFormat="1">
      <c r="A3526" s="1802"/>
      <c r="B3526" s="1802"/>
      <c r="C3526" s="1224" t="s">
        <v>1034</v>
      </c>
      <c r="D3526" s="1225">
        <f t="shared" ref="D3526:L3526" si="826">ROUND(D3525,0)</f>
        <v>118</v>
      </c>
      <c r="E3526" s="1225">
        <f t="shared" si="826"/>
        <v>123</v>
      </c>
      <c r="F3526" s="1225">
        <f t="shared" si="826"/>
        <v>129</v>
      </c>
      <c r="G3526" s="1225">
        <f t="shared" si="826"/>
        <v>135</v>
      </c>
      <c r="H3526" s="1225">
        <f t="shared" si="826"/>
        <v>140</v>
      </c>
      <c r="I3526" s="1225">
        <f t="shared" si="826"/>
        <v>146</v>
      </c>
      <c r="J3526" s="999"/>
      <c r="K3526" s="999">
        <f t="shared" si="826"/>
        <v>157</v>
      </c>
      <c r="L3526" s="999">
        <f t="shared" si="826"/>
        <v>162</v>
      </c>
    </row>
    <row r="3527" spans="1:12">
      <c r="A3527" s="1197"/>
      <c r="B3527" s="1197"/>
      <c r="C3527" s="1199"/>
      <c r="D3527" s="1227"/>
      <c r="E3527" s="1228"/>
      <c r="F3527" s="1223"/>
      <c r="G3527" s="1199"/>
      <c r="H3527" s="1311"/>
      <c r="I3527" s="1220"/>
      <c r="J3527" s="1846"/>
      <c r="K3527" s="1846"/>
      <c r="L3527" s="1846"/>
    </row>
    <row r="3528" spans="1:12">
      <c r="A3528" s="1197"/>
      <c r="B3528" s="1197"/>
      <c r="C3528" s="1795" t="s">
        <v>1217</v>
      </c>
      <c r="D3528" s="1218" t="s">
        <v>1357</v>
      </c>
      <c r="E3528" s="1218" t="s">
        <v>1358</v>
      </c>
      <c r="F3528" s="1218" t="s">
        <v>1359</v>
      </c>
      <c r="G3528" s="1199"/>
      <c r="H3528" s="1311"/>
      <c r="I3528" s="1220"/>
      <c r="J3528" s="1846"/>
      <c r="K3528" s="1846"/>
      <c r="L3528" s="1846"/>
    </row>
    <row r="3529" spans="1:12">
      <c r="A3529" s="1197"/>
      <c r="B3529" s="1197"/>
      <c r="C3529" s="1807" t="s">
        <v>1317</v>
      </c>
      <c r="D3529" s="1223">
        <f>$I$3516</f>
        <v>10374.721212</v>
      </c>
      <c r="E3529" s="1223">
        <f>$I$3516</f>
        <v>10374.721212</v>
      </c>
      <c r="F3529" s="1223">
        <f>$I$3516</f>
        <v>10374.721212</v>
      </c>
      <c r="G3529" s="1199"/>
      <c r="H3529" s="1311"/>
      <c r="I3529" s="1220"/>
      <c r="J3529" s="1846"/>
      <c r="K3529" s="1846"/>
      <c r="L3529" s="1846"/>
    </row>
    <row r="3530" spans="1:12">
      <c r="A3530" s="1197"/>
      <c r="B3530" s="1197"/>
      <c r="C3530" s="1807" t="s">
        <v>1253</v>
      </c>
      <c r="D3530" s="1223">
        <f>ROUND($F$3514*60%,2)</f>
        <v>2102.88</v>
      </c>
      <c r="E3530" s="1223">
        <f>ROUND($F$3514*70%,2)</f>
        <v>2453.36</v>
      </c>
      <c r="F3530" s="1223">
        <f>ROUND($F$3514*80%,2)</f>
        <v>2803.84</v>
      </c>
      <c r="G3530" s="1199"/>
      <c r="H3530" s="1311"/>
      <c r="I3530" s="1220"/>
      <c r="J3530" s="1846"/>
      <c r="K3530" s="1846"/>
      <c r="L3530" s="1846"/>
    </row>
    <row r="3531" spans="1:12">
      <c r="A3531" s="1197"/>
      <c r="B3531" s="1197"/>
      <c r="C3531" s="1807" t="str">
        <f>Input!$C$47</f>
        <v>Add for MA @ 40%</v>
      </c>
      <c r="D3531" s="1223">
        <f>D3530*Input!$D$47</f>
        <v>841.15200000000004</v>
      </c>
      <c r="E3531" s="1223">
        <f>E3530*Input!$D$47</f>
        <v>981.34400000000005</v>
      </c>
      <c r="F3531" s="1223">
        <f>F3530*Input!$D$47</f>
        <v>1121.5360000000001</v>
      </c>
      <c r="G3531" s="1199"/>
      <c r="H3531" s="1311"/>
      <c r="I3531" s="1220"/>
      <c r="J3531" s="1846"/>
      <c r="K3531" s="1846"/>
      <c r="L3531" s="1846"/>
    </row>
    <row r="3532" spans="1:12">
      <c r="A3532" s="1197"/>
      <c r="B3532" s="1197"/>
      <c r="C3532" s="1208"/>
      <c r="D3532" s="1223">
        <f>SUM(D3529:D3531)</f>
        <v>13318.753212000001</v>
      </c>
      <c r="E3532" s="1223">
        <f>SUM(E3529:E3531)</f>
        <v>13809.425212000002</v>
      </c>
      <c r="F3532" s="1223">
        <f>SUM(F3529:F3531)</f>
        <v>14300.097212000001</v>
      </c>
      <c r="G3532" s="1199"/>
      <c r="H3532" s="1311"/>
      <c r="I3532" s="1220"/>
      <c r="J3532" s="1846"/>
      <c r="K3532" s="1846"/>
      <c r="L3532" s="1846"/>
    </row>
    <row r="3533" spans="1:12">
      <c r="A3533" s="1197"/>
      <c r="B3533" s="1197"/>
      <c r="C3533" s="1807" t="str">
        <f>Input!$C$48</f>
        <v>Overheads &amp; Contractors Profit @ 13.615%</v>
      </c>
      <c r="D3533" s="1223">
        <f>ROUND(D3532*Input!$D$48,2)</f>
        <v>1813.35</v>
      </c>
      <c r="E3533" s="1223">
        <f>ROUND(E3532*Input!$D$48,2)</f>
        <v>1880.15</v>
      </c>
      <c r="F3533" s="1223">
        <f>ROUND(F3532*Input!$D$48,2)</f>
        <v>1946.96</v>
      </c>
      <c r="G3533" s="1199"/>
      <c r="H3533" s="1311"/>
      <c r="I3533" s="1220"/>
      <c r="J3533" s="1846"/>
      <c r="K3533" s="1846"/>
      <c r="L3533" s="1846"/>
    </row>
    <row r="3534" spans="1:12">
      <c r="A3534" s="1197"/>
      <c r="B3534" s="1197"/>
      <c r="C3534" s="1795" t="s">
        <v>1302</v>
      </c>
      <c r="D3534" s="1223">
        <f>SUM(D3532:D3533)</f>
        <v>15132.103212000002</v>
      </c>
      <c r="E3534" s="1223">
        <f>SUM(E3532:E3533)</f>
        <v>15689.575212000002</v>
      </c>
      <c r="F3534" s="1223">
        <f>SUM(F3532:F3533)</f>
        <v>16247.057212</v>
      </c>
      <c r="G3534" s="1199"/>
      <c r="H3534" s="1311"/>
      <c r="I3534" s="1220"/>
      <c r="J3534" s="1846"/>
      <c r="K3534" s="1846"/>
      <c r="L3534" s="1846"/>
    </row>
    <row r="3535" spans="1:12">
      <c r="A3535" s="1197"/>
      <c r="B3535" s="1197"/>
      <c r="C3535" s="1795" t="s">
        <v>1288</v>
      </c>
      <c r="D3535" s="1220">
        <f>D3534*0.01</f>
        <v>151.32103212000001</v>
      </c>
      <c r="E3535" s="1220">
        <f>E3534*0.01</f>
        <v>156.89575212000003</v>
      </c>
      <c r="F3535" s="1220">
        <f>F3534*0.01</f>
        <v>162.47057212000001</v>
      </c>
      <c r="G3535" s="1199"/>
      <c r="H3535" s="1311"/>
      <c r="I3535" s="1220"/>
      <c r="J3535" s="1846"/>
      <c r="K3535" s="1846"/>
      <c r="L3535" s="1846"/>
    </row>
    <row r="3536" spans="1:12">
      <c r="A3536" s="1197"/>
      <c r="B3536" s="1197"/>
      <c r="C3536" s="1231" t="s">
        <v>1034</v>
      </c>
      <c r="D3536" s="1225">
        <f>ROUND(D3535,0)</f>
        <v>151</v>
      </c>
      <c r="E3536" s="1225">
        <f>ROUND(E3535,0)</f>
        <v>157</v>
      </c>
      <c r="F3536" s="1225">
        <f>ROUND(F3535,0)</f>
        <v>162</v>
      </c>
      <c r="G3536" s="1199"/>
      <c r="H3536" s="1311"/>
      <c r="I3536" s="1220"/>
      <c r="J3536" s="1846"/>
      <c r="K3536" s="1846"/>
      <c r="L3536" s="1846"/>
    </row>
    <row r="3537" spans="1:12">
      <c r="A3537" s="1197"/>
      <c r="B3537" s="1197"/>
      <c r="C3537" s="1199"/>
      <c r="D3537" s="1227"/>
      <c r="E3537" s="1228"/>
      <c r="F3537" s="1223"/>
      <c r="G3537" s="1199"/>
      <c r="H3537" s="1311"/>
      <c r="I3537" s="1220"/>
      <c r="J3537" s="1846"/>
      <c r="K3537" s="1846"/>
      <c r="L3537" s="1846"/>
    </row>
    <row r="3538" spans="1:12">
      <c r="A3538" s="1197"/>
      <c r="B3538" s="1197"/>
      <c r="C3538" s="1199"/>
      <c r="D3538" s="1227"/>
      <c r="E3538" s="1228"/>
      <c r="F3538" s="1223"/>
      <c r="G3538" s="1199"/>
      <c r="H3538" s="1311"/>
      <c r="I3538" s="1220"/>
      <c r="J3538" s="1846"/>
      <c r="K3538" s="1846"/>
      <c r="L3538" s="1846"/>
    </row>
    <row r="3539" spans="1:12" ht="74.650000000000006" customHeight="1">
      <c r="A3539" s="1197">
        <f>A3502+1</f>
        <v>42</v>
      </c>
      <c r="B3539" s="1222" t="s">
        <v>294</v>
      </c>
      <c r="C3539" s="2006" t="s">
        <v>3443</v>
      </c>
      <c r="D3539" s="2006"/>
      <c r="E3539" s="2006"/>
      <c r="F3539" s="2006"/>
      <c r="G3539" s="2006"/>
      <c r="H3539" s="2006"/>
      <c r="I3539" s="1814"/>
      <c r="J3539" s="1846"/>
      <c r="K3539" s="1846"/>
      <c r="L3539" s="1846"/>
    </row>
    <row r="3540" spans="1:12">
      <c r="A3540" s="1197"/>
      <c r="B3540" s="1197"/>
      <c r="C3540" s="1198" t="s">
        <v>1471</v>
      </c>
      <c r="D3540" s="1228"/>
      <c r="E3540" s="1297"/>
      <c r="F3540" s="1223"/>
      <c r="G3540" s="1272"/>
      <c r="H3540" s="1298"/>
      <c r="I3540" s="1219"/>
      <c r="J3540" s="1846"/>
      <c r="K3540" s="1846"/>
      <c r="L3540" s="1846"/>
    </row>
    <row r="3541" spans="1:12">
      <c r="A3541" s="1197"/>
      <c r="B3541" s="1197"/>
      <c r="C3541" s="1807" t="s">
        <v>1464</v>
      </c>
      <c r="D3541" s="1228"/>
      <c r="E3541" s="1297"/>
      <c r="F3541" s="1223"/>
      <c r="G3541" s="1272"/>
      <c r="H3541" s="1298"/>
      <c r="I3541" s="1219"/>
      <c r="J3541" s="1846"/>
      <c r="K3541" s="1846"/>
      <c r="L3541" s="1846"/>
    </row>
    <row r="3542" spans="1:12">
      <c r="A3542" s="1197"/>
      <c r="B3542" s="1197"/>
      <c r="C3542" s="1795" t="s">
        <v>1139</v>
      </c>
      <c r="D3542" s="1228"/>
      <c r="E3542" s="1297"/>
      <c r="F3542" s="1223"/>
      <c r="G3542" s="1272"/>
      <c r="H3542" s="1298"/>
      <c r="I3542" s="1219"/>
      <c r="J3542" s="1846"/>
      <c r="K3542" s="1846"/>
      <c r="L3542" s="1846"/>
    </row>
    <row r="3543" spans="1:12">
      <c r="A3543" s="1197"/>
      <c r="B3543" s="1197"/>
      <c r="C3543" s="1807" t="s">
        <v>1486</v>
      </c>
      <c r="D3543" s="1228">
        <v>10.5</v>
      </c>
      <c r="E3543" s="1297" t="s">
        <v>94</v>
      </c>
      <c r="F3543" s="1223">
        <f>'Civil-SOR'!$G$14</f>
        <v>1182</v>
      </c>
      <c r="G3543" s="1272">
        <v>1</v>
      </c>
      <c r="H3543" s="1271" t="s">
        <v>94</v>
      </c>
      <c r="I3543" s="1205">
        <f t="shared" ref="I3543:I3547" si="827">IF(G3543="",D3543*F3543,(D3543*F3543/G3543))</f>
        <v>12411</v>
      </c>
      <c r="J3543" s="1846"/>
      <c r="K3543" s="1846"/>
      <c r="L3543" s="1846"/>
    </row>
    <row r="3544" spans="1:12">
      <c r="A3544" s="1197"/>
      <c r="B3544" s="1197"/>
      <c r="C3544" s="1807" t="s">
        <v>1466</v>
      </c>
      <c r="D3544" s="1228">
        <v>0.12</v>
      </c>
      <c r="E3544" s="1297" t="s">
        <v>75</v>
      </c>
      <c r="F3544" s="1223">
        <f>LEAD!$N$13</f>
        <v>2453.91</v>
      </c>
      <c r="G3544" s="1272">
        <v>1</v>
      </c>
      <c r="H3544" s="1271" t="s">
        <v>75</v>
      </c>
      <c r="I3544" s="1205">
        <f t="shared" si="827"/>
        <v>294.46919999999994</v>
      </c>
      <c r="J3544" s="1846"/>
      <c r="K3544" s="1846"/>
      <c r="L3544" s="1846"/>
    </row>
    <row r="3545" spans="1:12">
      <c r="A3545" s="1197"/>
      <c r="B3545" s="1197"/>
      <c r="C3545" s="1807" t="s">
        <v>1467</v>
      </c>
      <c r="D3545" s="1228">
        <v>34.56</v>
      </c>
      <c r="E3545" s="1297" t="s">
        <v>1110</v>
      </c>
      <c r="F3545" s="1223">
        <f>LEAD!$N$6</f>
        <v>5200</v>
      </c>
      <c r="G3545" s="1272">
        <v>1000</v>
      </c>
      <c r="H3545" s="1271" t="s">
        <v>1110</v>
      </c>
      <c r="I3545" s="1205">
        <f t="shared" si="827"/>
        <v>179.71199999999999</v>
      </c>
      <c r="J3545" s="1846"/>
      <c r="K3545" s="1846"/>
      <c r="L3545" s="1846"/>
    </row>
    <row r="3546" spans="1:12">
      <c r="A3546" s="1197"/>
      <c r="B3546" s="1197"/>
      <c r="C3546" s="1807" t="s">
        <v>1398</v>
      </c>
      <c r="D3546" s="1228">
        <v>33</v>
      </c>
      <c r="E3546" s="1297" t="s">
        <v>1110</v>
      </c>
      <c r="F3546" s="1223">
        <f>LEAD!$N$6</f>
        <v>5200</v>
      </c>
      <c r="G3546" s="1272">
        <v>1000</v>
      </c>
      <c r="H3546" s="1271" t="s">
        <v>1110</v>
      </c>
      <c r="I3546" s="1205">
        <f t="shared" si="827"/>
        <v>171.6</v>
      </c>
      <c r="J3546" s="1846"/>
      <c r="K3546" s="1846"/>
      <c r="L3546" s="1846"/>
    </row>
    <row r="3547" spans="1:12">
      <c r="A3547" s="1197"/>
      <c r="B3547" s="1197"/>
      <c r="C3547" s="1807" t="s">
        <v>1483</v>
      </c>
      <c r="D3547" s="1228">
        <v>5</v>
      </c>
      <c r="E3547" s="1297" t="s">
        <v>1110</v>
      </c>
      <c r="F3547" s="1223">
        <f>'Civil-SOR'!$G$185</f>
        <v>34</v>
      </c>
      <c r="G3547" s="1272">
        <v>1</v>
      </c>
      <c r="H3547" s="1271" t="s">
        <v>97</v>
      </c>
      <c r="I3547" s="1205">
        <f t="shared" si="827"/>
        <v>170</v>
      </c>
      <c r="J3547" s="1846"/>
      <c r="K3547" s="1846"/>
      <c r="L3547" s="1846"/>
    </row>
    <row r="3548" spans="1:12">
      <c r="A3548" s="1197"/>
      <c r="B3548" s="1197"/>
      <c r="C3548" s="1795" t="s">
        <v>1468</v>
      </c>
      <c r="D3548" s="1228"/>
      <c r="E3548" s="1297"/>
      <c r="F3548" s="1223"/>
      <c r="G3548" s="1272"/>
      <c r="H3548" s="1298"/>
      <c r="I3548" s="1219"/>
      <c r="J3548" s="1846"/>
      <c r="K3548" s="1846"/>
      <c r="L3548" s="1846"/>
    </row>
    <row r="3549" spans="1:12">
      <c r="A3549" s="1197"/>
      <c r="B3549" s="1197"/>
      <c r="C3549" s="1807" t="s">
        <v>1299</v>
      </c>
      <c r="D3549" s="1228">
        <v>2.1</v>
      </c>
      <c r="E3549" s="1297" t="s">
        <v>36</v>
      </c>
      <c r="F3549" s="1223">
        <f>'Civil-SOR'!$G$293</f>
        <v>580</v>
      </c>
      <c r="G3549" s="1272">
        <v>1</v>
      </c>
      <c r="H3549" s="1271" t="s">
        <v>501</v>
      </c>
      <c r="I3549" s="1205">
        <f t="shared" ref="I3549:I3553" si="828">IF(G3549="",D3549*F3549,(D3549*F3549/G3549))</f>
        <v>1218</v>
      </c>
      <c r="J3549" s="1846"/>
      <c r="K3549" s="1846"/>
      <c r="L3549" s="1846"/>
    </row>
    <row r="3550" spans="1:12">
      <c r="A3550" s="1197"/>
      <c r="B3550" s="1197"/>
      <c r="C3550" s="1807" t="s">
        <v>1325</v>
      </c>
      <c r="D3550" s="1228">
        <v>4.9000000000000004</v>
      </c>
      <c r="E3550" s="1297" t="s">
        <v>36</v>
      </c>
      <c r="F3550" s="1223">
        <f>'Civil-SOR'!$G$302</f>
        <v>550</v>
      </c>
      <c r="G3550" s="1272">
        <v>1</v>
      </c>
      <c r="H3550" s="1271" t="s">
        <v>501</v>
      </c>
      <c r="I3550" s="1205">
        <f t="shared" si="828"/>
        <v>2695</v>
      </c>
      <c r="J3550" s="1846"/>
      <c r="K3550" s="1846"/>
      <c r="L3550" s="1846"/>
    </row>
    <row r="3551" spans="1:12">
      <c r="A3551" s="1197"/>
      <c r="B3551" s="1197"/>
      <c r="C3551" s="1807" t="s">
        <v>1031</v>
      </c>
      <c r="D3551" s="1228">
        <v>0.8</v>
      </c>
      <c r="E3551" s="1297" t="s">
        <v>36</v>
      </c>
      <c r="F3551" s="1223">
        <f>'Civil-SOR'!$G$307</f>
        <v>520</v>
      </c>
      <c r="G3551" s="1272">
        <v>1</v>
      </c>
      <c r="H3551" s="1271" t="s">
        <v>501</v>
      </c>
      <c r="I3551" s="1205">
        <f t="shared" si="828"/>
        <v>416</v>
      </c>
      <c r="J3551" s="1846"/>
      <c r="K3551" s="1846"/>
      <c r="L3551" s="1846"/>
    </row>
    <row r="3552" spans="1:12">
      <c r="A3552" s="1197"/>
      <c r="B3552" s="1197"/>
      <c r="C3552" s="1199" t="str">
        <f>Input!$C$47</f>
        <v>Add for MA @ 40%</v>
      </c>
      <c r="D3552" s="1277">
        <f>Input!$D$47</f>
        <v>0.4</v>
      </c>
      <c r="E3552" s="1276"/>
      <c r="F3552" s="1223">
        <f>SUM(I3549:I3551)</f>
        <v>4329</v>
      </c>
      <c r="G3552" s="1278"/>
      <c r="H3552" s="1279"/>
      <c r="I3552" s="1205">
        <f t="shared" si="828"/>
        <v>1731.6000000000001</v>
      </c>
      <c r="J3552" s="1846"/>
      <c r="K3552" s="1846"/>
      <c r="L3552" s="1846"/>
    </row>
    <row r="3553" spans="1:12">
      <c r="A3553" s="1197"/>
      <c r="B3553" s="1197"/>
      <c r="C3553" s="1202" t="s">
        <v>1301</v>
      </c>
      <c r="D3553" s="1228">
        <v>0.01</v>
      </c>
      <c r="E3553" s="1297"/>
      <c r="F3553" s="1223">
        <f>SUM(I3543:I3552)</f>
        <v>19287.381199999996</v>
      </c>
      <c r="G3553" s="1272"/>
      <c r="H3553" s="1271"/>
      <c r="I3553" s="1205">
        <f t="shared" si="828"/>
        <v>192.87381199999996</v>
      </c>
      <c r="J3553" s="1846"/>
      <c r="K3553" s="1846"/>
      <c r="L3553" s="1846"/>
    </row>
    <row r="3554" spans="1:12" s="997" customFormat="1">
      <c r="A3554" s="1802"/>
      <c r="B3554" s="1802"/>
      <c r="C3554" s="1796" t="s">
        <v>1402</v>
      </c>
      <c r="D3554" s="1281"/>
      <c r="E3554" s="1282"/>
      <c r="F3554" s="1283"/>
      <c r="G3554" s="1284"/>
      <c r="H3554" s="1282"/>
      <c r="I3554" s="1285">
        <f>SUM(I3543:I3553)</f>
        <v>19480.255011999998</v>
      </c>
      <c r="J3554" s="996"/>
      <c r="K3554" s="996"/>
      <c r="L3554" s="996"/>
    </row>
    <row r="3555" spans="1:12">
      <c r="A3555" s="1197"/>
      <c r="B3555" s="1197"/>
      <c r="C3555" s="1814"/>
      <c r="D3555" s="1228"/>
      <c r="E3555" s="1271"/>
      <c r="F3555" s="1223"/>
      <c r="G3555" s="1272"/>
      <c r="H3555" s="1271"/>
      <c r="I3555" s="1201"/>
      <c r="J3555" s="1846"/>
      <c r="K3555" s="1846"/>
      <c r="L3555" s="1846"/>
    </row>
    <row r="3556" spans="1:12" s="997" customFormat="1">
      <c r="A3556" s="1802"/>
      <c r="B3556" s="1802"/>
      <c r="C3556" s="1796" t="s">
        <v>1217</v>
      </c>
      <c r="D3556" s="1218" t="s">
        <v>1223</v>
      </c>
      <c r="E3556" s="1225" t="s">
        <v>1207</v>
      </c>
      <c r="F3556" s="1299" t="s">
        <v>1208</v>
      </c>
      <c r="G3556" s="1218" t="s">
        <v>1291</v>
      </c>
      <c r="H3556" s="1218" t="s">
        <v>1292</v>
      </c>
      <c r="I3556" s="1218" t="s">
        <v>1293</v>
      </c>
      <c r="J3556" s="1826"/>
      <c r="K3556" s="1826" t="s">
        <v>1358</v>
      </c>
      <c r="L3556" s="1826" t="s">
        <v>1359</v>
      </c>
    </row>
    <row r="3557" spans="1:12">
      <c r="A3557" s="1197"/>
      <c r="B3557" s="1197"/>
      <c r="C3557" s="1807" t="s">
        <v>1317</v>
      </c>
      <c r="D3557" s="1223">
        <f t="shared" ref="D3557:L3557" si="829">$I$3554</f>
        <v>19480.255011999998</v>
      </c>
      <c r="E3557" s="1223">
        <f t="shared" si="829"/>
        <v>19480.255011999998</v>
      </c>
      <c r="F3557" s="1223">
        <f t="shared" si="829"/>
        <v>19480.255011999998</v>
      </c>
      <c r="G3557" s="1223">
        <f t="shared" si="829"/>
        <v>19480.255011999998</v>
      </c>
      <c r="H3557" s="1223">
        <f t="shared" si="829"/>
        <v>19480.255011999998</v>
      </c>
      <c r="I3557" s="1223">
        <f t="shared" si="829"/>
        <v>19480.255011999998</v>
      </c>
      <c r="J3557" s="1001"/>
      <c r="K3557" s="1001">
        <f t="shared" si="829"/>
        <v>19480.255011999998</v>
      </c>
      <c r="L3557" s="1001">
        <f t="shared" si="829"/>
        <v>19480.255011999998</v>
      </c>
    </row>
    <row r="3558" spans="1:12">
      <c r="A3558" s="1197"/>
      <c r="B3558" s="1197"/>
      <c r="C3558" s="1807" t="s">
        <v>1253</v>
      </c>
      <c r="D3558" s="1223">
        <v>0</v>
      </c>
      <c r="E3558" s="1223">
        <f>ROUND($F$3552*10%,2)</f>
        <v>432.9</v>
      </c>
      <c r="F3558" s="1223">
        <f>ROUND($F$3552*20%,2)</f>
        <v>865.8</v>
      </c>
      <c r="G3558" s="1223">
        <f>ROUND($F$3552*30%,2)</f>
        <v>1298.7</v>
      </c>
      <c r="H3558" s="1223">
        <f>ROUND($F$3552*40%,2)</f>
        <v>1731.6</v>
      </c>
      <c r="I3558" s="1223">
        <f>ROUND($F$3552*50%,2)</f>
        <v>2164.5</v>
      </c>
      <c r="J3558" s="1001"/>
      <c r="K3558" s="1001">
        <f>ROUND($F$3552*70%,2)</f>
        <v>3030.3</v>
      </c>
      <c r="L3558" s="1001">
        <f>ROUND($F$3552*80%,2)</f>
        <v>3463.2</v>
      </c>
    </row>
    <row r="3559" spans="1:12">
      <c r="A3559" s="1197"/>
      <c r="B3559" s="1197"/>
      <c r="C3559" s="1807" t="str">
        <f>Input!$C$47</f>
        <v>Add for MA @ 40%</v>
      </c>
      <c r="D3559" s="1223">
        <f>D3558*Input!$D$47</f>
        <v>0</v>
      </c>
      <c r="E3559" s="1223">
        <f>E3558*Input!$D$47</f>
        <v>173.16</v>
      </c>
      <c r="F3559" s="1223">
        <f>F3558*Input!$D$47</f>
        <v>346.32</v>
      </c>
      <c r="G3559" s="1223">
        <f>G3558*Input!$D$47</f>
        <v>519.48</v>
      </c>
      <c r="H3559" s="1223">
        <f>H3558*Input!$D$47</f>
        <v>692.64</v>
      </c>
      <c r="I3559" s="1223">
        <f>I3558*Input!$D$47</f>
        <v>865.80000000000007</v>
      </c>
      <c r="J3559" s="1001"/>
      <c r="K3559" s="1001">
        <f>K3558*Input!$D$47</f>
        <v>1212.1200000000001</v>
      </c>
      <c r="L3559" s="1001">
        <f>L3558*Input!$D$47</f>
        <v>1385.28</v>
      </c>
    </row>
    <row r="3560" spans="1:12">
      <c r="A3560" s="1197"/>
      <c r="B3560" s="1197"/>
      <c r="C3560" s="1199"/>
      <c r="D3560" s="1223">
        <f t="shared" ref="D3560:L3560" si="830">SUM(D3557:D3559)</f>
        <v>19480.255011999998</v>
      </c>
      <c r="E3560" s="1223">
        <f t="shared" si="830"/>
        <v>20086.315011999999</v>
      </c>
      <c r="F3560" s="1223">
        <f t="shared" si="830"/>
        <v>20692.375011999997</v>
      </c>
      <c r="G3560" s="1223">
        <f t="shared" si="830"/>
        <v>21298.435011999998</v>
      </c>
      <c r="H3560" s="1223">
        <f t="shared" si="830"/>
        <v>21904.495011999996</v>
      </c>
      <c r="I3560" s="1223">
        <f t="shared" si="830"/>
        <v>22510.555011999997</v>
      </c>
      <c r="J3560" s="1001"/>
      <c r="K3560" s="1001">
        <f t="shared" si="830"/>
        <v>23722.675011999996</v>
      </c>
      <c r="L3560" s="1001">
        <f t="shared" si="830"/>
        <v>24328.735011999997</v>
      </c>
    </row>
    <row r="3561" spans="1:12">
      <c r="A3561" s="1197"/>
      <c r="B3561" s="1197"/>
      <c r="C3561" s="1807" t="str">
        <f>Input!$C$48</f>
        <v>Overheads &amp; Contractors Profit @ 13.615%</v>
      </c>
      <c r="D3561" s="1223">
        <f>ROUND(D3560*Input!$D$48,2)</f>
        <v>2652.24</v>
      </c>
      <c r="E3561" s="1223">
        <f>ROUND(E3560*Input!$D$48,2)</f>
        <v>2734.75</v>
      </c>
      <c r="F3561" s="1223">
        <f>ROUND(F3560*Input!$D$48,2)</f>
        <v>2817.27</v>
      </c>
      <c r="G3561" s="1223">
        <f>ROUND(G3560*Input!$D$48,2)</f>
        <v>2899.78</v>
      </c>
      <c r="H3561" s="1223">
        <f>ROUND(H3560*Input!$D$48,2)</f>
        <v>2982.3</v>
      </c>
      <c r="I3561" s="1223">
        <f>ROUND(I3560*Input!$D$48,2)</f>
        <v>3064.81</v>
      </c>
      <c r="J3561" s="1001"/>
      <c r="K3561" s="1001">
        <f>ROUND(K3560*Input!$D$48,2)</f>
        <v>3229.84</v>
      </c>
      <c r="L3561" s="1001">
        <f>ROUND(L3560*Input!$D$48,2)</f>
        <v>3312.36</v>
      </c>
    </row>
    <row r="3562" spans="1:12">
      <c r="A3562" s="1197"/>
      <c r="B3562" s="1197"/>
      <c r="C3562" s="1795" t="s">
        <v>1302</v>
      </c>
      <c r="D3562" s="1220">
        <f t="shared" ref="D3562:L3562" si="831">SUM(D3560:D3561)</f>
        <v>22132.495011999999</v>
      </c>
      <c r="E3562" s="1220">
        <f t="shared" si="831"/>
        <v>22821.065011999999</v>
      </c>
      <c r="F3562" s="1220">
        <f t="shared" si="831"/>
        <v>23509.645011999997</v>
      </c>
      <c r="G3562" s="1220">
        <f t="shared" si="831"/>
        <v>24198.215011999997</v>
      </c>
      <c r="H3562" s="1220">
        <f t="shared" si="831"/>
        <v>24886.795011999995</v>
      </c>
      <c r="I3562" s="1220">
        <f t="shared" si="831"/>
        <v>25575.365011999998</v>
      </c>
      <c r="J3562" s="1009"/>
      <c r="K3562" s="1009">
        <f t="shared" si="831"/>
        <v>26952.515011999996</v>
      </c>
      <c r="L3562" s="1009">
        <f t="shared" si="831"/>
        <v>27641.095011999998</v>
      </c>
    </row>
    <row r="3563" spans="1:12" s="997" customFormat="1">
      <c r="A3563" s="1802"/>
      <c r="B3563" s="1802"/>
      <c r="C3563" s="1796" t="s">
        <v>1288</v>
      </c>
      <c r="D3563" s="1218">
        <f t="shared" ref="D3563:L3563" si="832">D3562*0.01</f>
        <v>221.32495012000001</v>
      </c>
      <c r="E3563" s="1218">
        <f t="shared" si="832"/>
        <v>228.21065012</v>
      </c>
      <c r="F3563" s="1218">
        <f t="shared" si="832"/>
        <v>235.09645011999999</v>
      </c>
      <c r="G3563" s="1218">
        <f t="shared" si="832"/>
        <v>241.98215011999997</v>
      </c>
      <c r="H3563" s="1218">
        <f t="shared" si="832"/>
        <v>248.86795011999996</v>
      </c>
      <c r="I3563" s="1218">
        <f t="shared" si="832"/>
        <v>255.75365012</v>
      </c>
      <c r="J3563" s="1826"/>
      <c r="K3563" s="1826">
        <f t="shared" si="832"/>
        <v>269.52515011999998</v>
      </c>
      <c r="L3563" s="1826">
        <f t="shared" si="832"/>
        <v>276.41095012</v>
      </c>
    </row>
    <row r="3564" spans="1:12" s="997" customFormat="1">
      <c r="A3564" s="1802"/>
      <c r="B3564" s="1802"/>
      <c r="C3564" s="1224" t="s">
        <v>1034</v>
      </c>
      <c r="D3564" s="1225">
        <f t="shared" ref="D3564:L3564" si="833">ROUND(D3563,0)</f>
        <v>221</v>
      </c>
      <c r="E3564" s="1225">
        <f t="shared" si="833"/>
        <v>228</v>
      </c>
      <c r="F3564" s="1225">
        <f t="shared" si="833"/>
        <v>235</v>
      </c>
      <c r="G3564" s="1225">
        <f t="shared" si="833"/>
        <v>242</v>
      </c>
      <c r="H3564" s="1225">
        <f t="shared" si="833"/>
        <v>249</v>
      </c>
      <c r="I3564" s="1225">
        <f t="shared" si="833"/>
        <v>256</v>
      </c>
      <c r="J3564" s="999"/>
      <c r="K3564" s="999">
        <f t="shared" si="833"/>
        <v>270</v>
      </c>
      <c r="L3564" s="999">
        <f t="shared" si="833"/>
        <v>276</v>
      </c>
    </row>
    <row r="3565" spans="1:12">
      <c r="A3565" s="1197"/>
      <c r="B3565" s="1197"/>
      <c r="C3565" s="1814"/>
      <c r="D3565" s="1228"/>
      <c r="E3565" s="1271"/>
      <c r="F3565" s="1223"/>
      <c r="G3565" s="1272"/>
      <c r="H3565" s="1271"/>
      <c r="I3565" s="1201"/>
      <c r="J3565" s="1846"/>
      <c r="K3565" s="1846"/>
      <c r="L3565" s="1846"/>
    </row>
    <row r="3566" spans="1:12" ht="94.7" customHeight="1">
      <c r="A3566" s="1197"/>
      <c r="B3566" s="1197" t="s">
        <v>297</v>
      </c>
      <c r="C3566" s="2006" t="s">
        <v>3444</v>
      </c>
      <c r="D3566" s="2006"/>
      <c r="E3566" s="2006"/>
      <c r="F3566" s="2006"/>
      <c r="G3566" s="2006"/>
      <c r="H3566" s="2006"/>
      <c r="I3566" s="1814"/>
      <c r="J3566" s="1846"/>
      <c r="K3566" s="1846"/>
      <c r="L3566" s="1846"/>
    </row>
    <row r="3567" spans="1:12" s="997" customFormat="1">
      <c r="A3567" s="1802"/>
      <c r="B3567" s="1802"/>
      <c r="C3567" s="1796" t="s">
        <v>1217</v>
      </c>
      <c r="D3567" s="1218" t="s">
        <v>1223</v>
      </c>
      <c r="E3567" s="1225" t="s">
        <v>1207</v>
      </c>
      <c r="F3567" s="1299" t="s">
        <v>1208</v>
      </c>
      <c r="G3567" s="1218" t="s">
        <v>1291</v>
      </c>
      <c r="H3567" s="1218" t="s">
        <v>1292</v>
      </c>
      <c r="I3567" s="1218" t="s">
        <v>1293</v>
      </c>
      <c r="J3567" s="1826"/>
      <c r="K3567" s="1826" t="s">
        <v>1358</v>
      </c>
      <c r="L3567" s="1826" t="s">
        <v>1359</v>
      </c>
    </row>
    <row r="3568" spans="1:12">
      <c r="A3568" s="1197"/>
      <c r="B3568" s="1197"/>
      <c r="C3568" s="1807" t="s">
        <v>1317</v>
      </c>
      <c r="D3568" s="1223">
        <f t="shared" ref="D3568:L3568" si="834">$I$3554</f>
        <v>19480.255011999998</v>
      </c>
      <c r="E3568" s="1223">
        <f t="shared" si="834"/>
        <v>19480.255011999998</v>
      </c>
      <c r="F3568" s="1223">
        <f t="shared" si="834"/>
        <v>19480.255011999998</v>
      </c>
      <c r="G3568" s="1223">
        <f t="shared" si="834"/>
        <v>19480.255011999998</v>
      </c>
      <c r="H3568" s="1223">
        <f t="shared" si="834"/>
        <v>19480.255011999998</v>
      </c>
      <c r="I3568" s="1223">
        <f t="shared" si="834"/>
        <v>19480.255011999998</v>
      </c>
      <c r="J3568" s="1001"/>
      <c r="K3568" s="1001">
        <f t="shared" si="834"/>
        <v>19480.255011999998</v>
      </c>
      <c r="L3568" s="1001">
        <f t="shared" si="834"/>
        <v>19480.255011999998</v>
      </c>
    </row>
    <row r="3569" spans="1:12">
      <c r="A3569" s="1197"/>
      <c r="B3569" s="1197"/>
      <c r="C3569" s="1807" t="s">
        <v>1253</v>
      </c>
      <c r="D3569" s="1223">
        <v>0</v>
      </c>
      <c r="E3569" s="1223">
        <f>ROUND($F$3552*10%,2)</f>
        <v>432.9</v>
      </c>
      <c r="F3569" s="1223">
        <f>ROUND($F$3552*20%,2)</f>
        <v>865.8</v>
      </c>
      <c r="G3569" s="1223">
        <f>ROUND($F$3552*30%,2)</f>
        <v>1298.7</v>
      </c>
      <c r="H3569" s="1223">
        <f>ROUND($F$3552*40%,2)</f>
        <v>1731.6</v>
      </c>
      <c r="I3569" s="1223">
        <f>ROUND($F$3552*50%,2)</f>
        <v>2164.5</v>
      </c>
      <c r="J3569" s="1001"/>
      <c r="K3569" s="1001">
        <f>ROUND($F$3552*70%,2)</f>
        <v>3030.3</v>
      </c>
      <c r="L3569" s="1001">
        <f>ROUND($F$3552*80%,2)</f>
        <v>3463.2</v>
      </c>
    </row>
    <row r="3570" spans="1:12">
      <c r="A3570" s="1197"/>
      <c r="B3570" s="1197"/>
      <c r="C3570" s="1807" t="str">
        <f>Input!$C$47</f>
        <v>Add for MA @ 40%</v>
      </c>
      <c r="D3570" s="1223">
        <f>D3569*Input!$D$47</f>
        <v>0</v>
      </c>
      <c r="E3570" s="1223">
        <f>E3569*Input!$D$47</f>
        <v>173.16</v>
      </c>
      <c r="F3570" s="1223">
        <f>F3569*Input!$D$47</f>
        <v>346.32</v>
      </c>
      <c r="G3570" s="1223">
        <f>G3569*Input!$D$47</f>
        <v>519.48</v>
      </c>
      <c r="H3570" s="1223">
        <f>H3569*Input!$D$47</f>
        <v>692.64</v>
      </c>
      <c r="I3570" s="1223">
        <f>I3569*Input!$D$47</f>
        <v>865.80000000000007</v>
      </c>
      <c r="J3570" s="1001"/>
      <c r="K3570" s="1001">
        <f>K3569*Input!$D$47</f>
        <v>1212.1200000000001</v>
      </c>
      <c r="L3570" s="1001">
        <f>L3569*Input!$D$47</f>
        <v>1385.28</v>
      </c>
    </row>
    <row r="3571" spans="1:12" s="997" customFormat="1">
      <c r="A3571" s="1802"/>
      <c r="B3571" s="1802"/>
      <c r="C3571" s="1215"/>
      <c r="D3571" s="1283">
        <f t="shared" ref="D3571:L3571" si="835">SUM(D3568:D3570)</f>
        <v>19480.255011999998</v>
      </c>
      <c r="E3571" s="1283">
        <f t="shared" si="835"/>
        <v>20086.315011999999</v>
      </c>
      <c r="F3571" s="1283">
        <f t="shared" si="835"/>
        <v>20692.375011999997</v>
      </c>
      <c r="G3571" s="1283">
        <f t="shared" si="835"/>
        <v>21298.435011999998</v>
      </c>
      <c r="H3571" s="1283">
        <f t="shared" si="835"/>
        <v>21904.495011999996</v>
      </c>
      <c r="I3571" s="1283">
        <f t="shared" si="835"/>
        <v>22510.555011999997</v>
      </c>
      <c r="J3571" s="994"/>
      <c r="K3571" s="994">
        <f t="shared" si="835"/>
        <v>23722.675011999996</v>
      </c>
      <c r="L3571" s="994">
        <f t="shared" si="835"/>
        <v>24328.735011999997</v>
      </c>
    </row>
    <row r="3572" spans="1:12">
      <c r="A3572" s="1197"/>
      <c r="B3572" s="1197"/>
      <c r="C3572" s="1807" t="str">
        <f>Input!$C$48</f>
        <v>Overheads &amp; Contractors Profit @ 13.615%</v>
      </c>
      <c r="D3572" s="1223">
        <f>ROUND(D3571*Input!$D$48,2)</f>
        <v>2652.24</v>
      </c>
      <c r="E3572" s="1223">
        <f>ROUND(E3571*Input!$D$48,2)</f>
        <v>2734.75</v>
      </c>
      <c r="F3572" s="1223">
        <f>ROUND(F3571*Input!$D$48,2)</f>
        <v>2817.27</v>
      </c>
      <c r="G3572" s="1223">
        <f>ROUND(G3571*Input!$D$48,2)</f>
        <v>2899.78</v>
      </c>
      <c r="H3572" s="1223">
        <f>ROUND(H3571*Input!$D$48,2)</f>
        <v>2982.3</v>
      </c>
      <c r="I3572" s="1223">
        <f>ROUND(I3571*Input!$D$48,2)</f>
        <v>3064.81</v>
      </c>
      <c r="J3572" s="1001"/>
      <c r="K3572" s="1001">
        <f>ROUND(K3571*Input!$D$48,2)</f>
        <v>3229.84</v>
      </c>
      <c r="L3572" s="1001">
        <f>ROUND(L3571*Input!$D$48,2)</f>
        <v>3312.36</v>
      </c>
    </row>
    <row r="3573" spans="1:12" s="997" customFormat="1">
      <c r="A3573" s="1802"/>
      <c r="B3573" s="1802"/>
      <c r="C3573" s="1796" t="s">
        <v>1302</v>
      </c>
      <c r="D3573" s="1218">
        <f t="shared" ref="D3573:L3573" si="836">SUM(D3571:D3572)</f>
        <v>22132.495011999999</v>
      </c>
      <c r="E3573" s="1218">
        <f t="shared" si="836"/>
        <v>22821.065011999999</v>
      </c>
      <c r="F3573" s="1218">
        <f t="shared" si="836"/>
        <v>23509.645011999997</v>
      </c>
      <c r="G3573" s="1218">
        <f t="shared" si="836"/>
        <v>24198.215011999997</v>
      </c>
      <c r="H3573" s="1218">
        <f t="shared" si="836"/>
        <v>24886.795011999995</v>
      </c>
      <c r="I3573" s="1218">
        <f t="shared" si="836"/>
        <v>25575.365011999998</v>
      </c>
      <c r="J3573" s="1826"/>
      <c r="K3573" s="1826">
        <f t="shared" si="836"/>
        <v>26952.515011999996</v>
      </c>
      <c r="L3573" s="1826">
        <f t="shared" si="836"/>
        <v>27641.095011999998</v>
      </c>
    </row>
    <row r="3574" spans="1:12" s="997" customFormat="1">
      <c r="A3574" s="1802"/>
      <c r="B3574" s="1802"/>
      <c r="C3574" s="1796" t="s">
        <v>1117</v>
      </c>
      <c r="D3574" s="1218">
        <f t="shared" ref="D3574:L3574" si="837">D3573/10</f>
        <v>2213.2495011999999</v>
      </c>
      <c r="E3574" s="1218">
        <f t="shared" si="837"/>
        <v>2282.1065011999999</v>
      </c>
      <c r="F3574" s="1218">
        <f t="shared" si="837"/>
        <v>2350.9645011999996</v>
      </c>
      <c r="G3574" s="1218">
        <f t="shared" si="837"/>
        <v>2419.8215011999996</v>
      </c>
      <c r="H3574" s="1218">
        <f t="shared" si="837"/>
        <v>2488.6795011999993</v>
      </c>
      <c r="I3574" s="1218">
        <f t="shared" si="837"/>
        <v>2557.5365011999997</v>
      </c>
      <c r="J3574" s="1826"/>
      <c r="K3574" s="1826">
        <f t="shared" si="837"/>
        <v>2695.2515011999994</v>
      </c>
      <c r="L3574" s="1826">
        <f t="shared" si="837"/>
        <v>2764.1095011999996</v>
      </c>
    </row>
    <row r="3575" spans="1:12" s="997" customFormat="1">
      <c r="A3575" s="1802"/>
      <c r="B3575" s="1802"/>
      <c r="C3575" s="1224" t="s">
        <v>1034</v>
      </c>
      <c r="D3575" s="1225">
        <f t="shared" ref="D3575:L3575" si="838">ROUND(D3574,0)</f>
        <v>2213</v>
      </c>
      <c r="E3575" s="1225">
        <f t="shared" si="838"/>
        <v>2282</v>
      </c>
      <c r="F3575" s="1225">
        <f t="shared" si="838"/>
        <v>2351</v>
      </c>
      <c r="G3575" s="1225">
        <f t="shared" si="838"/>
        <v>2420</v>
      </c>
      <c r="H3575" s="1225">
        <f t="shared" si="838"/>
        <v>2489</v>
      </c>
      <c r="I3575" s="1225">
        <f t="shared" si="838"/>
        <v>2558</v>
      </c>
      <c r="J3575" s="999"/>
      <c r="K3575" s="999">
        <f t="shared" si="838"/>
        <v>2695</v>
      </c>
      <c r="L3575" s="999">
        <f t="shared" si="838"/>
        <v>2764</v>
      </c>
    </row>
    <row r="3576" spans="1:12">
      <c r="A3576" s="1197"/>
      <c r="B3576" s="1197"/>
      <c r="C3576" s="1199"/>
      <c r="D3576" s="1227"/>
      <c r="E3576" s="1228"/>
      <c r="F3576" s="1223"/>
      <c r="G3576" s="1199"/>
      <c r="H3576" s="1311"/>
      <c r="I3576" s="1220"/>
      <c r="J3576" s="1846"/>
      <c r="K3576" s="1846"/>
      <c r="L3576" s="1846"/>
    </row>
    <row r="3577" spans="1:12" ht="83.65" customHeight="1">
      <c r="A3577" s="1197">
        <f>A3539+1</f>
        <v>43</v>
      </c>
      <c r="B3577" s="1222" t="s">
        <v>294</v>
      </c>
      <c r="C3577" s="2006" t="s">
        <v>3445</v>
      </c>
      <c r="D3577" s="2006"/>
      <c r="E3577" s="2006"/>
      <c r="F3577" s="2006"/>
      <c r="G3577" s="2006"/>
      <c r="H3577" s="2006"/>
      <c r="I3577" s="1814"/>
      <c r="J3577" s="1846"/>
      <c r="K3577" s="1846"/>
      <c r="L3577" s="1846"/>
    </row>
    <row r="3578" spans="1:12">
      <c r="A3578" s="1197"/>
      <c r="B3578" s="1197"/>
      <c r="C3578" s="1198" t="s">
        <v>1487</v>
      </c>
      <c r="D3578" s="1228"/>
      <c r="E3578" s="1297"/>
      <c r="F3578" s="1223"/>
      <c r="G3578" s="1272"/>
      <c r="H3578" s="1298"/>
      <c r="I3578" s="1219"/>
      <c r="J3578" s="1846"/>
      <c r="K3578" s="1846"/>
      <c r="L3578" s="1846"/>
    </row>
    <row r="3579" spans="1:12">
      <c r="A3579" s="1197"/>
      <c r="B3579" s="1197"/>
      <c r="C3579" s="1807" t="s">
        <v>1464</v>
      </c>
      <c r="D3579" s="1228"/>
      <c r="E3579" s="1297"/>
      <c r="F3579" s="1223"/>
      <c r="G3579" s="1272"/>
      <c r="H3579" s="1298"/>
      <c r="I3579" s="1219"/>
      <c r="J3579" s="1846"/>
      <c r="K3579" s="1846"/>
      <c r="L3579" s="1846"/>
    </row>
    <row r="3580" spans="1:12">
      <c r="A3580" s="1197"/>
      <c r="B3580" s="1197"/>
      <c r="C3580" s="1795" t="s">
        <v>1139</v>
      </c>
      <c r="D3580" s="1228"/>
      <c r="E3580" s="1297"/>
      <c r="F3580" s="1223"/>
      <c r="G3580" s="1272"/>
      <c r="H3580" s="1298"/>
      <c r="I3580" s="1219"/>
      <c r="J3580" s="1846"/>
      <c r="K3580" s="1846"/>
      <c r="L3580" s="1846"/>
    </row>
    <row r="3581" spans="1:12">
      <c r="A3581" s="1197"/>
      <c r="B3581" s="1197"/>
      <c r="C3581" s="1807" t="s">
        <v>1476</v>
      </c>
      <c r="D3581" s="1228">
        <v>10.5</v>
      </c>
      <c r="E3581" s="1297" t="s">
        <v>94</v>
      </c>
      <c r="F3581" s="1223">
        <f>LEAD!$N$28</f>
        <v>3030</v>
      </c>
      <c r="G3581" s="1272">
        <v>1</v>
      </c>
      <c r="H3581" s="1271" t="s">
        <v>94</v>
      </c>
      <c r="I3581" s="1205">
        <f t="shared" ref="I3581:I3587" si="839">IF(G3581="",D3581*F3581,(D3581*F3581/G3581))</f>
        <v>31815</v>
      </c>
      <c r="J3581" s="1846"/>
      <c r="K3581" s="1846"/>
      <c r="L3581" s="1846"/>
    </row>
    <row r="3582" spans="1:12">
      <c r="A3582" s="1197"/>
      <c r="B3582" s="1197"/>
      <c r="C3582" s="1807" t="s">
        <v>1466</v>
      </c>
      <c r="D3582" s="1228">
        <v>0.12</v>
      </c>
      <c r="E3582" s="1297" t="s">
        <v>75</v>
      </c>
      <c r="F3582" s="1223">
        <f>LEAD!$N$13</f>
        <v>2453.91</v>
      </c>
      <c r="G3582" s="1272">
        <v>1</v>
      </c>
      <c r="H3582" s="1271" t="s">
        <v>75</v>
      </c>
      <c r="I3582" s="1205">
        <f t="shared" si="839"/>
        <v>294.46919999999994</v>
      </c>
      <c r="J3582" s="1846"/>
      <c r="K3582" s="1846"/>
      <c r="L3582" s="1846"/>
    </row>
    <row r="3583" spans="1:12">
      <c r="A3583" s="1197"/>
      <c r="B3583" s="1197"/>
      <c r="C3583" s="1807" t="s">
        <v>1467</v>
      </c>
      <c r="D3583" s="1228">
        <v>34.56</v>
      </c>
      <c r="E3583" s="1297" t="s">
        <v>1110</v>
      </c>
      <c r="F3583" s="1223">
        <f>LEAD!$N$6</f>
        <v>5200</v>
      </c>
      <c r="G3583" s="1272">
        <v>1000</v>
      </c>
      <c r="H3583" s="1271" t="s">
        <v>1110</v>
      </c>
      <c r="I3583" s="1205">
        <f t="shared" si="839"/>
        <v>179.71199999999999</v>
      </c>
      <c r="J3583" s="1846"/>
      <c r="K3583" s="1846"/>
      <c r="L3583" s="1846"/>
    </row>
    <row r="3584" spans="1:12">
      <c r="A3584" s="1197"/>
      <c r="B3584" s="1197"/>
      <c r="C3584" s="1807" t="s">
        <v>1398</v>
      </c>
      <c r="D3584" s="1228">
        <v>33</v>
      </c>
      <c r="E3584" s="1297" t="s">
        <v>1110</v>
      </c>
      <c r="F3584" s="1223">
        <f>LEAD!$N$6</f>
        <v>5200</v>
      </c>
      <c r="G3584" s="1272">
        <v>1000</v>
      </c>
      <c r="H3584" s="1271" t="s">
        <v>1110</v>
      </c>
      <c r="I3584" s="1205">
        <f t="shared" si="839"/>
        <v>171.6</v>
      </c>
      <c r="J3584" s="1846"/>
      <c r="K3584" s="1846"/>
      <c r="L3584" s="1846"/>
    </row>
    <row r="3585" spans="1:12">
      <c r="A3585" s="1197"/>
      <c r="B3585" s="1197"/>
      <c r="C3585" s="1807" t="s">
        <v>1483</v>
      </c>
      <c r="D3585" s="1228">
        <v>5</v>
      </c>
      <c r="E3585" s="1297" t="s">
        <v>1110</v>
      </c>
      <c r="F3585" s="1223">
        <f>'Civil-SOR'!$G$185</f>
        <v>34</v>
      </c>
      <c r="G3585" s="1272">
        <v>1</v>
      </c>
      <c r="H3585" s="1271" t="s">
        <v>97</v>
      </c>
      <c r="I3585" s="1205">
        <f t="shared" si="839"/>
        <v>170</v>
      </c>
      <c r="J3585" s="1846"/>
      <c r="K3585" s="1846"/>
      <c r="L3585" s="1846"/>
    </row>
    <row r="3586" spans="1:12">
      <c r="A3586" s="1197"/>
      <c r="B3586" s="1197"/>
      <c r="C3586" s="1807" t="s">
        <v>1445</v>
      </c>
      <c r="D3586" s="1227">
        <v>66.67</v>
      </c>
      <c r="E3586" s="1303" t="s">
        <v>197</v>
      </c>
      <c r="F3586" s="1205">
        <f>'Civil-SOR'!$G$200</f>
        <v>24</v>
      </c>
      <c r="G3586" s="1269">
        <v>1</v>
      </c>
      <c r="H3586" s="1268" t="s">
        <v>197</v>
      </c>
      <c r="I3586" s="1205">
        <f t="shared" si="839"/>
        <v>1600.08</v>
      </c>
      <c r="J3586" s="1846"/>
      <c r="K3586" s="1846"/>
      <c r="L3586" s="1846"/>
    </row>
    <row r="3587" spans="1:12">
      <c r="A3587" s="1197"/>
      <c r="B3587" s="1197"/>
      <c r="C3587" s="1199" t="str">
        <f>Input!$C$47</f>
        <v>Add for MA @ 40%</v>
      </c>
      <c r="D3587" s="1277">
        <f>Input!$D$47</f>
        <v>0.4</v>
      </c>
      <c r="E3587" s="1276"/>
      <c r="F3587" s="1223">
        <f>I3586*40%</f>
        <v>640.03200000000004</v>
      </c>
      <c r="G3587" s="1278"/>
      <c r="H3587" s="1279"/>
      <c r="I3587" s="1205">
        <f t="shared" si="839"/>
        <v>256.01280000000003</v>
      </c>
      <c r="J3587" s="1846"/>
      <c r="K3587" s="1846"/>
      <c r="L3587" s="1846"/>
    </row>
    <row r="3588" spans="1:12">
      <c r="A3588" s="1197"/>
      <c r="B3588" s="1197"/>
      <c r="C3588" s="1795" t="s">
        <v>1468</v>
      </c>
      <c r="D3588" s="1228"/>
      <c r="E3588" s="1297"/>
      <c r="F3588" s="1223"/>
      <c r="G3588" s="1272"/>
      <c r="H3588" s="1298"/>
      <c r="I3588" s="1219"/>
      <c r="J3588" s="1846"/>
      <c r="K3588" s="1846"/>
      <c r="L3588" s="1846"/>
    </row>
    <row r="3589" spans="1:12">
      <c r="A3589" s="1197"/>
      <c r="B3589" s="1197"/>
      <c r="C3589" s="1807" t="s">
        <v>1299</v>
      </c>
      <c r="D3589" s="1228">
        <v>2.1</v>
      </c>
      <c r="E3589" s="1297" t="s">
        <v>36</v>
      </c>
      <c r="F3589" s="1223">
        <f>'Civil-SOR'!$G$293</f>
        <v>580</v>
      </c>
      <c r="G3589" s="1272">
        <v>1</v>
      </c>
      <c r="H3589" s="1271" t="s">
        <v>501</v>
      </c>
      <c r="I3589" s="1205">
        <f t="shared" ref="I3589:I3593" si="840">IF(G3589="",D3589*F3589,(D3589*F3589/G3589))</f>
        <v>1218</v>
      </c>
      <c r="J3589" s="1846"/>
      <c r="K3589" s="1846"/>
      <c r="L3589" s="1846"/>
    </row>
    <row r="3590" spans="1:12">
      <c r="A3590" s="1197"/>
      <c r="B3590" s="1197"/>
      <c r="C3590" s="1807" t="s">
        <v>1325</v>
      </c>
      <c r="D3590" s="1228">
        <v>4.9000000000000004</v>
      </c>
      <c r="E3590" s="1297" t="s">
        <v>36</v>
      </c>
      <c r="F3590" s="1223">
        <f>+F3591</f>
        <v>520</v>
      </c>
      <c r="G3590" s="1272">
        <v>1</v>
      </c>
      <c r="H3590" s="1271" t="s">
        <v>501</v>
      </c>
      <c r="I3590" s="1205">
        <f t="shared" si="840"/>
        <v>2548</v>
      </c>
      <c r="J3590" s="1846"/>
      <c r="K3590" s="1846"/>
      <c r="L3590" s="1846"/>
    </row>
    <row r="3591" spans="1:12">
      <c r="A3591" s="1197"/>
      <c r="B3591" s="1197"/>
      <c r="C3591" s="1807" t="s">
        <v>1479</v>
      </c>
      <c r="D3591" s="1228">
        <v>0.8</v>
      </c>
      <c r="E3591" s="1297" t="s">
        <v>36</v>
      </c>
      <c r="F3591" s="1223">
        <f>'Civil-SOR'!$G$307</f>
        <v>520</v>
      </c>
      <c r="G3591" s="1272">
        <v>1</v>
      </c>
      <c r="H3591" s="1271" t="s">
        <v>501</v>
      </c>
      <c r="I3591" s="1205">
        <f t="shared" si="840"/>
        <v>416</v>
      </c>
      <c r="J3591" s="1846"/>
      <c r="K3591" s="1846"/>
      <c r="L3591" s="1846"/>
    </row>
    <row r="3592" spans="1:12">
      <c r="A3592" s="1197"/>
      <c r="B3592" s="1197"/>
      <c r="C3592" s="1199" t="str">
        <f>Input!$C$47</f>
        <v>Add for MA @ 40%</v>
      </c>
      <c r="D3592" s="1277">
        <f>Input!$D$47</f>
        <v>0.4</v>
      </c>
      <c r="E3592" s="1276"/>
      <c r="F3592" s="1223">
        <f>SUM(I3589:I3591)</f>
        <v>4182</v>
      </c>
      <c r="G3592" s="1278"/>
      <c r="H3592" s="1279"/>
      <c r="I3592" s="1205">
        <f t="shared" si="840"/>
        <v>1672.8000000000002</v>
      </c>
      <c r="J3592" s="1846"/>
      <c r="K3592" s="1846"/>
      <c r="L3592" s="1846"/>
    </row>
    <row r="3593" spans="1:12">
      <c r="A3593" s="1197"/>
      <c r="B3593" s="1197"/>
      <c r="C3593" s="1202" t="s">
        <v>1301</v>
      </c>
      <c r="D3593" s="1227">
        <v>0.01</v>
      </c>
      <c r="E3593" s="1303"/>
      <c r="F3593" s="1205">
        <f>SUM(I3581:I3592)</f>
        <v>40341.673999999999</v>
      </c>
      <c r="G3593" s="1269"/>
      <c r="H3593" s="1268"/>
      <c r="I3593" s="1205">
        <f t="shared" si="840"/>
        <v>403.41674</v>
      </c>
      <c r="J3593" s="1846"/>
      <c r="K3593" s="1846"/>
      <c r="L3593" s="1846"/>
    </row>
    <row r="3594" spans="1:12">
      <c r="A3594" s="1197"/>
      <c r="B3594" s="1197"/>
      <c r="C3594" s="1814" t="s">
        <v>1402</v>
      </c>
      <c r="D3594" s="1228"/>
      <c r="E3594" s="1271"/>
      <c r="F3594" s="1223"/>
      <c r="G3594" s="1228"/>
      <c r="H3594" s="1271"/>
      <c r="I3594" s="1230">
        <f>SUM(I3581:I3593)</f>
        <v>40745.09074</v>
      </c>
      <c r="J3594" s="1846"/>
      <c r="K3594" s="1846"/>
      <c r="L3594" s="1846"/>
    </row>
    <row r="3595" spans="1:12">
      <c r="A3595" s="1197"/>
      <c r="B3595" s="1197"/>
      <c r="C3595" s="1199"/>
      <c r="D3595" s="1227"/>
      <c r="E3595" s="1228"/>
      <c r="F3595" s="1223"/>
      <c r="G3595" s="1199"/>
      <c r="H3595" s="1311"/>
      <c r="I3595" s="1220"/>
      <c r="J3595" s="1846"/>
      <c r="K3595" s="1846"/>
      <c r="L3595" s="1846"/>
    </row>
    <row r="3596" spans="1:12">
      <c r="A3596" s="1197"/>
      <c r="B3596" s="1197"/>
      <c r="C3596" s="1795" t="s">
        <v>1217</v>
      </c>
      <c r="D3596" s="1220" t="s">
        <v>1223</v>
      </c>
      <c r="E3596" s="1221" t="s">
        <v>1207</v>
      </c>
      <c r="F3596" s="1222" t="s">
        <v>1208</v>
      </c>
      <c r="G3596" s="1220" t="s">
        <v>1291</v>
      </c>
      <c r="H3596" s="1220" t="s">
        <v>1292</v>
      </c>
      <c r="I3596" s="1221" t="s">
        <v>1211</v>
      </c>
      <c r="J3596" s="1106"/>
      <c r="K3596" s="1009" t="s">
        <v>1358</v>
      </c>
      <c r="L3596" s="1009" t="s">
        <v>1359</v>
      </c>
    </row>
    <row r="3597" spans="1:12">
      <c r="A3597" s="1197"/>
      <c r="B3597" s="1197"/>
      <c r="C3597" s="1807" t="s">
        <v>1317</v>
      </c>
      <c r="D3597" s="1228">
        <f t="shared" ref="D3597:L3597" si="841">$I$3594</f>
        <v>40745.09074</v>
      </c>
      <c r="E3597" s="1228">
        <f t="shared" si="841"/>
        <v>40745.09074</v>
      </c>
      <c r="F3597" s="1223">
        <f t="shared" si="841"/>
        <v>40745.09074</v>
      </c>
      <c r="G3597" s="1223">
        <f t="shared" si="841"/>
        <v>40745.09074</v>
      </c>
      <c r="H3597" s="1223">
        <f t="shared" si="841"/>
        <v>40745.09074</v>
      </c>
      <c r="I3597" s="1228">
        <f t="shared" si="841"/>
        <v>40745.09074</v>
      </c>
      <c r="J3597" s="1001"/>
      <c r="K3597" s="1001">
        <f t="shared" si="841"/>
        <v>40745.09074</v>
      </c>
      <c r="L3597" s="1001">
        <f t="shared" si="841"/>
        <v>40745.09074</v>
      </c>
    </row>
    <row r="3598" spans="1:12">
      <c r="A3598" s="1197"/>
      <c r="B3598" s="1197"/>
      <c r="C3598" s="1807" t="s">
        <v>1253</v>
      </c>
      <c r="D3598" s="1228">
        <v>0</v>
      </c>
      <c r="E3598" s="1228">
        <f>ROUND($F$3592*10%,2)</f>
        <v>418.2</v>
      </c>
      <c r="F3598" s="1223">
        <f>ROUND($F$3592*20%,2)</f>
        <v>836.4</v>
      </c>
      <c r="G3598" s="1223">
        <f>ROUND($F$3592*30%,2)</f>
        <v>1254.5999999999999</v>
      </c>
      <c r="H3598" s="1223">
        <f>ROUND($F$3592*40%,2)</f>
        <v>1672.8</v>
      </c>
      <c r="I3598" s="1228">
        <f>ROUND($F$3592*50%,2)</f>
        <v>2091</v>
      </c>
      <c r="J3598" s="1001"/>
      <c r="K3598" s="1001">
        <f>ROUND($F$3592*70%,2)</f>
        <v>2927.4</v>
      </c>
      <c r="L3598" s="1001">
        <f>ROUND($F$3592*80%,2)</f>
        <v>3345.6</v>
      </c>
    </row>
    <row r="3599" spans="1:12">
      <c r="A3599" s="1197"/>
      <c r="B3599" s="1197"/>
      <c r="C3599" s="1807" t="str">
        <f>Input!$C$47</f>
        <v>Add for MA @ 40%</v>
      </c>
      <c r="D3599" s="1228">
        <f>D3598*Input!$D$47</f>
        <v>0</v>
      </c>
      <c r="E3599" s="1228">
        <f>E3598*Input!$D$47</f>
        <v>167.28</v>
      </c>
      <c r="F3599" s="1223">
        <f>F3598*Input!$D$47</f>
        <v>334.56</v>
      </c>
      <c r="G3599" s="1223">
        <f>G3598*Input!$D$47</f>
        <v>501.84</v>
      </c>
      <c r="H3599" s="1223">
        <f>H3598*Input!$D$47</f>
        <v>669.12</v>
      </c>
      <c r="I3599" s="1228">
        <f>I3598*Input!$D$47</f>
        <v>836.40000000000009</v>
      </c>
      <c r="J3599" s="1001"/>
      <c r="K3599" s="1001">
        <f>K3598*Input!$D$47</f>
        <v>1170.96</v>
      </c>
      <c r="L3599" s="1001">
        <f>L3598*Input!$D$47</f>
        <v>1338.24</v>
      </c>
    </row>
    <row r="3600" spans="1:12">
      <c r="A3600" s="1197"/>
      <c r="B3600" s="1197"/>
      <c r="C3600" s="1199"/>
      <c r="D3600" s="1281">
        <f t="shared" ref="D3600:L3600" si="842">SUM(D3597:D3599)</f>
        <v>40745.09074</v>
      </c>
      <c r="E3600" s="1281">
        <f t="shared" si="842"/>
        <v>41330.570739999996</v>
      </c>
      <c r="F3600" s="1283">
        <f t="shared" si="842"/>
        <v>41916.050739999999</v>
      </c>
      <c r="G3600" s="1283">
        <f t="shared" si="842"/>
        <v>42501.530739999995</v>
      </c>
      <c r="H3600" s="1283">
        <f t="shared" si="842"/>
        <v>43087.010740000005</v>
      </c>
      <c r="I3600" s="1281">
        <f t="shared" si="842"/>
        <v>43672.490740000001</v>
      </c>
      <c r="J3600" s="994"/>
      <c r="K3600" s="994">
        <f t="shared" si="842"/>
        <v>44843.45074</v>
      </c>
      <c r="L3600" s="994">
        <f t="shared" si="842"/>
        <v>45428.930739999996</v>
      </c>
    </row>
    <row r="3601" spans="1:12">
      <c r="A3601" s="1197"/>
      <c r="B3601" s="1197"/>
      <c r="C3601" s="1807" t="str">
        <f>Input!$C$48</f>
        <v>Overheads &amp; Contractors Profit @ 13.615%</v>
      </c>
      <c r="D3601" s="1228">
        <f>ROUND(D3600*Input!$D$48,2)</f>
        <v>5547.44</v>
      </c>
      <c r="E3601" s="1228">
        <f>ROUND(E3600*Input!$D$48,2)</f>
        <v>5627.16</v>
      </c>
      <c r="F3601" s="1223">
        <f>ROUND(F3600*Input!$D$48,2)</f>
        <v>5706.87</v>
      </c>
      <c r="G3601" s="1223">
        <f>ROUND(G3600*Input!$D$48,2)</f>
        <v>5786.58</v>
      </c>
      <c r="H3601" s="1223">
        <f>ROUND(H3600*Input!$D$48,2)</f>
        <v>5866.3</v>
      </c>
      <c r="I3601" s="1228">
        <f>ROUND(I3600*Input!$D$48,2)</f>
        <v>5946.01</v>
      </c>
      <c r="J3601" s="1001"/>
      <c r="K3601" s="1001">
        <f>ROUND(K3600*Input!$D$48,2)</f>
        <v>6105.44</v>
      </c>
      <c r="L3601" s="1001">
        <f>ROUND(L3600*Input!$D$48,2)</f>
        <v>6185.15</v>
      </c>
    </row>
    <row r="3602" spans="1:12">
      <c r="A3602" s="1197"/>
      <c r="B3602" s="1197"/>
      <c r="C3602" s="1795" t="s">
        <v>1302</v>
      </c>
      <c r="D3602" s="1302">
        <f t="shared" ref="D3602:L3602" si="843">SUM(D3600:D3601)</f>
        <v>46292.530740000002</v>
      </c>
      <c r="E3602" s="1302">
        <f t="shared" si="843"/>
        <v>46957.730739999999</v>
      </c>
      <c r="F3602" s="1220">
        <f t="shared" si="843"/>
        <v>47622.920740000001</v>
      </c>
      <c r="G3602" s="1220">
        <f t="shared" si="843"/>
        <v>48288.110739999996</v>
      </c>
      <c r="H3602" s="1220">
        <f t="shared" si="843"/>
        <v>48953.310740000008</v>
      </c>
      <c r="I3602" s="1220">
        <f t="shared" si="843"/>
        <v>49618.500740000003</v>
      </c>
      <c r="J3602" s="1009"/>
      <c r="K3602" s="1009">
        <f t="shared" si="843"/>
        <v>50948.890740000003</v>
      </c>
      <c r="L3602" s="1009">
        <f t="shared" si="843"/>
        <v>51614.080739999998</v>
      </c>
    </row>
    <row r="3603" spans="1:12">
      <c r="A3603" s="1197"/>
      <c r="B3603" s="1197"/>
      <c r="C3603" s="1795" t="s">
        <v>1288</v>
      </c>
      <c r="D3603" s="1302">
        <f t="shared" ref="D3603:L3603" si="844">D3602*0.015</f>
        <v>694.38796109999998</v>
      </c>
      <c r="E3603" s="1302">
        <f t="shared" si="844"/>
        <v>704.36596109999994</v>
      </c>
      <c r="F3603" s="1220">
        <f t="shared" si="844"/>
        <v>714.34381110000004</v>
      </c>
      <c r="G3603" s="1302">
        <f t="shared" si="844"/>
        <v>724.32166109999991</v>
      </c>
      <c r="H3603" s="1220">
        <f t="shared" si="844"/>
        <v>734.29966110000009</v>
      </c>
      <c r="I3603" s="1220">
        <f t="shared" si="844"/>
        <v>744.27751109999997</v>
      </c>
      <c r="J3603" s="1009"/>
      <c r="K3603" s="1009">
        <f t="shared" si="844"/>
        <v>764.23336110000002</v>
      </c>
      <c r="L3603" s="1009">
        <f t="shared" si="844"/>
        <v>774.2112110999999</v>
      </c>
    </row>
    <row r="3604" spans="1:12">
      <c r="A3604" s="1197"/>
      <c r="B3604" s="1197"/>
      <c r="C3604" s="1224" t="s">
        <v>1034</v>
      </c>
      <c r="D3604" s="1221">
        <f t="shared" ref="D3604:L3604" si="845">ROUND(D3603,0)</f>
        <v>694</v>
      </c>
      <c r="E3604" s="1221">
        <f t="shared" si="845"/>
        <v>704</v>
      </c>
      <c r="F3604" s="1221">
        <f t="shared" si="845"/>
        <v>714</v>
      </c>
      <c r="G3604" s="1221">
        <f t="shared" si="845"/>
        <v>724</v>
      </c>
      <c r="H3604" s="1221">
        <f t="shared" si="845"/>
        <v>734</v>
      </c>
      <c r="I3604" s="1221">
        <f t="shared" si="845"/>
        <v>744</v>
      </c>
      <c r="J3604" s="1114"/>
      <c r="K3604" s="1114">
        <f t="shared" si="845"/>
        <v>764</v>
      </c>
      <c r="L3604" s="1114">
        <f t="shared" si="845"/>
        <v>774</v>
      </c>
    </row>
    <row r="3605" spans="1:12">
      <c r="A3605" s="1197"/>
      <c r="B3605" s="1197"/>
      <c r="C3605" s="1199"/>
      <c r="D3605" s="1227"/>
      <c r="E3605" s="1228"/>
      <c r="F3605" s="1223"/>
      <c r="G3605" s="1199"/>
      <c r="H3605" s="1311"/>
      <c r="I3605" s="1220"/>
      <c r="J3605" s="1846"/>
      <c r="K3605" s="1846"/>
      <c r="L3605" s="1846"/>
    </row>
    <row r="3606" spans="1:12">
      <c r="A3606" s="1197"/>
      <c r="B3606" s="1197"/>
      <c r="C3606" s="1795" t="s">
        <v>1217</v>
      </c>
      <c r="D3606" s="1222" t="s">
        <v>1212</v>
      </c>
      <c r="E3606" s="1220" t="s">
        <v>1358</v>
      </c>
      <c r="F3606" s="1220" t="s">
        <v>1359</v>
      </c>
      <c r="G3606" s="1199"/>
      <c r="H3606" s="1311"/>
      <c r="I3606" s="1220"/>
      <c r="J3606" s="1846"/>
      <c r="K3606" s="1846"/>
      <c r="L3606" s="1846"/>
    </row>
    <row r="3607" spans="1:12">
      <c r="A3607" s="1197"/>
      <c r="B3607" s="1197"/>
      <c r="C3607" s="1807" t="s">
        <v>1317</v>
      </c>
      <c r="D3607" s="1223">
        <f>$I$3594</f>
        <v>40745.09074</v>
      </c>
      <c r="E3607" s="1223">
        <f>$I$3594</f>
        <v>40745.09074</v>
      </c>
      <c r="F3607" s="1223">
        <f>$I$3594</f>
        <v>40745.09074</v>
      </c>
      <c r="G3607" s="1199"/>
      <c r="H3607" s="1311"/>
      <c r="I3607" s="1220"/>
      <c r="J3607" s="1846"/>
      <c r="K3607" s="1846"/>
      <c r="L3607" s="1846"/>
    </row>
    <row r="3608" spans="1:12">
      <c r="A3608" s="1197"/>
      <c r="B3608" s="1197"/>
      <c r="C3608" s="1807" t="s">
        <v>1253</v>
      </c>
      <c r="D3608" s="1223">
        <f>ROUND($F$3592*60%,2)</f>
        <v>2509.1999999999998</v>
      </c>
      <c r="E3608" s="1223">
        <f>ROUND($F$3592*70%,2)</f>
        <v>2927.4</v>
      </c>
      <c r="F3608" s="1223">
        <f>ROUND($F$3592*80%,2)</f>
        <v>3345.6</v>
      </c>
      <c r="G3608" s="1199"/>
      <c r="H3608" s="1311"/>
      <c r="I3608" s="1220"/>
      <c r="J3608" s="1846"/>
      <c r="K3608" s="1846"/>
      <c r="L3608" s="1846"/>
    </row>
    <row r="3609" spans="1:12">
      <c r="A3609" s="1197"/>
      <c r="B3609" s="1197"/>
      <c r="C3609" s="1807" t="str">
        <f>Input!$C$47</f>
        <v>Add for MA @ 40%</v>
      </c>
      <c r="D3609" s="1223">
        <f>D3608*Input!$D$47</f>
        <v>1003.68</v>
      </c>
      <c r="E3609" s="1223">
        <f>E3608*Input!$D$47</f>
        <v>1170.96</v>
      </c>
      <c r="F3609" s="1223">
        <f>F3608*Input!$D$47</f>
        <v>1338.24</v>
      </c>
      <c r="G3609" s="1199"/>
      <c r="H3609" s="1311"/>
      <c r="I3609" s="1220"/>
      <c r="J3609" s="1846"/>
      <c r="K3609" s="1846"/>
      <c r="L3609" s="1846"/>
    </row>
    <row r="3610" spans="1:12">
      <c r="A3610" s="1197"/>
      <c r="B3610" s="1197"/>
      <c r="C3610" s="1208"/>
      <c r="D3610" s="1283">
        <f>SUM(D3607:D3609)</f>
        <v>44257.970739999997</v>
      </c>
      <c r="E3610" s="1283">
        <f>SUM(E3607:E3609)</f>
        <v>44843.45074</v>
      </c>
      <c r="F3610" s="1283">
        <f>SUM(F3607:F3609)</f>
        <v>45428.930739999996</v>
      </c>
      <c r="G3610" s="1199"/>
      <c r="H3610" s="1311"/>
      <c r="I3610" s="1220"/>
      <c r="J3610" s="1846"/>
      <c r="K3610" s="1846"/>
      <c r="L3610" s="1846"/>
    </row>
    <row r="3611" spans="1:12">
      <c r="A3611" s="1197"/>
      <c r="B3611" s="1197"/>
      <c r="C3611" s="1807" t="str">
        <f>Input!$C$48</f>
        <v>Overheads &amp; Contractors Profit @ 13.615%</v>
      </c>
      <c r="D3611" s="1223">
        <f>ROUND(D3610*Input!$D$48,2)</f>
        <v>6025.72</v>
      </c>
      <c r="E3611" s="1223">
        <f>ROUND(E3610*Input!$D$48,2)</f>
        <v>6105.44</v>
      </c>
      <c r="F3611" s="1223">
        <f>ROUND(F3610*Input!$D$48,2)</f>
        <v>6185.15</v>
      </c>
      <c r="G3611" s="1199"/>
      <c r="H3611" s="1311"/>
      <c r="I3611" s="1220"/>
      <c r="J3611" s="1846"/>
      <c r="K3611" s="1846"/>
      <c r="L3611" s="1846"/>
    </row>
    <row r="3612" spans="1:12">
      <c r="A3612" s="1197"/>
      <c r="B3612" s="1197"/>
      <c r="C3612" s="1795" t="s">
        <v>1302</v>
      </c>
      <c r="D3612" s="1220">
        <f>SUM(D3610:D3611)</f>
        <v>50283.690739999998</v>
      </c>
      <c r="E3612" s="1220">
        <f>SUM(E3610:E3611)</f>
        <v>50948.890740000003</v>
      </c>
      <c r="F3612" s="1220">
        <f>SUM(F3610:F3611)</f>
        <v>51614.080739999998</v>
      </c>
      <c r="G3612" s="1199"/>
      <c r="H3612" s="1311"/>
      <c r="I3612" s="1220"/>
      <c r="J3612" s="1846"/>
      <c r="K3612" s="1846"/>
      <c r="L3612" s="1846"/>
    </row>
    <row r="3613" spans="1:12">
      <c r="A3613" s="1197"/>
      <c r="B3613" s="1197"/>
      <c r="C3613" s="1795" t="s">
        <v>1288</v>
      </c>
      <c r="D3613" s="1220">
        <f>D3612*0.015</f>
        <v>754.25536109999996</v>
      </c>
      <c r="E3613" s="1220">
        <f>E3612*0.015</f>
        <v>764.23336110000002</v>
      </c>
      <c r="F3613" s="1220">
        <f>F3612*0.015</f>
        <v>774.2112110999999</v>
      </c>
      <c r="G3613" s="1199"/>
      <c r="H3613" s="1311"/>
      <c r="I3613" s="1220"/>
      <c r="J3613" s="1846"/>
      <c r="K3613" s="1846"/>
      <c r="L3613" s="1846"/>
    </row>
    <row r="3614" spans="1:12">
      <c r="A3614" s="1197"/>
      <c r="B3614" s="1197"/>
      <c r="C3614" s="1231" t="s">
        <v>1034</v>
      </c>
      <c r="D3614" s="1221">
        <f>ROUND(D3613,0)</f>
        <v>754</v>
      </c>
      <c r="E3614" s="1221">
        <f>ROUND(E3613,0)</f>
        <v>764</v>
      </c>
      <c r="F3614" s="1221">
        <f>ROUND(F3613,0)</f>
        <v>774</v>
      </c>
      <c r="G3614" s="1199"/>
      <c r="H3614" s="1311"/>
      <c r="I3614" s="1220"/>
      <c r="J3614" s="1846"/>
      <c r="K3614" s="1846"/>
      <c r="L3614" s="1846"/>
    </row>
    <row r="3615" spans="1:12">
      <c r="A3615" s="1197"/>
      <c r="B3615" s="1197"/>
      <c r="C3615" s="1199"/>
      <c r="D3615" s="1227"/>
      <c r="E3615" s="1228"/>
      <c r="F3615" s="1223"/>
      <c r="G3615" s="1199"/>
      <c r="H3615" s="1311"/>
      <c r="I3615" s="1220"/>
      <c r="J3615" s="1846"/>
      <c r="K3615" s="1846"/>
      <c r="L3615" s="1846"/>
    </row>
    <row r="3616" spans="1:12" ht="69.75" customHeight="1">
      <c r="A3616" s="1199"/>
      <c r="B3616" s="1222" t="s">
        <v>297</v>
      </c>
      <c r="C3616" s="2006" t="s">
        <v>3446</v>
      </c>
      <c r="D3616" s="2006"/>
      <c r="E3616" s="2006"/>
      <c r="F3616" s="2006"/>
      <c r="G3616" s="2006"/>
      <c r="H3616" s="2006"/>
      <c r="I3616" s="1814"/>
      <c r="J3616" s="1148"/>
      <c r="K3616" s="1846"/>
      <c r="L3616" s="1846"/>
    </row>
    <row r="3617" spans="1:12">
      <c r="A3617" s="1197"/>
      <c r="B3617" s="1197"/>
      <c r="C3617" s="1198" t="s">
        <v>1487</v>
      </c>
      <c r="D3617" s="1228"/>
      <c r="E3617" s="1297"/>
      <c r="F3617" s="1223"/>
      <c r="G3617" s="1272"/>
      <c r="H3617" s="1298"/>
      <c r="I3617" s="1219"/>
      <c r="J3617" s="1312"/>
      <c r="K3617" s="1846"/>
      <c r="L3617" s="1846"/>
    </row>
    <row r="3618" spans="1:12">
      <c r="A3618" s="1197"/>
      <c r="B3618" s="1197"/>
      <c r="C3618" s="1807" t="s">
        <v>1464</v>
      </c>
      <c r="D3618" s="1228"/>
      <c r="E3618" s="1297"/>
      <c r="F3618" s="1223"/>
      <c r="G3618" s="1272"/>
      <c r="H3618" s="1298"/>
      <c r="I3618" s="1219"/>
      <c r="J3618" s="1846"/>
      <c r="K3618" s="1846"/>
      <c r="L3618" s="1846"/>
    </row>
    <row r="3619" spans="1:12">
      <c r="A3619" s="1197"/>
      <c r="B3619" s="1197"/>
      <c r="C3619" s="1795" t="s">
        <v>1139</v>
      </c>
      <c r="D3619" s="1228"/>
      <c r="E3619" s="1297"/>
      <c r="F3619" s="1223"/>
      <c r="G3619" s="1272"/>
      <c r="H3619" s="1298"/>
      <c r="I3619" s="1219"/>
      <c r="J3619" s="1846"/>
      <c r="K3619" s="1846"/>
      <c r="L3619" s="1846"/>
    </row>
    <row r="3620" spans="1:12">
      <c r="A3620" s="1197"/>
      <c r="B3620" s="1197"/>
      <c r="C3620" s="1807" t="s">
        <v>1476</v>
      </c>
      <c r="D3620" s="1228">
        <v>10.5</v>
      </c>
      <c r="E3620" s="1297" t="s">
        <v>94</v>
      </c>
      <c r="F3620" s="1223">
        <f>LEAD!$N$28</f>
        <v>3030</v>
      </c>
      <c r="G3620" s="1272">
        <v>1</v>
      </c>
      <c r="H3620" s="1271" t="s">
        <v>94</v>
      </c>
      <c r="I3620" s="1205">
        <f t="shared" ref="I3620:I3624" si="846">IF(G3620="",D3620*F3620,(D3620*F3620/G3620))</f>
        <v>31815</v>
      </c>
      <c r="J3620" s="1846"/>
      <c r="K3620" s="1846"/>
      <c r="L3620" s="1846"/>
    </row>
    <row r="3621" spans="1:12">
      <c r="A3621" s="1197"/>
      <c r="B3621" s="1197"/>
      <c r="C3621" s="1807" t="s">
        <v>1466</v>
      </c>
      <c r="D3621" s="1228">
        <v>0.12</v>
      </c>
      <c r="E3621" s="1297" t="s">
        <v>75</v>
      </c>
      <c r="F3621" s="1223">
        <f>LEAD!$N$13</f>
        <v>2453.91</v>
      </c>
      <c r="G3621" s="1272">
        <v>1</v>
      </c>
      <c r="H3621" s="1271" t="s">
        <v>75</v>
      </c>
      <c r="I3621" s="1205">
        <f t="shared" si="846"/>
        <v>294.46919999999994</v>
      </c>
      <c r="J3621" s="1846"/>
      <c r="K3621" s="1846"/>
      <c r="L3621" s="1846"/>
    </row>
    <row r="3622" spans="1:12">
      <c r="A3622" s="1197"/>
      <c r="B3622" s="1197"/>
      <c r="C3622" s="1807" t="s">
        <v>1467</v>
      </c>
      <c r="D3622" s="1228">
        <v>34.56</v>
      </c>
      <c r="E3622" s="1297" t="s">
        <v>1110</v>
      </c>
      <c r="F3622" s="1223">
        <f>LEAD!$N$6</f>
        <v>5200</v>
      </c>
      <c r="G3622" s="1272">
        <v>1000</v>
      </c>
      <c r="H3622" s="1271" t="s">
        <v>1110</v>
      </c>
      <c r="I3622" s="1205">
        <f t="shared" si="846"/>
        <v>179.71199999999999</v>
      </c>
      <c r="J3622" s="1846"/>
      <c r="K3622" s="1846"/>
      <c r="L3622" s="1846"/>
    </row>
    <row r="3623" spans="1:12">
      <c r="A3623" s="1197"/>
      <c r="B3623" s="1197"/>
      <c r="C3623" s="1807" t="s">
        <v>1398</v>
      </c>
      <c r="D3623" s="1228">
        <v>33</v>
      </c>
      <c r="E3623" s="1297" t="s">
        <v>1110</v>
      </c>
      <c r="F3623" s="1223">
        <f>LEAD!$N$6</f>
        <v>5200</v>
      </c>
      <c r="G3623" s="1272">
        <v>1000</v>
      </c>
      <c r="H3623" s="1271" t="s">
        <v>1110</v>
      </c>
      <c r="I3623" s="1205">
        <f t="shared" si="846"/>
        <v>171.6</v>
      </c>
      <c r="J3623" s="1846"/>
      <c r="K3623" s="1846"/>
      <c r="L3623" s="1846"/>
    </row>
    <row r="3624" spans="1:12">
      <c r="A3624" s="1197"/>
      <c r="B3624" s="1197"/>
      <c r="C3624" s="1807" t="s">
        <v>1483</v>
      </c>
      <c r="D3624" s="1228">
        <v>5</v>
      </c>
      <c r="E3624" s="1297" t="s">
        <v>1110</v>
      </c>
      <c r="F3624" s="1223">
        <f>'Civil-SOR'!$G$185</f>
        <v>34</v>
      </c>
      <c r="G3624" s="1272">
        <v>1</v>
      </c>
      <c r="H3624" s="1271" t="s">
        <v>97</v>
      </c>
      <c r="I3624" s="1205">
        <f t="shared" si="846"/>
        <v>170</v>
      </c>
      <c r="J3624" s="1846"/>
      <c r="K3624" s="1846"/>
      <c r="L3624" s="1846"/>
    </row>
    <row r="3625" spans="1:12">
      <c r="A3625" s="1197"/>
      <c r="B3625" s="1197"/>
      <c r="C3625" s="1795" t="s">
        <v>1468</v>
      </c>
      <c r="D3625" s="1228"/>
      <c r="E3625" s="1297"/>
      <c r="F3625" s="1223"/>
      <c r="G3625" s="1272"/>
      <c r="H3625" s="1298"/>
      <c r="I3625" s="1219"/>
      <c r="J3625" s="1846"/>
      <c r="K3625" s="1846"/>
      <c r="L3625" s="1846"/>
    </row>
    <row r="3626" spans="1:12">
      <c r="A3626" s="1197"/>
      <c r="B3626" s="1197"/>
      <c r="C3626" s="1807" t="s">
        <v>1299</v>
      </c>
      <c r="D3626" s="1228">
        <v>2.1</v>
      </c>
      <c r="E3626" s="1297" t="s">
        <v>36</v>
      </c>
      <c r="F3626" s="1223">
        <f>'Civil-SOR'!$G$293</f>
        <v>580</v>
      </c>
      <c r="G3626" s="1272">
        <v>1</v>
      </c>
      <c r="H3626" s="1271" t="s">
        <v>501</v>
      </c>
      <c r="I3626" s="1205">
        <f t="shared" ref="I3626:I3630" si="847">IF(G3626="",D3626*F3626,(D3626*F3626/G3626))</f>
        <v>1218</v>
      </c>
      <c r="J3626" s="1846"/>
      <c r="K3626" s="1846"/>
      <c r="L3626" s="1846"/>
    </row>
    <row r="3627" spans="1:12">
      <c r="A3627" s="1197"/>
      <c r="B3627" s="1197"/>
      <c r="C3627" s="1807" t="s">
        <v>1325</v>
      </c>
      <c r="D3627" s="1228">
        <v>4.9000000000000004</v>
      </c>
      <c r="E3627" s="1297" t="s">
        <v>36</v>
      </c>
      <c r="F3627" s="1223">
        <f>+F3628</f>
        <v>520</v>
      </c>
      <c r="G3627" s="1272">
        <v>1</v>
      </c>
      <c r="H3627" s="1271" t="s">
        <v>501</v>
      </c>
      <c r="I3627" s="1205">
        <f t="shared" si="847"/>
        <v>2548</v>
      </c>
      <c r="J3627" s="1846"/>
      <c r="K3627" s="1846"/>
      <c r="L3627" s="1846"/>
    </row>
    <row r="3628" spans="1:12">
      <c r="A3628" s="1197"/>
      <c r="B3628" s="1197"/>
      <c r="C3628" s="1807" t="s">
        <v>1479</v>
      </c>
      <c r="D3628" s="1228">
        <v>0.8</v>
      </c>
      <c r="E3628" s="1297" t="s">
        <v>36</v>
      </c>
      <c r="F3628" s="1223">
        <f>'Civil-SOR'!$G$307</f>
        <v>520</v>
      </c>
      <c r="G3628" s="1272">
        <v>1</v>
      </c>
      <c r="H3628" s="1271" t="s">
        <v>501</v>
      </c>
      <c r="I3628" s="1205">
        <f t="shared" si="847"/>
        <v>416</v>
      </c>
      <c r="J3628" s="1846"/>
      <c r="K3628" s="1846"/>
      <c r="L3628" s="1846"/>
    </row>
    <row r="3629" spans="1:12">
      <c r="A3629" s="1197"/>
      <c r="B3629" s="1197"/>
      <c r="C3629" s="1199" t="str">
        <f>Input!$C$47</f>
        <v>Add for MA @ 40%</v>
      </c>
      <c r="D3629" s="1277">
        <f>Input!$D$47</f>
        <v>0.4</v>
      </c>
      <c r="E3629" s="1276"/>
      <c r="F3629" s="1223">
        <f>SUM(I3626:I3628)</f>
        <v>4182</v>
      </c>
      <c r="G3629" s="1278"/>
      <c r="H3629" s="1279"/>
      <c r="I3629" s="1205">
        <f t="shared" si="847"/>
        <v>1672.8000000000002</v>
      </c>
      <c r="J3629" s="1846"/>
      <c r="K3629" s="1846"/>
      <c r="L3629" s="1846"/>
    </row>
    <row r="3630" spans="1:12">
      <c r="A3630" s="1197"/>
      <c r="B3630" s="1197"/>
      <c r="C3630" s="1202" t="s">
        <v>1301</v>
      </c>
      <c r="D3630" s="1227">
        <v>0.01</v>
      </c>
      <c r="E3630" s="1303"/>
      <c r="F3630" s="1205">
        <f>SUM(I3620:I3629)</f>
        <v>38485.581200000001</v>
      </c>
      <c r="G3630" s="1269"/>
      <c r="H3630" s="1268"/>
      <c r="I3630" s="1205">
        <f t="shared" si="847"/>
        <v>384.85581200000001</v>
      </c>
      <c r="J3630" s="1846"/>
      <c r="K3630" s="1846"/>
      <c r="L3630" s="1846"/>
    </row>
    <row r="3631" spans="1:12" s="997" customFormat="1">
      <c r="A3631" s="1802"/>
      <c r="B3631" s="1802"/>
      <c r="C3631" s="1796" t="s">
        <v>1402</v>
      </c>
      <c r="D3631" s="1281"/>
      <c r="E3631" s="1282"/>
      <c r="F3631" s="1283"/>
      <c r="G3631" s="1284"/>
      <c r="H3631" s="1282"/>
      <c r="I3631" s="1285">
        <f>SUM(I3620:I3630)</f>
        <v>38870.437012000002</v>
      </c>
      <c r="J3631" s="996"/>
      <c r="K3631" s="996"/>
      <c r="L3631" s="996"/>
    </row>
    <row r="3632" spans="1:12">
      <c r="A3632" s="1197"/>
      <c r="B3632" s="1197"/>
      <c r="C3632" s="1814"/>
      <c r="D3632" s="1228"/>
      <c r="E3632" s="1271"/>
      <c r="F3632" s="1223"/>
      <c r="G3632" s="1272"/>
      <c r="H3632" s="1271"/>
      <c r="I3632" s="1230"/>
      <c r="J3632" s="1846"/>
      <c r="K3632" s="1846"/>
      <c r="L3632" s="1846"/>
    </row>
    <row r="3633" spans="1:12" s="997" customFormat="1">
      <c r="A3633" s="1802"/>
      <c r="B3633" s="1802"/>
      <c r="C3633" s="1796" t="s">
        <v>1217</v>
      </c>
      <c r="D3633" s="1218" t="s">
        <v>1223</v>
      </c>
      <c r="E3633" s="1225" t="s">
        <v>1207</v>
      </c>
      <c r="F3633" s="1299" t="s">
        <v>1208</v>
      </c>
      <c r="G3633" s="1218" t="s">
        <v>1291</v>
      </c>
      <c r="H3633" s="1218" t="s">
        <v>1292</v>
      </c>
      <c r="I3633" s="1218" t="s">
        <v>1293</v>
      </c>
      <c r="J3633" s="1826"/>
      <c r="K3633" s="1826" t="s">
        <v>1358</v>
      </c>
      <c r="L3633" s="1826" t="s">
        <v>1359</v>
      </c>
    </row>
    <row r="3634" spans="1:12">
      <c r="A3634" s="1197"/>
      <c r="B3634" s="1197"/>
      <c r="C3634" s="1807" t="s">
        <v>1317</v>
      </c>
      <c r="D3634" s="1223">
        <f t="shared" ref="D3634:L3634" si="848">$I$3631</f>
        <v>38870.437012000002</v>
      </c>
      <c r="E3634" s="1223">
        <f t="shared" si="848"/>
        <v>38870.437012000002</v>
      </c>
      <c r="F3634" s="1223">
        <f t="shared" si="848"/>
        <v>38870.437012000002</v>
      </c>
      <c r="G3634" s="1223">
        <f t="shared" si="848"/>
        <v>38870.437012000002</v>
      </c>
      <c r="H3634" s="1223">
        <f t="shared" si="848"/>
        <v>38870.437012000002</v>
      </c>
      <c r="I3634" s="1223">
        <f t="shared" si="848"/>
        <v>38870.437012000002</v>
      </c>
      <c r="J3634" s="1001"/>
      <c r="K3634" s="1001">
        <f t="shared" si="848"/>
        <v>38870.437012000002</v>
      </c>
      <c r="L3634" s="1001">
        <f t="shared" si="848"/>
        <v>38870.437012000002</v>
      </c>
    </row>
    <row r="3635" spans="1:12">
      <c r="A3635" s="1197"/>
      <c r="B3635" s="1197"/>
      <c r="C3635" s="1807" t="s">
        <v>1253</v>
      </c>
      <c r="D3635" s="1223">
        <v>0</v>
      </c>
      <c r="E3635" s="1223">
        <f>ROUND($F$3592*10%,2)</f>
        <v>418.2</v>
      </c>
      <c r="F3635" s="1223">
        <f>ROUND($F$3592*20%,2)</f>
        <v>836.4</v>
      </c>
      <c r="G3635" s="1223">
        <f>ROUND($F$3592*30%,2)</f>
        <v>1254.5999999999999</v>
      </c>
      <c r="H3635" s="1223">
        <f>ROUND($F$3592*40%,2)</f>
        <v>1672.8</v>
      </c>
      <c r="I3635" s="1223">
        <f>ROUND($F$3592*50%,2)</f>
        <v>2091</v>
      </c>
      <c r="J3635" s="1001"/>
      <c r="K3635" s="1001">
        <f>ROUND($F$3592*70%,2)</f>
        <v>2927.4</v>
      </c>
      <c r="L3635" s="1001">
        <f>ROUND($F$3592*80%,2)</f>
        <v>3345.6</v>
      </c>
    </row>
    <row r="3636" spans="1:12">
      <c r="A3636" s="1197"/>
      <c r="B3636" s="1197"/>
      <c r="C3636" s="1807" t="str">
        <f>Input!$C$47</f>
        <v>Add for MA @ 40%</v>
      </c>
      <c r="D3636" s="1223">
        <f>D3635*Input!$D$47</f>
        <v>0</v>
      </c>
      <c r="E3636" s="1223">
        <f>E3635*Input!$D$47</f>
        <v>167.28</v>
      </c>
      <c r="F3636" s="1223">
        <f>F3635*Input!$D$47</f>
        <v>334.56</v>
      </c>
      <c r="G3636" s="1223">
        <f>G3635*Input!$D$47</f>
        <v>501.84</v>
      </c>
      <c r="H3636" s="1223">
        <f>H3635*Input!$D$47</f>
        <v>669.12</v>
      </c>
      <c r="I3636" s="1223">
        <f>I3635*Input!$D$47</f>
        <v>836.40000000000009</v>
      </c>
      <c r="J3636" s="1001"/>
      <c r="K3636" s="1001">
        <f>K3635*Input!$D$47</f>
        <v>1170.96</v>
      </c>
      <c r="L3636" s="1001">
        <f>L3635*Input!$D$47</f>
        <v>1338.24</v>
      </c>
    </row>
    <row r="3637" spans="1:12">
      <c r="A3637" s="1197"/>
      <c r="B3637" s="1197"/>
      <c r="C3637" s="1199"/>
      <c r="D3637" s="1223">
        <f t="shared" ref="D3637:L3637" si="849">SUM(D3634:D3636)</f>
        <v>38870.437012000002</v>
      </c>
      <c r="E3637" s="1223">
        <f t="shared" si="849"/>
        <v>39455.917011999998</v>
      </c>
      <c r="F3637" s="1223">
        <f t="shared" si="849"/>
        <v>40041.397012000001</v>
      </c>
      <c r="G3637" s="1223">
        <f t="shared" si="849"/>
        <v>40626.877011999997</v>
      </c>
      <c r="H3637" s="1223">
        <f t="shared" si="849"/>
        <v>41212.357012000008</v>
      </c>
      <c r="I3637" s="1223">
        <f t="shared" si="849"/>
        <v>41797.837012000004</v>
      </c>
      <c r="J3637" s="1001"/>
      <c r="K3637" s="1001">
        <f t="shared" si="849"/>
        <v>42968.797012000003</v>
      </c>
      <c r="L3637" s="1001">
        <f t="shared" si="849"/>
        <v>43554.277011999999</v>
      </c>
    </row>
    <row r="3638" spans="1:12">
      <c r="A3638" s="1197"/>
      <c r="B3638" s="1197"/>
      <c r="C3638" s="1807" t="str">
        <f>Input!$C$48</f>
        <v>Overheads &amp; Contractors Profit @ 13.615%</v>
      </c>
      <c r="D3638" s="1223">
        <f>ROUND(D3637*Input!$D$48,2)</f>
        <v>5292.21</v>
      </c>
      <c r="E3638" s="1223">
        <f>ROUND(E3637*Input!$D$48,2)</f>
        <v>5371.92</v>
      </c>
      <c r="F3638" s="1223">
        <f>ROUND(F3637*Input!$D$48,2)</f>
        <v>5451.64</v>
      </c>
      <c r="G3638" s="1223">
        <f>ROUND(G3637*Input!$D$48,2)</f>
        <v>5531.35</v>
      </c>
      <c r="H3638" s="1223">
        <f>ROUND(H3637*Input!$D$48,2)</f>
        <v>5611.06</v>
      </c>
      <c r="I3638" s="1223">
        <f>ROUND(I3637*Input!$D$48,2)</f>
        <v>5690.78</v>
      </c>
      <c r="J3638" s="1001"/>
      <c r="K3638" s="1001">
        <f>ROUND(K3637*Input!$D$48,2)</f>
        <v>5850.2</v>
      </c>
      <c r="L3638" s="1001">
        <f>ROUND(L3637*Input!$D$48,2)</f>
        <v>5929.91</v>
      </c>
    </row>
    <row r="3639" spans="1:12">
      <c r="A3639" s="1197"/>
      <c r="B3639" s="1197"/>
      <c r="C3639" s="1807" t="s">
        <v>1302</v>
      </c>
      <c r="D3639" s="1223">
        <f t="shared" ref="D3639:L3639" si="850">SUM(D3637:D3638)</f>
        <v>44162.647012000001</v>
      </c>
      <c r="E3639" s="1223">
        <f t="shared" si="850"/>
        <v>44827.837011999996</v>
      </c>
      <c r="F3639" s="1223">
        <f t="shared" si="850"/>
        <v>45493.037012000001</v>
      </c>
      <c r="G3639" s="1223">
        <f t="shared" si="850"/>
        <v>46158.227011999996</v>
      </c>
      <c r="H3639" s="1223">
        <f t="shared" si="850"/>
        <v>46823.417012000005</v>
      </c>
      <c r="I3639" s="1223">
        <f t="shared" si="850"/>
        <v>47488.617012000002</v>
      </c>
      <c r="J3639" s="1001"/>
      <c r="K3639" s="1001">
        <f t="shared" si="850"/>
        <v>48818.997012</v>
      </c>
      <c r="L3639" s="1001">
        <f t="shared" si="850"/>
        <v>49484.187011999995</v>
      </c>
    </row>
    <row r="3640" spans="1:12">
      <c r="A3640" s="1197"/>
      <c r="B3640" s="1197"/>
      <c r="C3640" s="1795" t="s">
        <v>1117</v>
      </c>
      <c r="D3640" s="1220">
        <f t="shared" ref="D3640:L3640" si="851">D3639/10</f>
        <v>4416.2647011999998</v>
      </c>
      <c r="E3640" s="1220">
        <f t="shared" si="851"/>
        <v>4482.7837012</v>
      </c>
      <c r="F3640" s="1220">
        <f t="shared" si="851"/>
        <v>4549.3037012000004</v>
      </c>
      <c r="G3640" s="1220">
        <f t="shared" si="851"/>
        <v>4615.8227011999998</v>
      </c>
      <c r="H3640" s="1220">
        <f t="shared" si="851"/>
        <v>4682.3417012000009</v>
      </c>
      <c r="I3640" s="1220">
        <f t="shared" si="851"/>
        <v>4748.8617012000004</v>
      </c>
      <c r="J3640" s="1009"/>
      <c r="K3640" s="1009">
        <f t="shared" si="851"/>
        <v>4881.8997012</v>
      </c>
      <c r="L3640" s="1009">
        <f t="shared" si="851"/>
        <v>4948.4187011999993</v>
      </c>
    </row>
    <row r="3641" spans="1:12" s="997" customFormat="1">
      <c r="A3641" s="1802"/>
      <c r="B3641" s="1802"/>
      <c r="C3641" s="1224" t="s">
        <v>1034</v>
      </c>
      <c r="D3641" s="1225">
        <f t="shared" ref="D3641:L3641" si="852">ROUND(D3640,0)</f>
        <v>4416</v>
      </c>
      <c r="E3641" s="1225">
        <f t="shared" si="852"/>
        <v>4483</v>
      </c>
      <c r="F3641" s="1225">
        <f t="shared" si="852"/>
        <v>4549</v>
      </c>
      <c r="G3641" s="1225">
        <f t="shared" si="852"/>
        <v>4616</v>
      </c>
      <c r="H3641" s="1225">
        <f t="shared" si="852"/>
        <v>4682</v>
      </c>
      <c r="I3641" s="1225">
        <f t="shared" si="852"/>
        <v>4749</v>
      </c>
      <c r="J3641" s="999"/>
      <c r="K3641" s="999">
        <f t="shared" si="852"/>
        <v>4882</v>
      </c>
      <c r="L3641" s="999">
        <f t="shared" si="852"/>
        <v>4948</v>
      </c>
    </row>
    <row r="3642" spans="1:12">
      <c r="A3642" s="1197"/>
      <c r="B3642" s="1197"/>
      <c r="C3642" s="1795"/>
      <c r="D3642" s="1221"/>
      <c r="E3642" s="1221"/>
      <c r="F3642" s="1221"/>
      <c r="G3642" s="1221"/>
      <c r="H3642" s="1221"/>
      <c r="I3642" s="1220"/>
      <c r="J3642" s="1846"/>
      <c r="K3642" s="1846"/>
      <c r="L3642" s="1846"/>
    </row>
    <row r="3643" spans="1:12">
      <c r="A3643" s="1197"/>
      <c r="B3643" s="1197"/>
      <c r="C3643" s="1795" t="s">
        <v>1217</v>
      </c>
      <c r="D3643" s="1218" t="s">
        <v>1357</v>
      </c>
      <c r="E3643" s="1218" t="s">
        <v>1358</v>
      </c>
      <c r="F3643" s="1218" t="s">
        <v>1359</v>
      </c>
      <c r="G3643" s="1221"/>
      <c r="H3643" s="1221"/>
      <c r="I3643" s="1220"/>
      <c r="J3643" s="1846"/>
      <c r="K3643" s="1846"/>
      <c r="L3643" s="1846"/>
    </row>
    <row r="3644" spans="1:12">
      <c r="A3644" s="1197"/>
      <c r="B3644" s="1197"/>
      <c r="C3644" s="1807" t="s">
        <v>1317</v>
      </c>
      <c r="D3644" s="1223">
        <f>$I$3631</f>
        <v>38870.437012000002</v>
      </c>
      <c r="E3644" s="1223">
        <f>$I$3631</f>
        <v>38870.437012000002</v>
      </c>
      <c r="F3644" s="1223">
        <f>$I$3631</f>
        <v>38870.437012000002</v>
      </c>
      <c r="G3644" s="1221"/>
      <c r="H3644" s="1221"/>
      <c r="I3644" s="1220"/>
      <c r="J3644" s="1846"/>
      <c r="K3644" s="1846"/>
      <c r="L3644" s="1846"/>
    </row>
    <row r="3645" spans="1:12">
      <c r="A3645" s="1197"/>
      <c r="B3645" s="1197"/>
      <c r="C3645" s="1807" t="s">
        <v>1253</v>
      </c>
      <c r="D3645" s="1223">
        <f>ROUND($F$3592*60%,2)</f>
        <v>2509.1999999999998</v>
      </c>
      <c r="E3645" s="1223">
        <f>ROUND($F$3592*70%,2)</f>
        <v>2927.4</v>
      </c>
      <c r="F3645" s="1223">
        <f>ROUND($F$3592*80%,2)</f>
        <v>3345.6</v>
      </c>
      <c r="G3645" s="1221"/>
      <c r="H3645" s="1221"/>
      <c r="I3645" s="1220"/>
      <c r="J3645" s="1846"/>
      <c r="K3645" s="1846"/>
      <c r="L3645" s="1846"/>
    </row>
    <row r="3646" spans="1:12">
      <c r="A3646" s="1197"/>
      <c r="B3646" s="1197"/>
      <c r="C3646" s="1807" t="str">
        <f>Input!$C$47</f>
        <v>Add for MA @ 40%</v>
      </c>
      <c r="D3646" s="1223">
        <f>D3645*Input!$D$47</f>
        <v>1003.68</v>
      </c>
      <c r="E3646" s="1223">
        <f>E3645*Input!$D$47</f>
        <v>1170.96</v>
      </c>
      <c r="F3646" s="1223">
        <f>F3645*Input!$D$47</f>
        <v>1338.24</v>
      </c>
      <c r="G3646" s="1221"/>
      <c r="H3646" s="1221"/>
      <c r="I3646" s="1220"/>
      <c r="J3646" s="1846"/>
      <c r="K3646" s="1846"/>
      <c r="L3646" s="1846"/>
    </row>
    <row r="3647" spans="1:12">
      <c r="A3647" s="1197"/>
      <c r="B3647" s="1197"/>
      <c r="C3647" s="1208"/>
      <c r="D3647" s="1223">
        <f>SUM(D3644:D3646)</f>
        <v>42383.317012</v>
      </c>
      <c r="E3647" s="1223">
        <f>SUM(E3644:E3646)</f>
        <v>42968.797012000003</v>
      </c>
      <c r="F3647" s="1223">
        <f>SUM(F3644:F3646)</f>
        <v>43554.277011999999</v>
      </c>
      <c r="G3647" s="1221"/>
      <c r="H3647" s="1221"/>
      <c r="I3647" s="1220"/>
      <c r="J3647" s="1846"/>
      <c r="K3647" s="1846"/>
      <c r="L3647" s="1846"/>
    </row>
    <row r="3648" spans="1:12">
      <c r="A3648" s="1197"/>
      <c r="B3648" s="1197"/>
      <c r="C3648" s="1807" t="str">
        <f>Input!$C$48</f>
        <v>Overheads &amp; Contractors Profit @ 13.615%</v>
      </c>
      <c r="D3648" s="1223">
        <f>ROUND(D3647*Input!$D$48,2)</f>
        <v>5770.49</v>
      </c>
      <c r="E3648" s="1223">
        <f>ROUND(E3647*Input!$D$48,2)</f>
        <v>5850.2</v>
      </c>
      <c r="F3648" s="1223">
        <f>ROUND(F3647*Input!$D$48,2)</f>
        <v>5929.91</v>
      </c>
      <c r="G3648" s="1221"/>
      <c r="H3648" s="1221"/>
      <c r="I3648" s="1220"/>
      <c r="J3648" s="1846"/>
      <c r="K3648" s="1846"/>
      <c r="L3648" s="1846"/>
    </row>
    <row r="3649" spans="1:12">
      <c r="A3649" s="1197"/>
      <c r="B3649" s="1197"/>
      <c r="C3649" s="1807" t="s">
        <v>1302</v>
      </c>
      <c r="D3649" s="1223">
        <f>SUM(D3647:D3648)</f>
        <v>48153.807011999997</v>
      </c>
      <c r="E3649" s="1223">
        <f>SUM(E3647:E3648)</f>
        <v>48818.997012</v>
      </c>
      <c r="F3649" s="1223">
        <f>SUM(F3647:F3648)</f>
        <v>49484.187011999995</v>
      </c>
      <c r="G3649" s="1221"/>
      <c r="H3649" s="1221"/>
      <c r="I3649" s="1220"/>
      <c r="J3649" s="1846"/>
      <c r="K3649" s="1846"/>
      <c r="L3649" s="1846"/>
    </row>
    <row r="3650" spans="1:12">
      <c r="A3650" s="1197"/>
      <c r="B3650" s="1197"/>
      <c r="C3650" s="1795" t="s">
        <v>1117</v>
      </c>
      <c r="D3650" s="1220">
        <f>D3649/10</f>
        <v>4815.3807011999997</v>
      </c>
      <c r="E3650" s="1220">
        <f>E3649/10</f>
        <v>4881.8997012</v>
      </c>
      <c r="F3650" s="1220">
        <f>F3649/10</f>
        <v>4948.4187011999993</v>
      </c>
      <c r="G3650" s="1221"/>
      <c r="H3650" s="1221"/>
      <c r="I3650" s="1220"/>
      <c r="J3650" s="1846"/>
      <c r="K3650" s="1846"/>
      <c r="L3650" s="1846"/>
    </row>
    <row r="3651" spans="1:12">
      <c r="A3651" s="1197"/>
      <c r="B3651" s="1197"/>
      <c r="C3651" s="1231" t="s">
        <v>1034</v>
      </c>
      <c r="D3651" s="1225">
        <f>ROUND(D3650,0)</f>
        <v>4815</v>
      </c>
      <c r="E3651" s="1225">
        <f>ROUND(E3650,0)</f>
        <v>4882</v>
      </c>
      <c r="F3651" s="1225">
        <f>ROUND(F3650,0)</f>
        <v>4948</v>
      </c>
      <c r="G3651" s="1221"/>
      <c r="H3651" s="1221"/>
      <c r="I3651" s="1220"/>
      <c r="J3651" s="1846"/>
      <c r="K3651" s="1846"/>
      <c r="L3651" s="1846"/>
    </row>
    <row r="3652" spans="1:12">
      <c r="A3652" s="1197"/>
      <c r="B3652" s="1197"/>
      <c r="C3652" s="1795"/>
      <c r="D3652" s="1221"/>
      <c r="E3652" s="1221"/>
      <c r="F3652" s="1221"/>
      <c r="G3652" s="1221"/>
      <c r="H3652" s="1221"/>
      <c r="I3652" s="1220"/>
      <c r="J3652" s="1846"/>
      <c r="K3652" s="1846"/>
      <c r="L3652" s="1846"/>
    </row>
    <row r="3653" spans="1:12" ht="130.5" customHeight="1">
      <c r="A3653" s="1197">
        <f>1+A3476</f>
        <v>41</v>
      </c>
      <c r="B3653" s="1197"/>
      <c r="C3653" s="2006" t="s">
        <v>3638</v>
      </c>
      <c r="D3653" s="2006"/>
      <c r="E3653" s="2006"/>
      <c r="F3653" s="2006"/>
      <c r="G3653" s="2006"/>
      <c r="H3653" s="2006"/>
      <c r="I3653" s="1814"/>
      <c r="J3653" s="1846"/>
      <c r="K3653" s="1846"/>
      <c r="L3653" s="1846"/>
    </row>
    <row r="3654" spans="1:12">
      <c r="A3654" s="1197"/>
      <c r="B3654" s="1197"/>
      <c r="C3654" s="1198" t="s">
        <v>1488</v>
      </c>
      <c r="D3654" s="1228"/>
      <c r="E3654" s="1297"/>
      <c r="F3654" s="1223"/>
      <c r="G3654" s="1272"/>
      <c r="H3654" s="1298"/>
      <c r="I3654" s="1219"/>
      <c r="J3654" s="1846"/>
      <c r="K3654" s="1846"/>
      <c r="L3654" s="1846"/>
    </row>
    <row r="3655" spans="1:12">
      <c r="A3655" s="1197"/>
      <c r="B3655" s="1197"/>
      <c r="C3655" s="1807" t="s">
        <v>1464</v>
      </c>
      <c r="D3655" s="1228"/>
      <c r="E3655" s="1297"/>
      <c r="F3655" s="1223"/>
      <c r="G3655" s="1272"/>
      <c r="H3655" s="1298"/>
      <c r="I3655" s="1219"/>
      <c r="J3655" s="1846"/>
      <c r="K3655" s="1846"/>
      <c r="L3655" s="1846"/>
    </row>
    <row r="3656" spans="1:12">
      <c r="A3656" s="1197"/>
      <c r="B3656" s="1197"/>
      <c r="C3656" s="1795" t="s">
        <v>1139</v>
      </c>
      <c r="D3656" s="1228"/>
      <c r="E3656" s="1297"/>
      <c r="F3656" s="1223"/>
      <c r="G3656" s="1272"/>
      <c r="H3656" s="1298"/>
      <c r="I3656" s="1219"/>
      <c r="J3656" s="1846"/>
      <c r="K3656" s="1846"/>
      <c r="L3656" s="1846"/>
    </row>
    <row r="3657" spans="1:12" ht="25.5">
      <c r="A3657" s="1197"/>
      <c r="B3657" s="1197"/>
      <c r="C3657" s="1807" t="s">
        <v>1489</v>
      </c>
      <c r="D3657" s="1228">
        <v>10.5</v>
      </c>
      <c r="E3657" s="1297" t="s">
        <v>94</v>
      </c>
      <c r="F3657" s="1724">
        <f>'Civil-SOR'!$G$22</f>
        <v>750</v>
      </c>
      <c r="G3657" s="1272">
        <v>1</v>
      </c>
      <c r="H3657" s="1271" t="s">
        <v>94</v>
      </c>
      <c r="I3657" s="1205">
        <f t="shared" ref="I3657:I3661" si="853">IF(G3657="",D3657*F3657,(D3657*F3657/G3657))</f>
        <v>7875</v>
      </c>
      <c r="J3657" s="1148"/>
      <c r="K3657" s="1846"/>
      <c r="L3657" s="1846"/>
    </row>
    <row r="3658" spans="1:12">
      <c r="A3658" s="1197"/>
      <c r="B3658" s="1197"/>
      <c r="C3658" s="1807" t="s">
        <v>1466</v>
      </c>
      <c r="D3658" s="1228">
        <v>0.12</v>
      </c>
      <c r="E3658" s="1297" t="s">
        <v>75</v>
      </c>
      <c r="F3658" s="1223">
        <f>LEAD!$N$13</f>
        <v>2453.91</v>
      </c>
      <c r="G3658" s="1272">
        <v>1</v>
      </c>
      <c r="H3658" s="1271" t="s">
        <v>75</v>
      </c>
      <c r="I3658" s="1205">
        <f t="shared" si="853"/>
        <v>294.46919999999994</v>
      </c>
      <c r="J3658" s="1846"/>
      <c r="K3658" s="1846"/>
      <c r="L3658" s="1846"/>
    </row>
    <row r="3659" spans="1:12">
      <c r="A3659" s="1197"/>
      <c r="B3659" s="1197"/>
      <c r="C3659" s="1807" t="s">
        <v>1467</v>
      </c>
      <c r="D3659" s="1228">
        <v>34.56</v>
      </c>
      <c r="E3659" s="1297" t="s">
        <v>1110</v>
      </c>
      <c r="F3659" s="1223">
        <f>LEAD!$N$6</f>
        <v>5200</v>
      </c>
      <c r="G3659" s="1272">
        <v>1000</v>
      </c>
      <c r="H3659" s="1271" t="s">
        <v>1110</v>
      </c>
      <c r="I3659" s="1205">
        <f t="shared" si="853"/>
        <v>179.71199999999999</v>
      </c>
      <c r="J3659" s="1846"/>
      <c r="K3659" s="1846"/>
      <c r="L3659" s="1846"/>
    </row>
    <row r="3660" spans="1:12">
      <c r="A3660" s="1197"/>
      <c r="B3660" s="1197"/>
      <c r="C3660" s="1807" t="s">
        <v>1398</v>
      </c>
      <c r="D3660" s="1228">
        <v>33</v>
      </c>
      <c r="E3660" s="1297" t="s">
        <v>1110</v>
      </c>
      <c r="F3660" s="1223">
        <f>LEAD!$N$6</f>
        <v>5200</v>
      </c>
      <c r="G3660" s="1272">
        <v>1000</v>
      </c>
      <c r="H3660" s="1271" t="s">
        <v>1110</v>
      </c>
      <c r="I3660" s="1205">
        <f t="shared" si="853"/>
        <v>171.6</v>
      </c>
      <c r="J3660" s="1846"/>
      <c r="K3660" s="1846"/>
      <c r="L3660" s="1846"/>
    </row>
    <row r="3661" spans="1:12">
      <c r="A3661" s="1197"/>
      <c r="B3661" s="1197"/>
      <c r="C3661" s="1807" t="s">
        <v>1483</v>
      </c>
      <c r="D3661" s="1228">
        <v>6</v>
      </c>
      <c r="E3661" s="1297" t="s">
        <v>1110</v>
      </c>
      <c r="F3661" s="1223">
        <f>'Civil-SOR'!$G$185</f>
        <v>34</v>
      </c>
      <c r="G3661" s="1272">
        <v>1</v>
      </c>
      <c r="H3661" s="1271" t="s">
        <v>97</v>
      </c>
      <c r="I3661" s="1205">
        <f t="shared" si="853"/>
        <v>204</v>
      </c>
      <c r="J3661" s="1846"/>
      <c r="K3661" s="1846"/>
      <c r="L3661" s="1846"/>
    </row>
    <row r="3662" spans="1:12">
      <c r="A3662" s="1197"/>
      <c r="B3662" s="1197"/>
      <c r="C3662" s="1795" t="s">
        <v>1468</v>
      </c>
      <c r="D3662" s="1228"/>
      <c r="E3662" s="1297"/>
      <c r="F3662" s="1223"/>
      <c r="G3662" s="1272"/>
      <c r="H3662" s="1298"/>
      <c r="I3662" s="1219"/>
      <c r="J3662" s="1846"/>
      <c r="K3662" s="1846"/>
      <c r="L3662" s="1846"/>
    </row>
    <row r="3663" spans="1:12">
      <c r="A3663" s="1197"/>
      <c r="B3663" s="1197"/>
      <c r="C3663" s="1807" t="s">
        <v>1299</v>
      </c>
      <c r="D3663" s="1228">
        <v>0.77</v>
      </c>
      <c r="E3663" s="1297" t="s">
        <v>36</v>
      </c>
      <c r="F3663" s="1223">
        <f>'Civil-SOR'!$G$293</f>
        <v>580</v>
      </c>
      <c r="G3663" s="1272">
        <v>1</v>
      </c>
      <c r="H3663" s="1271" t="s">
        <v>501</v>
      </c>
      <c r="I3663" s="1205">
        <f t="shared" ref="I3663:I3666" si="854">IF(G3663="",D3663*F3663,(D3663*F3663/G3663))</f>
        <v>446.6</v>
      </c>
      <c r="J3663" s="1846"/>
      <c r="K3663" s="1846"/>
      <c r="L3663" s="1846"/>
    </row>
    <row r="3664" spans="1:12">
      <c r="A3664" s="1197"/>
      <c r="B3664" s="1197"/>
      <c r="C3664" s="1807" t="s">
        <v>1031</v>
      </c>
      <c r="D3664" s="1228">
        <v>0.8</v>
      </c>
      <c r="E3664" s="1297" t="s">
        <v>36</v>
      </c>
      <c r="F3664" s="1223">
        <f>'Civil-SOR'!$G$307</f>
        <v>520</v>
      </c>
      <c r="G3664" s="1272">
        <v>1</v>
      </c>
      <c r="H3664" s="1271" t="s">
        <v>501</v>
      </c>
      <c r="I3664" s="1205">
        <f t="shared" si="854"/>
        <v>416</v>
      </c>
      <c r="J3664" s="1846"/>
      <c r="K3664" s="1846"/>
      <c r="L3664" s="1846"/>
    </row>
    <row r="3665" spans="1:12">
      <c r="A3665" s="1197"/>
      <c r="B3665" s="1197"/>
      <c r="C3665" s="1807" t="str">
        <f>Input!$C$47</f>
        <v>Add for MA @ 40%</v>
      </c>
      <c r="D3665" s="1313">
        <f>Input!$D$47</f>
        <v>0.4</v>
      </c>
      <c r="E3665" s="1276"/>
      <c r="F3665" s="1223">
        <f>SUM(I3663:I3664)</f>
        <v>862.6</v>
      </c>
      <c r="G3665" s="1278"/>
      <c r="H3665" s="1279"/>
      <c r="I3665" s="1205">
        <f t="shared" si="854"/>
        <v>345.04</v>
      </c>
      <c r="J3665" s="1846"/>
      <c r="K3665" s="1846"/>
      <c r="L3665" s="1846"/>
    </row>
    <row r="3666" spans="1:12">
      <c r="A3666" s="1197"/>
      <c r="B3666" s="1197"/>
      <c r="C3666" s="1202" t="s">
        <v>1301</v>
      </c>
      <c r="D3666" s="1228">
        <v>0.01</v>
      </c>
      <c r="E3666" s="1297"/>
      <c r="F3666" s="1223">
        <f>SUM(I3657:I3665)</f>
        <v>9932.4212000000007</v>
      </c>
      <c r="G3666" s="1272"/>
      <c r="H3666" s="1271"/>
      <c r="I3666" s="1205">
        <f t="shared" si="854"/>
        <v>99.324212000000003</v>
      </c>
      <c r="J3666" s="1846"/>
      <c r="K3666" s="1846"/>
      <c r="L3666" s="1846"/>
    </row>
    <row r="3667" spans="1:12" s="997" customFormat="1">
      <c r="A3667" s="1802"/>
      <c r="B3667" s="1802"/>
      <c r="C3667" s="1796" t="s">
        <v>1402</v>
      </c>
      <c r="D3667" s="1281"/>
      <c r="E3667" s="1282"/>
      <c r="F3667" s="1283"/>
      <c r="G3667" s="1284"/>
      <c r="H3667" s="1282"/>
      <c r="I3667" s="1285">
        <f>SUM(I3657:I3666)</f>
        <v>10031.745412</v>
      </c>
      <c r="J3667" s="996"/>
      <c r="K3667" s="996"/>
      <c r="L3667" s="996"/>
    </row>
    <row r="3668" spans="1:12">
      <c r="A3668" s="1197"/>
      <c r="B3668" s="1197"/>
      <c r="C3668" s="1814"/>
      <c r="D3668" s="1228"/>
      <c r="E3668" s="1271"/>
      <c r="F3668" s="1223"/>
      <c r="G3668" s="1272"/>
      <c r="H3668" s="1271"/>
      <c r="I3668" s="1201"/>
      <c r="J3668" s="1846"/>
      <c r="K3668" s="1846"/>
      <c r="L3668" s="1846"/>
    </row>
    <row r="3669" spans="1:12">
      <c r="A3669" s="1197"/>
      <c r="B3669" s="1197"/>
      <c r="C3669" s="1814"/>
      <c r="D3669" s="1228"/>
      <c r="E3669" s="1271"/>
      <c r="F3669" s="1223"/>
      <c r="G3669" s="1272"/>
      <c r="H3669" s="1271"/>
      <c r="I3669" s="1201"/>
      <c r="J3669" s="1846"/>
      <c r="K3669" s="1846"/>
      <c r="L3669" s="1846"/>
    </row>
    <row r="3670" spans="1:12">
      <c r="A3670" s="1197"/>
      <c r="B3670" s="1197"/>
      <c r="C3670" s="1814"/>
      <c r="D3670" s="1228"/>
      <c r="E3670" s="1271"/>
      <c r="F3670" s="1223"/>
      <c r="G3670" s="1272"/>
      <c r="H3670" s="1271"/>
      <c r="I3670" s="1201"/>
      <c r="J3670" s="1846"/>
      <c r="K3670" s="1846"/>
      <c r="L3670" s="1846"/>
    </row>
    <row r="3671" spans="1:12" s="997" customFormat="1">
      <c r="A3671" s="1802"/>
      <c r="B3671" s="1802"/>
      <c r="C3671" s="1796" t="s">
        <v>1217</v>
      </c>
      <c r="D3671" s="1218" t="s">
        <v>1223</v>
      </c>
      <c r="E3671" s="1225" t="s">
        <v>1207</v>
      </c>
      <c r="F3671" s="1299" t="s">
        <v>1208</v>
      </c>
      <c r="G3671" s="1299" t="s">
        <v>1291</v>
      </c>
      <c r="H3671" s="1299" t="s">
        <v>1292</v>
      </c>
      <c r="I3671" s="1299" t="s">
        <v>1293</v>
      </c>
      <c r="J3671" s="998"/>
      <c r="K3671" s="998" t="s">
        <v>1358</v>
      </c>
      <c r="L3671" s="998" t="s">
        <v>1359</v>
      </c>
    </row>
    <row r="3672" spans="1:12">
      <c r="A3672" s="1197"/>
      <c r="B3672" s="1197"/>
      <c r="C3672" s="1807" t="s">
        <v>1317</v>
      </c>
      <c r="D3672" s="1223">
        <f t="shared" ref="D3672:L3672" si="855">$I$3667</f>
        <v>10031.745412</v>
      </c>
      <c r="E3672" s="1223">
        <f t="shared" si="855"/>
        <v>10031.745412</v>
      </c>
      <c r="F3672" s="1223">
        <f t="shared" si="855"/>
        <v>10031.745412</v>
      </c>
      <c r="G3672" s="1223">
        <f t="shared" si="855"/>
        <v>10031.745412</v>
      </c>
      <c r="H3672" s="1223">
        <f t="shared" si="855"/>
        <v>10031.745412</v>
      </c>
      <c r="I3672" s="1223">
        <f t="shared" si="855"/>
        <v>10031.745412</v>
      </c>
      <c r="J3672" s="1001"/>
      <c r="K3672" s="1001">
        <f t="shared" si="855"/>
        <v>10031.745412</v>
      </c>
      <c r="L3672" s="1001">
        <f t="shared" si="855"/>
        <v>10031.745412</v>
      </c>
    </row>
    <row r="3673" spans="1:12">
      <c r="A3673" s="1197"/>
      <c r="B3673" s="1197"/>
      <c r="C3673" s="1807" t="s">
        <v>1253</v>
      </c>
      <c r="D3673" s="1223">
        <v>0</v>
      </c>
      <c r="E3673" s="1223">
        <f>ROUND($F$3665*10%,2)</f>
        <v>86.26</v>
      </c>
      <c r="F3673" s="1223">
        <f>ROUND($F$3665*20%,2)</f>
        <v>172.52</v>
      </c>
      <c r="G3673" s="1223">
        <f>ROUND($F$3665*30%,2)</f>
        <v>258.77999999999997</v>
      </c>
      <c r="H3673" s="1223">
        <f>ROUND($F$3665*40%,2)</f>
        <v>345.04</v>
      </c>
      <c r="I3673" s="1223">
        <f>ROUND($F$3665*50%,2)</f>
        <v>431.3</v>
      </c>
      <c r="J3673" s="1001"/>
      <c r="K3673" s="1001">
        <f>ROUND($F$3665*70%,2)</f>
        <v>603.82000000000005</v>
      </c>
      <c r="L3673" s="1001">
        <f>ROUND($F$3665*80%,2)</f>
        <v>690.08</v>
      </c>
    </row>
    <row r="3674" spans="1:12">
      <c r="A3674" s="1197"/>
      <c r="B3674" s="1197"/>
      <c r="C3674" s="1807" t="str">
        <f>Input!$C$47</f>
        <v>Add for MA @ 40%</v>
      </c>
      <c r="D3674" s="1223">
        <f>D3673*Input!$D$47</f>
        <v>0</v>
      </c>
      <c r="E3674" s="1223">
        <f>E3673*Input!$D$47</f>
        <v>34.504000000000005</v>
      </c>
      <c r="F3674" s="1223">
        <f>F3673*Input!$D$47</f>
        <v>69.00800000000001</v>
      </c>
      <c r="G3674" s="1223">
        <f>G3673*Input!$D$47</f>
        <v>103.512</v>
      </c>
      <c r="H3674" s="1223">
        <f>H3673*Input!$D$47</f>
        <v>138.01600000000002</v>
      </c>
      <c r="I3674" s="1223">
        <f>I3673*Input!$D$47</f>
        <v>172.52</v>
      </c>
      <c r="J3674" s="1001"/>
      <c r="K3674" s="1001">
        <f>K3673*Input!$D$47</f>
        <v>241.52800000000002</v>
      </c>
      <c r="L3674" s="1001">
        <f>L3673*Input!$D$47</f>
        <v>276.03200000000004</v>
      </c>
    </row>
    <row r="3675" spans="1:12">
      <c r="A3675" s="1197"/>
      <c r="B3675" s="1197"/>
      <c r="C3675" s="1199"/>
      <c r="D3675" s="1223">
        <f t="shared" ref="D3675:L3675" si="856">SUM(D3672:D3674)</f>
        <v>10031.745412</v>
      </c>
      <c r="E3675" s="1223">
        <f t="shared" si="856"/>
        <v>10152.509412000001</v>
      </c>
      <c r="F3675" s="1223">
        <f t="shared" si="856"/>
        <v>10273.273412</v>
      </c>
      <c r="G3675" s="1223">
        <f t="shared" si="856"/>
        <v>10394.037412000001</v>
      </c>
      <c r="H3675" s="1223">
        <f t="shared" si="856"/>
        <v>10514.801412000001</v>
      </c>
      <c r="I3675" s="1223">
        <f t="shared" si="856"/>
        <v>10635.565412</v>
      </c>
      <c r="J3675" s="1001"/>
      <c r="K3675" s="1001">
        <f t="shared" si="856"/>
        <v>10877.093412</v>
      </c>
      <c r="L3675" s="1001">
        <f t="shared" si="856"/>
        <v>10997.857411999999</v>
      </c>
    </row>
    <row r="3676" spans="1:12">
      <c r="A3676" s="1197"/>
      <c r="B3676" s="1197"/>
      <c r="C3676" s="1807" t="str">
        <f>Input!$C$48</f>
        <v>Overheads &amp; Contractors Profit @ 13.615%</v>
      </c>
      <c r="D3676" s="1223">
        <f>ROUND(D3675*Input!$D$48,2)</f>
        <v>1365.82</v>
      </c>
      <c r="E3676" s="1223">
        <f>ROUND(E3675*Input!$D$48,2)</f>
        <v>1382.26</v>
      </c>
      <c r="F3676" s="1223">
        <f>ROUND(F3675*Input!$D$48,2)</f>
        <v>1398.71</v>
      </c>
      <c r="G3676" s="1223">
        <f>ROUND(G3675*Input!$D$48,2)</f>
        <v>1415.15</v>
      </c>
      <c r="H3676" s="1223">
        <f>ROUND(H3675*Input!$D$48,2)</f>
        <v>1431.59</v>
      </c>
      <c r="I3676" s="1223">
        <f>ROUND(I3675*Input!$D$48,2)</f>
        <v>1448.03</v>
      </c>
      <c r="J3676" s="1001"/>
      <c r="K3676" s="1001">
        <f>ROUND(K3675*Input!$D$48,2)</f>
        <v>1480.92</v>
      </c>
      <c r="L3676" s="1001">
        <f>ROUND(L3675*Input!$D$48,2)</f>
        <v>1497.36</v>
      </c>
    </row>
    <row r="3677" spans="1:12">
      <c r="A3677" s="1197"/>
      <c r="B3677" s="1197"/>
      <c r="C3677" s="1795" t="s">
        <v>1302</v>
      </c>
      <c r="D3677" s="1223">
        <f t="shared" ref="D3677:L3677" si="857">SUM(D3675:D3676)</f>
        <v>11397.565412</v>
      </c>
      <c r="E3677" s="1223">
        <f t="shared" si="857"/>
        <v>11534.769412000001</v>
      </c>
      <c r="F3677" s="1223">
        <f t="shared" si="857"/>
        <v>11671.983412000001</v>
      </c>
      <c r="G3677" s="1223">
        <f t="shared" si="857"/>
        <v>11809.187412000001</v>
      </c>
      <c r="H3677" s="1223">
        <f t="shared" si="857"/>
        <v>11946.391412000001</v>
      </c>
      <c r="I3677" s="1223">
        <f t="shared" si="857"/>
        <v>12083.595412000001</v>
      </c>
      <c r="J3677" s="1001"/>
      <c r="K3677" s="1001">
        <f t="shared" si="857"/>
        <v>12358.013412</v>
      </c>
      <c r="L3677" s="1001">
        <f t="shared" si="857"/>
        <v>12495.217412</v>
      </c>
    </row>
    <row r="3678" spans="1:12" s="997" customFormat="1">
      <c r="A3678" s="1802"/>
      <c r="B3678" s="1802"/>
      <c r="C3678" s="1796" t="s">
        <v>1117</v>
      </c>
      <c r="D3678" s="1218">
        <f t="shared" ref="D3678:L3678" si="858">D3677/10</f>
        <v>1139.7565411999999</v>
      </c>
      <c r="E3678" s="1218">
        <f t="shared" si="858"/>
        <v>1153.4769412000001</v>
      </c>
      <c r="F3678" s="1218">
        <f t="shared" si="858"/>
        <v>1167.1983412000002</v>
      </c>
      <c r="G3678" s="1218">
        <f t="shared" si="858"/>
        <v>1180.9187412000001</v>
      </c>
      <c r="H3678" s="1218">
        <f t="shared" si="858"/>
        <v>1194.6391412</v>
      </c>
      <c r="I3678" s="1218">
        <f t="shared" si="858"/>
        <v>1208.3595412</v>
      </c>
      <c r="J3678" s="1826"/>
      <c r="K3678" s="1826">
        <f t="shared" si="858"/>
        <v>1235.8013412</v>
      </c>
      <c r="L3678" s="1826">
        <f t="shared" si="858"/>
        <v>1249.5217412</v>
      </c>
    </row>
    <row r="3679" spans="1:12" s="997" customFormat="1">
      <c r="A3679" s="1802"/>
      <c r="B3679" s="1802"/>
      <c r="C3679" s="1224" t="s">
        <v>1034</v>
      </c>
      <c r="D3679" s="1225">
        <f t="shared" ref="D3679:L3679" si="859">ROUND(D3678,0)</f>
        <v>1140</v>
      </c>
      <c r="E3679" s="1225">
        <f t="shared" si="859"/>
        <v>1153</v>
      </c>
      <c r="F3679" s="1225">
        <f t="shared" si="859"/>
        <v>1167</v>
      </c>
      <c r="G3679" s="1225">
        <f t="shared" si="859"/>
        <v>1181</v>
      </c>
      <c r="H3679" s="1225">
        <f t="shared" si="859"/>
        <v>1195</v>
      </c>
      <c r="I3679" s="1225">
        <f t="shared" si="859"/>
        <v>1208</v>
      </c>
      <c r="J3679" s="999"/>
      <c r="K3679" s="999">
        <f t="shared" si="859"/>
        <v>1236</v>
      </c>
      <c r="L3679" s="999">
        <f t="shared" si="859"/>
        <v>1250</v>
      </c>
    </row>
    <row r="3680" spans="1:12">
      <c r="A3680" s="1197"/>
      <c r="B3680" s="1197"/>
      <c r="C3680" s="1814"/>
      <c r="D3680" s="1228"/>
      <c r="E3680" s="1271"/>
      <c r="F3680" s="1223"/>
      <c r="G3680" s="1272"/>
      <c r="H3680" s="1271"/>
      <c r="I3680" s="1201"/>
      <c r="J3680" s="1846"/>
      <c r="K3680" s="1846"/>
      <c r="L3680" s="1846"/>
    </row>
    <row r="3681" spans="1:12">
      <c r="A3681" s="1197"/>
      <c r="B3681" s="1197"/>
      <c r="C3681" s="1795" t="s">
        <v>1217</v>
      </c>
      <c r="D3681" s="1299" t="s">
        <v>1357</v>
      </c>
      <c r="E3681" s="1299" t="s">
        <v>1358</v>
      </c>
      <c r="F3681" s="1299" t="s">
        <v>1359</v>
      </c>
      <c r="G3681" s="1272"/>
      <c r="H3681" s="1271"/>
      <c r="I3681" s="1201"/>
      <c r="J3681" s="1846"/>
      <c r="K3681" s="1846"/>
      <c r="L3681" s="1846"/>
    </row>
    <row r="3682" spans="1:12">
      <c r="A3682" s="1197"/>
      <c r="B3682" s="1197"/>
      <c r="C3682" s="1807" t="s">
        <v>1317</v>
      </c>
      <c r="D3682" s="1223">
        <f>$I$3667</f>
        <v>10031.745412</v>
      </c>
      <c r="E3682" s="1223">
        <f>$I$3667</f>
        <v>10031.745412</v>
      </c>
      <c r="F3682" s="1223">
        <f>$I$3667</f>
        <v>10031.745412</v>
      </c>
      <c r="G3682" s="1272"/>
      <c r="H3682" s="1271"/>
      <c r="I3682" s="1201"/>
      <c r="J3682" s="1846"/>
      <c r="K3682" s="1846"/>
      <c r="L3682" s="1846"/>
    </row>
    <row r="3683" spans="1:12">
      <c r="A3683" s="1197"/>
      <c r="B3683" s="1197"/>
      <c r="C3683" s="1807" t="s">
        <v>1253</v>
      </c>
      <c r="D3683" s="1223">
        <f>ROUND($F$3665*60%,2)</f>
        <v>517.55999999999995</v>
      </c>
      <c r="E3683" s="1223">
        <f>ROUND($F$3665*70%,2)</f>
        <v>603.82000000000005</v>
      </c>
      <c r="F3683" s="1223">
        <f>ROUND($F$3665*80%,2)</f>
        <v>690.08</v>
      </c>
      <c r="G3683" s="1272"/>
      <c r="H3683" s="1271"/>
      <c r="I3683" s="1201"/>
      <c r="J3683" s="1846"/>
      <c r="K3683" s="1846"/>
      <c r="L3683" s="1846"/>
    </row>
    <row r="3684" spans="1:12">
      <c r="A3684" s="1197"/>
      <c r="B3684" s="1197"/>
      <c r="C3684" s="1807" t="str">
        <f>Input!$C$47</f>
        <v>Add for MA @ 40%</v>
      </c>
      <c r="D3684" s="1223">
        <f>D3683*Input!$D$47</f>
        <v>207.024</v>
      </c>
      <c r="E3684" s="1223">
        <f>E3683*Input!$D$47</f>
        <v>241.52800000000002</v>
      </c>
      <c r="F3684" s="1223">
        <f>F3683*Input!$D$47</f>
        <v>276.03200000000004</v>
      </c>
      <c r="G3684" s="1272"/>
      <c r="H3684" s="1271"/>
      <c r="I3684" s="1201"/>
      <c r="J3684" s="1846"/>
      <c r="K3684" s="1846"/>
      <c r="L3684" s="1846"/>
    </row>
    <row r="3685" spans="1:12">
      <c r="A3685" s="1197"/>
      <c r="B3685" s="1197"/>
      <c r="C3685" s="1208"/>
      <c r="D3685" s="1223">
        <f>SUM(D3682:D3684)</f>
        <v>10756.329411999999</v>
      </c>
      <c r="E3685" s="1223">
        <f>SUM(E3682:E3684)</f>
        <v>10877.093412</v>
      </c>
      <c r="F3685" s="1223">
        <f>SUM(F3682:F3684)</f>
        <v>10997.857411999999</v>
      </c>
      <c r="G3685" s="1272"/>
      <c r="H3685" s="1271"/>
      <c r="I3685" s="1201"/>
      <c r="J3685" s="1846"/>
      <c r="K3685" s="1846"/>
      <c r="L3685" s="1846"/>
    </row>
    <row r="3686" spans="1:12">
      <c r="A3686" s="1197"/>
      <c r="B3686" s="1197"/>
      <c r="C3686" s="1807" t="str">
        <f>Input!$C$48</f>
        <v>Overheads &amp; Contractors Profit @ 13.615%</v>
      </c>
      <c r="D3686" s="1223">
        <f>ROUND(D3685*Input!$D$48,2)</f>
        <v>1464.47</v>
      </c>
      <c r="E3686" s="1223">
        <f>ROUND(E3685*Input!$D$48,2)</f>
        <v>1480.92</v>
      </c>
      <c r="F3686" s="1223">
        <f>ROUND(F3685*Input!$D$48,2)</f>
        <v>1497.36</v>
      </c>
      <c r="G3686" s="1272"/>
      <c r="H3686" s="1271"/>
      <c r="I3686" s="1201"/>
      <c r="J3686" s="1846"/>
      <c r="K3686" s="1846"/>
      <c r="L3686" s="1846"/>
    </row>
    <row r="3687" spans="1:12">
      <c r="A3687" s="1197"/>
      <c r="B3687" s="1197"/>
      <c r="C3687" s="1795" t="s">
        <v>1302</v>
      </c>
      <c r="D3687" s="1223">
        <f>SUM(D3685:D3686)</f>
        <v>12220.799411999998</v>
      </c>
      <c r="E3687" s="1223">
        <f>SUM(E3685:E3686)</f>
        <v>12358.013412</v>
      </c>
      <c r="F3687" s="1223">
        <f>SUM(F3685:F3686)</f>
        <v>12495.217412</v>
      </c>
      <c r="G3687" s="1272"/>
      <c r="H3687" s="1271"/>
      <c r="I3687" s="1201"/>
      <c r="J3687" s="1846"/>
      <c r="K3687" s="1846"/>
      <c r="L3687" s="1846"/>
    </row>
    <row r="3688" spans="1:12">
      <c r="A3688" s="1197"/>
      <c r="B3688" s="1197"/>
      <c r="C3688" s="1795" t="s">
        <v>1117</v>
      </c>
      <c r="D3688" s="1218">
        <f>D3687/10</f>
        <v>1222.0799411999999</v>
      </c>
      <c r="E3688" s="1218">
        <f>E3687/10</f>
        <v>1235.8013412</v>
      </c>
      <c r="F3688" s="1218">
        <f>F3687/10</f>
        <v>1249.5217412</v>
      </c>
      <c r="G3688" s="1272"/>
      <c r="H3688" s="1271"/>
      <c r="I3688" s="1201"/>
      <c r="J3688" s="1846"/>
      <c r="K3688" s="1846"/>
      <c r="L3688" s="1846"/>
    </row>
    <row r="3689" spans="1:12">
      <c r="A3689" s="1197"/>
      <c r="B3689" s="1197"/>
      <c r="C3689" s="1231" t="s">
        <v>1034</v>
      </c>
      <c r="D3689" s="1225">
        <f>ROUND(D3688,0)</f>
        <v>1222</v>
      </c>
      <c r="E3689" s="1225">
        <f>ROUND(E3688,0)</f>
        <v>1236</v>
      </c>
      <c r="F3689" s="1225">
        <f>ROUND(F3688,0)</f>
        <v>1250</v>
      </c>
      <c r="G3689" s="1272"/>
      <c r="H3689" s="1271"/>
      <c r="I3689" s="1201"/>
      <c r="J3689" s="1846"/>
      <c r="K3689" s="1846"/>
      <c r="L3689" s="1846"/>
    </row>
    <row r="3690" spans="1:12">
      <c r="A3690" s="1197"/>
      <c r="B3690" s="1197"/>
      <c r="C3690" s="1814"/>
      <c r="D3690" s="1228"/>
      <c r="E3690" s="1271"/>
      <c r="F3690" s="1223"/>
      <c r="G3690" s="1272"/>
      <c r="H3690" s="1271"/>
      <c r="I3690" s="1201"/>
      <c r="J3690" s="1846"/>
      <c r="K3690" s="1846"/>
      <c r="L3690" s="1846"/>
    </row>
    <row r="3691" spans="1:12" ht="93" customHeight="1">
      <c r="A3691" s="1197">
        <f>A3653+1</f>
        <v>42</v>
      </c>
      <c r="B3691" s="1197"/>
      <c r="C3691" s="2006" t="s">
        <v>3639</v>
      </c>
      <c r="D3691" s="2006"/>
      <c r="E3691" s="2006"/>
      <c r="F3691" s="2006"/>
      <c r="G3691" s="2006"/>
      <c r="H3691" s="2006"/>
      <c r="I3691" s="1814"/>
      <c r="J3691" s="1846"/>
      <c r="K3691" s="1846"/>
      <c r="L3691" s="1846"/>
    </row>
    <row r="3692" spans="1:12">
      <c r="A3692" s="1197"/>
      <c r="B3692" s="1197"/>
      <c r="C3692" s="1198" t="s">
        <v>1488</v>
      </c>
      <c r="D3692" s="1228"/>
      <c r="E3692" s="1297"/>
      <c r="F3692" s="1223"/>
      <c r="G3692" s="1272"/>
      <c r="H3692" s="1298"/>
      <c r="I3692" s="1219"/>
      <c r="J3692" s="1846"/>
      <c r="K3692" s="1846"/>
      <c r="L3692" s="1846"/>
    </row>
    <row r="3693" spans="1:12">
      <c r="A3693" s="1197"/>
      <c r="B3693" s="1197"/>
      <c r="C3693" s="1807" t="s">
        <v>1464</v>
      </c>
      <c r="D3693" s="1228"/>
      <c r="E3693" s="1297"/>
      <c r="F3693" s="1223"/>
      <c r="G3693" s="1272"/>
      <c r="H3693" s="1298"/>
      <c r="I3693" s="1219"/>
      <c r="J3693" s="1846"/>
      <c r="K3693" s="1846"/>
      <c r="L3693" s="1846"/>
    </row>
    <row r="3694" spans="1:12">
      <c r="A3694" s="1197"/>
      <c r="B3694" s="1197"/>
      <c r="C3694" s="1795" t="s">
        <v>1139</v>
      </c>
      <c r="D3694" s="1228"/>
      <c r="E3694" s="1297"/>
      <c r="F3694" s="1223"/>
      <c r="G3694" s="1272"/>
      <c r="H3694" s="1298"/>
      <c r="I3694" s="1219"/>
      <c r="J3694" s="1846"/>
      <c r="K3694" s="1846"/>
      <c r="L3694" s="1846"/>
    </row>
    <row r="3695" spans="1:12">
      <c r="A3695" s="1197"/>
      <c r="B3695" s="1197"/>
      <c r="C3695" s="1807" t="s">
        <v>1490</v>
      </c>
      <c r="D3695" s="1228">
        <v>10.5</v>
      </c>
      <c r="E3695" s="1297" t="s">
        <v>94</v>
      </c>
      <c r="F3695" s="1223">
        <f>'Civil-SOR'!$G$21</f>
        <v>504</v>
      </c>
      <c r="G3695" s="1272">
        <v>1</v>
      </c>
      <c r="H3695" s="1271" t="s">
        <v>94</v>
      </c>
      <c r="I3695" s="1205">
        <f t="shared" ref="I3695:I3699" si="860">IF(G3695="",D3695*F3695,(D3695*F3695/G3695))</f>
        <v>5292</v>
      </c>
      <c r="J3695" s="1314"/>
      <c r="K3695" s="1846"/>
      <c r="L3695" s="1846"/>
    </row>
    <row r="3696" spans="1:12">
      <c r="A3696" s="1197"/>
      <c r="B3696" s="1197"/>
      <c r="C3696" s="1807" t="s">
        <v>1466</v>
      </c>
      <c r="D3696" s="1228">
        <v>0.12</v>
      </c>
      <c r="E3696" s="1297" t="s">
        <v>75</v>
      </c>
      <c r="F3696" s="1223">
        <f>LEAD!$N$13</f>
        <v>2453.91</v>
      </c>
      <c r="G3696" s="1272">
        <v>1</v>
      </c>
      <c r="H3696" s="1271" t="s">
        <v>75</v>
      </c>
      <c r="I3696" s="1205">
        <f t="shared" si="860"/>
        <v>294.46919999999994</v>
      </c>
      <c r="J3696" s="1846"/>
      <c r="K3696" s="1846"/>
      <c r="L3696" s="1846"/>
    </row>
    <row r="3697" spans="1:12">
      <c r="A3697" s="1197"/>
      <c r="B3697" s="1197"/>
      <c r="C3697" s="1807" t="s">
        <v>1467</v>
      </c>
      <c r="D3697" s="1228">
        <v>34.56</v>
      </c>
      <c r="E3697" s="1297" t="s">
        <v>1110</v>
      </c>
      <c r="F3697" s="1223">
        <f>LEAD!$N$6</f>
        <v>5200</v>
      </c>
      <c r="G3697" s="1272">
        <v>1000</v>
      </c>
      <c r="H3697" s="1271" t="s">
        <v>1110</v>
      </c>
      <c r="I3697" s="1205">
        <f t="shared" si="860"/>
        <v>179.71199999999999</v>
      </c>
      <c r="J3697" s="1846"/>
      <c r="K3697" s="1846"/>
      <c r="L3697" s="1846"/>
    </row>
    <row r="3698" spans="1:12">
      <c r="A3698" s="1197"/>
      <c r="B3698" s="1197"/>
      <c r="C3698" s="1807" t="s">
        <v>1398</v>
      </c>
      <c r="D3698" s="1228">
        <v>33</v>
      </c>
      <c r="E3698" s="1297" t="s">
        <v>1110</v>
      </c>
      <c r="F3698" s="1223">
        <f>LEAD!$N$6</f>
        <v>5200</v>
      </c>
      <c r="G3698" s="1272">
        <v>1000</v>
      </c>
      <c r="H3698" s="1271" t="s">
        <v>1110</v>
      </c>
      <c r="I3698" s="1205">
        <f t="shared" si="860"/>
        <v>171.6</v>
      </c>
      <c r="J3698" s="1846"/>
      <c r="K3698" s="1846"/>
      <c r="L3698" s="1846"/>
    </row>
    <row r="3699" spans="1:12">
      <c r="A3699" s="1197"/>
      <c r="B3699" s="1197"/>
      <c r="C3699" s="1807" t="s">
        <v>1483</v>
      </c>
      <c r="D3699" s="1228">
        <v>6</v>
      </c>
      <c r="E3699" s="1297" t="s">
        <v>1110</v>
      </c>
      <c r="F3699" s="1223">
        <f>'Civil-SOR'!$G$185</f>
        <v>34</v>
      </c>
      <c r="G3699" s="1272">
        <v>1</v>
      </c>
      <c r="H3699" s="1271" t="s">
        <v>97</v>
      </c>
      <c r="I3699" s="1205">
        <f t="shared" si="860"/>
        <v>204</v>
      </c>
      <c r="J3699" s="1846"/>
      <c r="K3699" s="1846"/>
      <c r="L3699" s="1846"/>
    </row>
    <row r="3700" spans="1:12">
      <c r="A3700" s="1197"/>
      <c r="B3700" s="1197"/>
      <c r="C3700" s="1795" t="s">
        <v>1468</v>
      </c>
      <c r="D3700" s="1228"/>
      <c r="E3700" s="1297"/>
      <c r="F3700" s="1223"/>
      <c r="G3700" s="1272"/>
      <c r="H3700" s="1298"/>
      <c r="I3700" s="1219"/>
      <c r="J3700" s="1846"/>
      <c r="K3700" s="1846"/>
      <c r="L3700" s="1846"/>
    </row>
    <row r="3701" spans="1:12">
      <c r="A3701" s="1197"/>
      <c r="B3701" s="1197"/>
      <c r="C3701" s="1807" t="s">
        <v>1299</v>
      </c>
      <c r="D3701" s="1228">
        <v>0.77</v>
      </c>
      <c r="E3701" s="1297" t="s">
        <v>36</v>
      </c>
      <c r="F3701" s="1223">
        <f>'Civil-SOR'!$G$293</f>
        <v>580</v>
      </c>
      <c r="G3701" s="1272">
        <v>1</v>
      </c>
      <c r="H3701" s="1271" t="s">
        <v>501</v>
      </c>
      <c r="I3701" s="1205">
        <f t="shared" ref="I3701:I3704" si="861">IF(G3701="",D3701*F3701,(D3701*F3701/G3701))</f>
        <v>446.6</v>
      </c>
      <c r="J3701" s="1846"/>
      <c r="K3701" s="1846"/>
      <c r="L3701" s="1846"/>
    </row>
    <row r="3702" spans="1:12">
      <c r="A3702" s="1197"/>
      <c r="B3702" s="1197"/>
      <c r="C3702" s="1807" t="s">
        <v>1031</v>
      </c>
      <c r="D3702" s="1228">
        <v>0.8</v>
      </c>
      <c r="E3702" s="1297" t="s">
        <v>36</v>
      </c>
      <c r="F3702" s="1223">
        <f>'Civil-SOR'!$G$307</f>
        <v>520</v>
      </c>
      <c r="G3702" s="1272">
        <v>1</v>
      </c>
      <c r="H3702" s="1271" t="s">
        <v>501</v>
      </c>
      <c r="I3702" s="1205">
        <f t="shared" si="861"/>
        <v>416</v>
      </c>
      <c r="J3702" s="1846"/>
      <c r="K3702" s="1846"/>
      <c r="L3702" s="1846"/>
    </row>
    <row r="3703" spans="1:12">
      <c r="A3703" s="1197"/>
      <c r="B3703" s="1197"/>
      <c r="C3703" s="1199" t="str">
        <f>Input!$C$47</f>
        <v>Add for MA @ 40%</v>
      </c>
      <c r="D3703" s="1277">
        <f>Input!$D$47</f>
        <v>0.4</v>
      </c>
      <c r="E3703" s="1276"/>
      <c r="F3703" s="1223">
        <f>SUM(I3701:I3702)</f>
        <v>862.6</v>
      </c>
      <c r="G3703" s="1278"/>
      <c r="H3703" s="1279"/>
      <c r="I3703" s="1205">
        <f t="shared" si="861"/>
        <v>345.04</v>
      </c>
      <c r="J3703" s="1846"/>
      <c r="K3703" s="1846"/>
      <c r="L3703" s="1846"/>
    </row>
    <row r="3704" spans="1:12">
      <c r="A3704" s="1197"/>
      <c r="B3704" s="1197"/>
      <c r="C3704" s="1202" t="s">
        <v>1301</v>
      </c>
      <c r="D3704" s="1228">
        <v>0.01</v>
      </c>
      <c r="E3704" s="1297"/>
      <c r="F3704" s="1223">
        <f>SUM(I3695:I3703)</f>
        <v>7349.4211999999998</v>
      </c>
      <c r="G3704" s="1272"/>
      <c r="H3704" s="1271"/>
      <c r="I3704" s="1205">
        <f t="shared" si="861"/>
        <v>73.494212000000005</v>
      </c>
      <c r="J3704" s="1846"/>
      <c r="K3704" s="1846"/>
      <c r="L3704" s="1846"/>
    </row>
    <row r="3705" spans="1:12">
      <c r="A3705" s="1197"/>
      <c r="B3705" s="1197"/>
      <c r="C3705" s="1814" t="s">
        <v>1402</v>
      </c>
      <c r="D3705" s="1228"/>
      <c r="E3705" s="1271"/>
      <c r="F3705" s="1223"/>
      <c r="G3705" s="1272"/>
      <c r="H3705" s="1271"/>
      <c r="I3705" s="1230">
        <f>SUM(I3695:I3704)</f>
        <v>7422.9154119999994</v>
      </c>
      <c r="J3705" s="1846"/>
      <c r="K3705" s="1846"/>
      <c r="L3705" s="1846"/>
    </row>
    <row r="3706" spans="1:12">
      <c r="A3706" s="1197"/>
      <c r="B3706" s="1197"/>
      <c r="C3706" s="1814"/>
      <c r="D3706" s="1228"/>
      <c r="E3706" s="1271"/>
      <c r="F3706" s="1223"/>
      <c r="G3706" s="1272"/>
      <c r="H3706" s="1271"/>
      <c r="I3706" s="1201"/>
      <c r="J3706" s="1846"/>
      <c r="K3706" s="1846"/>
      <c r="L3706" s="1846"/>
    </row>
    <row r="3707" spans="1:12" s="997" customFormat="1">
      <c r="A3707" s="1802"/>
      <c r="B3707" s="1802"/>
      <c r="C3707" s="1796" t="s">
        <v>1217</v>
      </c>
      <c r="D3707" s="1218" t="s">
        <v>1223</v>
      </c>
      <c r="E3707" s="1225" t="s">
        <v>1207</v>
      </c>
      <c r="F3707" s="1299" t="s">
        <v>1208</v>
      </c>
      <c r="G3707" s="1218" t="s">
        <v>1291</v>
      </c>
      <c r="H3707" s="1218" t="s">
        <v>1292</v>
      </c>
      <c r="I3707" s="1218" t="s">
        <v>1211</v>
      </c>
      <c r="J3707" s="1826"/>
      <c r="K3707" s="1826" t="s">
        <v>1358</v>
      </c>
      <c r="L3707" s="1826" t="s">
        <v>1214</v>
      </c>
    </row>
    <row r="3708" spans="1:12">
      <c r="A3708" s="1197"/>
      <c r="B3708" s="1197"/>
      <c r="C3708" s="1807" t="s">
        <v>1317</v>
      </c>
      <c r="D3708" s="1223">
        <f t="shared" ref="D3708:L3708" si="862">$I$3705</f>
        <v>7422.9154119999994</v>
      </c>
      <c r="E3708" s="1223">
        <f t="shared" si="862"/>
        <v>7422.9154119999994</v>
      </c>
      <c r="F3708" s="1223">
        <f t="shared" si="862"/>
        <v>7422.9154119999994</v>
      </c>
      <c r="G3708" s="1223">
        <f t="shared" si="862"/>
        <v>7422.9154119999994</v>
      </c>
      <c r="H3708" s="1223">
        <f t="shared" si="862"/>
        <v>7422.9154119999994</v>
      </c>
      <c r="I3708" s="1223">
        <f t="shared" si="862"/>
        <v>7422.9154119999994</v>
      </c>
      <c r="J3708" s="1001"/>
      <c r="K3708" s="1001">
        <f t="shared" si="862"/>
        <v>7422.9154119999994</v>
      </c>
      <c r="L3708" s="1001">
        <f t="shared" si="862"/>
        <v>7422.9154119999994</v>
      </c>
    </row>
    <row r="3709" spans="1:12">
      <c r="A3709" s="1197"/>
      <c r="B3709" s="1197"/>
      <c r="C3709" s="1807" t="s">
        <v>1253</v>
      </c>
      <c r="D3709" s="1223">
        <v>0</v>
      </c>
      <c r="E3709" s="1223">
        <f>ROUND($F$3703*10%,2)</f>
        <v>86.26</v>
      </c>
      <c r="F3709" s="1223">
        <f>ROUND($F$3703*20%,2)</f>
        <v>172.52</v>
      </c>
      <c r="G3709" s="1223">
        <f>ROUND($F$3703*30%,2)</f>
        <v>258.77999999999997</v>
      </c>
      <c r="H3709" s="1223">
        <f>ROUND($F$3703*40%,2)</f>
        <v>345.04</v>
      </c>
      <c r="I3709" s="1223">
        <f>ROUND($F$3703*50%,2)</f>
        <v>431.3</v>
      </c>
      <c r="J3709" s="1001"/>
      <c r="K3709" s="1001">
        <f>ROUND($F$3703*70%,2)</f>
        <v>603.82000000000005</v>
      </c>
      <c r="L3709" s="1001">
        <f>ROUND($F$3703*80%,2)</f>
        <v>690.08</v>
      </c>
    </row>
    <row r="3710" spans="1:12">
      <c r="A3710" s="1197"/>
      <c r="B3710" s="1197"/>
      <c r="C3710" s="1807" t="str">
        <f>Input!$C$47</f>
        <v>Add for MA @ 40%</v>
      </c>
      <c r="D3710" s="1223">
        <f>D3709*Input!$D$47</f>
        <v>0</v>
      </c>
      <c r="E3710" s="1223">
        <f>E3709*Input!$D$47</f>
        <v>34.504000000000005</v>
      </c>
      <c r="F3710" s="1223">
        <f>F3709*Input!$D$47</f>
        <v>69.00800000000001</v>
      </c>
      <c r="G3710" s="1223">
        <f>G3709*Input!$D$47</f>
        <v>103.512</v>
      </c>
      <c r="H3710" s="1223">
        <f>H3709*Input!$D$47</f>
        <v>138.01600000000002</v>
      </c>
      <c r="I3710" s="1223">
        <f>I3709*Input!$D$47</f>
        <v>172.52</v>
      </c>
      <c r="J3710" s="1001"/>
      <c r="K3710" s="1001">
        <f>K3709*Input!$D$47</f>
        <v>241.52800000000002</v>
      </c>
      <c r="L3710" s="1001">
        <f>L3709*Input!$D$47</f>
        <v>276.03200000000004</v>
      </c>
    </row>
    <row r="3711" spans="1:12">
      <c r="A3711" s="1197"/>
      <c r="B3711" s="1197"/>
      <c r="C3711" s="1199"/>
      <c r="D3711" s="1223">
        <f t="shared" ref="D3711:L3711" si="863">SUM(D3708:D3710)</f>
        <v>7422.9154119999994</v>
      </c>
      <c r="E3711" s="1223">
        <f t="shared" si="863"/>
        <v>7543.6794119999995</v>
      </c>
      <c r="F3711" s="1223">
        <f t="shared" si="863"/>
        <v>7664.4434119999996</v>
      </c>
      <c r="G3711" s="1223">
        <f t="shared" si="863"/>
        <v>7785.2074119999988</v>
      </c>
      <c r="H3711" s="1223">
        <f t="shared" si="863"/>
        <v>7905.971411999999</v>
      </c>
      <c r="I3711" s="1223">
        <f t="shared" si="863"/>
        <v>8026.735412</v>
      </c>
      <c r="J3711" s="1001"/>
      <c r="K3711" s="1001">
        <f t="shared" si="863"/>
        <v>8268.2634119999984</v>
      </c>
      <c r="L3711" s="1001">
        <f t="shared" si="863"/>
        <v>8389.0274119999995</v>
      </c>
    </row>
    <row r="3712" spans="1:12">
      <c r="A3712" s="1197"/>
      <c r="B3712" s="1197"/>
      <c r="C3712" s="1807" t="str">
        <f>Input!$C$48</f>
        <v>Overheads &amp; Contractors Profit @ 13.615%</v>
      </c>
      <c r="D3712" s="1223">
        <f>ROUND(D3711*Input!$D$48,2)</f>
        <v>1010.63</v>
      </c>
      <c r="E3712" s="1223">
        <f>ROUND(E3711*Input!$D$48,2)</f>
        <v>1027.07</v>
      </c>
      <c r="F3712" s="1223">
        <f>ROUND(F3711*Input!$D$48,2)</f>
        <v>1043.51</v>
      </c>
      <c r="G3712" s="1223">
        <f>ROUND(G3711*Input!$D$48,2)</f>
        <v>1059.96</v>
      </c>
      <c r="H3712" s="1223">
        <f>ROUND(H3711*Input!$D$48,2)</f>
        <v>1076.4000000000001</v>
      </c>
      <c r="I3712" s="1223">
        <f>ROUND(I3711*Input!$D$48,2)</f>
        <v>1092.8399999999999</v>
      </c>
      <c r="J3712" s="1001"/>
      <c r="K3712" s="1001">
        <f>ROUND(K3711*Input!$D$48,2)</f>
        <v>1125.72</v>
      </c>
      <c r="L3712" s="1001">
        <f>ROUND(L3711*Input!$D$48,2)</f>
        <v>1142.17</v>
      </c>
    </row>
    <row r="3713" spans="1:64">
      <c r="A3713" s="1197"/>
      <c r="B3713" s="1197"/>
      <c r="C3713" s="1795" t="s">
        <v>1302</v>
      </c>
      <c r="D3713" s="1220">
        <f t="shared" ref="D3713:L3713" si="864">SUM(D3711:D3712)</f>
        <v>8433.5454119999995</v>
      </c>
      <c r="E3713" s="1220">
        <f t="shared" si="864"/>
        <v>8570.7494119999992</v>
      </c>
      <c r="F3713" s="1220">
        <f t="shared" si="864"/>
        <v>8707.9534119999989</v>
      </c>
      <c r="G3713" s="1220">
        <f t="shared" si="864"/>
        <v>8845.1674119999989</v>
      </c>
      <c r="H3713" s="1220">
        <f t="shared" si="864"/>
        <v>8982.3714119999986</v>
      </c>
      <c r="I3713" s="1220">
        <f t="shared" si="864"/>
        <v>9119.5754120000001</v>
      </c>
      <c r="J3713" s="1009"/>
      <c r="K3713" s="1009">
        <f t="shared" si="864"/>
        <v>9393.9834119999978</v>
      </c>
      <c r="L3713" s="1009">
        <f t="shared" si="864"/>
        <v>9531.1974119999995</v>
      </c>
    </row>
    <row r="3714" spans="1:64">
      <c r="A3714" s="1197"/>
      <c r="B3714" s="1197"/>
      <c r="C3714" s="1795" t="s">
        <v>1117</v>
      </c>
      <c r="D3714" s="1220">
        <f t="shared" ref="D3714:L3714" si="865">D3713/10</f>
        <v>843.35454119999997</v>
      </c>
      <c r="E3714" s="1220">
        <f t="shared" si="865"/>
        <v>857.0749411999999</v>
      </c>
      <c r="F3714" s="1220">
        <f t="shared" si="865"/>
        <v>870.79534119999994</v>
      </c>
      <c r="G3714" s="1220">
        <f t="shared" si="865"/>
        <v>884.51674119999984</v>
      </c>
      <c r="H3714" s="1220">
        <f t="shared" si="865"/>
        <v>898.23714119999988</v>
      </c>
      <c r="I3714" s="1220">
        <f t="shared" si="865"/>
        <v>911.95754120000004</v>
      </c>
      <c r="J3714" s="1009"/>
      <c r="K3714" s="1009">
        <f t="shared" si="865"/>
        <v>939.39834119999978</v>
      </c>
      <c r="L3714" s="1009">
        <f t="shared" si="865"/>
        <v>953.11974119999991</v>
      </c>
    </row>
    <row r="3715" spans="1:64" s="997" customFormat="1">
      <c r="A3715" s="1802"/>
      <c r="B3715" s="1802"/>
      <c r="C3715" s="1224" t="s">
        <v>1034</v>
      </c>
      <c r="D3715" s="1225">
        <f t="shared" ref="D3715:L3715" si="866">ROUND(D3714,0)</f>
        <v>843</v>
      </c>
      <c r="E3715" s="1225">
        <f t="shared" si="866"/>
        <v>857</v>
      </c>
      <c r="F3715" s="1225">
        <f t="shared" si="866"/>
        <v>871</v>
      </c>
      <c r="G3715" s="1225">
        <f t="shared" si="866"/>
        <v>885</v>
      </c>
      <c r="H3715" s="1225">
        <f t="shared" si="866"/>
        <v>898</v>
      </c>
      <c r="I3715" s="1225">
        <f t="shared" si="866"/>
        <v>912</v>
      </c>
      <c r="J3715" s="999"/>
      <c r="K3715" s="999">
        <f t="shared" si="866"/>
        <v>939</v>
      </c>
      <c r="L3715" s="999">
        <f t="shared" si="866"/>
        <v>953</v>
      </c>
    </row>
    <row r="3716" spans="1:64">
      <c r="A3716" s="1197"/>
      <c r="B3716" s="1197"/>
      <c r="C3716" s="1199"/>
      <c r="D3716" s="1227"/>
      <c r="E3716" s="1228"/>
      <c r="F3716" s="1223"/>
      <c r="G3716" s="1199"/>
      <c r="H3716" s="1311"/>
      <c r="I3716" s="1220"/>
      <c r="J3716" s="1846"/>
      <c r="K3716" s="1846"/>
      <c r="L3716" s="1846"/>
    </row>
    <row r="3717" spans="1:64">
      <c r="A3717" s="1197"/>
      <c r="B3717" s="1197"/>
      <c r="C3717" s="1795" t="s">
        <v>1217</v>
      </c>
      <c r="D3717" s="1218" t="s">
        <v>1357</v>
      </c>
      <c r="E3717" s="1218" t="s">
        <v>1358</v>
      </c>
      <c r="F3717" s="1218" t="s">
        <v>1214</v>
      </c>
      <c r="G3717" s="1199"/>
      <c r="H3717" s="1311"/>
      <c r="I3717" s="1220"/>
      <c r="J3717" s="1846"/>
      <c r="K3717" s="1846"/>
      <c r="L3717" s="1846"/>
    </row>
    <row r="3718" spans="1:64">
      <c r="A3718" s="1197"/>
      <c r="B3718" s="1197"/>
      <c r="C3718" s="1807" t="s">
        <v>1317</v>
      </c>
      <c r="D3718" s="1223">
        <f>$I$3705</f>
        <v>7422.9154119999994</v>
      </c>
      <c r="E3718" s="1223">
        <f>$I$3705</f>
        <v>7422.9154119999994</v>
      </c>
      <c r="F3718" s="1223">
        <f>$I$3705</f>
        <v>7422.9154119999994</v>
      </c>
      <c r="G3718" s="1199"/>
      <c r="H3718" s="1311"/>
      <c r="I3718" s="1220"/>
      <c r="J3718" s="1846"/>
      <c r="K3718" s="1846"/>
      <c r="L3718" s="1846"/>
    </row>
    <row r="3719" spans="1:64">
      <c r="A3719" s="1197"/>
      <c r="B3719" s="1197"/>
      <c r="C3719" s="1807" t="s">
        <v>1491</v>
      </c>
      <c r="D3719" s="1223">
        <f>ROUND($F$3703*60%,2)</f>
        <v>517.55999999999995</v>
      </c>
      <c r="E3719" s="1223">
        <f>ROUND($F$3703*70%,2)</f>
        <v>603.82000000000005</v>
      </c>
      <c r="F3719" s="1223">
        <f>ROUND($F$3703*80%,2)</f>
        <v>690.08</v>
      </c>
      <c r="G3719" s="1199"/>
      <c r="H3719" s="1311"/>
      <c r="I3719" s="1220"/>
      <c r="J3719" s="1846"/>
      <c r="K3719" s="1846"/>
      <c r="L3719" s="1846"/>
    </row>
    <row r="3720" spans="1:64">
      <c r="A3720" s="1197"/>
      <c r="B3720" s="1197"/>
      <c r="C3720" s="1807" t="str">
        <f>Input!$C$47</f>
        <v>Add for MA @ 40%</v>
      </c>
      <c r="D3720" s="1223">
        <f>D3719*Input!$D$47</f>
        <v>207.024</v>
      </c>
      <c r="E3720" s="1223">
        <f>E3719*Input!$D$47</f>
        <v>241.52800000000002</v>
      </c>
      <c r="F3720" s="1223">
        <f>F3719*Input!$D$47</f>
        <v>276.03200000000004</v>
      </c>
      <c r="G3720" s="1199"/>
      <c r="H3720" s="1311"/>
      <c r="I3720" s="1220"/>
      <c r="J3720" s="1846"/>
      <c r="K3720" s="1846"/>
      <c r="L3720" s="1846"/>
    </row>
    <row r="3721" spans="1:64">
      <c r="A3721" s="1197"/>
      <c r="B3721" s="1197"/>
      <c r="C3721" s="1208"/>
      <c r="D3721" s="1223">
        <f>SUM(D3718:D3720)</f>
        <v>8147.4994120000001</v>
      </c>
      <c r="E3721" s="1223">
        <f>SUM(E3718:E3720)</f>
        <v>8268.2634119999984</v>
      </c>
      <c r="F3721" s="1223">
        <f>SUM(F3718:F3720)</f>
        <v>8389.0274119999995</v>
      </c>
      <c r="G3721" s="1199"/>
      <c r="H3721" s="1311"/>
      <c r="I3721" s="1220"/>
      <c r="J3721" s="1846"/>
      <c r="K3721" s="1846"/>
      <c r="L3721" s="1846"/>
    </row>
    <row r="3722" spans="1:64">
      <c r="A3722" s="1197"/>
      <c r="B3722" s="1197"/>
      <c r="C3722" s="1807" t="str">
        <f>Input!$C$48</f>
        <v>Overheads &amp; Contractors Profit @ 13.615%</v>
      </c>
      <c r="D3722" s="1223">
        <f>ROUND(D3721*Input!$D$48,2)</f>
        <v>1109.28</v>
      </c>
      <c r="E3722" s="1223">
        <f>ROUND(E3721*Input!$D$48,2)</f>
        <v>1125.72</v>
      </c>
      <c r="F3722" s="1223">
        <f>ROUND(F3721*Input!$D$48,2)</f>
        <v>1142.17</v>
      </c>
      <c r="G3722" s="1199"/>
      <c r="H3722" s="1311"/>
      <c r="I3722" s="1220"/>
      <c r="J3722" s="1846"/>
      <c r="K3722" s="1846"/>
      <c r="L3722" s="1846"/>
    </row>
    <row r="3723" spans="1:64">
      <c r="A3723" s="1197"/>
      <c r="B3723" s="1197"/>
      <c r="C3723" s="1795" t="s">
        <v>1302</v>
      </c>
      <c r="D3723" s="1220">
        <f>SUM(D3721:D3722)</f>
        <v>9256.7794119999999</v>
      </c>
      <c r="E3723" s="1220">
        <f>SUM(E3721:E3722)</f>
        <v>9393.9834119999978</v>
      </c>
      <c r="F3723" s="1220">
        <f>SUM(F3721:F3722)</f>
        <v>9531.1974119999995</v>
      </c>
      <c r="G3723" s="1199"/>
      <c r="H3723" s="1311"/>
      <c r="I3723" s="1220"/>
      <c r="J3723" s="1846"/>
      <c r="K3723" s="1846"/>
      <c r="L3723" s="1846"/>
    </row>
    <row r="3724" spans="1:64">
      <c r="A3724" s="1197"/>
      <c r="B3724" s="1197"/>
      <c r="C3724" s="1795" t="s">
        <v>1117</v>
      </c>
      <c r="D3724" s="1220">
        <f>D3723/10</f>
        <v>925.67794119999996</v>
      </c>
      <c r="E3724" s="1220">
        <f>E3723/10</f>
        <v>939.39834119999978</v>
      </c>
      <c r="F3724" s="1220">
        <f>F3723/10</f>
        <v>953.11974119999991</v>
      </c>
      <c r="G3724" s="1199"/>
      <c r="H3724" s="1311"/>
      <c r="I3724" s="1220"/>
      <c r="J3724" s="1846"/>
      <c r="K3724" s="1846"/>
      <c r="L3724" s="1846"/>
    </row>
    <row r="3725" spans="1:64">
      <c r="A3725" s="1197"/>
      <c r="B3725" s="1197"/>
      <c r="C3725" s="1231" t="s">
        <v>1034</v>
      </c>
      <c r="D3725" s="1225">
        <f>ROUND(D3724,0)</f>
        <v>926</v>
      </c>
      <c r="E3725" s="1225">
        <f>ROUND(E3724,0)</f>
        <v>939</v>
      </c>
      <c r="F3725" s="1225">
        <f>ROUND(F3724,0)</f>
        <v>953</v>
      </c>
      <c r="G3725" s="1199"/>
      <c r="H3725" s="1311"/>
      <c r="I3725" s="1220"/>
      <c r="J3725" s="1846"/>
      <c r="K3725" s="1846"/>
      <c r="L3725" s="1846"/>
    </row>
    <row r="3726" spans="1:64">
      <c r="A3726" s="1197"/>
      <c r="B3726" s="1197"/>
      <c r="C3726" s="1199"/>
      <c r="D3726" s="1227"/>
      <c r="E3726" s="1228"/>
      <c r="F3726" s="1223"/>
      <c r="G3726" s="1199"/>
      <c r="H3726" s="1311"/>
      <c r="I3726" s="1220"/>
      <c r="J3726" s="1846"/>
      <c r="K3726" s="1846"/>
      <c r="L3726" s="1846"/>
    </row>
    <row r="3727" spans="1:64" ht="76.150000000000006" customHeight="1">
      <c r="A3727" s="2005">
        <f>A3691+1</f>
        <v>43</v>
      </c>
      <c r="B3727" s="2005"/>
      <c r="C3727" s="2006" t="s">
        <v>3447</v>
      </c>
      <c r="D3727" s="2006"/>
      <c r="E3727" s="2006"/>
      <c r="F3727" s="2006"/>
      <c r="G3727" s="2006"/>
      <c r="H3727" s="2006"/>
      <c r="I3727" s="1814"/>
      <c r="J3727" s="1817"/>
      <c r="K3727" s="1817"/>
      <c r="L3727" s="1817"/>
      <c r="M3727" s="1315"/>
      <c r="N3727" s="1315"/>
      <c r="O3727" s="1315"/>
      <c r="P3727" s="1315"/>
      <c r="Q3727" s="1315"/>
      <c r="R3727" s="1315"/>
      <c r="S3727" s="1315"/>
      <c r="T3727" s="1315"/>
      <c r="U3727" s="1315"/>
      <c r="V3727" s="1315"/>
      <c r="W3727" s="1315"/>
      <c r="X3727" s="1315"/>
      <c r="Y3727" s="1315"/>
      <c r="Z3727" s="1315"/>
      <c r="AA3727" s="1315"/>
      <c r="AB3727" s="1315"/>
      <c r="AC3727" s="1315"/>
      <c r="AD3727" s="1315"/>
      <c r="AE3727" s="1315"/>
      <c r="AF3727" s="1315"/>
      <c r="AG3727" s="1315"/>
      <c r="AH3727" s="1315"/>
      <c r="AI3727" s="1315"/>
      <c r="AJ3727" s="1315"/>
      <c r="AK3727" s="1315"/>
      <c r="AL3727" s="1315"/>
      <c r="AM3727" s="1315"/>
      <c r="AN3727" s="1315"/>
      <c r="AO3727" s="1315"/>
      <c r="AP3727" s="1315"/>
      <c r="AQ3727" s="1315"/>
      <c r="AR3727" s="1315"/>
      <c r="AS3727" s="1315"/>
      <c r="AT3727" s="1315"/>
      <c r="AU3727" s="1315"/>
      <c r="AV3727" s="1315"/>
      <c r="AW3727" s="1315"/>
      <c r="AX3727" s="1315"/>
      <c r="AY3727" s="1315"/>
      <c r="AZ3727" s="1315"/>
      <c r="BA3727" s="1315"/>
      <c r="BB3727" s="1315"/>
      <c r="BC3727" s="1315"/>
      <c r="BD3727" s="1315"/>
      <c r="BE3727" s="1315"/>
      <c r="BF3727" s="1315"/>
      <c r="BG3727" s="1315"/>
      <c r="BH3727" s="1315"/>
      <c r="BI3727" s="1315"/>
      <c r="BJ3727" s="1315"/>
      <c r="BK3727" s="1315"/>
      <c r="BL3727" s="1315"/>
    </row>
    <row r="3728" spans="1:64">
      <c r="A3728" s="1794"/>
      <c r="B3728" s="1798"/>
      <c r="C3728" s="1795" t="s">
        <v>1492</v>
      </c>
      <c r="D3728" s="1807"/>
      <c r="E3728" s="1807"/>
      <c r="F3728" s="1794"/>
      <c r="G3728" s="1807"/>
      <c r="H3728" s="1807"/>
      <c r="I3728" s="1209"/>
      <c r="J3728" s="1817"/>
      <c r="K3728" s="1817"/>
      <c r="L3728" s="1817"/>
      <c r="M3728" s="1315"/>
      <c r="N3728" s="1315"/>
      <c r="O3728" s="1315"/>
      <c r="P3728" s="1315"/>
      <c r="Q3728" s="1315"/>
      <c r="R3728" s="1315"/>
      <c r="S3728" s="1315"/>
      <c r="T3728" s="1315"/>
      <c r="U3728" s="1315"/>
      <c r="V3728" s="1315"/>
      <c r="W3728" s="1315"/>
      <c r="X3728" s="1315"/>
      <c r="Y3728" s="1315"/>
      <c r="Z3728" s="1315"/>
      <c r="AA3728" s="1315"/>
      <c r="AB3728" s="1315"/>
      <c r="AC3728" s="1315"/>
      <c r="AD3728" s="1315"/>
      <c r="AE3728" s="1315"/>
      <c r="AF3728" s="1315"/>
      <c r="AG3728" s="1315"/>
      <c r="AH3728" s="1315"/>
      <c r="AI3728" s="1315"/>
      <c r="AJ3728" s="1315"/>
      <c r="AK3728" s="1315"/>
      <c r="AL3728" s="1315"/>
      <c r="AM3728" s="1315"/>
      <c r="AN3728" s="1315"/>
      <c r="AO3728" s="1315"/>
      <c r="AP3728" s="1315"/>
      <c r="AQ3728" s="1315"/>
      <c r="AR3728" s="1315"/>
      <c r="AS3728" s="1315"/>
      <c r="AT3728" s="1315"/>
      <c r="AU3728" s="1315"/>
      <c r="AV3728" s="1315"/>
      <c r="AW3728" s="1315"/>
      <c r="AX3728" s="1315"/>
      <c r="AY3728" s="1315"/>
      <c r="AZ3728" s="1315"/>
      <c r="BA3728" s="1315"/>
      <c r="BB3728" s="1315"/>
      <c r="BC3728" s="1315"/>
      <c r="BD3728" s="1315"/>
      <c r="BE3728" s="1315"/>
      <c r="BF3728" s="1315"/>
      <c r="BG3728" s="1315"/>
      <c r="BH3728" s="1315"/>
      <c r="BI3728" s="1315"/>
      <c r="BJ3728" s="1315"/>
      <c r="BK3728" s="1315"/>
      <c r="BL3728" s="1315"/>
    </row>
    <row r="3729" spans="1:64">
      <c r="A3729" s="1794"/>
      <c r="B3729" s="1798"/>
      <c r="C3729" s="1807" t="s">
        <v>1493</v>
      </c>
      <c r="D3729" s="1807"/>
      <c r="E3729" s="1807"/>
      <c r="F3729" s="1794"/>
      <c r="G3729" s="1807"/>
      <c r="H3729" s="1807"/>
      <c r="I3729" s="1209"/>
      <c r="J3729" s="1817"/>
      <c r="K3729" s="1817"/>
      <c r="L3729" s="1817"/>
      <c r="M3729" s="1315"/>
      <c r="N3729" s="1315"/>
      <c r="O3729" s="1315"/>
      <c r="P3729" s="1315"/>
      <c r="Q3729" s="1315"/>
      <c r="R3729" s="1315"/>
      <c r="S3729" s="1315"/>
      <c r="T3729" s="1315"/>
      <c r="U3729" s="1315"/>
      <c r="V3729" s="1315"/>
      <c r="W3729" s="1315"/>
      <c r="X3729" s="1315"/>
      <c r="Y3729" s="1315"/>
      <c r="Z3729" s="1315"/>
      <c r="AA3729" s="1315"/>
      <c r="AB3729" s="1315"/>
      <c r="AC3729" s="1315"/>
      <c r="AD3729" s="1315"/>
      <c r="AE3729" s="1315"/>
      <c r="AF3729" s="1315"/>
      <c r="AG3729" s="1315"/>
      <c r="AH3729" s="1315"/>
      <c r="AI3729" s="1315"/>
      <c r="AJ3729" s="1315"/>
      <c r="AK3729" s="1315"/>
      <c r="AL3729" s="1315"/>
      <c r="AM3729" s="1315"/>
      <c r="AN3729" s="1315"/>
      <c r="AO3729" s="1315"/>
      <c r="AP3729" s="1315"/>
      <c r="AQ3729" s="1315"/>
      <c r="AR3729" s="1315"/>
      <c r="AS3729" s="1315"/>
      <c r="AT3729" s="1315"/>
      <c r="AU3729" s="1315"/>
      <c r="AV3729" s="1315"/>
      <c r="AW3729" s="1315"/>
      <c r="AX3729" s="1315"/>
      <c r="AY3729" s="1315"/>
      <c r="AZ3729" s="1315"/>
      <c r="BA3729" s="1315"/>
      <c r="BB3729" s="1315"/>
      <c r="BC3729" s="1315"/>
      <c r="BD3729" s="1315"/>
      <c r="BE3729" s="1315"/>
      <c r="BF3729" s="1315"/>
      <c r="BG3729" s="1315"/>
      <c r="BH3729" s="1315"/>
      <c r="BI3729" s="1315"/>
      <c r="BJ3729" s="1315"/>
      <c r="BK3729" s="1315"/>
      <c r="BL3729" s="1315"/>
    </row>
    <row r="3730" spans="1:64">
      <c r="A3730" s="1794"/>
      <c r="B3730" s="1798"/>
      <c r="C3730" s="1795" t="s">
        <v>1494</v>
      </c>
      <c r="D3730" s="1807"/>
      <c r="E3730" s="1807"/>
      <c r="F3730" s="1794"/>
      <c r="G3730" s="1807"/>
      <c r="H3730" s="1807"/>
      <c r="I3730" s="1209"/>
      <c r="J3730" s="1817"/>
      <c r="K3730" s="1817"/>
      <c r="L3730" s="1817"/>
      <c r="M3730" s="1315"/>
      <c r="N3730" s="1315"/>
      <c r="O3730" s="1315"/>
      <c r="P3730" s="1315"/>
      <c r="Q3730" s="1315"/>
      <c r="R3730" s="1315"/>
      <c r="S3730" s="1315"/>
      <c r="T3730" s="1315"/>
      <c r="U3730" s="1315"/>
      <c r="V3730" s="1315"/>
      <c r="W3730" s="1315"/>
      <c r="X3730" s="1315"/>
      <c r="Y3730" s="1315"/>
      <c r="Z3730" s="1315"/>
      <c r="AA3730" s="1315"/>
      <c r="AB3730" s="1315"/>
      <c r="AC3730" s="1315"/>
      <c r="AD3730" s="1315"/>
      <c r="AE3730" s="1315"/>
      <c r="AF3730" s="1315"/>
      <c r="AG3730" s="1315"/>
      <c r="AH3730" s="1315"/>
      <c r="AI3730" s="1315"/>
      <c r="AJ3730" s="1315"/>
      <c r="AK3730" s="1315"/>
      <c r="AL3730" s="1315"/>
      <c r="AM3730" s="1315"/>
      <c r="AN3730" s="1315"/>
      <c r="AO3730" s="1315"/>
      <c r="AP3730" s="1315"/>
      <c r="AQ3730" s="1315"/>
      <c r="AR3730" s="1315"/>
      <c r="AS3730" s="1315"/>
      <c r="AT3730" s="1315"/>
      <c r="AU3730" s="1315"/>
      <c r="AV3730" s="1315"/>
      <c r="AW3730" s="1315"/>
      <c r="AX3730" s="1315"/>
      <c r="AY3730" s="1315"/>
      <c r="AZ3730" s="1315"/>
      <c r="BA3730" s="1315"/>
      <c r="BB3730" s="1315"/>
      <c r="BC3730" s="1315"/>
      <c r="BD3730" s="1315"/>
      <c r="BE3730" s="1315"/>
      <c r="BF3730" s="1315"/>
      <c r="BG3730" s="1315"/>
      <c r="BH3730" s="1315"/>
      <c r="BI3730" s="1315"/>
      <c r="BJ3730" s="1315"/>
      <c r="BK3730" s="1315"/>
      <c r="BL3730" s="1315"/>
    </row>
    <row r="3731" spans="1:64">
      <c r="A3731" s="1794"/>
      <c r="B3731" s="1794"/>
      <c r="C3731" s="1807" t="s">
        <v>889</v>
      </c>
      <c r="D3731" s="1316">
        <v>129.6</v>
      </c>
      <c r="E3731" s="1304" t="s">
        <v>1110</v>
      </c>
      <c r="F3731" s="1211">
        <f>LEAD!$N$6</f>
        <v>5200</v>
      </c>
      <c r="G3731" s="1289">
        <v>1000</v>
      </c>
      <c r="H3731" s="1290" t="str">
        <f>IF(E3731="","",IF(E3731="No.","Each",IF(E3731="Nos.","Each",E3731)))</f>
        <v>Kgs</v>
      </c>
      <c r="I3731" s="1211">
        <f>IF(G3731="",D3731*F3731,(D3731*F3731/G3731))</f>
        <v>673.92</v>
      </c>
      <c r="J3731" s="1817"/>
      <c r="K3731" s="1817"/>
      <c r="L3731" s="1817"/>
      <c r="M3731" s="1315"/>
      <c r="N3731" s="1315"/>
      <c r="O3731" s="1315"/>
      <c r="P3731" s="1315"/>
      <c r="Q3731" s="1315"/>
      <c r="R3731" s="1315"/>
      <c r="S3731" s="1315"/>
      <c r="T3731" s="1315"/>
      <c r="U3731" s="1315"/>
      <c r="V3731" s="1315"/>
      <c r="W3731" s="1315"/>
      <c r="X3731" s="1315"/>
      <c r="Y3731" s="1315"/>
      <c r="Z3731" s="1315"/>
      <c r="AA3731" s="1315"/>
      <c r="AB3731" s="1315"/>
      <c r="AC3731" s="1315"/>
      <c r="AD3731" s="1315"/>
      <c r="AE3731" s="1315"/>
      <c r="AF3731" s="1315"/>
      <c r="AG3731" s="1315"/>
      <c r="AH3731" s="1315"/>
      <c r="AI3731" s="1315"/>
      <c r="AJ3731" s="1315"/>
      <c r="AK3731" s="1315"/>
      <c r="AL3731" s="1315"/>
      <c r="AM3731" s="1315"/>
      <c r="AN3731" s="1315"/>
      <c r="AO3731" s="1315"/>
      <c r="AP3731" s="1315"/>
      <c r="AQ3731" s="1315"/>
      <c r="AR3731" s="1315"/>
      <c r="AS3731" s="1315"/>
      <c r="AT3731" s="1315"/>
      <c r="AU3731" s="1315"/>
      <c r="AV3731" s="1315"/>
      <c r="AW3731" s="1315"/>
      <c r="AX3731" s="1315"/>
      <c r="AY3731" s="1315"/>
      <c r="AZ3731" s="1315"/>
      <c r="BA3731" s="1315"/>
      <c r="BB3731" s="1315"/>
      <c r="BC3731" s="1315"/>
      <c r="BD3731" s="1315"/>
      <c r="BE3731" s="1315"/>
      <c r="BF3731" s="1315"/>
      <c r="BG3731" s="1315"/>
      <c r="BH3731" s="1315"/>
      <c r="BI3731" s="1315"/>
      <c r="BJ3731" s="1315"/>
      <c r="BK3731" s="1315"/>
      <c r="BL3731" s="1315"/>
    </row>
    <row r="3732" spans="1:64">
      <c r="A3732" s="1794"/>
      <c r="B3732" s="1794"/>
      <c r="C3732" s="1807" t="s">
        <v>1495</v>
      </c>
      <c r="D3732" s="1210">
        <v>460</v>
      </c>
      <c r="E3732" s="1208" t="s">
        <v>36</v>
      </c>
      <c r="F3732" s="1209">
        <f>LEAD!$N$15</f>
        <v>9478.01</v>
      </c>
      <c r="G3732" s="1317">
        <v>1000</v>
      </c>
      <c r="H3732" s="1208" t="s">
        <v>36</v>
      </c>
      <c r="I3732" s="1211">
        <f>IF(G3732="",D3732*F3732,(D3732*F3732/G3732))/3</f>
        <v>1453.2948666666668</v>
      </c>
      <c r="J3732" s="1817"/>
      <c r="K3732" s="1817"/>
      <c r="L3732" s="1817"/>
      <c r="M3732" s="1315"/>
      <c r="N3732" s="1315"/>
      <c r="O3732" s="1315"/>
      <c r="P3732" s="1315"/>
      <c r="Q3732" s="1315"/>
      <c r="R3732" s="1315"/>
      <c r="S3732" s="1315"/>
      <c r="T3732" s="1315"/>
      <c r="U3732" s="1315"/>
      <c r="V3732" s="1315"/>
      <c r="W3732" s="1315"/>
      <c r="X3732" s="1315"/>
      <c r="Y3732" s="1315"/>
      <c r="Z3732" s="1315"/>
      <c r="AA3732" s="1315"/>
      <c r="AB3732" s="1315"/>
      <c r="AC3732" s="1315"/>
      <c r="AD3732" s="1315"/>
      <c r="AE3732" s="1315"/>
      <c r="AF3732" s="1315"/>
      <c r="AG3732" s="1315"/>
      <c r="AH3732" s="1315"/>
      <c r="AI3732" s="1315"/>
      <c r="AJ3732" s="1315"/>
      <c r="AK3732" s="1315"/>
      <c r="AL3732" s="1315"/>
      <c r="AM3732" s="1315"/>
      <c r="AN3732" s="1315"/>
      <c r="AO3732" s="1315"/>
      <c r="AP3732" s="1315"/>
      <c r="AQ3732" s="1315"/>
      <c r="AR3732" s="1315"/>
      <c r="AS3732" s="1315"/>
      <c r="AT3732" s="1315"/>
      <c r="AU3732" s="1315"/>
      <c r="AV3732" s="1315"/>
      <c r="AW3732" s="1315"/>
      <c r="AX3732" s="1315"/>
      <c r="AY3732" s="1315"/>
      <c r="AZ3732" s="1315"/>
      <c r="BA3732" s="1315"/>
      <c r="BB3732" s="1315"/>
      <c r="BC3732" s="1315"/>
      <c r="BD3732" s="1315"/>
      <c r="BE3732" s="1315"/>
      <c r="BF3732" s="1315"/>
      <c r="BG3732" s="1315"/>
      <c r="BH3732" s="1315"/>
      <c r="BI3732" s="1315"/>
      <c r="BJ3732" s="1315"/>
      <c r="BK3732" s="1315"/>
      <c r="BL3732" s="1315"/>
    </row>
    <row r="3733" spans="1:64">
      <c r="A3733" s="1794"/>
      <c r="B3733" s="1794"/>
      <c r="C3733" s="1807" t="s">
        <v>1141</v>
      </c>
      <c r="D3733" s="1287">
        <v>0.45</v>
      </c>
      <c r="E3733" s="1304" t="s">
        <v>484</v>
      </c>
      <c r="F3733" s="1211">
        <f>LEAD!$N$12</f>
        <v>2253.91</v>
      </c>
      <c r="G3733" s="1289">
        <v>1</v>
      </c>
      <c r="H3733" s="1290" t="str">
        <f t="shared" ref="H3733:H3734" si="867">IF(E3733="","",IF(E3733="No.","Each",IF(E3733="Nos.","Each",E3733)))</f>
        <v>Cum</v>
      </c>
      <c r="I3733" s="1211">
        <f t="shared" ref="I3733:I3734" si="868">IF(G3733="",D3733*F3733,(D3733*F3733/G3733))</f>
        <v>1014.2595</v>
      </c>
      <c r="J3733" s="1817"/>
      <c r="K3733" s="1817"/>
      <c r="L3733" s="1817"/>
      <c r="M3733" s="1315"/>
      <c r="N3733" s="1315"/>
      <c r="O3733" s="1315"/>
      <c r="P3733" s="1315"/>
      <c r="Q3733" s="1315"/>
      <c r="R3733" s="1315"/>
      <c r="S3733" s="1315"/>
      <c r="T3733" s="1315"/>
      <c r="U3733" s="1315"/>
      <c r="V3733" s="1315"/>
      <c r="W3733" s="1315"/>
      <c r="X3733" s="1315"/>
      <c r="Y3733" s="1315"/>
      <c r="Z3733" s="1315"/>
      <c r="AA3733" s="1315"/>
      <c r="AB3733" s="1315"/>
      <c r="AC3733" s="1315"/>
      <c r="AD3733" s="1315"/>
      <c r="AE3733" s="1315"/>
      <c r="AF3733" s="1315"/>
      <c r="AG3733" s="1315"/>
      <c r="AH3733" s="1315"/>
      <c r="AI3733" s="1315"/>
      <c r="AJ3733" s="1315"/>
      <c r="AK3733" s="1315"/>
      <c r="AL3733" s="1315"/>
      <c r="AM3733" s="1315"/>
      <c r="AN3733" s="1315"/>
      <c r="AO3733" s="1315"/>
      <c r="AP3733" s="1315"/>
      <c r="AQ3733" s="1315"/>
      <c r="AR3733" s="1315"/>
      <c r="AS3733" s="1315"/>
      <c r="AT3733" s="1315"/>
      <c r="AU3733" s="1315"/>
      <c r="AV3733" s="1315"/>
      <c r="AW3733" s="1315"/>
      <c r="AX3733" s="1315"/>
      <c r="AY3733" s="1315"/>
      <c r="AZ3733" s="1315"/>
      <c r="BA3733" s="1315"/>
      <c r="BB3733" s="1315"/>
      <c r="BC3733" s="1315"/>
      <c r="BD3733" s="1315"/>
      <c r="BE3733" s="1315"/>
      <c r="BF3733" s="1315"/>
      <c r="BG3733" s="1315"/>
      <c r="BH3733" s="1315"/>
      <c r="BI3733" s="1315"/>
      <c r="BJ3733" s="1315"/>
      <c r="BK3733" s="1315"/>
      <c r="BL3733" s="1315"/>
    </row>
    <row r="3734" spans="1:64">
      <c r="A3734" s="1794"/>
      <c r="B3734" s="1794"/>
      <c r="C3734" s="1807" t="s">
        <v>1142</v>
      </c>
      <c r="D3734" s="1287">
        <v>1.2</v>
      </c>
      <c r="E3734" s="1304" t="s">
        <v>1143</v>
      </c>
      <c r="F3734" s="1211">
        <f>Input!$D$53</f>
        <v>108</v>
      </c>
      <c r="G3734" s="1289">
        <v>1</v>
      </c>
      <c r="H3734" s="1290" t="str">
        <f t="shared" si="867"/>
        <v>kl</v>
      </c>
      <c r="I3734" s="1211">
        <f t="shared" si="868"/>
        <v>129.6</v>
      </c>
      <c r="J3734" s="1817"/>
      <c r="K3734" s="1817"/>
      <c r="L3734" s="1817"/>
      <c r="M3734" s="1315"/>
      <c r="N3734" s="1315"/>
      <c r="O3734" s="1315"/>
      <c r="P3734" s="1315"/>
      <c r="Q3734" s="1315"/>
      <c r="R3734" s="1315"/>
      <c r="S3734" s="1315"/>
      <c r="T3734" s="1315"/>
      <c r="U3734" s="1315"/>
      <c r="V3734" s="1315"/>
      <c r="W3734" s="1315"/>
      <c r="X3734" s="1315"/>
      <c r="Y3734" s="1315"/>
      <c r="Z3734" s="1315"/>
      <c r="AA3734" s="1315"/>
      <c r="AB3734" s="1315"/>
      <c r="AC3734" s="1315"/>
      <c r="AD3734" s="1315"/>
      <c r="AE3734" s="1315"/>
      <c r="AF3734" s="1315"/>
      <c r="AG3734" s="1315"/>
      <c r="AH3734" s="1315"/>
      <c r="AI3734" s="1315"/>
      <c r="AJ3734" s="1315"/>
      <c r="AK3734" s="1315"/>
      <c r="AL3734" s="1315"/>
      <c r="AM3734" s="1315"/>
      <c r="AN3734" s="1315"/>
      <c r="AO3734" s="1315"/>
      <c r="AP3734" s="1315"/>
      <c r="AQ3734" s="1315"/>
      <c r="AR3734" s="1315"/>
      <c r="AS3734" s="1315"/>
      <c r="AT3734" s="1315"/>
      <c r="AU3734" s="1315"/>
      <c r="AV3734" s="1315"/>
      <c r="AW3734" s="1315"/>
      <c r="AX3734" s="1315"/>
      <c r="AY3734" s="1315"/>
      <c r="AZ3734" s="1315"/>
      <c r="BA3734" s="1315"/>
      <c r="BB3734" s="1315"/>
      <c r="BC3734" s="1315"/>
      <c r="BD3734" s="1315"/>
      <c r="BE3734" s="1315"/>
      <c r="BF3734" s="1315"/>
      <c r="BG3734" s="1315"/>
      <c r="BH3734" s="1315"/>
      <c r="BI3734" s="1315"/>
      <c r="BJ3734" s="1315"/>
      <c r="BK3734" s="1315"/>
      <c r="BL3734" s="1315"/>
    </row>
    <row r="3735" spans="1:64">
      <c r="A3735" s="1794"/>
      <c r="B3735" s="1794"/>
      <c r="C3735" s="1795" t="s">
        <v>1144</v>
      </c>
      <c r="D3735" s="1287"/>
      <c r="E3735" s="1304"/>
      <c r="F3735" s="1211"/>
      <c r="G3735" s="1289"/>
      <c r="H3735" s="1290"/>
      <c r="I3735" s="1211"/>
      <c r="J3735" s="1817"/>
      <c r="K3735" s="1817"/>
      <c r="L3735" s="1817"/>
      <c r="M3735" s="1315"/>
      <c r="N3735" s="1315"/>
      <c r="O3735" s="1315"/>
      <c r="P3735" s="1315"/>
      <c r="Q3735" s="1315"/>
      <c r="R3735" s="1315"/>
      <c r="S3735" s="1315"/>
      <c r="T3735" s="1315"/>
      <c r="U3735" s="1315"/>
      <c r="V3735" s="1315"/>
      <c r="W3735" s="1315"/>
      <c r="X3735" s="1315"/>
      <c r="Y3735" s="1315"/>
      <c r="Z3735" s="1315"/>
      <c r="AA3735" s="1315"/>
      <c r="AB3735" s="1315"/>
      <c r="AC3735" s="1315"/>
      <c r="AD3735" s="1315"/>
      <c r="AE3735" s="1315"/>
      <c r="AF3735" s="1315"/>
      <c r="AG3735" s="1315"/>
      <c r="AH3735" s="1315"/>
      <c r="AI3735" s="1315"/>
      <c r="AJ3735" s="1315"/>
      <c r="AK3735" s="1315"/>
      <c r="AL3735" s="1315"/>
      <c r="AM3735" s="1315"/>
      <c r="AN3735" s="1315"/>
      <c r="AO3735" s="1315"/>
      <c r="AP3735" s="1315"/>
      <c r="AQ3735" s="1315"/>
      <c r="AR3735" s="1315"/>
      <c r="AS3735" s="1315"/>
      <c r="AT3735" s="1315"/>
      <c r="AU3735" s="1315"/>
      <c r="AV3735" s="1315"/>
      <c r="AW3735" s="1315"/>
      <c r="AX3735" s="1315"/>
      <c r="AY3735" s="1315"/>
      <c r="AZ3735" s="1315"/>
      <c r="BA3735" s="1315"/>
      <c r="BB3735" s="1315"/>
      <c r="BC3735" s="1315"/>
      <c r="BD3735" s="1315"/>
      <c r="BE3735" s="1315"/>
      <c r="BF3735" s="1315"/>
      <c r="BG3735" s="1315"/>
      <c r="BH3735" s="1315"/>
      <c r="BI3735" s="1315"/>
      <c r="BJ3735" s="1315"/>
      <c r="BK3735" s="1315"/>
      <c r="BL3735" s="1315"/>
    </row>
    <row r="3736" spans="1:64" ht="25.5">
      <c r="A3736" s="1794"/>
      <c r="B3736" s="1794"/>
      <c r="C3736" s="1807" t="s">
        <v>1145</v>
      </c>
      <c r="D3736" s="1287">
        <v>1</v>
      </c>
      <c r="E3736" s="1304" t="s">
        <v>400</v>
      </c>
      <c r="F3736" s="1211">
        <f>'Civil-SOR'!$G$330</f>
        <v>192.9</v>
      </c>
      <c r="G3736" s="1289">
        <v>1</v>
      </c>
      <c r="H3736" s="1289" t="str">
        <f t="shared" ref="H3736:H3737" si="869">IF(E3736="","",IF(E3736="No.","Each",IF(E3736="Nos.","Each",E3736)))</f>
        <v>hour</v>
      </c>
      <c r="I3736" s="1211">
        <f t="shared" ref="I3736:I3738" si="870">IF(G3736="",D3736*F3736,(D3736*F3736/G3736))</f>
        <v>192.9</v>
      </c>
      <c r="J3736" s="1817"/>
      <c r="K3736" s="1817"/>
      <c r="L3736" s="1817"/>
      <c r="M3736" s="1315"/>
      <c r="N3736" s="1315"/>
      <c r="O3736" s="1315"/>
      <c r="P3736" s="1315"/>
      <c r="Q3736" s="1315"/>
      <c r="R3736" s="1315"/>
      <c r="S3736" s="1315"/>
      <c r="T3736" s="1315"/>
      <c r="U3736" s="1315"/>
      <c r="V3736" s="1315"/>
      <c r="W3736" s="1315"/>
      <c r="X3736" s="1315"/>
      <c r="Y3736" s="1315"/>
      <c r="Z3736" s="1315"/>
      <c r="AA3736" s="1315"/>
      <c r="AB3736" s="1315"/>
      <c r="AC3736" s="1315"/>
      <c r="AD3736" s="1315"/>
      <c r="AE3736" s="1315"/>
      <c r="AF3736" s="1315"/>
      <c r="AG3736" s="1315"/>
      <c r="AH3736" s="1315"/>
      <c r="AI3736" s="1315"/>
      <c r="AJ3736" s="1315"/>
      <c r="AK3736" s="1315"/>
      <c r="AL3736" s="1315"/>
      <c r="AM3736" s="1315"/>
      <c r="AN3736" s="1315"/>
      <c r="AO3736" s="1315"/>
      <c r="AP3736" s="1315"/>
      <c r="AQ3736" s="1315"/>
      <c r="AR3736" s="1315"/>
      <c r="AS3736" s="1315"/>
      <c r="AT3736" s="1315"/>
      <c r="AU3736" s="1315"/>
      <c r="AV3736" s="1315"/>
      <c r="AW3736" s="1315"/>
      <c r="AX3736" s="1315"/>
      <c r="AY3736" s="1315"/>
      <c r="AZ3736" s="1315"/>
      <c r="BA3736" s="1315"/>
      <c r="BB3736" s="1315"/>
      <c r="BC3736" s="1315"/>
      <c r="BD3736" s="1315"/>
      <c r="BE3736" s="1315"/>
      <c r="BF3736" s="1315"/>
      <c r="BG3736" s="1315"/>
      <c r="BH3736" s="1315"/>
      <c r="BI3736" s="1315"/>
      <c r="BJ3736" s="1315"/>
      <c r="BK3736" s="1315"/>
      <c r="BL3736" s="1315"/>
    </row>
    <row r="3737" spans="1:64">
      <c r="A3737" s="1794"/>
      <c r="B3737" s="1794"/>
      <c r="C3737" s="1807" t="s">
        <v>1165</v>
      </c>
      <c r="D3737" s="1287">
        <v>1</v>
      </c>
      <c r="E3737" s="1304" t="s">
        <v>400</v>
      </c>
      <c r="F3737" s="1211">
        <f>'Civil-SOR'!$J$330</f>
        <v>302.89999999999998</v>
      </c>
      <c r="G3737" s="1289">
        <v>1</v>
      </c>
      <c r="H3737" s="1289" t="str">
        <f t="shared" si="869"/>
        <v>hour</v>
      </c>
      <c r="I3737" s="1211">
        <f t="shared" si="870"/>
        <v>302.89999999999998</v>
      </c>
      <c r="J3737" s="1817"/>
      <c r="K3737" s="1817"/>
      <c r="L3737" s="1817"/>
      <c r="M3737" s="1315"/>
      <c r="N3737" s="1315"/>
      <c r="O3737" s="1315"/>
      <c r="P3737" s="1315"/>
      <c r="Q3737" s="1315"/>
      <c r="R3737" s="1315"/>
      <c r="S3737" s="1315"/>
      <c r="T3737" s="1315"/>
      <c r="U3737" s="1315"/>
      <c r="V3737" s="1315"/>
      <c r="W3737" s="1315"/>
      <c r="X3737" s="1315"/>
      <c r="Y3737" s="1315"/>
      <c r="Z3737" s="1315"/>
      <c r="AA3737" s="1315"/>
      <c r="AB3737" s="1315"/>
      <c r="AC3737" s="1315"/>
      <c r="AD3737" s="1315"/>
      <c r="AE3737" s="1315"/>
      <c r="AF3737" s="1315"/>
      <c r="AG3737" s="1315"/>
      <c r="AH3737" s="1315"/>
      <c r="AI3737" s="1315"/>
      <c r="AJ3737" s="1315"/>
      <c r="AK3737" s="1315"/>
      <c r="AL3737" s="1315"/>
      <c r="AM3737" s="1315"/>
      <c r="AN3737" s="1315"/>
      <c r="AO3737" s="1315"/>
      <c r="AP3737" s="1315"/>
      <c r="AQ3737" s="1315"/>
      <c r="AR3737" s="1315"/>
      <c r="AS3737" s="1315"/>
      <c r="AT3737" s="1315"/>
      <c r="AU3737" s="1315"/>
      <c r="AV3737" s="1315"/>
      <c r="AW3737" s="1315"/>
      <c r="AX3737" s="1315"/>
      <c r="AY3737" s="1315"/>
      <c r="AZ3737" s="1315"/>
      <c r="BA3737" s="1315"/>
      <c r="BB3737" s="1315"/>
      <c r="BC3737" s="1315"/>
      <c r="BD3737" s="1315"/>
      <c r="BE3737" s="1315"/>
      <c r="BF3737" s="1315"/>
      <c r="BG3737" s="1315"/>
      <c r="BH3737" s="1315"/>
      <c r="BI3737" s="1315"/>
      <c r="BJ3737" s="1315"/>
      <c r="BK3737" s="1315"/>
      <c r="BL3737" s="1315"/>
    </row>
    <row r="3738" spans="1:64">
      <c r="A3738" s="1794"/>
      <c r="B3738" s="1794"/>
      <c r="C3738" s="1807" t="s">
        <v>1085</v>
      </c>
      <c r="D3738" s="1316">
        <f>Input!$D$47</f>
        <v>0.4</v>
      </c>
      <c r="E3738" s="1304"/>
      <c r="F3738" s="1211">
        <f>'Civil-SOR'!$J$330</f>
        <v>302.89999999999998</v>
      </c>
      <c r="G3738" s="1318"/>
      <c r="H3738" s="1304"/>
      <c r="I3738" s="1211">
        <f t="shared" si="870"/>
        <v>121.16</v>
      </c>
      <c r="J3738" s="1817"/>
      <c r="K3738" s="1817"/>
      <c r="L3738" s="1817"/>
      <c r="M3738" s="1315"/>
      <c r="N3738" s="1315"/>
      <c r="O3738" s="1315"/>
      <c r="P3738" s="1315"/>
      <c r="Q3738" s="1315"/>
      <c r="R3738" s="1315"/>
      <c r="S3738" s="1315"/>
      <c r="T3738" s="1315"/>
      <c r="U3738" s="1315"/>
      <c r="V3738" s="1315"/>
      <c r="W3738" s="1315"/>
      <c r="X3738" s="1315"/>
      <c r="Y3738" s="1315"/>
      <c r="Z3738" s="1315"/>
      <c r="AA3738" s="1315"/>
      <c r="AB3738" s="1315"/>
      <c r="AC3738" s="1315"/>
      <c r="AD3738" s="1315"/>
      <c r="AE3738" s="1315"/>
      <c r="AF3738" s="1315"/>
      <c r="AG3738" s="1315"/>
      <c r="AH3738" s="1315"/>
      <c r="AI3738" s="1315"/>
      <c r="AJ3738" s="1315"/>
      <c r="AK3738" s="1315"/>
      <c r="AL3738" s="1315"/>
      <c r="AM3738" s="1315"/>
      <c r="AN3738" s="1315"/>
      <c r="AO3738" s="1315"/>
      <c r="AP3738" s="1315"/>
      <c r="AQ3738" s="1315"/>
      <c r="AR3738" s="1315"/>
      <c r="AS3738" s="1315"/>
      <c r="AT3738" s="1315"/>
      <c r="AU3738" s="1315"/>
      <c r="AV3738" s="1315"/>
      <c r="AW3738" s="1315"/>
      <c r="AX3738" s="1315"/>
      <c r="AY3738" s="1315"/>
      <c r="AZ3738" s="1315"/>
      <c r="BA3738" s="1315"/>
      <c r="BB3738" s="1315"/>
      <c r="BC3738" s="1315"/>
      <c r="BD3738" s="1315"/>
      <c r="BE3738" s="1315"/>
      <c r="BF3738" s="1315"/>
      <c r="BG3738" s="1315"/>
      <c r="BH3738" s="1315"/>
      <c r="BI3738" s="1315"/>
      <c r="BJ3738" s="1315"/>
      <c r="BK3738" s="1315"/>
      <c r="BL3738" s="1315"/>
    </row>
    <row r="3739" spans="1:64">
      <c r="A3739" s="1794"/>
      <c r="B3739" s="1794"/>
      <c r="C3739" s="1795" t="s">
        <v>1146</v>
      </c>
      <c r="D3739" s="1287"/>
      <c r="E3739" s="1304"/>
      <c r="F3739" s="1211"/>
      <c r="G3739" s="1289"/>
      <c r="H3739" s="1290"/>
      <c r="I3739" s="1211"/>
      <c r="J3739" s="1817"/>
      <c r="K3739" s="1817"/>
      <c r="L3739" s="1817"/>
      <c r="M3739" s="1315"/>
      <c r="N3739" s="1315"/>
      <c r="O3739" s="1315"/>
      <c r="P3739" s="1315"/>
      <c r="Q3739" s="1315"/>
      <c r="R3739" s="1315"/>
      <c r="S3739" s="1315"/>
      <c r="T3739" s="1315"/>
      <c r="U3739" s="1315"/>
      <c r="V3739" s="1315"/>
      <c r="W3739" s="1315"/>
      <c r="X3739" s="1315"/>
      <c r="Y3739" s="1315"/>
      <c r="Z3739" s="1315"/>
      <c r="AA3739" s="1315"/>
      <c r="AB3739" s="1315"/>
      <c r="AC3739" s="1315"/>
      <c r="AD3739" s="1315"/>
      <c r="AE3739" s="1315"/>
      <c r="AF3739" s="1315"/>
      <c r="AG3739" s="1315"/>
      <c r="AH3739" s="1315"/>
      <c r="AI3739" s="1315"/>
      <c r="AJ3739" s="1315"/>
      <c r="AK3739" s="1315"/>
      <c r="AL3739" s="1315"/>
      <c r="AM3739" s="1315"/>
      <c r="AN3739" s="1315"/>
      <c r="AO3739" s="1315"/>
      <c r="AP3739" s="1315"/>
      <c r="AQ3739" s="1315"/>
      <c r="AR3739" s="1315"/>
      <c r="AS3739" s="1315"/>
      <c r="AT3739" s="1315"/>
      <c r="AU3739" s="1315"/>
      <c r="AV3739" s="1315"/>
      <c r="AW3739" s="1315"/>
      <c r="AX3739" s="1315"/>
      <c r="AY3739" s="1315"/>
      <c r="AZ3739" s="1315"/>
      <c r="BA3739" s="1315"/>
      <c r="BB3739" s="1315"/>
      <c r="BC3739" s="1315"/>
      <c r="BD3739" s="1315"/>
      <c r="BE3739" s="1315"/>
      <c r="BF3739" s="1315"/>
      <c r="BG3739" s="1315"/>
      <c r="BH3739" s="1315"/>
      <c r="BI3739" s="1315"/>
      <c r="BJ3739" s="1315"/>
      <c r="BK3739" s="1315"/>
      <c r="BL3739" s="1315"/>
    </row>
    <row r="3740" spans="1:64">
      <c r="A3740" s="1794"/>
      <c r="B3740" s="1794"/>
      <c r="C3740" s="1807" t="s">
        <v>1147</v>
      </c>
      <c r="D3740" s="1287">
        <v>0.1</v>
      </c>
      <c r="E3740" s="1304" t="s">
        <v>36</v>
      </c>
      <c r="F3740" s="1211">
        <f>'Civil-SOR'!$G$293</f>
        <v>580</v>
      </c>
      <c r="G3740" s="1289">
        <v>1</v>
      </c>
      <c r="H3740" s="1290" t="str">
        <f t="shared" ref="H3740:H3741" si="871">IF(E3740="","",IF(E3740="No.","Each",IF(E3740="Nos.","Each",E3740)))</f>
        <v>Each</v>
      </c>
      <c r="I3740" s="1211">
        <f t="shared" ref="I3740:I3742" si="872">IF(G3740="",D3740*F3740,(D3740*F3740/G3740))</f>
        <v>58</v>
      </c>
      <c r="J3740" s="1817"/>
      <c r="K3740" s="1817"/>
      <c r="L3740" s="1817"/>
      <c r="M3740" s="1315"/>
      <c r="N3740" s="1315"/>
      <c r="O3740" s="1315"/>
      <c r="P3740" s="1315"/>
      <c r="Q3740" s="1315"/>
      <c r="R3740" s="1315"/>
      <c r="S3740" s="1315"/>
      <c r="T3740" s="1315"/>
      <c r="U3740" s="1315"/>
      <c r="V3740" s="1315"/>
      <c r="W3740" s="1315"/>
      <c r="X3740" s="1315"/>
      <c r="Y3740" s="1315"/>
      <c r="Z3740" s="1315"/>
      <c r="AA3740" s="1315"/>
      <c r="AB3740" s="1315"/>
      <c r="AC3740" s="1315"/>
      <c r="AD3740" s="1315"/>
      <c r="AE3740" s="1315"/>
      <c r="AF3740" s="1315"/>
      <c r="AG3740" s="1315"/>
      <c r="AH3740" s="1315"/>
      <c r="AI3740" s="1315"/>
      <c r="AJ3740" s="1315"/>
      <c r="AK3740" s="1315"/>
      <c r="AL3740" s="1315"/>
      <c r="AM3740" s="1315"/>
      <c r="AN3740" s="1315"/>
      <c r="AO3740" s="1315"/>
      <c r="AP3740" s="1315"/>
      <c r="AQ3740" s="1315"/>
      <c r="AR3740" s="1315"/>
      <c r="AS3740" s="1315"/>
      <c r="AT3740" s="1315"/>
      <c r="AU3740" s="1315"/>
      <c r="AV3740" s="1315"/>
      <c r="AW3740" s="1315"/>
      <c r="AX3740" s="1315"/>
      <c r="AY3740" s="1315"/>
      <c r="AZ3740" s="1315"/>
      <c r="BA3740" s="1315"/>
      <c r="BB3740" s="1315"/>
      <c r="BC3740" s="1315"/>
      <c r="BD3740" s="1315"/>
      <c r="BE3740" s="1315"/>
      <c r="BF3740" s="1315"/>
      <c r="BG3740" s="1315"/>
      <c r="BH3740" s="1315"/>
      <c r="BI3740" s="1315"/>
      <c r="BJ3740" s="1315"/>
      <c r="BK3740" s="1315"/>
      <c r="BL3740" s="1315"/>
    </row>
    <row r="3741" spans="1:64">
      <c r="A3741" s="1794"/>
      <c r="B3741" s="1794"/>
      <c r="C3741" s="1807" t="s">
        <v>1148</v>
      </c>
      <c r="D3741" s="1287">
        <v>1.39</v>
      </c>
      <c r="E3741" s="1304" t="s">
        <v>36</v>
      </c>
      <c r="F3741" s="1211">
        <f>'Civil-SOR'!$G$307</f>
        <v>520</v>
      </c>
      <c r="G3741" s="1289">
        <v>1</v>
      </c>
      <c r="H3741" s="1290" t="str">
        <f t="shared" si="871"/>
        <v>Each</v>
      </c>
      <c r="I3741" s="1211">
        <f t="shared" si="872"/>
        <v>722.8</v>
      </c>
      <c r="J3741" s="1817"/>
      <c r="K3741" s="1817"/>
      <c r="L3741" s="1817"/>
      <c r="M3741" s="1315"/>
      <c r="N3741" s="1315"/>
      <c r="O3741" s="1315"/>
      <c r="P3741" s="1315"/>
      <c r="Q3741" s="1315"/>
      <c r="R3741" s="1315"/>
      <c r="S3741" s="1315"/>
      <c r="T3741" s="1315"/>
      <c r="U3741" s="1315"/>
      <c r="V3741" s="1315"/>
      <c r="W3741" s="1315"/>
      <c r="X3741" s="1315"/>
      <c r="Y3741" s="1315"/>
      <c r="Z3741" s="1315"/>
      <c r="AA3741" s="1315"/>
      <c r="AB3741" s="1315"/>
      <c r="AC3741" s="1315"/>
      <c r="AD3741" s="1315"/>
      <c r="AE3741" s="1315"/>
      <c r="AF3741" s="1315"/>
      <c r="AG3741" s="1315"/>
      <c r="AH3741" s="1315"/>
      <c r="AI3741" s="1315"/>
      <c r="AJ3741" s="1315"/>
      <c r="AK3741" s="1315"/>
      <c r="AL3741" s="1315"/>
      <c r="AM3741" s="1315"/>
      <c r="AN3741" s="1315"/>
      <c r="AO3741" s="1315"/>
      <c r="AP3741" s="1315"/>
      <c r="AQ3741" s="1315"/>
      <c r="AR3741" s="1315"/>
      <c r="AS3741" s="1315"/>
      <c r="AT3741" s="1315"/>
      <c r="AU3741" s="1315"/>
      <c r="AV3741" s="1315"/>
      <c r="AW3741" s="1315"/>
      <c r="AX3741" s="1315"/>
      <c r="AY3741" s="1315"/>
      <c r="AZ3741" s="1315"/>
      <c r="BA3741" s="1315"/>
      <c r="BB3741" s="1315"/>
      <c r="BC3741" s="1315"/>
      <c r="BD3741" s="1315"/>
      <c r="BE3741" s="1315"/>
      <c r="BF3741" s="1315"/>
      <c r="BG3741" s="1315"/>
      <c r="BH3741" s="1315"/>
      <c r="BI3741" s="1315"/>
      <c r="BJ3741" s="1315"/>
      <c r="BK3741" s="1315"/>
      <c r="BL3741" s="1315"/>
    </row>
    <row r="3742" spans="1:64">
      <c r="A3742" s="1794"/>
      <c r="B3742" s="1794"/>
      <c r="C3742" s="1807" t="str">
        <f>Input!$C$47</f>
        <v>Add for MA @ 40%</v>
      </c>
      <c r="D3742" s="1287">
        <f>Input!$D$47</f>
        <v>0.4</v>
      </c>
      <c r="E3742" s="1304"/>
      <c r="F3742" s="1211">
        <f>SUM(I3740:I3741)</f>
        <v>780.8</v>
      </c>
      <c r="G3742" s="1289"/>
      <c r="H3742" s="1290"/>
      <c r="I3742" s="1211">
        <f t="shared" si="872"/>
        <v>312.32</v>
      </c>
      <c r="J3742" s="1817"/>
      <c r="K3742" s="1817"/>
      <c r="L3742" s="1817"/>
      <c r="M3742" s="1315"/>
      <c r="N3742" s="1315"/>
      <c r="O3742" s="1315"/>
      <c r="P3742" s="1315"/>
      <c r="Q3742" s="1315"/>
      <c r="R3742" s="1315"/>
      <c r="S3742" s="1315"/>
      <c r="T3742" s="1315"/>
      <c r="U3742" s="1315"/>
      <c r="V3742" s="1315"/>
      <c r="W3742" s="1315"/>
      <c r="X3742" s="1315"/>
      <c r="Y3742" s="1315"/>
      <c r="Z3742" s="1315"/>
      <c r="AA3742" s="1315"/>
      <c r="AB3742" s="1315"/>
      <c r="AC3742" s="1315"/>
      <c r="AD3742" s="1315"/>
      <c r="AE3742" s="1315"/>
      <c r="AF3742" s="1315"/>
      <c r="AG3742" s="1315"/>
      <c r="AH3742" s="1315"/>
      <c r="AI3742" s="1315"/>
      <c r="AJ3742" s="1315"/>
      <c r="AK3742" s="1315"/>
      <c r="AL3742" s="1315"/>
      <c r="AM3742" s="1315"/>
      <c r="AN3742" s="1315"/>
      <c r="AO3742" s="1315"/>
      <c r="AP3742" s="1315"/>
      <c r="AQ3742" s="1315"/>
      <c r="AR3742" s="1315"/>
      <c r="AS3742" s="1315"/>
      <c r="AT3742" s="1315"/>
      <c r="AU3742" s="1315"/>
      <c r="AV3742" s="1315"/>
      <c r="AW3742" s="1315"/>
      <c r="AX3742" s="1315"/>
      <c r="AY3742" s="1315"/>
      <c r="AZ3742" s="1315"/>
      <c r="BA3742" s="1315"/>
      <c r="BB3742" s="1315"/>
      <c r="BC3742" s="1315"/>
      <c r="BD3742" s="1315"/>
      <c r="BE3742" s="1315"/>
      <c r="BF3742" s="1315"/>
      <c r="BG3742" s="1315"/>
      <c r="BH3742" s="1315"/>
      <c r="BI3742" s="1315"/>
      <c r="BJ3742" s="1315"/>
      <c r="BK3742" s="1315"/>
      <c r="BL3742" s="1315"/>
    </row>
    <row r="3743" spans="1:64" s="1322" customFormat="1">
      <c r="A3743" s="1319"/>
      <c r="B3743" s="1797"/>
      <c r="C3743" s="1815"/>
      <c r="D3743" s="1281"/>
      <c r="E3743" s="1320"/>
      <c r="F3743" s="1283"/>
      <c r="G3743" s="1284"/>
      <c r="H3743" s="1321"/>
      <c r="I3743" s="1218">
        <f>SUM(I3731:I3742)</f>
        <v>4981.1543666666666</v>
      </c>
      <c r="J3743" s="1110"/>
      <c r="K3743" s="1110"/>
      <c r="L3743" s="1110"/>
    </row>
    <row r="3744" spans="1:64">
      <c r="A3744" s="1794"/>
      <c r="B3744" s="1798"/>
      <c r="C3744" s="1807"/>
      <c r="D3744" s="1228"/>
      <c r="E3744" s="1297"/>
      <c r="F3744" s="1223"/>
      <c r="G3744" s="1272"/>
      <c r="H3744" s="1298"/>
      <c r="I3744" s="1219"/>
      <c r="J3744" s="1817"/>
      <c r="K3744" s="1817"/>
      <c r="L3744" s="1817"/>
      <c r="M3744" s="1315"/>
      <c r="N3744" s="1315"/>
      <c r="O3744" s="1315"/>
      <c r="P3744" s="1315"/>
      <c r="Q3744" s="1315"/>
      <c r="R3744" s="1315"/>
      <c r="S3744" s="1315"/>
      <c r="T3744" s="1315"/>
      <c r="U3744" s="1315"/>
      <c r="V3744" s="1315"/>
      <c r="W3744" s="1315"/>
      <c r="X3744" s="1315"/>
      <c r="Y3744" s="1315"/>
      <c r="Z3744" s="1315"/>
      <c r="AA3744" s="1315"/>
      <c r="AB3744" s="1315"/>
      <c r="AC3744" s="1315"/>
      <c r="AD3744" s="1315"/>
      <c r="AE3744" s="1315"/>
      <c r="AF3744" s="1315"/>
      <c r="AG3744" s="1315"/>
      <c r="AH3744" s="1315"/>
      <c r="AI3744" s="1315"/>
      <c r="AJ3744" s="1315"/>
      <c r="AK3744" s="1315"/>
      <c r="AL3744" s="1315"/>
      <c r="AM3744" s="1315"/>
      <c r="AN3744" s="1315"/>
      <c r="AO3744" s="1315"/>
      <c r="AP3744" s="1315"/>
      <c r="AQ3744" s="1315"/>
      <c r="AR3744" s="1315"/>
      <c r="AS3744" s="1315"/>
      <c r="AT3744" s="1315"/>
      <c r="AU3744" s="1315"/>
      <c r="AV3744" s="1315"/>
      <c r="AW3744" s="1315"/>
      <c r="AX3744" s="1315"/>
      <c r="AY3744" s="1315"/>
      <c r="AZ3744" s="1315"/>
      <c r="BA3744" s="1315"/>
      <c r="BB3744" s="1315"/>
      <c r="BC3744" s="1315"/>
      <c r="BD3744" s="1315"/>
      <c r="BE3744" s="1315"/>
      <c r="BF3744" s="1315"/>
      <c r="BG3744" s="1315"/>
      <c r="BH3744" s="1315"/>
      <c r="BI3744" s="1315"/>
      <c r="BJ3744" s="1315"/>
      <c r="BK3744" s="1315"/>
      <c r="BL3744" s="1315"/>
    </row>
    <row r="3745" spans="1:64" s="1322" customFormat="1">
      <c r="A3745" s="1319"/>
      <c r="B3745" s="1797"/>
      <c r="C3745" s="1796" t="s">
        <v>1217</v>
      </c>
      <c r="D3745" s="1218" t="s">
        <v>1223</v>
      </c>
      <c r="E3745" s="1323" t="s">
        <v>1207</v>
      </c>
      <c r="F3745" s="1324" t="s">
        <v>1208</v>
      </c>
      <c r="G3745" s="1323" t="s">
        <v>1291</v>
      </c>
      <c r="H3745" s="1323" t="s">
        <v>1292</v>
      </c>
      <c r="I3745" s="1323" t="s">
        <v>1293</v>
      </c>
      <c r="J3745" s="1833"/>
      <c r="K3745" s="1833" t="s">
        <v>1358</v>
      </c>
      <c r="L3745" s="1833" t="s">
        <v>1359</v>
      </c>
    </row>
    <row r="3746" spans="1:64">
      <c r="A3746" s="1794"/>
      <c r="B3746" s="1794"/>
      <c r="C3746" s="1807" t="s">
        <v>1218</v>
      </c>
      <c r="D3746" s="1209">
        <f t="shared" ref="D3746:L3746" si="873">$I$3743</f>
        <v>4981.1543666666666</v>
      </c>
      <c r="E3746" s="1209">
        <f t="shared" si="873"/>
        <v>4981.1543666666666</v>
      </c>
      <c r="F3746" s="1209">
        <f t="shared" si="873"/>
        <v>4981.1543666666666</v>
      </c>
      <c r="G3746" s="1209">
        <f t="shared" si="873"/>
        <v>4981.1543666666666</v>
      </c>
      <c r="H3746" s="1209">
        <f t="shared" si="873"/>
        <v>4981.1543666666666</v>
      </c>
      <c r="I3746" s="1209">
        <f t="shared" si="873"/>
        <v>4981.1543666666666</v>
      </c>
      <c r="J3746" s="1848"/>
      <c r="K3746" s="1848">
        <f t="shared" si="873"/>
        <v>4981.1543666666666</v>
      </c>
      <c r="L3746" s="1848">
        <f t="shared" si="873"/>
        <v>4981.1543666666666</v>
      </c>
      <c r="M3746" s="1315"/>
      <c r="N3746" s="1315"/>
      <c r="O3746" s="1315"/>
      <c r="P3746" s="1315"/>
      <c r="Q3746" s="1315"/>
      <c r="R3746" s="1315"/>
      <c r="S3746" s="1315"/>
      <c r="T3746" s="1315"/>
      <c r="U3746" s="1315"/>
      <c r="V3746" s="1315"/>
      <c r="W3746" s="1315"/>
      <c r="X3746" s="1315"/>
      <c r="Y3746" s="1315"/>
      <c r="Z3746" s="1315"/>
      <c r="AA3746" s="1315"/>
      <c r="AB3746" s="1315"/>
      <c r="AC3746" s="1315"/>
      <c r="AD3746" s="1315"/>
      <c r="AE3746" s="1315"/>
      <c r="AF3746" s="1315"/>
      <c r="AG3746" s="1315"/>
      <c r="AH3746" s="1315"/>
      <c r="AI3746" s="1315"/>
      <c r="AJ3746" s="1315"/>
      <c r="AK3746" s="1315"/>
      <c r="AL3746" s="1315"/>
      <c r="AM3746" s="1315"/>
      <c r="AN3746" s="1315"/>
      <c r="AO3746" s="1315"/>
      <c r="AP3746" s="1315"/>
      <c r="AQ3746" s="1315"/>
      <c r="AR3746" s="1315"/>
      <c r="AS3746" s="1315"/>
      <c r="AT3746" s="1315"/>
      <c r="AU3746" s="1315"/>
      <c r="AV3746" s="1315"/>
      <c r="AW3746" s="1315"/>
      <c r="AX3746" s="1315"/>
      <c r="AY3746" s="1315"/>
      <c r="AZ3746" s="1315"/>
      <c r="BA3746" s="1315"/>
      <c r="BB3746" s="1315"/>
      <c r="BC3746" s="1315"/>
      <c r="BD3746" s="1315"/>
      <c r="BE3746" s="1315"/>
      <c r="BF3746" s="1315"/>
      <c r="BG3746" s="1315"/>
      <c r="BH3746" s="1315"/>
      <c r="BI3746" s="1315"/>
      <c r="BJ3746" s="1315"/>
      <c r="BK3746" s="1315"/>
      <c r="BL3746" s="1315"/>
    </row>
    <row r="3747" spans="1:64">
      <c r="A3747" s="1794"/>
      <c r="B3747" s="1794"/>
      <c r="C3747" s="1807" t="s">
        <v>1253</v>
      </c>
      <c r="D3747" s="1209">
        <v>0</v>
      </c>
      <c r="E3747" s="1209">
        <f>ROUND(($F$3742)*10%,2)</f>
        <v>78.08</v>
      </c>
      <c r="F3747" s="1209">
        <f>ROUND(($F$3742)*20%,2)</f>
        <v>156.16</v>
      </c>
      <c r="G3747" s="1209">
        <f>ROUND(($F$3742)*30%,2)</f>
        <v>234.24</v>
      </c>
      <c r="H3747" s="1209">
        <f>ROUND(($F$3742)*40%,2)</f>
        <v>312.32</v>
      </c>
      <c r="I3747" s="1209">
        <f>ROUND(($F$3742)*50%,2)</f>
        <v>390.4</v>
      </c>
      <c r="J3747" s="1848"/>
      <c r="K3747" s="1848">
        <f>ROUND(($F$3742)*70%,2)</f>
        <v>546.55999999999995</v>
      </c>
      <c r="L3747" s="1848">
        <f>ROUND(($F$3742)*80%,2)</f>
        <v>624.64</v>
      </c>
      <c r="M3747" s="1315"/>
      <c r="N3747" s="1315"/>
      <c r="O3747" s="1315"/>
      <c r="P3747" s="1315"/>
      <c r="Q3747" s="1315"/>
      <c r="R3747" s="1315"/>
      <c r="S3747" s="1315"/>
      <c r="T3747" s="1315"/>
      <c r="U3747" s="1315"/>
      <c r="V3747" s="1315"/>
      <c r="W3747" s="1315"/>
      <c r="X3747" s="1315"/>
      <c r="Y3747" s="1315"/>
      <c r="Z3747" s="1315"/>
      <c r="AA3747" s="1315"/>
      <c r="AB3747" s="1315"/>
      <c r="AC3747" s="1315"/>
      <c r="AD3747" s="1315"/>
      <c r="AE3747" s="1315"/>
      <c r="AF3747" s="1315"/>
      <c r="AG3747" s="1315"/>
      <c r="AH3747" s="1315"/>
      <c r="AI3747" s="1315"/>
      <c r="AJ3747" s="1315"/>
      <c r="AK3747" s="1315"/>
      <c r="AL3747" s="1315"/>
      <c r="AM3747" s="1315"/>
      <c r="AN3747" s="1315"/>
      <c r="AO3747" s="1315"/>
      <c r="AP3747" s="1315"/>
      <c r="AQ3747" s="1315"/>
      <c r="AR3747" s="1315"/>
      <c r="AS3747" s="1315"/>
      <c r="AT3747" s="1315"/>
      <c r="AU3747" s="1315"/>
      <c r="AV3747" s="1315"/>
      <c r="AW3747" s="1315"/>
      <c r="AX3747" s="1315"/>
      <c r="AY3747" s="1315"/>
      <c r="AZ3747" s="1315"/>
      <c r="BA3747" s="1315"/>
      <c r="BB3747" s="1315"/>
      <c r="BC3747" s="1315"/>
      <c r="BD3747" s="1315"/>
      <c r="BE3747" s="1315"/>
      <c r="BF3747" s="1315"/>
      <c r="BG3747" s="1315"/>
      <c r="BH3747" s="1315"/>
      <c r="BI3747" s="1315"/>
      <c r="BJ3747" s="1315"/>
      <c r="BK3747" s="1315"/>
      <c r="BL3747" s="1315"/>
    </row>
    <row r="3748" spans="1:64">
      <c r="A3748" s="1794"/>
      <c r="B3748" s="1794"/>
      <c r="C3748" s="1807" t="str">
        <f>Input!$C$47</f>
        <v>Add for MA @ 40%</v>
      </c>
      <c r="D3748" s="1209">
        <f>D3747*Input!$D$47</f>
        <v>0</v>
      </c>
      <c r="E3748" s="1209">
        <f>E3747*Input!$D$47</f>
        <v>31.231999999999999</v>
      </c>
      <c r="F3748" s="1209">
        <f>F3747*Input!$D$47</f>
        <v>62.463999999999999</v>
      </c>
      <c r="G3748" s="1209">
        <f>G3747*Input!$D$47</f>
        <v>93.696000000000012</v>
      </c>
      <c r="H3748" s="1209">
        <f>H3747*Input!$D$47</f>
        <v>124.928</v>
      </c>
      <c r="I3748" s="1209">
        <f>I3747*Input!$D$47</f>
        <v>156.16</v>
      </c>
      <c r="J3748" s="1848"/>
      <c r="K3748" s="1848">
        <f>K3747*Input!$D$47</f>
        <v>218.624</v>
      </c>
      <c r="L3748" s="1848">
        <f>L3747*Input!$D$47</f>
        <v>249.85599999999999</v>
      </c>
      <c r="M3748" s="1315"/>
      <c r="N3748" s="1315"/>
      <c r="O3748" s="1315"/>
      <c r="P3748" s="1315"/>
      <c r="Q3748" s="1315"/>
      <c r="R3748" s="1315"/>
      <c r="S3748" s="1315"/>
      <c r="T3748" s="1315"/>
      <c r="U3748" s="1315"/>
      <c r="V3748" s="1315"/>
      <c r="W3748" s="1315"/>
      <c r="X3748" s="1315"/>
      <c r="Y3748" s="1315"/>
      <c r="Z3748" s="1315"/>
      <c r="AA3748" s="1315"/>
      <c r="AB3748" s="1315"/>
      <c r="AC3748" s="1315"/>
      <c r="AD3748" s="1315"/>
      <c r="AE3748" s="1315"/>
      <c r="AF3748" s="1315"/>
      <c r="AG3748" s="1315"/>
      <c r="AH3748" s="1315"/>
      <c r="AI3748" s="1315"/>
      <c r="AJ3748" s="1315"/>
      <c r="AK3748" s="1315"/>
      <c r="AL3748" s="1315"/>
      <c r="AM3748" s="1315"/>
      <c r="AN3748" s="1315"/>
      <c r="AO3748" s="1315"/>
      <c r="AP3748" s="1315"/>
      <c r="AQ3748" s="1315"/>
      <c r="AR3748" s="1315"/>
      <c r="AS3748" s="1315"/>
      <c r="AT3748" s="1315"/>
      <c r="AU3748" s="1315"/>
      <c r="AV3748" s="1315"/>
      <c r="AW3748" s="1315"/>
      <c r="AX3748" s="1315"/>
      <c r="AY3748" s="1315"/>
      <c r="AZ3748" s="1315"/>
      <c r="BA3748" s="1315"/>
      <c r="BB3748" s="1315"/>
      <c r="BC3748" s="1315"/>
      <c r="BD3748" s="1315"/>
      <c r="BE3748" s="1315"/>
      <c r="BF3748" s="1315"/>
      <c r="BG3748" s="1315"/>
      <c r="BH3748" s="1315"/>
      <c r="BI3748" s="1315"/>
      <c r="BJ3748" s="1315"/>
      <c r="BK3748" s="1315"/>
      <c r="BL3748" s="1315"/>
    </row>
    <row r="3749" spans="1:64">
      <c r="A3749" s="1794"/>
      <c r="B3749" s="1794"/>
      <c r="C3749" s="1795" t="s">
        <v>1032</v>
      </c>
      <c r="D3749" s="1209">
        <f t="shared" ref="D3749:L3749" si="874">SUM(D3746:D3748)</f>
        <v>4981.1543666666666</v>
      </c>
      <c r="E3749" s="1209">
        <f t="shared" si="874"/>
        <v>5090.4663666666665</v>
      </c>
      <c r="F3749" s="1209">
        <f t="shared" si="874"/>
        <v>5199.7783666666664</v>
      </c>
      <c r="G3749" s="1209">
        <f t="shared" si="874"/>
        <v>5309.0903666666663</v>
      </c>
      <c r="H3749" s="1209">
        <f t="shared" si="874"/>
        <v>5418.4023666666662</v>
      </c>
      <c r="I3749" s="1209">
        <f t="shared" si="874"/>
        <v>5527.7143666666661</v>
      </c>
      <c r="J3749" s="1848"/>
      <c r="K3749" s="1848">
        <f t="shared" si="874"/>
        <v>5746.3383666666668</v>
      </c>
      <c r="L3749" s="1848">
        <f t="shared" si="874"/>
        <v>5855.6503666666667</v>
      </c>
      <c r="M3749" s="1315"/>
      <c r="N3749" s="1315"/>
      <c r="O3749" s="1315"/>
      <c r="P3749" s="1315"/>
      <c r="Q3749" s="1315"/>
      <c r="R3749" s="1315"/>
      <c r="S3749" s="1315"/>
      <c r="T3749" s="1315"/>
      <c r="U3749" s="1315"/>
      <c r="V3749" s="1315"/>
      <c r="W3749" s="1315"/>
      <c r="X3749" s="1315"/>
      <c r="Y3749" s="1315"/>
      <c r="Z3749" s="1315"/>
      <c r="AA3749" s="1315"/>
      <c r="AB3749" s="1315"/>
      <c r="AC3749" s="1315"/>
      <c r="AD3749" s="1315"/>
      <c r="AE3749" s="1315"/>
      <c r="AF3749" s="1315"/>
      <c r="AG3749" s="1315"/>
      <c r="AH3749" s="1315"/>
      <c r="AI3749" s="1315"/>
      <c r="AJ3749" s="1315"/>
      <c r="AK3749" s="1315"/>
      <c r="AL3749" s="1315"/>
      <c r="AM3749" s="1315"/>
      <c r="AN3749" s="1315"/>
      <c r="AO3749" s="1315"/>
      <c r="AP3749" s="1315"/>
      <c r="AQ3749" s="1315"/>
      <c r="AR3749" s="1315"/>
      <c r="AS3749" s="1315"/>
      <c r="AT3749" s="1315"/>
      <c r="AU3749" s="1315"/>
      <c r="AV3749" s="1315"/>
      <c r="AW3749" s="1315"/>
      <c r="AX3749" s="1315"/>
      <c r="AY3749" s="1315"/>
      <c r="AZ3749" s="1315"/>
      <c r="BA3749" s="1315"/>
      <c r="BB3749" s="1315"/>
      <c r="BC3749" s="1315"/>
      <c r="BD3749" s="1315"/>
      <c r="BE3749" s="1315"/>
      <c r="BF3749" s="1315"/>
      <c r="BG3749" s="1315"/>
      <c r="BH3749" s="1315"/>
      <c r="BI3749" s="1315"/>
      <c r="BJ3749" s="1315"/>
      <c r="BK3749" s="1315"/>
      <c r="BL3749" s="1315"/>
    </row>
    <row r="3750" spans="1:64">
      <c r="A3750" s="1794"/>
      <c r="B3750" s="1794"/>
      <c r="C3750" s="1807" t="str">
        <f>Input!$C$48</f>
        <v>Overheads &amp; Contractors Profit @ 13.615%</v>
      </c>
      <c r="D3750" s="1209">
        <f>ROUND(D3749*Input!$D$48,2)</f>
        <v>678.18</v>
      </c>
      <c r="E3750" s="1209">
        <f>ROUND(E3749*Input!$D$48,2)</f>
        <v>693.07</v>
      </c>
      <c r="F3750" s="1209">
        <f>ROUND(F3749*Input!$D$48,2)</f>
        <v>707.95</v>
      </c>
      <c r="G3750" s="1209">
        <f>ROUND(G3749*Input!$D$48,2)</f>
        <v>722.83</v>
      </c>
      <c r="H3750" s="1209">
        <f>ROUND(H3749*Input!$D$48,2)</f>
        <v>737.72</v>
      </c>
      <c r="I3750" s="1209">
        <f>ROUND(I3749*Input!$D$48,2)</f>
        <v>752.6</v>
      </c>
      <c r="J3750" s="1848"/>
      <c r="K3750" s="1848">
        <f>ROUND(K3749*Input!$D$48,2)</f>
        <v>782.36</v>
      </c>
      <c r="L3750" s="1848">
        <f>ROUND(L3749*Input!$D$48,2)</f>
        <v>797.25</v>
      </c>
      <c r="M3750" s="1315"/>
      <c r="N3750" s="1315"/>
      <c r="O3750" s="1315"/>
      <c r="P3750" s="1315"/>
      <c r="Q3750" s="1315"/>
      <c r="R3750" s="1315"/>
      <c r="S3750" s="1315"/>
      <c r="T3750" s="1315"/>
      <c r="U3750" s="1315"/>
      <c r="V3750" s="1315"/>
      <c r="W3750" s="1315"/>
      <c r="X3750" s="1315"/>
      <c r="Y3750" s="1315"/>
      <c r="Z3750" s="1315"/>
      <c r="AA3750" s="1315"/>
      <c r="AB3750" s="1315"/>
      <c r="AC3750" s="1315"/>
      <c r="AD3750" s="1315"/>
      <c r="AE3750" s="1315"/>
      <c r="AF3750" s="1315"/>
      <c r="AG3750" s="1315"/>
      <c r="AH3750" s="1315"/>
      <c r="AI3750" s="1315"/>
      <c r="AJ3750" s="1315"/>
      <c r="AK3750" s="1315"/>
      <c r="AL3750" s="1315"/>
      <c r="AM3750" s="1315"/>
      <c r="AN3750" s="1315"/>
      <c r="AO3750" s="1315"/>
      <c r="AP3750" s="1315"/>
      <c r="AQ3750" s="1315"/>
      <c r="AR3750" s="1315"/>
      <c r="AS3750" s="1315"/>
      <c r="AT3750" s="1315"/>
      <c r="AU3750" s="1315"/>
      <c r="AV3750" s="1315"/>
      <c r="AW3750" s="1315"/>
      <c r="AX3750" s="1315"/>
      <c r="AY3750" s="1315"/>
      <c r="AZ3750" s="1315"/>
      <c r="BA3750" s="1315"/>
      <c r="BB3750" s="1315"/>
      <c r="BC3750" s="1315"/>
      <c r="BD3750" s="1315"/>
      <c r="BE3750" s="1315"/>
      <c r="BF3750" s="1315"/>
      <c r="BG3750" s="1315"/>
      <c r="BH3750" s="1315"/>
      <c r="BI3750" s="1315"/>
      <c r="BJ3750" s="1315"/>
      <c r="BK3750" s="1315"/>
      <c r="BL3750" s="1315"/>
    </row>
    <row r="3751" spans="1:64">
      <c r="A3751" s="1794"/>
      <c r="B3751" s="1794"/>
      <c r="C3751" s="1795" t="s">
        <v>1032</v>
      </c>
      <c r="D3751" s="1209">
        <f t="shared" ref="D3751:L3751" si="875">SUM(D3749:D3750)</f>
        <v>5659.3343666666669</v>
      </c>
      <c r="E3751" s="1209">
        <f t="shared" si="875"/>
        <v>5783.5363666666663</v>
      </c>
      <c r="F3751" s="1209">
        <f t="shared" si="875"/>
        <v>5907.7283666666663</v>
      </c>
      <c r="G3751" s="1209">
        <f t="shared" si="875"/>
        <v>6031.9203666666663</v>
      </c>
      <c r="H3751" s="1209">
        <f t="shared" si="875"/>
        <v>6156.1223666666665</v>
      </c>
      <c r="I3751" s="1209">
        <f t="shared" si="875"/>
        <v>6280.3143666666665</v>
      </c>
      <c r="J3751" s="1848"/>
      <c r="K3751" s="1848">
        <f t="shared" si="875"/>
        <v>6528.6983666666665</v>
      </c>
      <c r="L3751" s="1848">
        <f t="shared" si="875"/>
        <v>6652.9003666666667</v>
      </c>
      <c r="M3751" s="1315"/>
      <c r="N3751" s="1315"/>
      <c r="O3751" s="1315"/>
      <c r="P3751" s="1315"/>
      <c r="Q3751" s="1315"/>
      <c r="R3751" s="1315"/>
      <c r="S3751" s="1315"/>
      <c r="T3751" s="1315"/>
      <c r="U3751" s="1315"/>
      <c r="V3751" s="1315"/>
      <c r="W3751" s="1315"/>
      <c r="X3751" s="1315"/>
      <c r="Y3751" s="1315"/>
      <c r="Z3751" s="1315"/>
      <c r="AA3751" s="1315"/>
      <c r="AB3751" s="1315"/>
      <c r="AC3751" s="1315"/>
      <c r="AD3751" s="1315"/>
      <c r="AE3751" s="1315"/>
      <c r="AF3751" s="1315"/>
      <c r="AG3751" s="1315"/>
      <c r="AH3751" s="1315"/>
      <c r="AI3751" s="1315"/>
      <c r="AJ3751" s="1315"/>
      <c r="AK3751" s="1315"/>
      <c r="AL3751" s="1315"/>
      <c r="AM3751" s="1315"/>
      <c r="AN3751" s="1315"/>
      <c r="AO3751" s="1315"/>
      <c r="AP3751" s="1315"/>
      <c r="AQ3751" s="1315"/>
      <c r="AR3751" s="1315"/>
      <c r="AS3751" s="1315"/>
      <c r="AT3751" s="1315"/>
      <c r="AU3751" s="1315"/>
      <c r="AV3751" s="1315"/>
      <c r="AW3751" s="1315"/>
      <c r="AX3751" s="1315"/>
      <c r="AY3751" s="1315"/>
      <c r="AZ3751" s="1315"/>
      <c r="BA3751" s="1315"/>
      <c r="BB3751" s="1315"/>
      <c r="BC3751" s="1315"/>
      <c r="BD3751" s="1315"/>
      <c r="BE3751" s="1315"/>
      <c r="BF3751" s="1315"/>
      <c r="BG3751" s="1315"/>
      <c r="BH3751" s="1315"/>
      <c r="BI3751" s="1315"/>
      <c r="BJ3751" s="1315"/>
      <c r="BK3751" s="1315"/>
      <c r="BL3751" s="1315"/>
    </row>
    <row r="3752" spans="1:64" s="1322" customFormat="1">
      <c r="A3752" s="1319"/>
      <c r="B3752" s="1797"/>
      <c r="C3752" s="1224" t="s">
        <v>1034</v>
      </c>
      <c r="D3752" s="1225">
        <f t="shared" ref="D3752:L3752" si="876">ROUND(D3751,0)</f>
        <v>5659</v>
      </c>
      <c r="E3752" s="1225">
        <f t="shared" si="876"/>
        <v>5784</v>
      </c>
      <c r="F3752" s="1225">
        <f t="shared" si="876"/>
        <v>5908</v>
      </c>
      <c r="G3752" s="1225">
        <f t="shared" si="876"/>
        <v>6032</v>
      </c>
      <c r="H3752" s="1225">
        <f t="shared" si="876"/>
        <v>6156</v>
      </c>
      <c r="I3752" s="1225">
        <f t="shared" si="876"/>
        <v>6280</v>
      </c>
      <c r="J3752" s="999"/>
      <c r="K3752" s="999">
        <f t="shared" si="876"/>
        <v>6529</v>
      </c>
      <c r="L3752" s="999">
        <f t="shared" si="876"/>
        <v>6653</v>
      </c>
    </row>
    <row r="3753" spans="1:64">
      <c r="A3753" s="1794"/>
      <c r="B3753" s="1798"/>
      <c r="C3753" s="1807"/>
      <c r="D3753" s="1228"/>
      <c r="E3753" s="1297"/>
      <c r="F3753" s="1223"/>
      <c r="G3753" s="1272"/>
      <c r="H3753" s="1298"/>
      <c r="I3753" s="1219"/>
      <c r="J3753" s="1817"/>
      <c r="K3753" s="1817"/>
      <c r="L3753" s="1817"/>
      <c r="M3753" s="1315"/>
      <c r="N3753" s="1315"/>
      <c r="O3753" s="1315"/>
      <c r="P3753" s="1315"/>
      <c r="Q3753" s="1315"/>
      <c r="R3753" s="1315"/>
      <c r="S3753" s="1315"/>
      <c r="T3753" s="1315"/>
      <c r="U3753" s="1315"/>
      <c r="V3753" s="1315"/>
      <c r="W3753" s="1315"/>
      <c r="X3753" s="1315"/>
      <c r="Y3753" s="1315"/>
      <c r="Z3753" s="1315"/>
      <c r="AA3753" s="1315"/>
      <c r="AB3753" s="1315"/>
      <c r="AC3753" s="1315"/>
      <c r="AD3753" s="1315"/>
      <c r="AE3753" s="1315"/>
      <c r="AF3753" s="1315"/>
      <c r="AG3753" s="1315"/>
      <c r="AH3753" s="1315"/>
      <c r="AI3753" s="1315"/>
      <c r="AJ3753" s="1315"/>
      <c r="AK3753" s="1315"/>
      <c r="AL3753" s="1315"/>
      <c r="AM3753" s="1315"/>
      <c r="AN3753" s="1315"/>
      <c r="AO3753" s="1315"/>
      <c r="AP3753" s="1315"/>
      <c r="AQ3753" s="1315"/>
      <c r="AR3753" s="1315"/>
      <c r="AS3753" s="1315"/>
      <c r="AT3753" s="1315"/>
      <c r="AU3753" s="1315"/>
      <c r="AV3753" s="1315"/>
      <c r="AW3753" s="1315"/>
      <c r="AX3753" s="1315"/>
      <c r="AY3753" s="1315"/>
      <c r="AZ3753" s="1315"/>
      <c r="BA3753" s="1315"/>
      <c r="BB3753" s="1315"/>
      <c r="BC3753" s="1315"/>
      <c r="BD3753" s="1315"/>
      <c r="BE3753" s="1315"/>
      <c r="BF3753" s="1315"/>
      <c r="BG3753" s="1315"/>
      <c r="BH3753" s="1315"/>
      <c r="BI3753" s="1315"/>
      <c r="BJ3753" s="1315"/>
      <c r="BK3753" s="1315"/>
      <c r="BL3753" s="1315"/>
    </row>
    <row r="3754" spans="1:64">
      <c r="A3754" s="1794"/>
      <c r="B3754" s="1798"/>
      <c r="C3754" s="1796" t="s">
        <v>1217</v>
      </c>
      <c r="D3754" s="1323" t="s">
        <v>1357</v>
      </c>
      <c r="E3754" s="1323" t="s">
        <v>1358</v>
      </c>
      <c r="F3754" s="1323" t="s">
        <v>1359</v>
      </c>
      <c r="G3754" s="1272"/>
      <c r="H3754" s="1298"/>
      <c r="I3754" s="1219"/>
      <c r="J3754" s="1817"/>
      <c r="K3754" s="1817"/>
      <c r="L3754" s="1817"/>
      <c r="M3754" s="1315"/>
      <c r="N3754" s="1315"/>
      <c r="O3754" s="1315"/>
      <c r="P3754" s="1315"/>
      <c r="Q3754" s="1315"/>
      <c r="R3754" s="1315"/>
      <c r="S3754" s="1315"/>
      <c r="T3754" s="1315"/>
      <c r="U3754" s="1315"/>
      <c r="V3754" s="1315"/>
      <c r="W3754" s="1315"/>
      <c r="X3754" s="1315"/>
      <c r="Y3754" s="1315"/>
      <c r="Z3754" s="1315"/>
      <c r="AA3754" s="1315"/>
      <c r="AB3754" s="1315"/>
      <c r="AC3754" s="1315"/>
      <c r="AD3754" s="1315"/>
      <c r="AE3754" s="1315"/>
      <c r="AF3754" s="1315"/>
      <c r="AG3754" s="1315"/>
      <c r="AH3754" s="1315"/>
      <c r="AI3754" s="1315"/>
      <c r="AJ3754" s="1315"/>
      <c r="AK3754" s="1315"/>
      <c r="AL3754" s="1315"/>
      <c r="AM3754" s="1315"/>
      <c r="AN3754" s="1315"/>
      <c r="AO3754" s="1315"/>
      <c r="AP3754" s="1315"/>
      <c r="AQ3754" s="1315"/>
      <c r="AR3754" s="1315"/>
      <c r="AS3754" s="1315"/>
      <c r="AT3754" s="1315"/>
      <c r="AU3754" s="1315"/>
      <c r="AV3754" s="1315"/>
      <c r="AW3754" s="1315"/>
      <c r="AX3754" s="1315"/>
      <c r="AY3754" s="1315"/>
      <c r="AZ3754" s="1315"/>
      <c r="BA3754" s="1315"/>
      <c r="BB3754" s="1315"/>
      <c r="BC3754" s="1315"/>
      <c r="BD3754" s="1315"/>
      <c r="BE3754" s="1315"/>
      <c r="BF3754" s="1315"/>
      <c r="BG3754" s="1315"/>
      <c r="BH3754" s="1315"/>
      <c r="BI3754" s="1315"/>
      <c r="BJ3754" s="1315"/>
      <c r="BK3754" s="1315"/>
      <c r="BL3754" s="1315"/>
    </row>
    <row r="3755" spans="1:64">
      <c r="A3755" s="1794"/>
      <c r="B3755" s="1798"/>
      <c r="C3755" s="1807" t="s">
        <v>1218</v>
      </c>
      <c r="D3755" s="1209">
        <f>$I$3742</f>
        <v>312.32</v>
      </c>
      <c r="E3755" s="1209">
        <f>$I$3743</f>
        <v>4981.1543666666666</v>
      </c>
      <c r="F3755" s="1209">
        <f>$I$3743</f>
        <v>4981.1543666666666</v>
      </c>
      <c r="G3755" s="1272"/>
      <c r="H3755" s="1298"/>
      <c r="I3755" s="1219"/>
      <c r="J3755" s="1817"/>
      <c r="K3755" s="1817"/>
      <c r="L3755" s="1817"/>
      <c r="M3755" s="1315"/>
      <c r="N3755" s="1315"/>
      <c r="O3755" s="1315"/>
      <c r="P3755" s="1315"/>
      <c r="Q3755" s="1315"/>
      <c r="R3755" s="1315"/>
      <c r="S3755" s="1315"/>
      <c r="T3755" s="1315"/>
      <c r="U3755" s="1315"/>
      <c r="V3755" s="1315"/>
      <c r="W3755" s="1315"/>
      <c r="X3755" s="1315"/>
      <c r="Y3755" s="1315"/>
      <c r="Z3755" s="1315"/>
      <c r="AA3755" s="1315"/>
      <c r="AB3755" s="1315"/>
      <c r="AC3755" s="1315"/>
      <c r="AD3755" s="1315"/>
      <c r="AE3755" s="1315"/>
      <c r="AF3755" s="1315"/>
      <c r="AG3755" s="1315"/>
      <c r="AH3755" s="1315"/>
      <c r="AI3755" s="1315"/>
      <c r="AJ3755" s="1315"/>
      <c r="AK3755" s="1315"/>
      <c r="AL3755" s="1315"/>
      <c r="AM3755" s="1315"/>
      <c r="AN3755" s="1315"/>
      <c r="AO3755" s="1315"/>
      <c r="AP3755" s="1315"/>
      <c r="AQ3755" s="1315"/>
      <c r="AR3755" s="1315"/>
      <c r="AS3755" s="1315"/>
      <c r="AT3755" s="1315"/>
      <c r="AU3755" s="1315"/>
      <c r="AV3755" s="1315"/>
      <c r="AW3755" s="1315"/>
      <c r="AX3755" s="1315"/>
      <c r="AY3755" s="1315"/>
      <c r="AZ3755" s="1315"/>
      <c r="BA3755" s="1315"/>
      <c r="BB3755" s="1315"/>
      <c r="BC3755" s="1315"/>
      <c r="BD3755" s="1315"/>
      <c r="BE3755" s="1315"/>
      <c r="BF3755" s="1315"/>
      <c r="BG3755" s="1315"/>
      <c r="BH3755" s="1315"/>
      <c r="BI3755" s="1315"/>
      <c r="BJ3755" s="1315"/>
      <c r="BK3755" s="1315"/>
      <c r="BL3755" s="1315"/>
    </row>
    <row r="3756" spans="1:64">
      <c r="A3756" s="1794"/>
      <c r="B3756" s="1798"/>
      <c r="C3756" s="1807" t="s">
        <v>1253</v>
      </c>
      <c r="D3756" s="1209">
        <f>ROUND(($F$3742)*60%,2)</f>
        <v>468.48</v>
      </c>
      <c r="E3756" s="1209">
        <f>ROUND(($F$3742)*70%,2)</f>
        <v>546.55999999999995</v>
      </c>
      <c r="F3756" s="1209">
        <f>ROUND(($F$3742)*80%,2)</f>
        <v>624.64</v>
      </c>
      <c r="G3756" s="1272"/>
      <c r="H3756" s="1298"/>
      <c r="I3756" s="1219"/>
      <c r="J3756" s="1817"/>
      <c r="K3756" s="1817"/>
      <c r="L3756" s="1817"/>
      <c r="M3756" s="1315"/>
      <c r="N3756" s="1315"/>
      <c r="O3756" s="1315"/>
      <c r="P3756" s="1315"/>
      <c r="Q3756" s="1315"/>
      <c r="R3756" s="1315"/>
      <c r="S3756" s="1315"/>
      <c r="T3756" s="1315"/>
      <c r="U3756" s="1315"/>
      <c r="V3756" s="1315"/>
      <c r="W3756" s="1315"/>
      <c r="X3756" s="1315"/>
      <c r="Y3756" s="1315"/>
      <c r="Z3756" s="1315"/>
      <c r="AA3756" s="1315"/>
      <c r="AB3756" s="1315"/>
      <c r="AC3756" s="1315"/>
      <c r="AD3756" s="1315"/>
      <c r="AE3756" s="1315"/>
      <c r="AF3756" s="1315"/>
      <c r="AG3756" s="1315"/>
      <c r="AH3756" s="1315"/>
      <c r="AI3756" s="1315"/>
      <c r="AJ3756" s="1315"/>
      <c r="AK3756" s="1315"/>
      <c r="AL3756" s="1315"/>
      <c r="AM3756" s="1315"/>
      <c r="AN3756" s="1315"/>
      <c r="AO3756" s="1315"/>
      <c r="AP3756" s="1315"/>
      <c r="AQ3756" s="1315"/>
      <c r="AR3756" s="1315"/>
      <c r="AS3756" s="1315"/>
      <c r="AT3756" s="1315"/>
      <c r="AU3756" s="1315"/>
      <c r="AV3756" s="1315"/>
      <c r="AW3756" s="1315"/>
      <c r="AX3756" s="1315"/>
      <c r="AY3756" s="1315"/>
      <c r="AZ3756" s="1315"/>
      <c r="BA3756" s="1315"/>
      <c r="BB3756" s="1315"/>
      <c r="BC3756" s="1315"/>
      <c r="BD3756" s="1315"/>
      <c r="BE3756" s="1315"/>
      <c r="BF3756" s="1315"/>
      <c r="BG3756" s="1315"/>
      <c r="BH3756" s="1315"/>
      <c r="BI3756" s="1315"/>
      <c r="BJ3756" s="1315"/>
      <c r="BK3756" s="1315"/>
      <c r="BL3756" s="1315"/>
    </row>
    <row r="3757" spans="1:64">
      <c r="A3757" s="1794"/>
      <c r="B3757" s="1798"/>
      <c r="C3757" s="1807" t="str">
        <f>Input!$C$47</f>
        <v>Add for MA @ 40%</v>
      </c>
      <c r="D3757" s="1209">
        <f>D3756*Input!$D$47</f>
        <v>187.39200000000002</v>
      </c>
      <c r="E3757" s="1209">
        <f>E3756*Input!$D$47</f>
        <v>218.624</v>
      </c>
      <c r="F3757" s="1209">
        <f>F3756*Input!$D$47</f>
        <v>249.85599999999999</v>
      </c>
      <c r="G3757" s="1272"/>
      <c r="H3757" s="1298"/>
      <c r="I3757" s="1219"/>
      <c r="J3757" s="1817"/>
      <c r="K3757" s="1817"/>
      <c r="L3757" s="1817"/>
      <c r="M3757" s="1315"/>
      <c r="N3757" s="1315"/>
      <c r="O3757" s="1315"/>
      <c r="P3757" s="1315"/>
      <c r="Q3757" s="1315"/>
      <c r="R3757" s="1315"/>
      <c r="S3757" s="1315"/>
      <c r="T3757" s="1315"/>
      <c r="U3757" s="1315"/>
      <c r="V3757" s="1315"/>
      <c r="W3757" s="1315"/>
      <c r="X3757" s="1315"/>
      <c r="Y3757" s="1315"/>
      <c r="Z3757" s="1315"/>
      <c r="AA3757" s="1315"/>
      <c r="AB3757" s="1315"/>
      <c r="AC3757" s="1315"/>
      <c r="AD3757" s="1315"/>
      <c r="AE3757" s="1315"/>
      <c r="AF3757" s="1315"/>
      <c r="AG3757" s="1315"/>
      <c r="AH3757" s="1315"/>
      <c r="AI3757" s="1315"/>
      <c r="AJ3757" s="1315"/>
      <c r="AK3757" s="1315"/>
      <c r="AL3757" s="1315"/>
      <c r="AM3757" s="1315"/>
      <c r="AN3757" s="1315"/>
      <c r="AO3757" s="1315"/>
      <c r="AP3757" s="1315"/>
      <c r="AQ3757" s="1315"/>
      <c r="AR3757" s="1315"/>
      <c r="AS3757" s="1315"/>
      <c r="AT3757" s="1315"/>
      <c r="AU3757" s="1315"/>
      <c r="AV3757" s="1315"/>
      <c r="AW3757" s="1315"/>
      <c r="AX3757" s="1315"/>
      <c r="AY3757" s="1315"/>
      <c r="AZ3757" s="1315"/>
      <c r="BA3757" s="1315"/>
      <c r="BB3757" s="1315"/>
      <c r="BC3757" s="1315"/>
      <c r="BD3757" s="1315"/>
      <c r="BE3757" s="1315"/>
      <c r="BF3757" s="1315"/>
      <c r="BG3757" s="1315"/>
      <c r="BH3757" s="1315"/>
      <c r="BI3757" s="1315"/>
      <c r="BJ3757" s="1315"/>
      <c r="BK3757" s="1315"/>
      <c r="BL3757" s="1315"/>
    </row>
    <row r="3758" spans="1:64">
      <c r="A3758" s="1794"/>
      <c r="B3758" s="1798"/>
      <c r="C3758" s="1795" t="s">
        <v>1032</v>
      </c>
      <c r="D3758" s="1209">
        <f>SUM(D3755:D3757)</f>
        <v>968.19200000000001</v>
      </c>
      <c r="E3758" s="1209">
        <f>SUM(E3755:E3757)</f>
        <v>5746.3383666666668</v>
      </c>
      <c r="F3758" s="1209">
        <f>SUM(F3755:F3757)</f>
        <v>5855.6503666666667</v>
      </c>
      <c r="G3758" s="1272"/>
      <c r="H3758" s="1298"/>
      <c r="I3758" s="1219"/>
      <c r="J3758" s="1817"/>
      <c r="K3758" s="1817"/>
      <c r="L3758" s="1817"/>
      <c r="M3758" s="1315"/>
      <c r="N3758" s="1315"/>
      <c r="O3758" s="1315"/>
      <c r="P3758" s="1315"/>
      <c r="Q3758" s="1315"/>
      <c r="R3758" s="1315"/>
      <c r="S3758" s="1315"/>
      <c r="T3758" s="1315"/>
      <c r="U3758" s="1315"/>
      <c r="V3758" s="1315"/>
      <c r="W3758" s="1315"/>
      <c r="X3758" s="1315"/>
      <c r="Y3758" s="1315"/>
      <c r="Z3758" s="1315"/>
      <c r="AA3758" s="1315"/>
      <c r="AB3758" s="1315"/>
      <c r="AC3758" s="1315"/>
      <c r="AD3758" s="1315"/>
      <c r="AE3758" s="1315"/>
      <c r="AF3758" s="1315"/>
      <c r="AG3758" s="1315"/>
      <c r="AH3758" s="1315"/>
      <c r="AI3758" s="1315"/>
      <c r="AJ3758" s="1315"/>
      <c r="AK3758" s="1315"/>
      <c r="AL3758" s="1315"/>
      <c r="AM3758" s="1315"/>
      <c r="AN3758" s="1315"/>
      <c r="AO3758" s="1315"/>
      <c r="AP3758" s="1315"/>
      <c r="AQ3758" s="1315"/>
      <c r="AR3758" s="1315"/>
      <c r="AS3758" s="1315"/>
      <c r="AT3758" s="1315"/>
      <c r="AU3758" s="1315"/>
      <c r="AV3758" s="1315"/>
      <c r="AW3758" s="1315"/>
      <c r="AX3758" s="1315"/>
      <c r="AY3758" s="1315"/>
      <c r="AZ3758" s="1315"/>
      <c r="BA3758" s="1315"/>
      <c r="BB3758" s="1315"/>
      <c r="BC3758" s="1315"/>
      <c r="BD3758" s="1315"/>
      <c r="BE3758" s="1315"/>
      <c r="BF3758" s="1315"/>
      <c r="BG3758" s="1315"/>
      <c r="BH3758" s="1315"/>
      <c r="BI3758" s="1315"/>
      <c r="BJ3758" s="1315"/>
      <c r="BK3758" s="1315"/>
      <c r="BL3758" s="1315"/>
    </row>
    <row r="3759" spans="1:64">
      <c r="A3759" s="1794"/>
      <c r="B3759" s="1798"/>
      <c r="C3759" s="1807" t="str">
        <f>Input!$C$48</f>
        <v>Overheads &amp; Contractors Profit @ 13.615%</v>
      </c>
      <c r="D3759" s="1209">
        <f>ROUND(D3758*Input!$D$48,2)</f>
        <v>131.82</v>
      </c>
      <c r="E3759" s="1209">
        <f>ROUND(E3758*Input!$D$48,2)</f>
        <v>782.36</v>
      </c>
      <c r="F3759" s="1209">
        <f>ROUND(F3758*Input!$D$48,2)</f>
        <v>797.25</v>
      </c>
      <c r="G3759" s="1272"/>
      <c r="H3759" s="1298"/>
      <c r="I3759" s="1219"/>
      <c r="J3759" s="1817"/>
      <c r="K3759" s="1817"/>
      <c r="L3759" s="1817"/>
      <c r="M3759" s="1315"/>
      <c r="N3759" s="1315"/>
      <c r="O3759" s="1315"/>
      <c r="P3759" s="1315"/>
      <c r="Q3759" s="1315"/>
      <c r="R3759" s="1315"/>
      <c r="S3759" s="1315"/>
      <c r="T3759" s="1315"/>
      <c r="U3759" s="1315"/>
      <c r="V3759" s="1315"/>
      <c r="W3759" s="1315"/>
      <c r="X3759" s="1315"/>
      <c r="Y3759" s="1315"/>
      <c r="Z3759" s="1315"/>
      <c r="AA3759" s="1315"/>
      <c r="AB3759" s="1315"/>
      <c r="AC3759" s="1315"/>
      <c r="AD3759" s="1315"/>
      <c r="AE3759" s="1315"/>
      <c r="AF3759" s="1315"/>
      <c r="AG3759" s="1315"/>
      <c r="AH3759" s="1315"/>
      <c r="AI3759" s="1315"/>
      <c r="AJ3759" s="1315"/>
      <c r="AK3759" s="1315"/>
      <c r="AL3759" s="1315"/>
      <c r="AM3759" s="1315"/>
      <c r="AN3759" s="1315"/>
      <c r="AO3759" s="1315"/>
      <c r="AP3759" s="1315"/>
      <c r="AQ3759" s="1315"/>
      <c r="AR3759" s="1315"/>
      <c r="AS3759" s="1315"/>
      <c r="AT3759" s="1315"/>
      <c r="AU3759" s="1315"/>
      <c r="AV3759" s="1315"/>
      <c r="AW3759" s="1315"/>
      <c r="AX3759" s="1315"/>
      <c r="AY3759" s="1315"/>
      <c r="AZ3759" s="1315"/>
      <c r="BA3759" s="1315"/>
      <c r="BB3759" s="1315"/>
      <c r="BC3759" s="1315"/>
      <c r="BD3759" s="1315"/>
      <c r="BE3759" s="1315"/>
      <c r="BF3759" s="1315"/>
      <c r="BG3759" s="1315"/>
      <c r="BH3759" s="1315"/>
      <c r="BI3759" s="1315"/>
      <c r="BJ3759" s="1315"/>
      <c r="BK3759" s="1315"/>
      <c r="BL3759" s="1315"/>
    </row>
    <row r="3760" spans="1:64">
      <c r="A3760" s="1794"/>
      <c r="B3760" s="1798"/>
      <c r="C3760" s="1795" t="s">
        <v>1032</v>
      </c>
      <c r="D3760" s="1209">
        <f>SUM(D3758:D3759)</f>
        <v>1100.0119999999999</v>
      </c>
      <c r="E3760" s="1209">
        <f>SUM(E3758:E3759)</f>
        <v>6528.6983666666665</v>
      </c>
      <c r="F3760" s="1209">
        <f>SUM(F3758:F3759)</f>
        <v>6652.9003666666667</v>
      </c>
      <c r="G3760" s="1272"/>
      <c r="H3760" s="1298"/>
      <c r="I3760" s="1219"/>
      <c r="J3760" s="1817"/>
      <c r="K3760" s="1817"/>
      <c r="L3760" s="1817"/>
      <c r="M3760" s="1315"/>
      <c r="N3760" s="1315"/>
      <c r="O3760" s="1315"/>
      <c r="P3760" s="1315"/>
      <c r="Q3760" s="1315"/>
      <c r="R3760" s="1315"/>
      <c r="S3760" s="1315"/>
      <c r="T3760" s="1315"/>
      <c r="U3760" s="1315"/>
      <c r="V3760" s="1315"/>
      <c r="W3760" s="1315"/>
      <c r="X3760" s="1315"/>
      <c r="Y3760" s="1315"/>
      <c r="Z3760" s="1315"/>
      <c r="AA3760" s="1315"/>
      <c r="AB3760" s="1315"/>
      <c r="AC3760" s="1315"/>
      <c r="AD3760" s="1315"/>
      <c r="AE3760" s="1315"/>
      <c r="AF3760" s="1315"/>
      <c r="AG3760" s="1315"/>
      <c r="AH3760" s="1315"/>
      <c r="AI3760" s="1315"/>
      <c r="AJ3760" s="1315"/>
      <c r="AK3760" s="1315"/>
      <c r="AL3760" s="1315"/>
      <c r="AM3760" s="1315"/>
      <c r="AN3760" s="1315"/>
      <c r="AO3760" s="1315"/>
      <c r="AP3760" s="1315"/>
      <c r="AQ3760" s="1315"/>
      <c r="AR3760" s="1315"/>
      <c r="AS3760" s="1315"/>
      <c r="AT3760" s="1315"/>
      <c r="AU3760" s="1315"/>
      <c r="AV3760" s="1315"/>
      <c r="AW3760" s="1315"/>
      <c r="AX3760" s="1315"/>
      <c r="AY3760" s="1315"/>
      <c r="AZ3760" s="1315"/>
      <c r="BA3760" s="1315"/>
      <c r="BB3760" s="1315"/>
      <c r="BC3760" s="1315"/>
      <c r="BD3760" s="1315"/>
      <c r="BE3760" s="1315"/>
      <c r="BF3760" s="1315"/>
      <c r="BG3760" s="1315"/>
      <c r="BH3760" s="1315"/>
      <c r="BI3760" s="1315"/>
      <c r="BJ3760" s="1315"/>
      <c r="BK3760" s="1315"/>
      <c r="BL3760" s="1315"/>
    </row>
    <row r="3761" spans="1:64">
      <c r="A3761" s="1794"/>
      <c r="B3761" s="1798"/>
      <c r="C3761" s="1224" t="s">
        <v>1034</v>
      </c>
      <c r="D3761" s="1225">
        <f>ROUND(D3760,0)</f>
        <v>1100</v>
      </c>
      <c r="E3761" s="1225">
        <f>ROUND(E3760,0)</f>
        <v>6529</v>
      </c>
      <c r="F3761" s="1225">
        <f>ROUND(F3760,0)</f>
        <v>6653</v>
      </c>
      <c r="G3761" s="1272"/>
      <c r="H3761" s="1298"/>
      <c r="I3761" s="1219"/>
      <c r="J3761" s="1817"/>
      <c r="K3761" s="1817"/>
      <c r="L3761" s="1817"/>
      <c r="M3761" s="1315"/>
      <c r="N3761" s="1315"/>
      <c r="O3761" s="1315"/>
      <c r="P3761" s="1315"/>
      <c r="Q3761" s="1315"/>
      <c r="R3761" s="1315"/>
      <c r="S3761" s="1315"/>
      <c r="T3761" s="1315"/>
      <c r="U3761" s="1315"/>
      <c r="V3761" s="1315"/>
      <c r="W3761" s="1315"/>
      <c r="X3761" s="1315"/>
      <c r="Y3761" s="1315"/>
      <c r="Z3761" s="1315"/>
      <c r="AA3761" s="1315"/>
      <c r="AB3761" s="1315"/>
      <c r="AC3761" s="1315"/>
      <c r="AD3761" s="1315"/>
      <c r="AE3761" s="1315"/>
      <c r="AF3761" s="1315"/>
      <c r="AG3761" s="1315"/>
      <c r="AH3761" s="1315"/>
      <c r="AI3761" s="1315"/>
      <c r="AJ3761" s="1315"/>
      <c r="AK3761" s="1315"/>
      <c r="AL3761" s="1315"/>
      <c r="AM3761" s="1315"/>
      <c r="AN3761" s="1315"/>
      <c r="AO3761" s="1315"/>
      <c r="AP3761" s="1315"/>
      <c r="AQ3761" s="1315"/>
      <c r="AR3761" s="1315"/>
      <c r="AS3761" s="1315"/>
      <c r="AT3761" s="1315"/>
      <c r="AU3761" s="1315"/>
      <c r="AV3761" s="1315"/>
      <c r="AW3761" s="1315"/>
      <c r="AX3761" s="1315"/>
      <c r="AY3761" s="1315"/>
      <c r="AZ3761" s="1315"/>
      <c r="BA3761" s="1315"/>
      <c r="BB3761" s="1315"/>
      <c r="BC3761" s="1315"/>
      <c r="BD3761" s="1315"/>
      <c r="BE3761" s="1315"/>
      <c r="BF3761" s="1315"/>
      <c r="BG3761" s="1315"/>
      <c r="BH3761" s="1315"/>
      <c r="BI3761" s="1315"/>
      <c r="BJ3761" s="1315"/>
      <c r="BK3761" s="1315"/>
      <c r="BL3761" s="1315"/>
    </row>
    <row r="3762" spans="1:64">
      <c r="A3762" s="1794"/>
      <c r="B3762" s="1798"/>
      <c r="C3762" s="1807"/>
      <c r="D3762" s="1228"/>
      <c r="E3762" s="1297"/>
      <c r="F3762" s="1223"/>
      <c r="G3762" s="1272"/>
      <c r="H3762" s="1298"/>
      <c r="I3762" s="1219"/>
      <c r="J3762" s="1817"/>
      <c r="K3762" s="1817"/>
      <c r="L3762" s="1817"/>
      <c r="M3762" s="1315"/>
      <c r="N3762" s="1315"/>
      <c r="O3762" s="1315"/>
      <c r="P3762" s="1315"/>
      <c r="Q3762" s="1315"/>
      <c r="R3762" s="1315"/>
      <c r="S3762" s="1315"/>
      <c r="T3762" s="1315"/>
      <c r="U3762" s="1315"/>
      <c r="V3762" s="1315"/>
      <c r="W3762" s="1315"/>
      <c r="X3762" s="1315"/>
      <c r="Y3762" s="1315"/>
      <c r="Z3762" s="1315"/>
      <c r="AA3762" s="1315"/>
      <c r="AB3762" s="1315"/>
      <c r="AC3762" s="1315"/>
      <c r="AD3762" s="1315"/>
      <c r="AE3762" s="1315"/>
      <c r="AF3762" s="1315"/>
      <c r="AG3762" s="1315"/>
      <c r="AH3762" s="1315"/>
      <c r="AI3762" s="1315"/>
      <c r="AJ3762" s="1315"/>
      <c r="AK3762" s="1315"/>
      <c r="AL3762" s="1315"/>
      <c r="AM3762" s="1315"/>
      <c r="AN3762" s="1315"/>
      <c r="AO3762" s="1315"/>
      <c r="AP3762" s="1315"/>
      <c r="AQ3762" s="1315"/>
      <c r="AR3762" s="1315"/>
      <c r="AS3762" s="1315"/>
      <c r="AT3762" s="1315"/>
      <c r="AU3762" s="1315"/>
      <c r="AV3762" s="1315"/>
      <c r="AW3762" s="1315"/>
      <c r="AX3762" s="1315"/>
      <c r="AY3762" s="1315"/>
      <c r="AZ3762" s="1315"/>
      <c r="BA3762" s="1315"/>
      <c r="BB3762" s="1315"/>
      <c r="BC3762" s="1315"/>
      <c r="BD3762" s="1315"/>
      <c r="BE3762" s="1315"/>
      <c r="BF3762" s="1315"/>
      <c r="BG3762" s="1315"/>
      <c r="BH3762" s="1315"/>
      <c r="BI3762" s="1315"/>
      <c r="BJ3762" s="1315"/>
      <c r="BK3762" s="1315"/>
      <c r="BL3762" s="1315"/>
    </row>
    <row r="3763" spans="1:64" ht="81.400000000000006" customHeight="1">
      <c r="A3763" s="2005">
        <f>A3727+1</f>
        <v>44</v>
      </c>
      <c r="B3763" s="2005"/>
      <c r="C3763" s="2006" t="s">
        <v>3448</v>
      </c>
      <c r="D3763" s="2006"/>
      <c r="E3763" s="2006"/>
      <c r="F3763" s="2006"/>
      <c r="G3763" s="2006"/>
      <c r="H3763" s="2006"/>
      <c r="I3763" s="1814"/>
      <c r="J3763" s="1817"/>
      <c r="K3763" s="1817"/>
      <c r="L3763" s="1817"/>
      <c r="M3763" s="1315"/>
      <c r="N3763" s="1315"/>
      <c r="O3763" s="1315"/>
      <c r="P3763" s="1315"/>
      <c r="Q3763" s="1315"/>
      <c r="R3763" s="1315"/>
      <c r="S3763" s="1315"/>
      <c r="T3763" s="1315"/>
      <c r="U3763" s="1315"/>
      <c r="V3763" s="1315"/>
      <c r="W3763" s="1315"/>
      <c r="X3763" s="1315"/>
      <c r="Y3763" s="1315"/>
      <c r="Z3763" s="1315"/>
      <c r="AA3763" s="1315"/>
      <c r="AB3763" s="1315"/>
      <c r="AC3763" s="1315"/>
      <c r="AD3763" s="1315"/>
      <c r="AE3763" s="1315"/>
      <c r="AF3763" s="1315"/>
      <c r="AG3763" s="1315"/>
      <c r="AH3763" s="1315"/>
      <c r="AI3763" s="1315"/>
      <c r="AJ3763" s="1315"/>
      <c r="AK3763" s="1315"/>
      <c r="AL3763" s="1315"/>
      <c r="AM3763" s="1315"/>
      <c r="AN3763" s="1315"/>
      <c r="AO3763" s="1315"/>
      <c r="AP3763" s="1315"/>
      <c r="AQ3763" s="1315"/>
      <c r="AR3763" s="1315"/>
      <c r="AS3763" s="1315"/>
      <c r="AT3763" s="1315"/>
      <c r="AU3763" s="1315"/>
      <c r="AV3763" s="1315"/>
      <c r="AW3763" s="1315"/>
      <c r="AX3763" s="1315"/>
      <c r="AY3763" s="1315"/>
      <c r="AZ3763" s="1315"/>
      <c r="BA3763" s="1315"/>
      <c r="BB3763" s="1315"/>
      <c r="BC3763" s="1315"/>
      <c r="BD3763" s="1315"/>
      <c r="BE3763" s="1315"/>
      <c r="BF3763" s="1315"/>
      <c r="BG3763" s="1315"/>
      <c r="BH3763" s="1315"/>
      <c r="BI3763" s="1315"/>
      <c r="BJ3763" s="1315"/>
      <c r="BK3763" s="1315"/>
      <c r="BL3763" s="1315"/>
    </row>
    <row r="3764" spans="1:64">
      <c r="A3764" s="1794"/>
      <c r="B3764" s="1798"/>
      <c r="C3764" s="1795" t="s">
        <v>1496</v>
      </c>
      <c r="D3764" s="1199"/>
      <c r="E3764" s="1199"/>
      <c r="F3764" s="1201"/>
      <c r="G3764" s="1325"/>
      <c r="H3764" s="1199"/>
      <c r="I3764" s="1205"/>
      <c r="J3764" s="1817"/>
      <c r="K3764" s="1817"/>
      <c r="L3764" s="1817"/>
      <c r="M3764" s="1315"/>
      <c r="N3764" s="1315"/>
      <c r="O3764" s="1315"/>
      <c r="P3764" s="1315"/>
      <c r="Q3764" s="1315"/>
      <c r="R3764" s="1315"/>
      <c r="S3764" s="1315"/>
      <c r="T3764" s="1315"/>
      <c r="U3764" s="1315"/>
      <c r="V3764" s="1315"/>
      <c r="W3764" s="1315"/>
      <c r="X3764" s="1315"/>
      <c r="Y3764" s="1315"/>
      <c r="Z3764" s="1315"/>
      <c r="AA3764" s="1315"/>
      <c r="AB3764" s="1315"/>
      <c r="AC3764" s="1315"/>
      <c r="AD3764" s="1315"/>
      <c r="AE3764" s="1315"/>
      <c r="AF3764" s="1315"/>
      <c r="AG3764" s="1315"/>
      <c r="AH3764" s="1315"/>
      <c r="AI3764" s="1315"/>
      <c r="AJ3764" s="1315"/>
      <c r="AK3764" s="1315"/>
      <c r="AL3764" s="1315"/>
      <c r="AM3764" s="1315"/>
      <c r="AN3764" s="1315"/>
      <c r="AO3764" s="1315"/>
      <c r="AP3764" s="1315"/>
      <c r="AQ3764" s="1315"/>
      <c r="AR3764" s="1315"/>
      <c r="AS3764" s="1315"/>
      <c r="AT3764" s="1315"/>
      <c r="AU3764" s="1315"/>
      <c r="AV3764" s="1315"/>
      <c r="AW3764" s="1315"/>
      <c r="AX3764" s="1315"/>
      <c r="AY3764" s="1315"/>
      <c r="AZ3764" s="1315"/>
      <c r="BA3764" s="1315"/>
      <c r="BB3764" s="1315"/>
      <c r="BC3764" s="1315"/>
      <c r="BD3764" s="1315"/>
      <c r="BE3764" s="1315"/>
      <c r="BF3764" s="1315"/>
      <c r="BG3764" s="1315"/>
      <c r="BH3764" s="1315"/>
      <c r="BI3764" s="1315"/>
      <c r="BJ3764" s="1315"/>
      <c r="BK3764" s="1315"/>
      <c r="BL3764" s="1315"/>
    </row>
    <row r="3765" spans="1:64">
      <c r="A3765" s="1794"/>
      <c r="B3765" s="1798"/>
      <c r="C3765" s="1807" t="s">
        <v>1493</v>
      </c>
      <c r="D3765" s="1199"/>
      <c r="E3765" s="1199"/>
      <c r="F3765" s="1201"/>
      <c r="G3765" s="1325"/>
      <c r="H3765" s="1199"/>
      <c r="I3765" s="1205"/>
      <c r="J3765" s="1817"/>
      <c r="K3765" s="1817"/>
      <c r="L3765" s="1817"/>
      <c r="M3765" s="1315"/>
      <c r="N3765" s="1315"/>
      <c r="O3765" s="1315"/>
      <c r="P3765" s="1315"/>
      <c r="Q3765" s="1315"/>
      <c r="R3765" s="1315"/>
      <c r="S3765" s="1315"/>
      <c r="T3765" s="1315"/>
      <c r="U3765" s="1315"/>
      <c r="V3765" s="1315"/>
      <c r="W3765" s="1315"/>
      <c r="X3765" s="1315"/>
      <c r="Y3765" s="1315"/>
      <c r="Z3765" s="1315"/>
      <c r="AA3765" s="1315"/>
      <c r="AB3765" s="1315"/>
      <c r="AC3765" s="1315"/>
      <c r="AD3765" s="1315"/>
      <c r="AE3765" s="1315"/>
      <c r="AF3765" s="1315"/>
      <c r="AG3765" s="1315"/>
      <c r="AH3765" s="1315"/>
      <c r="AI3765" s="1315"/>
      <c r="AJ3765" s="1315"/>
      <c r="AK3765" s="1315"/>
      <c r="AL3765" s="1315"/>
      <c r="AM3765" s="1315"/>
      <c r="AN3765" s="1315"/>
      <c r="AO3765" s="1315"/>
      <c r="AP3765" s="1315"/>
      <c r="AQ3765" s="1315"/>
      <c r="AR3765" s="1315"/>
      <c r="AS3765" s="1315"/>
      <c r="AT3765" s="1315"/>
      <c r="AU3765" s="1315"/>
      <c r="AV3765" s="1315"/>
      <c r="AW3765" s="1315"/>
      <c r="AX3765" s="1315"/>
      <c r="AY3765" s="1315"/>
      <c r="AZ3765" s="1315"/>
      <c r="BA3765" s="1315"/>
      <c r="BB3765" s="1315"/>
      <c r="BC3765" s="1315"/>
      <c r="BD3765" s="1315"/>
      <c r="BE3765" s="1315"/>
      <c r="BF3765" s="1315"/>
      <c r="BG3765" s="1315"/>
      <c r="BH3765" s="1315"/>
      <c r="BI3765" s="1315"/>
      <c r="BJ3765" s="1315"/>
      <c r="BK3765" s="1315"/>
      <c r="BL3765" s="1315"/>
    </row>
    <row r="3766" spans="1:64">
      <c r="A3766" s="1794"/>
      <c r="B3766" s="1798"/>
      <c r="C3766" s="1326" t="s">
        <v>1139</v>
      </c>
      <c r="D3766" s="1199"/>
      <c r="E3766" s="1199"/>
      <c r="F3766" s="1201"/>
      <c r="G3766" s="1325"/>
      <c r="H3766" s="1199"/>
      <c r="I3766" s="1205"/>
      <c r="J3766" s="1817"/>
      <c r="K3766" s="1817"/>
      <c r="L3766" s="1817"/>
      <c r="M3766" s="1315"/>
      <c r="N3766" s="1315"/>
      <c r="O3766" s="1315"/>
      <c r="P3766" s="1315"/>
      <c r="Q3766" s="1315"/>
      <c r="R3766" s="1315"/>
      <c r="S3766" s="1315"/>
      <c r="T3766" s="1315"/>
      <c r="U3766" s="1315"/>
      <c r="V3766" s="1315"/>
      <c r="W3766" s="1315"/>
      <c r="X3766" s="1315"/>
      <c r="Y3766" s="1315"/>
      <c r="Z3766" s="1315"/>
      <c r="AA3766" s="1315"/>
      <c r="AB3766" s="1315"/>
      <c r="AC3766" s="1315"/>
      <c r="AD3766" s="1315"/>
      <c r="AE3766" s="1315"/>
      <c r="AF3766" s="1315"/>
      <c r="AG3766" s="1315"/>
      <c r="AH3766" s="1315"/>
      <c r="AI3766" s="1315"/>
      <c r="AJ3766" s="1315"/>
      <c r="AK3766" s="1315"/>
      <c r="AL3766" s="1315"/>
      <c r="AM3766" s="1315"/>
      <c r="AN3766" s="1315"/>
      <c r="AO3766" s="1315"/>
      <c r="AP3766" s="1315"/>
      <c r="AQ3766" s="1315"/>
      <c r="AR3766" s="1315"/>
      <c r="AS3766" s="1315"/>
      <c r="AT3766" s="1315"/>
      <c r="AU3766" s="1315"/>
      <c r="AV3766" s="1315"/>
      <c r="AW3766" s="1315"/>
      <c r="AX3766" s="1315"/>
      <c r="AY3766" s="1315"/>
      <c r="AZ3766" s="1315"/>
      <c r="BA3766" s="1315"/>
      <c r="BB3766" s="1315"/>
      <c r="BC3766" s="1315"/>
      <c r="BD3766" s="1315"/>
      <c r="BE3766" s="1315"/>
      <c r="BF3766" s="1315"/>
      <c r="BG3766" s="1315"/>
      <c r="BH3766" s="1315"/>
      <c r="BI3766" s="1315"/>
      <c r="BJ3766" s="1315"/>
      <c r="BK3766" s="1315"/>
      <c r="BL3766" s="1315"/>
    </row>
    <row r="3767" spans="1:64">
      <c r="A3767" s="1794"/>
      <c r="B3767" s="1798"/>
      <c r="C3767" s="1202" t="s">
        <v>889</v>
      </c>
      <c r="D3767" s="1203">
        <v>129.6</v>
      </c>
      <c r="E3767" s="1199" t="s">
        <v>1110</v>
      </c>
      <c r="F3767" s="1201">
        <f>LEAD!$N$6</f>
        <v>5200</v>
      </c>
      <c r="G3767" s="1204">
        <v>1000</v>
      </c>
      <c r="H3767" s="1199" t="s">
        <v>1110</v>
      </c>
      <c r="I3767" s="1205">
        <f t="shared" ref="I3767:I3769" si="877">IF(G3767="",D3767*F3767,(D3767*F3767/G3767))</f>
        <v>673.92</v>
      </c>
      <c r="J3767" s="1817"/>
      <c r="K3767" s="1817"/>
      <c r="L3767" s="1817"/>
      <c r="M3767" s="1315"/>
      <c r="N3767" s="1315"/>
      <c r="O3767" s="1315"/>
      <c r="P3767" s="1315"/>
      <c r="Q3767" s="1315"/>
      <c r="R3767" s="1315"/>
      <c r="S3767" s="1315"/>
      <c r="T3767" s="1315"/>
      <c r="U3767" s="1315"/>
      <c r="V3767" s="1315"/>
      <c r="W3767" s="1315"/>
      <c r="X3767" s="1315"/>
      <c r="Y3767" s="1315"/>
      <c r="Z3767" s="1315"/>
      <c r="AA3767" s="1315"/>
      <c r="AB3767" s="1315"/>
      <c r="AC3767" s="1315"/>
      <c r="AD3767" s="1315"/>
      <c r="AE3767" s="1315"/>
      <c r="AF3767" s="1315"/>
      <c r="AG3767" s="1315"/>
      <c r="AH3767" s="1315"/>
      <c r="AI3767" s="1315"/>
      <c r="AJ3767" s="1315"/>
      <c r="AK3767" s="1315"/>
      <c r="AL3767" s="1315"/>
      <c r="AM3767" s="1315"/>
      <c r="AN3767" s="1315"/>
      <c r="AO3767" s="1315"/>
      <c r="AP3767" s="1315"/>
      <c r="AQ3767" s="1315"/>
      <c r="AR3767" s="1315"/>
      <c r="AS3767" s="1315"/>
      <c r="AT3767" s="1315"/>
      <c r="AU3767" s="1315"/>
      <c r="AV3767" s="1315"/>
      <c r="AW3767" s="1315"/>
      <c r="AX3767" s="1315"/>
      <c r="AY3767" s="1315"/>
      <c r="AZ3767" s="1315"/>
      <c r="BA3767" s="1315"/>
      <c r="BB3767" s="1315"/>
      <c r="BC3767" s="1315"/>
      <c r="BD3767" s="1315"/>
      <c r="BE3767" s="1315"/>
      <c r="BF3767" s="1315"/>
      <c r="BG3767" s="1315"/>
      <c r="BH3767" s="1315"/>
      <c r="BI3767" s="1315"/>
      <c r="BJ3767" s="1315"/>
      <c r="BK3767" s="1315"/>
      <c r="BL3767" s="1315"/>
    </row>
    <row r="3768" spans="1:64">
      <c r="A3768" s="1794"/>
      <c r="B3768" s="1798"/>
      <c r="C3768" s="1202" t="s">
        <v>1497</v>
      </c>
      <c r="D3768" s="1203">
        <v>0.9</v>
      </c>
      <c r="E3768" s="1199" t="s">
        <v>484</v>
      </c>
      <c r="F3768" s="1201">
        <f>LEAD!$N$18</f>
        <v>1310.96</v>
      </c>
      <c r="G3768" s="1204">
        <v>1</v>
      </c>
      <c r="H3768" s="1199" t="s">
        <v>484</v>
      </c>
      <c r="I3768" s="1205">
        <f t="shared" si="877"/>
        <v>1179.864</v>
      </c>
      <c r="J3768" s="1817"/>
      <c r="K3768" s="1817"/>
      <c r="L3768" s="1817"/>
      <c r="M3768" s="1315"/>
      <c r="N3768" s="1315"/>
      <c r="O3768" s="1315"/>
      <c r="P3768" s="1315"/>
      <c r="Q3768" s="1315"/>
      <c r="R3768" s="1315"/>
      <c r="S3768" s="1315"/>
      <c r="T3768" s="1315"/>
      <c r="U3768" s="1315"/>
      <c r="V3768" s="1315"/>
      <c r="W3768" s="1315"/>
      <c r="X3768" s="1315"/>
      <c r="Y3768" s="1315"/>
      <c r="Z3768" s="1315"/>
      <c r="AA3768" s="1315"/>
      <c r="AB3768" s="1315"/>
      <c r="AC3768" s="1315"/>
      <c r="AD3768" s="1315"/>
      <c r="AE3768" s="1315"/>
      <c r="AF3768" s="1315"/>
      <c r="AG3768" s="1315"/>
      <c r="AH3768" s="1315"/>
      <c r="AI3768" s="1315"/>
      <c r="AJ3768" s="1315"/>
      <c r="AK3768" s="1315"/>
      <c r="AL3768" s="1315"/>
      <c r="AM3768" s="1315"/>
      <c r="AN3768" s="1315"/>
      <c r="AO3768" s="1315"/>
      <c r="AP3768" s="1315"/>
      <c r="AQ3768" s="1315"/>
      <c r="AR3768" s="1315"/>
      <c r="AS3768" s="1315"/>
      <c r="AT3768" s="1315"/>
      <c r="AU3768" s="1315"/>
      <c r="AV3768" s="1315"/>
      <c r="AW3768" s="1315"/>
      <c r="AX3768" s="1315"/>
      <c r="AY3768" s="1315"/>
      <c r="AZ3768" s="1315"/>
      <c r="BA3768" s="1315"/>
      <c r="BB3768" s="1315"/>
      <c r="BC3768" s="1315"/>
      <c r="BD3768" s="1315"/>
      <c r="BE3768" s="1315"/>
      <c r="BF3768" s="1315"/>
      <c r="BG3768" s="1315"/>
      <c r="BH3768" s="1315"/>
      <c r="BI3768" s="1315"/>
      <c r="BJ3768" s="1315"/>
      <c r="BK3768" s="1315"/>
      <c r="BL3768" s="1315"/>
    </row>
    <row r="3769" spans="1:64">
      <c r="A3769" s="1794"/>
      <c r="B3769" s="1798"/>
      <c r="C3769" s="1202" t="s">
        <v>1163</v>
      </c>
      <c r="D3769" s="1203">
        <v>0.45</v>
      </c>
      <c r="E3769" s="1199" t="s">
        <v>484</v>
      </c>
      <c r="F3769" s="1201">
        <f>LEAD!$N$12</f>
        <v>2253.91</v>
      </c>
      <c r="G3769" s="1204">
        <v>1</v>
      </c>
      <c r="H3769" s="1199" t="s">
        <v>484</v>
      </c>
      <c r="I3769" s="1205">
        <f t="shared" si="877"/>
        <v>1014.2595</v>
      </c>
      <c r="J3769" s="1817"/>
      <c r="K3769" s="1817"/>
      <c r="L3769" s="1817"/>
      <c r="M3769" s="1315"/>
      <c r="N3769" s="1315"/>
      <c r="O3769" s="1315"/>
      <c r="P3769" s="1315"/>
      <c r="Q3769" s="1315"/>
      <c r="R3769" s="1315"/>
      <c r="S3769" s="1315"/>
      <c r="T3769" s="1315"/>
      <c r="U3769" s="1315"/>
      <c r="V3769" s="1315"/>
      <c r="W3769" s="1315"/>
      <c r="X3769" s="1315"/>
      <c r="Y3769" s="1315"/>
      <c r="Z3769" s="1315"/>
      <c r="AA3769" s="1315"/>
      <c r="AB3769" s="1315"/>
      <c r="AC3769" s="1315"/>
      <c r="AD3769" s="1315"/>
      <c r="AE3769" s="1315"/>
      <c r="AF3769" s="1315"/>
      <c r="AG3769" s="1315"/>
      <c r="AH3769" s="1315"/>
      <c r="AI3769" s="1315"/>
      <c r="AJ3769" s="1315"/>
      <c r="AK3769" s="1315"/>
      <c r="AL3769" s="1315"/>
      <c r="AM3769" s="1315"/>
      <c r="AN3769" s="1315"/>
      <c r="AO3769" s="1315"/>
      <c r="AP3769" s="1315"/>
      <c r="AQ3769" s="1315"/>
      <c r="AR3769" s="1315"/>
      <c r="AS3769" s="1315"/>
      <c r="AT3769" s="1315"/>
      <c r="AU3769" s="1315"/>
      <c r="AV3769" s="1315"/>
      <c r="AW3769" s="1315"/>
      <c r="AX3769" s="1315"/>
      <c r="AY3769" s="1315"/>
      <c r="AZ3769" s="1315"/>
      <c r="BA3769" s="1315"/>
      <c r="BB3769" s="1315"/>
      <c r="BC3769" s="1315"/>
      <c r="BD3769" s="1315"/>
      <c r="BE3769" s="1315"/>
      <c r="BF3769" s="1315"/>
      <c r="BG3769" s="1315"/>
      <c r="BH3769" s="1315"/>
      <c r="BI3769" s="1315"/>
      <c r="BJ3769" s="1315"/>
      <c r="BK3769" s="1315"/>
      <c r="BL3769" s="1315"/>
    </row>
    <row r="3770" spans="1:64">
      <c r="A3770" s="1794"/>
      <c r="B3770" s="1798"/>
      <c r="C3770" s="1814" t="s">
        <v>1172</v>
      </c>
      <c r="D3770" s="1199"/>
      <c r="E3770" s="1199"/>
      <c r="F3770" s="1200"/>
      <c r="G3770" s="1199"/>
      <c r="H3770" s="1199"/>
      <c r="I3770" s="1201"/>
      <c r="J3770" s="1817"/>
      <c r="K3770" s="1817"/>
      <c r="L3770" s="1817"/>
      <c r="M3770" s="1315"/>
      <c r="N3770" s="1315"/>
      <c r="O3770" s="1315"/>
      <c r="P3770" s="1315"/>
      <c r="Q3770" s="1315"/>
      <c r="R3770" s="1315"/>
      <c r="S3770" s="1315"/>
      <c r="T3770" s="1315"/>
      <c r="U3770" s="1315"/>
      <c r="V3770" s="1315"/>
      <c r="W3770" s="1315"/>
      <c r="X3770" s="1315"/>
      <c r="Y3770" s="1315"/>
      <c r="Z3770" s="1315"/>
      <c r="AA3770" s="1315"/>
      <c r="AB3770" s="1315"/>
      <c r="AC3770" s="1315"/>
      <c r="AD3770" s="1315"/>
      <c r="AE3770" s="1315"/>
      <c r="AF3770" s="1315"/>
      <c r="AG3770" s="1315"/>
      <c r="AH3770" s="1315"/>
      <c r="AI3770" s="1315"/>
      <c r="AJ3770" s="1315"/>
      <c r="AK3770" s="1315"/>
      <c r="AL3770" s="1315"/>
      <c r="AM3770" s="1315"/>
      <c r="AN3770" s="1315"/>
      <c r="AO3770" s="1315"/>
      <c r="AP3770" s="1315"/>
      <c r="AQ3770" s="1315"/>
      <c r="AR3770" s="1315"/>
      <c r="AS3770" s="1315"/>
      <c r="AT3770" s="1315"/>
      <c r="AU3770" s="1315"/>
      <c r="AV3770" s="1315"/>
      <c r="AW3770" s="1315"/>
      <c r="AX3770" s="1315"/>
      <c r="AY3770" s="1315"/>
      <c r="AZ3770" s="1315"/>
      <c r="BA3770" s="1315"/>
      <c r="BB3770" s="1315"/>
      <c r="BC3770" s="1315"/>
      <c r="BD3770" s="1315"/>
      <c r="BE3770" s="1315"/>
      <c r="BF3770" s="1315"/>
      <c r="BG3770" s="1315"/>
      <c r="BH3770" s="1315"/>
      <c r="BI3770" s="1315"/>
      <c r="BJ3770" s="1315"/>
      <c r="BK3770" s="1315"/>
      <c r="BL3770" s="1315"/>
    </row>
    <row r="3771" spans="1:64">
      <c r="A3771" s="1794"/>
      <c r="B3771" s="1798"/>
      <c r="C3771" s="1202" t="s">
        <v>1173</v>
      </c>
      <c r="D3771" s="1327">
        <v>0.16700000000000001</v>
      </c>
      <c r="E3771" s="1199" t="s">
        <v>955</v>
      </c>
      <c r="F3771" s="1201">
        <f>'Civil-SOR'!$G$293</f>
        <v>580</v>
      </c>
      <c r="G3771" s="1204">
        <v>1</v>
      </c>
      <c r="H3771" s="1199" t="s">
        <v>501</v>
      </c>
      <c r="I3771" s="1205">
        <f t="shared" ref="I3771:I3773" si="878">IF(G3771="",D3771*F3771,(D3771*F3771/G3771))</f>
        <v>96.86</v>
      </c>
      <c r="J3771" s="1817"/>
      <c r="K3771" s="1817"/>
      <c r="L3771" s="1817"/>
      <c r="M3771" s="1315"/>
      <c r="N3771" s="1315"/>
      <c r="O3771" s="1315"/>
      <c r="P3771" s="1315"/>
      <c r="Q3771" s="1315"/>
      <c r="R3771" s="1315"/>
      <c r="S3771" s="1315"/>
      <c r="T3771" s="1315"/>
      <c r="U3771" s="1315"/>
      <c r="V3771" s="1315"/>
      <c r="W3771" s="1315"/>
      <c r="X3771" s="1315"/>
      <c r="Y3771" s="1315"/>
      <c r="Z3771" s="1315"/>
      <c r="AA3771" s="1315"/>
      <c r="AB3771" s="1315"/>
      <c r="AC3771" s="1315"/>
      <c r="AD3771" s="1315"/>
      <c r="AE3771" s="1315"/>
      <c r="AF3771" s="1315"/>
      <c r="AG3771" s="1315"/>
      <c r="AH3771" s="1315"/>
      <c r="AI3771" s="1315"/>
      <c r="AJ3771" s="1315"/>
      <c r="AK3771" s="1315"/>
      <c r="AL3771" s="1315"/>
      <c r="AM3771" s="1315"/>
      <c r="AN3771" s="1315"/>
      <c r="AO3771" s="1315"/>
      <c r="AP3771" s="1315"/>
      <c r="AQ3771" s="1315"/>
      <c r="AR3771" s="1315"/>
      <c r="AS3771" s="1315"/>
      <c r="AT3771" s="1315"/>
      <c r="AU3771" s="1315"/>
      <c r="AV3771" s="1315"/>
      <c r="AW3771" s="1315"/>
      <c r="AX3771" s="1315"/>
      <c r="AY3771" s="1315"/>
      <c r="AZ3771" s="1315"/>
      <c r="BA3771" s="1315"/>
      <c r="BB3771" s="1315"/>
      <c r="BC3771" s="1315"/>
      <c r="BD3771" s="1315"/>
      <c r="BE3771" s="1315"/>
      <c r="BF3771" s="1315"/>
      <c r="BG3771" s="1315"/>
      <c r="BH3771" s="1315"/>
      <c r="BI3771" s="1315"/>
      <c r="BJ3771" s="1315"/>
      <c r="BK3771" s="1315"/>
      <c r="BL3771" s="1315"/>
    </row>
    <row r="3772" spans="1:64">
      <c r="A3772" s="1794"/>
      <c r="B3772" s="1798"/>
      <c r="C3772" s="1202" t="s">
        <v>1174</v>
      </c>
      <c r="D3772" s="1327">
        <v>0.16700000000000001</v>
      </c>
      <c r="E3772" s="1199" t="s">
        <v>955</v>
      </c>
      <c r="F3772" s="1201">
        <f>'Civil-SOR'!$G$302</f>
        <v>550</v>
      </c>
      <c r="G3772" s="1204">
        <v>1</v>
      </c>
      <c r="H3772" s="1199" t="s">
        <v>501</v>
      </c>
      <c r="I3772" s="1205">
        <f t="shared" si="878"/>
        <v>91.850000000000009</v>
      </c>
      <c r="J3772" s="1817"/>
      <c r="K3772" s="1817"/>
      <c r="L3772" s="1817"/>
      <c r="M3772" s="1315"/>
      <c r="N3772" s="1315"/>
      <c r="O3772" s="1315"/>
      <c r="P3772" s="1315"/>
      <c r="Q3772" s="1315"/>
      <c r="R3772" s="1315"/>
      <c r="S3772" s="1315"/>
      <c r="T3772" s="1315"/>
      <c r="U3772" s="1315"/>
      <c r="V3772" s="1315"/>
      <c r="W3772" s="1315"/>
      <c r="X3772" s="1315"/>
      <c r="Y3772" s="1315"/>
      <c r="Z3772" s="1315"/>
      <c r="AA3772" s="1315"/>
      <c r="AB3772" s="1315"/>
      <c r="AC3772" s="1315"/>
      <c r="AD3772" s="1315"/>
      <c r="AE3772" s="1315"/>
      <c r="AF3772" s="1315"/>
      <c r="AG3772" s="1315"/>
      <c r="AH3772" s="1315"/>
      <c r="AI3772" s="1315"/>
      <c r="AJ3772" s="1315"/>
      <c r="AK3772" s="1315"/>
      <c r="AL3772" s="1315"/>
      <c r="AM3772" s="1315"/>
      <c r="AN3772" s="1315"/>
      <c r="AO3772" s="1315"/>
      <c r="AP3772" s="1315"/>
      <c r="AQ3772" s="1315"/>
      <c r="AR3772" s="1315"/>
      <c r="AS3772" s="1315"/>
      <c r="AT3772" s="1315"/>
      <c r="AU3772" s="1315"/>
      <c r="AV3772" s="1315"/>
      <c r="AW3772" s="1315"/>
      <c r="AX3772" s="1315"/>
      <c r="AY3772" s="1315"/>
      <c r="AZ3772" s="1315"/>
      <c r="BA3772" s="1315"/>
      <c r="BB3772" s="1315"/>
      <c r="BC3772" s="1315"/>
      <c r="BD3772" s="1315"/>
      <c r="BE3772" s="1315"/>
      <c r="BF3772" s="1315"/>
      <c r="BG3772" s="1315"/>
      <c r="BH3772" s="1315"/>
      <c r="BI3772" s="1315"/>
      <c r="BJ3772" s="1315"/>
      <c r="BK3772" s="1315"/>
      <c r="BL3772" s="1315"/>
    </row>
    <row r="3773" spans="1:64">
      <c r="A3773" s="1794"/>
      <c r="B3773" s="1798"/>
      <c r="C3773" s="1202" t="s">
        <v>1148</v>
      </c>
      <c r="D3773" s="1203">
        <v>4.7</v>
      </c>
      <c r="E3773" s="1199" t="s">
        <v>955</v>
      </c>
      <c r="F3773" s="1201">
        <f>'Civil-SOR'!$G$307</f>
        <v>520</v>
      </c>
      <c r="G3773" s="1204">
        <v>1</v>
      </c>
      <c r="H3773" s="1199" t="str">
        <f>H3771</f>
        <v>Each</v>
      </c>
      <c r="I3773" s="1205">
        <f t="shared" si="878"/>
        <v>2444</v>
      </c>
      <c r="J3773" s="1817"/>
      <c r="K3773" s="1817"/>
      <c r="L3773" s="1817"/>
      <c r="M3773" s="1315"/>
      <c r="N3773" s="1315"/>
      <c r="O3773" s="1315"/>
      <c r="P3773" s="1315"/>
      <c r="Q3773" s="1315"/>
      <c r="R3773" s="1315"/>
      <c r="S3773" s="1315"/>
      <c r="T3773" s="1315"/>
      <c r="U3773" s="1315"/>
      <c r="V3773" s="1315"/>
      <c r="W3773" s="1315"/>
      <c r="X3773" s="1315"/>
      <c r="Y3773" s="1315"/>
      <c r="Z3773" s="1315"/>
      <c r="AA3773" s="1315"/>
      <c r="AB3773" s="1315"/>
      <c r="AC3773" s="1315"/>
      <c r="AD3773" s="1315"/>
      <c r="AE3773" s="1315"/>
      <c r="AF3773" s="1315"/>
      <c r="AG3773" s="1315"/>
      <c r="AH3773" s="1315"/>
      <c r="AI3773" s="1315"/>
      <c r="AJ3773" s="1315"/>
      <c r="AK3773" s="1315"/>
      <c r="AL3773" s="1315"/>
      <c r="AM3773" s="1315"/>
      <c r="AN3773" s="1315"/>
      <c r="AO3773" s="1315"/>
      <c r="AP3773" s="1315"/>
      <c r="AQ3773" s="1315"/>
      <c r="AR3773" s="1315"/>
      <c r="AS3773" s="1315"/>
      <c r="AT3773" s="1315"/>
      <c r="AU3773" s="1315"/>
      <c r="AV3773" s="1315"/>
      <c r="AW3773" s="1315"/>
      <c r="AX3773" s="1315"/>
      <c r="AY3773" s="1315"/>
      <c r="AZ3773" s="1315"/>
      <c r="BA3773" s="1315"/>
      <c r="BB3773" s="1315"/>
      <c r="BC3773" s="1315"/>
      <c r="BD3773" s="1315"/>
      <c r="BE3773" s="1315"/>
      <c r="BF3773" s="1315"/>
      <c r="BG3773" s="1315"/>
      <c r="BH3773" s="1315"/>
      <c r="BI3773" s="1315"/>
      <c r="BJ3773" s="1315"/>
      <c r="BK3773" s="1315"/>
      <c r="BL3773" s="1315"/>
    </row>
    <row r="3774" spans="1:64">
      <c r="A3774" s="1794"/>
      <c r="B3774" s="1798"/>
      <c r="C3774" s="1202" t="str">
        <f>Input!$C$47</f>
        <v>Add for MA @ 40%</v>
      </c>
      <c r="D3774" s="1203">
        <f>Input!$D$47</f>
        <v>0.4</v>
      </c>
      <c r="E3774" s="1199"/>
      <c r="F3774" s="1201">
        <f>SUM(I3771:I3773)</f>
        <v>2632.71</v>
      </c>
      <c r="G3774" s="1204"/>
      <c r="H3774" s="1199"/>
      <c r="I3774" s="1205">
        <f>ROUND(F3774*D3774,2)</f>
        <v>1053.08</v>
      </c>
      <c r="J3774" s="1817"/>
      <c r="K3774" s="1817"/>
      <c r="L3774" s="1817"/>
      <c r="M3774" s="1315"/>
      <c r="N3774" s="1315"/>
      <c r="O3774" s="1315"/>
      <c r="P3774" s="1315"/>
      <c r="Q3774" s="1315"/>
      <c r="R3774" s="1315"/>
      <c r="S3774" s="1315"/>
      <c r="T3774" s="1315"/>
      <c r="U3774" s="1315"/>
      <c r="V3774" s="1315"/>
      <c r="W3774" s="1315"/>
      <c r="X3774" s="1315"/>
      <c r="Y3774" s="1315"/>
      <c r="Z3774" s="1315"/>
      <c r="AA3774" s="1315"/>
      <c r="AB3774" s="1315"/>
      <c r="AC3774" s="1315"/>
      <c r="AD3774" s="1315"/>
      <c r="AE3774" s="1315"/>
      <c r="AF3774" s="1315"/>
      <c r="AG3774" s="1315"/>
      <c r="AH3774" s="1315"/>
      <c r="AI3774" s="1315"/>
      <c r="AJ3774" s="1315"/>
      <c r="AK3774" s="1315"/>
      <c r="AL3774" s="1315"/>
      <c r="AM3774" s="1315"/>
      <c r="AN3774" s="1315"/>
      <c r="AO3774" s="1315"/>
      <c r="AP3774" s="1315"/>
      <c r="AQ3774" s="1315"/>
      <c r="AR3774" s="1315"/>
      <c r="AS3774" s="1315"/>
      <c r="AT3774" s="1315"/>
      <c r="AU3774" s="1315"/>
      <c r="AV3774" s="1315"/>
      <c r="AW3774" s="1315"/>
      <c r="AX3774" s="1315"/>
      <c r="AY3774" s="1315"/>
      <c r="AZ3774" s="1315"/>
      <c r="BA3774" s="1315"/>
      <c r="BB3774" s="1315"/>
      <c r="BC3774" s="1315"/>
      <c r="BD3774" s="1315"/>
      <c r="BE3774" s="1315"/>
      <c r="BF3774" s="1315"/>
      <c r="BG3774" s="1315"/>
      <c r="BH3774" s="1315"/>
      <c r="BI3774" s="1315"/>
      <c r="BJ3774" s="1315"/>
      <c r="BK3774" s="1315"/>
      <c r="BL3774" s="1315"/>
    </row>
    <row r="3775" spans="1:64">
      <c r="A3775" s="1794"/>
      <c r="B3775" s="1798"/>
      <c r="C3775" s="1814" t="s">
        <v>1176</v>
      </c>
      <c r="D3775" s="1203"/>
      <c r="E3775" s="1199"/>
      <c r="F3775" s="1201"/>
      <c r="G3775" s="1204"/>
      <c r="H3775" s="1199"/>
      <c r="I3775" s="1205"/>
      <c r="J3775" s="1817"/>
      <c r="K3775" s="1817"/>
      <c r="L3775" s="1817"/>
      <c r="M3775" s="1315"/>
      <c r="N3775" s="1315"/>
      <c r="O3775" s="1315"/>
      <c r="P3775" s="1315"/>
      <c r="Q3775" s="1315"/>
      <c r="R3775" s="1315"/>
      <c r="S3775" s="1315"/>
      <c r="T3775" s="1315"/>
      <c r="U3775" s="1315"/>
      <c r="V3775" s="1315"/>
      <c r="W3775" s="1315"/>
      <c r="X3775" s="1315"/>
      <c r="Y3775" s="1315"/>
      <c r="Z3775" s="1315"/>
      <c r="AA3775" s="1315"/>
      <c r="AB3775" s="1315"/>
      <c r="AC3775" s="1315"/>
      <c r="AD3775" s="1315"/>
      <c r="AE3775" s="1315"/>
      <c r="AF3775" s="1315"/>
      <c r="AG3775" s="1315"/>
      <c r="AH3775" s="1315"/>
      <c r="AI3775" s="1315"/>
      <c r="AJ3775" s="1315"/>
      <c r="AK3775" s="1315"/>
      <c r="AL3775" s="1315"/>
      <c r="AM3775" s="1315"/>
      <c r="AN3775" s="1315"/>
      <c r="AO3775" s="1315"/>
      <c r="AP3775" s="1315"/>
      <c r="AQ3775" s="1315"/>
      <c r="AR3775" s="1315"/>
      <c r="AS3775" s="1315"/>
      <c r="AT3775" s="1315"/>
      <c r="AU3775" s="1315"/>
      <c r="AV3775" s="1315"/>
      <c r="AW3775" s="1315"/>
      <c r="AX3775" s="1315"/>
      <c r="AY3775" s="1315"/>
      <c r="AZ3775" s="1315"/>
      <c r="BA3775" s="1315"/>
      <c r="BB3775" s="1315"/>
      <c r="BC3775" s="1315"/>
      <c r="BD3775" s="1315"/>
      <c r="BE3775" s="1315"/>
      <c r="BF3775" s="1315"/>
      <c r="BG3775" s="1315"/>
      <c r="BH3775" s="1315"/>
      <c r="BI3775" s="1315"/>
      <c r="BJ3775" s="1315"/>
      <c r="BK3775" s="1315"/>
      <c r="BL3775" s="1315"/>
    </row>
    <row r="3776" spans="1:64" ht="25.5">
      <c r="A3776" s="1794"/>
      <c r="B3776" s="1798"/>
      <c r="C3776" s="1807" t="s">
        <v>582</v>
      </c>
      <c r="D3776" s="1227">
        <v>1</v>
      </c>
      <c r="E3776" s="1303" t="s">
        <v>400</v>
      </c>
      <c r="F3776" s="1205">
        <f>'Civil-SOR'!$G$330</f>
        <v>192.9</v>
      </c>
      <c r="G3776" s="1269">
        <v>1</v>
      </c>
      <c r="H3776" s="1269" t="str">
        <f t="shared" ref="H3776:H3779" si="879">IF(E3776="","",IF(E3776="No.","Each",IF(E3776="Nos.","Each",E3776)))</f>
        <v>hour</v>
      </c>
      <c r="I3776" s="1205">
        <f t="shared" ref="I3776:I3781" si="880">IF(G3776="",D3776*F3776,(D3776*F3776/G3776))</f>
        <v>192.9</v>
      </c>
      <c r="J3776" s="1817"/>
      <c r="K3776" s="1817"/>
      <c r="L3776" s="1817"/>
      <c r="M3776" s="1315"/>
      <c r="N3776" s="1315"/>
      <c r="O3776" s="1315"/>
      <c r="P3776" s="1315"/>
      <c r="Q3776" s="1315"/>
      <c r="R3776" s="1315"/>
      <c r="S3776" s="1315"/>
      <c r="T3776" s="1315"/>
      <c r="U3776" s="1315"/>
      <c r="V3776" s="1315"/>
      <c r="W3776" s="1315"/>
      <c r="X3776" s="1315"/>
      <c r="Y3776" s="1315"/>
      <c r="Z3776" s="1315"/>
      <c r="AA3776" s="1315"/>
      <c r="AB3776" s="1315"/>
      <c r="AC3776" s="1315"/>
      <c r="AD3776" s="1315"/>
      <c r="AE3776" s="1315"/>
      <c r="AF3776" s="1315"/>
      <c r="AG3776" s="1315"/>
      <c r="AH3776" s="1315"/>
      <c r="AI3776" s="1315"/>
      <c r="AJ3776" s="1315"/>
      <c r="AK3776" s="1315"/>
      <c r="AL3776" s="1315"/>
      <c r="AM3776" s="1315"/>
      <c r="AN3776" s="1315"/>
      <c r="AO3776" s="1315"/>
      <c r="AP3776" s="1315"/>
      <c r="AQ3776" s="1315"/>
      <c r="AR3776" s="1315"/>
      <c r="AS3776" s="1315"/>
      <c r="AT3776" s="1315"/>
      <c r="AU3776" s="1315"/>
      <c r="AV3776" s="1315"/>
      <c r="AW3776" s="1315"/>
      <c r="AX3776" s="1315"/>
      <c r="AY3776" s="1315"/>
      <c r="AZ3776" s="1315"/>
      <c r="BA3776" s="1315"/>
      <c r="BB3776" s="1315"/>
      <c r="BC3776" s="1315"/>
      <c r="BD3776" s="1315"/>
      <c r="BE3776" s="1315"/>
      <c r="BF3776" s="1315"/>
      <c r="BG3776" s="1315"/>
      <c r="BH3776" s="1315"/>
      <c r="BI3776" s="1315"/>
      <c r="BJ3776" s="1315"/>
      <c r="BK3776" s="1315"/>
      <c r="BL3776" s="1315"/>
    </row>
    <row r="3777" spans="1:64">
      <c r="A3777" s="1794"/>
      <c r="B3777" s="1798"/>
      <c r="C3777" s="1807" t="s">
        <v>579</v>
      </c>
      <c r="D3777" s="1227">
        <v>1</v>
      </c>
      <c r="E3777" s="1303" t="s">
        <v>400</v>
      </c>
      <c r="F3777" s="1205">
        <f>'Civil-SOR'!$J$330</f>
        <v>302.89999999999998</v>
      </c>
      <c r="G3777" s="1269">
        <v>1</v>
      </c>
      <c r="H3777" s="1269" t="str">
        <f t="shared" si="879"/>
        <v>hour</v>
      </c>
      <c r="I3777" s="1205">
        <f t="shared" si="880"/>
        <v>302.89999999999998</v>
      </c>
      <c r="J3777" s="1817"/>
      <c r="K3777" s="1817"/>
      <c r="L3777" s="1817"/>
      <c r="M3777" s="1315"/>
      <c r="N3777" s="1315"/>
      <c r="O3777" s="1315"/>
      <c r="P3777" s="1315"/>
      <c r="Q3777" s="1315"/>
      <c r="R3777" s="1315"/>
      <c r="S3777" s="1315"/>
      <c r="T3777" s="1315"/>
      <c r="U3777" s="1315"/>
      <c r="V3777" s="1315"/>
      <c r="W3777" s="1315"/>
      <c r="X3777" s="1315"/>
      <c r="Y3777" s="1315"/>
      <c r="Z3777" s="1315"/>
      <c r="AA3777" s="1315"/>
      <c r="AB3777" s="1315"/>
      <c r="AC3777" s="1315"/>
      <c r="AD3777" s="1315"/>
      <c r="AE3777" s="1315"/>
      <c r="AF3777" s="1315"/>
      <c r="AG3777" s="1315"/>
      <c r="AH3777" s="1315"/>
      <c r="AI3777" s="1315"/>
      <c r="AJ3777" s="1315"/>
      <c r="AK3777" s="1315"/>
      <c r="AL3777" s="1315"/>
      <c r="AM3777" s="1315"/>
      <c r="AN3777" s="1315"/>
      <c r="AO3777" s="1315"/>
      <c r="AP3777" s="1315"/>
      <c r="AQ3777" s="1315"/>
      <c r="AR3777" s="1315"/>
      <c r="AS3777" s="1315"/>
      <c r="AT3777" s="1315"/>
      <c r="AU3777" s="1315"/>
      <c r="AV3777" s="1315"/>
      <c r="AW3777" s="1315"/>
      <c r="AX3777" s="1315"/>
      <c r="AY3777" s="1315"/>
      <c r="AZ3777" s="1315"/>
      <c r="BA3777" s="1315"/>
      <c r="BB3777" s="1315"/>
      <c r="BC3777" s="1315"/>
      <c r="BD3777" s="1315"/>
      <c r="BE3777" s="1315"/>
      <c r="BF3777" s="1315"/>
      <c r="BG3777" s="1315"/>
      <c r="BH3777" s="1315"/>
      <c r="BI3777" s="1315"/>
      <c r="BJ3777" s="1315"/>
      <c r="BK3777" s="1315"/>
      <c r="BL3777" s="1315"/>
    </row>
    <row r="3778" spans="1:64">
      <c r="A3778" s="1794"/>
      <c r="B3778" s="1798"/>
      <c r="C3778" s="1202" t="s">
        <v>1178</v>
      </c>
      <c r="D3778" s="1228">
        <v>1</v>
      </c>
      <c r="E3778" s="1297" t="s">
        <v>400</v>
      </c>
      <c r="F3778" s="1223">
        <f>'Civil-SOR'!$G$332</f>
        <v>36.5</v>
      </c>
      <c r="G3778" s="1272">
        <v>1</v>
      </c>
      <c r="H3778" s="1272" t="str">
        <f t="shared" si="879"/>
        <v>hour</v>
      </c>
      <c r="I3778" s="1223">
        <f t="shared" si="880"/>
        <v>36.5</v>
      </c>
      <c r="J3778" s="1817"/>
      <c r="K3778" s="1817"/>
      <c r="L3778" s="1817"/>
      <c r="M3778" s="1315"/>
      <c r="N3778" s="1315"/>
      <c r="O3778" s="1315"/>
      <c r="P3778" s="1315"/>
      <c r="Q3778" s="1315"/>
      <c r="R3778" s="1315"/>
      <c r="S3778" s="1315"/>
      <c r="T3778" s="1315"/>
      <c r="U3778" s="1315"/>
      <c r="V3778" s="1315"/>
      <c r="W3778" s="1315"/>
      <c r="X3778" s="1315"/>
      <c r="Y3778" s="1315"/>
      <c r="Z3778" s="1315"/>
      <c r="AA3778" s="1315"/>
      <c r="AB3778" s="1315"/>
      <c r="AC3778" s="1315"/>
      <c r="AD3778" s="1315"/>
      <c r="AE3778" s="1315"/>
      <c r="AF3778" s="1315"/>
      <c r="AG3778" s="1315"/>
      <c r="AH3778" s="1315"/>
      <c r="AI3778" s="1315"/>
      <c r="AJ3778" s="1315"/>
      <c r="AK3778" s="1315"/>
      <c r="AL3778" s="1315"/>
      <c r="AM3778" s="1315"/>
      <c r="AN3778" s="1315"/>
      <c r="AO3778" s="1315"/>
      <c r="AP3778" s="1315"/>
      <c r="AQ3778" s="1315"/>
      <c r="AR3778" s="1315"/>
      <c r="AS3778" s="1315"/>
      <c r="AT3778" s="1315"/>
      <c r="AU3778" s="1315"/>
      <c r="AV3778" s="1315"/>
      <c r="AW3778" s="1315"/>
      <c r="AX3778" s="1315"/>
      <c r="AY3778" s="1315"/>
      <c r="AZ3778" s="1315"/>
      <c r="BA3778" s="1315"/>
      <c r="BB3778" s="1315"/>
      <c r="BC3778" s="1315"/>
      <c r="BD3778" s="1315"/>
      <c r="BE3778" s="1315"/>
      <c r="BF3778" s="1315"/>
      <c r="BG3778" s="1315"/>
      <c r="BH3778" s="1315"/>
      <c r="BI3778" s="1315"/>
      <c r="BJ3778" s="1315"/>
      <c r="BK3778" s="1315"/>
      <c r="BL3778" s="1315"/>
    </row>
    <row r="3779" spans="1:64">
      <c r="A3779" s="1794"/>
      <c r="B3779" s="1798"/>
      <c r="C3779" s="1807" t="s">
        <v>579</v>
      </c>
      <c r="D3779" s="1228">
        <v>1</v>
      </c>
      <c r="E3779" s="1297" t="s">
        <v>400</v>
      </c>
      <c r="F3779" s="1223">
        <f>'Civil-SOR'!$J$332</f>
        <v>218</v>
      </c>
      <c r="G3779" s="1272">
        <v>1</v>
      </c>
      <c r="H3779" s="1272" t="str">
        <f t="shared" si="879"/>
        <v>hour</v>
      </c>
      <c r="I3779" s="1223">
        <f t="shared" si="880"/>
        <v>218</v>
      </c>
      <c r="J3779" s="1817"/>
      <c r="K3779" s="1817"/>
      <c r="L3779" s="1817"/>
      <c r="M3779" s="1315"/>
      <c r="N3779" s="1315"/>
      <c r="O3779" s="1315"/>
      <c r="P3779" s="1315"/>
      <c r="Q3779" s="1315"/>
      <c r="R3779" s="1315"/>
      <c r="S3779" s="1315"/>
      <c r="T3779" s="1315"/>
      <c r="U3779" s="1315"/>
      <c r="V3779" s="1315"/>
      <c r="W3779" s="1315"/>
      <c r="X3779" s="1315"/>
      <c r="Y3779" s="1315"/>
      <c r="Z3779" s="1315"/>
      <c r="AA3779" s="1315"/>
      <c r="AB3779" s="1315"/>
      <c r="AC3779" s="1315"/>
      <c r="AD3779" s="1315"/>
      <c r="AE3779" s="1315"/>
      <c r="AF3779" s="1315"/>
      <c r="AG3779" s="1315"/>
      <c r="AH3779" s="1315"/>
      <c r="AI3779" s="1315"/>
      <c r="AJ3779" s="1315"/>
      <c r="AK3779" s="1315"/>
      <c r="AL3779" s="1315"/>
      <c r="AM3779" s="1315"/>
      <c r="AN3779" s="1315"/>
      <c r="AO3779" s="1315"/>
      <c r="AP3779" s="1315"/>
      <c r="AQ3779" s="1315"/>
      <c r="AR3779" s="1315"/>
      <c r="AS3779" s="1315"/>
      <c r="AT3779" s="1315"/>
      <c r="AU3779" s="1315"/>
      <c r="AV3779" s="1315"/>
      <c r="AW3779" s="1315"/>
      <c r="AX3779" s="1315"/>
      <c r="AY3779" s="1315"/>
      <c r="AZ3779" s="1315"/>
      <c r="BA3779" s="1315"/>
      <c r="BB3779" s="1315"/>
      <c r="BC3779" s="1315"/>
      <c r="BD3779" s="1315"/>
      <c r="BE3779" s="1315"/>
      <c r="BF3779" s="1315"/>
      <c r="BG3779" s="1315"/>
      <c r="BH3779" s="1315"/>
      <c r="BI3779" s="1315"/>
      <c r="BJ3779" s="1315"/>
      <c r="BK3779" s="1315"/>
      <c r="BL3779" s="1315"/>
    </row>
    <row r="3780" spans="1:64">
      <c r="A3780" s="1794"/>
      <c r="B3780" s="1798"/>
      <c r="C3780" s="1807" t="s">
        <v>1085</v>
      </c>
      <c r="D3780" s="1328">
        <f>Input!$D$47</f>
        <v>0.4</v>
      </c>
      <c r="E3780" s="1303"/>
      <c r="F3780" s="1205">
        <f>'Civil-SOR'!$J$330+'Civil-SOR'!$J$332</f>
        <v>520.9</v>
      </c>
      <c r="G3780" s="1329"/>
      <c r="H3780" s="1303"/>
      <c r="I3780" s="1223">
        <f t="shared" si="880"/>
        <v>208.36</v>
      </c>
      <c r="J3780" s="1817"/>
      <c r="K3780" s="1817"/>
      <c r="L3780" s="1817"/>
      <c r="M3780" s="1315"/>
      <c r="N3780" s="1315"/>
      <c r="O3780" s="1315"/>
      <c r="P3780" s="1315"/>
      <c r="Q3780" s="1315"/>
      <c r="R3780" s="1315"/>
      <c r="S3780" s="1315"/>
      <c r="T3780" s="1315"/>
      <c r="U3780" s="1315"/>
      <c r="V3780" s="1315"/>
      <c r="W3780" s="1315"/>
      <c r="X3780" s="1315"/>
      <c r="Y3780" s="1315"/>
      <c r="Z3780" s="1315"/>
      <c r="AA3780" s="1315"/>
      <c r="AB3780" s="1315"/>
      <c r="AC3780" s="1315"/>
      <c r="AD3780" s="1315"/>
      <c r="AE3780" s="1315"/>
      <c r="AF3780" s="1315"/>
      <c r="AG3780" s="1315"/>
      <c r="AH3780" s="1315"/>
      <c r="AI3780" s="1315"/>
      <c r="AJ3780" s="1315"/>
      <c r="AK3780" s="1315"/>
      <c r="AL3780" s="1315"/>
      <c r="AM3780" s="1315"/>
      <c r="AN3780" s="1315"/>
      <c r="AO3780" s="1315"/>
      <c r="AP3780" s="1315"/>
      <c r="AQ3780" s="1315"/>
      <c r="AR3780" s="1315"/>
      <c r="AS3780" s="1315"/>
      <c r="AT3780" s="1315"/>
      <c r="AU3780" s="1315"/>
      <c r="AV3780" s="1315"/>
      <c r="AW3780" s="1315"/>
      <c r="AX3780" s="1315"/>
      <c r="AY3780" s="1315"/>
      <c r="AZ3780" s="1315"/>
      <c r="BA3780" s="1315"/>
      <c r="BB3780" s="1315"/>
      <c r="BC3780" s="1315"/>
      <c r="BD3780" s="1315"/>
      <c r="BE3780" s="1315"/>
      <c r="BF3780" s="1315"/>
      <c r="BG3780" s="1315"/>
      <c r="BH3780" s="1315"/>
      <c r="BI3780" s="1315"/>
      <c r="BJ3780" s="1315"/>
      <c r="BK3780" s="1315"/>
      <c r="BL3780" s="1315"/>
    </row>
    <row r="3781" spans="1:64">
      <c r="A3781" s="1794"/>
      <c r="B3781" s="1798"/>
      <c r="C3781" s="1202" t="s">
        <v>1179</v>
      </c>
      <c r="D3781" s="1228">
        <v>1.2</v>
      </c>
      <c r="E3781" s="1297" t="s">
        <v>1143</v>
      </c>
      <c r="F3781" s="1223">
        <f>Input!$D$53</f>
        <v>108</v>
      </c>
      <c r="G3781" s="1272">
        <v>1</v>
      </c>
      <c r="H3781" s="1273" t="str">
        <f>IF(E3781="","",IF(E3781="No.","Each",IF(E3781="Nos.","Each",E3781)))</f>
        <v>kl</v>
      </c>
      <c r="I3781" s="1205">
        <f t="shared" si="880"/>
        <v>129.6</v>
      </c>
      <c r="J3781" s="1817"/>
      <c r="K3781" s="1817"/>
      <c r="L3781" s="1817"/>
      <c r="M3781" s="1315"/>
      <c r="N3781" s="1315"/>
      <c r="O3781" s="1315"/>
      <c r="P3781" s="1315"/>
      <c r="Q3781" s="1315"/>
      <c r="R3781" s="1315"/>
      <c r="S3781" s="1315"/>
      <c r="T3781" s="1315"/>
      <c r="U3781" s="1315"/>
      <c r="V3781" s="1315"/>
      <c r="W3781" s="1315"/>
      <c r="X3781" s="1315"/>
      <c r="Y3781" s="1315"/>
      <c r="Z3781" s="1315"/>
      <c r="AA3781" s="1315"/>
      <c r="AB3781" s="1315"/>
      <c r="AC3781" s="1315"/>
      <c r="AD3781" s="1315"/>
      <c r="AE3781" s="1315"/>
      <c r="AF3781" s="1315"/>
      <c r="AG3781" s="1315"/>
      <c r="AH3781" s="1315"/>
      <c r="AI3781" s="1315"/>
      <c r="AJ3781" s="1315"/>
      <c r="AK3781" s="1315"/>
      <c r="AL3781" s="1315"/>
      <c r="AM3781" s="1315"/>
      <c r="AN3781" s="1315"/>
      <c r="AO3781" s="1315"/>
      <c r="AP3781" s="1315"/>
      <c r="AQ3781" s="1315"/>
      <c r="AR3781" s="1315"/>
      <c r="AS3781" s="1315"/>
      <c r="AT3781" s="1315"/>
      <c r="AU3781" s="1315"/>
      <c r="AV3781" s="1315"/>
      <c r="AW3781" s="1315"/>
      <c r="AX3781" s="1315"/>
      <c r="AY3781" s="1315"/>
      <c r="AZ3781" s="1315"/>
      <c r="BA3781" s="1315"/>
      <c r="BB3781" s="1315"/>
      <c r="BC3781" s="1315"/>
      <c r="BD3781" s="1315"/>
      <c r="BE3781" s="1315"/>
      <c r="BF3781" s="1315"/>
      <c r="BG3781" s="1315"/>
      <c r="BH3781" s="1315"/>
      <c r="BI3781" s="1315"/>
      <c r="BJ3781" s="1315"/>
      <c r="BK3781" s="1315"/>
      <c r="BL3781" s="1315"/>
    </row>
    <row r="3782" spans="1:64" s="1322" customFormat="1">
      <c r="A3782" s="1319"/>
      <c r="B3782" s="1797"/>
      <c r="C3782" s="1796" t="s">
        <v>1342</v>
      </c>
      <c r="D3782" s="1215"/>
      <c r="E3782" s="1215"/>
      <c r="F3782" s="1797"/>
      <c r="G3782" s="1309"/>
      <c r="H3782" s="1215"/>
      <c r="I3782" s="1285">
        <f>SUM(I3767:I3781)</f>
        <v>7642.0934999999999</v>
      </c>
      <c r="J3782" s="1110"/>
      <c r="K3782" s="1110"/>
      <c r="L3782" s="1110"/>
    </row>
    <row r="3783" spans="1:64">
      <c r="A3783" s="1794"/>
      <c r="B3783" s="1798"/>
      <c r="C3783" s="1226"/>
      <c r="D3783" s="1199"/>
      <c r="E3783" s="1199"/>
      <c r="F3783" s="1200"/>
      <c r="G3783" s="1204"/>
      <c r="H3783" s="1330"/>
      <c r="I3783" s="1230"/>
      <c r="J3783" s="1817"/>
      <c r="K3783" s="1817"/>
      <c r="L3783" s="1817"/>
      <c r="M3783" s="1315"/>
      <c r="N3783" s="1315"/>
      <c r="O3783" s="1315"/>
      <c r="P3783" s="1315"/>
      <c r="Q3783" s="1315"/>
      <c r="R3783" s="1315"/>
      <c r="S3783" s="1315"/>
      <c r="T3783" s="1315"/>
      <c r="U3783" s="1315"/>
      <c r="V3783" s="1315"/>
      <c r="W3783" s="1315"/>
      <c r="X3783" s="1315"/>
      <c r="Y3783" s="1315"/>
      <c r="Z3783" s="1315"/>
      <c r="AA3783" s="1315"/>
      <c r="AB3783" s="1315"/>
      <c r="AC3783" s="1315"/>
      <c r="AD3783" s="1315"/>
      <c r="AE3783" s="1315"/>
      <c r="AF3783" s="1315"/>
      <c r="AG3783" s="1315"/>
      <c r="AH3783" s="1315"/>
      <c r="AI3783" s="1315"/>
      <c r="AJ3783" s="1315"/>
      <c r="AK3783" s="1315"/>
      <c r="AL3783" s="1315"/>
      <c r="AM3783" s="1315"/>
      <c r="AN3783" s="1315"/>
      <c r="AO3783" s="1315"/>
      <c r="AP3783" s="1315"/>
      <c r="AQ3783" s="1315"/>
      <c r="AR3783" s="1315"/>
      <c r="AS3783" s="1315"/>
      <c r="AT3783" s="1315"/>
      <c r="AU3783" s="1315"/>
      <c r="AV3783" s="1315"/>
      <c r="AW3783" s="1315"/>
      <c r="AX3783" s="1315"/>
      <c r="AY3783" s="1315"/>
      <c r="AZ3783" s="1315"/>
      <c r="BA3783" s="1315"/>
      <c r="BB3783" s="1315"/>
      <c r="BC3783" s="1315"/>
      <c r="BD3783" s="1315"/>
      <c r="BE3783" s="1315"/>
      <c r="BF3783" s="1315"/>
      <c r="BG3783" s="1315"/>
      <c r="BH3783" s="1315"/>
      <c r="BI3783" s="1315"/>
      <c r="BJ3783" s="1315"/>
      <c r="BK3783" s="1315"/>
      <c r="BL3783" s="1315"/>
    </row>
    <row r="3784" spans="1:64" s="1322" customFormat="1">
      <c r="A3784" s="1319"/>
      <c r="B3784" s="1797"/>
      <c r="C3784" s="1796" t="s">
        <v>1217</v>
      </c>
      <c r="D3784" s="1323" t="s">
        <v>1207</v>
      </c>
      <c r="E3784" s="1324" t="s">
        <v>1208</v>
      </c>
      <c r="F3784" s="1323" t="s">
        <v>1209</v>
      </c>
      <c r="G3784" s="1323" t="s">
        <v>1210</v>
      </c>
      <c r="H3784" s="1323" t="s">
        <v>1211</v>
      </c>
      <c r="I3784" s="1323" t="s">
        <v>1212</v>
      </c>
      <c r="J3784" s="1833"/>
      <c r="K3784" s="1833" t="s">
        <v>1214</v>
      </c>
      <c r="L3784" s="1110"/>
    </row>
    <row r="3785" spans="1:64">
      <c r="A3785" s="1794"/>
      <c r="B3785" s="1798"/>
      <c r="C3785" s="1807" t="s">
        <v>1218</v>
      </c>
      <c r="D3785" s="1201">
        <f t="shared" ref="D3785:K3785" si="881">$I$3782</f>
        <v>7642.0934999999999</v>
      </c>
      <c r="E3785" s="1201">
        <f t="shared" si="881"/>
        <v>7642.0934999999999</v>
      </c>
      <c r="F3785" s="1201">
        <f t="shared" si="881"/>
        <v>7642.0934999999999</v>
      </c>
      <c r="G3785" s="1201">
        <f t="shared" si="881"/>
        <v>7642.0934999999999</v>
      </c>
      <c r="H3785" s="1201">
        <f t="shared" si="881"/>
        <v>7642.0934999999999</v>
      </c>
      <c r="I3785" s="1201">
        <f t="shared" si="881"/>
        <v>7642.0934999999999</v>
      </c>
      <c r="J3785" s="1021"/>
      <c r="K3785" s="1021">
        <f t="shared" si="881"/>
        <v>7642.0934999999999</v>
      </c>
      <c r="L3785" s="1817"/>
      <c r="M3785" s="1315"/>
      <c r="N3785" s="1315"/>
      <c r="O3785" s="1315"/>
      <c r="P3785" s="1315"/>
      <c r="Q3785" s="1315"/>
      <c r="R3785" s="1315"/>
      <c r="S3785" s="1315"/>
      <c r="T3785" s="1315"/>
      <c r="U3785" s="1315"/>
      <c r="V3785" s="1315"/>
      <c r="W3785" s="1315"/>
      <c r="X3785" s="1315"/>
      <c r="Y3785" s="1315"/>
      <c r="Z3785" s="1315"/>
      <c r="AA3785" s="1315"/>
      <c r="AB3785" s="1315"/>
      <c r="AC3785" s="1315"/>
      <c r="AD3785" s="1315"/>
      <c r="AE3785" s="1315"/>
      <c r="AF3785" s="1315"/>
      <c r="AG3785" s="1315"/>
      <c r="AH3785" s="1315"/>
      <c r="AI3785" s="1315"/>
      <c r="AJ3785" s="1315"/>
      <c r="AK3785" s="1315"/>
      <c r="AL3785" s="1315"/>
      <c r="AM3785" s="1315"/>
      <c r="AN3785" s="1315"/>
      <c r="AO3785" s="1315"/>
      <c r="AP3785" s="1315"/>
      <c r="AQ3785" s="1315"/>
      <c r="AR3785" s="1315"/>
      <c r="AS3785" s="1315"/>
      <c r="AT3785" s="1315"/>
      <c r="AU3785" s="1315"/>
      <c r="AV3785" s="1315"/>
      <c r="AW3785" s="1315"/>
      <c r="AX3785" s="1315"/>
      <c r="AY3785" s="1315"/>
      <c r="AZ3785" s="1315"/>
      <c r="BA3785" s="1315"/>
      <c r="BB3785" s="1315"/>
      <c r="BC3785" s="1315"/>
      <c r="BD3785" s="1315"/>
      <c r="BE3785" s="1315"/>
      <c r="BF3785" s="1315"/>
      <c r="BG3785" s="1315"/>
      <c r="BH3785" s="1315"/>
      <c r="BI3785" s="1315"/>
      <c r="BJ3785" s="1315"/>
      <c r="BK3785" s="1315"/>
      <c r="BL3785" s="1315"/>
    </row>
    <row r="3786" spans="1:64">
      <c r="A3786" s="1794"/>
      <c r="B3786" s="1798"/>
      <c r="C3786" s="1202" t="s">
        <v>1240</v>
      </c>
      <c r="D3786" s="1201">
        <f>'Civil-SOR'!$F$278</f>
        <v>267</v>
      </c>
      <c r="E3786" s="1201">
        <f>'Civil-SOR'!$F$278</f>
        <v>267</v>
      </c>
      <c r="F3786" s="1201">
        <f>'Civil-SOR'!$F$278</f>
        <v>267</v>
      </c>
      <c r="G3786" s="1201">
        <f>'Civil-SOR'!$F$278</f>
        <v>267</v>
      </c>
      <c r="H3786" s="1201">
        <f>'Civil-SOR'!$F$278</f>
        <v>267</v>
      </c>
      <c r="I3786" s="1201">
        <f>'Civil-SOR'!$F$278</f>
        <v>267</v>
      </c>
      <c r="J3786" s="1021"/>
      <c r="K3786" s="1021">
        <f>'Civil-SOR'!$F$278</f>
        <v>267</v>
      </c>
      <c r="L3786" s="1817"/>
      <c r="M3786" s="1315"/>
      <c r="N3786" s="1315"/>
      <c r="O3786" s="1315"/>
      <c r="P3786" s="1315"/>
      <c r="Q3786" s="1315"/>
      <c r="R3786" s="1315"/>
      <c r="S3786" s="1315"/>
      <c r="T3786" s="1315"/>
      <c r="U3786" s="1315"/>
      <c r="V3786" s="1315"/>
      <c r="W3786" s="1315"/>
      <c r="X3786" s="1315"/>
      <c r="Y3786" s="1315"/>
      <c r="Z3786" s="1315"/>
      <c r="AA3786" s="1315"/>
      <c r="AB3786" s="1315"/>
      <c r="AC3786" s="1315"/>
      <c r="AD3786" s="1315"/>
      <c r="AE3786" s="1315"/>
      <c r="AF3786" s="1315"/>
      <c r="AG3786" s="1315"/>
      <c r="AH3786" s="1315"/>
      <c r="AI3786" s="1315"/>
      <c r="AJ3786" s="1315"/>
      <c r="AK3786" s="1315"/>
      <c r="AL3786" s="1315"/>
      <c r="AM3786" s="1315"/>
      <c r="AN3786" s="1315"/>
      <c r="AO3786" s="1315"/>
      <c r="AP3786" s="1315"/>
      <c r="AQ3786" s="1315"/>
      <c r="AR3786" s="1315"/>
      <c r="AS3786" s="1315"/>
      <c r="AT3786" s="1315"/>
      <c r="AU3786" s="1315"/>
      <c r="AV3786" s="1315"/>
      <c r="AW3786" s="1315"/>
      <c r="AX3786" s="1315"/>
      <c r="AY3786" s="1315"/>
      <c r="AZ3786" s="1315"/>
      <c r="BA3786" s="1315"/>
      <c r="BB3786" s="1315"/>
      <c r="BC3786" s="1315"/>
      <c r="BD3786" s="1315"/>
      <c r="BE3786" s="1315"/>
      <c r="BF3786" s="1315"/>
      <c r="BG3786" s="1315"/>
      <c r="BH3786" s="1315"/>
      <c r="BI3786" s="1315"/>
      <c r="BJ3786" s="1315"/>
      <c r="BK3786" s="1315"/>
      <c r="BL3786" s="1315"/>
    </row>
    <row r="3787" spans="1:64">
      <c r="A3787" s="1794"/>
      <c r="B3787" s="1798"/>
      <c r="C3787" s="1813" t="s">
        <v>1252</v>
      </c>
      <c r="D3787" s="1205">
        <f>'Civil-SOR'!$H$278</f>
        <v>2300</v>
      </c>
      <c r="E3787" s="1205">
        <f>'Civil-SOR'!$I$278</f>
        <v>2509</v>
      </c>
      <c r="F3787" s="1205">
        <f>'Civil-SOR'!$J$278</f>
        <v>2718</v>
      </c>
      <c r="G3787" s="1205">
        <f>'Civil-SOR'!$K$278</f>
        <v>2927</v>
      </c>
      <c r="H3787" s="1205">
        <f>'Civil-SOR'!$L$278</f>
        <v>3137</v>
      </c>
      <c r="I3787" s="1205">
        <f>'Civil-SOR'!$M$278</f>
        <v>3346</v>
      </c>
      <c r="J3787" s="1030"/>
      <c r="K3787" s="1030">
        <f>'Civil-SOR'!$O$278</f>
        <v>3764</v>
      </c>
      <c r="L3787" s="1817"/>
      <c r="M3787" s="1315"/>
      <c r="N3787" s="1315"/>
      <c r="O3787" s="1315"/>
      <c r="P3787" s="1315"/>
      <c r="Q3787" s="1315"/>
      <c r="R3787" s="1315"/>
      <c r="S3787" s="1315"/>
      <c r="T3787" s="1315"/>
      <c r="U3787" s="1315"/>
      <c r="V3787" s="1315"/>
      <c r="W3787" s="1315"/>
      <c r="X3787" s="1315"/>
      <c r="Y3787" s="1315"/>
      <c r="Z3787" s="1315"/>
      <c r="AA3787" s="1315"/>
      <c r="AB3787" s="1315"/>
      <c r="AC3787" s="1315"/>
      <c r="AD3787" s="1315"/>
      <c r="AE3787" s="1315"/>
      <c r="AF3787" s="1315"/>
      <c r="AG3787" s="1315"/>
      <c r="AH3787" s="1315"/>
      <c r="AI3787" s="1315"/>
      <c r="AJ3787" s="1315"/>
      <c r="AK3787" s="1315"/>
      <c r="AL3787" s="1315"/>
      <c r="AM3787" s="1315"/>
      <c r="AN3787" s="1315"/>
      <c r="AO3787" s="1315"/>
      <c r="AP3787" s="1315"/>
      <c r="AQ3787" s="1315"/>
      <c r="AR3787" s="1315"/>
      <c r="AS3787" s="1315"/>
      <c r="AT3787" s="1315"/>
      <c r="AU3787" s="1315"/>
      <c r="AV3787" s="1315"/>
      <c r="AW3787" s="1315"/>
      <c r="AX3787" s="1315"/>
      <c r="AY3787" s="1315"/>
      <c r="AZ3787" s="1315"/>
      <c r="BA3787" s="1315"/>
      <c r="BB3787" s="1315"/>
      <c r="BC3787" s="1315"/>
      <c r="BD3787" s="1315"/>
      <c r="BE3787" s="1315"/>
      <c r="BF3787" s="1315"/>
      <c r="BG3787" s="1315"/>
      <c r="BH3787" s="1315"/>
      <c r="BI3787" s="1315"/>
      <c r="BJ3787" s="1315"/>
      <c r="BK3787" s="1315"/>
      <c r="BL3787" s="1315"/>
    </row>
    <row r="3788" spans="1:64">
      <c r="A3788" s="1794"/>
      <c r="B3788" s="1798"/>
      <c r="C3788" s="1807" t="str">
        <f>Input!$C$47</f>
        <v>Add for MA @ 40%</v>
      </c>
      <c r="D3788" s="1223">
        <f>D3787*Input!$D$47</f>
        <v>920</v>
      </c>
      <c r="E3788" s="1223">
        <f>E3787*Input!$D$47</f>
        <v>1003.6</v>
      </c>
      <c r="F3788" s="1223">
        <f>F3787*Input!$D$47</f>
        <v>1087.2</v>
      </c>
      <c r="G3788" s="1223">
        <f>G3787*Input!$D$47</f>
        <v>1170.8</v>
      </c>
      <c r="H3788" s="1223">
        <f>H3787*Input!$D$47</f>
        <v>1254.8000000000002</v>
      </c>
      <c r="I3788" s="1223">
        <f>I3787*Input!$D$47</f>
        <v>1338.4</v>
      </c>
      <c r="J3788" s="1001"/>
      <c r="K3788" s="1001">
        <f>K3787*Input!$D$47</f>
        <v>1505.6000000000001</v>
      </c>
      <c r="L3788" s="1817"/>
      <c r="M3788" s="1315"/>
      <c r="N3788" s="1315"/>
      <c r="O3788" s="1315"/>
      <c r="P3788" s="1315"/>
      <c r="Q3788" s="1315"/>
      <c r="R3788" s="1315"/>
      <c r="S3788" s="1315"/>
      <c r="T3788" s="1315"/>
      <c r="U3788" s="1315"/>
      <c r="V3788" s="1315"/>
      <c r="W3788" s="1315"/>
      <c r="X3788" s="1315"/>
      <c r="Y3788" s="1315"/>
      <c r="Z3788" s="1315"/>
      <c r="AA3788" s="1315"/>
      <c r="AB3788" s="1315"/>
      <c r="AC3788" s="1315"/>
      <c r="AD3788" s="1315"/>
      <c r="AE3788" s="1315"/>
      <c r="AF3788" s="1315"/>
      <c r="AG3788" s="1315"/>
      <c r="AH3788" s="1315"/>
      <c r="AI3788" s="1315"/>
      <c r="AJ3788" s="1315"/>
      <c r="AK3788" s="1315"/>
      <c r="AL3788" s="1315"/>
      <c r="AM3788" s="1315"/>
      <c r="AN3788" s="1315"/>
      <c r="AO3788" s="1315"/>
      <c r="AP3788" s="1315"/>
      <c r="AQ3788" s="1315"/>
      <c r="AR3788" s="1315"/>
      <c r="AS3788" s="1315"/>
      <c r="AT3788" s="1315"/>
      <c r="AU3788" s="1315"/>
      <c r="AV3788" s="1315"/>
      <c r="AW3788" s="1315"/>
      <c r="AX3788" s="1315"/>
      <c r="AY3788" s="1315"/>
      <c r="AZ3788" s="1315"/>
      <c r="BA3788" s="1315"/>
      <c r="BB3788" s="1315"/>
      <c r="BC3788" s="1315"/>
      <c r="BD3788" s="1315"/>
      <c r="BE3788" s="1315"/>
      <c r="BF3788" s="1315"/>
      <c r="BG3788" s="1315"/>
      <c r="BH3788" s="1315"/>
      <c r="BI3788" s="1315"/>
      <c r="BJ3788" s="1315"/>
      <c r="BK3788" s="1315"/>
      <c r="BL3788" s="1315"/>
    </row>
    <row r="3789" spans="1:64">
      <c r="A3789" s="1794"/>
      <c r="B3789" s="1798"/>
      <c r="C3789" s="1807" t="s">
        <v>1498</v>
      </c>
      <c r="D3789" s="1201">
        <f>ROUND($F$3774*10%,2)</f>
        <v>263.27</v>
      </c>
      <c r="E3789" s="1201">
        <f>ROUND($F$3774*20%,2)</f>
        <v>526.54</v>
      </c>
      <c r="F3789" s="1201">
        <f>ROUND($F$3774*30%,2)</f>
        <v>789.81</v>
      </c>
      <c r="G3789" s="1201">
        <f>ROUND($F$3774*40%,2)</f>
        <v>1053.08</v>
      </c>
      <c r="H3789" s="1201">
        <f>ROUND($F$3774*50%,2)</f>
        <v>1316.36</v>
      </c>
      <c r="I3789" s="1201">
        <f>ROUND($F$3774*30%,2)</f>
        <v>789.81</v>
      </c>
      <c r="J3789" s="1021"/>
      <c r="K3789" s="1021">
        <f>ROUND($F$3774*50%,2)</f>
        <v>1316.36</v>
      </c>
      <c r="L3789" s="1817"/>
      <c r="M3789" s="1315"/>
      <c r="N3789" s="1315"/>
      <c r="O3789" s="1315"/>
      <c r="P3789" s="1315"/>
      <c r="Q3789" s="1315"/>
      <c r="R3789" s="1315"/>
      <c r="S3789" s="1315"/>
      <c r="T3789" s="1315"/>
      <c r="U3789" s="1315"/>
      <c r="V3789" s="1315"/>
      <c r="W3789" s="1315"/>
      <c r="X3789" s="1315"/>
      <c r="Y3789" s="1315"/>
      <c r="Z3789" s="1315"/>
      <c r="AA3789" s="1315"/>
      <c r="AB3789" s="1315"/>
      <c r="AC3789" s="1315"/>
      <c r="AD3789" s="1315"/>
      <c r="AE3789" s="1315"/>
      <c r="AF3789" s="1315"/>
      <c r="AG3789" s="1315"/>
      <c r="AH3789" s="1315"/>
      <c r="AI3789" s="1315"/>
      <c r="AJ3789" s="1315"/>
      <c r="AK3789" s="1315"/>
      <c r="AL3789" s="1315"/>
      <c r="AM3789" s="1315"/>
      <c r="AN3789" s="1315"/>
      <c r="AO3789" s="1315"/>
      <c r="AP3789" s="1315"/>
      <c r="AQ3789" s="1315"/>
      <c r="AR3789" s="1315"/>
      <c r="AS3789" s="1315"/>
      <c r="AT3789" s="1315"/>
      <c r="AU3789" s="1315"/>
      <c r="AV3789" s="1315"/>
      <c r="AW3789" s="1315"/>
      <c r="AX3789" s="1315"/>
      <c r="AY3789" s="1315"/>
      <c r="AZ3789" s="1315"/>
      <c r="BA3789" s="1315"/>
      <c r="BB3789" s="1315"/>
      <c r="BC3789" s="1315"/>
      <c r="BD3789" s="1315"/>
      <c r="BE3789" s="1315"/>
      <c r="BF3789" s="1315"/>
      <c r="BG3789" s="1315"/>
      <c r="BH3789" s="1315"/>
      <c r="BI3789" s="1315"/>
      <c r="BJ3789" s="1315"/>
      <c r="BK3789" s="1315"/>
      <c r="BL3789" s="1315"/>
    </row>
    <row r="3790" spans="1:64">
      <c r="A3790" s="1794"/>
      <c r="B3790" s="1798"/>
      <c r="C3790" s="1202" t="str">
        <f>Input!$C$47</f>
        <v>Add for MA @ 40%</v>
      </c>
      <c r="D3790" s="1201">
        <f>D3789*Input!$D$47</f>
        <v>105.30799999999999</v>
      </c>
      <c r="E3790" s="1201">
        <f>E3789*Input!$D$47</f>
        <v>210.61599999999999</v>
      </c>
      <c r="F3790" s="1201">
        <f>F3789*Input!$D$47</f>
        <v>315.92399999999998</v>
      </c>
      <c r="G3790" s="1201">
        <f>G3789*Input!$D$47</f>
        <v>421.23199999999997</v>
      </c>
      <c r="H3790" s="1201">
        <f>H3789*Input!$D$47</f>
        <v>526.54399999999998</v>
      </c>
      <c r="I3790" s="1201">
        <f>I3789*Input!$D$47</f>
        <v>315.92399999999998</v>
      </c>
      <c r="J3790" s="1021"/>
      <c r="K3790" s="1021">
        <f>K3789*Input!$D$47</f>
        <v>526.54399999999998</v>
      </c>
      <c r="L3790" s="1817"/>
      <c r="M3790" s="1315"/>
      <c r="N3790" s="1315"/>
      <c r="O3790" s="1315"/>
      <c r="P3790" s="1315"/>
      <c r="Q3790" s="1315"/>
      <c r="R3790" s="1315"/>
      <c r="S3790" s="1315"/>
      <c r="T3790" s="1315"/>
      <c r="U3790" s="1315"/>
      <c r="V3790" s="1315"/>
      <c r="W3790" s="1315"/>
      <c r="X3790" s="1315"/>
      <c r="Y3790" s="1315"/>
      <c r="Z3790" s="1315"/>
      <c r="AA3790" s="1315"/>
      <c r="AB3790" s="1315"/>
      <c r="AC3790" s="1315"/>
      <c r="AD3790" s="1315"/>
      <c r="AE3790" s="1315"/>
      <c r="AF3790" s="1315"/>
      <c r="AG3790" s="1315"/>
      <c r="AH3790" s="1315"/>
      <c r="AI3790" s="1315"/>
      <c r="AJ3790" s="1315"/>
      <c r="AK3790" s="1315"/>
      <c r="AL3790" s="1315"/>
      <c r="AM3790" s="1315"/>
      <c r="AN3790" s="1315"/>
      <c r="AO3790" s="1315"/>
      <c r="AP3790" s="1315"/>
      <c r="AQ3790" s="1315"/>
      <c r="AR3790" s="1315"/>
      <c r="AS3790" s="1315"/>
      <c r="AT3790" s="1315"/>
      <c r="AU3790" s="1315"/>
      <c r="AV3790" s="1315"/>
      <c r="AW3790" s="1315"/>
      <c r="AX3790" s="1315"/>
      <c r="AY3790" s="1315"/>
      <c r="AZ3790" s="1315"/>
      <c r="BA3790" s="1315"/>
      <c r="BB3790" s="1315"/>
      <c r="BC3790" s="1315"/>
      <c r="BD3790" s="1315"/>
      <c r="BE3790" s="1315"/>
      <c r="BF3790" s="1315"/>
      <c r="BG3790" s="1315"/>
      <c r="BH3790" s="1315"/>
      <c r="BI3790" s="1315"/>
      <c r="BJ3790" s="1315"/>
      <c r="BK3790" s="1315"/>
      <c r="BL3790" s="1315"/>
    </row>
    <row r="3791" spans="1:64">
      <c r="A3791" s="1794"/>
      <c r="B3791" s="1798"/>
      <c r="C3791" s="1795" t="s">
        <v>1032</v>
      </c>
      <c r="D3791" s="1201">
        <f t="shared" ref="D3791:K3791" si="882">SUM(D3785:D3790)</f>
        <v>11497.6715</v>
      </c>
      <c r="E3791" s="1201">
        <f t="shared" si="882"/>
        <v>12158.849499999998</v>
      </c>
      <c r="F3791" s="1201">
        <f t="shared" si="882"/>
        <v>12820.0275</v>
      </c>
      <c r="G3791" s="1201">
        <f t="shared" si="882"/>
        <v>13481.205499999998</v>
      </c>
      <c r="H3791" s="1201">
        <f t="shared" si="882"/>
        <v>14143.797499999999</v>
      </c>
      <c r="I3791" s="1201">
        <f t="shared" si="882"/>
        <v>13699.227499999997</v>
      </c>
      <c r="J3791" s="1021"/>
      <c r="K3791" s="1021">
        <f t="shared" si="882"/>
        <v>15021.5975</v>
      </c>
      <c r="L3791" s="1817"/>
      <c r="M3791" s="1315"/>
      <c r="N3791" s="1315"/>
      <c r="O3791" s="1315"/>
      <c r="P3791" s="1315"/>
      <c r="Q3791" s="1315"/>
      <c r="R3791" s="1315"/>
      <c r="S3791" s="1315"/>
      <c r="T3791" s="1315"/>
      <c r="U3791" s="1315"/>
      <c r="V3791" s="1315"/>
      <c r="W3791" s="1315"/>
      <c r="X3791" s="1315"/>
      <c r="Y3791" s="1315"/>
      <c r="Z3791" s="1315"/>
      <c r="AA3791" s="1315"/>
      <c r="AB3791" s="1315"/>
      <c r="AC3791" s="1315"/>
      <c r="AD3791" s="1315"/>
      <c r="AE3791" s="1315"/>
      <c r="AF3791" s="1315"/>
      <c r="AG3791" s="1315"/>
      <c r="AH3791" s="1315"/>
      <c r="AI3791" s="1315"/>
      <c r="AJ3791" s="1315"/>
      <c r="AK3791" s="1315"/>
      <c r="AL3791" s="1315"/>
      <c r="AM3791" s="1315"/>
      <c r="AN3791" s="1315"/>
      <c r="AO3791" s="1315"/>
      <c r="AP3791" s="1315"/>
      <c r="AQ3791" s="1315"/>
      <c r="AR3791" s="1315"/>
      <c r="AS3791" s="1315"/>
      <c r="AT3791" s="1315"/>
      <c r="AU3791" s="1315"/>
      <c r="AV3791" s="1315"/>
      <c r="AW3791" s="1315"/>
      <c r="AX3791" s="1315"/>
      <c r="AY3791" s="1315"/>
      <c r="AZ3791" s="1315"/>
      <c r="BA3791" s="1315"/>
      <c r="BB3791" s="1315"/>
      <c r="BC3791" s="1315"/>
      <c r="BD3791" s="1315"/>
      <c r="BE3791" s="1315"/>
      <c r="BF3791" s="1315"/>
      <c r="BG3791" s="1315"/>
      <c r="BH3791" s="1315"/>
      <c r="BI3791" s="1315"/>
      <c r="BJ3791" s="1315"/>
      <c r="BK3791" s="1315"/>
      <c r="BL3791" s="1315"/>
    </row>
    <row r="3792" spans="1:64">
      <c r="A3792" s="1794"/>
      <c r="B3792" s="1798"/>
      <c r="C3792" s="1807" t="str">
        <f>Input!$C$48</f>
        <v>Overheads &amp; Contractors Profit @ 13.615%</v>
      </c>
      <c r="D3792" s="1200">
        <f>ROUND(D3791*Input!$D$48,2)</f>
        <v>1565.41</v>
      </c>
      <c r="E3792" s="1200">
        <f>ROUND(E3791*Input!$D$48,2)</f>
        <v>1655.43</v>
      </c>
      <c r="F3792" s="1200">
        <f>ROUND(F3791*Input!$D$48,2)</f>
        <v>1745.45</v>
      </c>
      <c r="G3792" s="1200">
        <f>ROUND(G3791*Input!$D$48,2)</f>
        <v>1835.47</v>
      </c>
      <c r="H3792" s="1200">
        <f>ROUND(H3791*Input!$D$48,2)</f>
        <v>1925.68</v>
      </c>
      <c r="I3792" s="1200">
        <f>ROUND(I3791*Input!$D$48,2)</f>
        <v>1865.15</v>
      </c>
      <c r="J3792" s="1068"/>
      <c r="K3792" s="1068">
        <f>ROUND(K3791*Input!$D$48,2)</f>
        <v>2045.19</v>
      </c>
      <c r="L3792" s="1817"/>
      <c r="M3792" s="1315"/>
      <c r="N3792" s="1315"/>
      <c r="O3792" s="1315"/>
      <c r="P3792" s="1315"/>
      <c r="Q3792" s="1315"/>
      <c r="R3792" s="1315"/>
      <c r="S3792" s="1315"/>
      <c r="T3792" s="1315"/>
      <c r="U3792" s="1315"/>
      <c r="V3792" s="1315"/>
      <c r="W3792" s="1315"/>
      <c r="X3792" s="1315"/>
      <c r="Y3792" s="1315"/>
      <c r="Z3792" s="1315"/>
      <c r="AA3792" s="1315"/>
      <c r="AB3792" s="1315"/>
      <c r="AC3792" s="1315"/>
      <c r="AD3792" s="1315"/>
      <c r="AE3792" s="1315"/>
      <c r="AF3792" s="1315"/>
      <c r="AG3792" s="1315"/>
      <c r="AH3792" s="1315"/>
      <c r="AI3792" s="1315"/>
      <c r="AJ3792" s="1315"/>
      <c r="AK3792" s="1315"/>
      <c r="AL3792" s="1315"/>
      <c r="AM3792" s="1315"/>
      <c r="AN3792" s="1315"/>
      <c r="AO3792" s="1315"/>
      <c r="AP3792" s="1315"/>
      <c r="AQ3792" s="1315"/>
      <c r="AR3792" s="1315"/>
      <c r="AS3792" s="1315"/>
      <c r="AT3792" s="1315"/>
      <c r="AU3792" s="1315"/>
      <c r="AV3792" s="1315"/>
      <c r="AW3792" s="1315"/>
      <c r="AX3792" s="1315"/>
      <c r="AY3792" s="1315"/>
      <c r="AZ3792" s="1315"/>
      <c r="BA3792" s="1315"/>
      <c r="BB3792" s="1315"/>
      <c r="BC3792" s="1315"/>
      <c r="BD3792" s="1315"/>
      <c r="BE3792" s="1315"/>
      <c r="BF3792" s="1315"/>
      <c r="BG3792" s="1315"/>
      <c r="BH3792" s="1315"/>
      <c r="BI3792" s="1315"/>
      <c r="BJ3792" s="1315"/>
      <c r="BK3792" s="1315"/>
      <c r="BL3792" s="1315"/>
    </row>
    <row r="3793" spans="1:64">
      <c r="A3793" s="1794"/>
      <c r="B3793" s="1798"/>
      <c r="C3793" s="1795"/>
      <c r="D3793" s="1201">
        <f t="shared" ref="D3793:K3793" si="883">SUM(D3791:D3792)</f>
        <v>13063.0815</v>
      </c>
      <c r="E3793" s="1201">
        <f t="shared" si="883"/>
        <v>13814.279499999999</v>
      </c>
      <c r="F3793" s="1201">
        <f t="shared" si="883"/>
        <v>14565.477500000001</v>
      </c>
      <c r="G3793" s="1201">
        <f t="shared" si="883"/>
        <v>15316.675499999998</v>
      </c>
      <c r="H3793" s="1201">
        <f t="shared" si="883"/>
        <v>16069.477499999999</v>
      </c>
      <c r="I3793" s="1201">
        <f t="shared" si="883"/>
        <v>15564.377499999997</v>
      </c>
      <c r="J3793" s="1021"/>
      <c r="K3793" s="1021">
        <f t="shared" si="883"/>
        <v>17066.787499999999</v>
      </c>
      <c r="L3793" s="1817"/>
      <c r="M3793" s="1315"/>
      <c r="N3793" s="1315"/>
      <c r="O3793" s="1315"/>
      <c r="P3793" s="1315"/>
      <c r="Q3793" s="1315"/>
      <c r="R3793" s="1315"/>
      <c r="S3793" s="1315"/>
      <c r="T3793" s="1315"/>
      <c r="U3793" s="1315"/>
      <c r="V3793" s="1315"/>
      <c r="W3793" s="1315"/>
      <c r="X3793" s="1315"/>
      <c r="Y3793" s="1315"/>
      <c r="Z3793" s="1315"/>
      <c r="AA3793" s="1315"/>
      <c r="AB3793" s="1315"/>
      <c r="AC3793" s="1315"/>
      <c r="AD3793" s="1315"/>
      <c r="AE3793" s="1315"/>
      <c r="AF3793" s="1315"/>
      <c r="AG3793" s="1315"/>
      <c r="AH3793" s="1315"/>
      <c r="AI3793" s="1315"/>
      <c r="AJ3793" s="1315"/>
      <c r="AK3793" s="1315"/>
      <c r="AL3793" s="1315"/>
      <c r="AM3793" s="1315"/>
      <c r="AN3793" s="1315"/>
      <c r="AO3793" s="1315"/>
      <c r="AP3793" s="1315"/>
      <c r="AQ3793" s="1315"/>
      <c r="AR3793" s="1315"/>
      <c r="AS3793" s="1315"/>
      <c r="AT3793" s="1315"/>
      <c r="AU3793" s="1315"/>
      <c r="AV3793" s="1315"/>
      <c r="AW3793" s="1315"/>
      <c r="AX3793" s="1315"/>
      <c r="AY3793" s="1315"/>
      <c r="AZ3793" s="1315"/>
      <c r="BA3793" s="1315"/>
      <c r="BB3793" s="1315"/>
      <c r="BC3793" s="1315"/>
      <c r="BD3793" s="1315"/>
      <c r="BE3793" s="1315"/>
      <c r="BF3793" s="1315"/>
      <c r="BG3793" s="1315"/>
      <c r="BH3793" s="1315"/>
      <c r="BI3793" s="1315"/>
      <c r="BJ3793" s="1315"/>
      <c r="BK3793" s="1315"/>
      <c r="BL3793" s="1315"/>
    </row>
    <row r="3794" spans="1:64" s="1322" customFormat="1">
      <c r="A3794" s="1319"/>
      <c r="B3794" s="1797"/>
      <c r="C3794" s="1224" t="s">
        <v>1034</v>
      </c>
      <c r="D3794" s="1225">
        <f t="shared" ref="D3794:K3794" si="884">ROUND(D3793,0)</f>
        <v>13063</v>
      </c>
      <c r="E3794" s="1225">
        <f t="shared" si="884"/>
        <v>13814</v>
      </c>
      <c r="F3794" s="1225">
        <f t="shared" si="884"/>
        <v>14565</v>
      </c>
      <c r="G3794" s="1225">
        <f t="shared" si="884"/>
        <v>15317</v>
      </c>
      <c r="H3794" s="1225">
        <f t="shared" si="884"/>
        <v>16069</v>
      </c>
      <c r="I3794" s="1225">
        <f t="shared" si="884"/>
        <v>15564</v>
      </c>
      <c r="J3794" s="999"/>
      <c r="K3794" s="999">
        <f t="shared" si="884"/>
        <v>17067</v>
      </c>
      <c r="L3794" s="1110"/>
    </row>
    <row r="3795" spans="1:64">
      <c r="A3795" s="1794"/>
      <c r="B3795" s="1798"/>
      <c r="C3795" s="1331"/>
      <c r="D3795" s="1199"/>
      <c r="E3795" s="1199"/>
      <c r="F3795" s="1201"/>
      <c r="G3795" s="1325"/>
      <c r="H3795" s="1199"/>
      <c r="I3795" s="1205"/>
      <c r="J3795" s="1817"/>
      <c r="K3795" s="1817"/>
      <c r="L3795" s="1817"/>
      <c r="M3795" s="1315"/>
      <c r="N3795" s="1315"/>
      <c r="O3795" s="1315"/>
      <c r="P3795" s="1315"/>
      <c r="Q3795" s="1315"/>
      <c r="R3795" s="1315"/>
      <c r="S3795" s="1315"/>
      <c r="T3795" s="1315"/>
      <c r="U3795" s="1315"/>
      <c r="V3795" s="1315"/>
      <c r="W3795" s="1315"/>
      <c r="X3795" s="1315"/>
      <c r="Y3795" s="1315"/>
      <c r="Z3795" s="1315"/>
      <c r="AA3795" s="1315"/>
      <c r="AB3795" s="1315"/>
      <c r="AC3795" s="1315"/>
      <c r="AD3795" s="1315"/>
      <c r="AE3795" s="1315"/>
      <c r="AF3795" s="1315"/>
      <c r="AG3795" s="1315"/>
      <c r="AH3795" s="1315"/>
      <c r="AI3795" s="1315"/>
      <c r="AJ3795" s="1315"/>
      <c r="AK3795" s="1315"/>
      <c r="AL3795" s="1315"/>
      <c r="AM3795" s="1315"/>
      <c r="AN3795" s="1315"/>
      <c r="AO3795" s="1315"/>
      <c r="AP3795" s="1315"/>
      <c r="AQ3795" s="1315"/>
      <c r="AR3795" s="1315"/>
      <c r="AS3795" s="1315"/>
      <c r="AT3795" s="1315"/>
      <c r="AU3795" s="1315"/>
      <c r="AV3795" s="1315"/>
      <c r="AW3795" s="1315"/>
      <c r="AX3795" s="1315"/>
      <c r="AY3795" s="1315"/>
      <c r="AZ3795" s="1315"/>
      <c r="BA3795" s="1315"/>
      <c r="BB3795" s="1315"/>
      <c r="BC3795" s="1315"/>
      <c r="BD3795" s="1315"/>
      <c r="BE3795" s="1315"/>
      <c r="BF3795" s="1315"/>
      <c r="BG3795" s="1315"/>
      <c r="BH3795" s="1315"/>
      <c r="BI3795" s="1315"/>
      <c r="BJ3795" s="1315"/>
      <c r="BK3795" s="1315"/>
      <c r="BL3795" s="1315"/>
    </row>
    <row r="3796" spans="1:64">
      <c r="A3796" s="1794"/>
      <c r="B3796" s="1798"/>
      <c r="C3796" s="1807" t="s">
        <v>1217</v>
      </c>
      <c r="D3796" s="1797" t="s">
        <v>1213</v>
      </c>
      <c r="E3796" s="1797" t="s">
        <v>1214</v>
      </c>
      <c r="F3796" s="1201"/>
      <c r="G3796" s="1325"/>
      <c r="H3796" s="1199"/>
      <c r="I3796" s="1205"/>
      <c r="J3796" s="1817"/>
      <c r="K3796" s="1817"/>
      <c r="L3796" s="1817"/>
      <c r="M3796" s="1315"/>
      <c r="N3796" s="1315"/>
      <c r="O3796" s="1315"/>
      <c r="P3796" s="1315"/>
      <c r="Q3796" s="1315"/>
      <c r="R3796" s="1315"/>
      <c r="S3796" s="1315"/>
      <c r="T3796" s="1315"/>
      <c r="U3796" s="1315"/>
      <c r="V3796" s="1315"/>
      <c r="W3796" s="1315"/>
      <c r="X3796" s="1315"/>
      <c r="Y3796" s="1315"/>
      <c r="Z3796" s="1315"/>
      <c r="AA3796" s="1315"/>
      <c r="AB3796" s="1315"/>
      <c r="AC3796" s="1315"/>
      <c r="AD3796" s="1315"/>
      <c r="AE3796" s="1315"/>
      <c r="AF3796" s="1315"/>
      <c r="AG3796" s="1315"/>
      <c r="AH3796" s="1315"/>
      <c r="AI3796" s="1315"/>
      <c r="AJ3796" s="1315"/>
      <c r="AK3796" s="1315"/>
      <c r="AL3796" s="1315"/>
      <c r="AM3796" s="1315"/>
      <c r="AN3796" s="1315"/>
      <c r="AO3796" s="1315"/>
      <c r="AP3796" s="1315"/>
      <c r="AQ3796" s="1315"/>
      <c r="AR3796" s="1315"/>
      <c r="AS3796" s="1315"/>
      <c r="AT3796" s="1315"/>
      <c r="AU3796" s="1315"/>
      <c r="AV3796" s="1315"/>
      <c r="AW3796" s="1315"/>
      <c r="AX3796" s="1315"/>
      <c r="AY3796" s="1315"/>
      <c r="AZ3796" s="1315"/>
      <c r="BA3796" s="1315"/>
      <c r="BB3796" s="1315"/>
      <c r="BC3796" s="1315"/>
      <c r="BD3796" s="1315"/>
      <c r="BE3796" s="1315"/>
      <c r="BF3796" s="1315"/>
      <c r="BG3796" s="1315"/>
      <c r="BH3796" s="1315"/>
      <c r="BI3796" s="1315"/>
      <c r="BJ3796" s="1315"/>
      <c r="BK3796" s="1315"/>
      <c r="BL3796" s="1315"/>
    </row>
    <row r="3797" spans="1:64">
      <c r="A3797" s="1794"/>
      <c r="B3797" s="1798"/>
      <c r="C3797" s="1807" t="s">
        <v>1218</v>
      </c>
      <c r="D3797" s="1201">
        <f>$I$3782</f>
        <v>7642.0934999999999</v>
      </c>
      <c r="E3797" s="1201">
        <f>$I$3782</f>
        <v>7642.0934999999999</v>
      </c>
      <c r="F3797" s="1201"/>
      <c r="G3797" s="1325"/>
      <c r="H3797" s="1199"/>
      <c r="I3797" s="1205"/>
      <c r="J3797" s="1817"/>
      <c r="K3797" s="1817"/>
      <c r="L3797" s="1817"/>
      <c r="M3797" s="1315"/>
      <c r="N3797" s="1315"/>
      <c r="O3797" s="1315"/>
      <c r="P3797" s="1315"/>
      <c r="Q3797" s="1315"/>
      <c r="R3797" s="1315"/>
      <c r="S3797" s="1315"/>
      <c r="T3797" s="1315"/>
      <c r="U3797" s="1315"/>
      <c r="V3797" s="1315"/>
      <c r="W3797" s="1315"/>
      <c r="X3797" s="1315"/>
      <c r="Y3797" s="1315"/>
      <c r="Z3797" s="1315"/>
      <c r="AA3797" s="1315"/>
      <c r="AB3797" s="1315"/>
      <c r="AC3797" s="1315"/>
      <c r="AD3797" s="1315"/>
      <c r="AE3797" s="1315"/>
      <c r="AF3797" s="1315"/>
      <c r="AG3797" s="1315"/>
      <c r="AH3797" s="1315"/>
      <c r="AI3797" s="1315"/>
      <c r="AJ3797" s="1315"/>
      <c r="AK3797" s="1315"/>
      <c r="AL3797" s="1315"/>
      <c r="AM3797" s="1315"/>
      <c r="AN3797" s="1315"/>
      <c r="AO3797" s="1315"/>
      <c r="AP3797" s="1315"/>
      <c r="AQ3797" s="1315"/>
      <c r="AR3797" s="1315"/>
      <c r="AS3797" s="1315"/>
      <c r="AT3797" s="1315"/>
      <c r="AU3797" s="1315"/>
      <c r="AV3797" s="1315"/>
      <c r="AW3797" s="1315"/>
      <c r="AX3797" s="1315"/>
      <c r="AY3797" s="1315"/>
      <c r="AZ3797" s="1315"/>
      <c r="BA3797" s="1315"/>
      <c r="BB3797" s="1315"/>
      <c r="BC3797" s="1315"/>
      <c r="BD3797" s="1315"/>
      <c r="BE3797" s="1315"/>
      <c r="BF3797" s="1315"/>
      <c r="BG3797" s="1315"/>
      <c r="BH3797" s="1315"/>
      <c r="BI3797" s="1315"/>
      <c r="BJ3797" s="1315"/>
      <c r="BK3797" s="1315"/>
      <c r="BL3797" s="1315"/>
    </row>
    <row r="3798" spans="1:64">
      <c r="A3798" s="1794"/>
      <c r="B3798" s="1798"/>
      <c r="C3798" s="1807" t="s">
        <v>1182</v>
      </c>
      <c r="D3798" s="1201">
        <f>'Civil-SOR'!$F$278</f>
        <v>267</v>
      </c>
      <c r="E3798" s="1201">
        <f>'Civil-SOR'!$F$278</f>
        <v>267</v>
      </c>
      <c r="F3798" s="1201"/>
      <c r="G3798" s="1325"/>
      <c r="H3798" s="1199"/>
      <c r="I3798" s="1205"/>
      <c r="J3798" s="1817"/>
      <c r="K3798" s="1817"/>
      <c r="L3798" s="1817"/>
      <c r="M3798" s="1315"/>
      <c r="N3798" s="1315"/>
      <c r="O3798" s="1315"/>
      <c r="P3798" s="1315"/>
      <c r="Q3798" s="1315"/>
      <c r="R3798" s="1315"/>
      <c r="S3798" s="1315"/>
      <c r="T3798" s="1315"/>
      <c r="U3798" s="1315"/>
      <c r="V3798" s="1315"/>
      <c r="W3798" s="1315"/>
      <c r="X3798" s="1315"/>
      <c r="Y3798" s="1315"/>
      <c r="Z3798" s="1315"/>
      <c r="AA3798" s="1315"/>
      <c r="AB3798" s="1315"/>
      <c r="AC3798" s="1315"/>
      <c r="AD3798" s="1315"/>
      <c r="AE3798" s="1315"/>
      <c r="AF3798" s="1315"/>
      <c r="AG3798" s="1315"/>
      <c r="AH3798" s="1315"/>
      <c r="AI3798" s="1315"/>
      <c r="AJ3798" s="1315"/>
      <c r="AK3798" s="1315"/>
      <c r="AL3798" s="1315"/>
      <c r="AM3798" s="1315"/>
      <c r="AN3798" s="1315"/>
      <c r="AO3798" s="1315"/>
      <c r="AP3798" s="1315"/>
      <c r="AQ3798" s="1315"/>
      <c r="AR3798" s="1315"/>
      <c r="AS3798" s="1315"/>
      <c r="AT3798" s="1315"/>
      <c r="AU3798" s="1315"/>
      <c r="AV3798" s="1315"/>
      <c r="AW3798" s="1315"/>
      <c r="AX3798" s="1315"/>
      <c r="AY3798" s="1315"/>
      <c r="AZ3798" s="1315"/>
      <c r="BA3798" s="1315"/>
      <c r="BB3798" s="1315"/>
      <c r="BC3798" s="1315"/>
      <c r="BD3798" s="1315"/>
      <c r="BE3798" s="1315"/>
      <c r="BF3798" s="1315"/>
      <c r="BG3798" s="1315"/>
      <c r="BH3798" s="1315"/>
      <c r="BI3798" s="1315"/>
      <c r="BJ3798" s="1315"/>
      <c r="BK3798" s="1315"/>
      <c r="BL3798" s="1315"/>
    </row>
    <row r="3799" spans="1:64">
      <c r="A3799" s="1794"/>
      <c r="B3799" s="1798"/>
      <c r="C3799" s="1813" t="s">
        <v>1252</v>
      </c>
      <c r="D3799" s="1205">
        <f>'Civil-SOR'!$N$278</f>
        <v>3555</v>
      </c>
      <c r="E3799" s="1205">
        <f>'Civil-SOR'!$O$278</f>
        <v>3764</v>
      </c>
      <c r="F3799" s="1201"/>
      <c r="G3799" s="1325"/>
      <c r="H3799" s="1199"/>
      <c r="I3799" s="1205"/>
      <c r="J3799" s="1817"/>
      <c r="K3799" s="1817"/>
      <c r="L3799" s="1817"/>
      <c r="M3799" s="1315"/>
      <c r="N3799" s="1315"/>
      <c r="O3799" s="1315"/>
      <c r="P3799" s="1315"/>
      <c r="Q3799" s="1315"/>
      <c r="R3799" s="1315"/>
      <c r="S3799" s="1315"/>
      <c r="T3799" s="1315"/>
      <c r="U3799" s="1315"/>
      <c r="V3799" s="1315"/>
      <c r="W3799" s="1315"/>
      <c r="X3799" s="1315"/>
      <c r="Y3799" s="1315"/>
      <c r="Z3799" s="1315"/>
      <c r="AA3799" s="1315"/>
      <c r="AB3799" s="1315"/>
      <c r="AC3799" s="1315"/>
      <c r="AD3799" s="1315"/>
      <c r="AE3799" s="1315"/>
      <c r="AF3799" s="1315"/>
      <c r="AG3799" s="1315"/>
      <c r="AH3799" s="1315"/>
      <c r="AI3799" s="1315"/>
      <c r="AJ3799" s="1315"/>
      <c r="AK3799" s="1315"/>
      <c r="AL3799" s="1315"/>
      <c r="AM3799" s="1315"/>
      <c r="AN3799" s="1315"/>
      <c r="AO3799" s="1315"/>
      <c r="AP3799" s="1315"/>
      <c r="AQ3799" s="1315"/>
      <c r="AR3799" s="1315"/>
      <c r="AS3799" s="1315"/>
      <c r="AT3799" s="1315"/>
      <c r="AU3799" s="1315"/>
      <c r="AV3799" s="1315"/>
      <c r="AW3799" s="1315"/>
      <c r="AX3799" s="1315"/>
      <c r="AY3799" s="1315"/>
      <c r="AZ3799" s="1315"/>
      <c r="BA3799" s="1315"/>
      <c r="BB3799" s="1315"/>
      <c r="BC3799" s="1315"/>
      <c r="BD3799" s="1315"/>
      <c r="BE3799" s="1315"/>
      <c r="BF3799" s="1315"/>
      <c r="BG3799" s="1315"/>
      <c r="BH3799" s="1315"/>
      <c r="BI3799" s="1315"/>
      <c r="BJ3799" s="1315"/>
      <c r="BK3799" s="1315"/>
      <c r="BL3799" s="1315"/>
    </row>
    <row r="3800" spans="1:64">
      <c r="A3800" s="1794"/>
      <c r="B3800" s="1798"/>
      <c r="C3800" s="1807" t="str">
        <f>Input!$C$47</f>
        <v>Add for MA @ 40%</v>
      </c>
      <c r="D3800" s="1223">
        <f>D3799*Input!$D$47</f>
        <v>1422</v>
      </c>
      <c r="E3800" s="1223">
        <f>E3799*Input!$D$47</f>
        <v>1505.6000000000001</v>
      </c>
      <c r="F3800" s="1201"/>
      <c r="G3800" s="1325"/>
      <c r="H3800" s="1199"/>
      <c r="I3800" s="1205"/>
      <c r="J3800" s="1817"/>
      <c r="K3800" s="1817"/>
      <c r="L3800" s="1817"/>
      <c r="M3800" s="1315"/>
      <c r="N3800" s="1315"/>
      <c r="O3800" s="1315"/>
      <c r="P3800" s="1315"/>
      <c r="Q3800" s="1315"/>
      <c r="R3800" s="1315"/>
      <c r="S3800" s="1315"/>
      <c r="T3800" s="1315"/>
      <c r="U3800" s="1315"/>
      <c r="V3800" s="1315"/>
      <c r="W3800" s="1315"/>
      <c r="X3800" s="1315"/>
      <c r="Y3800" s="1315"/>
      <c r="Z3800" s="1315"/>
      <c r="AA3800" s="1315"/>
      <c r="AB3800" s="1315"/>
      <c r="AC3800" s="1315"/>
      <c r="AD3800" s="1315"/>
      <c r="AE3800" s="1315"/>
      <c r="AF3800" s="1315"/>
      <c r="AG3800" s="1315"/>
      <c r="AH3800" s="1315"/>
      <c r="AI3800" s="1315"/>
      <c r="AJ3800" s="1315"/>
      <c r="AK3800" s="1315"/>
      <c r="AL3800" s="1315"/>
      <c r="AM3800" s="1315"/>
      <c r="AN3800" s="1315"/>
      <c r="AO3800" s="1315"/>
      <c r="AP3800" s="1315"/>
      <c r="AQ3800" s="1315"/>
      <c r="AR3800" s="1315"/>
      <c r="AS3800" s="1315"/>
      <c r="AT3800" s="1315"/>
      <c r="AU3800" s="1315"/>
      <c r="AV3800" s="1315"/>
      <c r="AW3800" s="1315"/>
      <c r="AX3800" s="1315"/>
      <c r="AY3800" s="1315"/>
      <c r="AZ3800" s="1315"/>
      <c r="BA3800" s="1315"/>
      <c r="BB3800" s="1315"/>
      <c r="BC3800" s="1315"/>
      <c r="BD3800" s="1315"/>
      <c r="BE3800" s="1315"/>
      <c r="BF3800" s="1315"/>
      <c r="BG3800" s="1315"/>
      <c r="BH3800" s="1315"/>
      <c r="BI3800" s="1315"/>
      <c r="BJ3800" s="1315"/>
      <c r="BK3800" s="1315"/>
      <c r="BL3800" s="1315"/>
    </row>
    <row r="3801" spans="1:64">
      <c r="A3801" s="1794"/>
      <c r="B3801" s="1798"/>
      <c r="C3801" s="1807" t="s">
        <v>1498</v>
      </c>
      <c r="D3801" s="1201">
        <f>ROUND($F$3774*40%,2)</f>
        <v>1053.08</v>
      </c>
      <c r="E3801" s="1201">
        <f>ROUND($F$3774*50%,2)</f>
        <v>1316.36</v>
      </c>
      <c r="F3801" s="1201"/>
      <c r="G3801" s="1325"/>
      <c r="H3801" s="1199"/>
      <c r="I3801" s="1205"/>
      <c r="J3801" s="1817"/>
      <c r="K3801" s="1817"/>
      <c r="L3801" s="1817"/>
      <c r="M3801" s="1315"/>
      <c r="N3801" s="1315"/>
      <c r="O3801" s="1315"/>
      <c r="P3801" s="1315"/>
      <c r="Q3801" s="1315"/>
      <c r="R3801" s="1315"/>
      <c r="S3801" s="1315"/>
      <c r="T3801" s="1315"/>
      <c r="U3801" s="1315"/>
      <c r="V3801" s="1315"/>
      <c r="W3801" s="1315"/>
      <c r="X3801" s="1315"/>
      <c r="Y3801" s="1315"/>
      <c r="Z3801" s="1315"/>
      <c r="AA3801" s="1315"/>
      <c r="AB3801" s="1315"/>
      <c r="AC3801" s="1315"/>
      <c r="AD3801" s="1315"/>
      <c r="AE3801" s="1315"/>
      <c r="AF3801" s="1315"/>
      <c r="AG3801" s="1315"/>
      <c r="AH3801" s="1315"/>
      <c r="AI3801" s="1315"/>
      <c r="AJ3801" s="1315"/>
      <c r="AK3801" s="1315"/>
      <c r="AL3801" s="1315"/>
      <c r="AM3801" s="1315"/>
      <c r="AN3801" s="1315"/>
      <c r="AO3801" s="1315"/>
      <c r="AP3801" s="1315"/>
      <c r="AQ3801" s="1315"/>
      <c r="AR3801" s="1315"/>
      <c r="AS3801" s="1315"/>
      <c r="AT3801" s="1315"/>
      <c r="AU3801" s="1315"/>
      <c r="AV3801" s="1315"/>
      <c r="AW3801" s="1315"/>
      <c r="AX3801" s="1315"/>
      <c r="AY3801" s="1315"/>
      <c r="AZ3801" s="1315"/>
      <c r="BA3801" s="1315"/>
      <c r="BB3801" s="1315"/>
      <c r="BC3801" s="1315"/>
      <c r="BD3801" s="1315"/>
      <c r="BE3801" s="1315"/>
      <c r="BF3801" s="1315"/>
      <c r="BG3801" s="1315"/>
      <c r="BH3801" s="1315"/>
      <c r="BI3801" s="1315"/>
      <c r="BJ3801" s="1315"/>
      <c r="BK3801" s="1315"/>
      <c r="BL3801" s="1315"/>
    </row>
    <row r="3802" spans="1:64">
      <c r="A3802" s="1794"/>
      <c r="B3802" s="1798"/>
      <c r="C3802" s="1807" t="str">
        <f>Input!$C$47</f>
        <v>Add for MA @ 40%</v>
      </c>
      <c r="D3802" s="1201">
        <f>D3801*Input!$D$47</f>
        <v>421.23199999999997</v>
      </c>
      <c r="E3802" s="1201">
        <f>E3801*Input!$D$47</f>
        <v>526.54399999999998</v>
      </c>
      <c r="F3802" s="1201"/>
      <c r="G3802" s="1325"/>
      <c r="H3802" s="1199"/>
      <c r="I3802" s="1205"/>
      <c r="J3802" s="1817"/>
      <c r="K3802" s="1817"/>
      <c r="L3802" s="1817"/>
      <c r="M3802" s="1315"/>
      <c r="N3802" s="1315"/>
      <c r="O3802" s="1315"/>
      <c r="P3802" s="1315"/>
      <c r="Q3802" s="1315"/>
      <c r="R3802" s="1315"/>
      <c r="S3802" s="1315"/>
      <c r="T3802" s="1315"/>
      <c r="U3802" s="1315"/>
      <c r="V3802" s="1315"/>
      <c r="W3802" s="1315"/>
      <c r="X3802" s="1315"/>
      <c r="Y3802" s="1315"/>
      <c r="Z3802" s="1315"/>
      <c r="AA3802" s="1315"/>
      <c r="AB3802" s="1315"/>
      <c r="AC3802" s="1315"/>
      <c r="AD3802" s="1315"/>
      <c r="AE3802" s="1315"/>
      <c r="AF3802" s="1315"/>
      <c r="AG3802" s="1315"/>
      <c r="AH3802" s="1315"/>
      <c r="AI3802" s="1315"/>
      <c r="AJ3802" s="1315"/>
      <c r="AK3802" s="1315"/>
      <c r="AL3802" s="1315"/>
      <c r="AM3802" s="1315"/>
      <c r="AN3802" s="1315"/>
      <c r="AO3802" s="1315"/>
      <c r="AP3802" s="1315"/>
      <c r="AQ3802" s="1315"/>
      <c r="AR3802" s="1315"/>
      <c r="AS3802" s="1315"/>
      <c r="AT3802" s="1315"/>
      <c r="AU3802" s="1315"/>
      <c r="AV3802" s="1315"/>
      <c r="AW3802" s="1315"/>
      <c r="AX3802" s="1315"/>
      <c r="AY3802" s="1315"/>
      <c r="AZ3802" s="1315"/>
      <c r="BA3802" s="1315"/>
      <c r="BB3802" s="1315"/>
      <c r="BC3802" s="1315"/>
      <c r="BD3802" s="1315"/>
      <c r="BE3802" s="1315"/>
      <c r="BF3802" s="1315"/>
      <c r="BG3802" s="1315"/>
      <c r="BH3802" s="1315"/>
      <c r="BI3802" s="1315"/>
      <c r="BJ3802" s="1315"/>
      <c r="BK3802" s="1315"/>
      <c r="BL3802" s="1315"/>
    </row>
    <row r="3803" spans="1:64">
      <c r="A3803" s="1794"/>
      <c r="B3803" s="1798"/>
      <c r="C3803" s="1807" t="s">
        <v>1032</v>
      </c>
      <c r="D3803" s="1201">
        <f>SUM(D3797:D3802)</f>
        <v>14360.405499999999</v>
      </c>
      <c r="E3803" s="1201">
        <f>SUM(E3797:E3802)</f>
        <v>15021.5975</v>
      </c>
      <c r="F3803" s="1201"/>
      <c r="G3803" s="1325"/>
      <c r="H3803" s="1199"/>
      <c r="I3803" s="1205"/>
      <c r="J3803" s="1817"/>
      <c r="K3803" s="1817"/>
      <c r="L3803" s="1817"/>
      <c r="M3803" s="1315"/>
      <c r="N3803" s="1315"/>
      <c r="O3803" s="1315"/>
      <c r="P3803" s="1315"/>
      <c r="Q3803" s="1315"/>
      <c r="R3803" s="1315"/>
      <c r="S3803" s="1315"/>
      <c r="T3803" s="1315"/>
      <c r="U3803" s="1315"/>
      <c r="V3803" s="1315"/>
      <c r="W3803" s="1315"/>
      <c r="X3803" s="1315"/>
      <c r="Y3803" s="1315"/>
      <c r="Z3803" s="1315"/>
      <c r="AA3803" s="1315"/>
      <c r="AB3803" s="1315"/>
      <c r="AC3803" s="1315"/>
      <c r="AD3803" s="1315"/>
      <c r="AE3803" s="1315"/>
      <c r="AF3803" s="1315"/>
      <c r="AG3803" s="1315"/>
      <c r="AH3803" s="1315"/>
      <c r="AI3803" s="1315"/>
      <c r="AJ3803" s="1315"/>
      <c r="AK3803" s="1315"/>
      <c r="AL3803" s="1315"/>
      <c r="AM3803" s="1315"/>
      <c r="AN3803" s="1315"/>
      <c r="AO3803" s="1315"/>
      <c r="AP3803" s="1315"/>
      <c r="AQ3803" s="1315"/>
      <c r="AR3803" s="1315"/>
      <c r="AS3803" s="1315"/>
      <c r="AT3803" s="1315"/>
      <c r="AU3803" s="1315"/>
      <c r="AV3803" s="1315"/>
      <c r="AW3803" s="1315"/>
      <c r="AX3803" s="1315"/>
      <c r="AY3803" s="1315"/>
      <c r="AZ3803" s="1315"/>
      <c r="BA3803" s="1315"/>
      <c r="BB3803" s="1315"/>
      <c r="BC3803" s="1315"/>
      <c r="BD3803" s="1315"/>
      <c r="BE3803" s="1315"/>
      <c r="BF3803" s="1315"/>
      <c r="BG3803" s="1315"/>
      <c r="BH3803" s="1315"/>
      <c r="BI3803" s="1315"/>
      <c r="BJ3803" s="1315"/>
      <c r="BK3803" s="1315"/>
      <c r="BL3803" s="1315"/>
    </row>
    <row r="3804" spans="1:64">
      <c r="A3804" s="1794"/>
      <c r="B3804" s="1798"/>
      <c r="C3804" s="1807" t="str">
        <f>Input!$C$48</f>
        <v>Overheads &amp; Contractors Profit @ 13.615%</v>
      </c>
      <c r="D3804" s="1200">
        <f>ROUND(D3803*Input!$D$48,2)</f>
        <v>1955.17</v>
      </c>
      <c r="E3804" s="1200">
        <f>ROUND(E3803*Input!$D$48,2)</f>
        <v>2045.19</v>
      </c>
      <c r="F3804" s="1201"/>
      <c r="G3804" s="1325"/>
      <c r="H3804" s="1199"/>
      <c r="I3804" s="1205"/>
      <c r="J3804" s="1817"/>
      <c r="K3804" s="1817"/>
      <c r="L3804" s="1817"/>
      <c r="M3804" s="1315"/>
      <c r="N3804" s="1315"/>
      <c r="O3804" s="1315"/>
      <c r="P3804" s="1315"/>
      <c r="Q3804" s="1315"/>
      <c r="R3804" s="1315"/>
      <c r="S3804" s="1315"/>
      <c r="T3804" s="1315"/>
      <c r="U3804" s="1315"/>
      <c r="V3804" s="1315"/>
      <c r="W3804" s="1315"/>
      <c r="X3804" s="1315"/>
      <c r="Y3804" s="1315"/>
      <c r="Z3804" s="1315"/>
      <c r="AA3804" s="1315"/>
      <c r="AB3804" s="1315"/>
      <c r="AC3804" s="1315"/>
      <c r="AD3804" s="1315"/>
      <c r="AE3804" s="1315"/>
      <c r="AF3804" s="1315"/>
      <c r="AG3804" s="1315"/>
      <c r="AH3804" s="1315"/>
      <c r="AI3804" s="1315"/>
      <c r="AJ3804" s="1315"/>
      <c r="AK3804" s="1315"/>
      <c r="AL3804" s="1315"/>
      <c r="AM3804" s="1315"/>
      <c r="AN3804" s="1315"/>
      <c r="AO3804" s="1315"/>
      <c r="AP3804" s="1315"/>
      <c r="AQ3804" s="1315"/>
      <c r="AR3804" s="1315"/>
      <c r="AS3804" s="1315"/>
      <c r="AT3804" s="1315"/>
      <c r="AU3804" s="1315"/>
      <c r="AV3804" s="1315"/>
      <c r="AW3804" s="1315"/>
      <c r="AX3804" s="1315"/>
      <c r="AY3804" s="1315"/>
      <c r="AZ3804" s="1315"/>
      <c r="BA3804" s="1315"/>
      <c r="BB3804" s="1315"/>
      <c r="BC3804" s="1315"/>
      <c r="BD3804" s="1315"/>
      <c r="BE3804" s="1315"/>
      <c r="BF3804" s="1315"/>
      <c r="BG3804" s="1315"/>
      <c r="BH3804" s="1315"/>
      <c r="BI3804" s="1315"/>
      <c r="BJ3804" s="1315"/>
      <c r="BK3804" s="1315"/>
      <c r="BL3804" s="1315"/>
    </row>
    <row r="3805" spans="1:64">
      <c r="A3805" s="1794"/>
      <c r="B3805" s="1798"/>
      <c r="C3805" s="1807"/>
      <c r="D3805" s="1201">
        <f>SUM(D3803:D3804)</f>
        <v>16315.575499999999</v>
      </c>
      <c r="E3805" s="1201">
        <f>SUM(E3803:E3804)</f>
        <v>17066.787499999999</v>
      </c>
      <c r="F3805" s="1201"/>
      <c r="G3805" s="1325"/>
      <c r="H3805" s="1199"/>
      <c r="I3805" s="1205"/>
      <c r="J3805" s="1817"/>
      <c r="K3805" s="1817"/>
      <c r="L3805" s="1817"/>
      <c r="M3805" s="1315"/>
      <c r="N3805" s="1315"/>
      <c r="O3805" s="1315"/>
      <c r="P3805" s="1315"/>
      <c r="Q3805" s="1315"/>
      <c r="R3805" s="1315"/>
      <c r="S3805" s="1315"/>
      <c r="T3805" s="1315"/>
      <c r="U3805" s="1315"/>
      <c r="V3805" s="1315"/>
      <c r="W3805" s="1315"/>
      <c r="X3805" s="1315"/>
      <c r="Y3805" s="1315"/>
      <c r="Z3805" s="1315"/>
      <c r="AA3805" s="1315"/>
      <c r="AB3805" s="1315"/>
      <c r="AC3805" s="1315"/>
      <c r="AD3805" s="1315"/>
      <c r="AE3805" s="1315"/>
      <c r="AF3805" s="1315"/>
      <c r="AG3805" s="1315"/>
      <c r="AH3805" s="1315"/>
      <c r="AI3805" s="1315"/>
      <c r="AJ3805" s="1315"/>
      <c r="AK3805" s="1315"/>
      <c r="AL3805" s="1315"/>
      <c r="AM3805" s="1315"/>
      <c r="AN3805" s="1315"/>
      <c r="AO3805" s="1315"/>
      <c r="AP3805" s="1315"/>
      <c r="AQ3805" s="1315"/>
      <c r="AR3805" s="1315"/>
      <c r="AS3805" s="1315"/>
      <c r="AT3805" s="1315"/>
      <c r="AU3805" s="1315"/>
      <c r="AV3805" s="1315"/>
      <c r="AW3805" s="1315"/>
      <c r="AX3805" s="1315"/>
      <c r="AY3805" s="1315"/>
      <c r="AZ3805" s="1315"/>
      <c r="BA3805" s="1315"/>
      <c r="BB3805" s="1315"/>
      <c r="BC3805" s="1315"/>
      <c r="BD3805" s="1315"/>
      <c r="BE3805" s="1315"/>
      <c r="BF3805" s="1315"/>
      <c r="BG3805" s="1315"/>
      <c r="BH3805" s="1315"/>
      <c r="BI3805" s="1315"/>
      <c r="BJ3805" s="1315"/>
      <c r="BK3805" s="1315"/>
      <c r="BL3805" s="1315"/>
    </row>
    <row r="3806" spans="1:64">
      <c r="A3806" s="1794"/>
      <c r="B3806" s="1798"/>
      <c r="C3806" s="1313" t="s">
        <v>1034</v>
      </c>
      <c r="D3806" s="1225">
        <f>ROUND(D3805,0)</f>
        <v>16316</v>
      </c>
      <c r="E3806" s="1225">
        <f>ROUND(E3805,0)</f>
        <v>17067</v>
      </c>
      <c r="F3806" s="1201"/>
      <c r="G3806" s="1325"/>
      <c r="H3806" s="1199"/>
      <c r="I3806" s="1205"/>
      <c r="J3806" s="1817"/>
      <c r="K3806" s="1817"/>
      <c r="L3806" s="1817"/>
      <c r="M3806" s="1315"/>
      <c r="N3806" s="1315"/>
      <c r="O3806" s="1315"/>
      <c r="P3806" s="1315"/>
      <c r="Q3806" s="1315"/>
      <c r="R3806" s="1315"/>
      <c r="S3806" s="1315"/>
      <c r="T3806" s="1315"/>
      <c r="U3806" s="1315"/>
      <c r="V3806" s="1315"/>
      <c r="W3806" s="1315"/>
      <c r="X3806" s="1315"/>
      <c r="Y3806" s="1315"/>
      <c r="Z3806" s="1315"/>
      <c r="AA3806" s="1315"/>
      <c r="AB3806" s="1315"/>
      <c r="AC3806" s="1315"/>
      <c r="AD3806" s="1315"/>
      <c r="AE3806" s="1315"/>
      <c r="AF3806" s="1315"/>
      <c r="AG3806" s="1315"/>
      <c r="AH3806" s="1315"/>
      <c r="AI3806" s="1315"/>
      <c r="AJ3806" s="1315"/>
      <c r="AK3806" s="1315"/>
      <c r="AL3806" s="1315"/>
      <c r="AM3806" s="1315"/>
      <c r="AN3806" s="1315"/>
      <c r="AO3806" s="1315"/>
      <c r="AP3806" s="1315"/>
      <c r="AQ3806" s="1315"/>
      <c r="AR3806" s="1315"/>
      <c r="AS3806" s="1315"/>
      <c r="AT3806" s="1315"/>
      <c r="AU3806" s="1315"/>
      <c r="AV3806" s="1315"/>
      <c r="AW3806" s="1315"/>
      <c r="AX3806" s="1315"/>
      <c r="AY3806" s="1315"/>
      <c r="AZ3806" s="1315"/>
      <c r="BA3806" s="1315"/>
      <c r="BB3806" s="1315"/>
      <c r="BC3806" s="1315"/>
      <c r="BD3806" s="1315"/>
      <c r="BE3806" s="1315"/>
      <c r="BF3806" s="1315"/>
      <c r="BG3806" s="1315"/>
      <c r="BH3806" s="1315"/>
      <c r="BI3806" s="1315"/>
      <c r="BJ3806" s="1315"/>
      <c r="BK3806" s="1315"/>
      <c r="BL3806" s="1315"/>
    </row>
    <row r="3807" spans="1:64">
      <c r="A3807" s="1794"/>
      <c r="B3807" s="1798"/>
      <c r="C3807" s="1331"/>
      <c r="D3807" s="1199"/>
      <c r="E3807" s="1199"/>
      <c r="F3807" s="1201"/>
      <c r="G3807" s="1325"/>
      <c r="H3807" s="1199"/>
      <c r="I3807" s="1205"/>
      <c r="J3807" s="1817"/>
      <c r="K3807" s="1817"/>
      <c r="L3807" s="1817"/>
      <c r="M3807" s="1315"/>
      <c r="N3807" s="1315"/>
      <c r="O3807" s="1315"/>
      <c r="P3807" s="1315"/>
      <c r="Q3807" s="1315"/>
      <c r="R3807" s="1315"/>
      <c r="S3807" s="1315"/>
      <c r="T3807" s="1315"/>
      <c r="U3807" s="1315"/>
      <c r="V3807" s="1315"/>
      <c r="W3807" s="1315"/>
      <c r="X3807" s="1315"/>
      <c r="Y3807" s="1315"/>
      <c r="Z3807" s="1315"/>
      <c r="AA3807" s="1315"/>
      <c r="AB3807" s="1315"/>
      <c r="AC3807" s="1315"/>
      <c r="AD3807" s="1315"/>
      <c r="AE3807" s="1315"/>
      <c r="AF3807" s="1315"/>
      <c r="AG3807" s="1315"/>
      <c r="AH3807" s="1315"/>
      <c r="AI3807" s="1315"/>
      <c r="AJ3807" s="1315"/>
      <c r="AK3807" s="1315"/>
      <c r="AL3807" s="1315"/>
      <c r="AM3807" s="1315"/>
      <c r="AN3807" s="1315"/>
      <c r="AO3807" s="1315"/>
      <c r="AP3807" s="1315"/>
      <c r="AQ3807" s="1315"/>
      <c r="AR3807" s="1315"/>
      <c r="AS3807" s="1315"/>
      <c r="AT3807" s="1315"/>
      <c r="AU3807" s="1315"/>
      <c r="AV3807" s="1315"/>
      <c r="AW3807" s="1315"/>
      <c r="AX3807" s="1315"/>
      <c r="AY3807" s="1315"/>
      <c r="AZ3807" s="1315"/>
      <c r="BA3807" s="1315"/>
      <c r="BB3807" s="1315"/>
      <c r="BC3807" s="1315"/>
      <c r="BD3807" s="1315"/>
      <c r="BE3807" s="1315"/>
      <c r="BF3807" s="1315"/>
      <c r="BG3807" s="1315"/>
      <c r="BH3807" s="1315"/>
      <c r="BI3807" s="1315"/>
      <c r="BJ3807" s="1315"/>
      <c r="BK3807" s="1315"/>
      <c r="BL3807" s="1315"/>
    </row>
    <row r="3808" spans="1:64" ht="102.95" customHeight="1">
      <c r="A3808" s="2005">
        <f>1+A3727</f>
        <v>44</v>
      </c>
      <c r="B3808" s="2005"/>
      <c r="C3808" s="2022" t="s">
        <v>3449</v>
      </c>
      <c r="D3808" s="2022"/>
      <c r="E3808" s="2022"/>
      <c r="F3808" s="2022"/>
      <c r="G3808" s="2022"/>
      <c r="H3808" s="2022"/>
      <c r="I3808" s="1814"/>
      <c r="J3808" s="1817"/>
      <c r="K3808" s="1817"/>
      <c r="L3808" s="1817"/>
      <c r="M3808" s="1315"/>
      <c r="N3808" s="1315"/>
      <c r="O3808" s="1315"/>
      <c r="P3808" s="1315"/>
      <c r="Q3808" s="1315"/>
      <c r="R3808" s="1315"/>
      <c r="S3808" s="1315"/>
      <c r="T3808" s="1315"/>
      <c r="U3808" s="1315"/>
      <c r="V3808" s="1315"/>
      <c r="W3808" s="1315"/>
      <c r="X3808" s="1315"/>
      <c r="Y3808" s="1315"/>
      <c r="Z3808" s="1315"/>
      <c r="AA3808" s="1315"/>
      <c r="AB3808" s="1315"/>
      <c r="AC3808" s="1315"/>
      <c r="AD3808" s="1315"/>
      <c r="AE3808" s="1315"/>
      <c r="AF3808" s="1315"/>
      <c r="AG3808" s="1315"/>
      <c r="AH3808" s="1315"/>
      <c r="AI3808" s="1315"/>
      <c r="AJ3808" s="1315"/>
      <c r="AK3808" s="1315"/>
      <c r="AL3808" s="1315"/>
      <c r="AM3808" s="1315"/>
      <c r="AN3808" s="1315"/>
      <c r="AO3808" s="1315"/>
      <c r="AP3808" s="1315"/>
      <c r="AQ3808" s="1315"/>
      <c r="AR3808" s="1315"/>
      <c r="AS3808" s="1315"/>
      <c r="AT3808" s="1315"/>
      <c r="AU3808" s="1315"/>
      <c r="AV3808" s="1315"/>
      <c r="AW3808" s="1315"/>
      <c r="AX3808" s="1315"/>
      <c r="AY3808" s="1315"/>
      <c r="AZ3808" s="1315"/>
      <c r="BA3808" s="1315"/>
      <c r="BB3808" s="1315"/>
      <c r="BC3808" s="1315"/>
      <c r="BD3808" s="1315"/>
      <c r="BE3808" s="1315"/>
      <c r="BF3808" s="1315"/>
      <c r="BG3808" s="1315"/>
      <c r="BH3808" s="1315"/>
      <c r="BI3808" s="1315"/>
      <c r="BJ3808" s="1315"/>
      <c r="BK3808" s="1315"/>
      <c r="BL3808" s="1315"/>
    </row>
    <row r="3809" spans="1:64">
      <c r="A3809" s="1794"/>
      <c r="B3809" s="1332"/>
      <c r="C3809" s="1795" t="s">
        <v>1499</v>
      </c>
      <c r="D3809" s="1231">
        <v>4.5999999999999996</v>
      </c>
      <c r="E3809" s="1795" t="s">
        <v>197</v>
      </c>
      <c r="F3809" s="1794"/>
      <c r="G3809" s="1807"/>
      <c r="H3809" s="1807"/>
      <c r="I3809" s="1209"/>
      <c r="J3809" s="1817"/>
      <c r="K3809" s="1817"/>
      <c r="L3809" s="1817"/>
      <c r="M3809" s="1315"/>
      <c r="N3809" s="1315"/>
      <c r="O3809" s="1315"/>
      <c r="P3809" s="1315"/>
      <c r="Q3809" s="1315"/>
      <c r="R3809" s="1315"/>
      <c r="S3809" s="1315"/>
      <c r="T3809" s="1315"/>
      <c r="U3809" s="1315"/>
      <c r="V3809" s="1315"/>
      <c r="W3809" s="1315"/>
      <c r="X3809" s="1315"/>
      <c r="Y3809" s="1315"/>
      <c r="Z3809" s="1315"/>
      <c r="AA3809" s="1315"/>
      <c r="AB3809" s="1315"/>
      <c r="AC3809" s="1315"/>
      <c r="AD3809" s="1315"/>
      <c r="AE3809" s="1315"/>
      <c r="AF3809" s="1315"/>
      <c r="AG3809" s="1315"/>
      <c r="AH3809" s="1315"/>
      <c r="AI3809" s="1315"/>
      <c r="AJ3809" s="1315"/>
      <c r="AK3809" s="1315"/>
      <c r="AL3809" s="1315"/>
      <c r="AM3809" s="1315"/>
      <c r="AN3809" s="1315"/>
      <c r="AO3809" s="1315"/>
      <c r="AP3809" s="1315"/>
      <c r="AQ3809" s="1315"/>
      <c r="AR3809" s="1315"/>
      <c r="AS3809" s="1315"/>
      <c r="AT3809" s="1315"/>
      <c r="AU3809" s="1315"/>
      <c r="AV3809" s="1315"/>
      <c r="AW3809" s="1315"/>
      <c r="AX3809" s="1315"/>
      <c r="AY3809" s="1315"/>
      <c r="AZ3809" s="1315"/>
      <c r="BA3809" s="1315"/>
      <c r="BB3809" s="1315"/>
      <c r="BC3809" s="1315"/>
      <c r="BD3809" s="1315"/>
      <c r="BE3809" s="1315"/>
      <c r="BF3809" s="1315"/>
      <c r="BG3809" s="1315"/>
      <c r="BH3809" s="1315"/>
      <c r="BI3809" s="1315"/>
      <c r="BJ3809" s="1315"/>
      <c r="BK3809" s="1315"/>
      <c r="BL3809" s="1315"/>
    </row>
    <row r="3810" spans="1:64">
      <c r="A3810" s="1794"/>
      <c r="B3810" s="1332"/>
      <c r="C3810" s="1807" t="s">
        <v>1500</v>
      </c>
      <c r="D3810" s="1203">
        <f>1*4.6</f>
        <v>4.5999999999999996</v>
      </c>
      <c r="E3810" s="1199" t="s">
        <v>197</v>
      </c>
      <c r="F3810" s="1201"/>
      <c r="G3810" s="1204"/>
      <c r="H3810" s="1199"/>
      <c r="I3810" s="1205"/>
      <c r="J3810" s="1817"/>
      <c r="K3810" s="1817"/>
      <c r="L3810" s="1817"/>
      <c r="M3810" s="1315"/>
      <c r="N3810" s="1315"/>
      <c r="O3810" s="1315"/>
      <c r="P3810" s="1315"/>
      <c r="Q3810" s="1315"/>
      <c r="R3810" s="1315"/>
      <c r="S3810" s="1315"/>
      <c r="T3810" s="1315"/>
      <c r="U3810" s="1315"/>
      <c r="V3810" s="1315"/>
      <c r="W3810" s="1315"/>
      <c r="X3810" s="1315"/>
      <c r="Y3810" s="1315"/>
      <c r="Z3810" s="1315"/>
      <c r="AA3810" s="1315"/>
      <c r="AB3810" s="1315"/>
      <c r="AC3810" s="1315"/>
      <c r="AD3810" s="1315"/>
      <c r="AE3810" s="1315"/>
      <c r="AF3810" s="1315"/>
      <c r="AG3810" s="1315"/>
      <c r="AH3810" s="1315"/>
      <c r="AI3810" s="1315"/>
      <c r="AJ3810" s="1315"/>
      <c r="AK3810" s="1315"/>
      <c r="AL3810" s="1315"/>
      <c r="AM3810" s="1315"/>
      <c r="AN3810" s="1315"/>
      <c r="AO3810" s="1315"/>
      <c r="AP3810" s="1315"/>
      <c r="AQ3810" s="1315"/>
      <c r="AR3810" s="1315"/>
      <c r="AS3810" s="1315"/>
      <c r="AT3810" s="1315"/>
      <c r="AU3810" s="1315"/>
      <c r="AV3810" s="1315"/>
      <c r="AW3810" s="1315"/>
      <c r="AX3810" s="1315"/>
      <c r="AY3810" s="1315"/>
      <c r="AZ3810" s="1315"/>
      <c r="BA3810" s="1315"/>
      <c r="BB3810" s="1315"/>
      <c r="BC3810" s="1315"/>
      <c r="BD3810" s="1315"/>
      <c r="BE3810" s="1315"/>
      <c r="BF3810" s="1315"/>
      <c r="BG3810" s="1315"/>
      <c r="BH3810" s="1315"/>
      <c r="BI3810" s="1315"/>
      <c r="BJ3810" s="1315"/>
      <c r="BK3810" s="1315"/>
      <c r="BL3810" s="1315"/>
    </row>
    <row r="3811" spans="1:64">
      <c r="A3811" s="1794"/>
      <c r="B3811" s="1332"/>
      <c r="C3811" s="1807" t="s">
        <v>1501</v>
      </c>
      <c r="D3811" s="1203">
        <f>26*0.9</f>
        <v>23.400000000000002</v>
      </c>
      <c r="E3811" s="1199" t="s">
        <v>197</v>
      </c>
      <c r="F3811" s="1201"/>
      <c r="G3811" s="1204"/>
      <c r="H3811" s="1199"/>
      <c r="I3811" s="1205"/>
      <c r="J3811" s="1817"/>
      <c r="K3811" s="1817"/>
      <c r="L3811" s="1817"/>
      <c r="M3811" s="1315"/>
      <c r="N3811" s="1315"/>
      <c r="O3811" s="1315"/>
      <c r="P3811" s="1315"/>
      <c r="Q3811" s="1315"/>
      <c r="R3811" s="1315"/>
      <c r="S3811" s="1315"/>
      <c r="T3811" s="1315"/>
      <c r="U3811" s="1315"/>
      <c r="V3811" s="1315"/>
      <c r="W3811" s="1315"/>
      <c r="X3811" s="1315"/>
      <c r="Y3811" s="1315"/>
      <c r="Z3811" s="1315"/>
      <c r="AA3811" s="1315"/>
      <c r="AB3811" s="1315"/>
      <c r="AC3811" s="1315"/>
      <c r="AD3811" s="1315"/>
      <c r="AE3811" s="1315"/>
      <c r="AF3811" s="1315"/>
      <c r="AG3811" s="1315"/>
      <c r="AH3811" s="1315"/>
      <c r="AI3811" s="1315"/>
      <c r="AJ3811" s="1315"/>
      <c r="AK3811" s="1315"/>
      <c r="AL3811" s="1315"/>
      <c r="AM3811" s="1315"/>
      <c r="AN3811" s="1315"/>
      <c r="AO3811" s="1315"/>
      <c r="AP3811" s="1315"/>
      <c r="AQ3811" s="1315"/>
      <c r="AR3811" s="1315"/>
      <c r="AS3811" s="1315"/>
      <c r="AT3811" s="1315"/>
      <c r="AU3811" s="1315"/>
      <c r="AV3811" s="1315"/>
      <c r="AW3811" s="1315"/>
      <c r="AX3811" s="1315"/>
      <c r="AY3811" s="1315"/>
      <c r="AZ3811" s="1315"/>
      <c r="BA3811" s="1315"/>
      <c r="BB3811" s="1315"/>
      <c r="BC3811" s="1315"/>
      <c r="BD3811" s="1315"/>
      <c r="BE3811" s="1315"/>
      <c r="BF3811" s="1315"/>
      <c r="BG3811" s="1315"/>
      <c r="BH3811" s="1315"/>
      <c r="BI3811" s="1315"/>
      <c r="BJ3811" s="1315"/>
      <c r="BK3811" s="1315"/>
      <c r="BL3811" s="1315"/>
    </row>
    <row r="3812" spans="1:64">
      <c r="A3812" s="1794"/>
      <c r="B3812" s="1332"/>
      <c r="C3812" s="1813" t="s">
        <v>1502</v>
      </c>
      <c r="D3812" s="1333">
        <f>ROUND(4.6*2.39,2)</f>
        <v>10.99</v>
      </c>
      <c r="E3812" s="1271" t="s">
        <v>1110</v>
      </c>
      <c r="F3812" s="1223"/>
      <c r="G3812" s="1334"/>
      <c r="H3812" s="1271"/>
      <c r="I3812" s="1205"/>
      <c r="J3812" s="1817"/>
      <c r="K3812" s="1817"/>
      <c r="L3812" s="1817"/>
      <c r="M3812" s="1315"/>
      <c r="N3812" s="1315"/>
      <c r="O3812" s="1315"/>
      <c r="P3812" s="1315"/>
      <c r="Q3812" s="1315"/>
      <c r="R3812" s="1315"/>
      <c r="S3812" s="1315"/>
      <c r="T3812" s="1315"/>
      <c r="U3812" s="1315"/>
      <c r="V3812" s="1315"/>
      <c r="W3812" s="1315"/>
      <c r="X3812" s="1315"/>
      <c r="Y3812" s="1315"/>
      <c r="Z3812" s="1315"/>
      <c r="AA3812" s="1315"/>
      <c r="AB3812" s="1315"/>
      <c r="AC3812" s="1315"/>
      <c r="AD3812" s="1315"/>
      <c r="AE3812" s="1315"/>
      <c r="AF3812" s="1315"/>
      <c r="AG3812" s="1315"/>
      <c r="AH3812" s="1315"/>
      <c r="AI3812" s="1315"/>
      <c r="AJ3812" s="1315"/>
      <c r="AK3812" s="1315"/>
      <c r="AL3812" s="1315"/>
      <c r="AM3812" s="1315"/>
      <c r="AN3812" s="1315"/>
      <c r="AO3812" s="1315"/>
      <c r="AP3812" s="1315"/>
      <c r="AQ3812" s="1315"/>
      <c r="AR3812" s="1315"/>
      <c r="AS3812" s="1315"/>
      <c r="AT3812" s="1315"/>
      <c r="AU3812" s="1315"/>
      <c r="AV3812" s="1315"/>
      <c r="AW3812" s="1315"/>
      <c r="AX3812" s="1315"/>
      <c r="AY3812" s="1315"/>
      <c r="AZ3812" s="1315"/>
      <c r="BA3812" s="1315"/>
      <c r="BB3812" s="1315"/>
      <c r="BC3812" s="1315"/>
      <c r="BD3812" s="1315"/>
      <c r="BE3812" s="1315"/>
      <c r="BF3812" s="1315"/>
      <c r="BG3812" s="1315"/>
      <c r="BH3812" s="1315"/>
      <c r="BI3812" s="1315"/>
      <c r="BJ3812" s="1315"/>
      <c r="BK3812" s="1315"/>
      <c r="BL3812" s="1315"/>
    </row>
    <row r="3813" spans="1:64">
      <c r="A3813" s="1794"/>
      <c r="B3813" s="1332"/>
      <c r="C3813" s="1813" t="s">
        <v>1503</v>
      </c>
      <c r="D3813" s="1333">
        <f>ROUND(23.4*0.89,2)</f>
        <v>20.83</v>
      </c>
      <c r="E3813" s="1271" t="s">
        <v>1110</v>
      </c>
      <c r="F3813" s="1201"/>
      <c r="G3813" s="1204"/>
      <c r="H3813" s="1199"/>
      <c r="I3813" s="1205"/>
      <c r="J3813" s="1817"/>
      <c r="K3813" s="1817"/>
      <c r="L3813" s="1817"/>
      <c r="M3813" s="1315"/>
      <c r="N3813" s="1315"/>
      <c r="O3813" s="1315"/>
      <c r="P3813" s="1315"/>
      <c r="Q3813" s="1315"/>
      <c r="R3813" s="1315"/>
      <c r="S3813" s="1315"/>
      <c r="T3813" s="1315"/>
      <c r="U3813" s="1315"/>
      <c r="V3813" s="1315"/>
      <c r="W3813" s="1315"/>
      <c r="X3813" s="1315"/>
      <c r="Y3813" s="1315"/>
      <c r="Z3813" s="1315"/>
      <c r="AA3813" s="1315"/>
      <c r="AB3813" s="1315"/>
      <c r="AC3813" s="1315"/>
      <c r="AD3813" s="1315"/>
      <c r="AE3813" s="1315"/>
      <c r="AF3813" s="1315"/>
      <c r="AG3813" s="1315"/>
      <c r="AH3813" s="1315"/>
      <c r="AI3813" s="1315"/>
      <c r="AJ3813" s="1315"/>
      <c r="AK3813" s="1315"/>
      <c r="AL3813" s="1315"/>
      <c r="AM3813" s="1315"/>
      <c r="AN3813" s="1315"/>
      <c r="AO3813" s="1315"/>
      <c r="AP3813" s="1315"/>
      <c r="AQ3813" s="1315"/>
      <c r="AR3813" s="1315"/>
      <c r="AS3813" s="1315"/>
      <c r="AT3813" s="1315"/>
      <c r="AU3813" s="1315"/>
      <c r="AV3813" s="1315"/>
      <c r="AW3813" s="1315"/>
      <c r="AX3813" s="1315"/>
      <c r="AY3813" s="1315"/>
      <c r="AZ3813" s="1315"/>
      <c r="BA3813" s="1315"/>
      <c r="BB3813" s="1315"/>
      <c r="BC3813" s="1315"/>
      <c r="BD3813" s="1315"/>
      <c r="BE3813" s="1315"/>
      <c r="BF3813" s="1315"/>
      <c r="BG3813" s="1315"/>
      <c r="BH3813" s="1315"/>
      <c r="BI3813" s="1315"/>
      <c r="BJ3813" s="1315"/>
      <c r="BK3813" s="1315"/>
      <c r="BL3813" s="1315"/>
    </row>
    <row r="3814" spans="1:64">
      <c r="A3814" s="1794"/>
      <c r="B3814" s="1208"/>
      <c r="C3814" s="1807" t="s">
        <v>1504</v>
      </c>
      <c r="D3814" s="1316">
        <f>ROUND(SUM(D3812:D3813),2)</f>
        <v>31.82</v>
      </c>
      <c r="E3814" s="1288" t="s">
        <v>1110</v>
      </c>
      <c r="F3814" s="1211">
        <f>'Civil-SOR'!$G$47</f>
        <v>434</v>
      </c>
      <c r="G3814" s="1318">
        <v>1</v>
      </c>
      <c r="H3814" s="1288" t="s">
        <v>97</v>
      </c>
      <c r="I3814" s="1211">
        <f t="shared" ref="I3814:I3819" si="885">IF(G3814="",D3814*F3814,(D3814*F3814/G3814))</f>
        <v>13809.880000000001</v>
      </c>
      <c r="J3814" s="1817"/>
      <c r="K3814" s="1817"/>
      <c r="L3814" s="1817"/>
      <c r="M3814" s="1315"/>
      <c r="N3814" s="1315"/>
      <c r="O3814" s="1315"/>
      <c r="P3814" s="1315"/>
      <c r="Q3814" s="1315"/>
      <c r="R3814" s="1315"/>
      <c r="S3814" s="1315"/>
      <c r="T3814" s="1315"/>
      <c r="U3814" s="1315"/>
      <c r="V3814" s="1315"/>
      <c r="W3814" s="1315"/>
      <c r="X3814" s="1315"/>
      <c r="Y3814" s="1315"/>
      <c r="Z3814" s="1315"/>
      <c r="AA3814" s="1315"/>
      <c r="AB3814" s="1315"/>
      <c r="AC3814" s="1315"/>
      <c r="AD3814" s="1315"/>
      <c r="AE3814" s="1315"/>
      <c r="AF3814" s="1315"/>
      <c r="AG3814" s="1315"/>
      <c r="AH3814" s="1315"/>
      <c r="AI3814" s="1315"/>
      <c r="AJ3814" s="1315"/>
      <c r="AK3814" s="1315"/>
      <c r="AL3814" s="1315"/>
      <c r="AM3814" s="1315"/>
      <c r="AN3814" s="1315"/>
      <c r="AO3814" s="1315"/>
      <c r="AP3814" s="1315"/>
      <c r="AQ3814" s="1315"/>
      <c r="AR3814" s="1315"/>
      <c r="AS3814" s="1315"/>
      <c r="AT3814" s="1315"/>
      <c r="AU3814" s="1315"/>
      <c r="AV3814" s="1315"/>
      <c r="AW3814" s="1315"/>
      <c r="AX3814" s="1315"/>
      <c r="AY3814" s="1315"/>
      <c r="AZ3814" s="1315"/>
      <c r="BA3814" s="1315"/>
      <c r="BB3814" s="1315"/>
      <c r="BC3814" s="1315"/>
      <c r="BD3814" s="1315"/>
      <c r="BE3814" s="1315"/>
      <c r="BF3814" s="1315"/>
      <c r="BG3814" s="1315"/>
      <c r="BH3814" s="1315"/>
      <c r="BI3814" s="1315"/>
      <c r="BJ3814" s="1315"/>
      <c r="BK3814" s="1315"/>
      <c r="BL3814" s="1315"/>
    </row>
    <row r="3815" spans="1:64">
      <c r="A3815" s="1794"/>
      <c r="B3815" s="1208"/>
      <c r="C3815" s="1807" t="s">
        <v>1505</v>
      </c>
      <c r="D3815" s="1316">
        <f>D3814</f>
        <v>31.82</v>
      </c>
      <c r="E3815" s="1288" t="s">
        <v>1110</v>
      </c>
      <c r="F3815" s="1211">
        <f>'Civil-SOR'!$G$204</f>
        <v>188</v>
      </c>
      <c r="G3815" s="1318">
        <v>1</v>
      </c>
      <c r="H3815" s="1288" t="s">
        <v>97</v>
      </c>
      <c r="I3815" s="1211">
        <f t="shared" si="885"/>
        <v>5982.16</v>
      </c>
      <c r="J3815" s="1817"/>
      <c r="K3815" s="1817"/>
      <c r="L3815" s="1817"/>
      <c r="M3815" s="1315"/>
      <c r="N3815" s="1315"/>
      <c r="O3815" s="1315"/>
      <c r="P3815" s="1315"/>
      <c r="Q3815" s="1315"/>
      <c r="R3815" s="1315"/>
      <c r="S3815" s="1315"/>
      <c r="T3815" s="1315"/>
      <c r="U3815" s="1315"/>
      <c r="V3815" s="1315"/>
      <c r="W3815" s="1315"/>
      <c r="X3815" s="1315"/>
      <c r="Y3815" s="1315"/>
      <c r="Z3815" s="1315"/>
      <c r="AA3815" s="1315"/>
      <c r="AB3815" s="1315"/>
      <c r="AC3815" s="1315"/>
      <c r="AD3815" s="1315"/>
      <c r="AE3815" s="1315"/>
      <c r="AF3815" s="1315"/>
      <c r="AG3815" s="1315"/>
      <c r="AH3815" s="1315"/>
      <c r="AI3815" s="1315"/>
      <c r="AJ3815" s="1315"/>
      <c r="AK3815" s="1315"/>
      <c r="AL3815" s="1315"/>
      <c r="AM3815" s="1315"/>
      <c r="AN3815" s="1315"/>
      <c r="AO3815" s="1315"/>
      <c r="AP3815" s="1315"/>
      <c r="AQ3815" s="1315"/>
      <c r="AR3815" s="1315"/>
      <c r="AS3815" s="1315"/>
      <c r="AT3815" s="1315"/>
      <c r="AU3815" s="1315"/>
      <c r="AV3815" s="1315"/>
      <c r="AW3815" s="1315"/>
      <c r="AX3815" s="1315"/>
      <c r="AY3815" s="1315"/>
      <c r="AZ3815" s="1315"/>
      <c r="BA3815" s="1315"/>
      <c r="BB3815" s="1315"/>
      <c r="BC3815" s="1315"/>
      <c r="BD3815" s="1315"/>
      <c r="BE3815" s="1315"/>
      <c r="BF3815" s="1315"/>
      <c r="BG3815" s="1315"/>
      <c r="BH3815" s="1315"/>
      <c r="BI3815" s="1315"/>
      <c r="BJ3815" s="1315"/>
      <c r="BK3815" s="1315"/>
      <c r="BL3815" s="1315"/>
    </row>
    <row r="3816" spans="1:64" ht="25.5">
      <c r="A3816" s="1794"/>
      <c r="B3816" s="1208"/>
      <c r="C3816" s="1807" t="s">
        <v>1506</v>
      </c>
      <c r="D3816" s="1316">
        <v>1.3</v>
      </c>
      <c r="E3816" s="1288" t="s">
        <v>197</v>
      </c>
      <c r="F3816" s="1211">
        <f>'Civil-SOR'!$G$348</f>
        <v>136</v>
      </c>
      <c r="G3816" s="1318">
        <v>1</v>
      </c>
      <c r="H3816" s="1288" t="s">
        <v>197</v>
      </c>
      <c r="I3816" s="1211">
        <f t="shared" si="885"/>
        <v>176.8</v>
      </c>
      <c r="J3816" s="1817"/>
      <c r="K3816" s="1817"/>
      <c r="L3816" s="1817"/>
      <c r="M3816" s="1315"/>
      <c r="N3816" s="1315"/>
      <c r="O3816" s="1315"/>
      <c r="P3816" s="1315"/>
      <c r="Q3816" s="1315"/>
      <c r="R3816" s="1315"/>
      <c r="S3816" s="1315"/>
      <c r="T3816" s="1315"/>
      <c r="U3816" s="1315"/>
      <c r="V3816" s="1315"/>
      <c r="W3816" s="1315"/>
      <c r="X3816" s="1315"/>
      <c r="Y3816" s="1315"/>
      <c r="Z3816" s="1315"/>
      <c r="AA3816" s="1315"/>
      <c r="AB3816" s="1315"/>
      <c r="AC3816" s="1315"/>
      <c r="AD3816" s="1315"/>
      <c r="AE3816" s="1315"/>
      <c r="AF3816" s="1315"/>
      <c r="AG3816" s="1315"/>
      <c r="AH3816" s="1315"/>
      <c r="AI3816" s="1315"/>
      <c r="AJ3816" s="1315"/>
      <c r="AK3816" s="1315"/>
      <c r="AL3816" s="1315"/>
      <c r="AM3816" s="1315"/>
      <c r="AN3816" s="1315"/>
      <c r="AO3816" s="1315"/>
      <c r="AP3816" s="1315"/>
      <c r="AQ3816" s="1315"/>
      <c r="AR3816" s="1315"/>
      <c r="AS3816" s="1315"/>
      <c r="AT3816" s="1315"/>
      <c r="AU3816" s="1315"/>
      <c r="AV3816" s="1315"/>
      <c r="AW3816" s="1315"/>
      <c r="AX3816" s="1315"/>
      <c r="AY3816" s="1315"/>
      <c r="AZ3816" s="1315"/>
      <c r="BA3816" s="1315"/>
      <c r="BB3816" s="1315"/>
      <c r="BC3816" s="1315"/>
      <c r="BD3816" s="1315"/>
      <c r="BE3816" s="1315"/>
      <c r="BF3816" s="1315"/>
      <c r="BG3816" s="1315"/>
      <c r="BH3816" s="1315"/>
      <c r="BI3816" s="1315"/>
      <c r="BJ3816" s="1315"/>
      <c r="BK3816" s="1315"/>
      <c r="BL3816" s="1315"/>
    </row>
    <row r="3817" spans="1:64">
      <c r="A3817" s="1794"/>
      <c r="B3817" s="1208"/>
      <c r="C3817" s="1807" t="s">
        <v>1507</v>
      </c>
      <c r="D3817" s="1210">
        <v>13</v>
      </c>
      <c r="E3817" s="1813" t="s">
        <v>36</v>
      </c>
      <c r="F3817" s="1209">
        <f>'Civil-SOR'!$G$379</f>
        <v>100</v>
      </c>
      <c r="G3817" s="1210">
        <v>1</v>
      </c>
      <c r="H3817" s="1208" t="s">
        <v>501</v>
      </c>
      <c r="I3817" s="1211">
        <f t="shared" si="885"/>
        <v>1300</v>
      </c>
      <c r="J3817" s="1817"/>
      <c r="K3817" s="1817"/>
      <c r="L3817" s="1817"/>
      <c r="M3817" s="1315"/>
      <c r="N3817" s="1315"/>
      <c r="O3817" s="1315"/>
      <c r="P3817" s="1315"/>
      <c r="Q3817" s="1315"/>
      <c r="R3817" s="1315"/>
      <c r="S3817" s="1315"/>
      <c r="T3817" s="1315"/>
      <c r="U3817" s="1315"/>
      <c r="V3817" s="1315"/>
      <c r="W3817" s="1315"/>
      <c r="X3817" s="1315"/>
      <c r="Y3817" s="1315"/>
      <c r="Z3817" s="1315"/>
      <c r="AA3817" s="1315"/>
      <c r="AB3817" s="1315"/>
      <c r="AC3817" s="1315"/>
      <c r="AD3817" s="1315"/>
      <c r="AE3817" s="1315"/>
      <c r="AF3817" s="1315"/>
      <c r="AG3817" s="1315"/>
      <c r="AH3817" s="1315"/>
      <c r="AI3817" s="1315"/>
      <c r="AJ3817" s="1315"/>
      <c r="AK3817" s="1315"/>
      <c r="AL3817" s="1315"/>
      <c r="AM3817" s="1315"/>
      <c r="AN3817" s="1315"/>
      <c r="AO3817" s="1315"/>
      <c r="AP3817" s="1315"/>
      <c r="AQ3817" s="1315"/>
      <c r="AR3817" s="1315"/>
      <c r="AS3817" s="1315"/>
      <c r="AT3817" s="1315"/>
      <c r="AU3817" s="1315"/>
      <c r="AV3817" s="1315"/>
      <c r="AW3817" s="1315"/>
      <c r="AX3817" s="1315"/>
      <c r="AY3817" s="1315"/>
      <c r="AZ3817" s="1315"/>
      <c r="BA3817" s="1315"/>
      <c r="BB3817" s="1315"/>
      <c r="BC3817" s="1315"/>
      <c r="BD3817" s="1315"/>
      <c r="BE3817" s="1315"/>
      <c r="BF3817" s="1315"/>
      <c r="BG3817" s="1315"/>
      <c r="BH3817" s="1315"/>
      <c r="BI3817" s="1315"/>
      <c r="BJ3817" s="1315"/>
      <c r="BK3817" s="1315"/>
      <c r="BL3817" s="1315"/>
    </row>
    <row r="3818" spans="1:64">
      <c r="A3818" s="1794"/>
      <c r="B3818" s="1208"/>
      <c r="C3818" s="1807" t="s">
        <v>1508</v>
      </c>
      <c r="D3818" s="1318">
        <v>13</v>
      </c>
      <c r="E3818" s="1288" t="s">
        <v>36</v>
      </c>
      <c r="F3818" s="1209">
        <f>'Civil-SOR'!$G$380</f>
        <v>40</v>
      </c>
      <c r="G3818" s="1318">
        <v>1</v>
      </c>
      <c r="H3818" s="1288" t="s">
        <v>1509</v>
      </c>
      <c r="I3818" s="1211">
        <f t="shared" si="885"/>
        <v>520</v>
      </c>
      <c r="J3818" s="1817"/>
      <c r="K3818" s="1817"/>
      <c r="L3818" s="1817"/>
      <c r="M3818" s="1315"/>
      <c r="N3818" s="1315"/>
      <c r="O3818" s="1315"/>
      <c r="P3818" s="1315"/>
      <c r="Q3818" s="1315"/>
      <c r="R3818" s="1315"/>
      <c r="S3818" s="1315"/>
      <c r="T3818" s="1315"/>
      <c r="U3818" s="1315"/>
      <c r="V3818" s="1315"/>
      <c r="W3818" s="1315"/>
      <c r="X3818" s="1315"/>
      <c r="Y3818" s="1315"/>
      <c r="Z3818" s="1315"/>
      <c r="AA3818" s="1315"/>
      <c r="AB3818" s="1315"/>
      <c r="AC3818" s="1315"/>
      <c r="AD3818" s="1315"/>
      <c r="AE3818" s="1315"/>
      <c r="AF3818" s="1315"/>
      <c r="AG3818" s="1315"/>
      <c r="AH3818" s="1315"/>
      <c r="AI3818" s="1315"/>
      <c r="AJ3818" s="1315"/>
      <c r="AK3818" s="1315"/>
      <c r="AL3818" s="1315"/>
      <c r="AM3818" s="1315"/>
      <c r="AN3818" s="1315"/>
      <c r="AO3818" s="1315"/>
      <c r="AP3818" s="1315"/>
      <c r="AQ3818" s="1315"/>
      <c r="AR3818" s="1315"/>
      <c r="AS3818" s="1315"/>
      <c r="AT3818" s="1315"/>
      <c r="AU3818" s="1315"/>
      <c r="AV3818" s="1315"/>
      <c r="AW3818" s="1315"/>
      <c r="AX3818" s="1315"/>
      <c r="AY3818" s="1315"/>
      <c r="AZ3818" s="1315"/>
      <c r="BA3818" s="1315"/>
      <c r="BB3818" s="1315"/>
      <c r="BC3818" s="1315"/>
      <c r="BD3818" s="1315"/>
      <c r="BE3818" s="1315"/>
      <c r="BF3818" s="1315"/>
      <c r="BG3818" s="1315"/>
      <c r="BH3818" s="1315"/>
      <c r="BI3818" s="1315"/>
      <c r="BJ3818" s="1315"/>
      <c r="BK3818" s="1315"/>
      <c r="BL3818" s="1315"/>
    </row>
    <row r="3819" spans="1:64">
      <c r="A3819" s="1794"/>
      <c r="B3819" s="1208"/>
      <c r="C3819" s="1807" t="s">
        <v>1510</v>
      </c>
      <c r="D3819" s="1318">
        <v>13</v>
      </c>
      <c r="E3819" s="1288" t="s">
        <v>36</v>
      </c>
      <c r="F3819" s="1209">
        <f>'Civil-SOR'!$G$381</f>
        <v>20</v>
      </c>
      <c r="G3819" s="1318">
        <v>1</v>
      </c>
      <c r="H3819" s="1288" t="s">
        <v>1509</v>
      </c>
      <c r="I3819" s="1211">
        <f t="shared" si="885"/>
        <v>260</v>
      </c>
      <c r="J3819" s="1817"/>
      <c r="K3819" s="1817"/>
      <c r="L3819" s="1817"/>
      <c r="M3819" s="1315"/>
      <c r="N3819" s="1315"/>
      <c r="O3819" s="1315"/>
      <c r="P3819" s="1315"/>
      <c r="Q3819" s="1315"/>
      <c r="R3819" s="1315"/>
      <c r="S3819" s="1315"/>
      <c r="T3819" s="1315"/>
      <c r="U3819" s="1315"/>
      <c r="V3819" s="1315"/>
      <c r="W3819" s="1315"/>
      <c r="X3819" s="1315"/>
      <c r="Y3819" s="1315"/>
      <c r="Z3819" s="1315"/>
      <c r="AA3819" s="1315"/>
      <c r="AB3819" s="1315"/>
      <c r="AC3819" s="1315"/>
      <c r="AD3819" s="1315"/>
      <c r="AE3819" s="1315"/>
      <c r="AF3819" s="1315"/>
      <c r="AG3819" s="1315"/>
      <c r="AH3819" s="1315"/>
      <c r="AI3819" s="1315"/>
      <c r="AJ3819" s="1315"/>
      <c r="AK3819" s="1315"/>
      <c r="AL3819" s="1315"/>
      <c r="AM3819" s="1315"/>
      <c r="AN3819" s="1315"/>
      <c r="AO3819" s="1315"/>
      <c r="AP3819" s="1315"/>
      <c r="AQ3819" s="1315"/>
      <c r="AR3819" s="1315"/>
      <c r="AS3819" s="1315"/>
      <c r="AT3819" s="1315"/>
      <c r="AU3819" s="1315"/>
      <c r="AV3819" s="1315"/>
      <c r="AW3819" s="1315"/>
      <c r="AX3819" s="1315"/>
      <c r="AY3819" s="1315"/>
      <c r="AZ3819" s="1315"/>
      <c r="BA3819" s="1315"/>
      <c r="BB3819" s="1315"/>
      <c r="BC3819" s="1315"/>
      <c r="BD3819" s="1315"/>
      <c r="BE3819" s="1315"/>
      <c r="BF3819" s="1315"/>
      <c r="BG3819" s="1315"/>
      <c r="BH3819" s="1315"/>
      <c r="BI3819" s="1315"/>
      <c r="BJ3819" s="1315"/>
      <c r="BK3819" s="1315"/>
      <c r="BL3819" s="1315"/>
    </row>
    <row r="3820" spans="1:64">
      <c r="A3820" s="1794"/>
      <c r="B3820" s="1332"/>
      <c r="C3820" s="1199"/>
      <c r="D3820" s="1203"/>
      <c r="E3820" s="1199"/>
      <c r="F3820" s="1201"/>
      <c r="G3820" s="1204"/>
      <c r="H3820" s="1199"/>
      <c r="I3820" s="1230">
        <f>SUM(I3814:I3819)</f>
        <v>22048.84</v>
      </c>
      <c r="J3820" s="1817"/>
      <c r="K3820" s="1817"/>
      <c r="L3820" s="1817"/>
      <c r="M3820" s="1315"/>
      <c r="N3820" s="1315"/>
      <c r="O3820" s="1315"/>
      <c r="P3820" s="1315"/>
      <c r="Q3820" s="1315"/>
      <c r="R3820" s="1315"/>
      <c r="S3820" s="1315"/>
      <c r="T3820" s="1315"/>
      <c r="U3820" s="1315"/>
      <c r="V3820" s="1315"/>
      <c r="W3820" s="1315"/>
      <c r="X3820" s="1315"/>
      <c r="Y3820" s="1315"/>
      <c r="Z3820" s="1315"/>
      <c r="AA3820" s="1315"/>
      <c r="AB3820" s="1315"/>
      <c r="AC3820" s="1315"/>
      <c r="AD3820" s="1315"/>
      <c r="AE3820" s="1315"/>
      <c r="AF3820" s="1315"/>
      <c r="AG3820" s="1315"/>
      <c r="AH3820" s="1315"/>
      <c r="AI3820" s="1315"/>
      <c r="AJ3820" s="1315"/>
      <c r="AK3820" s="1315"/>
      <c r="AL3820" s="1315"/>
      <c r="AM3820" s="1315"/>
      <c r="AN3820" s="1315"/>
      <c r="AO3820" s="1315"/>
      <c r="AP3820" s="1315"/>
      <c r="AQ3820" s="1315"/>
      <c r="AR3820" s="1315"/>
      <c r="AS3820" s="1315"/>
      <c r="AT3820" s="1315"/>
      <c r="AU3820" s="1315"/>
      <c r="AV3820" s="1315"/>
      <c r="AW3820" s="1315"/>
      <c r="AX3820" s="1315"/>
      <c r="AY3820" s="1315"/>
      <c r="AZ3820" s="1315"/>
      <c r="BA3820" s="1315"/>
      <c r="BB3820" s="1315"/>
      <c r="BC3820" s="1315"/>
      <c r="BD3820" s="1315"/>
      <c r="BE3820" s="1315"/>
      <c r="BF3820" s="1315"/>
      <c r="BG3820" s="1315"/>
      <c r="BH3820" s="1315"/>
      <c r="BI3820" s="1315"/>
      <c r="BJ3820" s="1315"/>
      <c r="BK3820" s="1315"/>
      <c r="BL3820" s="1315"/>
    </row>
    <row r="3821" spans="1:64">
      <c r="A3821" s="1794"/>
      <c r="B3821" s="1332"/>
      <c r="C3821" s="1807" t="s">
        <v>1288</v>
      </c>
      <c r="D3821" s="1203"/>
      <c r="E3821" s="1199"/>
      <c r="F3821" s="1201"/>
      <c r="G3821" s="1204"/>
      <c r="H3821" s="1199"/>
      <c r="I3821" s="1230">
        <f>I3820/D3809</f>
        <v>4793.2260869565225</v>
      </c>
      <c r="J3821" s="1817"/>
      <c r="K3821" s="1817"/>
      <c r="L3821" s="1817"/>
      <c r="M3821" s="1315"/>
      <c r="N3821" s="1315"/>
      <c r="O3821" s="1315"/>
      <c r="P3821" s="1315"/>
      <c r="Q3821" s="1315"/>
      <c r="R3821" s="1315"/>
      <c r="S3821" s="1315"/>
      <c r="T3821" s="1315"/>
      <c r="U3821" s="1315"/>
      <c r="V3821" s="1315"/>
      <c r="W3821" s="1315"/>
      <c r="X3821" s="1315"/>
      <c r="Y3821" s="1315"/>
      <c r="Z3821" s="1315"/>
      <c r="AA3821" s="1315"/>
      <c r="AB3821" s="1315"/>
      <c r="AC3821" s="1315"/>
      <c r="AD3821" s="1315"/>
      <c r="AE3821" s="1315"/>
      <c r="AF3821" s="1315"/>
      <c r="AG3821" s="1315"/>
      <c r="AH3821" s="1315"/>
      <c r="AI3821" s="1315"/>
      <c r="AJ3821" s="1315"/>
      <c r="AK3821" s="1315"/>
      <c r="AL3821" s="1315"/>
      <c r="AM3821" s="1315"/>
      <c r="AN3821" s="1315"/>
      <c r="AO3821" s="1315"/>
      <c r="AP3821" s="1315"/>
      <c r="AQ3821" s="1315"/>
      <c r="AR3821" s="1315"/>
      <c r="AS3821" s="1315"/>
      <c r="AT3821" s="1315"/>
      <c r="AU3821" s="1315"/>
      <c r="AV3821" s="1315"/>
      <c r="AW3821" s="1315"/>
      <c r="AX3821" s="1315"/>
      <c r="AY3821" s="1315"/>
      <c r="AZ3821" s="1315"/>
      <c r="BA3821" s="1315"/>
      <c r="BB3821" s="1315"/>
      <c r="BC3821" s="1315"/>
      <c r="BD3821" s="1315"/>
      <c r="BE3821" s="1315"/>
      <c r="BF3821" s="1315"/>
      <c r="BG3821" s="1315"/>
      <c r="BH3821" s="1315"/>
      <c r="BI3821" s="1315"/>
      <c r="BJ3821" s="1315"/>
      <c r="BK3821" s="1315"/>
      <c r="BL3821" s="1315"/>
    </row>
    <row r="3822" spans="1:64">
      <c r="A3822" s="1794"/>
      <c r="B3822" s="1332"/>
      <c r="C3822" s="1335" t="s">
        <v>1117</v>
      </c>
      <c r="D3822" s="1203"/>
      <c r="E3822" s="1199"/>
      <c r="F3822" s="1201"/>
      <c r="G3822" s="1204"/>
      <c r="H3822" s="1198"/>
      <c r="I3822" s="1230">
        <f>(I3821)/0.9</f>
        <v>5325.8067632850252</v>
      </c>
      <c r="J3822" s="1817"/>
      <c r="K3822" s="1817"/>
      <c r="L3822" s="1817"/>
      <c r="M3822" s="1315"/>
      <c r="N3822" s="1315"/>
      <c r="O3822" s="1315"/>
      <c r="P3822" s="1315"/>
      <c r="Q3822" s="1315"/>
      <c r="R3822" s="1315"/>
      <c r="S3822" s="1315"/>
      <c r="T3822" s="1315"/>
      <c r="U3822" s="1315"/>
      <c r="V3822" s="1315"/>
      <c r="W3822" s="1315"/>
      <c r="X3822" s="1315"/>
      <c r="Y3822" s="1315"/>
      <c r="Z3822" s="1315"/>
      <c r="AA3822" s="1315"/>
      <c r="AB3822" s="1315"/>
      <c r="AC3822" s="1315"/>
      <c r="AD3822" s="1315"/>
      <c r="AE3822" s="1315"/>
      <c r="AF3822" s="1315"/>
      <c r="AG3822" s="1315"/>
      <c r="AH3822" s="1315"/>
      <c r="AI3822" s="1315"/>
      <c r="AJ3822" s="1315"/>
      <c r="AK3822" s="1315"/>
      <c r="AL3822" s="1315"/>
      <c r="AM3822" s="1315"/>
      <c r="AN3822" s="1315"/>
      <c r="AO3822" s="1315"/>
      <c r="AP3822" s="1315"/>
      <c r="AQ3822" s="1315"/>
      <c r="AR3822" s="1315"/>
      <c r="AS3822" s="1315"/>
      <c r="AT3822" s="1315"/>
      <c r="AU3822" s="1315"/>
      <c r="AV3822" s="1315"/>
      <c r="AW3822" s="1315"/>
      <c r="AX3822" s="1315"/>
      <c r="AY3822" s="1315"/>
      <c r="AZ3822" s="1315"/>
      <c r="BA3822" s="1315"/>
      <c r="BB3822" s="1315"/>
      <c r="BC3822" s="1315"/>
      <c r="BD3822" s="1315"/>
      <c r="BE3822" s="1315"/>
      <c r="BF3822" s="1315"/>
      <c r="BG3822" s="1315"/>
      <c r="BH3822" s="1315"/>
      <c r="BI3822" s="1315"/>
      <c r="BJ3822" s="1315"/>
      <c r="BK3822" s="1315"/>
      <c r="BL3822" s="1315"/>
    </row>
    <row r="3823" spans="1:64">
      <c r="A3823" s="1794"/>
      <c r="B3823" s="1332"/>
      <c r="C3823" s="1336" t="str">
        <f>Input!$C$48</f>
        <v>Overheads &amp; Contractors Profit @ 13.615%</v>
      </c>
      <c r="D3823" s="1337">
        <f>Input!$D$48</f>
        <v>0.13614999999999999</v>
      </c>
      <c r="E3823" s="1199"/>
      <c r="F3823" s="1201">
        <f>I3822</f>
        <v>5325.8067632850252</v>
      </c>
      <c r="G3823" s="1204"/>
      <c r="H3823" s="1198"/>
      <c r="I3823" s="1205">
        <f>IF(G3823="",D3823*F3823,(D3823*F3823/G3823))</f>
        <v>725.10859082125614</v>
      </c>
      <c r="J3823" s="1817"/>
      <c r="K3823" s="1817"/>
      <c r="L3823" s="1817"/>
      <c r="M3823" s="1315"/>
      <c r="N3823" s="1315"/>
      <c r="O3823" s="1315"/>
      <c r="P3823" s="1315"/>
      <c r="Q3823" s="1315"/>
      <c r="R3823" s="1315"/>
      <c r="S3823" s="1315"/>
      <c r="T3823" s="1315"/>
      <c r="U3823" s="1315"/>
      <c r="V3823" s="1315"/>
      <c r="W3823" s="1315"/>
      <c r="X3823" s="1315"/>
      <c r="Y3823" s="1315"/>
      <c r="Z3823" s="1315"/>
      <c r="AA3823" s="1315"/>
      <c r="AB3823" s="1315"/>
      <c r="AC3823" s="1315"/>
      <c r="AD3823" s="1315"/>
      <c r="AE3823" s="1315"/>
      <c r="AF3823" s="1315"/>
      <c r="AG3823" s="1315"/>
      <c r="AH3823" s="1315"/>
      <c r="AI3823" s="1315"/>
      <c r="AJ3823" s="1315"/>
      <c r="AK3823" s="1315"/>
      <c r="AL3823" s="1315"/>
      <c r="AM3823" s="1315"/>
      <c r="AN3823" s="1315"/>
      <c r="AO3823" s="1315"/>
      <c r="AP3823" s="1315"/>
      <c r="AQ3823" s="1315"/>
      <c r="AR3823" s="1315"/>
      <c r="AS3823" s="1315"/>
      <c r="AT3823" s="1315"/>
      <c r="AU3823" s="1315"/>
      <c r="AV3823" s="1315"/>
      <c r="AW3823" s="1315"/>
      <c r="AX3823" s="1315"/>
      <c r="AY3823" s="1315"/>
      <c r="AZ3823" s="1315"/>
      <c r="BA3823" s="1315"/>
      <c r="BB3823" s="1315"/>
      <c r="BC3823" s="1315"/>
      <c r="BD3823" s="1315"/>
      <c r="BE3823" s="1315"/>
      <c r="BF3823" s="1315"/>
      <c r="BG3823" s="1315"/>
      <c r="BH3823" s="1315"/>
      <c r="BI3823" s="1315"/>
      <c r="BJ3823" s="1315"/>
      <c r="BK3823" s="1315"/>
      <c r="BL3823" s="1315"/>
    </row>
    <row r="3824" spans="1:64">
      <c r="A3824" s="1794"/>
      <c r="B3824" s="1332"/>
      <c r="C3824" s="1335"/>
      <c r="D3824" s="1203"/>
      <c r="E3824" s="1199"/>
      <c r="F3824" s="1201"/>
      <c r="G3824" s="1204"/>
      <c r="H3824" s="1198"/>
      <c r="I3824" s="1230">
        <f>SUM(I3822:I3823)</f>
        <v>6050.9153541062815</v>
      </c>
      <c r="J3824" s="1817"/>
      <c r="K3824" s="1817"/>
      <c r="L3824" s="1817"/>
      <c r="M3824" s="1315"/>
      <c r="N3824" s="1315"/>
      <c r="O3824" s="1315"/>
      <c r="P3824" s="1315"/>
      <c r="Q3824" s="1315"/>
      <c r="R3824" s="1315"/>
      <c r="S3824" s="1315"/>
      <c r="T3824" s="1315"/>
      <c r="U3824" s="1315"/>
      <c r="V3824" s="1315"/>
      <c r="W3824" s="1315"/>
      <c r="X3824" s="1315"/>
      <c r="Y3824" s="1315"/>
      <c r="Z3824" s="1315"/>
      <c r="AA3824" s="1315"/>
      <c r="AB3824" s="1315"/>
      <c r="AC3824" s="1315"/>
      <c r="AD3824" s="1315"/>
      <c r="AE3824" s="1315"/>
      <c r="AF3824" s="1315"/>
      <c r="AG3824" s="1315"/>
      <c r="AH3824" s="1315"/>
      <c r="AI3824" s="1315"/>
      <c r="AJ3824" s="1315"/>
      <c r="AK3824" s="1315"/>
      <c r="AL3824" s="1315"/>
      <c r="AM3824" s="1315"/>
      <c r="AN3824" s="1315"/>
      <c r="AO3824" s="1315"/>
      <c r="AP3824" s="1315"/>
      <c r="AQ3824" s="1315"/>
      <c r="AR3824" s="1315"/>
      <c r="AS3824" s="1315"/>
      <c r="AT3824" s="1315"/>
      <c r="AU3824" s="1315"/>
      <c r="AV3824" s="1315"/>
      <c r="AW3824" s="1315"/>
      <c r="AX3824" s="1315"/>
      <c r="AY3824" s="1315"/>
      <c r="AZ3824" s="1315"/>
      <c r="BA3824" s="1315"/>
      <c r="BB3824" s="1315"/>
      <c r="BC3824" s="1315"/>
      <c r="BD3824" s="1315"/>
      <c r="BE3824" s="1315"/>
      <c r="BF3824" s="1315"/>
      <c r="BG3824" s="1315"/>
      <c r="BH3824" s="1315"/>
      <c r="BI3824" s="1315"/>
      <c r="BJ3824" s="1315"/>
      <c r="BK3824" s="1315"/>
      <c r="BL3824" s="1315"/>
    </row>
    <row r="3825" spans="1:64">
      <c r="A3825" s="1794"/>
      <c r="B3825" s="1332"/>
      <c r="C3825" s="1335"/>
      <c r="D3825" s="1203"/>
      <c r="E3825" s="1199"/>
      <c r="F3825" s="1201"/>
      <c r="G3825" s="1204"/>
      <c r="H3825" s="1198" t="s">
        <v>1511</v>
      </c>
      <c r="I3825" s="1219">
        <f>ROUND(I3824,0)</f>
        <v>6051</v>
      </c>
      <c r="J3825" s="1817"/>
      <c r="K3825" s="1817"/>
      <c r="L3825" s="1817"/>
      <c r="M3825" s="1315"/>
      <c r="N3825" s="1315"/>
      <c r="O3825" s="1315"/>
      <c r="P3825" s="1315"/>
      <c r="Q3825" s="1315"/>
      <c r="R3825" s="1315"/>
      <c r="S3825" s="1315"/>
      <c r="T3825" s="1315"/>
      <c r="U3825" s="1315"/>
      <c r="V3825" s="1315"/>
      <c r="W3825" s="1315"/>
      <c r="X3825" s="1315"/>
      <c r="Y3825" s="1315"/>
      <c r="Z3825" s="1315"/>
      <c r="AA3825" s="1315"/>
      <c r="AB3825" s="1315"/>
      <c r="AC3825" s="1315"/>
      <c r="AD3825" s="1315"/>
      <c r="AE3825" s="1315"/>
      <c r="AF3825" s="1315"/>
      <c r="AG3825" s="1315"/>
      <c r="AH3825" s="1315"/>
      <c r="AI3825" s="1315"/>
      <c r="AJ3825" s="1315"/>
      <c r="AK3825" s="1315"/>
      <c r="AL3825" s="1315"/>
      <c r="AM3825" s="1315"/>
      <c r="AN3825" s="1315"/>
      <c r="AO3825" s="1315"/>
      <c r="AP3825" s="1315"/>
      <c r="AQ3825" s="1315"/>
      <c r="AR3825" s="1315"/>
      <c r="AS3825" s="1315"/>
      <c r="AT3825" s="1315"/>
      <c r="AU3825" s="1315"/>
      <c r="AV3825" s="1315"/>
      <c r="AW3825" s="1315"/>
      <c r="AX3825" s="1315"/>
      <c r="AY3825" s="1315"/>
      <c r="AZ3825" s="1315"/>
      <c r="BA3825" s="1315"/>
      <c r="BB3825" s="1315"/>
      <c r="BC3825" s="1315"/>
      <c r="BD3825" s="1315"/>
      <c r="BE3825" s="1315"/>
      <c r="BF3825" s="1315"/>
      <c r="BG3825" s="1315"/>
      <c r="BH3825" s="1315"/>
      <c r="BI3825" s="1315"/>
      <c r="BJ3825" s="1315"/>
      <c r="BK3825" s="1315"/>
      <c r="BL3825" s="1315"/>
    </row>
    <row r="3826" spans="1:64">
      <c r="A3826" s="1794"/>
      <c r="B3826" s="1332"/>
      <c r="C3826" s="1807"/>
      <c r="D3826" s="1221"/>
      <c r="E3826" s="1221"/>
      <c r="F3826" s="1221"/>
      <c r="G3826" s="1221"/>
      <c r="H3826" s="1807"/>
      <c r="I3826" s="1209"/>
      <c r="J3826" s="1817"/>
      <c r="K3826" s="1817"/>
      <c r="L3826" s="1817"/>
      <c r="M3826" s="1315"/>
      <c r="N3826" s="1315"/>
      <c r="O3826" s="1315"/>
      <c r="P3826" s="1315"/>
      <c r="Q3826" s="1315"/>
      <c r="R3826" s="1315"/>
      <c r="S3826" s="1315"/>
      <c r="T3826" s="1315"/>
      <c r="U3826" s="1315"/>
      <c r="V3826" s="1315"/>
      <c r="W3826" s="1315"/>
      <c r="X3826" s="1315"/>
      <c r="Y3826" s="1315"/>
      <c r="Z3826" s="1315"/>
      <c r="AA3826" s="1315"/>
      <c r="AB3826" s="1315"/>
      <c r="AC3826" s="1315"/>
      <c r="AD3826" s="1315"/>
      <c r="AE3826" s="1315"/>
      <c r="AF3826" s="1315"/>
      <c r="AG3826" s="1315"/>
      <c r="AH3826" s="1315"/>
      <c r="AI3826" s="1315"/>
      <c r="AJ3826" s="1315"/>
      <c r="AK3826" s="1315"/>
      <c r="AL3826" s="1315"/>
      <c r="AM3826" s="1315"/>
      <c r="AN3826" s="1315"/>
      <c r="AO3826" s="1315"/>
      <c r="AP3826" s="1315"/>
      <c r="AQ3826" s="1315"/>
      <c r="AR3826" s="1315"/>
      <c r="AS3826" s="1315"/>
      <c r="AT3826" s="1315"/>
      <c r="AU3826" s="1315"/>
      <c r="AV3826" s="1315"/>
      <c r="AW3826" s="1315"/>
      <c r="AX3826" s="1315"/>
      <c r="AY3826" s="1315"/>
      <c r="AZ3826" s="1315"/>
      <c r="BA3826" s="1315"/>
      <c r="BB3826" s="1315"/>
      <c r="BC3826" s="1315"/>
      <c r="BD3826" s="1315"/>
      <c r="BE3826" s="1315"/>
      <c r="BF3826" s="1315"/>
      <c r="BG3826" s="1315"/>
      <c r="BH3826" s="1315"/>
      <c r="BI3826" s="1315"/>
      <c r="BJ3826" s="1315"/>
      <c r="BK3826" s="1315"/>
      <c r="BL3826" s="1315"/>
    </row>
    <row r="3827" spans="1:64" ht="81.400000000000006" customHeight="1">
      <c r="A3827" s="1292">
        <f>A3808+1</f>
        <v>45</v>
      </c>
      <c r="B3827" s="1197"/>
      <c r="C3827" s="2022" t="s">
        <v>1512</v>
      </c>
      <c r="D3827" s="2022"/>
      <c r="E3827" s="2022"/>
      <c r="F3827" s="2022"/>
      <c r="G3827" s="2022"/>
      <c r="H3827" s="2022"/>
      <c r="I3827" s="2022"/>
      <c r="J3827" s="1817"/>
      <c r="K3827" s="1817"/>
      <c r="L3827" s="1817"/>
      <c r="M3827" s="1315"/>
      <c r="N3827" s="1315"/>
      <c r="O3827" s="1315"/>
      <c r="P3827" s="1315"/>
      <c r="Q3827" s="1315"/>
      <c r="R3827" s="1315"/>
      <c r="S3827" s="1315"/>
      <c r="T3827" s="1315"/>
      <c r="U3827" s="1315"/>
      <c r="V3827" s="1315"/>
      <c r="W3827" s="1315"/>
      <c r="X3827" s="1315"/>
      <c r="Y3827" s="1315"/>
      <c r="Z3827" s="1315"/>
      <c r="AA3827" s="1315"/>
      <c r="AB3827" s="1315"/>
      <c r="AC3827" s="1315"/>
      <c r="AD3827" s="1315"/>
      <c r="AE3827" s="1315"/>
      <c r="AF3827" s="1315"/>
      <c r="AG3827" s="1315"/>
      <c r="AH3827" s="1315"/>
      <c r="AI3827" s="1315"/>
      <c r="AJ3827" s="1315"/>
      <c r="AK3827" s="1315"/>
      <c r="AL3827" s="1315"/>
      <c r="AM3827" s="1315"/>
      <c r="AN3827" s="1315"/>
      <c r="AO3827" s="1315"/>
      <c r="AP3827" s="1315"/>
      <c r="AQ3827" s="1315"/>
      <c r="AR3827" s="1315"/>
      <c r="AS3827" s="1315"/>
      <c r="AT3827" s="1315"/>
      <c r="AU3827" s="1315"/>
      <c r="AV3827" s="1315"/>
      <c r="AW3827" s="1315"/>
      <c r="AX3827" s="1315"/>
      <c r="AY3827" s="1315"/>
      <c r="AZ3827" s="1315"/>
      <c r="BA3827" s="1315"/>
      <c r="BB3827" s="1315"/>
      <c r="BC3827" s="1315"/>
      <c r="BD3827" s="1315"/>
      <c r="BE3827" s="1315"/>
      <c r="BF3827" s="1315"/>
      <c r="BG3827" s="1315"/>
      <c r="BH3827" s="1315"/>
      <c r="BI3827" s="1315"/>
      <c r="BJ3827" s="1315"/>
      <c r="BK3827" s="1315"/>
      <c r="BL3827" s="1315"/>
    </row>
    <row r="3828" spans="1:64">
      <c r="A3828" s="1794"/>
      <c r="B3828" s="1332"/>
      <c r="C3828" s="1795" t="s">
        <v>1499</v>
      </c>
      <c r="D3828" s="1231">
        <v>4.5999999999999996</v>
      </c>
      <c r="E3828" s="1795" t="s">
        <v>197</v>
      </c>
      <c r="F3828" s="1794"/>
      <c r="G3828" s="1807"/>
      <c r="H3828" s="1807"/>
      <c r="I3828" s="1209"/>
      <c r="J3828" s="1817"/>
      <c r="K3828" s="1817"/>
      <c r="L3828" s="1817"/>
      <c r="M3828" s="1315"/>
      <c r="N3828" s="1315"/>
      <c r="O3828" s="1315"/>
      <c r="P3828" s="1315"/>
      <c r="Q3828" s="1315"/>
      <c r="R3828" s="1315"/>
      <c r="S3828" s="1315"/>
      <c r="T3828" s="1315"/>
      <c r="U3828" s="1315"/>
      <c r="V3828" s="1315"/>
      <c r="W3828" s="1315"/>
      <c r="X3828" s="1315"/>
      <c r="Y3828" s="1315"/>
      <c r="Z3828" s="1315"/>
      <c r="AA3828" s="1315"/>
      <c r="AB3828" s="1315"/>
      <c r="AC3828" s="1315"/>
      <c r="AD3828" s="1315"/>
      <c r="AE3828" s="1315"/>
      <c r="AF3828" s="1315"/>
      <c r="AG3828" s="1315"/>
      <c r="AH3828" s="1315"/>
      <c r="AI3828" s="1315"/>
      <c r="AJ3828" s="1315"/>
      <c r="AK3828" s="1315"/>
      <c r="AL3828" s="1315"/>
      <c r="AM3828" s="1315"/>
      <c r="AN3828" s="1315"/>
      <c r="AO3828" s="1315"/>
      <c r="AP3828" s="1315"/>
      <c r="AQ3828" s="1315"/>
      <c r="AR3828" s="1315"/>
      <c r="AS3828" s="1315"/>
      <c r="AT3828" s="1315"/>
      <c r="AU3828" s="1315"/>
      <c r="AV3828" s="1315"/>
      <c r="AW3828" s="1315"/>
      <c r="AX3828" s="1315"/>
      <c r="AY3828" s="1315"/>
      <c r="AZ3828" s="1315"/>
      <c r="BA3828" s="1315"/>
      <c r="BB3828" s="1315"/>
      <c r="BC3828" s="1315"/>
      <c r="BD3828" s="1315"/>
      <c r="BE3828" s="1315"/>
      <c r="BF3828" s="1315"/>
      <c r="BG3828" s="1315"/>
      <c r="BH3828" s="1315"/>
      <c r="BI3828" s="1315"/>
      <c r="BJ3828" s="1315"/>
      <c r="BK3828" s="1315"/>
      <c r="BL3828" s="1315"/>
    </row>
    <row r="3829" spans="1:64">
      <c r="A3829" s="1794"/>
      <c r="B3829" s="1332"/>
      <c r="C3829" s="1807" t="s">
        <v>1500</v>
      </c>
      <c r="D3829" s="1203">
        <f>1*4.6</f>
        <v>4.5999999999999996</v>
      </c>
      <c r="E3829" s="1199" t="s">
        <v>197</v>
      </c>
      <c r="F3829" s="1201"/>
      <c r="G3829" s="1204"/>
      <c r="H3829" s="1199"/>
      <c r="I3829" s="1205"/>
      <c r="J3829" s="1817"/>
      <c r="K3829" s="1817"/>
      <c r="L3829" s="1817"/>
      <c r="M3829" s="1315"/>
      <c r="N3829" s="1315"/>
      <c r="O3829" s="1315"/>
      <c r="P3829" s="1315"/>
      <c r="Q3829" s="1315"/>
      <c r="R3829" s="1315"/>
      <c r="S3829" s="1315"/>
      <c r="T3829" s="1315"/>
      <c r="U3829" s="1315"/>
      <c r="V3829" s="1315"/>
      <c r="W3829" s="1315"/>
      <c r="X3829" s="1315"/>
      <c r="Y3829" s="1315"/>
      <c r="Z3829" s="1315"/>
      <c r="AA3829" s="1315"/>
      <c r="AB3829" s="1315"/>
      <c r="AC3829" s="1315"/>
      <c r="AD3829" s="1315"/>
      <c r="AE3829" s="1315"/>
      <c r="AF3829" s="1315"/>
      <c r="AG3829" s="1315"/>
      <c r="AH3829" s="1315"/>
      <c r="AI3829" s="1315"/>
      <c r="AJ3829" s="1315"/>
      <c r="AK3829" s="1315"/>
      <c r="AL3829" s="1315"/>
      <c r="AM3829" s="1315"/>
      <c r="AN3829" s="1315"/>
      <c r="AO3829" s="1315"/>
      <c r="AP3829" s="1315"/>
      <c r="AQ3829" s="1315"/>
      <c r="AR3829" s="1315"/>
      <c r="AS3829" s="1315"/>
      <c r="AT3829" s="1315"/>
      <c r="AU3829" s="1315"/>
      <c r="AV3829" s="1315"/>
      <c r="AW3829" s="1315"/>
      <c r="AX3829" s="1315"/>
      <c r="AY3829" s="1315"/>
      <c r="AZ3829" s="1315"/>
      <c r="BA3829" s="1315"/>
      <c r="BB3829" s="1315"/>
      <c r="BC3829" s="1315"/>
      <c r="BD3829" s="1315"/>
      <c r="BE3829" s="1315"/>
      <c r="BF3829" s="1315"/>
      <c r="BG3829" s="1315"/>
      <c r="BH3829" s="1315"/>
      <c r="BI3829" s="1315"/>
      <c r="BJ3829" s="1315"/>
      <c r="BK3829" s="1315"/>
      <c r="BL3829" s="1315"/>
    </row>
    <row r="3830" spans="1:64">
      <c r="A3830" s="1794"/>
      <c r="B3830" s="1332"/>
      <c r="C3830" s="1807" t="s">
        <v>1513</v>
      </c>
      <c r="D3830" s="1203">
        <f>5*0.1</f>
        <v>0.5</v>
      </c>
      <c r="E3830" s="1199" t="s">
        <v>197</v>
      </c>
      <c r="F3830" s="1201"/>
      <c r="G3830" s="1204"/>
      <c r="H3830" s="1199"/>
      <c r="I3830" s="1205"/>
      <c r="J3830" s="1817"/>
      <c r="K3830" s="1817"/>
      <c r="L3830" s="1817"/>
      <c r="M3830" s="1315"/>
      <c r="N3830" s="1315"/>
      <c r="O3830" s="1315"/>
      <c r="P3830" s="1315"/>
      <c r="Q3830" s="1315"/>
      <c r="R3830" s="1315"/>
      <c r="S3830" s="1315"/>
      <c r="T3830" s="1315"/>
      <c r="U3830" s="1315"/>
      <c r="V3830" s="1315"/>
      <c r="W3830" s="1315"/>
      <c r="X3830" s="1315"/>
      <c r="Y3830" s="1315"/>
      <c r="Z3830" s="1315"/>
      <c r="AA3830" s="1315"/>
      <c r="AB3830" s="1315"/>
      <c r="AC3830" s="1315"/>
      <c r="AD3830" s="1315"/>
      <c r="AE3830" s="1315"/>
      <c r="AF3830" s="1315"/>
      <c r="AG3830" s="1315"/>
      <c r="AH3830" s="1315"/>
      <c r="AI3830" s="1315"/>
      <c r="AJ3830" s="1315"/>
      <c r="AK3830" s="1315"/>
      <c r="AL3830" s="1315"/>
      <c r="AM3830" s="1315"/>
      <c r="AN3830" s="1315"/>
      <c r="AO3830" s="1315"/>
      <c r="AP3830" s="1315"/>
      <c r="AQ3830" s="1315"/>
      <c r="AR3830" s="1315"/>
      <c r="AS3830" s="1315"/>
      <c r="AT3830" s="1315"/>
      <c r="AU3830" s="1315"/>
      <c r="AV3830" s="1315"/>
      <c r="AW3830" s="1315"/>
      <c r="AX3830" s="1315"/>
      <c r="AY3830" s="1315"/>
      <c r="AZ3830" s="1315"/>
      <c r="BA3830" s="1315"/>
      <c r="BB3830" s="1315"/>
      <c r="BC3830" s="1315"/>
      <c r="BD3830" s="1315"/>
      <c r="BE3830" s="1315"/>
      <c r="BF3830" s="1315"/>
      <c r="BG3830" s="1315"/>
      <c r="BH3830" s="1315"/>
      <c r="BI3830" s="1315"/>
      <c r="BJ3830" s="1315"/>
      <c r="BK3830" s="1315"/>
      <c r="BL3830" s="1315"/>
    </row>
    <row r="3831" spans="1:64">
      <c r="A3831" s="1794"/>
      <c r="B3831" s="1332"/>
      <c r="C3831" s="1813" t="s">
        <v>1502</v>
      </c>
      <c r="D3831" s="1333">
        <f>ROUND(4.6*2.39,2)</f>
        <v>10.99</v>
      </c>
      <c r="E3831" s="1271" t="s">
        <v>1110</v>
      </c>
      <c r="F3831" s="1223"/>
      <c r="G3831" s="1334"/>
      <c r="H3831" s="1271"/>
      <c r="I3831" s="1205"/>
      <c r="J3831" s="1817"/>
      <c r="K3831" s="1817"/>
      <c r="L3831" s="1817"/>
      <c r="M3831" s="1315"/>
      <c r="N3831" s="1315"/>
      <c r="O3831" s="1315"/>
      <c r="P3831" s="1315"/>
      <c r="Q3831" s="1315"/>
      <c r="R3831" s="1315"/>
      <c r="S3831" s="1315"/>
      <c r="T3831" s="1315"/>
      <c r="U3831" s="1315"/>
      <c r="V3831" s="1315"/>
      <c r="W3831" s="1315"/>
      <c r="X3831" s="1315"/>
      <c r="Y3831" s="1315"/>
      <c r="Z3831" s="1315"/>
      <c r="AA3831" s="1315"/>
      <c r="AB3831" s="1315"/>
      <c r="AC3831" s="1315"/>
      <c r="AD3831" s="1315"/>
      <c r="AE3831" s="1315"/>
      <c r="AF3831" s="1315"/>
      <c r="AG3831" s="1315"/>
      <c r="AH3831" s="1315"/>
      <c r="AI3831" s="1315"/>
      <c r="AJ3831" s="1315"/>
      <c r="AK3831" s="1315"/>
      <c r="AL3831" s="1315"/>
      <c r="AM3831" s="1315"/>
      <c r="AN3831" s="1315"/>
      <c r="AO3831" s="1315"/>
      <c r="AP3831" s="1315"/>
      <c r="AQ3831" s="1315"/>
      <c r="AR3831" s="1315"/>
      <c r="AS3831" s="1315"/>
      <c r="AT3831" s="1315"/>
      <c r="AU3831" s="1315"/>
      <c r="AV3831" s="1315"/>
      <c r="AW3831" s="1315"/>
      <c r="AX3831" s="1315"/>
      <c r="AY3831" s="1315"/>
      <c r="AZ3831" s="1315"/>
      <c r="BA3831" s="1315"/>
      <c r="BB3831" s="1315"/>
      <c r="BC3831" s="1315"/>
      <c r="BD3831" s="1315"/>
      <c r="BE3831" s="1315"/>
      <c r="BF3831" s="1315"/>
      <c r="BG3831" s="1315"/>
      <c r="BH3831" s="1315"/>
      <c r="BI3831" s="1315"/>
      <c r="BJ3831" s="1315"/>
      <c r="BK3831" s="1315"/>
      <c r="BL3831" s="1315"/>
    </row>
    <row r="3832" spans="1:64">
      <c r="A3832" s="1794"/>
      <c r="B3832" s="1332"/>
      <c r="C3832" s="1813" t="s">
        <v>1514</v>
      </c>
      <c r="D3832" s="1333">
        <f>ROUND(D3830*0.89,2)</f>
        <v>0.45</v>
      </c>
      <c r="E3832" s="1271" t="s">
        <v>1110</v>
      </c>
      <c r="F3832" s="1201"/>
      <c r="G3832" s="1204"/>
      <c r="H3832" s="1199"/>
      <c r="I3832" s="1205"/>
      <c r="J3832" s="1817"/>
      <c r="K3832" s="1817"/>
      <c r="L3832" s="1817"/>
      <c r="M3832" s="1315"/>
      <c r="N3832" s="1315"/>
      <c r="O3832" s="1315"/>
      <c r="P3832" s="1315"/>
      <c r="Q3832" s="1315"/>
      <c r="R3832" s="1315"/>
      <c r="S3832" s="1315"/>
      <c r="T3832" s="1315"/>
      <c r="U3832" s="1315"/>
      <c r="V3832" s="1315"/>
      <c r="W3832" s="1315"/>
      <c r="X3832" s="1315"/>
      <c r="Y3832" s="1315"/>
      <c r="Z3832" s="1315"/>
      <c r="AA3832" s="1315"/>
      <c r="AB3832" s="1315"/>
      <c r="AC3832" s="1315"/>
      <c r="AD3832" s="1315"/>
      <c r="AE3832" s="1315"/>
      <c r="AF3832" s="1315"/>
      <c r="AG3832" s="1315"/>
      <c r="AH3832" s="1315"/>
      <c r="AI3832" s="1315"/>
      <c r="AJ3832" s="1315"/>
      <c r="AK3832" s="1315"/>
      <c r="AL3832" s="1315"/>
      <c r="AM3832" s="1315"/>
      <c r="AN3832" s="1315"/>
      <c r="AO3832" s="1315"/>
      <c r="AP3832" s="1315"/>
      <c r="AQ3832" s="1315"/>
      <c r="AR3832" s="1315"/>
      <c r="AS3832" s="1315"/>
      <c r="AT3832" s="1315"/>
      <c r="AU3832" s="1315"/>
      <c r="AV3832" s="1315"/>
      <c r="AW3832" s="1315"/>
      <c r="AX3832" s="1315"/>
      <c r="AY3832" s="1315"/>
      <c r="AZ3832" s="1315"/>
      <c r="BA3832" s="1315"/>
      <c r="BB3832" s="1315"/>
      <c r="BC3832" s="1315"/>
      <c r="BD3832" s="1315"/>
      <c r="BE3832" s="1315"/>
      <c r="BF3832" s="1315"/>
      <c r="BG3832" s="1315"/>
      <c r="BH3832" s="1315"/>
      <c r="BI3832" s="1315"/>
      <c r="BJ3832" s="1315"/>
      <c r="BK3832" s="1315"/>
      <c r="BL3832" s="1315"/>
    </row>
    <row r="3833" spans="1:64">
      <c r="A3833" s="1794"/>
      <c r="B3833" s="1208"/>
      <c r="C3833" s="1807" t="s">
        <v>1515</v>
      </c>
      <c r="D3833" s="1316">
        <f>ROUND(SUM(D3831:D3832),2)</f>
        <v>11.44</v>
      </c>
      <c r="E3833" s="1288" t="s">
        <v>1110</v>
      </c>
      <c r="F3833" s="1211">
        <f>'Civil-SOR'!$G$47</f>
        <v>434</v>
      </c>
      <c r="G3833" s="1318">
        <v>1</v>
      </c>
      <c r="H3833" s="1288" t="s">
        <v>97</v>
      </c>
      <c r="I3833" s="1211">
        <f t="shared" ref="I3833:I3838" si="886">IF(G3833="",D3833*F3833,(D3833*F3833/G3833))</f>
        <v>4964.96</v>
      </c>
      <c r="J3833" s="1817"/>
      <c r="K3833" s="1817"/>
      <c r="L3833" s="1817"/>
      <c r="M3833" s="1315"/>
      <c r="N3833" s="1315"/>
      <c r="O3833" s="1315"/>
      <c r="P3833" s="1315"/>
      <c r="Q3833" s="1315"/>
      <c r="R3833" s="1315"/>
      <c r="S3833" s="1315"/>
      <c r="T3833" s="1315"/>
      <c r="U3833" s="1315"/>
      <c r="V3833" s="1315"/>
      <c r="W3833" s="1315"/>
      <c r="X3833" s="1315"/>
      <c r="Y3833" s="1315"/>
      <c r="Z3833" s="1315"/>
      <c r="AA3833" s="1315"/>
      <c r="AB3833" s="1315"/>
      <c r="AC3833" s="1315"/>
      <c r="AD3833" s="1315"/>
      <c r="AE3833" s="1315"/>
      <c r="AF3833" s="1315"/>
      <c r="AG3833" s="1315"/>
      <c r="AH3833" s="1315"/>
      <c r="AI3833" s="1315"/>
      <c r="AJ3833" s="1315"/>
      <c r="AK3833" s="1315"/>
      <c r="AL3833" s="1315"/>
      <c r="AM3833" s="1315"/>
      <c r="AN3833" s="1315"/>
      <c r="AO3833" s="1315"/>
      <c r="AP3833" s="1315"/>
      <c r="AQ3833" s="1315"/>
      <c r="AR3833" s="1315"/>
      <c r="AS3833" s="1315"/>
      <c r="AT3833" s="1315"/>
      <c r="AU3833" s="1315"/>
      <c r="AV3833" s="1315"/>
      <c r="AW3833" s="1315"/>
      <c r="AX3833" s="1315"/>
      <c r="AY3833" s="1315"/>
      <c r="AZ3833" s="1315"/>
      <c r="BA3833" s="1315"/>
      <c r="BB3833" s="1315"/>
      <c r="BC3833" s="1315"/>
      <c r="BD3833" s="1315"/>
      <c r="BE3833" s="1315"/>
      <c r="BF3833" s="1315"/>
      <c r="BG3833" s="1315"/>
      <c r="BH3833" s="1315"/>
      <c r="BI3833" s="1315"/>
      <c r="BJ3833" s="1315"/>
      <c r="BK3833" s="1315"/>
      <c r="BL3833" s="1315"/>
    </row>
    <row r="3834" spans="1:64">
      <c r="A3834" s="1794"/>
      <c r="B3834" s="1208"/>
      <c r="C3834" s="1807" t="s">
        <v>1505</v>
      </c>
      <c r="D3834" s="1316">
        <f>D3833</f>
        <v>11.44</v>
      </c>
      <c r="E3834" s="1288" t="s">
        <v>1110</v>
      </c>
      <c r="F3834" s="1211">
        <f>'Civil-SOR'!$G$204</f>
        <v>188</v>
      </c>
      <c r="G3834" s="1318">
        <v>1</v>
      </c>
      <c r="H3834" s="1288" t="s">
        <v>97</v>
      </c>
      <c r="I3834" s="1211">
        <f t="shared" si="886"/>
        <v>2150.7199999999998</v>
      </c>
      <c r="J3834" s="1817"/>
      <c r="K3834" s="1817"/>
      <c r="L3834" s="1817"/>
      <c r="M3834" s="1315"/>
      <c r="N3834" s="1315"/>
      <c r="O3834" s="1315"/>
      <c r="P3834" s="1315"/>
      <c r="Q3834" s="1315"/>
      <c r="R3834" s="1315"/>
      <c r="S3834" s="1315"/>
      <c r="T3834" s="1315"/>
      <c r="U3834" s="1315"/>
      <c r="V3834" s="1315"/>
      <c r="W3834" s="1315"/>
      <c r="X3834" s="1315"/>
      <c r="Y3834" s="1315"/>
      <c r="Z3834" s="1315"/>
      <c r="AA3834" s="1315"/>
      <c r="AB3834" s="1315"/>
      <c r="AC3834" s="1315"/>
      <c r="AD3834" s="1315"/>
      <c r="AE3834" s="1315"/>
      <c r="AF3834" s="1315"/>
      <c r="AG3834" s="1315"/>
      <c r="AH3834" s="1315"/>
      <c r="AI3834" s="1315"/>
      <c r="AJ3834" s="1315"/>
      <c r="AK3834" s="1315"/>
      <c r="AL3834" s="1315"/>
      <c r="AM3834" s="1315"/>
      <c r="AN3834" s="1315"/>
      <c r="AO3834" s="1315"/>
      <c r="AP3834" s="1315"/>
      <c r="AQ3834" s="1315"/>
      <c r="AR3834" s="1315"/>
      <c r="AS3834" s="1315"/>
      <c r="AT3834" s="1315"/>
      <c r="AU3834" s="1315"/>
      <c r="AV3834" s="1315"/>
      <c r="AW3834" s="1315"/>
      <c r="AX3834" s="1315"/>
      <c r="AY3834" s="1315"/>
      <c r="AZ3834" s="1315"/>
      <c r="BA3834" s="1315"/>
      <c r="BB3834" s="1315"/>
      <c r="BC3834" s="1315"/>
      <c r="BD3834" s="1315"/>
      <c r="BE3834" s="1315"/>
      <c r="BF3834" s="1315"/>
      <c r="BG3834" s="1315"/>
      <c r="BH3834" s="1315"/>
      <c r="BI3834" s="1315"/>
      <c r="BJ3834" s="1315"/>
      <c r="BK3834" s="1315"/>
      <c r="BL3834" s="1315"/>
    </row>
    <row r="3835" spans="1:64">
      <c r="A3835" s="1794"/>
      <c r="B3835" s="1208"/>
      <c r="C3835" s="1338" t="s">
        <v>1516</v>
      </c>
      <c r="D3835" s="1333">
        <v>0.5</v>
      </c>
      <c r="E3835" s="1288" t="s">
        <v>197</v>
      </c>
      <c r="F3835" s="1211">
        <f>'Civil-SOR'!$G$348</f>
        <v>136</v>
      </c>
      <c r="G3835" s="1318">
        <v>1</v>
      </c>
      <c r="H3835" s="1288" t="s">
        <v>197</v>
      </c>
      <c r="I3835" s="1211">
        <f t="shared" si="886"/>
        <v>68</v>
      </c>
      <c r="J3835" s="1817"/>
      <c r="K3835" s="1817"/>
      <c r="L3835" s="1817"/>
      <c r="M3835" s="1315"/>
      <c r="N3835" s="1315"/>
      <c r="O3835" s="1315"/>
      <c r="P3835" s="1315"/>
      <c r="Q3835" s="1315"/>
      <c r="R3835" s="1315"/>
      <c r="S3835" s="1315"/>
      <c r="T3835" s="1315"/>
      <c r="U3835" s="1315"/>
      <c r="V3835" s="1315"/>
      <c r="W3835" s="1315"/>
      <c r="X3835" s="1315"/>
      <c r="Y3835" s="1315"/>
      <c r="Z3835" s="1315"/>
      <c r="AA3835" s="1315"/>
      <c r="AB3835" s="1315"/>
      <c r="AC3835" s="1315"/>
      <c r="AD3835" s="1315"/>
      <c r="AE3835" s="1315"/>
      <c r="AF3835" s="1315"/>
      <c r="AG3835" s="1315"/>
      <c r="AH3835" s="1315"/>
      <c r="AI3835" s="1315"/>
      <c r="AJ3835" s="1315"/>
      <c r="AK3835" s="1315"/>
      <c r="AL3835" s="1315"/>
      <c r="AM3835" s="1315"/>
      <c r="AN3835" s="1315"/>
      <c r="AO3835" s="1315"/>
      <c r="AP3835" s="1315"/>
      <c r="AQ3835" s="1315"/>
      <c r="AR3835" s="1315"/>
      <c r="AS3835" s="1315"/>
      <c r="AT3835" s="1315"/>
      <c r="AU3835" s="1315"/>
      <c r="AV3835" s="1315"/>
      <c r="AW3835" s="1315"/>
      <c r="AX3835" s="1315"/>
      <c r="AY3835" s="1315"/>
      <c r="AZ3835" s="1315"/>
      <c r="BA3835" s="1315"/>
      <c r="BB3835" s="1315"/>
      <c r="BC3835" s="1315"/>
      <c r="BD3835" s="1315"/>
      <c r="BE3835" s="1315"/>
      <c r="BF3835" s="1315"/>
      <c r="BG3835" s="1315"/>
      <c r="BH3835" s="1315"/>
      <c r="BI3835" s="1315"/>
      <c r="BJ3835" s="1315"/>
      <c r="BK3835" s="1315"/>
      <c r="BL3835" s="1315"/>
    </row>
    <row r="3836" spans="1:64">
      <c r="A3836" s="1794"/>
      <c r="B3836" s="1208"/>
      <c r="C3836" s="1807" t="s">
        <v>1507</v>
      </c>
      <c r="D3836" s="1210">
        <v>5</v>
      </c>
      <c r="E3836" s="1813" t="s">
        <v>36</v>
      </c>
      <c r="F3836" s="1209">
        <f>'Civil-SOR'!$G$379</f>
        <v>100</v>
      </c>
      <c r="G3836" s="1210">
        <v>1</v>
      </c>
      <c r="H3836" s="1208" t="s">
        <v>501</v>
      </c>
      <c r="I3836" s="1211">
        <f t="shared" si="886"/>
        <v>500</v>
      </c>
      <c r="J3836" s="1817"/>
      <c r="K3836" s="1817"/>
      <c r="L3836" s="1817"/>
      <c r="M3836" s="1315"/>
      <c r="N3836" s="1315"/>
      <c r="O3836" s="1315"/>
      <c r="P3836" s="1315"/>
      <c r="Q3836" s="1315"/>
      <c r="R3836" s="1315"/>
      <c r="S3836" s="1315"/>
      <c r="T3836" s="1315"/>
      <c r="U3836" s="1315"/>
      <c r="V3836" s="1315"/>
      <c r="W3836" s="1315"/>
      <c r="X3836" s="1315"/>
      <c r="Y3836" s="1315"/>
      <c r="Z3836" s="1315"/>
      <c r="AA3836" s="1315"/>
      <c r="AB3836" s="1315"/>
      <c r="AC3836" s="1315"/>
      <c r="AD3836" s="1315"/>
      <c r="AE3836" s="1315"/>
      <c r="AF3836" s="1315"/>
      <c r="AG3836" s="1315"/>
      <c r="AH3836" s="1315"/>
      <c r="AI3836" s="1315"/>
      <c r="AJ3836" s="1315"/>
      <c r="AK3836" s="1315"/>
      <c r="AL3836" s="1315"/>
      <c r="AM3836" s="1315"/>
      <c r="AN3836" s="1315"/>
      <c r="AO3836" s="1315"/>
      <c r="AP3836" s="1315"/>
      <c r="AQ3836" s="1315"/>
      <c r="AR3836" s="1315"/>
      <c r="AS3836" s="1315"/>
      <c r="AT3836" s="1315"/>
      <c r="AU3836" s="1315"/>
      <c r="AV3836" s="1315"/>
      <c r="AW3836" s="1315"/>
      <c r="AX3836" s="1315"/>
      <c r="AY3836" s="1315"/>
      <c r="AZ3836" s="1315"/>
      <c r="BA3836" s="1315"/>
      <c r="BB3836" s="1315"/>
      <c r="BC3836" s="1315"/>
      <c r="BD3836" s="1315"/>
      <c r="BE3836" s="1315"/>
      <c r="BF3836" s="1315"/>
      <c r="BG3836" s="1315"/>
      <c r="BH3836" s="1315"/>
      <c r="BI3836" s="1315"/>
      <c r="BJ3836" s="1315"/>
      <c r="BK3836" s="1315"/>
      <c r="BL3836" s="1315"/>
    </row>
    <row r="3837" spans="1:64">
      <c r="A3837" s="1794"/>
      <c r="B3837" s="1208"/>
      <c r="C3837" s="1807" t="s">
        <v>1508</v>
      </c>
      <c r="D3837" s="1318">
        <v>5</v>
      </c>
      <c r="E3837" s="1288" t="s">
        <v>36</v>
      </c>
      <c r="F3837" s="1209">
        <f>'Civil-SOR'!$G$380</f>
        <v>40</v>
      </c>
      <c r="G3837" s="1318">
        <v>1</v>
      </c>
      <c r="H3837" s="1288" t="s">
        <v>1509</v>
      </c>
      <c r="I3837" s="1211">
        <f t="shared" si="886"/>
        <v>200</v>
      </c>
      <c r="J3837" s="1817"/>
      <c r="K3837" s="1817"/>
      <c r="L3837" s="1817"/>
      <c r="M3837" s="1315"/>
      <c r="N3837" s="1315"/>
      <c r="O3837" s="1315"/>
      <c r="P3837" s="1315"/>
      <c r="Q3837" s="1315"/>
      <c r="R3837" s="1315"/>
      <c r="S3837" s="1315"/>
      <c r="T3837" s="1315"/>
      <c r="U3837" s="1315"/>
      <c r="V3837" s="1315"/>
      <c r="W3837" s="1315"/>
      <c r="X3837" s="1315"/>
      <c r="Y3837" s="1315"/>
      <c r="Z3837" s="1315"/>
      <c r="AA3837" s="1315"/>
      <c r="AB3837" s="1315"/>
      <c r="AC3837" s="1315"/>
      <c r="AD3837" s="1315"/>
      <c r="AE3837" s="1315"/>
      <c r="AF3837" s="1315"/>
      <c r="AG3837" s="1315"/>
      <c r="AH3837" s="1315"/>
      <c r="AI3837" s="1315"/>
      <c r="AJ3837" s="1315"/>
      <c r="AK3837" s="1315"/>
      <c r="AL3837" s="1315"/>
      <c r="AM3837" s="1315"/>
      <c r="AN3837" s="1315"/>
      <c r="AO3837" s="1315"/>
      <c r="AP3837" s="1315"/>
      <c r="AQ3837" s="1315"/>
      <c r="AR3837" s="1315"/>
      <c r="AS3837" s="1315"/>
      <c r="AT3837" s="1315"/>
      <c r="AU3837" s="1315"/>
      <c r="AV3837" s="1315"/>
      <c r="AW3837" s="1315"/>
      <c r="AX3837" s="1315"/>
      <c r="AY3837" s="1315"/>
      <c r="AZ3837" s="1315"/>
      <c r="BA3837" s="1315"/>
      <c r="BB3837" s="1315"/>
      <c r="BC3837" s="1315"/>
      <c r="BD3837" s="1315"/>
      <c r="BE3837" s="1315"/>
      <c r="BF3837" s="1315"/>
      <c r="BG3837" s="1315"/>
      <c r="BH3837" s="1315"/>
      <c r="BI3837" s="1315"/>
      <c r="BJ3837" s="1315"/>
      <c r="BK3837" s="1315"/>
      <c r="BL3837" s="1315"/>
    </row>
    <row r="3838" spans="1:64">
      <c r="A3838" s="1794"/>
      <c r="B3838" s="1208"/>
      <c r="C3838" s="1807" t="s">
        <v>1510</v>
      </c>
      <c r="D3838" s="1318">
        <v>5</v>
      </c>
      <c r="E3838" s="1288" t="s">
        <v>36</v>
      </c>
      <c r="F3838" s="1209">
        <f>'Civil-SOR'!$G$381</f>
        <v>20</v>
      </c>
      <c r="G3838" s="1318">
        <v>1</v>
      </c>
      <c r="H3838" s="1288" t="s">
        <v>1509</v>
      </c>
      <c r="I3838" s="1211">
        <f t="shared" si="886"/>
        <v>100</v>
      </c>
      <c r="J3838" s="1817"/>
      <c r="K3838" s="1817"/>
      <c r="L3838" s="1817"/>
      <c r="M3838" s="1315"/>
      <c r="N3838" s="1315"/>
      <c r="O3838" s="1315"/>
      <c r="P3838" s="1315"/>
      <c r="Q3838" s="1315"/>
      <c r="R3838" s="1315"/>
      <c r="S3838" s="1315"/>
      <c r="T3838" s="1315"/>
      <c r="U3838" s="1315"/>
      <c r="V3838" s="1315"/>
      <c r="W3838" s="1315"/>
      <c r="X3838" s="1315"/>
      <c r="Y3838" s="1315"/>
      <c r="Z3838" s="1315"/>
      <c r="AA3838" s="1315"/>
      <c r="AB3838" s="1315"/>
      <c r="AC3838" s="1315"/>
      <c r="AD3838" s="1315"/>
      <c r="AE3838" s="1315"/>
      <c r="AF3838" s="1315"/>
      <c r="AG3838" s="1315"/>
      <c r="AH3838" s="1315"/>
      <c r="AI3838" s="1315"/>
      <c r="AJ3838" s="1315"/>
      <c r="AK3838" s="1315"/>
      <c r="AL3838" s="1315"/>
      <c r="AM3838" s="1315"/>
      <c r="AN3838" s="1315"/>
      <c r="AO3838" s="1315"/>
      <c r="AP3838" s="1315"/>
      <c r="AQ3838" s="1315"/>
      <c r="AR3838" s="1315"/>
      <c r="AS3838" s="1315"/>
      <c r="AT3838" s="1315"/>
      <c r="AU3838" s="1315"/>
      <c r="AV3838" s="1315"/>
      <c r="AW3838" s="1315"/>
      <c r="AX3838" s="1315"/>
      <c r="AY3838" s="1315"/>
      <c r="AZ3838" s="1315"/>
      <c r="BA3838" s="1315"/>
      <c r="BB3838" s="1315"/>
      <c r="BC3838" s="1315"/>
      <c r="BD3838" s="1315"/>
      <c r="BE3838" s="1315"/>
      <c r="BF3838" s="1315"/>
      <c r="BG3838" s="1315"/>
      <c r="BH3838" s="1315"/>
      <c r="BI3838" s="1315"/>
      <c r="BJ3838" s="1315"/>
      <c r="BK3838" s="1315"/>
      <c r="BL3838" s="1315"/>
    </row>
    <row r="3839" spans="1:64">
      <c r="A3839" s="1794"/>
      <c r="B3839" s="1332"/>
      <c r="C3839" s="1208"/>
      <c r="D3839" s="1203"/>
      <c r="E3839" s="1199"/>
      <c r="F3839" s="1201"/>
      <c r="G3839" s="1204"/>
      <c r="H3839" s="1199"/>
      <c r="I3839" s="1230">
        <f>SUM(I3833:I3838)</f>
        <v>7983.68</v>
      </c>
      <c r="J3839" s="1817"/>
      <c r="K3839" s="1817"/>
      <c r="L3839" s="1817"/>
      <c r="M3839" s="1315"/>
      <c r="N3839" s="1315"/>
      <c r="O3839" s="1315"/>
      <c r="P3839" s="1315"/>
      <c r="Q3839" s="1315"/>
      <c r="R3839" s="1315"/>
      <c r="S3839" s="1315"/>
      <c r="T3839" s="1315"/>
      <c r="U3839" s="1315"/>
      <c r="V3839" s="1315"/>
      <c r="W3839" s="1315"/>
      <c r="X3839" s="1315"/>
      <c r="Y3839" s="1315"/>
      <c r="Z3839" s="1315"/>
      <c r="AA3839" s="1315"/>
      <c r="AB3839" s="1315"/>
      <c r="AC3839" s="1315"/>
      <c r="AD3839" s="1315"/>
      <c r="AE3839" s="1315"/>
      <c r="AF3839" s="1315"/>
      <c r="AG3839" s="1315"/>
      <c r="AH3839" s="1315"/>
      <c r="AI3839" s="1315"/>
      <c r="AJ3839" s="1315"/>
      <c r="AK3839" s="1315"/>
      <c r="AL3839" s="1315"/>
      <c r="AM3839" s="1315"/>
      <c r="AN3839" s="1315"/>
      <c r="AO3839" s="1315"/>
      <c r="AP3839" s="1315"/>
      <c r="AQ3839" s="1315"/>
      <c r="AR3839" s="1315"/>
      <c r="AS3839" s="1315"/>
      <c r="AT3839" s="1315"/>
      <c r="AU3839" s="1315"/>
      <c r="AV3839" s="1315"/>
      <c r="AW3839" s="1315"/>
      <c r="AX3839" s="1315"/>
      <c r="AY3839" s="1315"/>
      <c r="AZ3839" s="1315"/>
      <c r="BA3839" s="1315"/>
      <c r="BB3839" s="1315"/>
      <c r="BC3839" s="1315"/>
      <c r="BD3839" s="1315"/>
      <c r="BE3839" s="1315"/>
      <c r="BF3839" s="1315"/>
      <c r="BG3839" s="1315"/>
      <c r="BH3839" s="1315"/>
      <c r="BI3839" s="1315"/>
      <c r="BJ3839" s="1315"/>
      <c r="BK3839" s="1315"/>
      <c r="BL3839" s="1315"/>
    </row>
    <row r="3840" spans="1:64">
      <c r="A3840" s="1794"/>
      <c r="B3840" s="1332"/>
      <c r="C3840" s="1807" t="s">
        <v>1288</v>
      </c>
      <c r="D3840" s="1203"/>
      <c r="E3840" s="1199"/>
      <c r="F3840" s="1201"/>
      <c r="G3840" s="1204"/>
      <c r="H3840" s="1199"/>
      <c r="I3840" s="1230">
        <f>I3839/D3828</f>
        <v>1735.5826086956524</v>
      </c>
      <c r="J3840" s="1817"/>
      <c r="K3840" s="1817"/>
      <c r="L3840" s="1817"/>
      <c r="M3840" s="1315"/>
      <c r="N3840" s="1315"/>
      <c r="O3840" s="1315"/>
      <c r="P3840" s="1315"/>
      <c r="Q3840" s="1315"/>
      <c r="R3840" s="1315"/>
      <c r="S3840" s="1315"/>
      <c r="T3840" s="1315"/>
      <c r="U3840" s="1315"/>
      <c r="V3840" s="1315"/>
      <c r="W3840" s="1315"/>
      <c r="X3840" s="1315"/>
      <c r="Y3840" s="1315"/>
      <c r="Z3840" s="1315"/>
      <c r="AA3840" s="1315"/>
      <c r="AB3840" s="1315"/>
      <c r="AC3840" s="1315"/>
      <c r="AD3840" s="1315"/>
      <c r="AE3840" s="1315"/>
      <c r="AF3840" s="1315"/>
      <c r="AG3840" s="1315"/>
      <c r="AH3840" s="1315"/>
      <c r="AI3840" s="1315"/>
      <c r="AJ3840" s="1315"/>
      <c r="AK3840" s="1315"/>
      <c r="AL3840" s="1315"/>
      <c r="AM3840" s="1315"/>
      <c r="AN3840" s="1315"/>
      <c r="AO3840" s="1315"/>
      <c r="AP3840" s="1315"/>
      <c r="AQ3840" s="1315"/>
      <c r="AR3840" s="1315"/>
      <c r="AS3840" s="1315"/>
      <c r="AT3840" s="1315"/>
      <c r="AU3840" s="1315"/>
      <c r="AV3840" s="1315"/>
      <c r="AW3840" s="1315"/>
      <c r="AX3840" s="1315"/>
      <c r="AY3840" s="1315"/>
      <c r="AZ3840" s="1315"/>
      <c r="BA3840" s="1315"/>
      <c r="BB3840" s="1315"/>
      <c r="BC3840" s="1315"/>
      <c r="BD3840" s="1315"/>
      <c r="BE3840" s="1315"/>
      <c r="BF3840" s="1315"/>
      <c r="BG3840" s="1315"/>
      <c r="BH3840" s="1315"/>
      <c r="BI3840" s="1315"/>
      <c r="BJ3840" s="1315"/>
      <c r="BK3840" s="1315"/>
      <c r="BL3840" s="1315"/>
    </row>
    <row r="3841" spans="1:64">
      <c r="A3841" s="1794"/>
      <c r="B3841" s="1332"/>
      <c r="C3841" s="1813" t="str">
        <f>Input!$C$48</f>
        <v>Overheads &amp; Contractors Profit @ 13.615%</v>
      </c>
      <c r="D3841" s="1337">
        <f>Input!$D$48</f>
        <v>0.13614999999999999</v>
      </c>
      <c r="E3841" s="1199"/>
      <c r="F3841" s="1201">
        <f>I3840</f>
        <v>1735.5826086956524</v>
      </c>
      <c r="G3841" s="1204"/>
      <c r="H3841" s="1198"/>
      <c r="I3841" s="1205">
        <f>IF(G3841="",D3841*F3841,(D3841*F3841/G3841))</f>
        <v>236.29957217391308</v>
      </c>
      <c r="J3841" s="1817"/>
      <c r="K3841" s="1817"/>
      <c r="L3841" s="1817"/>
      <c r="M3841" s="1315"/>
      <c r="N3841" s="1315"/>
      <c r="O3841" s="1315"/>
      <c r="P3841" s="1315"/>
      <c r="Q3841" s="1315"/>
      <c r="R3841" s="1315"/>
      <c r="S3841" s="1315"/>
      <c r="T3841" s="1315"/>
      <c r="U3841" s="1315"/>
      <c r="V3841" s="1315"/>
      <c r="W3841" s="1315"/>
      <c r="X3841" s="1315"/>
      <c r="Y3841" s="1315"/>
      <c r="Z3841" s="1315"/>
      <c r="AA3841" s="1315"/>
      <c r="AB3841" s="1315"/>
      <c r="AC3841" s="1315"/>
      <c r="AD3841" s="1315"/>
      <c r="AE3841" s="1315"/>
      <c r="AF3841" s="1315"/>
      <c r="AG3841" s="1315"/>
      <c r="AH3841" s="1315"/>
      <c r="AI3841" s="1315"/>
      <c r="AJ3841" s="1315"/>
      <c r="AK3841" s="1315"/>
      <c r="AL3841" s="1315"/>
      <c r="AM3841" s="1315"/>
      <c r="AN3841" s="1315"/>
      <c r="AO3841" s="1315"/>
      <c r="AP3841" s="1315"/>
      <c r="AQ3841" s="1315"/>
      <c r="AR3841" s="1315"/>
      <c r="AS3841" s="1315"/>
      <c r="AT3841" s="1315"/>
      <c r="AU3841" s="1315"/>
      <c r="AV3841" s="1315"/>
      <c r="AW3841" s="1315"/>
      <c r="AX3841" s="1315"/>
      <c r="AY3841" s="1315"/>
      <c r="AZ3841" s="1315"/>
      <c r="BA3841" s="1315"/>
      <c r="BB3841" s="1315"/>
      <c r="BC3841" s="1315"/>
      <c r="BD3841" s="1315"/>
      <c r="BE3841" s="1315"/>
      <c r="BF3841" s="1315"/>
      <c r="BG3841" s="1315"/>
      <c r="BH3841" s="1315"/>
      <c r="BI3841" s="1315"/>
      <c r="BJ3841" s="1315"/>
      <c r="BK3841" s="1315"/>
      <c r="BL3841" s="1315"/>
    </row>
    <row r="3842" spans="1:64">
      <c r="A3842" s="1794"/>
      <c r="B3842" s="1332"/>
      <c r="C3842" s="1811"/>
      <c r="D3842" s="1203"/>
      <c r="E3842" s="1199"/>
      <c r="F3842" s="1201"/>
      <c r="G3842" s="1204"/>
      <c r="H3842" s="1198"/>
      <c r="I3842" s="1230">
        <f>SUM(I3840:I3841)</f>
        <v>1971.8821808695654</v>
      </c>
      <c r="J3842" s="1817"/>
      <c r="K3842" s="1817"/>
      <c r="L3842" s="1817"/>
      <c r="M3842" s="1315"/>
      <c r="N3842" s="1315"/>
      <c r="O3842" s="1315"/>
      <c r="P3842" s="1315"/>
      <c r="Q3842" s="1315"/>
      <c r="R3842" s="1315"/>
      <c r="S3842" s="1315"/>
      <c r="T3842" s="1315"/>
      <c r="U3842" s="1315"/>
      <c r="V3842" s="1315"/>
      <c r="W3842" s="1315"/>
      <c r="X3842" s="1315"/>
      <c r="Y3842" s="1315"/>
      <c r="Z3842" s="1315"/>
      <c r="AA3842" s="1315"/>
      <c r="AB3842" s="1315"/>
      <c r="AC3842" s="1315"/>
      <c r="AD3842" s="1315"/>
      <c r="AE3842" s="1315"/>
      <c r="AF3842" s="1315"/>
      <c r="AG3842" s="1315"/>
      <c r="AH3842" s="1315"/>
      <c r="AI3842" s="1315"/>
      <c r="AJ3842" s="1315"/>
      <c r="AK3842" s="1315"/>
      <c r="AL3842" s="1315"/>
      <c r="AM3842" s="1315"/>
      <c r="AN3842" s="1315"/>
      <c r="AO3842" s="1315"/>
      <c r="AP3842" s="1315"/>
      <c r="AQ3842" s="1315"/>
      <c r="AR3842" s="1315"/>
      <c r="AS3842" s="1315"/>
      <c r="AT3842" s="1315"/>
      <c r="AU3842" s="1315"/>
      <c r="AV3842" s="1315"/>
      <c r="AW3842" s="1315"/>
      <c r="AX3842" s="1315"/>
      <c r="AY3842" s="1315"/>
      <c r="AZ3842" s="1315"/>
      <c r="BA3842" s="1315"/>
      <c r="BB3842" s="1315"/>
      <c r="BC3842" s="1315"/>
      <c r="BD3842" s="1315"/>
      <c r="BE3842" s="1315"/>
      <c r="BF3842" s="1315"/>
      <c r="BG3842" s="1315"/>
      <c r="BH3842" s="1315"/>
      <c r="BI3842" s="1315"/>
      <c r="BJ3842" s="1315"/>
      <c r="BK3842" s="1315"/>
      <c r="BL3842" s="1315"/>
    </row>
    <row r="3843" spans="1:64">
      <c r="A3843" s="1794"/>
      <c r="B3843" s="1332"/>
      <c r="C3843" s="1811"/>
      <c r="D3843" s="1203"/>
      <c r="E3843" s="1199"/>
      <c r="F3843" s="1201"/>
      <c r="G3843" s="1204"/>
      <c r="H3843" s="1198" t="s">
        <v>1511</v>
      </c>
      <c r="I3843" s="1219">
        <f>ROUND(I3842,0)</f>
        <v>1972</v>
      </c>
      <c r="J3843" s="1817"/>
      <c r="K3843" s="1817"/>
      <c r="L3843" s="1817"/>
      <c r="M3843" s="1315"/>
      <c r="N3843" s="1315"/>
      <c r="O3843" s="1315"/>
      <c r="P3843" s="1315"/>
      <c r="Q3843" s="1315"/>
      <c r="R3843" s="1315"/>
      <c r="S3843" s="1315"/>
      <c r="T3843" s="1315"/>
      <c r="U3843" s="1315"/>
      <c r="V3843" s="1315"/>
      <c r="W3843" s="1315"/>
      <c r="X3843" s="1315"/>
      <c r="Y3843" s="1315"/>
      <c r="Z3843" s="1315"/>
      <c r="AA3843" s="1315"/>
      <c r="AB3843" s="1315"/>
      <c r="AC3843" s="1315"/>
      <c r="AD3843" s="1315"/>
      <c r="AE3843" s="1315"/>
      <c r="AF3843" s="1315"/>
      <c r="AG3843" s="1315"/>
      <c r="AH3843" s="1315"/>
      <c r="AI3843" s="1315"/>
      <c r="AJ3843" s="1315"/>
      <c r="AK3843" s="1315"/>
      <c r="AL3843" s="1315"/>
      <c r="AM3843" s="1315"/>
      <c r="AN3843" s="1315"/>
      <c r="AO3843" s="1315"/>
      <c r="AP3843" s="1315"/>
      <c r="AQ3843" s="1315"/>
      <c r="AR3843" s="1315"/>
      <c r="AS3843" s="1315"/>
      <c r="AT3843" s="1315"/>
      <c r="AU3843" s="1315"/>
      <c r="AV3843" s="1315"/>
      <c r="AW3843" s="1315"/>
      <c r="AX3843" s="1315"/>
      <c r="AY3843" s="1315"/>
      <c r="AZ3843" s="1315"/>
      <c r="BA3843" s="1315"/>
      <c r="BB3843" s="1315"/>
      <c r="BC3843" s="1315"/>
      <c r="BD3843" s="1315"/>
      <c r="BE3843" s="1315"/>
      <c r="BF3843" s="1315"/>
      <c r="BG3843" s="1315"/>
      <c r="BH3843" s="1315"/>
      <c r="BI3843" s="1315"/>
      <c r="BJ3843" s="1315"/>
      <c r="BK3843" s="1315"/>
      <c r="BL3843" s="1315"/>
    </row>
    <row r="3844" spans="1:64">
      <c r="A3844" s="1794"/>
      <c r="B3844" s="1332"/>
      <c r="C3844" s="1811"/>
      <c r="D3844" s="1203"/>
      <c r="E3844" s="1199"/>
      <c r="F3844" s="1201"/>
      <c r="G3844" s="1204"/>
      <c r="H3844" s="1198"/>
      <c r="I3844" s="1219"/>
      <c r="J3844" s="1817"/>
      <c r="K3844" s="1817"/>
      <c r="L3844" s="1817"/>
      <c r="M3844" s="1315"/>
      <c r="N3844" s="1315"/>
      <c r="O3844" s="1315"/>
      <c r="P3844" s="1315"/>
      <c r="Q3844" s="1315"/>
      <c r="R3844" s="1315"/>
      <c r="S3844" s="1315"/>
      <c r="T3844" s="1315"/>
      <c r="U3844" s="1315"/>
      <c r="V3844" s="1315"/>
      <c r="W3844" s="1315"/>
      <c r="X3844" s="1315"/>
      <c r="Y3844" s="1315"/>
      <c r="Z3844" s="1315"/>
      <c r="AA3844" s="1315"/>
      <c r="AB3844" s="1315"/>
      <c r="AC3844" s="1315"/>
      <c r="AD3844" s="1315"/>
      <c r="AE3844" s="1315"/>
      <c r="AF3844" s="1315"/>
      <c r="AG3844" s="1315"/>
      <c r="AH3844" s="1315"/>
      <c r="AI3844" s="1315"/>
      <c r="AJ3844" s="1315"/>
      <c r="AK3844" s="1315"/>
      <c r="AL3844" s="1315"/>
      <c r="AM3844" s="1315"/>
      <c r="AN3844" s="1315"/>
      <c r="AO3844" s="1315"/>
      <c r="AP3844" s="1315"/>
      <c r="AQ3844" s="1315"/>
      <c r="AR3844" s="1315"/>
      <c r="AS3844" s="1315"/>
      <c r="AT3844" s="1315"/>
      <c r="AU3844" s="1315"/>
      <c r="AV3844" s="1315"/>
      <c r="AW3844" s="1315"/>
      <c r="AX3844" s="1315"/>
      <c r="AY3844" s="1315"/>
      <c r="AZ3844" s="1315"/>
      <c r="BA3844" s="1315"/>
      <c r="BB3844" s="1315"/>
      <c r="BC3844" s="1315"/>
      <c r="BD3844" s="1315"/>
      <c r="BE3844" s="1315"/>
      <c r="BF3844" s="1315"/>
      <c r="BG3844" s="1315"/>
      <c r="BH3844" s="1315"/>
      <c r="BI3844" s="1315"/>
      <c r="BJ3844" s="1315"/>
      <c r="BK3844" s="1315"/>
      <c r="BL3844" s="1315"/>
    </row>
    <row r="3845" spans="1:64" ht="47.85" customHeight="1">
      <c r="A3845" s="1794"/>
      <c r="B3845" s="1332"/>
      <c r="C3845" s="2034" t="s">
        <v>1517</v>
      </c>
      <c r="D3845" s="2034"/>
      <c r="E3845" s="2034"/>
      <c r="F3845" s="2034"/>
      <c r="G3845" s="2034"/>
      <c r="H3845" s="2034"/>
      <c r="I3845" s="2034"/>
      <c r="J3845" s="1817"/>
      <c r="K3845" s="1817"/>
      <c r="L3845" s="1817"/>
      <c r="M3845" s="1315"/>
      <c r="N3845" s="1315"/>
      <c r="O3845" s="1315"/>
      <c r="P3845" s="1315"/>
      <c r="Q3845" s="1315"/>
      <c r="R3845" s="1315"/>
      <c r="S3845" s="1315"/>
      <c r="T3845" s="1315"/>
      <c r="U3845" s="1315"/>
      <c r="V3845" s="1315"/>
      <c r="W3845" s="1315"/>
      <c r="X3845" s="1315"/>
      <c r="Y3845" s="1315"/>
      <c r="Z3845" s="1315"/>
      <c r="AA3845" s="1315"/>
      <c r="AB3845" s="1315"/>
      <c r="AC3845" s="1315"/>
      <c r="AD3845" s="1315"/>
      <c r="AE3845" s="1315"/>
      <c r="AF3845" s="1315"/>
      <c r="AG3845" s="1315"/>
      <c r="AH3845" s="1315"/>
      <c r="AI3845" s="1315"/>
      <c r="AJ3845" s="1315"/>
      <c r="AK3845" s="1315"/>
      <c r="AL3845" s="1315"/>
      <c r="AM3845" s="1315"/>
      <c r="AN3845" s="1315"/>
      <c r="AO3845" s="1315"/>
      <c r="AP3845" s="1315"/>
      <c r="AQ3845" s="1315"/>
      <c r="AR3845" s="1315"/>
      <c r="AS3845" s="1315"/>
      <c r="AT3845" s="1315"/>
      <c r="AU3845" s="1315"/>
      <c r="AV3845" s="1315"/>
      <c r="AW3845" s="1315"/>
      <c r="AX3845" s="1315"/>
      <c r="AY3845" s="1315"/>
      <c r="AZ3845" s="1315"/>
      <c r="BA3845" s="1315"/>
      <c r="BB3845" s="1315"/>
      <c r="BC3845" s="1315"/>
      <c r="BD3845" s="1315"/>
      <c r="BE3845" s="1315"/>
      <c r="BF3845" s="1315"/>
      <c r="BG3845" s="1315"/>
      <c r="BH3845" s="1315"/>
      <c r="BI3845" s="1315"/>
      <c r="BJ3845" s="1315"/>
      <c r="BK3845" s="1315"/>
      <c r="BL3845" s="1315"/>
    </row>
    <row r="3846" spans="1:64" ht="25.5">
      <c r="A3846" s="1794"/>
      <c r="B3846" s="1208"/>
      <c r="C3846" s="1807" t="s">
        <v>1518</v>
      </c>
      <c r="D3846" s="1316">
        <v>2.39</v>
      </c>
      <c r="E3846" s="1288" t="s">
        <v>1110</v>
      </c>
      <c r="F3846" s="1211">
        <f>'Civil-SOR'!$G$47</f>
        <v>434</v>
      </c>
      <c r="G3846" s="1318">
        <v>1</v>
      </c>
      <c r="H3846" s="1288" t="s">
        <v>97</v>
      </c>
      <c r="I3846" s="1211">
        <f t="shared" ref="I3846:I3847" si="887">IF(G3846="",D3846*F3846,(D3846*F3846/G3846))</f>
        <v>1037.26</v>
      </c>
      <c r="J3846" s="1817"/>
      <c r="K3846" s="1817"/>
      <c r="L3846" s="1817"/>
      <c r="M3846" s="1315"/>
      <c r="N3846" s="1315"/>
      <c r="O3846" s="1315"/>
      <c r="P3846" s="1315"/>
      <c r="Q3846" s="1315"/>
      <c r="R3846" s="1315"/>
      <c r="S3846" s="1315"/>
      <c r="T3846" s="1315"/>
      <c r="U3846" s="1315"/>
      <c r="V3846" s="1315"/>
      <c r="W3846" s="1315"/>
      <c r="X3846" s="1315"/>
      <c r="Y3846" s="1315"/>
      <c r="Z3846" s="1315"/>
      <c r="AA3846" s="1315"/>
      <c r="AB3846" s="1315"/>
      <c r="AC3846" s="1315"/>
      <c r="AD3846" s="1315"/>
      <c r="AE3846" s="1315"/>
      <c r="AF3846" s="1315"/>
      <c r="AG3846" s="1315"/>
      <c r="AH3846" s="1315"/>
      <c r="AI3846" s="1315"/>
      <c r="AJ3846" s="1315"/>
      <c r="AK3846" s="1315"/>
      <c r="AL3846" s="1315"/>
      <c r="AM3846" s="1315"/>
      <c r="AN3846" s="1315"/>
      <c r="AO3846" s="1315"/>
      <c r="AP3846" s="1315"/>
      <c r="AQ3846" s="1315"/>
      <c r="AR3846" s="1315"/>
      <c r="AS3846" s="1315"/>
      <c r="AT3846" s="1315"/>
      <c r="AU3846" s="1315"/>
      <c r="AV3846" s="1315"/>
      <c r="AW3846" s="1315"/>
      <c r="AX3846" s="1315"/>
      <c r="AY3846" s="1315"/>
      <c r="AZ3846" s="1315"/>
      <c r="BA3846" s="1315"/>
      <c r="BB3846" s="1315"/>
      <c r="BC3846" s="1315"/>
      <c r="BD3846" s="1315"/>
      <c r="BE3846" s="1315"/>
      <c r="BF3846" s="1315"/>
      <c r="BG3846" s="1315"/>
      <c r="BH3846" s="1315"/>
      <c r="BI3846" s="1315"/>
      <c r="BJ3846" s="1315"/>
      <c r="BK3846" s="1315"/>
      <c r="BL3846" s="1315"/>
    </row>
    <row r="3847" spans="1:64">
      <c r="A3847" s="1794"/>
      <c r="B3847" s="1208"/>
      <c r="C3847" s="1807" t="s">
        <v>1519</v>
      </c>
      <c r="D3847" s="1316">
        <f>D3846</f>
        <v>2.39</v>
      </c>
      <c r="E3847" s="1288" t="s">
        <v>1110</v>
      </c>
      <c r="F3847" s="1211">
        <f>'Civil-SOR'!$G$204</f>
        <v>188</v>
      </c>
      <c r="G3847" s="1318">
        <v>1</v>
      </c>
      <c r="H3847" s="1288" t="s">
        <v>97</v>
      </c>
      <c r="I3847" s="1211">
        <f t="shared" si="887"/>
        <v>449.32000000000005</v>
      </c>
      <c r="J3847" s="1817"/>
      <c r="K3847" s="1817"/>
      <c r="L3847" s="1817"/>
      <c r="M3847" s="1315"/>
      <c r="N3847" s="1315"/>
      <c r="O3847" s="1315"/>
      <c r="P3847" s="1315"/>
      <c r="Q3847" s="1315"/>
      <c r="R3847" s="1315"/>
      <c r="S3847" s="1315"/>
      <c r="T3847" s="1315"/>
      <c r="U3847" s="1315"/>
      <c r="V3847" s="1315"/>
      <c r="W3847" s="1315"/>
      <c r="X3847" s="1315"/>
      <c r="Y3847" s="1315"/>
      <c r="Z3847" s="1315"/>
      <c r="AA3847" s="1315"/>
      <c r="AB3847" s="1315"/>
      <c r="AC3847" s="1315"/>
      <c r="AD3847" s="1315"/>
      <c r="AE3847" s="1315"/>
      <c r="AF3847" s="1315"/>
      <c r="AG3847" s="1315"/>
      <c r="AH3847" s="1315"/>
      <c r="AI3847" s="1315"/>
      <c r="AJ3847" s="1315"/>
      <c r="AK3847" s="1315"/>
      <c r="AL3847" s="1315"/>
      <c r="AM3847" s="1315"/>
      <c r="AN3847" s="1315"/>
      <c r="AO3847" s="1315"/>
      <c r="AP3847" s="1315"/>
      <c r="AQ3847" s="1315"/>
      <c r="AR3847" s="1315"/>
      <c r="AS3847" s="1315"/>
      <c r="AT3847" s="1315"/>
      <c r="AU3847" s="1315"/>
      <c r="AV3847" s="1315"/>
      <c r="AW3847" s="1315"/>
      <c r="AX3847" s="1315"/>
      <c r="AY3847" s="1315"/>
      <c r="AZ3847" s="1315"/>
      <c r="BA3847" s="1315"/>
      <c r="BB3847" s="1315"/>
      <c r="BC3847" s="1315"/>
      <c r="BD3847" s="1315"/>
      <c r="BE3847" s="1315"/>
      <c r="BF3847" s="1315"/>
      <c r="BG3847" s="1315"/>
      <c r="BH3847" s="1315"/>
      <c r="BI3847" s="1315"/>
      <c r="BJ3847" s="1315"/>
      <c r="BK3847" s="1315"/>
      <c r="BL3847" s="1315"/>
    </row>
    <row r="3848" spans="1:64">
      <c r="A3848" s="1794"/>
      <c r="B3848" s="1332"/>
      <c r="C3848" s="1807" t="s">
        <v>1288</v>
      </c>
      <c r="D3848" s="1203"/>
      <c r="E3848" s="1199"/>
      <c r="F3848" s="1201"/>
      <c r="G3848" s="1204"/>
      <c r="H3848" s="1199"/>
      <c r="I3848" s="1230">
        <f>SUM(I3846:I3847)</f>
        <v>1486.58</v>
      </c>
      <c r="J3848" s="1817"/>
      <c r="K3848" s="1817"/>
      <c r="L3848" s="1817"/>
      <c r="M3848" s="1315"/>
      <c r="N3848" s="1315"/>
      <c r="O3848" s="1315"/>
      <c r="P3848" s="1315"/>
      <c r="Q3848" s="1315"/>
      <c r="R3848" s="1315"/>
      <c r="S3848" s="1315"/>
      <c r="T3848" s="1315"/>
      <c r="U3848" s="1315"/>
      <c r="V3848" s="1315"/>
      <c r="W3848" s="1315"/>
      <c r="X3848" s="1315"/>
      <c r="Y3848" s="1315"/>
      <c r="Z3848" s="1315"/>
      <c r="AA3848" s="1315"/>
      <c r="AB3848" s="1315"/>
      <c r="AC3848" s="1315"/>
      <c r="AD3848" s="1315"/>
      <c r="AE3848" s="1315"/>
      <c r="AF3848" s="1315"/>
      <c r="AG3848" s="1315"/>
      <c r="AH3848" s="1315"/>
      <c r="AI3848" s="1315"/>
      <c r="AJ3848" s="1315"/>
      <c r="AK3848" s="1315"/>
      <c r="AL3848" s="1315"/>
      <c r="AM3848" s="1315"/>
      <c r="AN3848" s="1315"/>
      <c r="AO3848" s="1315"/>
      <c r="AP3848" s="1315"/>
      <c r="AQ3848" s="1315"/>
      <c r="AR3848" s="1315"/>
      <c r="AS3848" s="1315"/>
      <c r="AT3848" s="1315"/>
      <c r="AU3848" s="1315"/>
      <c r="AV3848" s="1315"/>
      <c r="AW3848" s="1315"/>
      <c r="AX3848" s="1315"/>
      <c r="AY3848" s="1315"/>
      <c r="AZ3848" s="1315"/>
      <c r="BA3848" s="1315"/>
      <c r="BB3848" s="1315"/>
      <c r="BC3848" s="1315"/>
      <c r="BD3848" s="1315"/>
      <c r="BE3848" s="1315"/>
      <c r="BF3848" s="1315"/>
      <c r="BG3848" s="1315"/>
      <c r="BH3848" s="1315"/>
      <c r="BI3848" s="1315"/>
      <c r="BJ3848" s="1315"/>
      <c r="BK3848" s="1315"/>
      <c r="BL3848" s="1315"/>
    </row>
    <row r="3849" spans="1:64">
      <c r="A3849" s="1794"/>
      <c r="B3849" s="1332"/>
      <c r="C3849" s="1813" t="str">
        <f>Input!$C$48</f>
        <v>Overheads &amp; Contractors Profit @ 13.615%</v>
      </c>
      <c r="D3849" s="1337">
        <f>Input!$D$48</f>
        <v>0.13614999999999999</v>
      </c>
      <c r="E3849" s="1199"/>
      <c r="F3849" s="1201">
        <f>I3848</f>
        <v>1486.58</v>
      </c>
      <c r="G3849" s="1204"/>
      <c r="H3849" s="1198"/>
      <c r="I3849" s="1205">
        <f>IF(G3849="",D3849*F3849,(D3849*F3849/G3849))</f>
        <v>202.39786699999999</v>
      </c>
      <c r="J3849" s="1817"/>
      <c r="K3849" s="1817"/>
      <c r="L3849" s="1817"/>
      <c r="M3849" s="1315"/>
      <c r="N3849" s="1315"/>
      <c r="O3849" s="1315"/>
      <c r="P3849" s="1315"/>
      <c r="Q3849" s="1315"/>
      <c r="R3849" s="1315"/>
      <c r="S3849" s="1315"/>
      <c r="T3849" s="1315"/>
      <c r="U3849" s="1315"/>
      <c r="V3849" s="1315"/>
      <c r="W3849" s="1315"/>
      <c r="X3849" s="1315"/>
      <c r="Y3849" s="1315"/>
      <c r="Z3849" s="1315"/>
      <c r="AA3849" s="1315"/>
      <c r="AB3849" s="1315"/>
      <c r="AC3849" s="1315"/>
      <c r="AD3849" s="1315"/>
      <c r="AE3849" s="1315"/>
      <c r="AF3849" s="1315"/>
      <c r="AG3849" s="1315"/>
      <c r="AH3849" s="1315"/>
      <c r="AI3849" s="1315"/>
      <c r="AJ3849" s="1315"/>
      <c r="AK3849" s="1315"/>
      <c r="AL3849" s="1315"/>
      <c r="AM3849" s="1315"/>
      <c r="AN3849" s="1315"/>
      <c r="AO3849" s="1315"/>
      <c r="AP3849" s="1315"/>
      <c r="AQ3849" s="1315"/>
      <c r="AR3849" s="1315"/>
      <c r="AS3849" s="1315"/>
      <c r="AT3849" s="1315"/>
      <c r="AU3849" s="1315"/>
      <c r="AV3849" s="1315"/>
      <c r="AW3849" s="1315"/>
      <c r="AX3849" s="1315"/>
      <c r="AY3849" s="1315"/>
      <c r="AZ3849" s="1315"/>
      <c r="BA3849" s="1315"/>
      <c r="BB3849" s="1315"/>
      <c r="BC3849" s="1315"/>
      <c r="BD3849" s="1315"/>
      <c r="BE3849" s="1315"/>
      <c r="BF3849" s="1315"/>
      <c r="BG3849" s="1315"/>
      <c r="BH3849" s="1315"/>
      <c r="BI3849" s="1315"/>
      <c r="BJ3849" s="1315"/>
      <c r="BK3849" s="1315"/>
      <c r="BL3849" s="1315"/>
    </row>
    <row r="3850" spans="1:64">
      <c r="A3850" s="1794"/>
      <c r="B3850" s="1332"/>
      <c r="C3850" s="1811"/>
      <c r="D3850" s="1203"/>
      <c r="E3850" s="1199"/>
      <c r="F3850" s="1201"/>
      <c r="G3850" s="1204"/>
      <c r="H3850" s="1198"/>
      <c r="I3850" s="1230">
        <f>SUM(I3848:I3849)</f>
        <v>1688.9778669999998</v>
      </c>
      <c r="J3850" s="1817"/>
      <c r="K3850" s="1817"/>
      <c r="L3850" s="1817"/>
      <c r="M3850" s="1315"/>
      <c r="N3850" s="1315"/>
      <c r="O3850" s="1315"/>
      <c r="P3850" s="1315"/>
      <c r="Q3850" s="1315"/>
      <c r="R3850" s="1315"/>
      <c r="S3850" s="1315"/>
      <c r="T3850" s="1315"/>
      <c r="U3850" s="1315"/>
      <c r="V3850" s="1315"/>
      <c r="W3850" s="1315"/>
      <c r="X3850" s="1315"/>
      <c r="Y3850" s="1315"/>
      <c r="Z3850" s="1315"/>
      <c r="AA3850" s="1315"/>
      <c r="AB3850" s="1315"/>
      <c r="AC3850" s="1315"/>
      <c r="AD3850" s="1315"/>
      <c r="AE3850" s="1315"/>
      <c r="AF3850" s="1315"/>
      <c r="AG3850" s="1315"/>
      <c r="AH3850" s="1315"/>
      <c r="AI3850" s="1315"/>
      <c r="AJ3850" s="1315"/>
      <c r="AK3850" s="1315"/>
      <c r="AL3850" s="1315"/>
      <c r="AM3850" s="1315"/>
      <c r="AN3850" s="1315"/>
      <c r="AO3850" s="1315"/>
      <c r="AP3850" s="1315"/>
      <c r="AQ3850" s="1315"/>
      <c r="AR3850" s="1315"/>
      <c r="AS3850" s="1315"/>
      <c r="AT3850" s="1315"/>
      <c r="AU3850" s="1315"/>
      <c r="AV3850" s="1315"/>
      <c r="AW3850" s="1315"/>
      <c r="AX3850" s="1315"/>
      <c r="AY3850" s="1315"/>
      <c r="AZ3850" s="1315"/>
      <c r="BA3850" s="1315"/>
      <c r="BB3850" s="1315"/>
      <c r="BC3850" s="1315"/>
      <c r="BD3850" s="1315"/>
      <c r="BE3850" s="1315"/>
      <c r="BF3850" s="1315"/>
      <c r="BG3850" s="1315"/>
      <c r="BH3850" s="1315"/>
      <c r="BI3850" s="1315"/>
      <c r="BJ3850" s="1315"/>
      <c r="BK3850" s="1315"/>
      <c r="BL3850" s="1315"/>
    </row>
    <row r="3851" spans="1:64">
      <c r="A3851" s="1794"/>
      <c r="B3851" s="1332"/>
      <c r="C3851" s="1811"/>
      <c r="D3851" s="1203"/>
      <c r="E3851" s="1199"/>
      <c r="F3851" s="1201"/>
      <c r="G3851" s="1204"/>
      <c r="H3851" s="1198" t="s">
        <v>1511</v>
      </c>
      <c r="I3851" s="1219">
        <f>ROUND(I3850,0)</f>
        <v>1689</v>
      </c>
      <c r="J3851" s="1817"/>
      <c r="K3851" s="1817"/>
      <c r="L3851" s="1817"/>
      <c r="M3851" s="1315"/>
      <c r="N3851" s="1315"/>
      <c r="O3851" s="1315"/>
      <c r="P3851" s="1315"/>
      <c r="Q3851" s="1315"/>
      <c r="R3851" s="1315"/>
      <c r="S3851" s="1315"/>
      <c r="T3851" s="1315"/>
      <c r="U3851" s="1315"/>
      <c r="V3851" s="1315"/>
      <c r="W3851" s="1315"/>
      <c r="X3851" s="1315"/>
      <c r="Y3851" s="1315"/>
      <c r="Z3851" s="1315"/>
      <c r="AA3851" s="1315"/>
      <c r="AB3851" s="1315"/>
      <c r="AC3851" s="1315"/>
      <c r="AD3851" s="1315"/>
      <c r="AE3851" s="1315"/>
      <c r="AF3851" s="1315"/>
      <c r="AG3851" s="1315"/>
      <c r="AH3851" s="1315"/>
      <c r="AI3851" s="1315"/>
      <c r="AJ3851" s="1315"/>
      <c r="AK3851" s="1315"/>
      <c r="AL3851" s="1315"/>
      <c r="AM3851" s="1315"/>
      <c r="AN3851" s="1315"/>
      <c r="AO3851" s="1315"/>
      <c r="AP3851" s="1315"/>
      <c r="AQ3851" s="1315"/>
      <c r="AR3851" s="1315"/>
      <c r="AS3851" s="1315"/>
      <c r="AT3851" s="1315"/>
      <c r="AU3851" s="1315"/>
      <c r="AV3851" s="1315"/>
      <c r="AW3851" s="1315"/>
      <c r="AX3851" s="1315"/>
      <c r="AY3851" s="1315"/>
      <c r="AZ3851" s="1315"/>
      <c r="BA3851" s="1315"/>
      <c r="BB3851" s="1315"/>
      <c r="BC3851" s="1315"/>
      <c r="BD3851" s="1315"/>
      <c r="BE3851" s="1315"/>
      <c r="BF3851" s="1315"/>
      <c r="BG3851" s="1315"/>
      <c r="BH3851" s="1315"/>
      <c r="BI3851" s="1315"/>
      <c r="BJ3851" s="1315"/>
      <c r="BK3851" s="1315"/>
      <c r="BL3851" s="1315"/>
    </row>
    <row r="3852" spans="1:64" ht="58.9" customHeight="1">
      <c r="A3852" s="2005">
        <f>1+A3827</f>
        <v>46</v>
      </c>
      <c r="B3852" s="2005"/>
      <c r="C3852" s="2035" t="s">
        <v>3450</v>
      </c>
      <c r="D3852" s="2035"/>
      <c r="E3852" s="2035"/>
      <c r="F3852" s="2035"/>
      <c r="G3852" s="2035"/>
      <c r="H3852" s="2035"/>
      <c r="I3852" s="2035"/>
      <c r="J3852" s="1817"/>
      <c r="K3852" s="1817"/>
      <c r="L3852" s="1817"/>
      <c r="M3852" s="1315"/>
      <c r="N3852" s="1315"/>
      <c r="O3852" s="1315"/>
      <c r="P3852" s="1315"/>
      <c r="Q3852" s="1315"/>
      <c r="R3852" s="1315"/>
      <c r="S3852" s="1315"/>
      <c r="T3852" s="1315"/>
      <c r="U3852" s="1315"/>
      <c r="V3852" s="1315"/>
      <c r="W3852" s="1315"/>
      <c r="X3852" s="1315"/>
      <c r="Y3852" s="1315"/>
      <c r="Z3852" s="1315"/>
      <c r="AA3852" s="1315"/>
      <c r="AB3852" s="1315"/>
      <c r="AC3852" s="1315"/>
      <c r="AD3852" s="1315"/>
      <c r="AE3852" s="1315"/>
      <c r="AF3852" s="1315"/>
      <c r="AG3852" s="1315"/>
      <c r="AH3852" s="1315"/>
      <c r="AI3852" s="1315"/>
      <c r="AJ3852" s="1315"/>
      <c r="AK3852" s="1315"/>
      <c r="AL3852" s="1315"/>
      <c r="AM3852" s="1315"/>
      <c r="AN3852" s="1315"/>
      <c r="AO3852" s="1315"/>
      <c r="AP3852" s="1315"/>
      <c r="AQ3852" s="1315"/>
      <c r="AR3852" s="1315"/>
      <c r="AS3852" s="1315"/>
      <c r="AT3852" s="1315"/>
      <c r="AU3852" s="1315"/>
      <c r="AV3852" s="1315"/>
      <c r="AW3852" s="1315"/>
      <c r="AX3852" s="1315"/>
      <c r="AY3852" s="1315"/>
      <c r="AZ3852" s="1315"/>
      <c r="BA3852" s="1315"/>
      <c r="BB3852" s="1315"/>
      <c r="BC3852" s="1315"/>
      <c r="BD3852" s="1315"/>
      <c r="BE3852" s="1315"/>
      <c r="BF3852" s="1315"/>
      <c r="BG3852" s="1315"/>
      <c r="BH3852" s="1315"/>
      <c r="BI3852" s="1315"/>
      <c r="BJ3852" s="1315"/>
      <c r="BK3852" s="1315"/>
      <c r="BL3852" s="1315"/>
    </row>
    <row r="3853" spans="1:64">
      <c r="A3853" s="1794"/>
      <c r="B3853" s="1200"/>
      <c r="C3853" s="1202" t="s">
        <v>1520</v>
      </c>
      <c r="D3853" s="1227">
        <v>6</v>
      </c>
      <c r="E3853" s="1268" t="s">
        <v>197</v>
      </c>
      <c r="F3853" s="1205">
        <f>'Civil-SOR'!$G$324</f>
        <v>227</v>
      </c>
      <c r="G3853" s="1329">
        <f>'Civil-SOR'!$H$324</f>
        <v>1</v>
      </c>
      <c r="H3853" s="1270" t="str">
        <f t="shared" ref="H3853:H3855" si="888">IF(E3853="","",IF(E3853="No.","Each",IF(E3853="Nos.","Each",E3853)))</f>
        <v>RM</v>
      </c>
      <c r="I3853" s="1205">
        <f t="shared" ref="I3853:I3855" si="889">IF(G3853="",D3853*F3853,(D3853*F3853/G3853))</f>
        <v>1362</v>
      </c>
      <c r="J3853" s="1817"/>
      <c r="K3853" s="1817"/>
      <c r="L3853" s="1817"/>
      <c r="M3853" s="1315"/>
      <c r="N3853" s="1315"/>
      <c r="O3853" s="1315"/>
      <c r="P3853" s="1315"/>
      <c r="Q3853" s="1315"/>
      <c r="R3853" s="1315"/>
      <c r="S3853" s="1315"/>
      <c r="T3853" s="1315"/>
      <c r="U3853" s="1315"/>
      <c r="V3853" s="1315"/>
      <c r="W3853" s="1315"/>
      <c r="X3853" s="1315"/>
      <c r="Y3853" s="1315"/>
      <c r="Z3853" s="1315"/>
      <c r="AA3853" s="1315"/>
      <c r="AB3853" s="1315"/>
      <c r="AC3853" s="1315"/>
      <c r="AD3853" s="1315"/>
      <c r="AE3853" s="1315"/>
      <c r="AF3853" s="1315"/>
      <c r="AG3853" s="1315"/>
      <c r="AH3853" s="1315"/>
      <c r="AI3853" s="1315"/>
      <c r="AJ3853" s="1315"/>
      <c r="AK3853" s="1315"/>
      <c r="AL3853" s="1315"/>
      <c r="AM3853" s="1315"/>
      <c r="AN3853" s="1315"/>
      <c r="AO3853" s="1315"/>
      <c r="AP3853" s="1315"/>
      <c r="AQ3853" s="1315"/>
      <c r="AR3853" s="1315"/>
      <c r="AS3853" s="1315"/>
      <c r="AT3853" s="1315"/>
      <c r="AU3853" s="1315"/>
      <c r="AV3853" s="1315"/>
      <c r="AW3853" s="1315"/>
      <c r="AX3853" s="1315"/>
      <c r="AY3853" s="1315"/>
      <c r="AZ3853" s="1315"/>
      <c r="BA3853" s="1315"/>
      <c r="BB3853" s="1315"/>
      <c r="BC3853" s="1315"/>
      <c r="BD3853" s="1315"/>
      <c r="BE3853" s="1315"/>
      <c r="BF3853" s="1315"/>
      <c r="BG3853" s="1315"/>
      <c r="BH3853" s="1315"/>
      <c r="BI3853" s="1315"/>
      <c r="BJ3853" s="1315"/>
      <c r="BK3853" s="1315"/>
      <c r="BL3853" s="1315"/>
    </row>
    <row r="3854" spans="1:64">
      <c r="A3854" s="1794"/>
      <c r="B3854" s="1200"/>
      <c r="C3854" s="1202" t="s">
        <v>1521</v>
      </c>
      <c r="D3854" s="1269">
        <v>3</v>
      </c>
      <c r="E3854" s="1268" t="s">
        <v>36</v>
      </c>
      <c r="F3854" s="1205">
        <f>'Civil-SOR'!$G$283</f>
        <v>21</v>
      </c>
      <c r="G3854" s="1329">
        <v>1</v>
      </c>
      <c r="H3854" s="1270" t="str">
        <f t="shared" si="888"/>
        <v>Each</v>
      </c>
      <c r="I3854" s="1205">
        <f t="shared" si="889"/>
        <v>63</v>
      </c>
      <c r="J3854" s="1817"/>
      <c r="K3854" s="1817"/>
      <c r="L3854" s="1817"/>
      <c r="M3854" s="1315"/>
      <c r="N3854" s="1315"/>
      <c r="O3854" s="1315"/>
      <c r="P3854" s="1315"/>
      <c r="Q3854" s="1315"/>
      <c r="R3854" s="1315"/>
      <c r="S3854" s="1315"/>
      <c r="T3854" s="1315"/>
      <c r="U3854" s="1315"/>
      <c r="V3854" s="1315"/>
      <c r="W3854" s="1315"/>
      <c r="X3854" s="1315"/>
      <c r="Y3854" s="1315"/>
      <c r="Z3854" s="1315"/>
      <c r="AA3854" s="1315"/>
      <c r="AB3854" s="1315"/>
      <c r="AC3854" s="1315"/>
      <c r="AD3854" s="1315"/>
      <c r="AE3854" s="1315"/>
      <c r="AF3854" s="1315"/>
      <c r="AG3854" s="1315"/>
      <c r="AH3854" s="1315"/>
      <c r="AI3854" s="1315"/>
      <c r="AJ3854" s="1315"/>
      <c r="AK3854" s="1315"/>
      <c r="AL3854" s="1315"/>
      <c r="AM3854" s="1315"/>
      <c r="AN3854" s="1315"/>
      <c r="AO3854" s="1315"/>
      <c r="AP3854" s="1315"/>
      <c r="AQ3854" s="1315"/>
      <c r="AR3854" s="1315"/>
      <c r="AS3854" s="1315"/>
      <c r="AT3854" s="1315"/>
      <c r="AU3854" s="1315"/>
      <c r="AV3854" s="1315"/>
      <c r="AW3854" s="1315"/>
      <c r="AX3854" s="1315"/>
      <c r="AY3854" s="1315"/>
      <c r="AZ3854" s="1315"/>
      <c r="BA3854" s="1315"/>
      <c r="BB3854" s="1315"/>
      <c r="BC3854" s="1315"/>
      <c r="BD3854" s="1315"/>
      <c r="BE3854" s="1315"/>
      <c r="BF3854" s="1315"/>
      <c r="BG3854" s="1315"/>
      <c r="BH3854" s="1315"/>
      <c r="BI3854" s="1315"/>
      <c r="BJ3854" s="1315"/>
      <c r="BK3854" s="1315"/>
      <c r="BL3854" s="1315"/>
    </row>
    <row r="3855" spans="1:64">
      <c r="A3855" s="1794"/>
      <c r="B3855" s="1200"/>
      <c r="C3855" s="1202" t="s">
        <v>1522</v>
      </c>
      <c r="D3855" s="1227">
        <v>6</v>
      </c>
      <c r="E3855" s="1268" t="s">
        <v>197</v>
      </c>
      <c r="F3855" s="1205">
        <f>'WS-SOR'!$H$83</f>
        <v>99</v>
      </c>
      <c r="G3855" s="1329">
        <v>1</v>
      </c>
      <c r="H3855" s="1270" t="str">
        <f t="shared" si="888"/>
        <v>RM</v>
      </c>
      <c r="I3855" s="1205">
        <f t="shared" si="889"/>
        <v>594</v>
      </c>
      <c r="J3855" s="1817"/>
      <c r="K3855" s="1817"/>
      <c r="L3855" s="1817"/>
      <c r="M3855" s="1315"/>
      <c r="N3855" s="1315"/>
      <c r="O3855" s="1315"/>
      <c r="P3855" s="1315"/>
      <c r="Q3855" s="1315"/>
      <c r="R3855" s="1315"/>
      <c r="S3855" s="1315"/>
      <c r="T3855" s="1315"/>
      <c r="U3855" s="1315"/>
      <c r="V3855" s="1315"/>
      <c r="W3855" s="1315"/>
      <c r="X3855" s="1315"/>
      <c r="Y3855" s="1315"/>
      <c r="Z3855" s="1315"/>
      <c r="AA3855" s="1315"/>
      <c r="AB3855" s="1315"/>
      <c r="AC3855" s="1315"/>
      <c r="AD3855" s="1315"/>
      <c r="AE3855" s="1315"/>
      <c r="AF3855" s="1315"/>
      <c r="AG3855" s="1315"/>
      <c r="AH3855" s="1315"/>
      <c r="AI3855" s="1315"/>
      <c r="AJ3855" s="1315"/>
      <c r="AK3855" s="1315"/>
      <c r="AL3855" s="1315"/>
      <c r="AM3855" s="1315"/>
      <c r="AN3855" s="1315"/>
      <c r="AO3855" s="1315"/>
      <c r="AP3855" s="1315"/>
      <c r="AQ3855" s="1315"/>
      <c r="AR3855" s="1315"/>
      <c r="AS3855" s="1315"/>
      <c r="AT3855" s="1315"/>
      <c r="AU3855" s="1315"/>
      <c r="AV3855" s="1315"/>
      <c r="AW3855" s="1315"/>
      <c r="AX3855" s="1315"/>
      <c r="AY3855" s="1315"/>
      <c r="AZ3855" s="1315"/>
      <c r="BA3855" s="1315"/>
      <c r="BB3855" s="1315"/>
      <c r="BC3855" s="1315"/>
      <c r="BD3855" s="1315"/>
      <c r="BE3855" s="1315"/>
      <c r="BF3855" s="1315"/>
      <c r="BG3855" s="1315"/>
      <c r="BH3855" s="1315"/>
      <c r="BI3855" s="1315"/>
      <c r="BJ3855" s="1315"/>
      <c r="BK3855" s="1315"/>
      <c r="BL3855" s="1315"/>
    </row>
    <row r="3856" spans="1:64">
      <c r="A3856" s="1794"/>
      <c r="B3856" s="1200"/>
      <c r="C3856" s="1814" t="s">
        <v>1523</v>
      </c>
      <c r="D3856" s="1227"/>
      <c r="E3856" s="1339"/>
      <c r="F3856" s="1205"/>
      <c r="G3856" s="1340"/>
      <c r="H3856" s="1341"/>
      <c r="I3856" s="1219">
        <f>SUM(I3853:I3855)</f>
        <v>2019</v>
      </c>
      <c r="J3856" s="1817"/>
      <c r="K3856" s="1817"/>
      <c r="L3856" s="1817"/>
      <c r="M3856" s="1315"/>
      <c r="N3856" s="1315"/>
      <c r="O3856" s="1315"/>
      <c r="P3856" s="1315"/>
      <c r="Q3856" s="1315"/>
      <c r="R3856" s="1315"/>
      <c r="S3856" s="1315"/>
      <c r="T3856" s="1315"/>
      <c r="U3856" s="1315"/>
      <c r="V3856" s="1315"/>
      <c r="W3856" s="1315"/>
      <c r="X3856" s="1315"/>
      <c r="Y3856" s="1315"/>
      <c r="Z3856" s="1315"/>
      <c r="AA3856" s="1315"/>
      <c r="AB3856" s="1315"/>
      <c r="AC3856" s="1315"/>
      <c r="AD3856" s="1315"/>
      <c r="AE3856" s="1315"/>
      <c r="AF3856" s="1315"/>
      <c r="AG3856" s="1315"/>
      <c r="AH3856" s="1315"/>
      <c r="AI3856" s="1315"/>
      <c r="AJ3856" s="1315"/>
      <c r="AK3856" s="1315"/>
      <c r="AL3856" s="1315"/>
      <c r="AM3856" s="1315"/>
      <c r="AN3856" s="1315"/>
      <c r="AO3856" s="1315"/>
      <c r="AP3856" s="1315"/>
      <c r="AQ3856" s="1315"/>
      <c r="AR3856" s="1315"/>
      <c r="AS3856" s="1315"/>
      <c r="AT3856" s="1315"/>
      <c r="AU3856" s="1315"/>
      <c r="AV3856" s="1315"/>
      <c r="AW3856" s="1315"/>
      <c r="AX3856" s="1315"/>
      <c r="AY3856" s="1315"/>
      <c r="AZ3856" s="1315"/>
      <c r="BA3856" s="1315"/>
      <c r="BB3856" s="1315"/>
      <c r="BC3856" s="1315"/>
      <c r="BD3856" s="1315"/>
      <c r="BE3856" s="1315"/>
      <c r="BF3856" s="1315"/>
      <c r="BG3856" s="1315"/>
      <c r="BH3856" s="1315"/>
      <c r="BI3856" s="1315"/>
      <c r="BJ3856" s="1315"/>
      <c r="BK3856" s="1315"/>
      <c r="BL3856" s="1315"/>
    </row>
    <row r="3857" spans="1:64">
      <c r="A3857" s="1794"/>
      <c r="B3857" s="1798"/>
      <c r="C3857" s="1807"/>
      <c r="D3857" s="1281"/>
      <c r="E3857" s="1802"/>
      <c r="F3857" s="1283"/>
      <c r="G3857" s="1342"/>
      <c r="H3857" s="1343"/>
      <c r="I3857" s="1219">
        <f>I3856/D3853</f>
        <v>336.5</v>
      </c>
      <c r="J3857" s="1817"/>
      <c r="K3857" s="1817"/>
      <c r="L3857" s="1817"/>
      <c r="M3857" s="1315"/>
      <c r="N3857" s="1315"/>
      <c r="O3857" s="1315"/>
      <c r="P3857" s="1315"/>
      <c r="Q3857" s="1315"/>
      <c r="R3857" s="1315"/>
      <c r="S3857" s="1315"/>
      <c r="T3857" s="1315"/>
      <c r="U3857" s="1315"/>
      <c r="V3857" s="1315"/>
      <c r="W3857" s="1315"/>
      <c r="X3857" s="1315"/>
      <c r="Y3857" s="1315"/>
      <c r="Z3857" s="1315"/>
      <c r="AA3857" s="1315"/>
      <c r="AB3857" s="1315"/>
      <c r="AC3857" s="1315"/>
      <c r="AD3857" s="1315"/>
      <c r="AE3857" s="1315"/>
      <c r="AF3857" s="1315"/>
      <c r="AG3857" s="1315"/>
      <c r="AH3857" s="1315"/>
      <c r="AI3857" s="1315"/>
      <c r="AJ3857" s="1315"/>
      <c r="AK3857" s="1315"/>
      <c r="AL3857" s="1315"/>
      <c r="AM3857" s="1315"/>
      <c r="AN3857" s="1315"/>
      <c r="AO3857" s="1315"/>
      <c r="AP3857" s="1315"/>
      <c r="AQ3857" s="1315"/>
      <c r="AR3857" s="1315"/>
      <c r="AS3857" s="1315"/>
      <c r="AT3857" s="1315"/>
      <c r="AU3857" s="1315"/>
      <c r="AV3857" s="1315"/>
      <c r="AW3857" s="1315"/>
      <c r="AX3857" s="1315"/>
      <c r="AY3857" s="1315"/>
      <c r="AZ3857" s="1315"/>
      <c r="BA3857" s="1315"/>
      <c r="BB3857" s="1315"/>
      <c r="BC3857" s="1315"/>
      <c r="BD3857" s="1315"/>
      <c r="BE3857" s="1315"/>
      <c r="BF3857" s="1315"/>
      <c r="BG3857" s="1315"/>
      <c r="BH3857" s="1315"/>
      <c r="BI3857" s="1315"/>
      <c r="BJ3857" s="1315"/>
      <c r="BK3857" s="1315"/>
      <c r="BL3857" s="1315"/>
    </row>
    <row r="3858" spans="1:64">
      <c r="A3858" s="1794"/>
      <c r="B3858" s="1798"/>
      <c r="C3858" s="1807" t="str">
        <f>Input!$C$48</f>
        <v>Overheads &amp; Contractors Profit @ 13.615%</v>
      </c>
      <c r="D3858" s="1344">
        <f>Input!$D$48</f>
        <v>0.13614999999999999</v>
      </c>
      <c r="E3858" s="1297"/>
      <c r="F3858" s="1223">
        <f>I3857</f>
        <v>336.5</v>
      </c>
      <c r="G3858" s="1272"/>
      <c r="H3858" s="1199"/>
      <c r="I3858" s="1205">
        <f>IF(G3858="",D3858*F3858,(D3858*F3858/G3858))</f>
        <v>45.814474999999995</v>
      </c>
      <c r="J3858" s="1817"/>
      <c r="K3858" s="1817"/>
      <c r="L3858" s="1817"/>
      <c r="M3858" s="1315"/>
      <c r="N3858" s="1315"/>
      <c r="O3858" s="1315"/>
      <c r="P3858" s="1315"/>
      <c r="Q3858" s="1315"/>
      <c r="R3858" s="1315"/>
      <c r="S3858" s="1315"/>
      <c r="T3858" s="1315"/>
      <c r="U3858" s="1315"/>
      <c r="V3858" s="1315"/>
      <c r="W3858" s="1315"/>
      <c r="X3858" s="1315"/>
      <c r="Y3858" s="1315"/>
      <c r="Z3858" s="1315"/>
      <c r="AA3858" s="1315"/>
      <c r="AB3858" s="1315"/>
      <c r="AC3858" s="1315"/>
      <c r="AD3858" s="1315"/>
      <c r="AE3858" s="1315"/>
      <c r="AF3858" s="1315"/>
      <c r="AG3858" s="1315"/>
      <c r="AH3858" s="1315"/>
      <c r="AI3858" s="1315"/>
      <c r="AJ3858" s="1315"/>
      <c r="AK3858" s="1315"/>
      <c r="AL3858" s="1315"/>
      <c r="AM3858" s="1315"/>
      <c r="AN3858" s="1315"/>
      <c r="AO3858" s="1315"/>
      <c r="AP3858" s="1315"/>
      <c r="AQ3858" s="1315"/>
      <c r="AR3858" s="1315"/>
      <c r="AS3858" s="1315"/>
      <c r="AT3858" s="1315"/>
      <c r="AU3858" s="1315"/>
      <c r="AV3858" s="1315"/>
      <c r="AW3858" s="1315"/>
      <c r="AX3858" s="1315"/>
      <c r="AY3858" s="1315"/>
      <c r="AZ3858" s="1315"/>
      <c r="BA3858" s="1315"/>
      <c r="BB3858" s="1315"/>
      <c r="BC3858" s="1315"/>
      <c r="BD3858" s="1315"/>
      <c r="BE3858" s="1315"/>
      <c r="BF3858" s="1315"/>
      <c r="BG3858" s="1315"/>
      <c r="BH3858" s="1315"/>
      <c r="BI3858" s="1315"/>
      <c r="BJ3858" s="1315"/>
      <c r="BK3858" s="1315"/>
      <c r="BL3858" s="1315"/>
    </row>
    <row r="3859" spans="1:64">
      <c r="A3859" s="1794"/>
      <c r="B3859" s="1798"/>
      <c r="C3859" s="1795" t="s">
        <v>1288</v>
      </c>
      <c r="D3859" s="1281"/>
      <c r="E3859" s="1802"/>
      <c r="F3859" s="1283"/>
      <c r="G3859" s="1342"/>
      <c r="H3859" s="1807"/>
      <c r="I3859" s="1205">
        <f>SUM(I3857:I3858)</f>
        <v>382.31447500000002</v>
      </c>
      <c r="J3859" s="1817"/>
      <c r="K3859" s="1817"/>
      <c r="L3859" s="1817"/>
      <c r="M3859" s="1315"/>
      <c r="N3859" s="1315"/>
      <c r="O3859" s="1315"/>
      <c r="P3859" s="1315"/>
      <c r="Q3859" s="1315"/>
      <c r="R3859" s="1315"/>
      <c r="S3859" s="1315"/>
      <c r="T3859" s="1315"/>
      <c r="U3859" s="1315"/>
      <c r="V3859" s="1315"/>
      <c r="W3859" s="1315"/>
      <c r="X3859" s="1315"/>
      <c r="Y3859" s="1315"/>
      <c r="Z3859" s="1315"/>
      <c r="AA3859" s="1315"/>
      <c r="AB3859" s="1315"/>
      <c r="AC3859" s="1315"/>
      <c r="AD3859" s="1315"/>
      <c r="AE3859" s="1315"/>
      <c r="AF3859" s="1315"/>
      <c r="AG3859" s="1315"/>
      <c r="AH3859" s="1315"/>
      <c r="AI3859" s="1315"/>
      <c r="AJ3859" s="1315"/>
      <c r="AK3859" s="1315"/>
      <c r="AL3859" s="1315"/>
      <c r="AM3859" s="1315"/>
      <c r="AN3859" s="1315"/>
      <c r="AO3859" s="1315"/>
      <c r="AP3859" s="1315"/>
      <c r="AQ3859" s="1315"/>
      <c r="AR3859" s="1315"/>
      <c r="AS3859" s="1315"/>
      <c r="AT3859" s="1315"/>
      <c r="AU3859" s="1315"/>
      <c r="AV3859" s="1315"/>
      <c r="AW3859" s="1315"/>
      <c r="AX3859" s="1315"/>
      <c r="AY3859" s="1315"/>
      <c r="AZ3859" s="1315"/>
      <c r="BA3859" s="1315"/>
      <c r="BB3859" s="1315"/>
      <c r="BC3859" s="1315"/>
      <c r="BD3859" s="1315"/>
      <c r="BE3859" s="1315"/>
      <c r="BF3859" s="1315"/>
      <c r="BG3859" s="1315"/>
      <c r="BH3859" s="1315"/>
      <c r="BI3859" s="1315"/>
      <c r="BJ3859" s="1315"/>
      <c r="BK3859" s="1315"/>
      <c r="BL3859" s="1315"/>
    </row>
    <row r="3860" spans="1:64">
      <c r="A3860" s="1794"/>
      <c r="B3860" s="1798"/>
      <c r="C3860" s="1795"/>
      <c r="D3860" s="1281"/>
      <c r="E3860" s="1802"/>
      <c r="F3860" s="1283"/>
      <c r="G3860" s="1342"/>
      <c r="H3860" s="1298" t="s">
        <v>1065</v>
      </c>
      <c r="I3860" s="1219">
        <f>ROUND(I3859,0)</f>
        <v>382</v>
      </c>
      <c r="J3860" s="1817"/>
      <c r="K3860" s="1817"/>
      <c r="L3860" s="1817"/>
      <c r="M3860" s="1315"/>
      <c r="N3860" s="1315"/>
      <c r="O3860" s="1315"/>
      <c r="P3860" s="1315"/>
      <c r="Q3860" s="1315"/>
      <c r="R3860" s="1315"/>
      <c r="S3860" s="1315"/>
      <c r="T3860" s="1315"/>
      <c r="U3860" s="1315"/>
      <c r="V3860" s="1315"/>
      <c r="W3860" s="1315"/>
      <c r="X3860" s="1315"/>
      <c r="Y3860" s="1315"/>
      <c r="Z3860" s="1315"/>
      <c r="AA3860" s="1315"/>
      <c r="AB3860" s="1315"/>
      <c r="AC3860" s="1315"/>
      <c r="AD3860" s="1315"/>
      <c r="AE3860" s="1315"/>
      <c r="AF3860" s="1315"/>
      <c r="AG3860" s="1315"/>
      <c r="AH3860" s="1315"/>
      <c r="AI3860" s="1315"/>
      <c r="AJ3860" s="1315"/>
      <c r="AK3860" s="1315"/>
      <c r="AL3860" s="1315"/>
      <c r="AM3860" s="1315"/>
      <c r="AN3860" s="1315"/>
      <c r="AO3860" s="1315"/>
      <c r="AP3860" s="1315"/>
      <c r="AQ3860" s="1315"/>
      <c r="AR3860" s="1315"/>
      <c r="AS3860" s="1315"/>
      <c r="AT3860" s="1315"/>
      <c r="AU3860" s="1315"/>
      <c r="AV3860" s="1315"/>
      <c r="AW3860" s="1315"/>
      <c r="AX3860" s="1315"/>
      <c r="AY3860" s="1315"/>
      <c r="AZ3860" s="1315"/>
      <c r="BA3860" s="1315"/>
      <c r="BB3860" s="1315"/>
      <c r="BC3860" s="1315"/>
      <c r="BD3860" s="1315"/>
      <c r="BE3860" s="1315"/>
      <c r="BF3860" s="1315"/>
      <c r="BG3860" s="1315"/>
      <c r="BH3860" s="1315"/>
      <c r="BI3860" s="1315"/>
      <c r="BJ3860" s="1315"/>
      <c r="BK3860" s="1315"/>
      <c r="BL3860" s="1315"/>
    </row>
    <row r="3861" spans="1:64">
      <c r="A3861" s="1794"/>
      <c r="B3861" s="1798"/>
      <c r="C3861" s="1795"/>
      <c r="D3861" s="1281"/>
      <c r="E3861" s="1802"/>
      <c r="F3861" s="1283"/>
      <c r="G3861" s="1342"/>
      <c r="H3861" s="1298"/>
      <c r="I3861" s="1220"/>
      <c r="J3861" s="1817"/>
      <c r="K3861" s="1817"/>
      <c r="L3861" s="1817"/>
      <c r="M3861" s="1315"/>
      <c r="N3861" s="1315"/>
      <c r="O3861" s="1315"/>
      <c r="P3861" s="1315"/>
      <c r="Q3861" s="1315"/>
      <c r="R3861" s="1315"/>
      <c r="S3861" s="1315"/>
      <c r="T3861" s="1315"/>
      <c r="U3861" s="1315"/>
      <c r="V3861" s="1315"/>
      <c r="W3861" s="1315"/>
      <c r="X3861" s="1315"/>
      <c r="Y3861" s="1315"/>
      <c r="Z3861" s="1315"/>
      <c r="AA3861" s="1315"/>
      <c r="AB3861" s="1315"/>
      <c r="AC3861" s="1315"/>
      <c r="AD3861" s="1315"/>
      <c r="AE3861" s="1315"/>
      <c r="AF3861" s="1315"/>
      <c r="AG3861" s="1315"/>
      <c r="AH3861" s="1315"/>
      <c r="AI3861" s="1315"/>
      <c r="AJ3861" s="1315"/>
      <c r="AK3861" s="1315"/>
      <c r="AL3861" s="1315"/>
      <c r="AM3861" s="1315"/>
      <c r="AN3861" s="1315"/>
      <c r="AO3861" s="1315"/>
      <c r="AP3861" s="1315"/>
      <c r="AQ3861" s="1315"/>
      <c r="AR3861" s="1315"/>
      <c r="AS3861" s="1315"/>
      <c r="AT3861" s="1315"/>
      <c r="AU3861" s="1315"/>
      <c r="AV3861" s="1315"/>
      <c r="AW3861" s="1315"/>
      <c r="AX3861" s="1315"/>
      <c r="AY3861" s="1315"/>
      <c r="AZ3861" s="1315"/>
      <c r="BA3861" s="1315"/>
      <c r="BB3861" s="1315"/>
      <c r="BC3861" s="1315"/>
      <c r="BD3861" s="1315"/>
      <c r="BE3861" s="1315"/>
      <c r="BF3861" s="1315"/>
      <c r="BG3861" s="1315"/>
      <c r="BH3861" s="1315"/>
      <c r="BI3861" s="1315"/>
      <c r="BJ3861" s="1315"/>
      <c r="BK3861" s="1315"/>
      <c r="BL3861" s="1315"/>
    </row>
    <row r="3862" spans="1:64">
      <c r="A3862" s="1794"/>
      <c r="B3862" s="1798"/>
      <c r="C3862" s="1795"/>
      <c r="D3862" s="1281"/>
      <c r="E3862" s="1802"/>
      <c r="F3862" s="1283"/>
      <c r="G3862" s="1342"/>
      <c r="H3862" s="1298"/>
      <c r="I3862" s="1220"/>
      <c r="J3862" s="1817"/>
      <c r="K3862" s="1817"/>
      <c r="L3862" s="1817"/>
      <c r="M3862" s="1315"/>
      <c r="N3862" s="1315"/>
      <c r="O3862" s="1315"/>
      <c r="P3862" s="1315"/>
      <c r="Q3862" s="1315"/>
      <c r="R3862" s="1315"/>
      <c r="S3862" s="1315"/>
      <c r="T3862" s="1315"/>
      <c r="U3862" s="1315"/>
      <c r="V3862" s="1315"/>
      <c r="W3862" s="1315"/>
      <c r="X3862" s="1315"/>
      <c r="Y3862" s="1315"/>
      <c r="Z3862" s="1315"/>
      <c r="AA3862" s="1315"/>
      <c r="AB3862" s="1315"/>
      <c r="AC3862" s="1315"/>
      <c r="AD3862" s="1315"/>
      <c r="AE3862" s="1315"/>
      <c r="AF3862" s="1315"/>
      <c r="AG3862" s="1315"/>
      <c r="AH3862" s="1315"/>
      <c r="AI3862" s="1315"/>
      <c r="AJ3862" s="1315"/>
      <c r="AK3862" s="1315"/>
      <c r="AL3862" s="1315"/>
      <c r="AM3862" s="1315"/>
      <c r="AN3862" s="1315"/>
      <c r="AO3862" s="1315"/>
      <c r="AP3862" s="1315"/>
      <c r="AQ3862" s="1315"/>
      <c r="AR3862" s="1315"/>
      <c r="AS3862" s="1315"/>
      <c r="AT3862" s="1315"/>
      <c r="AU3862" s="1315"/>
      <c r="AV3862" s="1315"/>
      <c r="AW3862" s="1315"/>
      <c r="AX3862" s="1315"/>
      <c r="AY3862" s="1315"/>
      <c r="AZ3862" s="1315"/>
      <c r="BA3862" s="1315"/>
      <c r="BB3862" s="1315"/>
      <c r="BC3862" s="1315"/>
      <c r="BD3862" s="1315"/>
      <c r="BE3862" s="1315"/>
      <c r="BF3862" s="1315"/>
      <c r="BG3862" s="1315"/>
      <c r="BH3862" s="1315"/>
      <c r="BI3862" s="1315"/>
      <c r="BJ3862" s="1315"/>
      <c r="BK3862" s="1315"/>
      <c r="BL3862" s="1315"/>
    </row>
    <row r="3863" spans="1:64" ht="58.9" customHeight="1">
      <c r="A3863" s="1794"/>
      <c r="B3863" s="1798"/>
      <c r="C3863" s="2022" t="s">
        <v>3451</v>
      </c>
      <c r="D3863" s="2022"/>
      <c r="E3863" s="2022"/>
      <c r="F3863" s="2022"/>
      <c r="G3863" s="2022"/>
      <c r="H3863" s="2022"/>
      <c r="I3863" s="2022"/>
      <c r="J3863" s="1817"/>
      <c r="K3863" s="1817"/>
      <c r="L3863" s="1817"/>
      <c r="M3863" s="1315"/>
      <c r="N3863" s="1315"/>
      <c r="O3863" s="1315"/>
      <c r="P3863" s="1315"/>
      <c r="Q3863" s="1315"/>
      <c r="R3863" s="1315"/>
      <c r="S3863" s="1315"/>
      <c r="T3863" s="1315"/>
      <c r="U3863" s="1315"/>
      <c r="V3863" s="1315"/>
      <c r="W3863" s="1315"/>
      <c r="X3863" s="1315"/>
      <c r="Y3863" s="1315"/>
      <c r="Z3863" s="1315"/>
      <c r="AA3863" s="1315"/>
      <c r="AB3863" s="1315"/>
      <c r="AC3863" s="1315"/>
      <c r="AD3863" s="1315"/>
      <c r="AE3863" s="1315"/>
      <c r="AF3863" s="1315"/>
      <c r="AG3863" s="1315"/>
      <c r="AH3863" s="1315"/>
      <c r="AI3863" s="1315"/>
      <c r="AJ3863" s="1315"/>
      <c r="AK3863" s="1315"/>
      <c r="AL3863" s="1315"/>
      <c r="AM3863" s="1315"/>
      <c r="AN3863" s="1315"/>
      <c r="AO3863" s="1315"/>
      <c r="AP3863" s="1315"/>
      <c r="AQ3863" s="1315"/>
      <c r="AR3863" s="1315"/>
      <c r="AS3863" s="1315"/>
      <c r="AT3863" s="1315"/>
      <c r="AU3863" s="1315"/>
      <c r="AV3863" s="1315"/>
      <c r="AW3863" s="1315"/>
      <c r="AX3863" s="1315"/>
      <c r="AY3863" s="1315"/>
      <c r="AZ3863" s="1315"/>
      <c r="BA3863" s="1315"/>
      <c r="BB3863" s="1315"/>
      <c r="BC3863" s="1315"/>
      <c r="BD3863" s="1315"/>
      <c r="BE3863" s="1315"/>
      <c r="BF3863" s="1315"/>
      <c r="BG3863" s="1315"/>
      <c r="BH3863" s="1315"/>
      <c r="BI3863" s="1315"/>
      <c r="BJ3863" s="1315"/>
      <c r="BK3863" s="1315"/>
      <c r="BL3863" s="1315"/>
    </row>
    <row r="3864" spans="1:64">
      <c r="A3864" s="1794"/>
      <c r="B3864" s="1798"/>
      <c r="C3864" s="1807" t="s">
        <v>1520</v>
      </c>
      <c r="D3864" s="1227">
        <v>6</v>
      </c>
      <c r="E3864" s="1268" t="s">
        <v>197</v>
      </c>
      <c r="F3864" s="1205">
        <f>'Civil-SOR'!G325</f>
        <v>483</v>
      </c>
      <c r="G3864" s="1329">
        <f>'Civil-SOR'!$H$324</f>
        <v>1</v>
      </c>
      <c r="H3864" s="1270" t="str">
        <f t="shared" ref="H3864:H3866" si="890">IF(E3864="","",IF(E3864="No.","Each",IF(E3864="Nos.","Each",E3864)))</f>
        <v>RM</v>
      </c>
      <c r="I3864" s="1205">
        <f t="shared" ref="I3864:I3866" si="891">IF(G3864="",D3864*F3864,(D3864*F3864/G3864))</f>
        <v>2898</v>
      </c>
      <c r="J3864" s="1817"/>
      <c r="K3864" s="1817"/>
      <c r="L3864" s="1817"/>
      <c r="M3864" s="1315"/>
      <c r="N3864" s="1315"/>
      <c r="O3864" s="1315"/>
      <c r="P3864" s="1315"/>
      <c r="Q3864" s="1315"/>
      <c r="R3864" s="1315"/>
      <c r="S3864" s="1315"/>
      <c r="T3864" s="1315"/>
      <c r="U3864" s="1315"/>
      <c r="V3864" s="1315"/>
      <c r="W3864" s="1315"/>
      <c r="X3864" s="1315"/>
      <c r="Y3864" s="1315"/>
      <c r="Z3864" s="1315"/>
      <c r="AA3864" s="1315"/>
      <c r="AB3864" s="1315"/>
      <c r="AC3864" s="1315"/>
      <c r="AD3864" s="1315"/>
      <c r="AE3864" s="1315"/>
      <c r="AF3864" s="1315"/>
      <c r="AG3864" s="1315"/>
      <c r="AH3864" s="1315"/>
      <c r="AI3864" s="1315"/>
      <c r="AJ3864" s="1315"/>
      <c r="AK3864" s="1315"/>
      <c r="AL3864" s="1315"/>
      <c r="AM3864" s="1315"/>
      <c r="AN3864" s="1315"/>
      <c r="AO3864" s="1315"/>
      <c r="AP3864" s="1315"/>
      <c r="AQ3864" s="1315"/>
      <c r="AR3864" s="1315"/>
      <c r="AS3864" s="1315"/>
      <c r="AT3864" s="1315"/>
      <c r="AU3864" s="1315"/>
      <c r="AV3864" s="1315"/>
      <c r="AW3864" s="1315"/>
      <c r="AX3864" s="1315"/>
      <c r="AY3864" s="1315"/>
      <c r="AZ3864" s="1315"/>
      <c r="BA3864" s="1315"/>
      <c r="BB3864" s="1315"/>
      <c r="BC3864" s="1315"/>
      <c r="BD3864" s="1315"/>
      <c r="BE3864" s="1315"/>
      <c r="BF3864" s="1315"/>
      <c r="BG3864" s="1315"/>
      <c r="BH3864" s="1315"/>
      <c r="BI3864" s="1315"/>
      <c r="BJ3864" s="1315"/>
      <c r="BK3864" s="1315"/>
      <c r="BL3864" s="1315"/>
    </row>
    <row r="3865" spans="1:64">
      <c r="A3865" s="1794"/>
      <c r="B3865" s="1798"/>
      <c r="C3865" s="1807" t="s">
        <v>1521</v>
      </c>
      <c r="D3865" s="1269">
        <v>3</v>
      </c>
      <c r="E3865" s="1268" t="s">
        <v>36</v>
      </c>
      <c r="F3865" s="1205">
        <f>'Civil-SOR'!G284</f>
        <v>41</v>
      </c>
      <c r="G3865" s="1329">
        <v>1</v>
      </c>
      <c r="H3865" s="1270" t="str">
        <f t="shared" si="890"/>
        <v>Each</v>
      </c>
      <c r="I3865" s="1205">
        <f t="shared" si="891"/>
        <v>123</v>
      </c>
      <c r="J3865" s="1817"/>
      <c r="K3865" s="1817"/>
      <c r="L3865" s="1817"/>
      <c r="M3865" s="1315"/>
      <c r="N3865" s="1315"/>
      <c r="O3865" s="1315"/>
      <c r="P3865" s="1315"/>
      <c r="Q3865" s="1315"/>
      <c r="R3865" s="1315"/>
      <c r="S3865" s="1315"/>
      <c r="T3865" s="1315"/>
      <c r="U3865" s="1315"/>
      <c r="V3865" s="1315"/>
      <c r="W3865" s="1315"/>
      <c r="X3865" s="1315"/>
      <c r="Y3865" s="1315"/>
      <c r="Z3865" s="1315"/>
      <c r="AA3865" s="1315"/>
      <c r="AB3865" s="1315"/>
      <c r="AC3865" s="1315"/>
      <c r="AD3865" s="1315"/>
      <c r="AE3865" s="1315"/>
      <c r="AF3865" s="1315"/>
      <c r="AG3865" s="1315"/>
      <c r="AH3865" s="1315"/>
      <c r="AI3865" s="1315"/>
      <c r="AJ3865" s="1315"/>
      <c r="AK3865" s="1315"/>
      <c r="AL3865" s="1315"/>
      <c r="AM3865" s="1315"/>
      <c r="AN3865" s="1315"/>
      <c r="AO3865" s="1315"/>
      <c r="AP3865" s="1315"/>
      <c r="AQ3865" s="1315"/>
      <c r="AR3865" s="1315"/>
      <c r="AS3865" s="1315"/>
      <c r="AT3865" s="1315"/>
      <c r="AU3865" s="1315"/>
      <c r="AV3865" s="1315"/>
      <c r="AW3865" s="1315"/>
      <c r="AX3865" s="1315"/>
      <c r="AY3865" s="1315"/>
      <c r="AZ3865" s="1315"/>
      <c r="BA3865" s="1315"/>
      <c r="BB3865" s="1315"/>
      <c r="BC3865" s="1315"/>
      <c r="BD3865" s="1315"/>
      <c r="BE3865" s="1315"/>
      <c r="BF3865" s="1315"/>
      <c r="BG3865" s="1315"/>
      <c r="BH3865" s="1315"/>
      <c r="BI3865" s="1315"/>
      <c r="BJ3865" s="1315"/>
      <c r="BK3865" s="1315"/>
      <c r="BL3865" s="1315"/>
    </row>
    <row r="3866" spans="1:64">
      <c r="A3866" s="1794"/>
      <c r="B3866" s="1798"/>
      <c r="C3866" s="1807" t="s">
        <v>1522</v>
      </c>
      <c r="D3866" s="1227">
        <v>6</v>
      </c>
      <c r="E3866" s="1268" t="s">
        <v>197</v>
      </c>
      <c r="F3866" s="1205">
        <f>'WS-SOR'!$H$83</f>
        <v>99</v>
      </c>
      <c r="G3866" s="1329">
        <v>1</v>
      </c>
      <c r="H3866" s="1270" t="str">
        <f t="shared" si="890"/>
        <v>RM</v>
      </c>
      <c r="I3866" s="1205">
        <f t="shared" si="891"/>
        <v>594</v>
      </c>
      <c r="J3866" s="1817"/>
      <c r="K3866" s="1817"/>
      <c r="L3866" s="1817"/>
      <c r="M3866" s="1315"/>
      <c r="N3866" s="1315"/>
      <c r="O3866" s="1315"/>
      <c r="P3866" s="1315"/>
      <c r="Q3866" s="1315"/>
      <c r="R3866" s="1315"/>
      <c r="S3866" s="1315"/>
      <c r="T3866" s="1315"/>
      <c r="U3866" s="1315"/>
      <c r="V3866" s="1315"/>
      <c r="W3866" s="1315"/>
      <c r="X3866" s="1315"/>
      <c r="Y3866" s="1315"/>
      <c r="Z3866" s="1315"/>
      <c r="AA3866" s="1315"/>
      <c r="AB3866" s="1315"/>
      <c r="AC3866" s="1315"/>
      <c r="AD3866" s="1315"/>
      <c r="AE3866" s="1315"/>
      <c r="AF3866" s="1315"/>
      <c r="AG3866" s="1315"/>
      <c r="AH3866" s="1315"/>
      <c r="AI3866" s="1315"/>
      <c r="AJ3866" s="1315"/>
      <c r="AK3866" s="1315"/>
      <c r="AL3866" s="1315"/>
      <c r="AM3866" s="1315"/>
      <c r="AN3866" s="1315"/>
      <c r="AO3866" s="1315"/>
      <c r="AP3866" s="1315"/>
      <c r="AQ3866" s="1315"/>
      <c r="AR3866" s="1315"/>
      <c r="AS3866" s="1315"/>
      <c r="AT3866" s="1315"/>
      <c r="AU3866" s="1315"/>
      <c r="AV3866" s="1315"/>
      <c r="AW3866" s="1315"/>
      <c r="AX3866" s="1315"/>
      <c r="AY3866" s="1315"/>
      <c r="AZ3866" s="1315"/>
      <c r="BA3866" s="1315"/>
      <c r="BB3866" s="1315"/>
      <c r="BC3866" s="1315"/>
      <c r="BD3866" s="1315"/>
      <c r="BE3866" s="1315"/>
      <c r="BF3866" s="1315"/>
      <c r="BG3866" s="1315"/>
      <c r="BH3866" s="1315"/>
      <c r="BI3866" s="1315"/>
      <c r="BJ3866" s="1315"/>
      <c r="BK3866" s="1315"/>
      <c r="BL3866" s="1315"/>
    </row>
    <row r="3867" spans="1:64">
      <c r="A3867" s="1794"/>
      <c r="B3867" s="1798"/>
      <c r="C3867" s="1795" t="s">
        <v>1523</v>
      </c>
      <c r="D3867" s="1227"/>
      <c r="E3867" s="1339"/>
      <c r="F3867" s="1205"/>
      <c r="G3867" s="1340"/>
      <c r="H3867" s="1341"/>
      <c r="I3867" s="1219">
        <f>SUM(I3864:I3866)</f>
        <v>3615</v>
      </c>
      <c r="J3867" s="1817"/>
      <c r="K3867" s="1817"/>
      <c r="L3867" s="1817"/>
      <c r="M3867" s="1315"/>
      <c r="N3867" s="1315"/>
      <c r="O3867" s="1315"/>
      <c r="P3867" s="1315"/>
      <c r="Q3867" s="1315"/>
      <c r="R3867" s="1315"/>
      <c r="S3867" s="1315"/>
      <c r="T3867" s="1315"/>
      <c r="U3867" s="1315"/>
      <c r="V3867" s="1315"/>
      <c r="W3867" s="1315"/>
      <c r="X3867" s="1315"/>
      <c r="Y3867" s="1315"/>
      <c r="Z3867" s="1315"/>
      <c r="AA3867" s="1315"/>
      <c r="AB3867" s="1315"/>
      <c r="AC3867" s="1315"/>
      <c r="AD3867" s="1315"/>
      <c r="AE3867" s="1315"/>
      <c r="AF3867" s="1315"/>
      <c r="AG3867" s="1315"/>
      <c r="AH3867" s="1315"/>
      <c r="AI3867" s="1315"/>
      <c r="AJ3867" s="1315"/>
      <c r="AK3867" s="1315"/>
      <c r="AL3867" s="1315"/>
      <c r="AM3867" s="1315"/>
      <c r="AN3867" s="1315"/>
      <c r="AO3867" s="1315"/>
      <c r="AP3867" s="1315"/>
      <c r="AQ3867" s="1315"/>
      <c r="AR3867" s="1315"/>
      <c r="AS3867" s="1315"/>
      <c r="AT3867" s="1315"/>
      <c r="AU3867" s="1315"/>
      <c r="AV3867" s="1315"/>
      <c r="AW3867" s="1315"/>
      <c r="AX3867" s="1315"/>
      <c r="AY3867" s="1315"/>
      <c r="AZ3867" s="1315"/>
      <c r="BA3867" s="1315"/>
      <c r="BB3867" s="1315"/>
      <c r="BC3867" s="1315"/>
      <c r="BD3867" s="1315"/>
      <c r="BE3867" s="1315"/>
      <c r="BF3867" s="1315"/>
      <c r="BG3867" s="1315"/>
      <c r="BH3867" s="1315"/>
      <c r="BI3867" s="1315"/>
      <c r="BJ3867" s="1315"/>
      <c r="BK3867" s="1315"/>
      <c r="BL3867" s="1315"/>
    </row>
    <row r="3868" spans="1:64">
      <c r="A3868" s="1794"/>
      <c r="B3868" s="1798"/>
      <c r="C3868" s="1807"/>
      <c r="D3868" s="1281"/>
      <c r="E3868" s="1802"/>
      <c r="F3868" s="1283"/>
      <c r="G3868" s="1342"/>
      <c r="H3868" s="1343"/>
      <c r="I3868" s="1219">
        <f>I3867/D3864</f>
        <v>602.5</v>
      </c>
      <c r="J3868" s="1817"/>
      <c r="K3868" s="1817"/>
      <c r="L3868" s="1817"/>
      <c r="M3868" s="1315"/>
      <c r="N3868" s="1315"/>
      <c r="O3868" s="1315"/>
      <c r="P3868" s="1315"/>
      <c r="Q3868" s="1315"/>
      <c r="R3868" s="1315"/>
      <c r="S3868" s="1315"/>
      <c r="T3868" s="1315"/>
      <c r="U3868" s="1315"/>
      <c r="V3868" s="1315"/>
      <c r="W3868" s="1315"/>
      <c r="X3868" s="1315"/>
      <c r="Y3868" s="1315"/>
      <c r="Z3868" s="1315"/>
      <c r="AA3868" s="1315"/>
      <c r="AB3868" s="1315"/>
      <c r="AC3868" s="1315"/>
      <c r="AD3868" s="1315"/>
      <c r="AE3868" s="1315"/>
      <c r="AF3868" s="1315"/>
      <c r="AG3868" s="1315"/>
      <c r="AH3868" s="1315"/>
      <c r="AI3868" s="1315"/>
      <c r="AJ3868" s="1315"/>
      <c r="AK3868" s="1315"/>
      <c r="AL3868" s="1315"/>
      <c r="AM3868" s="1315"/>
      <c r="AN3868" s="1315"/>
      <c r="AO3868" s="1315"/>
      <c r="AP3868" s="1315"/>
      <c r="AQ3868" s="1315"/>
      <c r="AR3868" s="1315"/>
      <c r="AS3868" s="1315"/>
      <c r="AT3868" s="1315"/>
      <c r="AU3868" s="1315"/>
      <c r="AV3868" s="1315"/>
      <c r="AW3868" s="1315"/>
      <c r="AX3868" s="1315"/>
      <c r="AY3868" s="1315"/>
      <c r="AZ3868" s="1315"/>
      <c r="BA3868" s="1315"/>
      <c r="BB3868" s="1315"/>
      <c r="BC3868" s="1315"/>
      <c r="BD3868" s="1315"/>
      <c r="BE3868" s="1315"/>
      <c r="BF3868" s="1315"/>
      <c r="BG3868" s="1315"/>
      <c r="BH3868" s="1315"/>
      <c r="BI3868" s="1315"/>
      <c r="BJ3868" s="1315"/>
      <c r="BK3868" s="1315"/>
      <c r="BL3868" s="1315"/>
    </row>
    <row r="3869" spans="1:64">
      <c r="A3869" s="1794"/>
      <c r="B3869" s="1798"/>
      <c r="C3869" s="1807" t="str">
        <f>Input!$C$48</f>
        <v>Overheads &amp; Contractors Profit @ 13.615%</v>
      </c>
      <c r="D3869" s="1344">
        <f>Input!$D$48</f>
        <v>0.13614999999999999</v>
      </c>
      <c r="E3869" s="1297"/>
      <c r="F3869" s="1223">
        <f>I3868</f>
        <v>602.5</v>
      </c>
      <c r="G3869" s="1272"/>
      <c r="H3869" s="1199"/>
      <c r="I3869" s="1205">
        <f>IF(G3869="",D3869*F3869,(D3869*F3869/G3869))</f>
        <v>82.030374999999992</v>
      </c>
      <c r="J3869" s="1817"/>
      <c r="K3869" s="1817"/>
      <c r="L3869" s="1817"/>
      <c r="M3869" s="1315"/>
      <c r="N3869" s="1315"/>
      <c r="O3869" s="1315"/>
      <c r="P3869" s="1315"/>
      <c r="Q3869" s="1315"/>
      <c r="R3869" s="1315"/>
      <c r="S3869" s="1315"/>
      <c r="T3869" s="1315"/>
      <c r="U3869" s="1315"/>
      <c r="V3869" s="1315"/>
      <c r="W3869" s="1315"/>
      <c r="X3869" s="1315"/>
      <c r="Y3869" s="1315"/>
      <c r="Z3869" s="1315"/>
      <c r="AA3869" s="1315"/>
      <c r="AB3869" s="1315"/>
      <c r="AC3869" s="1315"/>
      <c r="AD3869" s="1315"/>
      <c r="AE3869" s="1315"/>
      <c r="AF3869" s="1315"/>
      <c r="AG3869" s="1315"/>
      <c r="AH3869" s="1315"/>
      <c r="AI3869" s="1315"/>
      <c r="AJ3869" s="1315"/>
      <c r="AK3869" s="1315"/>
      <c r="AL3869" s="1315"/>
      <c r="AM3869" s="1315"/>
      <c r="AN3869" s="1315"/>
      <c r="AO3869" s="1315"/>
      <c r="AP3869" s="1315"/>
      <c r="AQ3869" s="1315"/>
      <c r="AR3869" s="1315"/>
      <c r="AS3869" s="1315"/>
      <c r="AT3869" s="1315"/>
      <c r="AU3869" s="1315"/>
      <c r="AV3869" s="1315"/>
      <c r="AW3869" s="1315"/>
      <c r="AX3869" s="1315"/>
      <c r="AY3869" s="1315"/>
      <c r="AZ3869" s="1315"/>
      <c r="BA3869" s="1315"/>
      <c r="BB3869" s="1315"/>
      <c r="BC3869" s="1315"/>
      <c r="BD3869" s="1315"/>
      <c r="BE3869" s="1315"/>
      <c r="BF3869" s="1315"/>
      <c r="BG3869" s="1315"/>
      <c r="BH3869" s="1315"/>
      <c r="BI3869" s="1315"/>
      <c r="BJ3869" s="1315"/>
      <c r="BK3869" s="1315"/>
      <c r="BL3869" s="1315"/>
    </row>
    <row r="3870" spans="1:64">
      <c r="A3870" s="1794"/>
      <c r="B3870" s="1798"/>
      <c r="C3870" s="1795" t="s">
        <v>1288</v>
      </c>
      <c r="D3870" s="1281"/>
      <c r="E3870" s="1802"/>
      <c r="F3870" s="1283"/>
      <c r="G3870" s="1342"/>
      <c r="H3870" s="1807"/>
      <c r="I3870" s="1205">
        <f>SUM(I3868:I3869)</f>
        <v>684.53037500000005</v>
      </c>
      <c r="J3870" s="1817"/>
      <c r="K3870" s="1817"/>
      <c r="L3870" s="1817"/>
      <c r="M3870" s="1315"/>
      <c r="N3870" s="1315"/>
      <c r="O3870" s="1315"/>
      <c r="P3870" s="1315"/>
      <c r="Q3870" s="1315"/>
      <c r="R3870" s="1315"/>
      <c r="S3870" s="1315"/>
      <c r="T3870" s="1315"/>
      <c r="U3870" s="1315"/>
      <c r="V3870" s="1315"/>
      <c r="W3870" s="1315"/>
      <c r="X3870" s="1315"/>
      <c r="Y3870" s="1315"/>
      <c r="Z3870" s="1315"/>
      <c r="AA3870" s="1315"/>
      <c r="AB3870" s="1315"/>
      <c r="AC3870" s="1315"/>
      <c r="AD3870" s="1315"/>
      <c r="AE3870" s="1315"/>
      <c r="AF3870" s="1315"/>
      <c r="AG3870" s="1315"/>
      <c r="AH3870" s="1315"/>
      <c r="AI3870" s="1315"/>
      <c r="AJ3870" s="1315"/>
      <c r="AK3870" s="1315"/>
      <c r="AL3870" s="1315"/>
      <c r="AM3870" s="1315"/>
      <c r="AN3870" s="1315"/>
      <c r="AO3870" s="1315"/>
      <c r="AP3870" s="1315"/>
      <c r="AQ3870" s="1315"/>
      <c r="AR3870" s="1315"/>
      <c r="AS3870" s="1315"/>
      <c r="AT3870" s="1315"/>
      <c r="AU3870" s="1315"/>
      <c r="AV3870" s="1315"/>
      <c r="AW3870" s="1315"/>
      <c r="AX3870" s="1315"/>
      <c r="AY3870" s="1315"/>
      <c r="AZ3870" s="1315"/>
      <c r="BA3870" s="1315"/>
      <c r="BB3870" s="1315"/>
      <c r="BC3870" s="1315"/>
      <c r="BD3870" s="1315"/>
      <c r="BE3870" s="1315"/>
      <c r="BF3870" s="1315"/>
      <c r="BG3870" s="1315"/>
      <c r="BH3870" s="1315"/>
      <c r="BI3870" s="1315"/>
      <c r="BJ3870" s="1315"/>
      <c r="BK3870" s="1315"/>
      <c r="BL3870" s="1315"/>
    </row>
    <row r="3871" spans="1:64">
      <c r="A3871" s="1794"/>
      <c r="B3871" s="1798"/>
      <c r="C3871" s="1795"/>
      <c r="D3871" s="1281"/>
      <c r="E3871" s="1802"/>
      <c r="F3871" s="1283"/>
      <c r="G3871" s="1342"/>
      <c r="H3871" s="1298" t="s">
        <v>1065</v>
      </c>
      <c r="I3871" s="1219">
        <f>ROUND(I3870,0)</f>
        <v>685</v>
      </c>
      <c r="J3871" s="1817"/>
      <c r="K3871" s="1817"/>
      <c r="L3871" s="1817"/>
      <c r="M3871" s="1315"/>
      <c r="N3871" s="1315"/>
      <c r="O3871" s="1315"/>
      <c r="P3871" s="1315"/>
      <c r="Q3871" s="1315"/>
      <c r="R3871" s="1315"/>
      <c r="S3871" s="1315"/>
      <c r="T3871" s="1315"/>
      <c r="U3871" s="1315"/>
      <c r="V3871" s="1315"/>
      <c r="W3871" s="1315"/>
      <c r="X3871" s="1315"/>
      <c r="Y3871" s="1315"/>
      <c r="Z3871" s="1315"/>
      <c r="AA3871" s="1315"/>
      <c r="AB3871" s="1315"/>
      <c r="AC3871" s="1315"/>
      <c r="AD3871" s="1315"/>
      <c r="AE3871" s="1315"/>
      <c r="AF3871" s="1315"/>
      <c r="AG3871" s="1315"/>
      <c r="AH3871" s="1315"/>
      <c r="AI3871" s="1315"/>
      <c r="AJ3871" s="1315"/>
      <c r="AK3871" s="1315"/>
      <c r="AL3871" s="1315"/>
      <c r="AM3871" s="1315"/>
      <c r="AN3871" s="1315"/>
      <c r="AO3871" s="1315"/>
      <c r="AP3871" s="1315"/>
      <c r="AQ3871" s="1315"/>
      <c r="AR3871" s="1315"/>
      <c r="AS3871" s="1315"/>
      <c r="AT3871" s="1315"/>
      <c r="AU3871" s="1315"/>
      <c r="AV3871" s="1315"/>
      <c r="AW3871" s="1315"/>
      <c r="AX3871" s="1315"/>
      <c r="AY3871" s="1315"/>
      <c r="AZ3871" s="1315"/>
      <c r="BA3871" s="1315"/>
      <c r="BB3871" s="1315"/>
      <c r="BC3871" s="1315"/>
      <c r="BD3871" s="1315"/>
      <c r="BE3871" s="1315"/>
      <c r="BF3871" s="1315"/>
      <c r="BG3871" s="1315"/>
      <c r="BH3871" s="1315"/>
      <c r="BI3871" s="1315"/>
      <c r="BJ3871" s="1315"/>
      <c r="BK3871" s="1315"/>
      <c r="BL3871" s="1315"/>
    </row>
    <row r="3872" spans="1:64">
      <c r="A3872" s="1794"/>
      <c r="B3872" s="1798"/>
      <c r="C3872" s="1795"/>
      <c r="D3872" s="1281"/>
      <c r="E3872" s="1802"/>
      <c r="F3872" s="1283"/>
      <c r="G3872" s="1342"/>
      <c r="H3872" s="1298"/>
      <c r="I3872" s="1220"/>
      <c r="J3872" s="1817"/>
      <c r="K3872" s="1817"/>
      <c r="L3872" s="1817"/>
      <c r="M3872" s="1315"/>
      <c r="N3872" s="1315"/>
      <c r="O3872" s="1315"/>
      <c r="P3872" s="1315"/>
      <c r="Q3872" s="1315"/>
      <c r="R3872" s="1315"/>
      <c r="S3872" s="1315"/>
      <c r="T3872" s="1315"/>
      <c r="U3872" s="1315"/>
      <c r="V3872" s="1315"/>
      <c r="W3872" s="1315"/>
      <c r="X3872" s="1315"/>
      <c r="Y3872" s="1315"/>
      <c r="Z3872" s="1315"/>
      <c r="AA3872" s="1315"/>
      <c r="AB3872" s="1315"/>
      <c r="AC3872" s="1315"/>
      <c r="AD3872" s="1315"/>
      <c r="AE3872" s="1315"/>
      <c r="AF3872" s="1315"/>
      <c r="AG3872" s="1315"/>
      <c r="AH3872" s="1315"/>
      <c r="AI3872" s="1315"/>
      <c r="AJ3872" s="1315"/>
      <c r="AK3872" s="1315"/>
      <c r="AL3872" s="1315"/>
      <c r="AM3872" s="1315"/>
      <c r="AN3872" s="1315"/>
      <c r="AO3872" s="1315"/>
      <c r="AP3872" s="1315"/>
      <c r="AQ3872" s="1315"/>
      <c r="AR3872" s="1315"/>
      <c r="AS3872" s="1315"/>
      <c r="AT3872" s="1315"/>
      <c r="AU3872" s="1315"/>
      <c r="AV3872" s="1315"/>
      <c r="AW3872" s="1315"/>
      <c r="AX3872" s="1315"/>
      <c r="AY3872" s="1315"/>
      <c r="AZ3872" s="1315"/>
      <c r="BA3872" s="1315"/>
      <c r="BB3872" s="1315"/>
      <c r="BC3872" s="1315"/>
      <c r="BD3872" s="1315"/>
      <c r="BE3872" s="1315"/>
      <c r="BF3872" s="1315"/>
      <c r="BG3872" s="1315"/>
      <c r="BH3872" s="1315"/>
      <c r="BI3872" s="1315"/>
      <c r="BJ3872" s="1315"/>
      <c r="BK3872" s="1315"/>
      <c r="BL3872" s="1315"/>
    </row>
    <row r="3873" spans="1:64" ht="60.4" customHeight="1">
      <c r="A3873" s="2005">
        <f>1+A3852</f>
        <v>47</v>
      </c>
      <c r="B3873" s="2005"/>
      <c r="C3873" s="2006" t="s">
        <v>3452</v>
      </c>
      <c r="D3873" s="2006"/>
      <c r="E3873" s="2006"/>
      <c r="F3873" s="2006"/>
      <c r="G3873" s="2006"/>
      <c r="H3873" s="2006"/>
      <c r="I3873" s="1814"/>
      <c r="J3873" s="1817"/>
      <c r="K3873" s="1817"/>
      <c r="L3873" s="1817"/>
      <c r="M3873" s="1315"/>
      <c r="N3873" s="1315"/>
      <c r="O3873" s="1315"/>
      <c r="P3873" s="1315"/>
      <c r="Q3873" s="1315"/>
      <c r="R3873" s="1315"/>
      <c r="S3873" s="1315"/>
      <c r="T3873" s="1315"/>
      <c r="U3873" s="1315"/>
      <c r="V3873" s="1315"/>
      <c r="W3873" s="1315"/>
      <c r="X3873" s="1315"/>
      <c r="Y3873" s="1315"/>
      <c r="Z3873" s="1315"/>
      <c r="AA3873" s="1315"/>
      <c r="AB3873" s="1315"/>
      <c r="AC3873" s="1315"/>
      <c r="AD3873" s="1315"/>
      <c r="AE3873" s="1315"/>
      <c r="AF3873" s="1315"/>
      <c r="AG3873" s="1315"/>
      <c r="AH3873" s="1315"/>
      <c r="AI3873" s="1315"/>
      <c r="AJ3873" s="1315"/>
      <c r="AK3873" s="1315"/>
      <c r="AL3873" s="1315"/>
      <c r="AM3873" s="1315"/>
      <c r="AN3873" s="1315"/>
      <c r="AO3873" s="1315"/>
      <c r="AP3873" s="1315"/>
      <c r="AQ3873" s="1315"/>
      <c r="AR3873" s="1315"/>
      <c r="AS3873" s="1315"/>
      <c r="AT3873" s="1315"/>
      <c r="AU3873" s="1315"/>
      <c r="AV3873" s="1315"/>
      <c r="AW3873" s="1315"/>
      <c r="AX3873" s="1315"/>
      <c r="AY3873" s="1315"/>
      <c r="AZ3873" s="1315"/>
      <c r="BA3873" s="1315"/>
      <c r="BB3873" s="1315"/>
      <c r="BC3873" s="1315"/>
      <c r="BD3873" s="1315"/>
      <c r="BE3873" s="1315"/>
      <c r="BF3873" s="1315"/>
      <c r="BG3873" s="1315"/>
      <c r="BH3873" s="1315"/>
      <c r="BI3873" s="1315"/>
      <c r="BJ3873" s="1315"/>
      <c r="BK3873" s="1315"/>
      <c r="BL3873" s="1315"/>
    </row>
    <row r="3874" spans="1:64">
      <c r="A3874" s="1794"/>
      <c r="B3874" s="1794"/>
      <c r="C3874" s="1807" t="s">
        <v>1524</v>
      </c>
      <c r="D3874" s="1287">
        <v>1</v>
      </c>
      <c r="E3874" s="1807" t="s">
        <v>94</v>
      </c>
      <c r="F3874" s="1211">
        <f>'Civil-SOR'!$G$190</f>
        <v>641</v>
      </c>
      <c r="G3874" s="1308">
        <v>1</v>
      </c>
      <c r="H3874" s="1807" t="s">
        <v>94</v>
      </c>
      <c r="I3874" s="1211">
        <f>IF(G3874="",D3874*F3874,(D3874*F3874/G3874))</f>
        <v>641</v>
      </c>
      <c r="J3874" s="1817"/>
      <c r="K3874" s="1817"/>
      <c r="L3874" s="1817"/>
      <c r="M3874" s="1315"/>
      <c r="N3874" s="1315"/>
      <c r="O3874" s="1315"/>
      <c r="P3874" s="1315"/>
      <c r="Q3874" s="1315"/>
      <c r="R3874" s="1315"/>
      <c r="S3874" s="1315"/>
      <c r="T3874" s="1315"/>
      <c r="U3874" s="1315"/>
      <c r="V3874" s="1315"/>
      <c r="W3874" s="1315"/>
      <c r="X3874" s="1315"/>
      <c r="Y3874" s="1315"/>
      <c r="Z3874" s="1315"/>
      <c r="AA3874" s="1315"/>
      <c r="AB3874" s="1315"/>
      <c r="AC3874" s="1315"/>
      <c r="AD3874" s="1315"/>
      <c r="AE3874" s="1315"/>
      <c r="AF3874" s="1315"/>
      <c r="AG3874" s="1315"/>
      <c r="AH3874" s="1315"/>
      <c r="AI3874" s="1315"/>
      <c r="AJ3874" s="1315"/>
      <c r="AK3874" s="1315"/>
      <c r="AL3874" s="1315"/>
      <c r="AM3874" s="1315"/>
      <c r="AN3874" s="1315"/>
      <c r="AO3874" s="1315"/>
      <c r="AP3874" s="1315"/>
      <c r="AQ3874" s="1315"/>
      <c r="AR3874" s="1315"/>
      <c r="AS3874" s="1315"/>
      <c r="AT3874" s="1315"/>
      <c r="AU3874" s="1315"/>
      <c r="AV3874" s="1315"/>
      <c r="AW3874" s="1315"/>
      <c r="AX3874" s="1315"/>
      <c r="AY3874" s="1315"/>
      <c r="AZ3874" s="1315"/>
      <c r="BA3874" s="1315"/>
      <c r="BB3874" s="1315"/>
      <c r="BC3874" s="1315"/>
      <c r="BD3874" s="1315"/>
      <c r="BE3874" s="1315"/>
      <c r="BF3874" s="1315"/>
      <c r="BG3874" s="1315"/>
      <c r="BH3874" s="1315"/>
      <c r="BI3874" s="1315"/>
      <c r="BJ3874" s="1315"/>
      <c r="BK3874" s="1315"/>
      <c r="BL3874" s="1315"/>
    </row>
    <row r="3875" spans="1:64">
      <c r="A3875" s="1794"/>
      <c r="B3875" s="1798"/>
      <c r="C3875" s="1807"/>
      <c r="D3875" s="1277"/>
      <c r="E3875" s="1276"/>
      <c r="F3875" s="1223"/>
      <c r="G3875" s="1332"/>
      <c r="H3875" s="1279"/>
      <c r="I3875" s="1230">
        <f>SUM(I3874:I3874)</f>
        <v>641</v>
      </c>
      <c r="J3875" s="1057"/>
      <c r="K3875" s="1817"/>
      <c r="L3875" s="1817"/>
      <c r="M3875" s="1315"/>
      <c r="N3875" s="1315"/>
      <c r="O3875" s="1315"/>
      <c r="P3875" s="1315"/>
      <c r="Q3875" s="1315"/>
      <c r="R3875" s="1315"/>
      <c r="S3875" s="1315"/>
      <c r="T3875" s="1315"/>
      <c r="U3875" s="1315"/>
      <c r="V3875" s="1315"/>
      <c r="W3875" s="1315"/>
      <c r="X3875" s="1315"/>
      <c r="Y3875" s="1315"/>
      <c r="Z3875" s="1315"/>
      <c r="AA3875" s="1315"/>
      <c r="AB3875" s="1315"/>
      <c r="AC3875" s="1315"/>
      <c r="AD3875" s="1315"/>
      <c r="AE3875" s="1315"/>
      <c r="AF3875" s="1315"/>
      <c r="AG3875" s="1315"/>
      <c r="AH3875" s="1315"/>
      <c r="AI3875" s="1315"/>
      <c r="AJ3875" s="1315"/>
      <c r="AK3875" s="1315"/>
      <c r="AL3875" s="1315"/>
      <c r="AM3875" s="1315"/>
      <c r="AN3875" s="1315"/>
      <c r="AO3875" s="1315"/>
      <c r="AP3875" s="1315"/>
      <c r="AQ3875" s="1315"/>
      <c r="AR3875" s="1315"/>
      <c r="AS3875" s="1315"/>
      <c r="AT3875" s="1315"/>
      <c r="AU3875" s="1315"/>
      <c r="AV3875" s="1315"/>
      <c r="AW3875" s="1315"/>
      <c r="AX3875" s="1315"/>
      <c r="AY3875" s="1315"/>
      <c r="AZ3875" s="1315"/>
      <c r="BA3875" s="1315"/>
      <c r="BB3875" s="1315"/>
      <c r="BC3875" s="1315"/>
      <c r="BD3875" s="1315"/>
      <c r="BE3875" s="1315"/>
      <c r="BF3875" s="1315"/>
      <c r="BG3875" s="1315"/>
      <c r="BH3875" s="1315"/>
      <c r="BI3875" s="1315"/>
      <c r="BJ3875" s="1315"/>
      <c r="BK3875" s="1315"/>
      <c r="BL3875" s="1315"/>
    </row>
    <row r="3876" spans="1:64">
      <c r="A3876" s="1794"/>
      <c r="B3876" s="1798"/>
      <c r="C3876" s="1807"/>
      <c r="D3876" s="1277"/>
      <c r="E3876" s="1276"/>
      <c r="F3876" s="1223"/>
      <c r="G3876" s="1332"/>
      <c r="H3876" s="1279"/>
      <c r="I3876" s="1230"/>
      <c r="J3876" s="1057"/>
      <c r="K3876" s="1817"/>
      <c r="L3876" s="1817"/>
      <c r="M3876" s="1315"/>
      <c r="N3876" s="1315"/>
      <c r="O3876" s="1315"/>
      <c r="P3876" s="1315"/>
      <c r="Q3876" s="1315"/>
      <c r="R3876" s="1315"/>
      <c r="S3876" s="1315"/>
      <c r="T3876" s="1315"/>
      <c r="U3876" s="1315"/>
      <c r="V3876" s="1315"/>
      <c r="W3876" s="1315"/>
      <c r="X3876" s="1315"/>
      <c r="Y3876" s="1315"/>
      <c r="Z3876" s="1315"/>
      <c r="AA3876" s="1315"/>
      <c r="AB3876" s="1315"/>
      <c r="AC3876" s="1315"/>
      <c r="AD3876" s="1315"/>
      <c r="AE3876" s="1315"/>
      <c r="AF3876" s="1315"/>
      <c r="AG3876" s="1315"/>
      <c r="AH3876" s="1315"/>
      <c r="AI3876" s="1315"/>
      <c r="AJ3876" s="1315"/>
      <c r="AK3876" s="1315"/>
      <c r="AL3876" s="1315"/>
      <c r="AM3876" s="1315"/>
      <c r="AN3876" s="1315"/>
      <c r="AO3876" s="1315"/>
      <c r="AP3876" s="1315"/>
      <c r="AQ3876" s="1315"/>
      <c r="AR3876" s="1315"/>
      <c r="AS3876" s="1315"/>
      <c r="AT3876" s="1315"/>
      <c r="AU3876" s="1315"/>
      <c r="AV3876" s="1315"/>
      <c r="AW3876" s="1315"/>
      <c r="AX3876" s="1315"/>
      <c r="AY3876" s="1315"/>
      <c r="AZ3876" s="1315"/>
      <c r="BA3876" s="1315"/>
      <c r="BB3876" s="1315"/>
      <c r="BC3876" s="1315"/>
      <c r="BD3876" s="1315"/>
      <c r="BE3876" s="1315"/>
      <c r="BF3876" s="1315"/>
      <c r="BG3876" s="1315"/>
      <c r="BH3876" s="1315"/>
      <c r="BI3876" s="1315"/>
      <c r="BJ3876" s="1315"/>
      <c r="BK3876" s="1315"/>
      <c r="BL3876" s="1315"/>
    </row>
    <row r="3877" spans="1:64" s="1322" customFormat="1">
      <c r="A3877" s="1319"/>
      <c r="B3877" s="1797"/>
      <c r="C3877" s="1796" t="s">
        <v>1217</v>
      </c>
      <c r="D3877" s="1218" t="s">
        <v>1341</v>
      </c>
      <c r="E3877" s="1225" t="s">
        <v>1207</v>
      </c>
      <c r="F3877" s="1299" t="s">
        <v>1208</v>
      </c>
      <c r="G3877" s="1218" t="s">
        <v>1291</v>
      </c>
      <c r="H3877" s="1218" t="s">
        <v>1292</v>
      </c>
      <c r="I3877" s="1218" t="s">
        <v>1293</v>
      </c>
      <c r="J3877" s="1057"/>
      <c r="K3877" s="1817"/>
      <c r="L3877" s="1817"/>
    </row>
    <row r="3878" spans="1:64">
      <c r="A3878" s="1794"/>
      <c r="B3878" s="1798"/>
      <c r="C3878" s="1807" t="s">
        <v>1317</v>
      </c>
      <c r="D3878" s="1223">
        <f t="shared" ref="D3878:I3878" si="892">$I$3875</f>
        <v>641</v>
      </c>
      <c r="E3878" s="1223">
        <f t="shared" si="892"/>
        <v>641</v>
      </c>
      <c r="F3878" s="1223">
        <f t="shared" si="892"/>
        <v>641</v>
      </c>
      <c r="G3878" s="1223">
        <f t="shared" si="892"/>
        <v>641</v>
      </c>
      <c r="H3878" s="1223">
        <f t="shared" si="892"/>
        <v>641</v>
      </c>
      <c r="I3878" s="1223">
        <f t="shared" si="892"/>
        <v>641</v>
      </c>
      <c r="J3878" s="1057"/>
      <c r="K3878" s="1817"/>
      <c r="L3878" s="1817"/>
      <c r="M3878" s="1315"/>
      <c r="N3878" s="1315"/>
      <c r="O3878" s="1315"/>
      <c r="P3878" s="1315"/>
      <c r="Q3878" s="1315"/>
      <c r="R3878" s="1315"/>
      <c r="S3878" s="1315"/>
      <c r="T3878" s="1315"/>
      <c r="U3878" s="1315"/>
      <c r="V3878" s="1315"/>
      <c r="W3878" s="1315"/>
      <c r="X3878" s="1315"/>
      <c r="Y3878" s="1315"/>
      <c r="Z3878" s="1315"/>
      <c r="AA3878" s="1315"/>
      <c r="AB3878" s="1315"/>
      <c r="AC3878" s="1315"/>
      <c r="AD3878" s="1315"/>
      <c r="AE3878" s="1315"/>
      <c r="AF3878" s="1315"/>
      <c r="AG3878" s="1315"/>
      <c r="AH3878" s="1315"/>
      <c r="AI3878" s="1315"/>
      <c r="AJ3878" s="1315"/>
      <c r="AK3878" s="1315"/>
      <c r="AL3878" s="1315"/>
      <c r="AM3878" s="1315"/>
      <c r="AN3878" s="1315"/>
      <c r="AO3878" s="1315"/>
      <c r="AP3878" s="1315"/>
      <c r="AQ3878" s="1315"/>
      <c r="AR3878" s="1315"/>
      <c r="AS3878" s="1315"/>
      <c r="AT3878" s="1315"/>
      <c r="AU3878" s="1315"/>
      <c r="AV3878" s="1315"/>
      <c r="AW3878" s="1315"/>
      <c r="AX3878" s="1315"/>
      <c r="AY3878" s="1315"/>
      <c r="AZ3878" s="1315"/>
      <c r="BA3878" s="1315"/>
      <c r="BB3878" s="1315"/>
      <c r="BC3878" s="1315"/>
      <c r="BD3878" s="1315"/>
      <c r="BE3878" s="1315"/>
      <c r="BF3878" s="1315"/>
      <c r="BG3878" s="1315"/>
      <c r="BH3878" s="1315"/>
      <c r="BI3878" s="1315"/>
      <c r="BJ3878" s="1315"/>
      <c r="BK3878" s="1315"/>
      <c r="BL3878" s="1315"/>
    </row>
    <row r="3879" spans="1:64">
      <c r="A3879" s="1794"/>
      <c r="B3879" s="1798"/>
      <c r="C3879" s="1807" t="s">
        <v>1313</v>
      </c>
      <c r="D3879" s="1205">
        <f>'Civil-SOR'!$F$222</f>
        <v>11.66</v>
      </c>
      <c r="E3879" s="1205">
        <f>'Civil-SOR'!$F$223</f>
        <v>11.66</v>
      </c>
      <c r="F3879" s="1205">
        <f>'Civil-SOR'!$F$224</f>
        <v>11.66</v>
      </c>
      <c r="G3879" s="1205">
        <f>'Civil-SOR'!$F$225</f>
        <v>11.66</v>
      </c>
      <c r="H3879" s="1205">
        <f>'Civil-SOR'!$F$225</f>
        <v>11.66</v>
      </c>
      <c r="I3879" s="1205">
        <f>'Civil-SOR'!$F$225</f>
        <v>11.66</v>
      </c>
      <c r="J3879" s="1057"/>
      <c r="K3879" s="1817"/>
      <c r="L3879" s="1817"/>
      <c r="M3879" s="1315"/>
      <c r="N3879" s="1315"/>
      <c r="O3879" s="1315"/>
      <c r="P3879" s="1315"/>
      <c r="Q3879" s="1315"/>
      <c r="R3879" s="1315"/>
      <c r="S3879" s="1315"/>
      <c r="T3879" s="1315"/>
      <c r="U3879" s="1315"/>
      <c r="V3879" s="1315"/>
      <c r="W3879" s="1315"/>
      <c r="X3879" s="1315"/>
      <c r="Y3879" s="1315"/>
      <c r="Z3879" s="1315"/>
      <c r="AA3879" s="1315"/>
      <c r="AB3879" s="1315"/>
      <c r="AC3879" s="1315"/>
      <c r="AD3879" s="1315"/>
      <c r="AE3879" s="1315"/>
      <c r="AF3879" s="1315"/>
      <c r="AG3879" s="1315"/>
      <c r="AH3879" s="1315"/>
      <c r="AI3879" s="1315"/>
      <c r="AJ3879" s="1315"/>
      <c r="AK3879" s="1315"/>
      <c r="AL3879" s="1315"/>
      <c r="AM3879" s="1315"/>
      <c r="AN3879" s="1315"/>
      <c r="AO3879" s="1315"/>
      <c r="AP3879" s="1315"/>
      <c r="AQ3879" s="1315"/>
      <c r="AR3879" s="1315"/>
      <c r="AS3879" s="1315"/>
      <c r="AT3879" s="1315"/>
      <c r="AU3879" s="1315"/>
      <c r="AV3879" s="1315"/>
      <c r="AW3879" s="1315"/>
      <c r="AX3879" s="1315"/>
      <c r="AY3879" s="1315"/>
      <c r="AZ3879" s="1315"/>
      <c r="BA3879" s="1315"/>
      <c r="BB3879" s="1315"/>
      <c r="BC3879" s="1315"/>
      <c r="BD3879" s="1315"/>
      <c r="BE3879" s="1315"/>
      <c r="BF3879" s="1315"/>
      <c r="BG3879" s="1315"/>
      <c r="BH3879" s="1315"/>
      <c r="BI3879" s="1315"/>
      <c r="BJ3879" s="1315"/>
      <c r="BK3879" s="1315"/>
      <c r="BL3879" s="1315"/>
    </row>
    <row r="3880" spans="1:64">
      <c r="A3880" s="1794"/>
      <c r="B3880" s="1798"/>
      <c r="C3880" s="1807" t="s">
        <v>1314</v>
      </c>
      <c r="D3880" s="1205">
        <f>'Civil-SOR'!$G$222</f>
        <v>94.29</v>
      </c>
      <c r="E3880" s="1205">
        <f>'Civil-SOR'!$G$223</f>
        <v>135.61000000000001</v>
      </c>
      <c r="F3880" s="1205">
        <f>'Civil-SOR'!$G$224</f>
        <v>176.93</v>
      </c>
      <c r="G3880" s="1205">
        <f>'Civil-SOR'!$G$225</f>
        <v>218.25</v>
      </c>
      <c r="H3880" s="1205">
        <f>'Civil-SOR'!$G$226</f>
        <v>259.57</v>
      </c>
      <c r="I3880" s="1205">
        <f>'Civil-SOR'!$G$227</f>
        <v>300.89</v>
      </c>
      <c r="J3880" s="1057"/>
      <c r="K3880" s="1817"/>
      <c r="L3880" s="1817"/>
      <c r="M3880" s="1315"/>
      <c r="N3880" s="1315"/>
      <c r="O3880" s="1315"/>
      <c r="P3880" s="1315"/>
      <c r="Q3880" s="1315"/>
      <c r="R3880" s="1315"/>
      <c r="S3880" s="1315"/>
      <c r="T3880" s="1315"/>
      <c r="U3880" s="1315"/>
      <c r="V3880" s="1315"/>
      <c r="W3880" s="1315"/>
      <c r="X3880" s="1315"/>
      <c r="Y3880" s="1315"/>
      <c r="Z3880" s="1315"/>
      <c r="AA3880" s="1315"/>
      <c r="AB3880" s="1315"/>
      <c r="AC3880" s="1315"/>
      <c r="AD3880" s="1315"/>
      <c r="AE3880" s="1315"/>
      <c r="AF3880" s="1315"/>
      <c r="AG3880" s="1315"/>
      <c r="AH3880" s="1315"/>
      <c r="AI3880" s="1315"/>
      <c r="AJ3880" s="1315"/>
      <c r="AK3880" s="1315"/>
      <c r="AL3880" s="1315"/>
      <c r="AM3880" s="1315"/>
      <c r="AN3880" s="1315"/>
      <c r="AO3880" s="1315"/>
      <c r="AP3880" s="1315"/>
      <c r="AQ3880" s="1315"/>
      <c r="AR3880" s="1315"/>
      <c r="AS3880" s="1315"/>
      <c r="AT3880" s="1315"/>
      <c r="AU3880" s="1315"/>
      <c r="AV3880" s="1315"/>
      <c r="AW3880" s="1315"/>
      <c r="AX3880" s="1315"/>
      <c r="AY3880" s="1315"/>
      <c r="AZ3880" s="1315"/>
      <c r="BA3880" s="1315"/>
      <c r="BB3880" s="1315"/>
      <c r="BC3880" s="1315"/>
      <c r="BD3880" s="1315"/>
      <c r="BE3880" s="1315"/>
      <c r="BF3880" s="1315"/>
      <c r="BG3880" s="1315"/>
      <c r="BH3880" s="1315"/>
      <c r="BI3880" s="1315"/>
      <c r="BJ3880" s="1315"/>
      <c r="BK3880" s="1315"/>
      <c r="BL3880" s="1315"/>
    </row>
    <row r="3881" spans="1:64">
      <c r="A3881" s="1794"/>
      <c r="B3881" s="1798"/>
      <c r="C3881" s="1807" t="str">
        <f>Input!$C$47</f>
        <v>Add for MA @ 40%</v>
      </c>
      <c r="D3881" s="1223">
        <f>D3880*Input!$D$47</f>
        <v>37.716000000000001</v>
      </c>
      <c r="E3881" s="1223">
        <f>E3880*Input!$D$47</f>
        <v>54.244000000000007</v>
      </c>
      <c r="F3881" s="1223">
        <f>F3880*Input!$D$47</f>
        <v>70.772000000000006</v>
      </c>
      <c r="G3881" s="1223">
        <f>G3880*Input!$D$47</f>
        <v>87.300000000000011</v>
      </c>
      <c r="H3881" s="1223">
        <f>H3880*Input!$D$47</f>
        <v>103.828</v>
      </c>
      <c r="I3881" s="1223">
        <f>I3880*Input!$D$47</f>
        <v>120.35599999999999</v>
      </c>
      <c r="J3881" s="1057"/>
      <c r="K3881" s="1817"/>
      <c r="L3881" s="1817"/>
      <c r="M3881" s="1315"/>
      <c r="N3881" s="1315"/>
      <c r="O3881" s="1315"/>
      <c r="P3881" s="1315"/>
      <c r="Q3881" s="1315"/>
      <c r="R3881" s="1315"/>
      <c r="S3881" s="1315"/>
      <c r="T3881" s="1315"/>
      <c r="U3881" s="1315"/>
      <c r="V3881" s="1315"/>
      <c r="W3881" s="1315"/>
      <c r="X3881" s="1315"/>
      <c r="Y3881" s="1315"/>
      <c r="Z3881" s="1315"/>
      <c r="AA3881" s="1315"/>
      <c r="AB3881" s="1315"/>
      <c r="AC3881" s="1315"/>
      <c r="AD3881" s="1315"/>
      <c r="AE3881" s="1315"/>
      <c r="AF3881" s="1315"/>
      <c r="AG3881" s="1315"/>
      <c r="AH3881" s="1315"/>
      <c r="AI3881" s="1315"/>
      <c r="AJ3881" s="1315"/>
      <c r="AK3881" s="1315"/>
      <c r="AL3881" s="1315"/>
      <c r="AM3881" s="1315"/>
      <c r="AN3881" s="1315"/>
      <c r="AO3881" s="1315"/>
      <c r="AP3881" s="1315"/>
      <c r="AQ3881" s="1315"/>
      <c r="AR3881" s="1315"/>
      <c r="AS3881" s="1315"/>
      <c r="AT3881" s="1315"/>
      <c r="AU3881" s="1315"/>
      <c r="AV3881" s="1315"/>
      <c r="AW3881" s="1315"/>
      <c r="AX3881" s="1315"/>
      <c r="AY3881" s="1315"/>
      <c r="AZ3881" s="1315"/>
      <c r="BA3881" s="1315"/>
      <c r="BB3881" s="1315"/>
      <c r="BC3881" s="1315"/>
      <c r="BD3881" s="1315"/>
      <c r="BE3881" s="1315"/>
      <c r="BF3881" s="1315"/>
      <c r="BG3881" s="1315"/>
      <c r="BH3881" s="1315"/>
      <c r="BI3881" s="1315"/>
      <c r="BJ3881" s="1315"/>
      <c r="BK3881" s="1315"/>
      <c r="BL3881" s="1315"/>
    </row>
    <row r="3882" spans="1:64">
      <c r="A3882" s="1794"/>
      <c r="B3882" s="1798"/>
      <c r="C3882" s="1795" t="s">
        <v>1525</v>
      </c>
      <c r="D3882" s="1220">
        <f t="shared" ref="D3882:I3882" si="893">SUM(D3878:D3881)</f>
        <v>784.66599999999994</v>
      </c>
      <c r="E3882" s="1220">
        <f t="shared" si="893"/>
        <v>842.51400000000001</v>
      </c>
      <c r="F3882" s="1220">
        <f t="shared" si="893"/>
        <v>900.36199999999997</v>
      </c>
      <c r="G3882" s="1220">
        <f t="shared" si="893"/>
        <v>958.21</v>
      </c>
      <c r="H3882" s="1220">
        <f t="shared" si="893"/>
        <v>1016.058</v>
      </c>
      <c r="I3882" s="1220">
        <f t="shared" si="893"/>
        <v>1073.9059999999999</v>
      </c>
      <c r="J3882" s="1057"/>
      <c r="K3882" s="1817"/>
      <c r="L3882" s="1817"/>
      <c r="M3882" s="1315"/>
      <c r="N3882" s="1315"/>
      <c r="O3882" s="1315"/>
      <c r="P3882" s="1315"/>
      <c r="Q3882" s="1315"/>
      <c r="R3882" s="1315"/>
      <c r="S3882" s="1315"/>
      <c r="T3882" s="1315"/>
      <c r="U3882" s="1315"/>
      <c r="V3882" s="1315"/>
      <c r="W3882" s="1315"/>
      <c r="X3882" s="1315"/>
      <c r="Y3882" s="1315"/>
      <c r="Z3882" s="1315"/>
      <c r="AA3882" s="1315"/>
      <c r="AB3882" s="1315"/>
      <c r="AC3882" s="1315"/>
      <c r="AD3882" s="1315"/>
      <c r="AE3882" s="1315"/>
      <c r="AF3882" s="1315"/>
      <c r="AG3882" s="1315"/>
      <c r="AH3882" s="1315"/>
      <c r="AI3882" s="1315"/>
      <c r="AJ3882" s="1315"/>
      <c r="AK3882" s="1315"/>
      <c r="AL3882" s="1315"/>
      <c r="AM3882" s="1315"/>
      <c r="AN3882" s="1315"/>
      <c r="AO3882" s="1315"/>
      <c r="AP3882" s="1315"/>
      <c r="AQ3882" s="1315"/>
      <c r="AR3882" s="1315"/>
      <c r="AS3882" s="1315"/>
      <c r="AT3882" s="1315"/>
      <c r="AU3882" s="1315"/>
      <c r="AV3882" s="1315"/>
      <c r="AW3882" s="1315"/>
      <c r="AX3882" s="1315"/>
      <c r="AY3882" s="1315"/>
      <c r="AZ3882" s="1315"/>
      <c r="BA3882" s="1315"/>
      <c r="BB3882" s="1315"/>
      <c r="BC3882" s="1315"/>
      <c r="BD3882" s="1315"/>
      <c r="BE3882" s="1315"/>
      <c r="BF3882" s="1315"/>
      <c r="BG3882" s="1315"/>
      <c r="BH3882" s="1315"/>
      <c r="BI3882" s="1315"/>
      <c r="BJ3882" s="1315"/>
      <c r="BK3882" s="1315"/>
      <c r="BL3882" s="1315"/>
    </row>
    <row r="3883" spans="1:64">
      <c r="A3883" s="1794"/>
      <c r="B3883" s="1798"/>
      <c r="C3883" s="1807" t="str">
        <f>Input!$C$48</f>
        <v>Overheads &amp; Contractors Profit @ 13.615%</v>
      </c>
      <c r="D3883" s="1201">
        <f>ROUND(D3882*Input!$D$48,2)</f>
        <v>106.83</v>
      </c>
      <c r="E3883" s="1200">
        <f>ROUND(E3882*Input!$D$48,2)</f>
        <v>114.71</v>
      </c>
      <c r="F3883" s="1200">
        <f>ROUND(F3882*Input!$D$48,2)</f>
        <v>122.58</v>
      </c>
      <c r="G3883" s="1200">
        <f>ROUND(G3882*Input!$D$48,2)</f>
        <v>130.46</v>
      </c>
      <c r="H3883" s="1200">
        <f>ROUND(H3882*Input!$D$48,2)</f>
        <v>138.34</v>
      </c>
      <c r="I3883" s="1200">
        <f>ROUND(I3882*Input!$D$48,2)</f>
        <v>146.21</v>
      </c>
      <c r="J3883" s="1057"/>
      <c r="K3883" s="1817"/>
      <c r="L3883" s="1817"/>
      <c r="M3883" s="1315"/>
      <c r="N3883" s="1315"/>
      <c r="O3883" s="1315"/>
      <c r="P3883" s="1315"/>
      <c r="Q3883" s="1315"/>
      <c r="R3883" s="1315"/>
      <c r="S3883" s="1315"/>
      <c r="T3883" s="1315"/>
      <c r="U3883" s="1315"/>
      <c r="V3883" s="1315"/>
      <c r="W3883" s="1315"/>
      <c r="X3883" s="1315"/>
      <c r="Y3883" s="1315"/>
      <c r="Z3883" s="1315"/>
      <c r="AA3883" s="1315"/>
      <c r="AB3883" s="1315"/>
      <c r="AC3883" s="1315"/>
      <c r="AD3883" s="1315"/>
      <c r="AE3883" s="1315"/>
      <c r="AF3883" s="1315"/>
      <c r="AG3883" s="1315"/>
      <c r="AH3883" s="1315"/>
      <c r="AI3883" s="1315"/>
      <c r="AJ3883" s="1315"/>
      <c r="AK3883" s="1315"/>
      <c r="AL3883" s="1315"/>
      <c r="AM3883" s="1315"/>
      <c r="AN3883" s="1315"/>
      <c r="AO3883" s="1315"/>
      <c r="AP3883" s="1315"/>
      <c r="AQ3883" s="1315"/>
      <c r="AR3883" s="1315"/>
      <c r="AS3883" s="1315"/>
      <c r="AT3883" s="1315"/>
      <c r="AU3883" s="1315"/>
      <c r="AV3883" s="1315"/>
      <c r="AW3883" s="1315"/>
      <c r="AX3883" s="1315"/>
      <c r="AY3883" s="1315"/>
      <c r="AZ3883" s="1315"/>
      <c r="BA3883" s="1315"/>
      <c r="BB3883" s="1315"/>
      <c r="BC3883" s="1315"/>
      <c r="BD3883" s="1315"/>
      <c r="BE3883" s="1315"/>
      <c r="BF3883" s="1315"/>
      <c r="BG3883" s="1315"/>
      <c r="BH3883" s="1315"/>
      <c r="BI3883" s="1315"/>
      <c r="BJ3883" s="1315"/>
      <c r="BK3883" s="1315"/>
      <c r="BL3883" s="1315"/>
    </row>
    <row r="3884" spans="1:64">
      <c r="A3884" s="1794"/>
      <c r="B3884" s="1798"/>
      <c r="C3884" s="1795" t="s">
        <v>1045</v>
      </c>
      <c r="D3884" s="1201">
        <f t="shared" ref="D3884:I3884" si="894">SUM(D3882:D3883)</f>
        <v>891.49599999999998</v>
      </c>
      <c r="E3884" s="1201">
        <f t="shared" si="894"/>
        <v>957.22400000000005</v>
      </c>
      <c r="F3884" s="1201">
        <f t="shared" si="894"/>
        <v>1022.942</v>
      </c>
      <c r="G3884" s="1201">
        <f t="shared" si="894"/>
        <v>1088.67</v>
      </c>
      <c r="H3884" s="1201">
        <f t="shared" si="894"/>
        <v>1154.3979999999999</v>
      </c>
      <c r="I3884" s="1201">
        <f t="shared" si="894"/>
        <v>1220.116</v>
      </c>
      <c r="J3884" s="1057"/>
      <c r="K3884" s="1817"/>
      <c r="L3884" s="1817"/>
      <c r="M3884" s="1315"/>
      <c r="N3884" s="1315"/>
      <c r="O3884" s="1315"/>
      <c r="P3884" s="1315"/>
      <c r="Q3884" s="1315"/>
      <c r="R3884" s="1315"/>
      <c r="S3884" s="1315"/>
      <c r="T3884" s="1315"/>
      <c r="U3884" s="1315"/>
      <c r="V3884" s="1315"/>
      <c r="W3884" s="1315"/>
      <c r="X3884" s="1315"/>
      <c r="Y3884" s="1315"/>
      <c r="Z3884" s="1315"/>
      <c r="AA3884" s="1315"/>
      <c r="AB3884" s="1315"/>
      <c r="AC3884" s="1315"/>
      <c r="AD3884" s="1315"/>
      <c r="AE3884" s="1315"/>
      <c r="AF3884" s="1315"/>
      <c r="AG3884" s="1315"/>
      <c r="AH3884" s="1315"/>
      <c r="AI3884" s="1315"/>
      <c r="AJ3884" s="1315"/>
      <c r="AK3884" s="1315"/>
      <c r="AL3884" s="1315"/>
      <c r="AM3884" s="1315"/>
      <c r="AN3884" s="1315"/>
      <c r="AO3884" s="1315"/>
      <c r="AP3884" s="1315"/>
      <c r="AQ3884" s="1315"/>
      <c r="AR3884" s="1315"/>
      <c r="AS3884" s="1315"/>
      <c r="AT3884" s="1315"/>
      <c r="AU3884" s="1315"/>
      <c r="AV3884" s="1315"/>
      <c r="AW3884" s="1315"/>
      <c r="AX3884" s="1315"/>
      <c r="AY3884" s="1315"/>
      <c r="AZ3884" s="1315"/>
      <c r="BA3884" s="1315"/>
      <c r="BB3884" s="1315"/>
      <c r="BC3884" s="1315"/>
      <c r="BD3884" s="1315"/>
      <c r="BE3884" s="1315"/>
      <c r="BF3884" s="1315"/>
      <c r="BG3884" s="1315"/>
      <c r="BH3884" s="1315"/>
      <c r="BI3884" s="1315"/>
      <c r="BJ3884" s="1315"/>
      <c r="BK3884" s="1315"/>
      <c r="BL3884" s="1315"/>
    </row>
    <row r="3885" spans="1:64" s="1322" customFormat="1">
      <c r="A3885" s="1319"/>
      <c r="B3885" s="1797"/>
      <c r="C3885" s="1224" t="s">
        <v>1034</v>
      </c>
      <c r="D3885" s="1225">
        <f t="shared" ref="D3885:I3885" si="895">ROUND(D3884,0)</f>
        <v>891</v>
      </c>
      <c r="E3885" s="1225">
        <f t="shared" si="895"/>
        <v>957</v>
      </c>
      <c r="F3885" s="1225">
        <f t="shared" si="895"/>
        <v>1023</v>
      </c>
      <c r="G3885" s="1225">
        <f t="shared" si="895"/>
        <v>1089</v>
      </c>
      <c r="H3885" s="1225">
        <f t="shared" si="895"/>
        <v>1154</v>
      </c>
      <c r="I3885" s="1225">
        <f t="shared" si="895"/>
        <v>1220</v>
      </c>
      <c r="J3885" s="1057"/>
      <c r="K3885" s="1817"/>
      <c r="L3885" s="1817"/>
    </row>
    <row r="3886" spans="1:64">
      <c r="A3886" s="1794"/>
      <c r="B3886" s="1798"/>
      <c r="C3886" s="1795"/>
      <c r="D3886" s="1281"/>
      <c r="E3886" s="1802"/>
      <c r="F3886" s="1283"/>
      <c r="G3886" s="1342"/>
      <c r="H3886" s="1298"/>
      <c r="I3886" s="1220"/>
      <c r="J3886" s="1057"/>
      <c r="K3886" s="1817"/>
      <c r="L3886" s="1817"/>
      <c r="M3886" s="1315"/>
      <c r="N3886" s="1315"/>
      <c r="O3886" s="1315"/>
      <c r="P3886" s="1315"/>
      <c r="Q3886" s="1315"/>
      <c r="R3886" s="1315"/>
      <c r="S3886" s="1315"/>
      <c r="T3886" s="1315"/>
      <c r="U3886" s="1315"/>
      <c r="V3886" s="1315"/>
      <c r="W3886" s="1315"/>
      <c r="X3886" s="1315"/>
      <c r="Y3886" s="1315"/>
      <c r="Z3886" s="1315"/>
      <c r="AA3886" s="1315"/>
      <c r="AB3886" s="1315"/>
      <c r="AC3886" s="1315"/>
      <c r="AD3886" s="1315"/>
      <c r="AE3886" s="1315"/>
      <c r="AF3886" s="1315"/>
      <c r="AG3886" s="1315"/>
      <c r="AH3886" s="1315"/>
      <c r="AI3886" s="1315"/>
      <c r="AJ3886" s="1315"/>
      <c r="AK3886" s="1315"/>
      <c r="AL3886" s="1315"/>
      <c r="AM3886" s="1315"/>
      <c r="AN3886" s="1315"/>
      <c r="AO3886" s="1315"/>
      <c r="AP3886" s="1315"/>
      <c r="AQ3886" s="1315"/>
      <c r="AR3886" s="1315"/>
      <c r="AS3886" s="1315"/>
      <c r="AT3886" s="1315"/>
      <c r="AU3886" s="1315"/>
      <c r="AV3886" s="1315"/>
      <c r="AW3886" s="1315"/>
      <c r="AX3886" s="1315"/>
      <c r="AY3886" s="1315"/>
      <c r="AZ3886" s="1315"/>
      <c r="BA3886" s="1315"/>
      <c r="BB3886" s="1315"/>
      <c r="BC3886" s="1315"/>
      <c r="BD3886" s="1315"/>
      <c r="BE3886" s="1315"/>
      <c r="BF3886" s="1315"/>
      <c r="BG3886" s="1315"/>
      <c r="BH3886" s="1315"/>
      <c r="BI3886" s="1315"/>
      <c r="BJ3886" s="1315"/>
      <c r="BK3886" s="1315"/>
      <c r="BL3886" s="1315"/>
    </row>
    <row r="3887" spans="1:64">
      <c r="A3887" s="1794"/>
      <c r="B3887" s="1798"/>
      <c r="C3887" s="1795" t="s">
        <v>1217</v>
      </c>
      <c r="D3887" s="1218" t="s">
        <v>1357</v>
      </c>
      <c r="E3887" s="1218" t="s">
        <v>1358</v>
      </c>
      <c r="F3887" s="1218" t="s">
        <v>1359</v>
      </c>
      <c r="G3887" s="1342"/>
      <c r="H3887" s="1298"/>
      <c r="I3887" s="1220"/>
      <c r="J3887" s="1817"/>
      <c r="K3887" s="1817"/>
      <c r="L3887" s="1817"/>
      <c r="M3887" s="1315"/>
      <c r="N3887" s="1315"/>
      <c r="O3887" s="1315"/>
      <c r="P3887" s="1315"/>
      <c r="Q3887" s="1315"/>
      <c r="R3887" s="1315"/>
      <c r="S3887" s="1315"/>
      <c r="T3887" s="1315"/>
      <c r="U3887" s="1315"/>
      <c r="V3887" s="1315"/>
      <c r="W3887" s="1315"/>
      <c r="X3887" s="1315"/>
      <c r="Y3887" s="1315"/>
      <c r="Z3887" s="1315"/>
      <c r="AA3887" s="1315"/>
      <c r="AB3887" s="1315"/>
      <c r="AC3887" s="1315"/>
      <c r="AD3887" s="1315"/>
      <c r="AE3887" s="1315"/>
      <c r="AF3887" s="1315"/>
      <c r="AG3887" s="1315"/>
      <c r="AH3887" s="1315"/>
      <c r="AI3887" s="1315"/>
      <c r="AJ3887" s="1315"/>
      <c r="AK3887" s="1315"/>
      <c r="AL3887" s="1315"/>
      <c r="AM3887" s="1315"/>
      <c r="AN3887" s="1315"/>
      <c r="AO3887" s="1315"/>
      <c r="AP3887" s="1315"/>
      <c r="AQ3887" s="1315"/>
      <c r="AR3887" s="1315"/>
      <c r="AS3887" s="1315"/>
      <c r="AT3887" s="1315"/>
      <c r="AU3887" s="1315"/>
      <c r="AV3887" s="1315"/>
      <c r="AW3887" s="1315"/>
      <c r="AX3887" s="1315"/>
      <c r="AY3887" s="1315"/>
      <c r="AZ3887" s="1315"/>
      <c r="BA3887" s="1315"/>
      <c r="BB3887" s="1315"/>
      <c r="BC3887" s="1315"/>
      <c r="BD3887" s="1315"/>
      <c r="BE3887" s="1315"/>
      <c r="BF3887" s="1315"/>
      <c r="BG3887" s="1315"/>
      <c r="BH3887" s="1315"/>
      <c r="BI3887" s="1315"/>
      <c r="BJ3887" s="1315"/>
      <c r="BK3887" s="1315"/>
      <c r="BL3887" s="1315"/>
    </row>
    <row r="3888" spans="1:64">
      <c r="A3888" s="1794"/>
      <c r="B3888" s="1798"/>
      <c r="C3888" s="1807" t="s">
        <v>1317</v>
      </c>
      <c r="D3888" s="1223">
        <f>$I$3875</f>
        <v>641</v>
      </c>
      <c r="E3888" s="1223">
        <f>$I$3875</f>
        <v>641</v>
      </c>
      <c r="F3888" s="1223">
        <f>$I$3875</f>
        <v>641</v>
      </c>
      <c r="G3888" s="1342"/>
      <c r="H3888" s="1298"/>
      <c r="I3888" s="1220"/>
      <c r="J3888" s="1817"/>
      <c r="K3888" s="1817"/>
      <c r="L3888" s="1817"/>
      <c r="M3888" s="1315"/>
      <c r="N3888" s="1315"/>
      <c r="O3888" s="1315"/>
      <c r="P3888" s="1315"/>
      <c r="Q3888" s="1315"/>
      <c r="R3888" s="1315"/>
      <c r="S3888" s="1315"/>
      <c r="T3888" s="1315"/>
      <c r="U3888" s="1315"/>
      <c r="V3888" s="1315"/>
      <c r="W3888" s="1315"/>
      <c r="X3888" s="1315"/>
      <c r="Y3888" s="1315"/>
      <c r="Z3888" s="1315"/>
      <c r="AA3888" s="1315"/>
      <c r="AB3888" s="1315"/>
      <c r="AC3888" s="1315"/>
      <c r="AD3888" s="1315"/>
      <c r="AE3888" s="1315"/>
      <c r="AF3888" s="1315"/>
      <c r="AG3888" s="1315"/>
      <c r="AH3888" s="1315"/>
      <c r="AI3888" s="1315"/>
      <c r="AJ3888" s="1315"/>
      <c r="AK3888" s="1315"/>
      <c r="AL3888" s="1315"/>
      <c r="AM3888" s="1315"/>
      <c r="AN3888" s="1315"/>
      <c r="AO3888" s="1315"/>
      <c r="AP3888" s="1315"/>
      <c r="AQ3888" s="1315"/>
      <c r="AR3888" s="1315"/>
      <c r="AS3888" s="1315"/>
      <c r="AT3888" s="1315"/>
      <c r="AU3888" s="1315"/>
      <c r="AV3888" s="1315"/>
      <c r="AW3888" s="1315"/>
      <c r="AX3888" s="1315"/>
      <c r="AY3888" s="1315"/>
      <c r="AZ3888" s="1315"/>
      <c r="BA3888" s="1315"/>
      <c r="BB3888" s="1315"/>
      <c r="BC3888" s="1315"/>
      <c r="BD3888" s="1315"/>
      <c r="BE3888" s="1315"/>
      <c r="BF3888" s="1315"/>
      <c r="BG3888" s="1315"/>
      <c r="BH3888" s="1315"/>
      <c r="BI3888" s="1315"/>
      <c r="BJ3888" s="1315"/>
      <c r="BK3888" s="1315"/>
      <c r="BL3888" s="1315"/>
    </row>
    <row r="3889" spans="1:64">
      <c r="A3889" s="1794"/>
      <c r="B3889" s="1798"/>
      <c r="C3889" s="1807" t="s">
        <v>1313</v>
      </c>
      <c r="D3889" s="1205">
        <f>'Civil-SOR'!$F$225</f>
        <v>11.66</v>
      </c>
      <c r="E3889" s="1205">
        <f>'Civil-SOR'!$F$225</f>
        <v>11.66</v>
      </c>
      <c r="F3889" s="1205">
        <f>'Civil-SOR'!$F$225</f>
        <v>11.66</v>
      </c>
      <c r="G3889" s="1342"/>
      <c r="H3889" s="1298"/>
      <c r="I3889" s="1220"/>
      <c r="J3889" s="1817"/>
      <c r="K3889" s="1817"/>
      <c r="L3889" s="1817"/>
      <c r="M3889" s="1315"/>
      <c r="N3889" s="1315"/>
      <c r="O3889" s="1315"/>
      <c r="P3889" s="1315"/>
      <c r="Q3889" s="1315"/>
      <c r="R3889" s="1315"/>
      <c r="S3889" s="1315"/>
      <c r="T3889" s="1315"/>
      <c r="U3889" s="1315"/>
      <c r="V3889" s="1315"/>
      <c r="W3889" s="1315"/>
      <c r="X3889" s="1315"/>
      <c r="Y3889" s="1315"/>
      <c r="Z3889" s="1315"/>
      <c r="AA3889" s="1315"/>
      <c r="AB3889" s="1315"/>
      <c r="AC3889" s="1315"/>
      <c r="AD3889" s="1315"/>
      <c r="AE3889" s="1315"/>
      <c r="AF3889" s="1315"/>
      <c r="AG3889" s="1315"/>
      <c r="AH3889" s="1315"/>
      <c r="AI3889" s="1315"/>
      <c r="AJ3889" s="1315"/>
      <c r="AK3889" s="1315"/>
      <c r="AL3889" s="1315"/>
      <c r="AM3889" s="1315"/>
      <c r="AN3889" s="1315"/>
      <c r="AO3889" s="1315"/>
      <c r="AP3889" s="1315"/>
      <c r="AQ3889" s="1315"/>
      <c r="AR3889" s="1315"/>
      <c r="AS3889" s="1315"/>
      <c r="AT3889" s="1315"/>
      <c r="AU3889" s="1315"/>
      <c r="AV3889" s="1315"/>
      <c r="AW3889" s="1315"/>
      <c r="AX3889" s="1315"/>
      <c r="AY3889" s="1315"/>
      <c r="AZ3889" s="1315"/>
      <c r="BA3889" s="1315"/>
      <c r="BB3889" s="1315"/>
      <c r="BC3889" s="1315"/>
      <c r="BD3889" s="1315"/>
      <c r="BE3889" s="1315"/>
      <c r="BF3889" s="1315"/>
      <c r="BG3889" s="1315"/>
      <c r="BH3889" s="1315"/>
      <c r="BI3889" s="1315"/>
      <c r="BJ3889" s="1315"/>
      <c r="BK3889" s="1315"/>
      <c r="BL3889" s="1315"/>
    </row>
    <row r="3890" spans="1:64">
      <c r="A3890" s="1794"/>
      <c r="B3890" s="1798"/>
      <c r="C3890" s="1807" t="s">
        <v>1314</v>
      </c>
      <c r="D3890" s="1205">
        <f>'Civil-SOR'!$G$228</f>
        <v>342.42</v>
      </c>
      <c r="E3890" s="1205">
        <f>'Civil-SOR'!$G$229</f>
        <v>383.52</v>
      </c>
      <c r="F3890" s="1205">
        <f>'Civil-SOR'!$G$230</f>
        <v>424.84</v>
      </c>
      <c r="G3890" s="1342"/>
      <c r="H3890" s="1298"/>
      <c r="I3890" s="1220"/>
      <c r="J3890" s="1817"/>
      <c r="K3890" s="1817"/>
      <c r="L3890" s="1817"/>
      <c r="M3890" s="1315"/>
      <c r="N3890" s="1315"/>
      <c r="O3890" s="1315"/>
      <c r="P3890" s="1315"/>
      <c r="Q3890" s="1315"/>
      <c r="R3890" s="1315"/>
      <c r="S3890" s="1315"/>
      <c r="T3890" s="1315"/>
      <c r="U3890" s="1315"/>
      <c r="V3890" s="1315"/>
      <c r="W3890" s="1315"/>
      <c r="X3890" s="1315"/>
      <c r="Y3890" s="1315"/>
      <c r="Z3890" s="1315"/>
      <c r="AA3890" s="1315"/>
      <c r="AB3890" s="1315"/>
      <c r="AC3890" s="1315"/>
      <c r="AD3890" s="1315"/>
      <c r="AE3890" s="1315"/>
      <c r="AF3890" s="1315"/>
      <c r="AG3890" s="1315"/>
      <c r="AH3890" s="1315"/>
      <c r="AI3890" s="1315"/>
      <c r="AJ3890" s="1315"/>
      <c r="AK3890" s="1315"/>
      <c r="AL3890" s="1315"/>
      <c r="AM3890" s="1315"/>
      <c r="AN3890" s="1315"/>
      <c r="AO3890" s="1315"/>
      <c r="AP3890" s="1315"/>
      <c r="AQ3890" s="1315"/>
      <c r="AR3890" s="1315"/>
      <c r="AS3890" s="1315"/>
      <c r="AT3890" s="1315"/>
      <c r="AU3890" s="1315"/>
      <c r="AV3890" s="1315"/>
      <c r="AW3890" s="1315"/>
      <c r="AX3890" s="1315"/>
      <c r="AY3890" s="1315"/>
      <c r="AZ3890" s="1315"/>
      <c r="BA3890" s="1315"/>
      <c r="BB3890" s="1315"/>
      <c r="BC3890" s="1315"/>
      <c r="BD3890" s="1315"/>
      <c r="BE3890" s="1315"/>
      <c r="BF3890" s="1315"/>
      <c r="BG3890" s="1315"/>
      <c r="BH3890" s="1315"/>
      <c r="BI3890" s="1315"/>
      <c r="BJ3890" s="1315"/>
      <c r="BK3890" s="1315"/>
      <c r="BL3890" s="1315"/>
    </row>
    <row r="3891" spans="1:64">
      <c r="A3891" s="1794"/>
      <c r="B3891" s="1798"/>
      <c r="C3891" s="1807" t="str">
        <f>Input!$C$47</f>
        <v>Add for MA @ 40%</v>
      </c>
      <c r="D3891" s="1223">
        <f>D3890*Input!$D$47</f>
        <v>136.96800000000002</v>
      </c>
      <c r="E3891" s="1223">
        <f>E3890*Input!$D$47</f>
        <v>153.40799999999999</v>
      </c>
      <c r="F3891" s="1223">
        <f>F3890*Input!$D$47</f>
        <v>169.93600000000001</v>
      </c>
      <c r="G3891" s="1342"/>
      <c r="H3891" s="1298"/>
      <c r="I3891" s="1220"/>
      <c r="J3891" s="1817"/>
      <c r="K3891" s="1817"/>
      <c r="L3891" s="1817"/>
      <c r="M3891" s="1315"/>
      <c r="N3891" s="1315"/>
      <c r="O3891" s="1315"/>
      <c r="P3891" s="1315"/>
      <c r="Q3891" s="1315"/>
      <c r="R3891" s="1315"/>
      <c r="S3891" s="1315"/>
      <c r="T3891" s="1315"/>
      <c r="U3891" s="1315"/>
      <c r="V3891" s="1315"/>
      <c r="W3891" s="1315"/>
      <c r="X3891" s="1315"/>
      <c r="Y3891" s="1315"/>
      <c r="Z3891" s="1315"/>
      <c r="AA3891" s="1315"/>
      <c r="AB3891" s="1315"/>
      <c r="AC3891" s="1315"/>
      <c r="AD3891" s="1315"/>
      <c r="AE3891" s="1315"/>
      <c r="AF3891" s="1315"/>
      <c r="AG3891" s="1315"/>
      <c r="AH3891" s="1315"/>
      <c r="AI3891" s="1315"/>
      <c r="AJ3891" s="1315"/>
      <c r="AK3891" s="1315"/>
      <c r="AL3891" s="1315"/>
      <c r="AM3891" s="1315"/>
      <c r="AN3891" s="1315"/>
      <c r="AO3891" s="1315"/>
      <c r="AP3891" s="1315"/>
      <c r="AQ3891" s="1315"/>
      <c r="AR3891" s="1315"/>
      <c r="AS3891" s="1315"/>
      <c r="AT3891" s="1315"/>
      <c r="AU3891" s="1315"/>
      <c r="AV3891" s="1315"/>
      <c r="AW3891" s="1315"/>
      <c r="AX3891" s="1315"/>
      <c r="AY3891" s="1315"/>
      <c r="AZ3891" s="1315"/>
      <c r="BA3891" s="1315"/>
      <c r="BB3891" s="1315"/>
      <c r="BC3891" s="1315"/>
      <c r="BD3891" s="1315"/>
      <c r="BE3891" s="1315"/>
      <c r="BF3891" s="1315"/>
      <c r="BG3891" s="1315"/>
      <c r="BH3891" s="1315"/>
      <c r="BI3891" s="1315"/>
      <c r="BJ3891" s="1315"/>
      <c r="BK3891" s="1315"/>
      <c r="BL3891" s="1315"/>
    </row>
    <row r="3892" spans="1:64">
      <c r="A3892" s="1794"/>
      <c r="B3892" s="1798"/>
      <c r="C3892" s="1795" t="s">
        <v>1525</v>
      </c>
      <c r="D3892" s="1220">
        <f>SUM(D3888:D3891)</f>
        <v>1132.048</v>
      </c>
      <c r="E3892" s="1220">
        <f>SUM(E3888:E3891)</f>
        <v>1189.5879999999997</v>
      </c>
      <c r="F3892" s="1220">
        <f>SUM(F3888:F3891)</f>
        <v>1247.4359999999999</v>
      </c>
      <c r="G3892" s="1342"/>
      <c r="H3892" s="1298"/>
      <c r="I3892" s="1220"/>
      <c r="J3892" s="1817"/>
      <c r="K3892" s="1817"/>
      <c r="L3892" s="1817"/>
      <c r="M3892" s="1315"/>
      <c r="N3892" s="1315"/>
      <c r="O3892" s="1315"/>
      <c r="P3892" s="1315"/>
      <c r="Q3892" s="1315"/>
      <c r="R3892" s="1315"/>
      <c r="S3892" s="1315"/>
      <c r="T3892" s="1315"/>
      <c r="U3892" s="1315"/>
      <c r="V3892" s="1315"/>
      <c r="W3892" s="1315"/>
      <c r="X3892" s="1315"/>
      <c r="Y3892" s="1315"/>
      <c r="Z3892" s="1315"/>
      <c r="AA3892" s="1315"/>
      <c r="AB3892" s="1315"/>
      <c r="AC3892" s="1315"/>
      <c r="AD3892" s="1315"/>
      <c r="AE3892" s="1315"/>
      <c r="AF3892" s="1315"/>
      <c r="AG3892" s="1315"/>
      <c r="AH3892" s="1315"/>
      <c r="AI3892" s="1315"/>
      <c r="AJ3892" s="1315"/>
      <c r="AK3892" s="1315"/>
      <c r="AL3892" s="1315"/>
      <c r="AM3892" s="1315"/>
      <c r="AN3892" s="1315"/>
      <c r="AO3892" s="1315"/>
      <c r="AP3892" s="1315"/>
      <c r="AQ3892" s="1315"/>
      <c r="AR3892" s="1315"/>
      <c r="AS3892" s="1315"/>
      <c r="AT3892" s="1315"/>
      <c r="AU3892" s="1315"/>
      <c r="AV3892" s="1315"/>
      <c r="AW3892" s="1315"/>
      <c r="AX3892" s="1315"/>
      <c r="AY3892" s="1315"/>
      <c r="AZ3892" s="1315"/>
      <c r="BA3892" s="1315"/>
      <c r="BB3892" s="1315"/>
      <c r="BC3892" s="1315"/>
      <c r="BD3892" s="1315"/>
      <c r="BE3892" s="1315"/>
      <c r="BF3892" s="1315"/>
      <c r="BG3892" s="1315"/>
      <c r="BH3892" s="1315"/>
      <c r="BI3892" s="1315"/>
      <c r="BJ3892" s="1315"/>
      <c r="BK3892" s="1315"/>
      <c r="BL3892" s="1315"/>
    </row>
    <row r="3893" spans="1:64">
      <c r="A3893" s="1794"/>
      <c r="B3893" s="1798"/>
      <c r="C3893" s="1807" t="str">
        <f>Input!$C$48</f>
        <v>Overheads &amp; Contractors Profit @ 13.615%</v>
      </c>
      <c r="D3893" s="1200">
        <f>ROUND(D3892*Input!$D$48,2)</f>
        <v>154.13</v>
      </c>
      <c r="E3893" s="1200">
        <f>ROUND(E3892*Input!$D$48,2)</f>
        <v>161.96</v>
      </c>
      <c r="F3893" s="1200">
        <f>ROUND(F3892*Input!$D$48,2)</f>
        <v>169.84</v>
      </c>
      <c r="G3893" s="1342"/>
      <c r="H3893" s="1298"/>
      <c r="I3893" s="1220"/>
      <c r="J3893" s="1817"/>
      <c r="K3893" s="1817"/>
      <c r="L3893" s="1817"/>
      <c r="M3893" s="1315"/>
      <c r="N3893" s="1315"/>
      <c r="O3893" s="1315"/>
      <c r="P3893" s="1315"/>
      <c r="Q3893" s="1315"/>
      <c r="R3893" s="1315"/>
      <c r="S3893" s="1315"/>
      <c r="T3893" s="1315"/>
      <c r="U3893" s="1315"/>
      <c r="V3893" s="1315"/>
      <c r="W3893" s="1315"/>
      <c r="X3893" s="1315"/>
      <c r="Y3893" s="1315"/>
      <c r="Z3893" s="1315"/>
      <c r="AA3893" s="1315"/>
      <c r="AB3893" s="1315"/>
      <c r="AC3893" s="1315"/>
      <c r="AD3893" s="1315"/>
      <c r="AE3893" s="1315"/>
      <c r="AF3893" s="1315"/>
      <c r="AG3893" s="1315"/>
      <c r="AH3893" s="1315"/>
      <c r="AI3893" s="1315"/>
      <c r="AJ3893" s="1315"/>
      <c r="AK3893" s="1315"/>
      <c r="AL3893" s="1315"/>
      <c r="AM3893" s="1315"/>
      <c r="AN3893" s="1315"/>
      <c r="AO3893" s="1315"/>
      <c r="AP3893" s="1315"/>
      <c r="AQ3893" s="1315"/>
      <c r="AR3893" s="1315"/>
      <c r="AS3893" s="1315"/>
      <c r="AT3893" s="1315"/>
      <c r="AU3893" s="1315"/>
      <c r="AV3893" s="1315"/>
      <c r="AW3893" s="1315"/>
      <c r="AX3893" s="1315"/>
      <c r="AY3893" s="1315"/>
      <c r="AZ3893" s="1315"/>
      <c r="BA3893" s="1315"/>
      <c r="BB3893" s="1315"/>
      <c r="BC3893" s="1315"/>
      <c r="BD3893" s="1315"/>
      <c r="BE3893" s="1315"/>
      <c r="BF3893" s="1315"/>
      <c r="BG3893" s="1315"/>
      <c r="BH3893" s="1315"/>
      <c r="BI3893" s="1315"/>
      <c r="BJ3893" s="1315"/>
      <c r="BK3893" s="1315"/>
      <c r="BL3893" s="1315"/>
    </row>
    <row r="3894" spans="1:64">
      <c r="A3894" s="1794"/>
      <c r="B3894" s="1798"/>
      <c r="C3894" s="1795" t="s">
        <v>1045</v>
      </c>
      <c r="D3894" s="1201">
        <f>SUM(D3892:D3893)</f>
        <v>1286.1779999999999</v>
      </c>
      <c r="E3894" s="1201">
        <f>SUM(E3892:E3893)</f>
        <v>1351.5479999999998</v>
      </c>
      <c r="F3894" s="1201">
        <f>SUM(F3892:F3893)</f>
        <v>1417.2759999999998</v>
      </c>
      <c r="G3894" s="1342"/>
      <c r="H3894" s="1298"/>
      <c r="I3894" s="1220"/>
      <c r="J3894" s="1817"/>
      <c r="K3894" s="1817"/>
      <c r="L3894" s="1817"/>
      <c r="M3894" s="1315"/>
      <c r="N3894" s="1315"/>
      <c r="O3894" s="1315"/>
      <c r="P3894" s="1315"/>
      <c r="Q3894" s="1315"/>
      <c r="R3894" s="1315"/>
      <c r="S3894" s="1315"/>
      <c r="T3894" s="1315"/>
      <c r="U3894" s="1315"/>
      <c r="V3894" s="1315"/>
      <c r="W3894" s="1315"/>
      <c r="X3894" s="1315"/>
      <c r="Y3894" s="1315"/>
      <c r="Z3894" s="1315"/>
      <c r="AA3894" s="1315"/>
      <c r="AB3894" s="1315"/>
      <c r="AC3894" s="1315"/>
      <c r="AD3894" s="1315"/>
      <c r="AE3894" s="1315"/>
      <c r="AF3894" s="1315"/>
      <c r="AG3894" s="1315"/>
      <c r="AH3894" s="1315"/>
      <c r="AI3894" s="1315"/>
      <c r="AJ3894" s="1315"/>
      <c r="AK3894" s="1315"/>
      <c r="AL3894" s="1315"/>
      <c r="AM3894" s="1315"/>
      <c r="AN3894" s="1315"/>
      <c r="AO3894" s="1315"/>
      <c r="AP3894" s="1315"/>
      <c r="AQ3894" s="1315"/>
      <c r="AR3894" s="1315"/>
      <c r="AS3894" s="1315"/>
      <c r="AT3894" s="1315"/>
      <c r="AU3894" s="1315"/>
      <c r="AV3894" s="1315"/>
      <c r="AW3894" s="1315"/>
      <c r="AX3894" s="1315"/>
      <c r="AY3894" s="1315"/>
      <c r="AZ3894" s="1315"/>
      <c r="BA3894" s="1315"/>
      <c r="BB3894" s="1315"/>
      <c r="BC3894" s="1315"/>
      <c r="BD3894" s="1315"/>
      <c r="BE3894" s="1315"/>
      <c r="BF3894" s="1315"/>
      <c r="BG3894" s="1315"/>
      <c r="BH3894" s="1315"/>
      <c r="BI3894" s="1315"/>
      <c r="BJ3894" s="1315"/>
      <c r="BK3894" s="1315"/>
      <c r="BL3894" s="1315"/>
    </row>
    <row r="3895" spans="1:64">
      <c r="A3895" s="1794"/>
      <c r="B3895" s="1798"/>
      <c r="C3895" s="1231" t="s">
        <v>1034</v>
      </c>
      <c r="D3895" s="1225">
        <f>ROUND(D3894,0)</f>
        <v>1286</v>
      </c>
      <c r="E3895" s="1225">
        <f>ROUND(E3894,0)</f>
        <v>1352</v>
      </c>
      <c r="F3895" s="1225">
        <f>ROUND(F3894,0)</f>
        <v>1417</v>
      </c>
      <c r="G3895" s="1342"/>
      <c r="H3895" s="1298"/>
      <c r="I3895" s="1220"/>
      <c r="J3895" s="1817"/>
      <c r="K3895" s="1817"/>
      <c r="L3895" s="1817"/>
      <c r="M3895" s="1315"/>
      <c r="N3895" s="1315"/>
      <c r="O3895" s="1315"/>
      <c r="P3895" s="1315"/>
      <c r="Q3895" s="1315"/>
      <c r="R3895" s="1315"/>
      <c r="S3895" s="1315"/>
      <c r="T3895" s="1315"/>
      <c r="U3895" s="1315"/>
      <c r="V3895" s="1315"/>
      <c r="W3895" s="1315"/>
      <c r="X3895" s="1315"/>
      <c r="Y3895" s="1315"/>
      <c r="Z3895" s="1315"/>
      <c r="AA3895" s="1315"/>
      <c r="AB3895" s="1315"/>
      <c r="AC3895" s="1315"/>
      <c r="AD3895" s="1315"/>
      <c r="AE3895" s="1315"/>
      <c r="AF3895" s="1315"/>
      <c r="AG3895" s="1315"/>
      <c r="AH3895" s="1315"/>
      <c r="AI3895" s="1315"/>
      <c r="AJ3895" s="1315"/>
      <c r="AK3895" s="1315"/>
      <c r="AL3895" s="1315"/>
      <c r="AM3895" s="1315"/>
      <c r="AN3895" s="1315"/>
      <c r="AO3895" s="1315"/>
      <c r="AP3895" s="1315"/>
      <c r="AQ3895" s="1315"/>
      <c r="AR3895" s="1315"/>
      <c r="AS3895" s="1315"/>
      <c r="AT3895" s="1315"/>
      <c r="AU3895" s="1315"/>
      <c r="AV3895" s="1315"/>
      <c r="AW3895" s="1315"/>
      <c r="AX3895" s="1315"/>
      <c r="AY3895" s="1315"/>
      <c r="AZ3895" s="1315"/>
      <c r="BA3895" s="1315"/>
      <c r="BB3895" s="1315"/>
      <c r="BC3895" s="1315"/>
      <c r="BD3895" s="1315"/>
      <c r="BE3895" s="1315"/>
      <c r="BF3895" s="1315"/>
      <c r="BG3895" s="1315"/>
      <c r="BH3895" s="1315"/>
      <c r="BI3895" s="1315"/>
      <c r="BJ3895" s="1315"/>
      <c r="BK3895" s="1315"/>
      <c r="BL3895" s="1315"/>
    </row>
    <row r="3896" spans="1:64">
      <c r="A3896" s="1794"/>
      <c r="B3896" s="1798"/>
      <c r="C3896" s="1795"/>
      <c r="D3896" s="1281"/>
      <c r="E3896" s="1802"/>
      <c r="F3896" s="1283"/>
      <c r="G3896" s="1342"/>
      <c r="H3896" s="1298"/>
      <c r="I3896" s="1220"/>
      <c r="J3896" s="1817"/>
      <c r="K3896" s="1817"/>
      <c r="L3896" s="1817"/>
      <c r="M3896" s="1315"/>
      <c r="N3896" s="1315"/>
      <c r="O3896" s="1315"/>
      <c r="P3896" s="1315"/>
      <c r="Q3896" s="1315"/>
      <c r="R3896" s="1315"/>
      <c r="S3896" s="1315"/>
      <c r="T3896" s="1315"/>
      <c r="U3896" s="1315"/>
      <c r="V3896" s="1315"/>
      <c r="W3896" s="1315"/>
      <c r="X3896" s="1315"/>
      <c r="Y3896" s="1315"/>
      <c r="Z3896" s="1315"/>
      <c r="AA3896" s="1315"/>
      <c r="AB3896" s="1315"/>
      <c r="AC3896" s="1315"/>
      <c r="AD3896" s="1315"/>
      <c r="AE3896" s="1315"/>
      <c r="AF3896" s="1315"/>
      <c r="AG3896" s="1315"/>
      <c r="AH3896" s="1315"/>
      <c r="AI3896" s="1315"/>
      <c r="AJ3896" s="1315"/>
      <c r="AK3896" s="1315"/>
      <c r="AL3896" s="1315"/>
      <c r="AM3896" s="1315"/>
      <c r="AN3896" s="1315"/>
      <c r="AO3896" s="1315"/>
      <c r="AP3896" s="1315"/>
      <c r="AQ3896" s="1315"/>
      <c r="AR3896" s="1315"/>
      <c r="AS3896" s="1315"/>
      <c r="AT3896" s="1315"/>
      <c r="AU3896" s="1315"/>
      <c r="AV3896" s="1315"/>
      <c r="AW3896" s="1315"/>
      <c r="AX3896" s="1315"/>
      <c r="AY3896" s="1315"/>
      <c r="AZ3896" s="1315"/>
      <c r="BA3896" s="1315"/>
      <c r="BB3896" s="1315"/>
      <c r="BC3896" s="1315"/>
      <c r="BD3896" s="1315"/>
      <c r="BE3896" s="1315"/>
      <c r="BF3896" s="1315"/>
      <c r="BG3896" s="1315"/>
      <c r="BH3896" s="1315"/>
      <c r="BI3896" s="1315"/>
      <c r="BJ3896" s="1315"/>
      <c r="BK3896" s="1315"/>
      <c r="BL3896" s="1315"/>
    </row>
    <row r="3897" spans="1:64" ht="47.85" customHeight="1">
      <c r="A3897" s="1197">
        <f>A3873+1</f>
        <v>48</v>
      </c>
      <c r="B3897" s="1197"/>
      <c r="C3897" s="2006" t="s">
        <v>3453</v>
      </c>
      <c r="D3897" s="2006"/>
      <c r="E3897" s="2006"/>
      <c r="F3897" s="2006"/>
      <c r="G3897" s="2006"/>
      <c r="H3897" s="2006"/>
      <c r="I3897" s="1814"/>
      <c r="J3897" s="1846"/>
      <c r="K3897" s="1846"/>
      <c r="L3897" s="1846"/>
    </row>
    <row r="3898" spans="1:64">
      <c r="A3898" s="1197"/>
      <c r="B3898" s="1197"/>
      <c r="C3898" s="1198" t="s">
        <v>1526</v>
      </c>
      <c r="D3898" s="1228"/>
      <c r="E3898" s="1271"/>
      <c r="F3898" s="1223"/>
      <c r="G3898" s="1276"/>
      <c r="H3898" s="1273" t="str">
        <f>IF(E3898="","",IF(E3898="No.","Each",IF(E3898="Nos.","Each",E3898)))</f>
        <v/>
      </c>
      <c r="I3898" s="1205"/>
      <c r="J3898" s="1846"/>
      <c r="K3898" s="1846"/>
      <c r="L3898" s="1846"/>
    </row>
    <row r="3899" spans="1:64">
      <c r="A3899" s="1197"/>
      <c r="B3899" s="1197"/>
      <c r="C3899" s="1807" t="s">
        <v>1364</v>
      </c>
      <c r="D3899" s="1228"/>
      <c r="E3899" s="1271"/>
      <c r="F3899" s="1223"/>
      <c r="G3899" s="1276"/>
      <c r="H3899" s="1273"/>
      <c r="I3899" s="1205"/>
      <c r="J3899" s="1846"/>
      <c r="K3899" s="1846"/>
      <c r="L3899" s="1846"/>
    </row>
    <row r="3900" spans="1:64">
      <c r="A3900" s="1197"/>
      <c r="B3900" s="1197"/>
      <c r="C3900" s="1795" t="s">
        <v>1139</v>
      </c>
      <c r="D3900" s="1228"/>
      <c r="E3900" s="1271"/>
      <c r="F3900" s="1223"/>
      <c r="G3900" s="1276"/>
      <c r="H3900" s="1345"/>
      <c r="I3900" s="1223"/>
      <c r="J3900" s="1002"/>
      <c r="K3900" s="1002"/>
      <c r="L3900" s="1002"/>
      <c r="M3900" s="1003"/>
      <c r="N3900" s="1003"/>
      <c r="O3900" s="1003"/>
      <c r="P3900" s="1003"/>
      <c r="Q3900" s="1003"/>
      <c r="R3900" s="1003"/>
      <c r="S3900" s="1003"/>
      <c r="T3900" s="1003"/>
      <c r="U3900" s="1003"/>
      <c r="V3900" s="1003"/>
      <c r="W3900" s="1003"/>
      <c r="X3900" s="1003"/>
      <c r="Y3900" s="1003"/>
      <c r="Z3900" s="1003"/>
      <c r="AA3900" s="1003"/>
      <c r="AB3900" s="1003"/>
      <c r="AC3900" s="1003"/>
      <c r="AD3900" s="1003"/>
      <c r="AE3900" s="1003"/>
      <c r="AF3900" s="1003"/>
      <c r="AG3900" s="1003"/>
      <c r="AH3900" s="1003"/>
      <c r="AI3900" s="1003"/>
      <c r="AJ3900" s="1003"/>
      <c r="AK3900" s="1003"/>
      <c r="AL3900" s="1003"/>
      <c r="AM3900" s="1003"/>
      <c r="AN3900" s="1003"/>
      <c r="AO3900" s="1003"/>
      <c r="AP3900" s="1003"/>
      <c r="AQ3900" s="1003"/>
      <c r="AR3900" s="1003"/>
      <c r="AS3900" s="1003"/>
      <c r="AT3900" s="1003"/>
      <c r="AU3900" s="1003"/>
      <c r="AV3900" s="1003"/>
      <c r="AW3900" s="1003"/>
      <c r="AX3900" s="1003"/>
      <c r="AY3900" s="1003"/>
      <c r="AZ3900" s="1003"/>
      <c r="BA3900" s="1003"/>
      <c r="BB3900" s="1003"/>
      <c r="BC3900" s="1003"/>
      <c r="BD3900" s="1003"/>
      <c r="BE3900" s="1003"/>
      <c r="BF3900" s="1003"/>
      <c r="BG3900" s="1003"/>
      <c r="BH3900" s="1003"/>
      <c r="BI3900" s="1003"/>
      <c r="BJ3900" s="1003"/>
      <c r="BK3900" s="1003"/>
      <c r="BL3900" s="1003"/>
    </row>
    <row r="3901" spans="1:64">
      <c r="A3901" s="1197"/>
      <c r="B3901" s="1197"/>
      <c r="C3901" s="1807" t="s">
        <v>1527</v>
      </c>
      <c r="D3901" s="1228">
        <v>2</v>
      </c>
      <c r="E3901" s="1271" t="s">
        <v>1528</v>
      </c>
      <c r="F3901" s="1223">
        <f>'Civil-SOR'!$G$185</f>
        <v>34</v>
      </c>
      <c r="G3901" s="1272">
        <f>'Civil-SOR'!$H$185</f>
        <v>1</v>
      </c>
      <c r="H3901" s="1345" t="str">
        <f>IF(E3901="","",IF(E3901="No.","Each",IF(E3901="Nos.","Each",E3901)))</f>
        <v>kgs</v>
      </c>
      <c r="I3901" s="1223">
        <f>IF(G3901="",D3901*F3901,(D3901*F3901/G3901))</f>
        <v>68</v>
      </c>
      <c r="J3901" s="1002"/>
      <c r="K3901" s="1002"/>
      <c r="L3901" s="1002"/>
      <c r="M3901" s="1003"/>
      <c r="N3901" s="1003"/>
      <c r="O3901" s="1003"/>
      <c r="P3901" s="1003"/>
      <c r="Q3901" s="1003"/>
      <c r="R3901" s="1003"/>
      <c r="S3901" s="1003"/>
      <c r="T3901" s="1003"/>
      <c r="U3901" s="1003"/>
      <c r="V3901" s="1003"/>
      <c r="W3901" s="1003"/>
      <c r="X3901" s="1003"/>
      <c r="Y3901" s="1003"/>
      <c r="Z3901" s="1003"/>
      <c r="AA3901" s="1003"/>
      <c r="AB3901" s="1003"/>
      <c r="AC3901" s="1003"/>
      <c r="AD3901" s="1003"/>
      <c r="AE3901" s="1003"/>
      <c r="AF3901" s="1003"/>
      <c r="AG3901" s="1003"/>
      <c r="AH3901" s="1003"/>
      <c r="AI3901" s="1003"/>
      <c r="AJ3901" s="1003"/>
      <c r="AK3901" s="1003"/>
      <c r="AL3901" s="1003"/>
      <c r="AM3901" s="1003"/>
      <c r="AN3901" s="1003"/>
      <c r="AO3901" s="1003"/>
      <c r="AP3901" s="1003"/>
      <c r="AQ3901" s="1003"/>
      <c r="AR3901" s="1003"/>
      <c r="AS3901" s="1003"/>
      <c r="AT3901" s="1003"/>
      <c r="AU3901" s="1003"/>
      <c r="AV3901" s="1003"/>
      <c r="AW3901" s="1003"/>
      <c r="AX3901" s="1003"/>
      <c r="AY3901" s="1003"/>
      <c r="AZ3901" s="1003"/>
      <c r="BA3901" s="1003"/>
      <c r="BB3901" s="1003"/>
      <c r="BC3901" s="1003"/>
      <c r="BD3901" s="1003"/>
      <c r="BE3901" s="1003"/>
      <c r="BF3901" s="1003"/>
      <c r="BG3901" s="1003"/>
      <c r="BH3901" s="1003"/>
      <c r="BI3901" s="1003"/>
      <c r="BJ3901" s="1003"/>
      <c r="BK3901" s="1003"/>
      <c r="BL3901" s="1003"/>
    </row>
    <row r="3902" spans="1:64">
      <c r="A3902" s="1197"/>
      <c r="B3902" s="1197"/>
      <c r="C3902" s="1795" t="s">
        <v>1172</v>
      </c>
      <c r="D3902" s="1228"/>
      <c r="E3902" s="1271"/>
      <c r="F3902" s="1223"/>
      <c r="G3902" s="1276"/>
      <c r="H3902" s="1345"/>
      <c r="I3902" s="1223"/>
      <c r="J3902" s="1002"/>
      <c r="K3902" s="1002"/>
      <c r="L3902" s="1002"/>
      <c r="M3902" s="1003"/>
      <c r="N3902" s="1003"/>
      <c r="O3902" s="1003"/>
      <c r="P3902" s="1003"/>
      <c r="Q3902" s="1003"/>
      <c r="R3902" s="1003"/>
      <c r="S3902" s="1003"/>
      <c r="T3902" s="1003"/>
      <c r="U3902" s="1003"/>
      <c r="V3902" s="1003"/>
      <c r="W3902" s="1003"/>
      <c r="X3902" s="1003"/>
      <c r="Y3902" s="1003"/>
      <c r="Z3902" s="1003"/>
      <c r="AA3902" s="1003"/>
      <c r="AB3902" s="1003"/>
      <c r="AC3902" s="1003"/>
      <c r="AD3902" s="1003"/>
      <c r="AE3902" s="1003"/>
      <c r="AF3902" s="1003"/>
      <c r="AG3902" s="1003"/>
      <c r="AH3902" s="1003"/>
      <c r="AI3902" s="1003"/>
      <c r="AJ3902" s="1003"/>
      <c r="AK3902" s="1003"/>
      <c r="AL3902" s="1003"/>
      <c r="AM3902" s="1003"/>
      <c r="AN3902" s="1003"/>
      <c r="AO3902" s="1003"/>
      <c r="AP3902" s="1003"/>
      <c r="AQ3902" s="1003"/>
      <c r="AR3902" s="1003"/>
      <c r="AS3902" s="1003"/>
      <c r="AT3902" s="1003"/>
      <c r="AU3902" s="1003"/>
      <c r="AV3902" s="1003"/>
      <c r="AW3902" s="1003"/>
      <c r="AX3902" s="1003"/>
      <c r="AY3902" s="1003"/>
      <c r="AZ3902" s="1003"/>
      <c r="BA3902" s="1003"/>
      <c r="BB3902" s="1003"/>
      <c r="BC3902" s="1003"/>
      <c r="BD3902" s="1003"/>
      <c r="BE3902" s="1003"/>
      <c r="BF3902" s="1003"/>
      <c r="BG3902" s="1003"/>
      <c r="BH3902" s="1003"/>
      <c r="BI3902" s="1003"/>
      <c r="BJ3902" s="1003"/>
      <c r="BK3902" s="1003"/>
      <c r="BL3902" s="1003"/>
    </row>
    <row r="3903" spans="1:64">
      <c r="A3903" s="1197"/>
      <c r="B3903" s="1197"/>
      <c r="C3903" s="1807" t="s">
        <v>1529</v>
      </c>
      <c r="D3903" s="1276">
        <v>6.3E-2</v>
      </c>
      <c r="E3903" s="1271" t="s">
        <v>36</v>
      </c>
      <c r="F3903" s="1223">
        <f>'Civil-SOR'!$G$296</f>
        <v>665</v>
      </c>
      <c r="G3903" s="1276">
        <v>1</v>
      </c>
      <c r="H3903" s="1345" t="str">
        <f t="shared" ref="H3903:H3907" si="896">IF(E3903="","",IF(E3903="No.","Each",IF(E3903="Nos.","Each",E3903)))</f>
        <v>Each</v>
      </c>
      <c r="I3903" s="1223">
        <f t="shared" ref="I3903:I3906" si="897">IF(G3903="",D3903*F3903,(D3903*F3903/G3903))</f>
        <v>41.895000000000003</v>
      </c>
      <c r="J3903" s="1002"/>
      <c r="K3903" s="1002"/>
      <c r="L3903" s="1002"/>
      <c r="M3903" s="1003"/>
      <c r="N3903" s="1003"/>
      <c r="O3903" s="1003"/>
      <c r="P3903" s="1003"/>
      <c r="Q3903" s="1003"/>
      <c r="R3903" s="1003"/>
      <c r="S3903" s="1003"/>
      <c r="T3903" s="1003"/>
      <c r="U3903" s="1003"/>
      <c r="V3903" s="1003"/>
      <c r="W3903" s="1003"/>
      <c r="X3903" s="1003"/>
      <c r="Y3903" s="1003"/>
      <c r="Z3903" s="1003"/>
      <c r="AA3903" s="1003"/>
      <c r="AB3903" s="1003"/>
      <c r="AC3903" s="1003"/>
      <c r="AD3903" s="1003"/>
      <c r="AE3903" s="1003"/>
      <c r="AF3903" s="1003"/>
      <c r="AG3903" s="1003"/>
      <c r="AH3903" s="1003"/>
      <c r="AI3903" s="1003"/>
      <c r="AJ3903" s="1003"/>
      <c r="AK3903" s="1003"/>
      <c r="AL3903" s="1003"/>
      <c r="AM3903" s="1003"/>
      <c r="AN3903" s="1003"/>
      <c r="AO3903" s="1003"/>
      <c r="AP3903" s="1003"/>
      <c r="AQ3903" s="1003"/>
      <c r="AR3903" s="1003"/>
      <c r="AS3903" s="1003"/>
      <c r="AT3903" s="1003"/>
      <c r="AU3903" s="1003"/>
      <c r="AV3903" s="1003"/>
      <c r="AW3903" s="1003"/>
      <c r="AX3903" s="1003"/>
      <c r="AY3903" s="1003"/>
      <c r="AZ3903" s="1003"/>
      <c r="BA3903" s="1003"/>
      <c r="BB3903" s="1003"/>
      <c r="BC3903" s="1003"/>
      <c r="BD3903" s="1003"/>
      <c r="BE3903" s="1003"/>
      <c r="BF3903" s="1003"/>
      <c r="BG3903" s="1003"/>
      <c r="BH3903" s="1003"/>
      <c r="BI3903" s="1003"/>
      <c r="BJ3903" s="1003"/>
      <c r="BK3903" s="1003"/>
      <c r="BL3903" s="1003"/>
    </row>
    <row r="3904" spans="1:64">
      <c r="A3904" s="1197"/>
      <c r="B3904" s="1197"/>
      <c r="C3904" s="1807" t="s">
        <v>1530</v>
      </c>
      <c r="D3904" s="1276">
        <v>0.14699999999999999</v>
      </c>
      <c r="E3904" s="1271" t="s">
        <v>36</v>
      </c>
      <c r="F3904" s="1223">
        <f>'Civil-SOR'!$G$303</f>
        <v>550</v>
      </c>
      <c r="G3904" s="1276">
        <v>1</v>
      </c>
      <c r="H3904" s="1345" t="str">
        <f t="shared" si="896"/>
        <v>Each</v>
      </c>
      <c r="I3904" s="1223">
        <f t="shared" si="897"/>
        <v>80.849999999999994</v>
      </c>
      <c r="J3904" s="1002"/>
      <c r="K3904" s="1002"/>
      <c r="L3904" s="1002"/>
      <c r="M3904" s="1003"/>
      <c r="N3904" s="1003"/>
      <c r="O3904" s="1003"/>
      <c r="P3904" s="1003"/>
      <c r="Q3904" s="1003"/>
      <c r="R3904" s="1003"/>
      <c r="S3904" s="1003"/>
      <c r="T3904" s="1003"/>
      <c r="U3904" s="1003"/>
      <c r="V3904" s="1003"/>
      <c r="W3904" s="1003"/>
      <c r="X3904" s="1003"/>
      <c r="Y3904" s="1003"/>
      <c r="Z3904" s="1003"/>
      <c r="AA3904" s="1003"/>
      <c r="AB3904" s="1003"/>
      <c r="AC3904" s="1003"/>
      <c r="AD3904" s="1003"/>
      <c r="AE3904" s="1003"/>
      <c r="AF3904" s="1003"/>
      <c r="AG3904" s="1003"/>
      <c r="AH3904" s="1003"/>
      <c r="AI3904" s="1003"/>
      <c r="AJ3904" s="1003"/>
      <c r="AK3904" s="1003"/>
      <c r="AL3904" s="1003"/>
      <c r="AM3904" s="1003"/>
      <c r="AN3904" s="1003"/>
      <c r="AO3904" s="1003"/>
      <c r="AP3904" s="1003"/>
      <c r="AQ3904" s="1003"/>
      <c r="AR3904" s="1003"/>
      <c r="AS3904" s="1003"/>
      <c r="AT3904" s="1003"/>
      <c r="AU3904" s="1003"/>
      <c r="AV3904" s="1003"/>
      <c r="AW3904" s="1003"/>
      <c r="AX3904" s="1003"/>
      <c r="AY3904" s="1003"/>
      <c r="AZ3904" s="1003"/>
      <c r="BA3904" s="1003"/>
      <c r="BB3904" s="1003"/>
      <c r="BC3904" s="1003"/>
      <c r="BD3904" s="1003"/>
      <c r="BE3904" s="1003"/>
      <c r="BF3904" s="1003"/>
      <c r="BG3904" s="1003"/>
      <c r="BH3904" s="1003"/>
      <c r="BI3904" s="1003"/>
      <c r="BJ3904" s="1003"/>
      <c r="BK3904" s="1003"/>
      <c r="BL3904" s="1003"/>
    </row>
    <row r="3905" spans="1:64">
      <c r="A3905" s="1197"/>
      <c r="B3905" s="1197"/>
      <c r="C3905" s="1807" t="s">
        <v>1031</v>
      </c>
      <c r="D3905" s="1276">
        <v>0.32</v>
      </c>
      <c r="E3905" s="1271" t="s">
        <v>36</v>
      </c>
      <c r="F3905" s="1223">
        <f>'Civil-SOR'!$G$307</f>
        <v>520</v>
      </c>
      <c r="G3905" s="1276">
        <v>1</v>
      </c>
      <c r="H3905" s="1345" t="str">
        <f t="shared" si="896"/>
        <v>Each</v>
      </c>
      <c r="I3905" s="1223">
        <f t="shared" si="897"/>
        <v>166.4</v>
      </c>
      <c r="J3905" s="1002"/>
      <c r="K3905" s="1002"/>
      <c r="L3905" s="1002"/>
      <c r="M3905" s="1003"/>
      <c r="N3905" s="1003"/>
      <c r="O3905" s="1003"/>
      <c r="P3905" s="1003"/>
      <c r="Q3905" s="1003"/>
      <c r="R3905" s="1003"/>
      <c r="S3905" s="1003"/>
      <c r="T3905" s="1003"/>
      <c r="U3905" s="1003"/>
      <c r="V3905" s="1003"/>
      <c r="W3905" s="1003"/>
      <c r="X3905" s="1003"/>
      <c r="Y3905" s="1003"/>
      <c r="Z3905" s="1003"/>
      <c r="AA3905" s="1003"/>
      <c r="AB3905" s="1003"/>
      <c r="AC3905" s="1003"/>
      <c r="AD3905" s="1003"/>
      <c r="AE3905" s="1003"/>
      <c r="AF3905" s="1003"/>
      <c r="AG3905" s="1003"/>
      <c r="AH3905" s="1003"/>
      <c r="AI3905" s="1003"/>
      <c r="AJ3905" s="1003"/>
      <c r="AK3905" s="1003"/>
      <c r="AL3905" s="1003"/>
      <c r="AM3905" s="1003"/>
      <c r="AN3905" s="1003"/>
      <c r="AO3905" s="1003"/>
      <c r="AP3905" s="1003"/>
      <c r="AQ3905" s="1003"/>
      <c r="AR3905" s="1003"/>
      <c r="AS3905" s="1003"/>
      <c r="AT3905" s="1003"/>
      <c r="AU3905" s="1003"/>
      <c r="AV3905" s="1003"/>
      <c r="AW3905" s="1003"/>
      <c r="AX3905" s="1003"/>
      <c r="AY3905" s="1003"/>
      <c r="AZ3905" s="1003"/>
      <c r="BA3905" s="1003"/>
      <c r="BB3905" s="1003"/>
      <c r="BC3905" s="1003"/>
      <c r="BD3905" s="1003"/>
      <c r="BE3905" s="1003"/>
      <c r="BF3905" s="1003"/>
      <c r="BG3905" s="1003"/>
      <c r="BH3905" s="1003"/>
      <c r="BI3905" s="1003"/>
      <c r="BJ3905" s="1003"/>
      <c r="BK3905" s="1003"/>
      <c r="BL3905" s="1003"/>
    </row>
    <row r="3906" spans="1:64">
      <c r="A3906" s="1197"/>
      <c r="B3906" s="1197"/>
      <c r="C3906" s="1807" t="str">
        <f>Input!$C$47</f>
        <v>Add for MA @ 40%</v>
      </c>
      <c r="D3906" s="1277">
        <f>Input!$D$47</f>
        <v>0.4</v>
      </c>
      <c r="E3906" s="1276"/>
      <c r="F3906" s="1223">
        <f>SUM(I3903:I3905)</f>
        <v>289.14499999999998</v>
      </c>
      <c r="G3906" s="1332"/>
      <c r="H3906" s="1279" t="str">
        <f t="shared" si="896"/>
        <v/>
      </c>
      <c r="I3906" s="1223">
        <f t="shared" si="897"/>
        <v>115.658</v>
      </c>
      <c r="J3906" s="1002"/>
      <c r="K3906" s="1002"/>
      <c r="L3906" s="1002"/>
      <c r="M3906" s="1003"/>
      <c r="N3906" s="1003"/>
      <c r="O3906" s="1003"/>
      <c r="P3906" s="1003"/>
      <c r="Q3906" s="1003"/>
      <c r="R3906" s="1003"/>
      <c r="S3906" s="1003"/>
      <c r="T3906" s="1003"/>
      <c r="U3906" s="1003"/>
      <c r="V3906" s="1003"/>
      <c r="W3906" s="1003"/>
      <c r="X3906" s="1003"/>
      <c r="Y3906" s="1003"/>
      <c r="Z3906" s="1003"/>
      <c r="AA3906" s="1003"/>
      <c r="AB3906" s="1003"/>
      <c r="AC3906" s="1003"/>
      <c r="AD3906" s="1003"/>
      <c r="AE3906" s="1003"/>
      <c r="AF3906" s="1003"/>
      <c r="AG3906" s="1003"/>
      <c r="AH3906" s="1003"/>
      <c r="AI3906" s="1003"/>
      <c r="AJ3906" s="1003"/>
      <c r="AK3906" s="1003"/>
      <c r="AL3906" s="1003"/>
      <c r="AM3906" s="1003"/>
      <c r="AN3906" s="1003"/>
      <c r="AO3906" s="1003"/>
      <c r="AP3906" s="1003"/>
      <c r="AQ3906" s="1003"/>
      <c r="AR3906" s="1003"/>
      <c r="AS3906" s="1003"/>
      <c r="AT3906" s="1003"/>
      <c r="AU3906" s="1003"/>
      <c r="AV3906" s="1003"/>
      <c r="AW3906" s="1003"/>
      <c r="AX3906" s="1003"/>
      <c r="AY3906" s="1003"/>
      <c r="AZ3906" s="1003"/>
      <c r="BA3906" s="1003"/>
      <c r="BB3906" s="1003"/>
      <c r="BC3906" s="1003"/>
      <c r="BD3906" s="1003"/>
      <c r="BE3906" s="1003"/>
      <c r="BF3906" s="1003"/>
      <c r="BG3906" s="1003"/>
      <c r="BH3906" s="1003"/>
      <c r="BI3906" s="1003"/>
      <c r="BJ3906" s="1003"/>
      <c r="BK3906" s="1003"/>
      <c r="BL3906" s="1003"/>
    </row>
    <row r="3907" spans="1:64" ht="25.5">
      <c r="A3907" s="1197"/>
      <c r="B3907" s="1197"/>
      <c r="C3907" s="1807" t="s">
        <v>1531</v>
      </c>
      <c r="D3907" s="1346">
        <v>0.01</v>
      </c>
      <c r="E3907" s="1271"/>
      <c r="F3907" s="1223">
        <f>SUM(I3901:I3906)</f>
        <v>472.803</v>
      </c>
      <c r="G3907" s="1276"/>
      <c r="H3907" s="1345" t="str">
        <f t="shared" si="896"/>
        <v/>
      </c>
      <c r="I3907" s="1223"/>
      <c r="J3907" s="1002"/>
      <c r="K3907" s="1002"/>
      <c r="L3907" s="1002"/>
      <c r="M3907" s="1003"/>
      <c r="N3907" s="1003"/>
      <c r="O3907" s="1003"/>
      <c r="P3907" s="1003"/>
      <c r="Q3907" s="1003"/>
      <c r="R3907" s="1003"/>
      <c r="S3907" s="1003"/>
      <c r="T3907" s="1003"/>
      <c r="U3907" s="1003"/>
      <c r="V3907" s="1003"/>
      <c r="W3907" s="1003"/>
      <c r="X3907" s="1003"/>
      <c r="Y3907" s="1003"/>
      <c r="Z3907" s="1003"/>
      <c r="AA3907" s="1003"/>
      <c r="AB3907" s="1003"/>
      <c r="AC3907" s="1003"/>
      <c r="AD3907" s="1003"/>
      <c r="AE3907" s="1003"/>
      <c r="AF3907" s="1003"/>
      <c r="AG3907" s="1003"/>
      <c r="AH3907" s="1003"/>
      <c r="AI3907" s="1003"/>
      <c r="AJ3907" s="1003"/>
      <c r="AK3907" s="1003"/>
      <c r="AL3907" s="1003"/>
      <c r="AM3907" s="1003"/>
      <c r="AN3907" s="1003"/>
      <c r="AO3907" s="1003"/>
      <c r="AP3907" s="1003"/>
      <c r="AQ3907" s="1003"/>
      <c r="AR3907" s="1003"/>
      <c r="AS3907" s="1003"/>
      <c r="AT3907" s="1003"/>
      <c r="AU3907" s="1003"/>
      <c r="AV3907" s="1003"/>
      <c r="AW3907" s="1003"/>
      <c r="AX3907" s="1003"/>
      <c r="AY3907" s="1003"/>
      <c r="AZ3907" s="1003"/>
      <c r="BA3907" s="1003"/>
      <c r="BB3907" s="1003"/>
      <c r="BC3907" s="1003"/>
      <c r="BD3907" s="1003"/>
      <c r="BE3907" s="1003"/>
      <c r="BF3907" s="1003"/>
      <c r="BG3907" s="1003"/>
      <c r="BH3907" s="1003"/>
      <c r="BI3907" s="1003"/>
      <c r="BJ3907" s="1003"/>
      <c r="BK3907" s="1003"/>
      <c r="BL3907" s="1003"/>
    </row>
    <row r="3908" spans="1:64">
      <c r="A3908" s="1197"/>
      <c r="B3908" s="1197"/>
      <c r="C3908" s="1795" t="s">
        <v>1044</v>
      </c>
      <c r="D3908" s="1276"/>
      <c r="E3908" s="1271"/>
      <c r="F3908" s="1223"/>
      <c r="G3908" s="1276"/>
      <c r="H3908" s="1298"/>
      <c r="I3908" s="1220">
        <f>SUM(I3901:I3907)</f>
        <v>472.803</v>
      </c>
      <c r="J3908" s="1002"/>
      <c r="K3908" s="1002"/>
      <c r="L3908" s="1002"/>
      <c r="M3908" s="1003"/>
      <c r="N3908" s="1003"/>
      <c r="O3908" s="1003"/>
      <c r="P3908" s="1003"/>
      <c r="Q3908" s="1003"/>
      <c r="R3908" s="1003"/>
      <c r="S3908" s="1003"/>
      <c r="T3908" s="1003"/>
      <c r="U3908" s="1003"/>
      <c r="V3908" s="1003"/>
      <c r="W3908" s="1003"/>
      <c r="X3908" s="1003"/>
      <c r="Y3908" s="1003"/>
      <c r="Z3908" s="1003"/>
      <c r="AA3908" s="1003"/>
      <c r="AB3908" s="1003"/>
      <c r="AC3908" s="1003"/>
      <c r="AD3908" s="1003"/>
      <c r="AE3908" s="1003"/>
      <c r="AF3908" s="1003"/>
      <c r="AG3908" s="1003"/>
      <c r="AH3908" s="1003"/>
      <c r="AI3908" s="1003"/>
      <c r="AJ3908" s="1003"/>
      <c r="AK3908" s="1003"/>
      <c r="AL3908" s="1003"/>
      <c r="AM3908" s="1003"/>
      <c r="AN3908" s="1003"/>
      <c r="AO3908" s="1003"/>
      <c r="AP3908" s="1003"/>
      <c r="AQ3908" s="1003"/>
      <c r="AR3908" s="1003"/>
      <c r="AS3908" s="1003"/>
      <c r="AT3908" s="1003"/>
      <c r="AU3908" s="1003"/>
      <c r="AV3908" s="1003"/>
      <c r="AW3908" s="1003"/>
      <c r="AX3908" s="1003"/>
      <c r="AY3908" s="1003"/>
      <c r="AZ3908" s="1003"/>
      <c r="BA3908" s="1003"/>
      <c r="BB3908" s="1003"/>
      <c r="BC3908" s="1003"/>
      <c r="BD3908" s="1003"/>
      <c r="BE3908" s="1003"/>
      <c r="BF3908" s="1003"/>
      <c r="BG3908" s="1003"/>
      <c r="BH3908" s="1003"/>
      <c r="BI3908" s="1003"/>
      <c r="BJ3908" s="1003"/>
      <c r="BK3908" s="1003"/>
      <c r="BL3908" s="1003"/>
    </row>
    <row r="3909" spans="1:64">
      <c r="A3909" s="1197"/>
      <c r="B3909" s="1197"/>
      <c r="C3909" s="1807" t="str">
        <f>Input!$C$48</f>
        <v>Overheads &amp; Contractors Profit @ 13.615%</v>
      </c>
      <c r="D3909" s="1344">
        <f>Input!$D$48</f>
        <v>0.13614999999999999</v>
      </c>
      <c r="E3909" s="1297"/>
      <c r="F3909" s="1223">
        <f>I3908</f>
        <v>472.803</v>
      </c>
      <c r="G3909" s="1272"/>
      <c r="H3909" s="1332"/>
      <c r="I3909" s="1223">
        <f>IF(G3909="",D3909*F3909,(D3909*F3909/G3909))</f>
        <v>64.372128449999991</v>
      </c>
      <c r="J3909" s="1002"/>
      <c r="K3909" s="1002"/>
      <c r="L3909" s="1002"/>
      <c r="M3909" s="1003"/>
      <c r="N3909" s="1003"/>
      <c r="O3909" s="1003"/>
      <c r="P3909" s="1003"/>
      <c r="Q3909" s="1003"/>
      <c r="R3909" s="1003"/>
      <c r="S3909" s="1003"/>
      <c r="T3909" s="1003"/>
      <c r="U3909" s="1003"/>
      <c r="V3909" s="1003"/>
      <c r="W3909" s="1003"/>
      <c r="X3909" s="1003"/>
      <c r="Y3909" s="1003"/>
      <c r="Z3909" s="1003"/>
      <c r="AA3909" s="1003"/>
      <c r="AB3909" s="1003"/>
      <c r="AC3909" s="1003"/>
      <c r="AD3909" s="1003"/>
      <c r="AE3909" s="1003"/>
      <c r="AF3909" s="1003"/>
      <c r="AG3909" s="1003"/>
      <c r="AH3909" s="1003"/>
      <c r="AI3909" s="1003"/>
      <c r="AJ3909" s="1003"/>
      <c r="AK3909" s="1003"/>
      <c r="AL3909" s="1003"/>
      <c r="AM3909" s="1003"/>
      <c r="AN3909" s="1003"/>
      <c r="AO3909" s="1003"/>
      <c r="AP3909" s="1003"/>
      <c r="AQ3909" s="1003"/>
      <c r="AR3909" s="1003"/>
      <c r="AS3909" s="1003"/>
      <c r="AT3909" s="1003"/>
      <c r="AU3909" s="1003"/>
      <c r="AV3909" s="1003"/>
      <c r="AW3909" s="1003"/>
      <c r="AX3909" s="1003"/>
      <c r="AY3909" s="1003"/>
      <c r="AZ3909" s="1003"/>
      <c r="BA3909" s="1003"/>
      <c r="BB3909" s="1003"/>
      <c r="BC3909" s="1003"/>
      <c r="BD3909" s="1003"/>
      <c r="BE3909" s="1003"/>
      <c r="BF3909" s="1003"/>
      <c r="BG3909" s="1003"/>
      <c r="BH3909" s="1003"/>
      <c r="BI3909" s="1003"/>
      <c r="BJ3909" s="1003"/>
      <c r="BK3909" s="1003"/>
      <c r="BL3909" s="1003"/>
    </row>
    <row r="3910" spans="1:64">
      <c r="A3910" s="1197"/>
      <c r="B3910" s="1197"/>
      <c r="C3910" s="1795" t="s">
        <v>1044</v>
      </c>
      <c r="D3910" s="1332"/>
      <c r="E3910" s="1332"/>
      <c r="F3910" s="1798"/>
      <c r="G3910" s="1332"/>
      <c r="H3910" s="1332"/>
      <c r="I3910" s="1347">
        <f>SUM(I3908:I3909)</f>
        <v>537.17512844999999</v>
      </c>
      <c r="J3910" s="1002"/>
      <c r="K3910" s="1002"/>
      <c r="L3910" s="1002"/>
      <c r="M3910" s="1003"/>
      <c r="N3910" s="1003"/>
      <c r="O3910" s="1003"/>
      <c r="P3910" s="1003"/>
      <c r="Q3910" s="1003"/>
      <c r="R3910" s="1003"/>
      <c r="S3910" s="1003"/>
      <c r="T3910" s="1003"/>
      <c r="U3910" s="1003"/>
      <c r="V3910" s="1003"/>
      <c r="W3910" s="1003"/>
      <c r="X3910" s="1003"/>
      <c r="Y3910" s="1003"/>
      <c r="Z3910" s="1003"/>
      <c r="AA3910" s="1003"/>
      <c r="AB3910" s="1003"/>
      <c r="AC3910" s="1003"/>
      <c r="AD3910" s="1003"/>
      <c r="AE3910" s="1003"/>
      <c r="AF3910" s="1003"/>
      <c r="AG3910" s="1003"/>
      <c r="AH3910" s="1003"/>
      <c r="AI3910" s="1003"/>
      <c r="AJ3910" s="1003"/>
      <c r="AK3910" s="1003"/>
      <c r="AL3910" s="1003"/>
      <c r="AM3910" s="1003"/>
      <c r="AN3910" s="1003"/>
      <c r="AO3910" s="1003"/>
      <c r="AP3910" s="1003"/>
      <c r="AQ3910" s="1003"/>
      <c r="AR3910" s="1003"/>
      <c r="AS3910" s="1003"/>
      <c r="AT3910" s="1003"/>
      <c r="AU3910" s="1003"/>
      <c r="AV3910" s="1003"/>
      <c r="AW3910" s="1003"/>
      <c r="AX3910" s="1003"/>
      <c r="AY3910" s="1003"/>
      <c r="AZ3910" s="1003"/>
      <c r="BA3910" s="1003"/>
      <c r="BB3910" s="1003"/>
      <c r="BC3910" s="1003"/>
      <c r="BD3910" s="1003"/>
      <c r="BE3910" s="1003"/>
      <c r="BF3910" s="1003"/>
      <c r="BG3910" s="1003"/>
      <c r="BH3910" s="1003"/>
      <c r="BI3910" s="1003"/>
      <c r="BJ3910" s="1003"/>
      <c r="BK3910" s="1003"/>
      <c r="BL3910" s="1003"/>
    </row>
    <row r="3911" spans="1:64">
      <c r="A3911" s="1197"/>
      <c r="B3911" s="1197"/>
      <c r="C3911" s="1795" t="s">
        <v>1045</v>
      </c>
      <c r="D3911" s="1332"/>
      <c r="E3911" s="1332"/>
      <c r="F3911" s="1798"/>
      <c r="G3911" s="1332"/>
      <c r="H3911" s="1332"/>
      <c r="I3911" s="1347">
        <f>I3910/10</f>
        <v>53.717512845000002</v>
      </c>
      <c r="J3911" s="1002"/>
      <c r="K3911" s="1002"/>
      <c r="L3911" s="1002"/>
      <c r="M3911" s="1003"/>
      <c r="N3911" s="1003"/>
      <c r="O3911" s="1003"/>
      <c r="P3911" s="1003"/>
      <c r="Q3911" s="1003"/>
      <c r="R3911" s="1003"/>
      <c r="S3911" s="1003"/>
      <c r="T3911" s="1003"/>
      <c r="U3911" s="1003"/>
      <c r="V3911" s="1003"/>
      <c r="W3911" s="1003"/>
      <c r="X3911" s="1003"/>
      <c r="Y3911" s="1003"/>
      <c r="Z3911" s="1003"/>
      <c r="AA3911" s="1003"/>
      <c r="AB3911" s="1003"/>
      <c r="AC3911" s="1003"/>
      <c r="AD3911" s="1003"/>
      <c r="AE3911" s="1003"/>
      <c r="AF3911" s="1003"/>
      <c r="AG3911" s="1003"/>
      <c r="AH3911" s="1003"/>
      <c r="AI3911" s="1003"/>
      <c r="AJ3911" s="1003"/>
      <c r="AK3911" s="1003"/>
      <c r="AL3911" s="1003"/>
      <c r="AM3911" s="1003"/>
      <c r="AN3911" s="1003"/>
      <c r="AO3911" s="1003"/>
      <c r="AP3911" s="1003"/>
      <c r="AQ3911" s="1003"/>
      <c r="AR3911" s="1003"/>
      <c r="AS3911" s="1003"/>
      <c r="AT3911" s="1003"/>
      <c r="AU3911" s="1003"/>
      <c r="AV3911" s="1003"/>
      <c r="AW3911" s="1003"/>
      <c r="AX3911" s="1003"/>
      <c r="AY3911" s="1003"/>
      <c r="AZ3911" s="1003"/>
      <c r="BA3911" s="1003"/>
      <c r="BB3911" s="1003"/>
      <c r="BC3911" s="1003"/>
      <c r="BD3911" s="1003"/>
      <c r="BE3911" s="1003"/>
      <c r="BF3911" s="1003"/>
      <c r="BG3911" s="1003"/>
      <c r="BH3911" s="1003"/>
      <c r="BI3911" s="1003"/>
      <c r="BJ3911" s="1003"/>
      <c r="BK3911" s="1003"/>
      <c r="BL3911" s="1003"/>
    </row>
    <row r="3912" spans="1:64">
      <c r="A3912" s="1802"/>
      <c r="B3912" s="1802"/>
      <c r="C3912" s="1815"/>
      <c r="D3912" s="1348"/>
      <c r="E3912" s="1282"/>
      <c r="F3912" s="1283"/>
      <c r="G3912" s="1348"/>
      <c r="H3912" s="1349" t="s">
        <v>1532</v>
      </c>
      <c r="I3912" s="1218">
        <f>ROUND(I3911,0)</f>
        <v>54</v>
      </c>
      <c r="J3912" s="996"/>
      <c r="K3912" s="996"/>
      <c r="L3912" s="996"/>
      <c r="M3912" s="997"/>
      <c r="N3912" s="997"/>
      <c r="O3912" s="997"/>
      <c r="P3912" s="997"/>
      <c r="Q3912" s="997"/>
      <c r="R3912" s="997"/>
      <c r="S3912" s="997"/>
      <c r="T3912" s="997"/>
      <c r="U3912" s="997"/>
      <c r="V3912" s="997"/>
      <c r="W3912" s="997"/>
      <c r="X3912" s="997"/>
      <c r="Y3912" s="997"/>
      <c r="Z3912" s="997"/>
      <c r="AA3912" s="997"/>
      <c r="AB3912" s="997"/>
      <c r="AC3912" s="997"/>
      <c r="AD3912" s="997"/>
      <c r="AE3912" s="997"/>
      <c r="AF3912" s="997"/>
      <c r="AG3912" s="997"/>
      <c r="AH3912" s="997"/>
      <c r="AI3912" s="997"/>
      <c r="AJ3912" s="997"/>
      <c r="AK3912" s="997"/>
      <c r="AL3912" s="997"/>
      <c r="AM3912" s="997"/>
      <c r="AN3912" s="997"/>
      <c r="AO3912" s="997"/>
      <c r="AP3912" s="997"/>
      <c r="AQ3912" s="997"/>
      <c r="AR3912" s="997"/>
      <c r="AS3912" s="997"/>
      <c r="AT3912" s="997"/>
      <c r="AU3912" s="997"/>
      <c r="AV3912" s="997"/>
      <c r="AW3912" s="997"/>
      <c r="AX3912" s="997"/>
      <c r="AY3912" s="997"/>
      <c r="AZ3912" s="997"/>
      <c r="BA3912" s="997"/>
      <c r="BB3912" s="997"/>
      <c r="BC3912" s="997"/>
      <c r="BD3912" s="997"/>
      <c r="BE3912" s="997"/>
      <c r="BF3912" s="997"/>
      <c r="BG3912" s="997"/>
      <c r="BH3912" s="997"/>
      <c r="BI3912" s="997"/>
      <c r="BJ3912" s="997"/>
      <c r="BK3912" s="997"/>
      <c r="BL3912" s="997"/>
    </row>
    <row r="3913" spans="1:64">
      <c r="A3913" s="1798"/>
      <c r="B3913" s="1798"/>
      <c r="C3913" s="1807"/>
      <c r="D3913" s="1207"/>
      <c r="E3913" s="1350"/>
      <c r="F3913" s="1223"/>
      <c r="G3913" s="1207"/>
      <c r="H3913" s="1350"/>
      <c r="I3913" s="1205"/>
      <c r="J3913" s="1846"/>
      <c r="K3913" s="1846"/>
      <c r="L3913" s="1846"/>
    </row>
    <row r="3914" spans="1:64" ht="81.400000000000006" customHeight="1">
      <c r="A3914" s="1798">
        <f>1+A3897</f>
        <v>49</v>
      </c>
      <c r="B3914" s="1798"/>
      <c r="C3914" s="2022" t="s">
        <v>3454</v>
      </c>
      <c r="D3914" s="2022"/>
      <c r="E3914" s="2022"/>
      <c r="F3914" s="2022"/>
      <c r="G3914" s="2022"/>
      <c r="H3914" s="2022"/>
      <c r="I3914" s="2022"/>
      <c r="J3914" s="1846"/>
      <c r="K3914" s="1846"/>
      <c r="L3914" s="1846"/>
    </row>
    <row r="3915" spans="1:64">
      <c r="A3915" s="1798"/>
      <c r="B3915" s="1798"/>
      <c r="C3915" s="1807" t="s">
        <v>1533</v>
      </c>
      <c r="D3915" s="1203">
        <v>1</v>
      </c>
      <c r="E3915" s="1199" t="s">
        <v>46</v>
      </c>
      <c r="F3915" s="1203">
        <v>1595</v>
      </c>
      <c r="G3915" s="1203">
        <v>1</v>
      </c>
      <c r="H3915" s="1199" t="s">
        <v>46</v>
      </c>
      <c r="I3915" s="1227">
        <f t="shared" ref="I3915:I3916" si="898">IF(G3915="",D3915*F3915,(D3915*F3915/G3915))</f>
        <v>1595</v>
      </c>
      <c r="J3915" s="1846"/>
      <c r="K3915" s="1846"/>
      <c r="L3915" s="1846"/>
    </row>
    <row r="3916" spans="1:64">
      <c r="A3916" s="1798"/>
      <c r="B3916" s="1798"/>
      <c r="C3916" s="1807" t="str">
        <f>Input!$C$48</f>
        <v>Overheads &amp; Contractors Profit @ 13.615%</v>
      </c>
      <c r="D3916" s="1344">
        <f>Input!$D$48</f>
        <v>0.13614999999999999</v>
      </c>
      <c r="E3916" s="1297"/>
      <c r="F3916" s="1223">
        <f>I3915</f>
        <v>1595</v>
      </c>
      <c r="G3916" s="1272"/>
      <c r="H3916" s="1332"/>
      <c r="I3916" s="1223">
        <f t="shared" si="898"/>
        <v>217.15924999999999</v>
      </c>
      <c r="J3916" s="1846"/>
      <c r="K3916" s="1846"/>
      <c r="L3916" s="1846"/>
    </row>
    <row r="3917" spans="1:64">
      <c r="A3917" s="1798"/>
      <c r="B3917" s="1798"/>
      <c r="C3917" s="1795" t="s">
        <v>1045</v>
      </c>
      <c r="D3917" s="1332"/>
      <c r="E3917" s="1332"/>
      <c r="F3917" s="1798"/>
      <c r="G3917" s="1332"/>
      <c r="H3917" s="1332"/>
      <c r="I3917" s="1347">
        <f>SUM(I3915:I3916)</f>
        <v>1812.1592499999999</v>
      </c>
      <c r="J3917" s="1846"/>
      <c r="K3917" s="1846"/>
      <c r="L3917" s="1846"/>
    </row>
    <row r="3918" spans="1:64">
      <c r="A3918" s="1798"/>
      <c r="B3918" s="1798"/>
      <c r="C3918" s="1807"/>
      <c r="D3918" s="1348"/>
      <c r="E3918" s="1282"/>
      <c r="F3918" s="1283"/>
      <c r="G3918" s="1348"/>
      <c r="H3918" s="1349" t="s">
        <v>1532</v>
      </c>
      <c r="I3918" s="1218">
        <f>ROUND(I3917,0)</f>
        <v>1812</v>
      </c>
      <c r="J3918" s="1846"/>
      <c r="K3918" s="1846"/>
      <c r="L3918" s="1846"/>
    </row>
    <row r="3919" spans="1:64">
      <c r="A3919" s="1798"/>
      <c r="B3919" s="1798"/>
      <c r="C3919" s="1807"/>
      <c r="D3919" s="1207"/>
      <c r="E3919" s="1350"/>
      <c r="F3919" s="1223"/>
      <c r="G3919" s="1207"/>
      <c r="H3919" s="1350"/>
      <c r="I3919" s="1205"/>
      <c r="J3919" s="1846"/>
      <c r="K3919" s="1846"/>
      <c r="L3919" s="1846"/>
    </row>
    <row r="3920" spans="1:64" ht="81.400000000000006" customHeight="1">
      <c r="A3920" s="2013">
        <f>1+A3914</f>
        <v>50</v>
      </c>
      <c r="B3920" s="2013"/>
      <c r="C3920" s="2031" t="s">
        <v>3595</v>
      </c>
      <c r="D3920" s="2032"/>
      <c r="E3920" s="2032"/>
      <c r="F3920" s="2032"/>
      <c r="G3920" s="2032"/>
      <c r="H3920" s="2032"/>
      <c r="I3920" s="2033"/>
      <c r="J3920" s="1846"/>
      <c r="K3920" s="1846"/>
      <c r="L3920" s="1846"/>
    </row>
    <row r="3921" spans="1:64" ht="12.75" customHeight="1">
      <c r="A3921" s="1798"/>
      <c r="B3921" s="1798"/>
      <c r="C3921" s="2026" t="s">
        <v>1534</v>
      </c>
      <c r="D3921" s="2026"/>
      <c r="E3921" s="1350"/>
      <c r="F3921" s="1223"/>
      <c r="G3921" s="1207"/>
      <c r="H3921" s="1350"/>
      <c r="I3921" s="1205"/>
      <c r="J3921" s="1846"/>
      <c r="K3921" s="1846"/>
      <c r="L3921" s="1846"/>
    </row>
    <row r="3922" spans="1:64">
      <c r="A3922" s="1798"/>
      <c r="B3922" s="1798"/>
      <c r="C3922" s="1795" t="s">
        <v>1535</v>
      </c>
      <c r="D3922" s="1807"/>
      <c r="E3922" s="1807"/>
      <c r="F3922" s="1794"/>
      <c r="G3922" s="1807"/>
      <c r="H3922" s="1807"/>
      <c r="I3922" s="1209"/>
      <c r="J3922" s="1846"/>
      <c r="K3922" s="1846"/>
      <c r="L3922" s="1846"/>
    </row>
    <row r="3923" spans="1:64">
      <c r="A3923" s="1798"/>
      <c r="B3923" s="1798"/>
      <c r="C3923" s="1807" t="s">
        <v>1536</v>
      </c>
      <c r="D3923" s="1313">
        <v>23</v>
      </c>
      <c r="E3923" s="1807" t="s">
        <v>1110</v>
      </c>
      <c r="F3923" s="1209">
        <f>'Civil-SOR'!G57</f>
        <v>41</v>
      </c>
      <c r="G3923" s="1317">
        <f>'Civil-SOR'!H57</f>
        <v>1</v>
      </c>
      <c r="H3923" s="1807" t="s">
        <v>97</v>
      </c>
      <c r="I3923" s="1283">
        <f t="shared" ref="I3923:I3927" si="899">IF(G3923="",D3923*F3923,(D3923*F3923/G3923))</f>
        <v>943</v>
      </c>
      <c r="J3923" s="1846"/>
      <c r="K3923" s="1846"/>
      <c r="L3923" s="1846"/>
    </row>
    <row r="3924" spans="1:64">
      <c r="A3924" s="1798"/>
      <c r="B3924" s="1798"/>
      <c r="C3924" s="1807" t="s">
        <v>1529</v>
      </c>
      <c r="D3924" s="1351">
        <v>0.27300000000000002</v>
      </c>
      <c r="E3924" s="1807" t="s">
        <v>36</v>
      </c>
      <c r="F3924" s="1209">
        <f>'Civil-SOR'!$G$296</f>
        <v>665</v>
      </c>
      <c r="G3924" s="1352">
        <v>1</v>
      </c>
      <c r="H3924" s="1807" t="s">
        <v>501</v>
      </c>
      <c r="I3924" s="1283">
        <f t="shared" si="899"/>
        <v>181.54500000000002</v>
      </c>
      <c r="J3924" s="1846"/>
      <c r="K3924" s="1846"/>
      <c r="L3924" s="1846"/>
    </row>
    <row r="3925" spans="1:64">
      <c r="A3925" s="1798"/>
      <c r="B3925" s="1798"/>
      <c r="C3925" s="1807" t="s">
        <v>1530</v>
      </c>
      <c r="D3925" s="1351">
        <v>0.63700000000000001</v>
      </c>
      <c r="E3925" s="1807" t="s">
        <v>36</v>
      </c>
      <c r="F3925" s="1209">
        <f>'Civil-SOR'!$G$303</f>
        <v>550</v>
      </c>
      <c r="G3925" s="1352">
        <v>1</v>
      </c>
      <c r="H3925" s="1807" t="s">
        <v>501</v>
      </c>
      <c r="I3925" s="1283">
        <f t="shared" si="899"/>
        <v>350.35</v>
      </c>
      <c r="J3925" s="1846"/>
      <c r="K3925" s="1846"/>
      <c r="L3925" s="1846"/>
    </row>
    <row r="3926" spans="1:64">
      <c r="A3926" s="1798"/>
      <c r="B3926" s="1798"/>
      <c r="C3926" s="1807" t="s">
        <v>1537</v>
      </c>
      <c r="D3926" s="1313">
        <v>0.91</v>
      </c>
      <c r="E3926" s="1807" t="s">
        <v>36</v>
      </c>
      <c r="F3926" s="1223">
        <f>'Civil-SOR'!$G$307</f>
        <v>520</v>
      </c>
      <c r="G3926" s="1352">
        <v>1</v>
      </c>
      <c r="H3926" s="1807" t="s">
        <v>501</v>
      </c>
      <c r="I3926" s="1283">
        <f t="shared" si="899"/>
        <v>473.2</v>
      </c>
      <c r="J3926" s="1846"/>
      <c r="K3926" s="1846"/>
      <c r="L3926" s="1846"/>
    </row>
    <row r="3927" spans="1:64">
      <c r="A3927" s="1798"/>
      <c r="B3927" s="1798"/>
      <c r="C3927" s="1807" t="str">
        <f>Input!$C$47</f>
        <v>Add for MA @ 40%</v>
      </c>
      <c r="D3927" s="1313">
        <f>Input!$D$47</f>
        <v>0.4</v>
      </c>
      <c r="E3927" s="1807"/>
      <c r="F3927" s="1353">
        <f>SUM(I3924:I3926)</f>
        <v>1005.095</v>
      </c>
      <c r="G3927" s="1807"/>
      <c r="H3927" s="1807"/>
      <c r="I3927" s="1283">
        <f t="shared" si="899"/>
        <v>402.03800000000001</v>
      </c>
      <c r="J3927" s="1846"/>
      <c r="K3927" s="1846"/>
      <c r="L3927" s="1846"/>
    </row>
    <row r="3928" spans="1:64" ht="25.5">
      <c r="A3928" s="1794"/>
      <c r="B3928" s="1794"/>
      <c r="C3928" s="1807" t="s">
        <v>1538</v>
      </c>
      <c r="D3928" s="1352">
        <v>0.01</v>
      </c>
      <c r="E3928" s="1807"/>
      <c r="F3928" s="1209">
        <f>SUM(I3923:I3927)</f>
        <v>2350.1329999999998</v>
      </c>
      <c r="G3928" s="1807"/>
      <c r="H3928" s="1807"/>
      <c r="I3928" s="1211"/>
      <c r="J3928" s="1022"/>
      <c r="K3928" s="1022"/>
      <c r="L3928" s="1022"/>
      <c r="M3928" s="1066"/>
      <c r="N3928" s="1066"/>
      <c r="O3928" s="1066"/>
      <c r="P3928" s="1066"/>
      <c r="Q3928" s="1066"/>
      <c r="R3928" s="1066"/>
      <c r="S3928" s="1066"/>
      <c r="T3928" s="1066"/>
      <c r="U3928" s="1066"/>
      <c r="V3928" s="1066"/>
      <c r="W3928" s="1066"/>
      <c r="X3928" s="1066"/>
      <c r="Y3928" s="1066"/>
      <c r="Z3928" s="1066"/>
      <c r="AA3928" s="1066"/>
      <c r="AB3928" s="1066"/>
      <c r="AC3928" s="1066"/>
      <c r="AD3928" s="1066"/>
      <c r="AE3928" s="1066"/>
      <c r="AF3928" s="1066"/>
      <c r="AG3928" s="1066"/>
      <c r="AH3928" s="1066"/>
      <c r="AI3928" s="1066"/>
      <c r="AJ3928" s="1066"/>
      <c r="AK3928" s="1066"/>
      <c r="AL3928" s="1066"/>
      <c r="AM3928" s="1066"/>
      <c r="AN3928" s="1066"/>
      <c r="AO3928" s="1066"/>
      <c r="AP3928" s="1066"/>
      <c r="AQ3928" s="1066"/>
      <c r="AR3928" s="1066"/>
      <c r="AS3928" s="1066"/>
      <c r="AT3928" s="1066"/>
      <c r="AU3928" s="1066"/>
      <c r="AV3928" s="1066"/>
      <c r="AW3928" s="1066"/>
      <c r="AX3928" s="1066"/>
      <c r="AY3928" s="1066"/>
      <c r="AZ3928" s="1066"/>
      <c r="BA3928" s="1066"/>
      <c r="BB3928" s="1066"/>
      <c r="BC3928" s="1066"/>
      <c r="BD3928" s="1066"/>
      <c r="BE3928" s="1066"/>
      <c r="BF3928" s="1066"/>
      <c r="BG3928" s="1066"/>
      <c r="BH3928" s="1066"/>
      <c r="BI3928" s="1066"/>
      <c r="BJ3928" s="1066"/>
      <c r="BK3928" s="1066"/>
      <c r="BL3928" s="1066"/>
    </row>
    <row r="3929" spans="1:64">
      <c r="A3929" s="1798"/>
      <c r="B3929" s="1798"/>
      <c r="C3929" s="1807"/>
      <c r="D3929" s="1354"/>
      <c r="E3929" s="1202"/>
      <c r="F3929" s="1201"/>
      <c r="G3929" s="1202"/>
      <c r="H3929" s="1202"/>
      <c r="I3929" s="1219">
        <f>SUM(I3923:I3928)</f>
        <v>2350.1329999999998</v>
      </c>
      <c r="J3929" s="1846"/>
      <c r="K3929" s="1846"/>
      <c r="L3929" s="1846"/>
    </row>
    <row r="3930" spans="1:64">
      <c r="A3930" s="1798"/>
      <c r="B3930" s="1798"/>
      <c r="C3930" s="1807" t="str">
        <f>Input!$C$48</f>
        <v>Overheads &amp; Contractors Profit @ 13.615%</v>
      </c>
      <c r="D3930" s="1344">
        <f>Input!$D$48</f>
        <v>0.13614999999999999</v>
      </c>
      <c r="E3930" s="1297"/>
      <c r="F3930" s="1223">
        <f>I3929</f>
        <v>2350.1329999999998</v>
      </c>
      <c r="G3930" s="1272"/>
      <c r="H3930" s="1199"/>
      <c r="I3930" s="1205">
        <f>IF(G3930="",D3930*F3930,(D3930*F3930/G3930))</f>
        <v>319.97060794999993</v>
      </c>
      <c r="J3930" s="1846"/>
      <c r="K3930" s="1846"/>
      <c r="L3930" s="1846"/>
    </row>
    <row r="3931" spans="1:64">
      <c r="A3931" s="1798"/>
      <c r="B3931" s="1798"/>
      <c r="C3931" s="1795" t="s">
        <v>1044</v>
      </c>
      <c r="D3931" s="1807"/>
      <c r="E3931" s="1807"/>
      <c r="F3931" s="1794"/>
      <c r="G3931" s="1807"/>
      <c r="H3931" s="1807"/>
      <c r="I3931" s="1209">
        <f>SUM(I3929:I3930)</f>
        <v>2670.10360795</v>
      </c>
      <c r="J3931" s="1846"/>
      <c r="K3931" s="1846"/>
      <c r="L3931" s="1846"/>
    </row>
    <row r="3932" spans="1:64">
      <c r="A3932" s="1798"/>
      <c r="B3932" s="1798"/>
      <c r="C3932" s="1795" t="s">
        <v>1045</v>
      </c>
      <c r="D3932" s="1807"/>
      <c r="E3932" s="1807"/>
      <c r="F3932" s="1794"/>
      <c r="G3932" s="1807"/>
      <c r="H3932" s="1807"/>
      <c r="I3932" s="1209">
        <f>I3931/10</f>
        <v>267.010360795</v>
      </c>
      <c r="J3932" s="1846"/>
      <c r="K3932" s="1846"/>
      <c r="L3932" s="1846"/>
    </row>
    <row r="3933" spans="1:64">
      <c r="A3933" s="1797"/>
      <c r="B3933" s="1797"/>
      <c r="C3933" s="1215"/>
      <c r="D3933" s="1815"/>
      <c r="E3933" s="1815"/>
      <c r="F3933" s="1319"/>
      <c r="G3933" s="1815"/>
      <c r="H3933" s="1299" t="s">
        <v>1065</v>
      </c>
      <c r="I3933" s="1218">
        <f>ROUND(I3932,0)</f>
        <v>267</v>
      </c>
      <c r="J3933" s="996"/>
      <c r="K3933" s="996"/>
      <c r="L3933" s="996"/>
      <c r="M3933" s="997"/>
      <c r="N3933" s="997"/>
      <c r="O3933" s="997"/>
      <c r="P3933" s="997"/>
      <c r="Q3933" s="997"/>
      <c r="R3933" s="997"/>
      <c r="S3933" s="997"/>
      <c r="T3933" s="997"/>
      <c r="U3933" s="997"/>
      <c r="V3933" s="997"/>
      <c r="W3933" s="997"/>
      <c r="X3933" s="997"/>
      <c r="Y3933" s="997"/>
      <c r="Z3933" s="997"/>
      <c r="AA3933" s="997"/>
      <c r="AB3933" s="997"/>
      <c r="AC3933" s="997"/>
      <c r="AD3933" s="997"/>
      <c r="AE3933" s="997"/>
      <c r="AF3933" s="997"/>
      <c r="AG3933" s="997"/>
      <c r="AH3933" s="997"/>
      <c r="AI3933" s="997"/>
      <c r="AJ3933" s="997"/>
      <c r="AK3933" s="997"/>
      <c r="AL3933" s="997"/>
      <c r="AM3933" s="997"/>
      <c r="AN3933" s="997"/>
      <c r="AO3933" s="997"/>
      <c r="AP3933" s="997"/>
      <c r="AQ3933" s="997"/>
      <c r="AR3933" s="997"/>
      <c r="AS3933" s="997"/>
      <c r="AT3933" s="997"/>
      <c r="AU3933" s="997"/>
      <c r="AV3933" s="997"/>
      <c r="AW3933" s="997"/>
      <c r="AX3933" s="997"/>
      <c r="AY3933" s="997"/>
      <c r="AZ3933" s="997"/>
      <c r="BA3933" s="997"/>
      <c r="BB3933" s="997"/>
      <c r="BC3933" s="997"/>
      <c r="BD3933" s="997"/>
      <c r="BE3933" s="997"/>
      <c r="BF3933" s="997"/>
      <c r="BG3933" s="997"/>
      <c r="BH3933" s="997"/>
      <c r="BI3933" s="997"/>
      <c r="BJ3933" s="997"/>
      <c r="BK3933" s="997"/>
      <c r="BL3933" s="997"/>
    </row>
    <row r="3934" spans="1:64">
      <c r="A3934" s="1798"/>
      <c r="B3934" s="1798"/>
      <c r="C3934" s="1199"/>
      <c r="D3934" s="1807"/>
      <c r="E3934" s="1807"/>
      <c r="F3934" s="1794"/>
      <c r="G3934" s="1807"/>
      <c r="H3934" s="1299"/>
      <c r="I3934" s="1219"/>
      <c r="J3934" s="1846"/>
      <c r="K3934" s="1846"/>
      <c r="L3934" s="1846"/>
    </row>
    <row r="3935" spans="1:64" ht="92.45" customHeight="1">
      <c r="A3935" s="2013">
        <f>A3920+1</f>
        <v>51</v>
      </c>
      <c r="B3935" s="2013"/>
      <c r="C3935" s="2006" t="s">
        <v>3455</v>
      </c>
      <c r="D3935" s="2006"/>
      <c r="E3935" s="2006"/>
      <c r="F3935" s="2006"/>
      <c r="G3935" s="2006"/>
      <c r="H3935" s="2006"/>
      <c r="I3935" s="1814"/>
      <c r="J3935" s="1846"/>
      <c r="K3935" s="1846"/>
      <c r="L3935" s="1846"/>
    </row>
    <row r="3936" spans="1:64" ht="12.75" customHeight="1">
      <c r="A3936" s="1798"/>
      <c r="B3936" s="1798"/>
      <c r="C3936" s="2026" t="s">
        <v>1534</v>
      </c>
      <c r="D3936" s="2026"/>
      <c r="E3936" s="1350"/>
      <c r="F3936" s="1223"/>
      <c r="G3936" s="1207"/>
      <c r="H3936" s="1350"/>
      <c r="I3936" s="1205"/>
      <c r="J3936" s="1846"/>
      <c r="K3936" s="1846"/>
      <c r="L3936" s="1846"/>
    </row>
    <row r="3937" spans="1:64">
      <c r="A3937" s="1798"/>
      <c r="B3937" s="1798"/>
      <c r="C3937" s="1795" t="s">
        <v>1535</v>
      </c>
      <c r="D3937" s="1807"/>
      <c r="E3937" s="1807"/>
      <c r="F3937" s="1794"/>
      <c r="G3937" s="1807"/>
      <c r="H3937" s="1807"/>
      <c r="I3937" s="1209"/>
      <c r="J3937" s="1846"/>
      <c r="K3937" s="1846"/>
      <c r="L3937" s="1846"/>
    </row>
    <row r="3938" spans="1:64">
      <c r="A3938" s="1794"/>
      <c r="B3938" s="1794"/>
      <c r="C3938" s="1807" t="s">
        <v>1539</v>
      </c>
      <c r="D3938" s="1313">
        <v>34.5</v>
      </c>
      <c r="E3938" s="1807" t="s">
        <v>1110</v>
      </c>
      <c r="F3938" s="1209">
        <f>'Civil-SOR'!G72</f>
        <v>43</v>
      </c>
      <c r="G3938" s="1317">
        <f>'Civil-SOR'!$H$72</f>
        <v>1</v>
      </c>
      <c r="H3938" s="1807" t="s">
        <v>97</v>
      </c>
      <c r="I3938" s="1211">
        <f t="shared" ref="I3938:I3942" si="900">IF(G3938="",D3938*F3938,(D3938*F3938/G3938))</f>
        <v>1483.5</v>
      </c>
      <c r="J3938" s="1022"/>
      <c r="K3938" s="1022"/>
      <c r="L3938" s="1022"/>
      <c r="M3938" s="1066"/>
      <c r="N3938" s="1066"/>
      <c r="O3938" s="1066"/>
      <c r="P3938" s="1066"/>
      <c r="Q3938" s="1066"/>
      <c r="R3938" s="1066"/>
      <c r="S3938" s="1066"/>
      <c r="T3938" s="1066"/>
      <c r="U3938" s="1066"/>
      <c r="V3938" s="1066"/>
      <c r="W3938" s="1066"/>
      <c r="X3938" s="1066"/>
      <c r="Y3938" s="1066"/>
      <c r="Z3938" s="1066"/>
      <c r="AA3938" s="1066"/>
      <c r="AB3938" s="1066"/>
      <c r="AC3938" s="1066"/>
      <c r="AD3938" s="1066"/>
      <c r="AE3938" s="1066"/>
      <c r="AF3938" s="1066"/>
      <c r="AG3938" s="1066"/>
      <c r="AH3938" s="1066"/>
      <c r="AI3938" s="1066"/>
      <c r="AJ3938" s="1066"/>
      <c r="AK3938" s="1066"/>
      <c r="AL3938" s="1066"/>
      <c r="AM3938" s="1066"/>
      <c r="AN3938" s="1066"/>
      <c r="AO3938" s="1066"/>
      <c r="AP3938" s="1066"/>
      <c r="AQ3938" s="1066"/>
      <c r="AR3938" s="1066"/>
      <c r="AS3938" s="1066"/>
      <c r="AT3938" s="1066"/>
      <c r="AU3938" s="1066"/>
      <c r="AV3938" s="1066"/>
      <c r="AW3938" s="1066"/>
      <c r="AX3938" s="1066"/>
      <c r="AY3938" s="1066"/>
      <c r="AZ3938" s="1066"/>
      <c r="BA3938" s="1066"/>
      <c r="BB3938" s="1066"/>
      <c r="BC3938" s="1066"/>
      <c r="BD3938" s="1066"/>
      <c r="BE3938" s="1066"/>
      <c r="BF3938" s="1066"/>
      <c r="BG3938" s="1066"/>
      <c r="BH3938" s="1066"/>
      <c r="BI3938" s="1066"/>
      <c r="BJ3938" s="1066"/>
      <c r="BK3938" s="1066"/>
      <c r="BL3938" s="1066"/>
    </row>
    <row r="3939" spans="1:64">
      <c r="A3939" s="1794"/>
      <c r="B3939" s="1794"/>
      <c r="C3939" s="1807" t="s">
        <v>1529</v>
      </c>
      <c r="D3939" s="1351">
        <v>0.27300000000000002</v>
      </c>
      <c r="E3939" s="1807" t="s">
        <v>36</v>
      </c>
      <c r="F3939" s="1209">
        <f>'Civil-SOR'!$G$296</f>
        <v>665</v>
      </c>
      <c r="G3939" s="1352">
        <v>1</v>
      </c>
      <c r="H3939" s="1807" t="s">
        <v>501</v>
      </c>
      <c r="I3939" s="1211">
        <f t="shared" si="900"/>
        <v>181.54500000000002</v>
      </c>
      <c r="J3939" s="1022"/>
      <c r="K3939" s="1022"/>
      <c r="L3939" s="1022"/>
      <c r="M3939" s="1066"/>
      <c r="N3939" s="1066"/>
      <c r="O3939" s="1066"/>
      <c r="P3939" s="1066"/>
      <c r="Q3939" s="1066"/>
      <c r="R3939" s="1066"/>
      <c r="S3939" s="1066"/>
      <c r="T3939" s="1066"/>
      <c r="U3939" s="1066"/>
      <c r="V3939" s="1066"/>
      <c r="W3939" s="1066"/>
      <c r="X3939" s="1066"/>
      <c r="Y3939" s="1066"/>
      <c r="Z3939" s="1066"/>
      <c r="AA3939" s="1066"/>
      <c r="AB3939" s="1066"/>
      <c r="AC3939" s="1066"/>
      <c r="AD3939" s="1066"/>
      <c r="AE3939" s="1066"/>
      <c r="AF3939" s="1066"/>
      <c r="AG3939" s="1066"/>
      <c r="AH3939" s="1066"/>
      <c r="AI3939" s="1066"/>
      <c r="AJ3939" s="1066"/>
      <c r="AK3939" s="1066"/>
      <c r="AL3939" s="1066"/>
      <c r="AM3939" s="1066"/>
      <c r="AN3939" s="1066"/>
      <c r="AO3939" s="1066"/>
      <c r="AP3939" s="1066"/>
      <c r="AQ3939" s="1066"/>
      <c r="AR3939" s="1066"/>
      <c r="AS3939" s="1066"/>
      <c r="AT3939" s="1066"/>
      <c r="AU3939" s="1066"/>
      <c r="AV3939" s="1066"/>
      <c r="AW3939" s="1066"/>
      <c r="AX3939" s="1066"/>
      <c r="AY3939" s="1066"/>
      <c r="AZ3939" s="1066"/>
      <c r="BA3939" s="1066"/>
      <c r="BB3939" s="1066"/>
      <c r="BC3939" s="1066"/>
      <c r="BD3939" s="1066"/>
      <c r="BE3939" s="1066"/>
      <c r="BF3939" s="1066"/>
      <c r="BG3939" s="1066"/>
      <c r="BH3939" s="1066"/>
      <c r="BI3939" s="1066"/>
      <c r="BJ3939" s="1066"/>
      <c r="BK3939" s="1066"/>
      <c r="BL3939" s="1066"/>
    </row>
    <row r="3940" spans="1:64">
      <c r="A3940" s="1794"/>
      <c r="B3940" s="1794"/>
      <c r="C3940" s="1807" t="s">
        <v>1530</v>
      </c>
      <c r="D3940" s="1351">
        <v>0.63700000000000001</v>
      </c>
      <c r="E3940" s="1807" t="s">
        <v>36</v>
      </c>
      <c r="F3940" s="1209">
        <f>'Civil-SOR'!$G$303</f>
        <v>550</v>
      </c>
      <c r="G3940" s="1352">
        <v>1</v>
      </c>
      <c r="H3940" s="1807" t="s">
        <v>501</v>
      </c>
      <c r="I3940" s="1211">
        <f t="shared" si="900"/>
        <v>350.35</v>
      </c>
      <c r="J3940" s="1022"/>
      <c r="K3940" s="1022"/>
      <c r="L3940" s="1022"/>
      <c r="M3940" s="1066"/>
      <c r="N3940" s="1066"/>
      <c r="O3940" s="1066"/>
      <c r="P3940" s="1066"/>
      <c r="Q3940" s="1066"/>
      <c r="R3940" s="1066"/>
      <c r="S3940" s="1066"/>
      <c r="T3940" s="1066"/>
      <c r="U3940" s="1066"/>
      <c r="V3940" s="1066"/>
      <c r="W3940" s="1066"/>
      <c r="X3940" s="1066"/>
      <c r="Y3940" s="1066"/>
      <c r="Z3940" s="1066"/>
      <c r="AA3940" s="1066"/>
      <c r="AB3940" s="1066"/>
      <c r="AC3940" s="1066"/>
      <c r="AD3940" s="1066"/>
      <c r="AE3940" s="1066"/>
      <c r="AF3940" s="1066"/>
      <c r="AG3940" s="1066"/>
      <c r="AH3940" s="1066"/>
      <c r="AI3940" s="1066"/>
      <c r="AJ3940" s="1066"/>
      <c r="AK3940" s="1066"/>
      <c r="AL3940" s="1066"/>
      <c r="AM3940" s="1066"/>
      <c r="AN3940" s="1066"/>
      <c r="AO3940" s="1066"/>
      <c r="AP3940" s="1066"/>
      <c r="AQ3940" s="1066"/>
      <c r="AR3940" s="1066"/>
      <c r="AS3940" s="1066"/>
      <c r="AT3940" s="1066"/>
      <c r="AU3940" s="1066"/>
      <c r="AV3940" s="1066"/>
      <c r="AW3940" s="1066"/>
      <c r="AX3940" s="1066"/>
      <c r="AY3940" s="1066"/>
      <c r="AZ3940" s="1066"/>
      <c r="BA3940" s="1066"/>
      <c r="BB3940" s="1066"/>
      <c r="BC3940" s="1066"/>
      <c r="BD3940" s="1066"/>
      <c r="BE3940" s="1066"/>
      <c r="BF3940" s="1066"/>
      <c r="BG3940" s="1066"/>
      <c r="BH3940" s="1066"/>
      <c r="BI3940" s="1066"/>
      <c r="BJ3940" s="1066"/>
      <c r="BK3940" s="1066"/>
      <c r="BL3940" s="1066"/>
    </row>
    <row r="3941" spans="1:64">
      <c r="A3941" s="1794"/>
      <c r="B3941" s="1794"/>
      <c r="C3941" s="1807" t="s">
        <v>1537</v>
      </c>
      <c r="D3941" s="1313">
        <v>0.91</v>
      </c>
      <c r="E3941" s="1807" t="s">
        <v>36</v>
      </c>
      <c r="F3941" s="1209">
        <f>'Civil-SOR'!$G$307</f>
        <v>520</v>
      </c>
      <c r="G3941" s="1352">
        <v>1</v>
      </c>
      <c r="H3941" s="1807" t="s">
        <v>501</v>
      </c>
      <c r="I3941" s="1211">
        <f t="shared" si="900"/>
        <v>473.2</v>
      </c>
      <c r="J3941" s="1022"/>
      <c r="K3941" s="1022"/>
      <c r="L3941" s="1022"/>
      <c r="M3941" s="1066"/>
      <c r="N3941" s="1066"/>
      <c r="O3941" s="1066"/>
      <c r="P3941" s="1066"/>
      <c r="Q3941" s="1066"/>
      <c r="R3941" s="1066"/>
      <c r="S3941" s="1066"/>
      <c r="T3941" s="1066"/>
      <c r="U3941" s="1066"/>
      <c r="V3941" s="1066"/>
      <c r="W3941" s="1066"/>
      <c r="X3941" s="1066"/>
      <c r="Y3941" s="1066"/>
      <c r="Z3941" s="1066"/>
      <c r="AA3941" s="1066"/>
      <c r="AB3941" s="1066"/>
      <c r="AC3941" s="1066"/>
      <c r="AD3941" s="1066"/>
      <c r="AE3941" s="1066"/>
      <c r="AF3941" s="1066"/>
      <c r="AG3941" s="1066"/>
      <c r="AH3941" s="1066"/>
      <c r="AI3941" s="1066"/>
      <c r="AJ3941" s="1066"/>
      <c r="AK3941" s="1066"/>
      <c r="AL3941" s="1066"/>
      <c r="AM3941" s="1066"/>
      <c r="AN3941" s="1066"/>
      <c r="AO3941" s="1066"/>
      <c r="AP3941" s="1066"/>
      <c r="AQ3941" s="1066"/>
      <c r="AR3941" s="1066"/>
      <c r="AS3941" s="1066"/>
      <c r="AT3941" s="1066"/>
      <c r="AU3941" s="1066"/>
      <c r="AV3941" s="1066"/>
      <c r="AW3941" s="1066"/>
      <c r="AX3941" s="1066"/>
      <c r="AY3941" s="1066"/>
      <c r="AZ3941" s="1066"/>
      <c r="BA3941" s="1066"/>
      <c r="BB3941" s="1066"/>
      <c r="BC3941" s="1066"/>
      <c r="BD3941" s="1066"/>
      <c r="BE3941" s="1066"/>
      <c r="BF3941" s="1066"/>
      <c r="BG3941" s="1066"/>
      <c r="BH3941" s="1066"/>
      <c r="BI3941" s="1066"/>
      <c r="BJ3941" s="1066"/>
      <c r="BK3941" s="1066"/>
      <c r="BL3941" s="1066"/>
    </row>
    <row r="3942" spans="1:64">
      <c r="A3942" s="1794"/>
      <c r="B3942" s="1794"/>
      <c r="C3942" s="1807" t="str">
        <f>Input!$C$47</f>
        <v>Add for MA @ 40%</v>
      </c>
      <c r="D3942" s="1313">
        <f>Input!$D$47</f>
        <v>0.4</v>
      </c>
      <c r="E3942" s="1807"/>
      <c r="F3942" s="1209">
        <f>SUM(I3939:I3941)</f>
        <v>1005.095</v>
      </c>
      <c r="G3942" s="1807"/>
      <c r="H3942" s="1807"/>
      <c r="I3942" s="1211">
        <f t="shared" si="900"/>
        <v>402.03800000000001</v>
      </c>
      <c r="J3942" s="1022"/>
      <c r="K3942" s="1022"/>
      <c r="L3942" s="1022"/>
      <c r="M3942" s="1066"/>
      <c r="N3942" s="1066"/>
      <c r="O3942" s="1066"/>
      <c r="P3942" s="1066"/>
      <c r="Q3942" s="1066"/>
      <c r="R3942" s="1066"/>
      <c r="S3942" s="1066"/>
      <c r="T3942" s="1066"/>
      <c r="U3942" s="1066"/>
      <c r="V3942" s="1066"/>
      <c r="W3942" s="1066"/>
      <c r="X3942" s="1066"/>
      <c r="Y3942" s="1066"/>
      <c r="Z3942" s="1066"/>
      <c r="AA3942" s="1066"/>
      <c r="AB3942" s="1066"/>
      <c r="AC3942" s="1066"/>
      <c r="AD3942" s="1066"/>
      <c r="AE3942" s="1066"/>
      <c r="AF3942" s="1066"/>
      <c r="AG3942" s="1066"/>
      <c r="AH3942" s="1066"/>
      <c r="AI3942" s="1066"/>
      <c r="AJ3942" s="1066"/>
      <c r="AK3942" s="1066"/>
      <c r="AL3942" s="1066"/>
      <c r="AM3942" s="1066"/>
      <c r="AN3942" s="1066"/>
      <c r="AO3942" s="1066"/>
      <c r="AP3942" s="1066"/>
      <c r="AQ3942" s="1066"/>
      <c r="AR3942" s="1066"/>
      <c r="AS3942" s="1066"/>
      <c r="AT3942" s="1066"/>
      <c r="AU3942" s="1066"/>
      <c r="AV3942" s="1066"/>
      <c r="AW3942" s="1066"/>
      <c r="AX3942" s="1066"/>
      <c r="AY3942" s="1066"/>
      <c r="AZ3942" s="1066"/>
      <c r="BA3942" s="1066"/>
      <c r="BB3942" s="1066"/>
      <c r="BC3942" s="1066"/>
      <c r="BD3942" s="1066"/>
      <c r="BE3942" s="1066"/>
      <c r="BF3942" s="1066"/>
      <c r="BG3942" s="1066"/>
      <c r="BH3942" s="1066"/>
      <c r="BI3942" s="1066"/>
      <c r="BJ3942" s="1066"/>
      <c r="BK3942" s="1066"/>
      <c r="BL3942" s="1066"/>
    </row>
    <row r="3943" spans="1:64" ht="25.5">
      <c r="A3943" s="1794"/>
      <c r="B3943" s="1794"/>
      <c r="C3943" s="1807" t="s">
        <v>1538</v>
      </c>
      <c r="D3943" s="1352">
        <v>0.01</v>
      </c>
      <c r="E3943" s="1807"/>
      <c r="F3943" s="1209">
        <f>SUM(I3938:I3942)</f>
        <v>2890.6329999999998</v>
      </c>
      <c r="G3943" s="1807"/>
      <c r="H3943" s="1807"/>
      <c r="I3943" s="1211"/>
      <c r="J3943" s="1022"/>
      <c r="K3943" s="1022"/>
      <c r="L3943" s="1022"/>
      <c r="M3943" s="1066"/>
      <c r="N3943" s="1066"/>
      <c r="O3943" s="1066"/>
      <c r="P3943" s="1066"/>
      <c r="Q3943" s="1066"/>
      <c r="R3943" s="1066"/>
      <c r="S3943" s="1066"/>
      <c r="T3943" s="1066"/>
      <c r="U3943" s="1066"/>
      <c r="V3943" s="1066"/>
      <c r="W3943" s="1066"/>
      <c r="X3943" s="1066"/>
      <c r="Y3943" s="1066"/>
      <c r="Z3943" s="1066"/>
      <c r="AA3943" s="1066"/>
      <c r="AB3943" s="1066"/>
      <c r="AC3943" s="1066"/>
      <c r="AD3943" s="1066"/>
      <c r="AE3943" s="1066"/>
      <c r="AF3943" s="1066"/>
      <c r="AG3943" s="1066"/>
      <c r="AH3943" s="1066"/>
      <c r="AI3943" s="1066"/>
      <c r="AJ3943" s="1066"/>
      <c r="AK3943" s="1066"/>
      <c r="AL3943" s="1066"/>
      <c r="AM3943" s="1066"/>
      <c r="AN3943" s="1066"/>
      <c r="AO3943" s="1066"/>
      <c r="AP3943" s="1066"/>
      <c r="AQ3943" s="1066"/>
      <c r="AR3943" s="1066"/>
      <c r="AS3943" s="1066"/>
      <c r="AT3943" s="1066"/>
      <c r="AU3943" s="1066"/>
      <c r="AV3943" s="1066"/>
      <c r="AW3943" s="1066"/>
      <c r="AX3943" s="1066"/>
      <c r="AY3943" s="1066"/>
      <c r="AZ3943" s="1066"/>
      <c r="BA3943" s="1066"/>
      <c r="BB3943" s="1066"/>
      <c r="BC3943" s="1066"/>
      <c r="BD3943" s="1066"/>
      <c r="BE3943" s="1066"/>
      <c r="BF3943" s="1066"/>
      <c r="BG3943" s="1066"/>
      <c r="BH3943" s="1066"/>
      <c r="BI3943" s="1066"/>
      <c r="BJ3943" s="1066"/>
      <c r="BK3943" s="1066"/>
      <c r="BL3943" s="1066"/>
    </row>
    <row r="3944" spans="1:64">
      <c r="A3944" s="1794"/>
      <c r="B3944" s="1794"/>
      <c r="C3944" s="1807" t="s">
        <v>450</v>
      </c>
      <c r="D3944" s="1352">
        <v>10</v>
      </c>
      <c r="E3944" s="1807" t="s">
        <v>94</v>
      </c>
      <c r="F3944" s="1209">
        <f>'Civil-SOR'!$F$233</f>
        <v>1.17</v>
      </c>
      <c r="G3944" s="1352">
        <v>1</v>
      </c>
      <c r="H3944" s="1807" t="s">
        <v>94</v>
      </c>
      <c r="I3944" s="1211">
        <f t="shared" ref="I3944:I3946" si="901">IF(G3944="",D3944*F3944,(D3944*F3944/G3944))</f>
        <v>11.7</v>
      </c>
      <c r="J3944" s="1022"/>
      <c r="K3944" s="1022"/>
      <c r="L3944" s="1022"/>
      <c r="M3944" s="1066"/>
      <c r="N3944" s="1066"/>
      <c r="O3944" s="1066"/>
      <c r="P3944" s="1066"/>
      <c r="Q3944" s="1066"/>
      <c r="R3944" s="1066"/>
      <c r="S3944" s="1066"/>
      <c r="T3944" s="1066"/>
      <c r="U3944" s="1066"/>
      <c r="V3944" s="1066"/>
      <c r="W3944" s="1066"/>
      <c r="X3944" s="1066"/>
      <c r="Y3944" s="1066"/>
      <c r="Z3944" s="1066"/>
      <c r="AA3944" s="1066"/>
      <c r="AB3944" s="1066"/>
      <c r="AC3944" s="1066"/>
      <c r="AD3944" s="1066"/>
      <c r="AE3944" s="1066"/>
      <c r="AF3944" s="1066"/>
      <c r="AG3944" s="1066"/>
      <c r="AH3944" s="1066"/>
      <c r="AI3944" s="1066"/>
      <c r="AJ3944" s="1066"/>
      <c r="AK3944" s="1066"/>
      <c r="AL3944" s="1066"/>
      <c r="AM3944" s="1066"/>
      <c r="AN3944" s="1066"/>
      <c r="AO3944" s="1066"/>
      <c r="AP3944" s="1066"/>
      <c r="AQ3944" s="1066"/>
      <c r="AR3944" s="1066"/>
      <c r="AS3944" s="1066"/>
      <c r="AT3944" s="1066"/>
      <c r="AU3944" s="1066"/>
      <c r="AV3944" s="1066"/>
      <c r="AW3944" s="1066"/>
      <c r="AX3944" s="1066"/>
      <c r="AY3944" s="1066"/>
      <c r="AZ3944" s="1066"/>
      <c r="BA3944" s="1066"/>
      <c r="BB3944" s="1066"/>
      <c r="BC3944" s="1066"/>
      <c r="BD3944" s="1066"/>
      <c r="BE3944" s="1066"/>
      <c r="BF3944" s="1066"/>
      <c r="BG3944" s="1066"/>
      <c r="BH3944" s="1066"/>
      <c r="BI3944" s="1066"/>
      <c r="BJ3944" s="1066"/>
      <c r="BK3944" s="1066"/>
      <c r="BL3944" s="1066"/>
    </row>
    <row r="3945" spans="1:64">
      <c r="A3945" s="1794"/>
      <c r="B3945" s="1794"/>
      <c r="C3945" s="1807" t="s">
        <v>1314</v>
      </c>
      <c r="D3945" s="1352">
        <v>10</v>
      </c>
      <c r="E3945" s="1807" t="s">
        <v>94</v>
      </c>
      <c r="F3945" s="1209">
        <f>'Civil-SOR'!$G$233</f>
        <v>9.43</v>
      </c>
      <c r="G3945" s="1352">
        <v>1</v>
      </c>
      <c r="H3945" s="1807" t="s">
        <v>94</v>
      </c>
      <c r="I3945" s="1211">
        <f t="shared" si="901"/>
        <v>94.3</v>
      </c>
      <c r="J3945" s="1022"/>
      <c r="K3945" s="1022"/>
      <c r="L3945" s="1022"/>
      <c r="M3945" s="1066"/>
      <c r="N3945" s="1066"/>
      <c r="O3945" s="1066"/>
      <c r="P3945" s="1066"/>
      <c r="Q3945" s="1066"/>
      <c r="R3945" s="1066"/>
      <c r="S3945" s="1066"/>
      <c r="T3945" s="1066"/>
      <c r="U3945" s="1066"/>
      <c r="V3945" s="1066"/>
      <c r="W3945" s="1066"/>
      <c r="X3945" s="1066"/>
      <c r="Y3945" s="1066"/>
      <c r="Z3945" s="1066"/>
      <c r="AA3945" s="1066"/>
      <c r="AB3945" s="1066"/>
      <c r="AC3945" s="1066"/>
      <c r="AD3945" s="1066"/>
      <c r="AE3945" s="1066"/>
      <c r="AF3945" s="1066"/>
      <c r="AG3945" s="1066"/>
      <c r="AH3945" s="1066"/>
      <c r="AI3945" s="1066"/>
      <c r="AJ3945" s="1066"/>
      <c r="AK3945" s="1066"/>
      <c r="AL3945" s="1066"/>
      <c r="AM3945" s="1066"/>
      <c r="AN3945" s="1066"/>
      <c r="AO3945" s="1066"/>
      <c r="AP3945" s="1066"/>
      <c r="AQ3945" s="1066"/>
      <c r="AR3945" s="1066"/>
      <c r="AS3945" s="1066"/>
      <c r="AT3945" s="1066"/>
      <c r="AU3945" s="1066"/>
      <c r="AV3945" s="1066"/>
      <c r="AW3945" s="1066"/>
      <c r="AX3945" s="1066"/>
      <c r="AY3945" s="1066"/>
      <c r="AZ3945" s="1066"/>
      <c r="BA3945" s="1066"/>
      <c r="BB3945" s="1066"/>
      <c r="BC3945" s="1066"/>
      <c r="BD3945" s="1066"/>
      <c r="BE3945" s="1066"/>
      <c r="BF3945" s="1066"/>
      <c r="BG3945" s="1066"/>
      <c r="BH3945" s="1066"/>
      <c r="BI3945" s="1066"/>
      <c r="BJ3945" s="1066"/>
      <c r="BK3945" s="1066"/>
      <c r="BL3945" s="1066"/>
    </row>
    <row r="3946" spans="1:64">
      <c r="A3946" s="1794"/>
      <c r="B3946" s="1794"/>
      <c r="C3946" s="1807" t="str">
        <f>Input!$C$47</f>
        <v>Add for MA @ 40%</v>
      </c>
      <c r="D3946" s="1313">
        <f>Input!$D$47</f>
        <v>0.4</v>
      </c>
      <c r="E3946" s="1807"/>
      <c r="F3946" s="1209">
        <f>I3945</f>
        <v>94.3</v>
      </c>
      <c r="G3946" s="1807"/>
      <c r="H3946" s="1807"/>
      <c r="I3946" s="1211">
        <f t="shared" si="901"/>
        <v>37.72</v>
      </c>
      <c r="J3946" s="1137"/>
      <c r="K3946" s="1137"/>
      <c r="L3946" s="1137"/>
      <c r="M3946" s="1291"/>
      <c r="N3946" s="1291"/>
      <c r="O3946" s="1291"/>
      <c r="P3946" s="1291"/>
      <c r="Q3946" s="1291"/>
      <c r="R3946" s="1291"/>
      <c r="S3946" s="1066"/>
      <c r="T3946" s="1066"/>
      <c r="U3946" s="1066"/>
      <c r="V3946" s="1066"/>
      <c r="W3946" s="1066"/>
      <c r="X3946" s="1066"/>
      <c r="Y3946" s="1066"/>
      <c r="Z3946" s="1066"/>
      <c r="AA3946" s="1066"/>
      <c r="AB3946" s="1066"/>
      <c r="AC3946" s="1066"/>
      <c r="AD3946" s="1066"/>
      <c r="AE3946" s="1066"/>
      <c r="AF3946" s="1066"/>
      <c r="AG3946" s="1066"/>
      <c r="AH3946" s="1066"/>
      <c r="AI3946" s="1066"/>
      <c r="AJ3946" s="1066"/>
      <c r="AK3946" s="1066"/>
      <c r="AL3946" s="1066"/>
      <c r="AM3946" s="1066"/>
      <c r="AN3946" s="1066"/>
      <c r="AO3946" s="1066"/>
      <c r="AP3946" s="1066"/>
      <c r="AQ3946" s="1066"/>
      <c r="AR3946" s="1066"/>
      <c r="AS3946" s="1066"/>
      <c r="AT3946" s="1066"/>
      <c r="AU3946" s="1066"/>
      <c r="AV3946" s="1066"/>
      <c r="AW3946" s="1066"/>
      <c r="AX3946" s="1066"/>
      <c r="AY3946" s="1066"/>
      <c r="AZ3946" s="1066"/>
      <c r="BA3946" s="1066"/>
      <c r="BB3946" s="1066"/>
      <c r="BC3946" s="1066"/>
      <c r="BD3946" s="1066"/>
      <c r="BE3946" s="1066"/>
      <c r="BF3946" s="1066"/>
      <c r="BG3946" s="1066"/>
      <c r="BH3946" s="1066"/>
      <c r="BI3946" s="1066"/>
      <c r="BJ3946" s="1066"/>
      <c r="BK3946" s="1066"/>
      <c r="BL3946" s="1066"/>
    </row>
    <row r="3947" spans="1:64">
      <c r="A3947" s="1798"/>
      <c r="B3947" s="1798"/>
      <c r="C3947" s="1807"/>
      <c r="D3947" s="1354"/>
      <c r="E3947" s="1202"/>
      <c r="F3947" s="1201"/>
      <c r="G3947" s="1202"/>
      <c r="H3947" s="1202"/>
      <c r="I3947" s="1219">
        <f>SUM(I3938:I3946)</f>
        <v>3034.3529999999996</v>
      </c>
      <c r="J3947" s="1846"/>
      <c r="K3947" s="1846"/>
      <c r="L3947" s="1846"/>
    </row>
    <row r="3948" spans="1:64">
      <c r="A3948" s="1798"/>
      <c r="B3948" s="1798"/>
      <c r="C3948" s="1807" t="str">
        <f>Input!$C$48</f>
        <v>Overheads &amp; Contractors Profit @ 13.615%</v>
      </c>
      <c r="D3948" s="1344">
        <f>Input!$D$48</f>
        <v>0.13614999999999999</v>
      </c>
      <c r="E3948" s="1297"/>
      <c r="F3948" s="1223">
        <f>I3947</f>
        <v>3034.3529999999996</v>
      </c>
      <c r="G3948" s="1272"/>
      <c r="H3948" s="1199"/>
      <c r="I3948" s="1205">
        <f>IF(G3948="",D3948*F3948,(D3948*F3948/G3948))</f>
        <v>413.1271609499999</v>
      </c>
      <c r="J3948" s="1846"/>
      <c r="K3948" s="1846"/>
      <c r="L3948" s="1846"/>
    </row>
    <row r="3949" spans="1:64">
      <c r="A3949" s="1798"/>
      <c r="B3949" s="1798"/>
      <c r="C3949" s="1795" t="s">
        <v>1044</v>
      </c>
      <c r="D3949" s="1807"/>
      <c r="E3949" s="1807"/>
      <c r="F3949" s="1794"/>
      <c r="G3949" s="1807"/>
      <c r="H3949" s="1807"/>
      <c r="I3949" s="1209">
        <f>SUM(I3947:I3948)</f>
        <v>3447.4801609499996</v>
      </c>
      <c r="J3949" s="1846"/>
      <c r="K3949" s="1846"/>
      <c r="L3949" s="1846"/>
    </row>
    <row r="3950" spans="1:64">
      <c r="A3950" s="1798"/>
      <c r="B3950" s="1798"/>
      <c r="C3950" s="1795" t="s">
        <v>1045</v>
      </c>
      <c r="D3950" s="1807"/>
      <c r="E3950" s="1807"/>
      <c r="F3950" s="1794"/>
      <c r="G3950" s="1807"/>
      <c r="H3950" s="1807"/>
      <c r="I3950" s="1209">
        <f>I3949/10</f>
        <v>344.74801609499997</v>
      </c>
      <c r="J3950" s="1846"/>
      <c r="K3950" s="1846"/>
      <c r="L3950" s="1846"/>
    </row>
    <row r="3951" spans="1:64">
      <c r="A3951" s="1798"/>
      <c r="B3951" s="1798"/>
      <c r="C3951" s="1199"/>
      <c r="D3951" s="1807"/>
      <c r="E3951" s="1807"/>
      <c r="F3951" s="1794"/>
      <c r="G3951" s="1807"/>
      <c r="H3951" s="1299" t="s">
        <v>1065</v>
      </c>
      <c r="I3951" s="1219">
        <f>ROUND(I3950,0)</f>
        <v>345</v>
      </c>
      <c r="J3951" s="1846"/>
      <c r="K3951" s="1846"/>
      <c r="L3951" s="1846"/>
    </row>
    <row r="3952" spans="1:64">
      <c r="A3952" s="1798"/>
      <c r="B3952" s="1798"/>
      <c r="C3952" s="1199"/>
      <c r="D3952" s="1807"/>
      <c r="E3952" s="1807"/>
      <c r="F3952" s="1794"/>
      <c r="G3952" s="1807"/>
      <c r="H3952" s="1299"/>
      <c r="I3952" s="1219"/>
      <c r="J3952" s="1846"/>
      <c r="K3952" s="1846"/>
      <c r="L3952" s="1846"/>
    </row>
    <row r="3953" spans="1:64" ht="70.150000000000006" customHeight="1">
      <c r="A3953" s="2013">
        <f>A3935+1</f>
        <v>52</v>
      </c>
      <c r="B3953" s="2013"/>
      <c r="C3953" s="2006" t="s">
        <v>3456</v>
      </c>
      <c r="D3953" s="2006"/>
      <c r="E3953" s="2006"/>
      <c r="F3953" s="2006"/>
      <c r="G3953" s="2006"/>
      <c r="H3953" s="2006"/>
      <c r="I3953" s="1814"/>
      <c r="J3953" s="1846"/>
      <c r="K3953" s="1846"/>
      <c r="L3953" s="1846"/>
    </row>
    <row r="3954" spans="1:64">
      <c r="A3954" s="1798"/>
      <c r="B3954" s="1798"/>
      <c r="C3954" s="1198" t="s">
        <v>1540</v>
      </c>
      <c r="D3954" s="1807"/>
      <c r="E3954" s="1807"/>
      <c r="F3954" s="1794"/>
      <c r="G3954" s="1807"/>
      <c r="H3954" s="1807"/>
      <c r="I3954" s="1209"/>
      <c r="J3954" s="1846"/>
      <c r="K3954" s="1846"/>
      <c r="L3954" s="1846"/>
    </row>
    <row r="3955" spans="1:64">
      <c r="A3955" s="1798"/>
      <c r="B3955" s="1798"/>
      <c r="C3955" s="1795" t="s">
        <v>1535</v>
      </c>
      <c r="D3955" s="1807"/>
      <c r="E3955" s="1807"/>
      <c r="F3955" s="1794"/>
      <c r="G3955" s="1807"/>
      <c r="H3955" s="1807"/>
      <c r="I3955" s="1209"/>
      <c r="J3955" s="1846"/>
      <c r="K3955" s="1846"/>
      <c r="L3955" s="1846"/>
    </row>
    <row r="3956" spans="1:64">
      <c r="A3956" s="1794"/>
      <c r="B3956" s="1794"/>
      <c r="C3956" s="1807" t="s">
        <v>1541</v>
      </c>
      <c r="D3956" s="1287">
        <v>0.5</v>
      </c>
      <c r="E3956" s="1288" t="s">
        <v>97</v>
      </c>
      <c r="F3956" s="1211">
        <f>'Civil-SOR'!$G$185</f>
        <v>34</v>
      </c>
      <c r="G3956" s="1289">
        <f>'Civil-SOR'!$H$185</f>
        <v>1</v>
      </c>
      <c r="H3956" s="1290" t="str">
        <f>IF(E3956="","",IF(E3956="No.","Each",IF(E3956="Nos.","Each",E3956)))</f>
        <v>Kg</v>
      </c>
      <c r="I3956" s="1211">
        <f t="shared" ref="I3956:I3962" si="902">IF(G3956="",D3956*F3956,(D3956*F3956/G3956))</f>
        <v>17</v>
      </c>
      <c r="J3956" s="1022"/>
      <c r="K3956" s="1022"/>
      <c r="L3956" s="1022"/>
      <c r="M3956" s="1066"/>
      <c r="N3956" s="1066"/>
      <c r="O3956" s="1066"/>
      <c r="P3956" s="1066"/>
      <c r="Q3956" s="1066"/>
      <c r="R3956" s="1066"/>
      <c r="S3956" s="1066"/>
      <c r="T3956" s="1066"/>
      <c r="U3956" s="1066"/>
      <c r="V3956" s="1066"/>
      <c r="W3956" s="1066"/>
      <c r="X3956" s="1066"/>
      <c r="Y3956" s="1066"/>
      <c r="Z3956" s="1066"/>
      <c r="AA3956" s="1066"/>
      <c r="AB3956" s="1066"/>
      <c r="AC3956" s="1066"/>
      <c r="AD3956" s="1066"/>
      <c r="AE3956" s="1066"/>
      <c r="AF3956" s="1066"/>
      <c r="AG3956" s="1066"/>
      <c r="AH3956" s="1066"/>
      <c r="AI3956" s="1066"/>
      <c r="AJ3956" s="1066"/>
      <c r="AK3956" s="1066"/>
      <c r="AL3956" s="1066"/>
      <c r="AM3956" s="1066"/>
      <c r="AN3956" s="1066"/>
      <c r="AO3956" s="1066"/>
      <c r="AP3956" s="1066"/>
      <c r="AQ3956" s="1066"/>
      <c r="AR3956" s="1066"/>
      <c r="AS3956" s="1066"/>
      <c r="AT3956" s="1066"/>
      <c r="AU3956" s="1066"/>
      <c r="AV3956" s="1066"/>
      <c r="AW3956" s="1066"/>
      <c r="AX3956" s="1066"/>
      <c r="AY3956" s="1066"/>
      <c r="AZ3956" s="1066"/>
      <c r="BA3956" s="1066"/>
      <c r="BB3956" s="1066"/>
      <c r="BC3956" s="1066"/>
      <c r="BD3956" s="1066"/>
      <c r="BE3956" s="1066"/>
      <c r="BF3956" s="1066"/>
      <c r="BG3956" s="1066"/>
      <c r="BH3956" s="1066"/>
      <c r="BI3956" s="1066"/>
      <c r="BJ3956" s="1066"/>
      <c r="BK3956" s="1066"/>
      <c r="BL3956" s="1066"/>
    </row>
    <row r="3957" spans="1:64">
      <c r="A3957" s="1794"/>
      <c r="B3957" s="1794"/>
      <c r="C3957" s="1807" t="s">
        <v>1529</v>
      </c>
      <c r="D3957" s="1313">
        <v>0.08</v>
      </c>
      <c r="E3957" s="1807" t="s">
        <v>36</v>
      </c>
      <c r="F3957" s="1209">
        <f>'Civil-SOR'!$G$296</f>
        <v>665</v>
      </c>
      <c r="G3957" s="1352">
        <v>1</v>
      </c>
      <c r="H3957" s="1807" t="s">
        <v>501</v>
      </c>
      <c r="I3957" s="1211">
        <f t="shared" si="902"/>
        <v>53.2</v>
      </c>
      <c r="J3957" s="1022"/>
      <c r="K3957" s="1022"/>
      <c r="L3957" s="1022"/>
      <c r="M3957" s="1066"/>
      <c r="N3957" s="1066"/>
      <c r="O3957" s="1066"/>
      <c r="P3957" s="1066"/>
      <c r="Q3957" s="1066"/>
      <c r="R3957" s="1066"/>
      <c r="S3957" s="1066"/>
      <c r="T3957" s="1066"/>
      <c r="U3957" s="1066"/>
      <c r="V3957" s="1066"/>
      <c r="W3957" s="1066"/>
      <c r="X3957" s="1066"/>
      <c r="Y3957" s="1066"/>
      <c r="Z3957" s="1066"/>
      <c r="AA3957" s="1066"/>
      <c r="AB3957" s="1066"/>
      <c r="AC3957" s="1066"/>
      <c r="AD3957" s="1066"/>
      <c r="AE3957" s="1066"/>
      <c r="AF3957" s="1066"/>
      <c r="AG3957" s="1066"/>
      <c r="AH3957" s="1066"/>
      <c r="AI3957" s="1066"/>
      <c r="AJ3957" s="1066"/>
      <c r="AK3957" s="1066"/>
      <c r="AL3957" s="1066"/>
      <c r="AM3957" s="1066"/>
      <c r="AN3957" s="1066"/>
      <c r="AO3957" s="1066"/>
      <c r="AP3957" s="1066"/>
      <c r="AQ3957" s="1066"/>
      <c r="AR3957" s="1066"/>
      <c r="AS3957" s="1066"/>
      <c r="AT3957" s="1066"/>
      <c r="AU3957" s="1066"/>
      <c r="AV3957" s="1066"/>
      <c r="AW3957" s="1066"/>
      <c r="AX3957" s="1066"/>
      <c r="AY3957" s="1066"/>
      <c r="AZ3957" s="1066"/>
      <c r="BA3957" s="1066"/>
      <c r="BB3957" s="1066"/>
      <c r="BC3957" s="1066"/>
      <c r="BD3957" s="1066"/>
      <c r="BE3957" s="1066"/>
      <c r="BF3957" s="1066"/>
      <c r="BG3957" s="1066"/>
      <c r="BH3957" s="1066"/>
      <c r="BI3957" s="1066"/>
      <c r="BJ3957" s="1066"/>
      <c r="BK3957" s="1066"/>
      <c r="BL3957" s="1066"/>
    </row>
    <row r="3958" spans="1:64">
      <c r="A3958" s="1794"/>
      <c r="B3958" s="1794"/>
      <c r="C3958" s="1807" t="s">
        <v>1530</v>
      </c>
      <c r="D3958" s="1313">
        <v>0.19</v>
      </c>
      <c r="E3958" s="1807" t="s">
        <v>36</v>
      </c>
      <c r="F3958" s="1209">
        <f>'Civil-SOR'!$G$303</f>
        <v>550</v>
      </c>
      <c r="G3958" s="1352">
        <v>1</v>
      </c>
      <c r="H3958" s="1807" t="s">
        <v>501</v>
      </c>
      <c r="I3958" s="1211">
        <f t="shared" si="902"/>
        <v>104.5</v>
      </c>
      <c r="J3958" s="1022"/>
      <c r="K3958" s="1022"/>
      <c r="L3958" s="1022"/>
      <c r="M3958" s="1066"/>
      <c r="N3958" s="1066"/>
      <c r="O3958" s="1066"/>
      <c r="P3958" s="1066"/>
      <c r="Q3958" s="1066"/>
      <c r="R3958" s="1066"/>
      <c r="S3958" s="1066"/>
      <c r="T3958" s="1066"/>
      <c r="U3958" s="1066"/>
      <c r="V3958" s="1066"/>
      <c r="W3958" s="1066"/>
      <c r="X3958" s="1066"/>
      <c r="Y3958" s="1066"/>
      <c r="Z3958" s="1066"/>
      <c r="AA3958" s="1066"/>
      <c r="AB3958" s="1066"/>
      <c r="AC3958" s="1066"/>
      <c r="AD3958" s="1066"/>
      <c r="AE3958" s="1066"/>
      <c r="AF3958" s="1066"/>
      <c r="AG3958" s="1066"/>
      <c r="AH3958" s="1066"/>
      <c r="AI3958" s="1066"/>
      <c r="AJ3958" s="1066"/>
      <c r="AK3958" s="1066"/>
      <c r="AL3958" s="1066"/>
      <c r="AM3958" s="1066"/>
      <c r="AN3958" s="1066"/>
      <c r="AO3958" s="1066"/>
      <c r="AP3958" s="1066"/>
      <c r="AQ3958" s="1066"/>
      <c r="AR3958" s="1066"/>
      <c r="AS3958" s="1066"/>
      <c r="AT3958" s="1066"/>
      <c r="AU3958" s="1066"/>
      <c r="AV3958" s="1066"/>
      <c r="AW3958" s="1066"/>
      <c r="AX3958" s="1066"/>
      <c r="AY3958" s="1066"/>
      <c r="AZ3958" s="1066"/>
      <c r="BA3958" s="1066"/>
      <c r="BB3958" s="1066"/>
      <c r="BC3958" s="1066"/>
      <c r="BD3958" s="1066"/>
      <c r="BE3958" s="1066"/>
      <c r="BF3958" s="1066"/>
      <c r="BG3958" s="1066"/>
      <c r="BH3958" s="1066"/>
      <c r="BI3958" s="1066"/>
      <c r="BJ3958" s="1066"/>
      <c r="BK3958" s="1066"/>
      <c r="BL3958" s="1066"/>
    </row>
    <row r="3959" spans="1:64">
      <c r="A3959" s="1794"/>
      <c r="B3959" s="1794"/>
      <c r="C3959" s="1807" t="s">
        <v>1542</v>
      </c>
      <c r="D3959" s="1313">
        <v>1.7</v>
      </c>
      <c r="E3959" s="1807" t="s">
        <v>1380</v>
      </c>
      <c r="F3959" s="1209">
        <f>'Civil-SOR'!$G$66</f>
        <v>63</v>
      </c>
      <c r="G3959" s="1352">
        <v>1</v>
      </c>
      <c r="H3959" s="1807" t="s">
        <v>138</v>
      </c>
      <c r="I3959" s="1211">
        <f t="shared" si="902"/>
        <v>107.1</v>
      </c>
      <c r="J3959" s="1022"/>
      <c r="K3959" s="1022"/>
      <c r="L3959" s="1022"/>
      <c r="M3959" s="1066"/>
      <c r="N3959" s="1066"/>
      <c r="O3959" s="1066"/>
      <c r="P3959" s="1066"/>
      <c r="Q3959" s="1066"/>
      <c r="R3959" s="1066"/>
      <c r="S3959" s="1066"/>
      <c r="T3959" s="1066"/>
      <c r="U3959" s="1066"/>
      <c r="V3959" s="1066"/>
      <c r="W3959" s="1066"/>
      <c r="X3959" s="1066"/>
      <c r="Y3959" s="1066"/>
      <c r="Z3959" s="1066"/>
      <c r="AA3959" s="1066"/>
      <c r="AB3959" s="1066"/>
      <c r="AC3959" s="1066"/>
      <c r="AD3959" s="1066"/>
      <c r="AE3959" s="1066"/>
      <c r="AF3959" s="1066"/>
      <c r="AG3959" s="1066"/>
      <c r="AH3959" s="1066"/>
      <c r="AI3959" s="1066"/>
      <c r="AJ3959" s="1066"/>
      <c r="AK3959" s="1066"/>
      <c r="AL3959" s="1066"/>
      <c r="AM3959" s="1066"/>
      <c r="AN3959" s="1066"/>
      <c r="AO3959" s="1066"/>
      <c r="AP3959" s="1066"/>
      <c r="AQ3959" s="1066"/>
      <c r="AR3959" s="1066"/>
      <c r="AS3959" s="1066"/>
      <c r="AT3959" s="1066"/>
      <c r="AU3959" s="1066"/>
      <c r="AV3959" s="1066"/>
      <c r="AW3959" s="1066"/>
      <c r="AX3959" s="1066"/>
      <c r="AY3959" s="1066"/>
      <c r="AZ3959" s="1066"/>
      <c r="BA3959" s="1066"/>
      <c r="BB3959" s="1066"/>
      <c r="BC3959" s="1066"/>
      <c r="BD3959" s="1066"/>
      <c r="BE3959" s="1066"/>
      <c r="BF3959" s="1066"/>
      <c r="BG3959" s="1066"/>
      <c r="BH3959" s="1066"/>
      <c r="BI3959" s="1066"/>
      <c r="BJ3959" s="1066"/>
      <c r="BK3959" s="1066"/>
      <c r="BL3959" s="1066"/>
    </row>
    <row r="3960" spans="1:64">
      <c r="A3960" s="1794"/>
      <c r="B3960" s="1794"/>
      <c r="C3960" s="1807" t="s">
        <v>1529</v>
      </c>
      <c r="D3960" s="1313">
        <v>0.36</v>
      </c>
      <c r="E3960" s="1807" t="s">
        <v>36</v>
      </c>
      <c r="F3960" s="1209">
        <f>'Civil-SOR'!$G$296</f>
        <v>665</v>
      </c>
      <c r="G3960" s="1352">
        <v>1</v>
      </c>
      <c r="H3960" s="1807" t="s">
        <v>501</v>
      </c>
      <c r="I3960" s="1211">
        <f t="shared" si="902"/>
        <v>239.39999999999998</v>
      </c>
      <c r="J3960" s="1022"/>
      <c r="K3960" s="1022"/>
      <c r="L3960" s="1022"/>
      <c r="M3960" s="1066"/>
      <c r="N3960" s="1066"/>
      <c r="O3960" s="1066"/>
      <c r="P3960" s="1066"/>
      <c r="Q3960" s="1066"/>
      <c r="R3960" s="1066"/>
      <c r="S3960" s="1066"/>
      <c r="T3960" s="1066"/>
      <c r="U3960" s="1066"/>
      <c r="V3960" s="1066"/>
      <c r="W3960" s="1066"/>
      <c r="X3960" s="1066"/>
      <c r="Y3960" s="1066"/>
      <c r="Z3960" s="1066"/>
      <c r="AA3960" s="1066"/>
      <c r="AB3960" s="1066"/>
      <c r="AC3960" s="1066"/>
      <c r="AD3960" s="1066"/>
      <c r="AE3960" s="1066"/>
      <c r="AF3960" s="1066"/>
      <c r="AG3960" s="1066"/>
      <c r="AH3960" s="1066"/>
      <c r="AI3960" s="1066"/>
      <c r="AJ3960" s="1066"/>
      <c r="AK3960" s="1066"/>
      <c r="AL3960" s="1066"/>
      <c r="AM3960" s="1066"/>
      <c r="AN3960" s="1066"/>
      <c r="AO3960" s="1066"/>
      <c r="AP3960" s="1066"/>
      <c r="AQ3960" s="1066"/>
      <c r="AR3960" s="1066"/>
      <c r="AS3960" s="1066"/>
      <c r="AT3960" s="1066"/>
      <c r="AU3960" s="1066"/>
      <c r="AV3960" s="1066"/>
      <c r="AW3960" s="1066"/>
      <c r="AX3960" s="1066"/>
      <c r="AY3960" s="1066"/>
      <c r="AZ3960" s="1066"/>
      <c r="BA3960" s="1066"/>
      <c r="BB3960" s="1066"/>
      <c r="BC3960" s="1066"/>
      <c r="BD3960" s="1066"/>
      <c r="BE3960" s="1066"/>
      <c r="BF3960" s="1066"/>
      <c r="BG3960" s="1066"/>
      <c r="BH3960" s="1066"/>
      <c r="BI3960" s="1066"/>
      <c r="BJ3960" s="1066"/>
      <c r="BK3960" s="1066"/>
      <c r="BL3960" s="1066"/>
    </row>
    <row r="3961" spans="1:64">
      <c r="A3961" s="1794"/>
      <c r="B3961" s="1794"/>
      <c r="C3961" s="1807" t="s">
        <v>1530</v>
      </c>
      <c r="D3961" s="1313">
        <v>0.84</v>
      </c>
      <c r="E3961" s="1807" t="s">
        <v>36</v>
      </c>
      <c r="F3961" s="1209">
        <f>'Civil-SOR'!$G$303</f>
        <v>550</v>
      </c>
      <c r="G3961" s="1352">
        <v>1</v>
      </c>
      <c r="H3961" s="1807" t="s">
        <v>501</v>
      </c>
      <c r="I3961" s="1211">
        <f t="shared" si="902"/>
        <v>462</v>
      </c>
      <c r="J3961" s="1022"/>
      <c r="K3961" s="1022"/>
      <c r="L3961" s="1022"/>
      <c r="M3961" s="1066"/>
      <c r="N3961" s="1066"/>
      <c r="O3961" s="1066"/>
      <c r="P3961" s="1066"/>
      <c r="Q3961" s="1066"/>
      <c r="R3961" s="1066"/>
      <c r="S3961" s="1066"/>
      <c r="T3961" s="1066"/>
      <c r="U3961" s="1066"/>
      <c r="V3961" s="1066"/>
      <c r="W3961" s="1066"/>
      <c r="X3961" s="1066"/>
      <c r="Y3961" s="1066"/>
      <c r="Z3961" s="1066"/>
      <c r="AA3961" s="1066"/>
      <c r="AB3961" s="1066"/>
      <c r="AC3961" s="1066"/>
      <c r="AD3961" s="1066"/>
      <c r="AE3961" s="1066"/>
      <c r="AF3961" s="1066"/>
      <c r="AG3961" s="1066"/>
      <c r="AH3961" s="1066"/>
      <c r="AI3961" s="1066"/>
      <c r="AJ3961" s="1066"/>
      <c r="AK3961" s="1066"/>
      <c r="AL3961" s="1066"/>
      <c r="AM3961" s="1066"/>
      <c r="AN3961" s="1066"/>
      <c r="AO3961" s="1066"/>
      <c r="AP3961" s="1066"/>
      <c r="AQ3961" s="1066"/>
      <c r="AR3961" s="1066"/>
      <c r="AS3961" s="1066"/>
      <c r="AT3961" s="1066"/>
      <c r="AU3961" s="1066"/>
      <c r="AV3961" s="1066"/>
      <c r="AW3961" s="1066"/>
      <c r="AX3961" s="1066"/>
      <c r="AY3961" s="1066"/>
      <c r="AZ3961" s="1066"/>
      <c r="BA3961" s="1066"/>
      <c r="BB3961" s="1066"/>
      <c r="BC3961" s="1066"/>
      <c r="BD3961" s="1066"/>
      <c r="BE3961" s="1066"/>
      <c r="BF3961" s="1066"/>
      <c r="BG3961" s="1066"/>
      <c r="BH3961" s="1066"/>
      <c r="BI3961" s="1066"/>
      <c r="BJ3961" s="1066"/>
      <c r="BK3961" s="1066"/>
      <c r="BL3961" s="1066"/>
    </row>
    <row r="3962" spans="1:64">
      <c r="A3962" s="1794"/>
      <c r="B3962" s="1794"/>
      <c r="C3962" s="1807" t="str">
        <f>Input!$C$47</f>
        <v>Add for MA @ 40%</v>
      </c>
      <c r="D3962" s="1313">
        <f>Input!$D$47</f>
        <v>0.4</v>
      </c>
      <c r="E3962" s="1807"/>
      <c r="F3962" s="1209">
        <f>I3957+I3958+I3960+I3961</f>
        <v>859.09999999999991</v>
      </c>
      <c r="G3962" s="1807"/>
      <c r="H3962" s="1807"/>
      <c r="I3962" s="1211">
        <f t="shared" si="902"/>
        <v>343.64</v>
      </c>
      <c r="J3962" s="1022"/>
      <c r="K3962" s="1022"/>
      <c r="L3962" s="1022"/>
      <c r="M3962" s="1066"/>
      <c r="N3962" s="1066"/>
      <c r="O3962" s="1066"/>
      <c r="P3962" s="1066"/>
      <c r="Q3962" s="1066"/>
      <c r="R3962" s="1066"/>
      <c r="S3962" s="1066"/>
      <c r="T3962" s="1066"/>
      <c r="U3962" s="1066"/>
      <c r="V3962" s="1066"/>
      <c r="W3962" s="1066"/>
      <c r="X3962" s="1066"/>
      <c r="Y3962" s="1066"/>
      <c r="Z3962" s="1066"/>
      <c r="AA3962" s="1066"/>
      <c r="AB3962" s="1066"/>
      <c r="AC3962" s="1066"/>
      <c r="AD3962" s="1066"/>
      <c r="AE3962" s="1066"/>
      <c r="AF3962" s="1066"/>
      <c r="AG3962" s="1066"/>
      <c r="AH3962" s="1066"/>
      <c r="AI3962" s="1066"/>
      <c r="AJ3962" s="1066"/>
      <c r="AK3962" s="1066"/>
      <c r="AL3962" s="1066"/>
      <c r="AM3962" s="1066"/>
      <c r="AN3962" s="1066"/>
      <c r="AO3962" s="1066"/>
      <c r="AP3962" s="1066"/>
      <c r="AQ3962" s="1066"/>
      <c r="AR3962" s="1066"/>
      <c r="AS3962" s="1066"/>
      <c r="AT3962" s="1066"/>
      <c r="AU3962" s="1066"/>
      <c r="AV3962" s="1066"/>
      <c r="AW3962" s="1066"/>
      <c r="AX3962" s="1066"/>
      <c r="AY3962" s="1066"/>
      <c r="AZ3962" s="1066"/>
      <c r="BA3962" s="1066"/>
      <c r="BB3962" s="1066"/>
      <c r="BC3962" s="1066"/>
      <c r="BD3962" s="1066"/>
      <c r="BE3962" s="1066"/>
      <c r="BF3962" s="1066"/>
      <c r="BG3962" s="1066"/>
      <c r="BH3962" s="1066"/>
      <c r="BI3962" s="1066"/>
      <c r="BJ3962" s="1066"/>
      <c r="BK3962" s="1066"/>
      <c r="BL3962" s="1066"/>
    </row>
    <row r="3963" spans="1:64" ht="25.5">
      <c r="A3963" s="1794"/>
      <c r="B3963" s="1794"/>
      <c r="C3963" s="1807" t="s">
        <v>1531</v>
      </c>
      <c r="D3963" s="1352">
        <v>0.01</v>
      </c>
      <c r="E3963" s="1807"/>
      <c r="F3963" s="1209">
        <f>SUM(I3956:I3962)</f>
        <v>1326.84</v>
      </c>
      <c r="G3963" s="1807"/>
      <c r="H3963" s="1807"/>
      <c r="I3963" s="1211"/>
      <c r="J3963" s="1022"/>
      <c r="K3963" s="1022"/>
      <c r="L3963" s="1022"/>
      <c r="M3963" s="1066"/>
      <c r="N3963" s="1066"/>
      <c r="O3963" s="1066"/>
      <c r="P3963" s="1066"/>
      <c r="Q3963" s="1066"/>
      <c r="R3963" s="1066"/>
      <c r="S3963" s="1066"/>
      <c r="T3963" s="1066"/>
      <c r="U3963" s="1066"/>
      <c r="V3963" s="1066"/>
      <c r="W3963" s="1066"/>
      <c r="X3963" s="1066"/>
      <c r="Y3963" s="1066"/>
      <c r="Z3963" s="1066"/>
      <c r="AA3963" s="1066"/>
      <c r="AB3963" s="1066"/>
      <c r="AC3963" s="1066"/>
      <c r="AD3963" s="1066"/>
      <c r="AE3963" s="1066"/>
      <c r="AF3963" s="1066"/>
      <c r="AG3963" s="1066"/>
      <c r="AH3963" s="1066"/>
      <c r="AI3963" s="1066"/>
      <c r="AJ3963" s="1066"/>
      <c r="AK3963" s="1066"/>
      <c r="AL3963" s="1066"/>
      <c r="AM3963" s="1066"/>
      <c r="AN3963" s="1066"/>
      <c r="AO3963" s="1066"/>
      <c r="AP3963" s="1066"/>
      <c r="AQ3963" s="1066"/>
      <c r="AR3963" s="1066"/>
      <c r="AS3963" s="1066"/>
      <c r="AT3963" s="1066"/>
      <c r="AU3963" s="1066"/>
      <c r="AV3963" s="1066"/>
      <c r="AW3963" s="1066"/>
      <c r="AX3963" s="1066"/>
      <c r="AY3963" s="1066"/>
      <c r="AZ3963" s="1066"/>
      <c r="BA3963" s="1066"/>
      <c r="BB3963" s="1066"/>
      <c r="BC3963" s="1066"/>
      <c r="BD3963" s="1066"/>
      <c r="BE3963" s="1066"/>
      <c r="BF3963" s="1066"/>
      <c r="BG3963" s="1066"/>
      <c r="BH3963" s="1066"/>
      <c r="BI3963" s="1066"/>
      <c r="BJ3963" s="1066"/>
      <c r="BK3963" s="1066"/>
      <c r="BL3963" s="1066"/>
    </row>
    <row r="3964" spans="1:64">
      <c r="A3964" s="1794"/>
      <c r="B3964" s="1794"/>
      <c r="C3964" s="1807"/>
      <c r="D3964" s="1352"/>
      <c r="E3964" s="1807"/>
      <c r="F3964" s="1209"/>
      <c r="G3964" s="1807"/>
      <c r="H3964" s="1807"/>
      <c r="I3964" s="1307">
        <f>SUM(I3956:I3963)</f>
        <v>1326.84</v>
      </c>
      <c r="J3964" s="1022"/>
      <c r="K3964" s="1022"/>
      <c r="L3964" s="1022"/>
      <c r="M3964" s="1066"/>
      <c r="N3964" s="1066"/>
      <c r="O3964" s="1066"/>
      <c r="P3964" s="1066"/>
      <c r="Q3964" s="1066"/>
      <c r="R3964" s="1066"/>
      <c r="S3964" s="1066"/>
      <c r="T3964" s="1066"/>
      <c r="U3964" s="1066"/>
      <c r="V3964" s="1066"/>
      <c r="W3964" s="1066"/>
      <c r="X3964" s="1066"/>
      <c r="Y3964" s="1066"/>
      <c r="Z3964" s="1066"/>
      <c r="AA3964" s="1066"/>
      <c r="AB3964" s="1066"/>
      <c r="AC3964" s="1066"/>
      <c r="AD3964" s="1066"/>
      <c r="AE3964" s="1066"/>
      <c r="AF3964" s="1066"/>
      <c r="AG3964" s="1066"/>
      <c r="AH3964" s="1066"/>
      <c r="AI3964" s="1066"/>
      <c r="AJ3964" s="1066"/>
      <c r="AK3964" s="1066"/>
      <c r="AL3964" s="1066"/>
      <c r="AM3964" s="1066"/>
      <c r="AN3964" s="1066"/>
      <c r="AO3964" s="1066"/>
      <c r="AP3964" s="1066"/>
      <c r="AQ3964" s="1066"/>
      <c r="AR3964" s="1066"/>
      <c r="AS3964" s="1066"/>
      <c r="AT3964" s="1066"/>
      <c r="AU3964" s="1066"/>
      <c r="AV3964" s="1066"/>
      <c r="AW3964" s="1066"/>
      <c r="AX3964" s="1066"/>
      <c r="AY3964" s="1066"/>
      <c r="AZ3964" s="1066"/>
      <c r="BA3964" s="1066"/>
      <c r="BB3964" s="1066"/>
      <c r="BC3964" s="1066"/>
      <c r="BD3964" s="1066"/>
      <c r="BE3964" s="1066"/>
      <c r="BF3964" s="1066"/>
      <c r="BG3964" s="1066"/>
      <c r="BH3964" s="1066"/>
      <c r="BI3964" s="1066"/>
      <c r="BJ3964" s="1066"/>
      <c r="BK3964" s="1066"/>
      <c r="BL3964" s="1066"/>
    </row>
    <row r="3965" spans="1:64">
      <c r="A3965" s="1794"/>
      <c r="B3965" s="1794"/>
      <c r="C3965" s="1807" t="str">
        <f>Input!$C$48</f>
        <v>Overheads &amp; Contractors Profit @ 13.615%</v>
      </c>
      <c r="D3965" s="1355">
        <f>Input!$D$48</f>
        <v>0.13614999999999999</v>
      </c>
      <c r="E3965" s="1304"/>
      <c r="F3965" s="1211">
        <f>I3964</f>
        <v>1326.84</v>
      </c>
      <c r="G3965" s="1289"/>
      <c r="H3965" s="1208"/>
      <c r="I3965" s="1211">
        <f>IF(G3965="",D3965*F3965,(D3965*F3965/G3965))</f>
        <v>180.64926599999998</v>
      </c>
      <c r="J3965" s="1022"/>
      <c r="K3965" s="1022"/>
      <c r="L3965" s="1022"/>
      <c r="M3965" s="1066"/>
      <c r="N3965" s="1066"/>
      <c r="O3965" s="1066"/>
      <c r="P3965" s="1066"/>
      <c r="Q3965" s="1066"/>
      <c r="R3965" s="1066"/>
      <c r="S3965" s="1066"/>
      <c r="T3965" s="1066"/>
      <c r="U3965" s="1066"/>
      <c r="V3965" s="1066"/>
      <c r="W3965" s="1066"/>
      <c r="X3965" s="1066"/>
      <c r="Y3965" s="1066"/>
      <c r="Z3965" s="1066"/>
      <c r="AA3965" s="1066"/>
      <c r="AB3965" s="1066"/>
      <c r="AC3965" s="1066"/>
      <c r="AD3965" s="1066"/>
      <c r="AE3965" s="1066"/>
      <c r="AF3965" s="1066"/>
      <c r="AG3965" s="1066"/>
      <c r="AH3965" s="1066"/>
      <c r="AI3965" s="1066"/>
      <c r="AJ3965" s="1066"/>
      <c r="AK3965" s="1066"/>
      <c r="AL3965" s="1066"/>
      <c r="AM3965" s="1066"/>
      <c r="AN3965" s="1066"/>
      <c r="AO3965" s="1066"/>
      <c r="AP3965" s="1066"/>
      <c r="AQ3965" s="1066"/>
      <c r="AR3965" s="1066"/>
      <c r="AS3965" s="1066"/>
      <c r="AT3965" s="1066"/>
      <c r="AU3965" s="1066"/>
      <c r="AV3965" s="1066"/>
      <c r="AW3965" s="1066"/>
      <c r="AX3965" s="1066"/>
      <c r="AY3965" s="1066"/>
      <c r="AZ3965" s="1066"/>
      <c r="BA3965" s="1066"/>
      <c r="BB3965" s="1066"/>
      <c r="BC3965" s="1066"/>
      <c r="BD3965" s="1066"/>
      <c r="BE3965" s="1066"/>
      <c r="BF3965" s="1066"/>
      <c r="BG3965" s="1066"/>
      <c r="BH3965" s="1066"/>
      <c r="BI3965" s="1066"/>
      <c r="BJ3965" s="1066"/>
      <c r="BK3965" s="1066"/>
      <c r="BL3965" s="1066"/>
    </row>
    <row r="3966" spans="1:64">
      <c r="A3966" s="1798"/>
      <c r="B3966" s="1798"/>
      <c r="C3966" s="1795" t="s">
        <v>1044</v>
      </c>
      <c r="D3966" s="1807"/>
      <c r="E3966" s="1807"/>
      <c r="F3966" s="1794"/>
      <c r="G3966" s="1807"/>
      <c r="H3966" s="1807"/>
      <c r="I3966" s="1209">
        <f>SUM(I3964:I3965)</f>
        <v>1507.4892659999998</v>
      </c>
      <c r="J3966" s="1846"/>
      <c r="K3966" s="1846"/>
      <c r="L3966" s="1846"/>
    </row>
    <row r="3967" spans="1:64">
      <c r="A3967" s="1798"/>
      <c r="B3967" s="1798"/>
      <c r="C3967" s="1795" t="s">
        <v>1045</v>
      </c>
      <c r="D3967" s="1807"/>
      <c r="E3967" s="1807"/>
      <c r="F3967" s="1794"/>
      <c r="G3967" s="1807"/>
      <c r="H3967" s="1807"/>
      <c r="I3967" s="1209">
        <f>I3966/10</f>
        <v>150.74892659999998</v>
      </c>
      <c r="J3967" s="1846"/>
      <c r="K3967" s="1846"/>
      <c r="L3967" s="1846"/>
    </row>
    <row r="3968" spans="1:64">
      <c r="A3968" s="1798"/>
      <c r="B3968" s="1798"/>
      <c r="C3968" s="1199"/>
      <c r="D3968" s="1807"/>
      <c r="E3968" s="1807"/>
      <c r="F3968" s="1794"/>
      <c r="G3968" s="1807"/>
      <c r="H3968" s="1299" t="s">
        <v>1065</v>
      </c>
      <c r="I3968" s="1219">
        <f>ROUND(I3967,0)</f>
        <v>151</v>
      </c>
      <c r="J3968" s="1846"/>
      <c r="K3968" s="1846"/>
      <c r="L3968" s="1846"/>
    </row>
    <row r="3969" spans="1:64">
      <c r="A3969" s="1798"/>
      <c r="B3969" s="1798"/>
      <c r="C3969" s="1795"/>
      <c r="D3969" s="1807"/>
      <c r="E3969" s="1807"/>
      <c r="F3969" s="1794"/>
      <c r="G3969" s="1807"/>
      <c r="H3969" s="1299"/>
      <c r="I3969" s="1218"/>
      <c r="J3969" s="1846"/>
      <c r="K3969" s="1846"/>
      <c r="L3969" s="1846"/>
    </row>
    <row r="3970" spans="1:64" ht="63" customHeight="1">
      <c r="A3970" s="2013">
        <f>A3953+1</f>
        <v>53</v>
      </c>
      <c r="B3970" s="2013"/>
      <c r="C3970" s="2031" t="s">
        <v>3596</v>
      </c>
      <c r="D3970" s="2032"/>
      <c r="E3970" s="2032"/>
      <c r="F3970" s="2032"/>
      <c r="G3970" s="2032"/>
      <c r="H3970" s="2032"/>
      <c r="I3970" s="2033"/>
      <c r="J3970" s="1846"/>
      <c r="K3970" s="1846"/>
      <c r="L3970" s="1846"/>
    </row>
    <row r="3971" spans="1:64">
      <c r="A3971" s="1798"/>
      <c r="B3971" s="1798"/>
      <c r="C3971" s="1198" t="s">
        <v>1543</v>
      </c>
      <c r="D3971" s="1807"/>
      <c r="E3971" s="1807"/>
      <c r="F3971" s="1794"/>
      <c r="G3971" s="1807"/>
      <c r="H3971" s="1807"/>
      <c r="I3971" s="1209"/>
      <c r="J3971" s="1846"/>
      <c r="K3971" s="1846"/>
      <c r="L3971" s="1846"/>
    </row>
    <row r="3972" spans="1:64">
      <c r="A3972" s="1794"/>
      <c r="B3972" s="1794"/>
      <c r="C3972" s="1795" t="s">
        <v>1535</v>
      </c>
      <c r="D3972" s="1807"/>
      <c r="E3972" s="1807"/>
      <c r="F3972" s="1794"/>
      <c r="G3972" s="1807"/>
      <c r="H3972" s="1807"/>
      <c r="I3972" s="1209"/>
      <c r="J3972" s="1022"/>
      <c r="K3972" s="1022"/>
      <c r="L3972" s="1022"/>
      <c r="M3972" s="1066"/>
      <c r="N3972" s="1066"/>
      <c r="O3972" s="1066"/>
      <c r="P3972" s="1066"/>
      <c r="Q3972" s="1066"/>
      <c r="R3972" s="1066"/>
      <c r="S3972" s="1066"/>
      <c r="T3972" s="1066"/>
      <c r="U3972" s="1066"/>
      <c r="V3972" s="1066"/>
      <c r="W3972" s="1066"/>
      <c r="X3972" s="1066"/>
      <c r="Y3972" s="1066"/>
      <c r="Z3972" s="1066"/>
      <c r="AA3972" s="1066"/>
      <c r="AB3972" s="1066"/>
      <c r="AC3972" s="1066"/>
      <c r="AD3972" s="1066"/>
      <c r="AE3972" s="1066"/>
      <c r="AF3972" s="1066"/>
      <c r="AG3972" s="1066"/>
      <c r="AH3972" s="1066"/>
      <c r="AI3972" s="1066"/>
      <c r="AJ3972" s="1066"/>
      <c r="AK3972" s="1066"/>
      <c r="AL3972" s="1066"/>
      <c r="AM3972" s="1066"/>
      <c r="AN3972" s="1066"/>
      <c r="AO3972" s="1066"/>
      <c r="AP3972" s="1066"/>
      <c r="AQ3972" s="1066"/>
      <c r="AR3972" s="1066"/>
      <c r="AS3972" s="1066"/>
      <c r="AT3972" s="1066"/>
      <c r="AU3972" s="1066"/>
      <c r="AV3972" s="1066"/>
      <c r="AW3972" s="1066"/>
      <c r="AX3972" s="1066"/>
      <c r="AY3972" s="1066"/>
      <c r="AZ3972" s="1066"/>
      <c r="BA3972" s="1066"/>
      <c r="BB3972" s="1066"/>
      <c r="BC3972" s="1066"/>
      <c r="BD3972" s="1066"/>
      <c r="BE3972" s="1066"/>
      <c r="BF3972" s="1066"/>
      <c r="BG3972" s="1066"/>
      <c r="BH3972" s="1066"/>
      <c r="BI3972" s="1066"/>
      <c r="BJ3972" s="1066"/>
      <c r="BK3972" s="1066"/>
      <c r="BL3972" s="1066"/>
    </row>
    <row r="3973" spans="1:64">
      <c r="A3973" s="1794"/>
      <c r="B3973" s="1794"/>
      <c r="C3973" s="1807" t="s">
        <v>1542</v>
      </c>
      <c r="D3973" s="1313">
        <v>1.7</v>
      </c>
      <c r="E3973" s="1807" t="s">
        <v>1380</v>
      </c>
      <c r="F3973" s="1209">
        <f>'Civil-SOR'!$G$66</f>
        <v>63</v>
      </c>
      <c r="G3973" s="1352">
        <v>1</v>
      </c>
      <c r="H3973" s="1807" t="s">
        <v>138</v>
      </c>
      <c r="I3973" s="1211">
        <f t="shared" ref="I3973:I3976" si="903">IF(G3973="",D3973*F3973,(D3973*F3973/G3973))</f>
        <v>107.1</v>
      </c>
      <c r="J3973" s="1022"/>
      <c r="K3973" s="1022"/>
      <c r="L3973" s="1022"/>
      <c r="M3973" s="1066"/>
      <c r="N3973" s="1066"/>
      <c r="O3973" s="1066"/>
      <c r="P3973" s="1066"/>
      <c r="Q3973" s="1066"/>
      <c r="R3973" s="1066"/>
      <c r="S3973" s="1066"/>
      <c r="T3973" s="1066"/>
      <c r="U3973" s="1066"/>
      <c r="V3973" s="1066"/>
      <c r="W3973" s="1066"/>
      <c r="X3973" s="1066"/>
      <c r="Y3973" s="1066"/>
      <c r="Z3973" s="1066"/>
      <c r="AA3973" s="1066"/>
      <c r="AB3973" s="1066"/>
      <c r="AC3973" s="1066"/>
      <c r="AD3973" s="1066"/>
      <c r="AE3973" s="1066"/>
      <c r="AF3973" s="1066"/>
      <c r="AG3973" s="1066"/>
      <c r="AH3973" s="1066"/>
      <c r="AI3973" s="1066"/>
      <c r="AJ3973" s="1066"/>
      <c r="AK3973" s="1066"/>
      <c r="AL3973" s="1066"/>
      <c r="AM3973" s="1066"/>
      <c r="AN3973" s="1066"/>
      <c r="AO3973" s="1066"/>
      <c r="AP3973" s="1066"/>
      <c r="AQ3973" s="1066"/>
      <c r="AR3973" s="1066"/>
      <c r="AS3973" s="1066"/>
      <c r="AT3973" s="1066"/>
      <c r="AU3973" s="1066"/>
      <c r="AV3973" s="1066"/>
      <c r="AW3973" s="1066"/>
      <c r="AX3973" s="1066"/>
      <c r="AY3973" s="1066"/>
      <c r="AZ3973" s="1066"/>
      <c r="BA3973" s="1066"/>
      <c r="BB3973" s="1066"/>
      <c r="BC3973" s="1066"/>
      <c r="BD3973" s="1066"/>
      <c r="BE3973" s="1066"/>
      <c r="BF3973" s="1066"/>
      <c r="BG3973" s="1066"/>
      <c r="BH3973" s="1066"/>
      <c r="BI3973" s="1066"/>
      <c r="BJ3973" s="1066"/>
      <c r="BK3973" s="1066"/>
      <c r="BL3973" s="1066"/>
    </row>
    <row r="3974" spans="1:64">
      <c r="A3974" s="1794"/>
      <c r="B3974" s="1794"/>
      <c r="C3974" s="1807" t="s">
        <v>1529</v>
      </c>
      <c r="D3974" s="1313">
        <v>0.36</v>
      </c>
      <c r="E3974" s="1807" t="s">
        <v>36</v>
      </c>
      <c r="F3974" s="1209">
        <f>'Civil-SOR'!$G$296</f>
        <v>665</v>
      </c>
      <c r="G3974" s="1352">
        <v>1</v>
      </c>
      <c r="H3974" s="1807" t="s">
        <v>501</v>
      </c>
      <c r="I3974" s="1211">
        <f t="shared" si="903"/>
        <v>239.39999999999998</v>
      </c>
      <c r="J3974" s="1022"/>
      <c r="K3974" s="1022"/>
      <c r="L3974" s="1022"/>
      <c r="M3974" s="1066"/>
      <c r="N3974" s="1066"/>
      <c r="O3974" s="1066"/>
      <c r="P3974" s="1066"/>
      <c r="Q3974" s="1066"/>
      <c r="R3974" s="1066"/>
      <c r="S3974" s="1066"/>
      <c r="T3974" s="1066"/>
      <c r="U3974" s="1066"/>
      <c r="V3974" s="1066"/>
      <c r="W3974" s="1066"/>
      <c r="X3974" s="1066"/>
      <c r="Y3974" s="1066"/>
      <c r="Z3974" s="1066"/>
      <c r="AA3974" s="1066"/>
      <c r="AB3974" s="1066"/>
      <c r="AC3974" s="1066"/>
      <c r="AD3974" s="1066"/>
      <c r="AE3974" s="1066"/>
      <c r="AF3974" s="1066"/>
      <c r="AG3974" s="1066"/>
      <c r="AH3974" s="1066"/>
      <c r="AI3974" s="1066"/>
      <c r="AJ3974" s="1066"/>
      <c r="AK3974" s="1066"/>
      <c r="AL3974" s="1066"/>
      <c r="AM3974" s="1066"/>
      <c r="AN3974" s="1066"/>
      <c r="AO3974" s="1066"/>
      <c r="AP3974" s="1066"/>
      <c r="AQ3974" s="1066"/>
      <c r="AR3974" s="1066"/>
      <c r="AS3974" s="1066"/>
      <c r="AT3974" s="1066"/>
      <c r="AU3974" s="1066"/>
      <c r="AV3974" s="1066"/>
      <c r="AW3974" s="1066"/>
      <c r="AX3974" s="1066"/>
      <c r="AY3974" s="1066"/>
      <c r="AZ3974" s="1066"/>
      <c r="BA3974" s="1066"/>
      <c r="BB3974" s="1066"/>
      <c r="BC3974" s="1066"/>
      <c r="BD3974" s="1066"/>
      <c r="BE3974" s="1066"/>
      <c r="BF3974" s="1066"/>
      <c r="BG3974" s="1066"/>
      <c r="BH3974" s="1066"/>
      <c r="BI3974" s="1066"/>
      <c r="BJ3974" s="1066"/>
      <c r="BK3974" s="1066"/>
      <c r="BL3974" s="1066"/>
    </row>
    <row r="3975" spans="1:64">
      <c r="A3975" s="1794"/>
      <c r="B3975" s="1794"/>
      <c r="C3975" s="1807" t="s">
        <v>1530</v>
      </c>
      <c r="D3975" s="1313">
        <v>0.84</v>
      </c>
      <c r="E3975" s="1807" t="s">
        <v>36</v>
      </c>
      <c r="F3975" s="1209">
        <f>'Civil-SOR'!$G$303</f>
        <v>550</v>
      </c>
      <c r="G3975" s="1352">
        <v>1</v>
      </c>
      <c r="H3975" s="1807" t="s">
        <v>501</v>
      </c>
      <c r="I3975" s="1211">
        <f t="shared" si="903"/>
        <v>462</v>
      </c>
      <c r="J3975" s="1022"/>
      <c r="K3975" s="1022"/>
      <c r="L3975" s="1022"/>
      <c r="M3975" s="1066"/>
      <c r="N3975" s="1066"/>
      <c r="O3975" s="1066"/>
      <c r="P3975" s="1066"/>
      <c r="Q3975" s="1066"/>
      <c r="R3975" s="1066"/>
      <c r="S3975" s="1066"/>
      <c r="T3975" s="1066"/>
      <c r="U3975" s="1066"/>
      <c r="V3975" s="1066"/>
      <c r="W3975" s="1066"/>
      <c r="X3975" s="1066"/>
      <c r="Y3975" s="1066"/>
      <c r="Z3975" s="1066"/>
      <c r="AA3975" s="1066"/>
      <c r="AB3975" s="1066"/>
      <c r="AC3975" s="1066"/>
      <c r="AD3975" s="1066"/>
      <c r="AE3975" s="1066"/>
      <c r="AF3975" s="1066"/>
      <c r="AG3975" s="1066"/>
      <c r="AH3975" s="1066"/>
      <c r="AI3975" s="1066"/>
      <c r="AJ3975" s="1066"/>
      <c r="AK3975" s="1066"/>
      <c r="AL3975" s="1066"/>
      <c r="AM3975" s="1066"/>
      <c r="AN3975" s="1066"/>
      <c r="AO3975" s="1066"/>
      <c r="AP3975" s="1066"/>
      <c r="AQ3975" s="1066"/>
      <c r="AR3975" s="1066"/>
      <c r="AS3975" s="1066"/>
      <c r="AT3975" s="1066"/>
      <c r="AU3975" s="1066"/>
      <c r="AV3975" s="1066"/>
      <c r="AW3975" s="1066"/>
      <c r="AX3975" s="1066"/>
      <c r="AY3975" s="1066"/>
      <c r="AZ3975" s="1066"/>
      <c r="BA3975" s="1066"/>
      <c r="BB3975" s="1066"/>
      <c r="BC3975" s="1066"/>
      <c r="BD3975" s="1066"/>
      <c r="BE3975" s="1066"/>
      <c r="BF3975" s="1066"/>
      <c r="BG3975" s="1066"/>
      <c r="BH3975" s="1066"/>
      <c r="BI3975" s="1066"/>
      <c r="BJ3975" s="1066"/>
      <c r="BK3975" s="1066"/>
      <c r="BL3975" s="1066"/>
    </row>
    <row r="3976" spans="1:64">
      <c r="A3976" s="1794"/>
      <c r="B3976" s="1794"/>
      <c r="C3976" s="1807" t="str">
        <f>Input!$C$47</f>
        <v>Add for MA @ 40%</v>
      </c>
      <c r="D3976" s="1313">
        <f>Input!$D$47</f>
        <v>0.4</v>
      </c>
      <c r="E3976" s="1807"/>
      <c r="F3976" s="1209">
        <f>I3974+I3975</f>
        <v>701.4</v>
      </c>
      <c r="G3976" s="1807"/>
      <c r="H3976" s="1807"/>
      <c r="I3976" s="1211">
        <f t="shared" si="903"/>
        <v>280.56</v>
      </c>
      <c r="J3976" s="1022"/>
      <c r="K3976" s="1022"/>
      <c r="L3976" s="1022"/>
      <c r="M3976" s="1066"/>
      <c r="N3976" s="1066"/>
      <c r="O3976" s="1066"/>
      <c r="P3976" s="1066"/>
      <c r="Q3976" s="1066"/>
      <c r="R3976" s="1066"/>
      <c r="S3976" s="1066"/>
      <c r="T3976" s="1066"/>
      <c r="U3976" s="1066"/>
      <c r="V3976" s="1066"/>
      <c r="W3976" s="1066"/>
      <c r="X3976" s="1066"/>
      <c r="Y3976" s="1066"/>
      <c r="Z3976" s="1066"/>
      <c r="AA3976" s="1066"/>
      <c r="AB3976" s="1066"/>
      <c r="AC3976" s="1066"/>
      <c r="AD3976" s="1066"/>
      <c r="AE3976" s="1066"/>
      <c r="AF3976" s="1066"/>
      <c r="AG3976" s="1066"/>
      <c r="AH3976" s="1066"/>
      <c r="AI3976" s="1066"/>
      <c r="AJ3976" s="1066"/>
      <c r="AK3976" s="1066"/>
      <c r="AL3976" s="1066"/>
      <c r="AM3976" s="1066"/>
      <c r="AN3976" s="1066"/>
      <c r="AO3976" s="1066"/>
      <c r="AP3976" s="1066"/>
      <c r="AQ3976" s="1066"/>
      <c r="AR3976" s="1066"/>
      <c r="AS3976" s="1066"/>
      <c r="AT3976" s="1066"/>
      <c r="AU3976" s="1066"/>
      <c r="AV3976" s="1066"/>
      <c r="AW3976" s="1066"/>
      <c r="AX3976" s="1066"/>
      <c r="AY3976" s="1066"/>
      <c r="AZ3976" s="1066"/>
      <c r="BA3976" s="1066"/>
      <c r="BB3976" s="1066"/>
      <c r="BC3976" s="1066"/>
      <c r="BD3976" s="1066"/>
      <c r="BE3976" s="1066"/>
      <c r="BF3976" s="1066"/>
      <c r="BG3976" s="1066"/>
      <c r="BH3976" s="1066"/>
      <c r="BI3976" s="1066"/>
      <c r="BJ3976" s="1066"/>
      <c r="BK3976" s="1066"/>
      <c r="BL3976" s="1066"/>
    </row>
    <row r="3977" spans="1:64" ht="25.5">
      <c r="A3977" s="1794"/>
      <c r="B3977" s="1794"/>
      <c r="C3977" s="1807" t="s">
        <v>1531</v>
      </c>
      <c r="D3977" s="1352">
        <v>0.01</v>
      </c>
      <c r="E3977" s="1807"/>
      <c r="F3977" s="1209">
        <f>SUM(I3973:I3976)</f>
        <v>1089.06</v>
      </c>
      <c r="G3977" s="1807"/>
      <c r="H3977" s="1807"/>
      <c r="I3977" s="1211"/>
      <c r="J3977" s="1022"/>
      <c r="K3977" s="1022"/>
      <c r="L3977" s="1022"/>
      <c r="M3977" s="1066"/>
      <c r="N3977" s="1066"/>
      <c r="O3977" s="1066"/>
      <c r="P3977" s="1066"/>
      <c r="Q3977" s="1066"/>
      <c r="R3977" s="1066"/>
      <c r="S3977" s="1066"/>
      <c r="T3977" s="1066"/>
      <c r="U3977" s="1066"/>
      <c r="V3977" s="1066"/>
      <c r="W3977" s="1066"/>
      <c r="X3977" s="1066"/>
      <c r="Y3977" s="1066"/>
      <c r="Z3977" s="1066"/>
      <c r="AA3977" s="1066"/>
      <c r="AB3977" s="1066"/>
      <c r="AC3977" s="1066"/>
      <c r="AD3977" s="1066"/>
      <c r="AE3977" s="1066"/>
      <c r="AF3977" s="1066"/>
      <c r="AG3977" s="1066"/>
      <c r="AH3977" s="1066"/>
      <c r="AI3977" s="1066"/>
      <c r="AJ3977" s="1066"/>
      <c r="AK3977" s="1066"/>
      <c r="AL3977" s="1066"/>
      <c r="AM3977" s="1066"/>
      <c r="AN3977" s="1066"/>
      <c r="AO3977" s="1066"/>
      <c r="AP3977" s="1066"/>
      <c r="AQ3977" s="1066"/>
      <c r="AR3977" s="1066"/>
      <c r="AS3977" s="1066"/>
      <c r="AT3977" s="1066"/>
      <c r="AU3977" s="1066"/>
      <c r="AV3977" s="1066"/>
      <c r="AW3977" s="1066"/>
      <c r="AX3977" s="1066"/>
      <c r="AY3977" s="1066"/>
      <c r="AZ3977" s="1066"/>
      <c r="BA3977" s="1066"/>
      <c r="BB3977" s="1066"/>
      <c r="BC3977" s="1066"/>
      <c r="BD3977" s="1066"/>
      <c r="BE3977" s="1066"/>
      <c r="BF3977" s="1066"/>
      <c r="BG3977" s="1066"/>
      <c r="BH3977" s="1066"/>
      <c r="BI3977" s="1066"/>
      <c r="BJ3977" s="1066"/>
      <c r="BK3977" s="1066"/>
      <c r="BL3977" s="1066"/>
    </row>
    <row r="3978" spans="1:64">
      <c r="A3978" s="1794"/>
      <c r="B3978" s="1794"/>
      <c r="C3978" s="1807"/>
      <c r="D3978" s="1352"/>
      <c r="E3978" s="1807"/>
      <c r="F3978" s="1209"/>
      <c r="G3978" s="1807"/>
      <c r="H3978" s="1807"/>
      <c r="I3978" s="1307">
        <f>SUM(I3973:I3977)</f>
        <v>1089.06</v>
      </c>
      <c r="J3978" s="1022"/>
      <c r="K3978" s="1022"/>
      <c r="L3978" s="1022"/>
      <c r="M3978" s="1066"/>
      <c r="N3978" s="1066"/>
      <c r="O3978" s="1066"/>
      <c r="P3978" s="1066"/>
      <c r="Q3978" s="1066"/>
      <c r="R3978" s="1066"/>
      <c r="S3978" s="1066"/>
      <c r="T3978" s="1066"/>
      <c r="U3978" s="1066"/>
      <c r="V3978" s="1066"/>
      <c r="W3978" s="1066"/>
      <c r="X3978" s="1066"/>
      <c r="Y3978" s="1066"/>
      <c r="Z3978" s="1066"/>
      <c r="AA3978" s="1066"/>
      <c r="AB3978" s="1066"/>
      <c r="AC3978" s="1066"/>
      <c r="AD3978" s="1066"/>
      <c r="AE3978" s="1066"/>
      <c r="AF3978" s="1066"/>
      <c r="AG3978" s="1066"/>
      <c r="AH3978" s="1066"/>
      <c r="AI3978" s="1066"/>
      <c r="AJ3978" s="1066"/>
      <c r="AK3978" s="1066"/>
      <c r="AL3978" s="1066"/>
      <c r="AM3978" s="1066"/>
      <c r="AN3978" s="1066"/>
      <c r="AO3978" s="1066"/>
      <c r="AP3978" s="1066"/>
      <c r="AQ3978" s="1066"/>
      <c r="AR3978" s="1066"/>
      <c r="AS3978" s="1066"/>
      <c r="AT3978" s="1066"/>
      <c r="AU3978" s="1066"/>
      <c r="AV3978" s="1066"/>
      <c r="AW3978" s="1066"/>
      <c r="AX3978" s="1066"/>
      <c r="AY3978" s="1066"/>
      <c r="AZ3978" s="1066"/>
      <c r="BA3978" s="1066"/>
      <c r="BB3978" s="1066"/>
      <c r="BC3978" s="1066"/>
      <c r="BD3978" s="1066"/>
      <c r="BE3978" s="1066"/>
      <c r="BF3978" s="1066"/>
      <c r="BG3978" s="1066"/>
      <c r="BH3978" s="1066"/>
      <c r="BI3978" s="1066"/>
      <c r="BJ3978" s="1066"/>
      <c r="BK3978" s="1066"/>
      <c r="BL3978" s="1066"/>
    </row>
    <row r="3979" spans="1:64">
      <c r="A3979" s="1794"/>
      <c r="B3979" s="1794"/>
      <c r="C3979" s="1807" t="str">
        <f>Input!$C$48</f>
        <v>Overheads &amp; Contractors Profit @ 13.615%</v>
      </c>
      <c r="D3979" s="1355">
        <f>Input!$D$48</f>
        <v>0.13614999999999999</v>
      </c>
      <c r="E3979" s="1304"/>
      <c r="F3979" s="1211">
        <f>I3978</f>
        <v>1089.06</v>
      </c>
      <c r="G3979" s="1289"/>
      <c r="H3979" s="1208"/>
      <c r="I3979" s="1211">
        <f>IF(G3979="",D3979*F3979,(D3979*F3979/G3979))</f>
        <v>148.27551899999997</v>
      </c>
      <c r="J3979" s="1022"/>
      <c r="K3979" s="1022"/>
      <c r="L3979" s="1022"/>
      <c r="M3979" s="1066"/>
      <c r="N3979" s="1066"/>
      <c r="O3979" s="1066"/>
      <c r="P3979" s="1066"/>
      <c r="Q3979" s="1066"/>
      <c r="R3979" s="1066"/>
      <c r="S3979" s="1066"/>
      <c r="T3979" s="1066"/>
      <c r="U3979" s="1066"/>
      <c r="V3979" s="1066"/>
      <c r="W3979" s="1066"/>
      <c r="X3979" s="1066"/>
      <c r="Y3979" s="1066"/>
      <c r="Z3979" s="1066"/>
      <c r="AA3979" s="1066"/>
      <c r="AB3979" s="1066"/>
      <c r="AC3979" s="1066"/>
      <c r="AD3979" s="1066"/>
      <c r="AE3979" s="1066"/>
      <c r="AF3979" s="1066"/>
      <c r="AG3979" s="1066"/>
      <c r="AH3979" s="1066"/>
      <c r="AI3979" s="1066"/>
      <c r="AJ3979" s="1066"/>
      <c r="AK3979" s="1066"/>
      <c r="AL3979" s="1066"/>
      <c r="AM3979" s="1066"/>
      <c r="AN3979" s="1066"/>
      <c r="AO3979" s="1066"/>
      <c r="AP3979" s="1066"/>
      <c r="AQ3979" s="1066"/>
      <c r="AR3979" s="1066"/>
      <c r="AS3979" s="1066"/>
      <c r="AT3979" s="1066"/>
      <c r="AU3979" s="1066"/>
      <c r="AV3979" s="1066"/>
      <c r="AW3979" s="1066"/>
      <c r="AX3979" s="1066"/>
      <c r="AY3979" s="1066"/>
      <c r="AZ3979" s="1066"/>
      <c r="BA3979" s="1066"/>
      <c r="BB3979" s="1066"/>
      <c r="BC3979" s="1066"/>
      <c r="BD3979" s="1066"/>
      <c r="BE3979" s="1066"/>
      <c r="BF3979" s="1066"/>
      <c r="BG3979" s="1066"/>
      <c r="BH3979" s="1066"/>
      <c r="BI3979" s="1066"/>
      <c r="BJ3979" s="1066"/>
      <c r="BK3979" s="1066"/>
      <c r="BL3979" s="1066"/>
    </row>
    <row r="3980" spans="1:64">
      <c r="A3980" s="1794"/>
      <c r="B3980" s="1794"/>
      <c r="C3980" s="1795" t="s">
        <v>1044</v>
      </c>
      <c r="D3980" s="1807"/>
      <c r="E3980" s="1807"/>
      <c r="F3980" s="1794"/>
      <c r="G3980" s="1807"/>
      <c r="H3980" s="1807"/>
      <c r="I3980" s="1209">
        <f>SUM(I3978:I3979)</f>
        <v>1237.335519</v>
      </c>
      <c r="J3980" s="1022"/>
      <c r="K3980" s="1022"/>
      <c r="L3980" s="1022"/>
      <c r="M3980" s="1066"/>
      <c r="N3980" s="1066"/>
      <c r="O3980" s="1066"/>
      <c r="P3980" s="1066"/>
      <c r="Q3980" s="1066"/>
      <c r="R3980" s="1066"/>
      <c r="S3980" s="1066"/>
      <c r="T3980" s="1066"/>
      <c r="U3980" s="1066"/>
      <c r="V3980" s="1066"/>
      <c r="W3980" s="1066"/>
      <c r="X3980" s="1066"/>
      <c r="Y3980" s="1066"/>
      <c r="Z3980" s="1066"/>
      <c r="AA3980" s="1066"/>
      <c r="AB3980" s="1066"/>
      <c r="AC3980" s="1066"/>
      <c r="AD3980" s="1066"/>
      <c r="AE3980" s="1066"/>
      <c r="AF3980" s="1066"/>
      <c r="AG3980" s="1066"/>
      <c r="AH3980" s="1066"/>
      <c r="AI3980" s="1066"/>
      <c r="AJ3980" s="1066"/>
      <c r="AK3980" s="1066"/>
      <c r="AL3980" s="1066"/>
      <c r="AM3980" s="1066"/>
      <c r="AN3980" s="1066"/>
      <c r="AO3980" s="1066"/>
      <c r="AP3980" s="1066"/>
      <c r="AQ3980" s="1066"/>
      <c r="AR3980" s="1066"/>
      <c r="AS3980" s="1066"/>
      <c r="AT3980" s="1066"/>
      <c r="AU3980" s="1066"/>
      <c r="AV3980" s="1066"/>
      <c r="AW3980" s="1066"/>
      <c r="AX3980" s="1066"/>
      <c r="AY3980" s="1066"/>
      <c r="AZ3980" s="1066"/>
      <c r="BA3980" s="1066"/>
      <c r="BB3980" s="1066"/>
      <c r="BC3980" s="1066"/>
      <c r="BD3980" s="1066"/>
      <c r="BE3980" s="1066"/>
      <c r="BF3980" s="1066"/>
      <c r="BG3980" s="1066"/>
      <c r="BH3980" s="1066"/>
      <c r="BI3980" s="1066"/>
      <c r="BJ3980" s="1066"/>
      <c r="BK3980" s="1066"/>
      <c r="BL3980" s="1066"/>
    </row>
    <row r="3981" spans="1:64">
      <c r="A3981" s="1794"/>
      <c r="B3981" s="1794"/>
      <c r="C3981" s="1795" t="s">
        <v>1045</v>
      </c>
      <c r="D3981" s="1807"/>
      <c r="E3981" s="1807"/>
      <c r="F3981" s="1794"/>
      <c r="G3981" s="1807"/>
      <c r="H3981" s="1807"/>
      <c r="I3981" s="1209">
        <f>I3980/10</f>
        <v>123.73355189999999</v>
      </c>
      <c r="J3981" s="1022"/>
      <c r="K3981" s="1022"/>
      <c r="L3981" s="1022"/>
      <c r="M3981" s="1066"/>
      <c r="N3981" s="1066"/>
      <c r="O3981" s="1066"/>
      <c r="P3981" s="1066"/>
      <c r="Q3981" s="1066"/>
      <c r="R3981" s="1066"/>
      <c r="S3981" s="1066"/>
      <c r="T3981" s="1066"/>
      <c r="U3981" s="1066"/>
      <c r="V3981" s="1066"/>
      <c r="W3981" s="1066"/>
      <c r="X3981" s="1066"/>
      <c r="Y3981" s="1066"/>
      <c r="Z3981" s="1066"/>
      <c r="AA3981" s="1066"/>
      <c r="AB3981" s="1066"/>
      <c r="AC3981" s="1066"/>
      <c r="AD3981" s="1066"/>
      <c r="AE3981" s="1066"/>
      <c r="AF3981" s="1066"/>
      <c r="AG3981" s="1066"/>
      <c r="AH3981" s="1066"/>
      <c r="AI3981" s="1066"/>
      <c r="AJ3981" s="1066"/>
      <c r="AK3981" s="1066"/>
      <c r="AL3981" s="1066"/>
      <c r="AM3981" s="1066"/>
      <c r="AN3981" s="1066"/>
      <c r="AO3981" s="1066"/>
      <c r="AP3981" s="1066"/>
      <c r="AQ3981" s="1066"/>
      <c r="AR3981" s="1066"/>
      <c r="AS3981" s="1066"/>
      <c r="AT3981" s="1066"/>
      <c r="AU3981" s="1066"/>
      <c r="AV3981" s="1066"/>
      <c r="AW3981" s="1066"/>
      <c r="AX3981" s="1066"/>
      <c r="AY3981" s="1066"/>
      <c r="AZ3981" s="1066"/>
      <c r="BA3981" s="1066"/>
      <c r="BB3981" s="1066"/>
      <c r="BC3981" s="1066"/>
      <c r="BD3981" s="1066"/>
      <c r="BE3981" s="1066"/>
      <c r="BF3981" s="1066"/>
      <c r="BG3981" s="1066"/>
      <c r="BH3981" s="1066"/>
      <c r="BI3981" s="1066"/>
      <c r="BJ3981" s="1066"/>
      <c r="BK3981" s="1066"/>
      <c r="BL3981" s="1066"/>
    </row>
    <row r="3982" spans="1:64">
      <c r="A3982" s="1798"/>
      <c r="B3982" s="1798"/>
      <c r="C3982" s="1199"/>
      <c r="D3982" s="1807"/>
      <c r="E3982" s="1807"/>
      <c r="F3982" s="1794"/>
      <c r="G3982" s="1807"/>
      <c r="H3982" s="1299" t="s">
        <v>1065</v>
      </c>
      <c r="I3982" s="1219">
        <f>ROUND(I3981,0)</f>
        <v>124</v>
      </c>
      <c r="J3982" s="1846"/>
      <c r="K3982" s="1846"/>
      <c r="L3982" s="1846"/>
    </row>
    <row r="3983" spans="1:64">
      <c r="A3983" s="1798"/>
      <c r="B3983" s="1798"/>
      <c r="C3983" s="1199"/>
      <c r="D3983" s="1807"/>
      <c r="E3983" s="1807"/>
      <c r="F3983" s="1794"/>
      <c r="G3983" s="1807"/>
      <c r="H3983" s="1299"/>
      <c r="I3983" s="1219"/>
      <c r="J3983" s="1846"/>
      <c r="K3983" s="1846"/>
      <c r="L3983" s="1846"/>
    </row>
    <row r="3984" spans="1:64" ht="70.900000000000006" customHeight="1">
      <c r="A3984" s="2013">
        <f>A3970+1</f>
        <v>54</v>
      </c>
      <c r="B3984" s="2013"/>
      <c r="C3984" s="2006" t="s">
        <v>3457</v>
      </c>
      <c r="D3984" s="2006"/>
      <c r="E3984" s="2006"/>
      <c r="F3984" s="2006"/>
      <c r="G3984" s="2006"/>
      <c r="H3984" s="2006"/>
      <c r="I3984" s="1814"/>
      <c r="J3984" s="1846"/>
      <c r="K3984" s="1846"/>
      <c r="L3984" s="1846"/>
    </row>
    <row r="3985" spans="1:64">
      <c r="A3985" s="1798"/>
      <c r="B3985" s="1798"/>
      <c r="C3985" s="1198" t="s">
        <v>1544</v>
      </c>
      <c r="D3985" s="1199"/>
      <c r="E3985" s="1199"/>
      <c r="F3985" s="1200"/>
      <c r="G3985" s="1199"/>
      <c r="H3985" s="1199"/>
      <c r="I3985" s="1201"/>
      <c r="J3985" s="1846"/>
      <c r="K3985" s="1846"/>
      <c r="L3985" s="1846"/>
    </row>
    <row r="3986" spans="1:64">
      <c r="A3986" s="1798"/>
      <c r="B3986" s="1798"/>
      <c r="C3986" s="1807" t="s">
        <v>1545</v>
      </c>
      <c r="D3986" s="1228">
        <v>1</v>
      </c>
      <c r="E3986" s="1271" t="s">
        <v>1110</v>
      </c>
      <c r="F3986" s="1223">
        <f>'Civil-SOR'!$G$185</f>
        <v>34</v>
      </c>
      <c r="G3986" s="1272">
        <v>1</v>
      </c>
      <c r="H3986" s="1273" t="str">
        <f t="shared" ref="H3986:H3992" si="904">IF(E3986="","",IF(E3986="No.","Each",IF(E3986="Nos.","Each",E3986)))</f>
        <v>Kgs</v>
      </c>
      <c r="I3986" s="1205">
        <f t="shared" ref="I3986:I3993" si="905">IF(G3986="",D3986*F3986,(D3986*F3986/G3986))</f>
        <v>34</v>
      </c>
      <c r="J3986" s="1846"/>
      <c r="K3986" s="1846"/>
      <c r="L3986" s="1846"/>
    </row>
    <row r="3987" spans="1:64">
      <c r="A3987" s="1798"/>
      <c r="B3987" s="1798"/>
      <c r="C3987" s="1807" t="s">
        <v>1529</v>
      </c>
      <c r="D3987" s="1228">
        <v>0.21</v>
      </c>
      <c r="E3987" s="1271" t="s">
        <v>36</v>
      </c>
      <c r="F3987" s="1223">
        <f>'Civil-SOR'!$G$296</f>
        <v>665</v>
      </c>
      <c r="G3987" s="1272">
        <v>1</v>
      </c>
      <c r="H3987" s="1273" t="str">
        <f t="shared" si="904"/>
        <v>Each</v>
      </c>
      <c r="I3987" s="1205">
        <f t="shared" si="905"/>
        <v>139.65</v>
      </c>
      <c r="J3987" s="1846"/>
      <c r="K3987" s="1846"/>
      <c r="L3987" s="1846"/>
    </row>
    <row r="3988" spans="1:64">
      <c r="A3988" s="1798"/>
      <c r="B3988" s="1798"/>
      <c r="C3988" s="1807" t="s">
        <v>1530</v>
      </c>
      <c r="D3988" s="1228">
        <v>0.49</v>
      </c>
      <c r="E3988" s="1271" t="s">
        <v>36</v>
      </c>
      <c r="F3988" s="1223">
        <f>'Civil-SOR'!$G$303</f>
        <v>550</v>
      </c>
      <c r="G3988" s="1272">
        <v>1</v>
      </c>
      <c r="H3988" s="1273" t="str">
        <f t="shared" si="904"/>
        <v>Each</v>
      </c>
      <c r="I3988" s="1205">
        <f t="shared" si="905"/>
        <v>269.5</v>
      </c>
      <c r="J3988" s="1846"/>
      <c r="K3988" s="1846"/>
      <c r="L3988" s="1846"/>
    </row>
    <row r="3989" spans="1:64">
      <c r="A3989" s="1798"/>
      <c r="B3989" s="1798"/>
      <c r="C3989" s="1807" t="s">
        <v>156</v>
      </c>
      <c r="D3989" s="1228">
        <v>3.5</v>
      </c>
      <c r="E3989" s="1271" t="s">
        <v>1110</v>
      </c>
      <c r="F3989" s="1223">
        <f>'Civil-SOR'!$G$67</f>
        <v>60</v>
      </c>
      <c r="G3989" s="1272">
        <v>1</v>
      </c>
      <c r="H3989" s="1273" t="str">
        <f t="shared" si="904"/>
        <v>Kgs</v>
      </c>
      <c r="I3989" s="1205">
        <f t="shared" si="905"/>
        <v>210</v>
      </c>
      <c r="J3989" s="1846"/>
      <c r="K3989" s="1846"/>
      <c r="L3989" s="1846"/>
    </row>
    <row r="3990" spans="1:64">
      <c r="A3990" s="1798"/>
      <c r="B3990" s="1798"/>
      <c r="C3990" s="1807" t="s">
        <v>1529</v>
      </c>
      <c r="D3990" s="1228">
        <v>0.15</v>
      </c>
      <c r="E3990" s="1271" t="s">
        <v>36</v>
      </c>
      <c r="F3990" s="1223">
        <f>'Civil-SOR'!$G$296</f>
        <v>665</v>
      </c>
      <c r="G3990" s="1272">
        <v>1</v>
      </c>
      <c r="H3990" s="1273" t="str">
        <f t="shared" si="904"/>
        <v>Each</v>
      </c>
      <c r="I3990" s="1205">
        <f t="shared" si="905"/>
        <v>99.75</v>
      </c>
      <c r="J3990" s="1846"/>
      <c r="K3990" s="1846"/>
      <c r="L3990" s="1846"/>
    </row>
    <row r="3991" spans="1:64">
      <c r="A3991" s="1798"/>
      <c r="B3991" s="1798"/>
      <c r="C3991" s="1807" t="s">
        <v>1530</v>
      </c>
      <c r="D3991" s="1228">
        <v>0.35</v>
      </c>
      <c r="E3991" s="1271" t="s">
        <v>36</v>
      </c>
      <c r="F3991" s="1223">
        <f>'Civil-SOR'!$G$303</f>
        <v>550</v>
      </c>
      <c r="G3991" s="1272">
        <v>1</v>
      </c>
      <c r="H3991" s="1273" t="str">
        <f t="shared" si="904"/>
        <v>Each</v>
      </c>
      <c r="I3991" s="1205">
        <f t="shared" si="905"/>
        <v>192.5</v>
      </c>
      <c r="J3991" s="1846"/>
      <c r="K3991" s="1846"/>
      <c r="L3991" s="1846"/>
    </row>
    <row r="3992" spans="1:64">
      <c r="A3992" s="1798"/>
      <c r="B3992" s="1798"/>
      <c r="C3992" s="1807" t="s">
        <v>1031</v>
      </c>
      <c r="D3992" s="1228">
        <v>1.5</v>
      </c>
      <c r="E3992" s="1271" t="s">
        <v>36</v>
      </c>
      <c r="F3992" s="1223">
        <f>'Civil-SOR'!$G$307</f>
        <v>520</v>
      </c>
      <c r="G3992" s="1272">
        <v>1</v>
      </c>
      <c r="H3992" s="1273" t="str">
        <f t="shared" si="904"/>
        <v>Each</v>
      </c>
      <c r="I3992" s="1205">
        <f t="shared" si="905"/>
        <v>780</v>
      </c>
      <c r="J3992" s="1846"/>
      <c r="K3992" s="1846"/>
      <c r="L3992" s="1846"/>
    </row>
    <row r="3993" spans="1:64">
      <c r="A3993" s="1798"/>
      <c r="B3993" s="1798"/>
      <c r="C3993" s="1807" t="str">
        <f>Input!$C$47</f>
        <v>Add for MA @ 40%</v>
      </c>
      <c r="D3993" s="1277">
        <f>Input!$D$47</f>
        <v>0.4</v>
      </c>
      <c r="E3993" s="1276"/>
      <c r="F3993" s="1223">
        <f>SUM(I3987:I3988)+SUM(I3990:I3992)</f>
        <v>1481.4</v>
      </c>
      <c r="G3993" s="1278"/>
      <c r="H3993" s="1279"/>
      <c r="I3993" s="1205">
        <f t="shared" si="905"/>
        <v>592.56000000000006</v>
      </c>
      <c r="J3993" s="1846"/>
      <c r="K3993" s="1846"/>
      <c r="L3993" s="1846"/>
    </row>
    <row r="3994" spans="1:64" ht="25.5">
      <c r="A3994" s="1794"/>
      <c r="B3994" s="1794"/>
      <c r="C3994" s="1807" t="s">
        <v>1531</v>
      </c>
      <c r="D3994" s="1352">
        <v>0.01</v>
      </c>
      <c r="E3994" s="1807"/>
      <c r="F3994" s="1209">
        <f>SUM(I3986:I3993)</f>
        <v>2317.96</v>
      </c>
      <c r="G3994" s="1807"/>
      <c r="H3994" s="1807"/>
      <c r="I3994" s="1211"/>
      <c r="J3994" s="1022"/>
      <c r="K3994" s="1022"/>
      <c r="L3994" s="1022"/>
      <c r="M3994" s="1066"/>
      <c r="N3994" s="1066"/>
      <c r="O3994" s="1066"/>
      <c r="P3994" s="1066"/>
      <c r="Q3994" s="1066"/>
      <c r="R3994" s="1066"/>
      <c r="S3994" s="1066"/>
      <c r="T3994" s="1066"/>
      <c r="U3994" s="1066"/>
      <c r="V3994" s="1066"/>
      <c r="W3994" s="1066"/>
      <c r="X3994" s="1066"/>
      <c r="Y3994" s="1066"/>
      <c r="Z3994" s="1066"/>
      <c r="AA3994" s="1066"/>
      <c r="AB3994" s="1066"/>
      <c r="AC3994" s="1066"/>
      <c r="AD3994" s="1066"/>
      <c r="AE3994" s="1066"/>
      <c r="AF3994" s="1066"/>
      <c r="AG3994" s="1066"/>
      <c r="AH3994" s="1066"/>
      <c r="AI3994" s="1066"/>
      <c r="AJ3994" s="1066"/>
      <c r="AK3994" s="1066"/>
      <c r="AL3994" s="1066"/>
      <c r="AM3994" s="1066"/>
      <c r="AN3994" s="1066"/>
      <c r="AO3994" s="1066"/>
      <c r="AP3994" s="1066"/>
      <c r="AQ3994" s="1066"/>
      <c r="AR3994" s="1066"/>
      <c r="AS3994" s="1066"/>
      <c r="AT3994" s="1066"/>
      <c r="AU3994" s="1066"/>
      <c r="AV3994" s="1066"/>
      <c r="AW3994" s="1066"/>
      <c r="AX3994" s="1066"/>
      <c r="AY3994" s="1066"/>
      <c r="AZ3994" s="1066"/>
      <c r="BA3994" s="1066"/>
      <c r="BB3994" s="1066"/>
      <c r="BC3994" s="1066"/>
      <c r="BD3994" s="1066"/>
      <c r="BE3994" s="1066"/>
      <c r="BF3994" s="1066"/>
      <c r="BG3994" s="1066"/>
      <c r="BH3994" s="1066"/>
      <c r="BI3994" s="1066"/>
      <c r="BJ3994" s="1066"/>
      <c r="BK3994" s="1066"/>
      <c r="BL3994" s="1066"/>
    </row>
    <row r="3995" spans="1:64">
      <c r="A3995" s="1798"/>
      <c r="B3995" s="1798"/>
      <c r="C3995" s="1807"/>
      <c r="D3995" s="1354"/>
      <c r="E3995" s="1202"/>
      <c r="F3995" s="1353"/>
      <c r="G3995" s="1202"/>
      <c r="H3995" s="1202"/>
      <c r="I3995" s="1219">
        <f>SUM(I3986:I3994)</f>
        <v>2317.96</v>
      </c>
      <c r="J3995" s="1846"/>
      <c r="K3995" s="1846"/>
      <c r="L3995" s="1846"/>
    </row>
    <row r="3996" spans="1:64">
      <c r="A3996" s="1798"/>
      <c r="B3996" s="1798"/>
      <c r="C3996" s="1807" t="str">
        <f>Input!$C$48</f>
        <v>Overheads &amp; Contractors Profit @ 13.615%</v>
      </c>
      <c r="D3996" s="1356">
        <f>Input!$D$48</f>
        <v>0.13614999999999999</v>
      </c>
      <c r="E3996" s="1303"/>
      <c r="F3996" s="1205">
        <f>I3995</f>
        <v>2317.96</v>
      </c>
      <c r="G3996" s="1269"/>
      <c r="H3996" s="1199"/>
      <c r="I3996" s="1205">
        <f>IF(G3996="",D3996*F3996,(D3996*F3996/G3996))</f>
        <v>315.59025400000002</v>
      </c>
      <c r="J3996" s="1846"/>
      <c r="K3996" s="1846"/>
      <c r="L3996" s="1846"/>
    </row>
    <row r="3997" spans="1:64">
      <c r="A3997" s="1798"/>
      <c r="B3997" s="1798"/>
      <c r="C3997" s="1795" t="s">
        <v>1044</v>
      </c>
      <c r="D3997" s="1354"/>
      <c r="E3997" s="1202"/>
      <c r="F3997" s="1353"/>
      <c r="G3997" s="1202"/>
      <c r="H3997" s="1202"/>
      <c r="I3997" s="1205">
        <f>SUM(I3995:I3996)</f>
        <v>2633.5502540000002</v>
      </c>
      <c r="J3997" s="1846"/>
      <c r="K3997" s="1846"/>
      <c r="L3997" s="1846"/>
    </row>
    <row r="3998" spans="1:64">
      <c r="A3998" s="1798"/>
      <c r="B3998" s="1798"/>
      <c r="C3998" s="1795" t="s">
        <v>1045</v>
      </c>
      <c r="D3998" s="1354"/>
      <c r="E3998" s="1202"/>
      <c r="F3998" s="1353"/>
      <c r="G3998" s="1202"/>
      <c r="H3998" s="1807"/>
      <c r="I3998" s="1209">
        <f>I3997/10</f>
        <v>263.35502540000005</v>
      </c>
      <c r="J3998" s="1846"/>
      <c r="K3998" s="1846"/>
      <c r="L3998" s="1846"/>
    </row>
    <row r="3999" spans="1:64">
      <c r="A3999" s="1798"/>
      <c r="B3999" s="1798"/>
      <c r="C3999" s="1224" t="s">
        <v>1034</v>
      </c>
      <c r="D3999" s="1228"/>
      <c r="E3999" s="1276"/>
      <c r="F3999" s="1223"/>
      <c r="G3999" s="1272"/>
      <c r="H3999" s="1299" t="s">
        <v>1065</v>
      </c>
      <c r="I3999" s="1219">
        <f>ROUND(I3998,0)</f>
        <v>263</v>
      </c>
      <c r="J3999" s="1846"/>
      <c r="K3999" s="1846"/>
      <c r="L3999" s="1846"/>
    </row>
    <row r="4000" spans="1:64">
      <c r="A4000" s="1798"/>
      <c r="B4000" s="1798"/>
      <c r="C4000" s="1795"/>
      <c r="D4000" s="1807"/>
      <c r="E4000" s="1807"/>
      <c r="F4000" s="1794"/>
      <c r="G4000" s="1807"/>
      <c r="H4000" s="1299"/>
      <c r="I4000" s="1218"/>
      <c r="J4000" s="1846"/>
      <c r="K4000" s="1846"/>
      <c r="L4000" s="1846"/>
    </row>
    <row r="4001" spans="1:18" ht="75.400000000000006" customHeight="1">
      <c r="A4001" s="2013">
        <f>A3984+1</f>
        <v>55</v>
      </c>
      <c r="B4001" s="2013"/>
      <c r="C4001" s="2006" t="s">
        <v>3458</v>
      </c>
      <c r="D4001" s="2006"/>
      <c r="E4001" s="2006"/>
      <c r="F4001" s="2006"/>
      <c r="G4001" s="2006"/>
      <c r="H4001" s="2006"/>
      <c r="I4001" s="1814"/>
      <c r="J4001" s="1846"/>
      <c r="K4001" s="1846"/>
      <c r="L4001" s="1846"/>
    </row>
    <row r="4002" spans="1:18">
      <c r="A4002" s="1798"/>
      <c r="B4002" s="1798"/>
      <c r="C4002" s="1198" t="s">
        <v>1546</v>
      </c>
      <c r="D4002" s="1199"/>
      <c r="E4002" s="1199"/>
      <c r="F4002" s="1200"/>
      <c r="G4002" s="1199"/>
      <c r="H4002" s="1199"/>
      <c r="I4002" s="1201"/>
      <c r="J4002" s="1846"/>
      <c r="K4002" s="1846"/>
      <c r="L4002" s="1846"/>
    </row>
    <row r="4003" spans="1:18">
      <c r="A4003" s="1798"/>
      <c r="B4003" s="1798"/>
      <c r="C4003" s="1807" t="s">
        <v>1547</v>
      </c>
      <c r="D4003" s="1228">
        <v>3.5</v>
      </c>
      <c r="E4003" s="1271" t="s">
        <v>1110</v>
      </c>
      <c r="F4003" s="1223">
        <f>'Civil-SOR'!$G$67</f>
        <v>60</v>
      </c>
      <c r="G4003" s="1272">
        <v>1</v>
      </c>
      <c r="H4003" s="1273" t="str">
        <f t="shared" ref="H4003:H4006" si="906">IF(E4003="","",IF(E4003="No.","Each",IF(E4003="Nos.","Each",E4003)))</f>
        <v>Kgs</v>
      </c>
      <c r="I4003" s="1205">
        <f t="shared" ref="I4003:I4007" si="907">IF(G4003="",D4003*F4003,(D4003*F4003/G4003))</f>
        <v>210</v>
      </c>
      <c r="J4003" s="1846"/>
      <c r="K4003" s="1846"/>
      <c r="L4003" s="1846"/>
    </row>
    <row r="4004" spans="1:18">
      <c r="A4004" s="1798"/>
      <c r="B4004" s="1798"/>
      <c r="C4004" s="1807" t="s">
        <v>1529</v>
      </c>
      <c r="D4004" s="1228">
        <v>0.15</v>
      </c>
      <c r="E4004" s="1271" t="s">
        <v>36</v>
      </c>
      <c r="F4004" s="1223">
        <f>'Civil-SOR'!$G$296</f>
        <v>665</v>
      </c>
      <c r="G4004" s="1272">
        <v>1</v>
      </c>
      <c r="H4004" s="1273" t="str">
        <f t="shared" si="906"/>
        <v>Each</v>
      </c>
      <c r="I4004" s="1205">
        <f t="shared" si="907"/>
        <v>99.75</v>
      </c>
      <c r="J4004" s="1846"/>
      <c r="K4004" s="1846"/>
      <c r="L4004" s="1846"/>
    </row>
    <row r="4005" spans="1:18">
      <c r="A4005" s="1798"/>
      <c r="B4005" s="1798"/>
      <c r="C4005" s="1807" t="s">
        <v>1530</v>
      </c>
      <c r="D4005" s="1228">
        <v>0.35</v>
      </c>
      <c r="E4005" s="1271" t="s">
        <v>36</v>
      </c>
      <c r="F4005" s="1223">
        <f>'Civil-SOR'!$G$303</f>
        <v>550</v>
      </c>
      <c r="G4005" s="1272">
        <v>1</v>
      </c>
      <c r="H4005" s="1273" t="str">
        <f t="shared" si="906"/>
        <v>Each</v>
      </c>
      <c r="I4005" s="1205">
        <f t="shared" si="907"/>
        <v>192.5</v>
      </c>
      <c r="J4005" s="1846"/>
      <c r="K4005" s="1846"/>
      <c r="L4005" s="1846"/>
    </row>
    <row r="4006" spans="1:18">
      <c r="A4006" s="1798"/>
      <c r="B4006" s="1798"/>
      <c r="C4006" s="1807" t="s">
        <v>1031</v>
      </c>
      <c r="D4006" s="1228">
        <v>1.5</v>
      </c>
      <c r="E4006" s="1271" t="s">
        <v>36</v>
      </c>
      <c r="F4006" s="1223">
        <f>'Civil-SOR'!$G$307</f>
        <v>520</v>
      </c>
      <c r="G4006" s="1272">
        <v>1</v>
      </c>
      <c r="H4006" s="1273" t="str">
        <f t="shared" si="906"/>
        <v>Each</v>
      </c>
      <c r="I4006" s="1205">
        <f t="shared" si="907"/>
        <v>780</v>
      </c>
      <c r="J4006" s="1846"/>
      <c r="K4006" s="1846"/>
      <c r="L4006" s="1846"/>
    </row>
    <row r="4007" spans="1:18">
      <c r="A4007" s="1798"/>
      <c r="B4007" s="1798"/>
      <c r="C4007" s="1807" t="str">
        <f>Input!$C$47</f>
        <v>Add for MA @ 40%</v>
      </c>
      <c r="D4007" s="1277">
        <f>Input!$D$47</f>
        <v>0.4</v>
      </c>
      <c r="E4007" s="1276"/>
      <c r="F4007" s="1223">
        <f>SUM(I4004:I4006)</f>
        <v>1072.25</v>
      </c>
      <c r="G4007" s="1278"/>
      <c r="H4007" s="1279"/>
      <c r="I4007" s="1205">
        <f t="shared" si="907"/>
        <v>428.90000000000003</v>
      </c>
      <c r="J4007" s="1846"/>
      <c r="K4007" s="1846"/>
      <c r="L4007" s="1846"/>
    </row>
    <row r="4008" spans="1:18" ht="25.5">
      <c r="A4008" s="1798"/>
      <c r="B4008" s="1798"/>
      <c r="C4008" s="1807" t="s">
        <v>1531</v>
      </c>
      <c r="D4008" s="1354">
        <v>0.01</v>
      </c>
      <c r="E4008" s="1202"/>
      <c r="F4008" s="1353">
        <f>SUM(I4003:I4007)</f>
        <v>1711.15</v>
      </c>
      <c r="G4008" s="1202"/>
      <c r="H4008" s="1202"/>
      <c r="I4008" s="1205"/>
      <c r="J4008" s="1846"/>
      <c r="K4008" s="1846"/>
      <c r="L4008" s="1846"/>
    </row>
    <row r="4009" spans="1:18">
      <c r="A4009" s="1798"/>
      <c r="B4009" s="1798"/>
      <c r="C4009" s="1807"/>
      <c r="D4009" s="1354"/>
      <c r="E4009" s="1202"/>
      <c r="F4009" s="1353"/>
      <c r="G4009" s="1202"/>
      <c r="H4009" s="1202"/>
      <c r="I4009" s="1219">
        <f>SUM(I4003:I4008)</f>
        <v>1711.15</v>
      </c>
      <c r="J4009" s="1846"/>
      <c r="K4009" s="1846"/>
      <c r="L4009" s="1846"/>
    </row>
    <row r="4010" spans="1:18">
      <c r="A4010" s="1798"/>
      <c r="B4010" s="1798"/>
      <c r="C4010" s="1807" t="str">
        <f>Input!$C$48</f>
        <v>Overheads &amp; Contractors Profit @ 13.615%</v>
      </c>
      <c r="D4010" s="1356">
        <f>Input!$D$48</f>
        <v>0.13614999999999999</v>
      </c>
      <c r="E4010" s="1303"/>
      <c r="F4010" s="1205">
        <f>I4009</f>
        <v>1711.15</v>
      </c>
      <c r="G4010" s="1269"/>
      <c r="H4010" s="1199"/>
      <c r="I4010" s="1205">
        <f>IF(G4010="",D4010*F4010,(D4010*F4010/G4010))</f>
        <v>232.9730725</v>
      </c>
      <c r="J4010" s="1846"/>
      <c r="K4010" s="1846"/>
      <c r="L4010" s="1846"/>
    </row>
    <row r="4011" spans="1:18">
      <c r="A4011" s="1798"/>
      <c r="B4011" s="1798"/>
      <c r="C4011" s="1795" t="s">
        <v>1044</v>
      </c>
      <c r="D4011" s="1354"/>
      <c r="E4011" s="1202"/>
      <c r="F4011" s="1353"/>
      <c r="G4011" s="1202"/>
      <c r="H4011" s="1202"/>
      <c r="I4011" s="1205">
        <f>SUM(I4009:I4010)</f>
        <v>1944.1230725</v>
      </c>
      <c r="J4011" s="1846"/>
      <c r="K4011" s="1846"/>
      <c r="L4011" s="1846"/>
    </row>
    <row r="4012" spans="1:18">
      <c r="A4012" s="1798"/>
      <c r="B4012" s="1798"/>
      <c r="C4012" s="1795" t="s">
        <v>1045</v>
      </c>
      <c r="D4012" s="1354"/>
      <c r="E4012" s="1202"/>
      <c r="F4012" s="1353"/>
      <c r="G4012" s="1202"/>
      <c r="H4012" s="1807"/>
      <c r="I4012" s="1209">
        <f>I4011/10</f>
        <v>194.41230725</v>
      </c>
      <c r="J4012" s="1846"/>
      <c r="K4012" s="1846"/>
      <c r="L4012" s="1846"/>
    </row>
    <row r="4013" spans="1:18">
      <c r="A4013" s="1798"/>
      <c r="B4013" s="1798"/>
      <c r="C4013" s="1224" t="s">
        <v>1034</v>
      </c>
      <c r="D4013" s="1228"/>
      <c r="E4013" s="1276"/>
      <c r="F4013" s="1223"/>
      <c r="G4013" s="1272"/>
      <c r="H4013" s="1299" t="s">
        <v>1065</v>
      </c>
      <c r="I4013" s="1219">
        <f>ROUND(I4012,0)</f>
        <v>194</v>
      </c>
      <c r="J4013" s="1846"/>
      <c r="K4013" s="1846"/>
      <c r="L4013" s="1846"/>
    </row>
    <row r="4014" spans="1:18">
      <c r="A4014" s="1798"/>
      <c r="B4014" s="1798"/>
      <c r="C4014" s="1199"/>
      <c r="D4014" s="1228"/>
      <c r="E4014" s="1276"/>
      <c r="F4014" s="1223"/>
      <c r="G4014" s="1272"/>
      <c r="H4014" s="1299"/>
      <c r="I4014" s="1218"/>
      <c r="J4014" s="1846"/>
      <c r="K4014" s="1846"/>
      <c r="L4014" s="1846"/>
    </row>
    <row r="4015" spans="1:18" ht="69" customHeight="1">
      <c r="A4015" s="2013">
        <f>1+A3953</f>
        <v>53</v>
      </c>
      <c r="B4015" s="2013"/>
      <c r="C4015" s="2006" t="s">
        <v>3640</v>
      </c>
      <c r="D4015" s="2006"/>
      <c r="E4015" s="2006"/>
      <c r="F4015" s="2006"/>
      <c r="G4015" s="2006"/>
      <c r="H4015" s="2006"/>
      <c r="I4015" s="1814"/>
      <c r="J4015" s="1022"/>
      <c r="K4015" s="1022"/>
      <c r="L4015" s="1022"/>
      <c r="M4015" s="1066"/>
      <c r="N4015" s="1066"/>
      <c r="O4015" s="1066"/>
      <c r="P4015" s="1066"/>
      <c r="Q4015" s="1066"/>
      <c r="R4015" s="1066"/>
    </row>
    <row r="4016" spans="1:18" ht="12.75" customHeight="1">
      <c r="A4016" s="1798"/>
      <c r="B4016" s="1798"/>
      <c r="C4016" s="2026" t="s">
        <v>1548</v>
      </c>
      <c r="D4016" s="2026"/>
      <c r="E4016" s="2026"/>
      <c r="F4016" s="1794"/>
      <c r="G4016" s="1807"/>
      <c r="H4016" s="1807"/>
      <c r="I4016" s="1353"/>
      <c r="J4016" s="1022"/>
      <c r="K4016" s="1022"/>
      <c r="L4016" s="1022"/>
      <c r="M4016" s="1066"/>
      <c r="N4016" s="1066"/>
      <c r="O4016" s="1066"/>
      <c r="P4016" s="1066"/>
      <c r="Q4016" s="1066"/>
      <c r="R4016" s="1066"/>
    </row>
    <row r="4017" spans="1:64">
      <c r="A4017" s="1798"/>
      <c r="B4017" s="1798"/>
      <c r="C4017" s="1795" t="s">
        <v>1549</v>
      </c>
      <c r="D4017" s="1807"/>
      <c r="E4017" s="1807"/>
      <c r="F4017" s="1794"/>
      <c r="G4017" s="1807"/>
      <c r="H4017" s="1807"/>
      <c r="I4017" s="1353"/>
      <c r="J4017" s="1022"/>
      <c r="K4017" s="1022"/>
      <c r="L4017" s="1022"/>
      <c r="M4017" s="1066"/>
      <c r="N4017" s="1066"/>
      <c r="O4017" s="1066"/>
      <c r="P4017" s="1066"/>
      <c r="Q4017" s="1066"/>
      <c r="R4017" s="1066"/>
    </row>
    <row r="4018" spans="1:64">
      <c r="A4018" s="1798"/>
      <c r="B4018" s="1798"/>
      <c r="C4018" s="1795" t="s">
        <v>1550</v>
      </c>
      <c r="D4018" s="1807"/>
      <c r="E4018" s="1807"/>
      <c r="F4018" s="1794"/>
      <c r="G4018" s="1807"/>
      <c r="H4018" s="1807"/>
      <c r="I4018" s="1353"/>
      <c r="J4018" s="1022"/>
      <c r="K4018" s="1022"/>
      <c r="L4018" s="1022"/>
      <c r="M4018" s="1066"/>
      <c r="N4018" s="1066"/>
      <c r="O4018" s="1066"/>
      <c r="P4018" s="1066"/>
      <c r="Q4018" s="1066"/>
      <c r="R4018" s="1066"/>
    </row>
    <row r="4019" spans="1:64" ht="25.5">
      <c r="A4019" s="1794"/>
      <c r="B4019" s="1794"/>
      <c r="C4019" s="1807" t="s">
        <v>1551</v>
      </c>
      <c r="D4019" s="1287">
        <v>1</v>
      </c>
      <c r="E4019" s="1288" t="s">
        <v>97</v>
      </c>
      <c r="F4019" s="1211">
        <f>'Civil-SOR'!$G$55</f>
        <v>173</v>
      </c>
      <c r="G4019" s="1289">
        <v>1</v>
      </c>
      <c r="H4019" s="1290" t="str">
        <f t="shared" ref="H4019:H4024" si="908">IF(E4019="","",IF(E4019="No.","Each",IF(E4019="Nos.","Each",E4019)))</f>
        <v>Kg</v>
      </c>
      <c r="I4019" s="1211">
        <f t="shared" ref="I4019:I4025" si="909">IF(G4019="",D4019*F4019,(D4019*F4019/G4019))</f>
        <v>173</v>
      </c>
      <c r="J4019" s="1022"/>
      <c r="K4019" s="1022"/>
      <c r="L4019" s="1022"/>
      <c r="M4019" s="1066"/>
      <c r="N4019" s="1066"/>
      <c r="O4019" s="1066"/>
      <c r="P4019" s="1066"/>
      <c r="Q4019" s="1066"/>
      <c r="R4019" s="1066"/>
      <c r="S4019" s="1066"/>
      <c r="T4019" s="1066"/>
      <c r="U4019" s="1066"/>
      <c r="V4019" s="1066"/>
      <c r="W4019" s="1066"/>
      <c r="X4019" s="1066"/>
      <c r="Y4019" s="1066"/>
      <c r="Z4019" s="1066"/>
      <c r="AA4019" s="1066"/>
      <c r="AB4019" s="1066"/>
      <c r="AC4019" s="1066"/>
      <c r="AD4019" s="1066"/>
      <c r="AE4019" s="1066"/>
      <c r="AF4019" s="1066"/>
      <c r="AG4019" s="1066"/>
      <c r="AH4019" s="1066"/>
      <c r="AI4019" s="1066"/>
      <c r="AJ4019" s="1066"/>
      <c r="AK4019" s="1066"/>
      <c r="AL4019" s="1066"/>
      <c r="AM4019" s="1066"/>
      <c r="AN4019" s="1066"/>
      <c r="AO4019" s="1066"/>
      <c r="AP4019" s="1066"/>
      <c r="AQ4019" s="1066"/>
      <c r="AR4019" s="1066"/>
      <c r="AS4019" s="1066"/>
      <c r="AT4019" s="1066"/>
      <c r="AU4019" s="1066"/>
      <c r="AV4019" s="1066"/>
      <c r="AW4019" s="1066"/>
      <c r="AX4019" s="1066"/>
      <c r="AY4019" s="1066"/>
      <c r="AZ4019" s="1066"/>
      <c r="BA4019" s="1066"/>
      <c r="BB4019" s="1066"/>
      <c r="BC4019" s="1066"/>
      <c r="BD4019" s="1066"/>
      <c r="BE4019" s="1066"/>
      <c r="BF4019" s="1066"/>
      <c r="BG4019" s="1066"/>
      <c r="BH4019" s="1066"/>
      <c r="BI4019" s="1066"/>
      <c r="BJ4019" s="1066"/>
      <c r="BK4019" s="1066"/>
      <c r="BL4019" s="1066"/>
    </row>
    <row r="4020" spans="1:64">
      <c r="A4020" s="1794"/>
      <c r="B4020" s="1794"/>
      <c r="C4020" s="1807" t="s">
        <v>1529</v>
      </c>
      <c r="D4020" s="1287">
        <v>0.21</v>
      </c>
      <c r="E4020" s="1288" t="s">
        <v>36</v>
      </c>
      <c r="F4020" s="1211">
        <f>'Civil-SOR'!$G$296</f>
        <v>665</v>
      </c>
      <c r="G4020" s="1289">
        <v>1</v>
      </c>
      <c r="H4020" s="1290" t="str">
        <f t="shared" si="908"/>
        <v>Each</v>
      </c>
      <c r="I4020" s="1211">
        <f t="shared" si="909"/>
        <v>139.65</v>
      </c>
      <c r="J4020" s="1022"/>
      <c r="K4020" s="1022"/>
      <c r="L4020" s="1022"/>
      <c r="M4020" s="1066"/>
      <c r="N4020" s="1066"/>
      <c r="O4020" s="1066"/>
      <c r="P4020" s="1066"/>
      <c r="Q4020" s="1066"/>
      <c r="R4020" s="1066"/>
      <c r="S4020" s="1066"/>
      <c r="T4020" s="1066"/>
      <c r="U4020" s="1066"/>
      <c r="V4020" s="1066"/>
      <c r="W4020" s="1066"/>
      <c r="X4020" s="1066"/>
      <c r="Y4020" s="1066"/>
      <c r="Z4020" s="1066"/>
      <c r="AA4020" s="1066"/>
      <c r="AB4020" s="1066"/>
      <c r="AC4020" s="1066"/>
      <c r="AD4020" s="1066"/>
      <c r="AE4020" s="1066"/>
      <c r="AF4020" s="1066"/>
      <c r="AG4020" s="1066"/>
      <c r="AH4020" s="1066"/>
      <c r="AI4020" s="1066"/>
      <c r="AJ4020" s="1066"/>
      <c r="AK4020" s="1066"/>
      <c r="AL4020" s="1066"/>
      <c r="AM4020" s="1066"/>
      <c r="AN4020" s="1066"/>
      <c r="AO4020" s="1066"/>
      <c r="AP4020" s="1066"/>
      <c r="AQ4020" s="1066"/>
      <c r="AR4020" s="1066"/>
      <c r="AS4020" s="1066"/>
      <c r="AT4020" s="1066"/>
      <c r="AU4020" s="1066"/>
      <c r="AV4020" s="1066"/>
      <c r="AW4020" s="1066"/>
      <c r="AX4020" s="1066"/>
      <c r="AY4020" s="1066"/>
      <c r="AZ4020" s="1066"/>
      <c r="BA4020" s="1066"/>
      <c r="BB4020" s="1066"/>
      <c r="BC4020" s="1066"/>
      <c r="BD4020" s="1066"/>
      <c r="BE4020" s="1066"/>
      <c r="BF4020" s="1066"/>
      <c r="BG4020" s="1066"/>
      <c r="BH4020" s="1066"/>
      <c r="BI4020" s="1066"/>
      <c r="BJ4020" s="1066"/>
      <c r="BK4020" s="1066"/>
      <c r="BL4020" s="1066"/>
    </row>
    <row r="4021" spans="1:64">
      <c r="A4021" s="1794"/>
      <c r="B4021" s="1794"/>
      <c r="C4021" s="1807" t="s">
        <v>1530</v>
      </c>
      <c r="D4021" s="1287">
        <v>0.49</v>
      </c>
      <c r="E4021" s="1288" t="s">
        <v>36</v>
      </c>
      <c r="F4021" s="1211">
        <f>'Civil-SOR'!$G$303</f>
        <v>550</v>
      </c>
      <c r="G4021" s="1289">
        <v>1</v>
      </c>
      <c r="H4021" s="1290" t="str">
        <f t="shared" si="908"/>
        <v>Each</v>
      </c>
      <c r="I4021" s="1211">
        <f t="shared" si="909"/>
        <v>269.5</v>
      </c>
      <c r="J4021" s="1022"/>
      <c r="K4021" s="1022"/>
      <c r="L4021" s="1022"/>
      <c r="M4021" s="1066"/>
      <c r="N4021" s="1066"/>
      <c r="O4021" s="1066"/>
      <c r="P4021" s="1066"/>
      <c r="Q4021" s="1066"/>
      <c r="R4021" s="1066"/>
      <c r="S4021" s="1066"/>
      <c r="T4021" s="1066"/>
      <c r="U4021" s="1066"/>
      <c r="V4021" s="1066"/>
      <c r="W4021" s="1066"/>
      <c r="X4021" s="1066"/>
      <c r="Y4021" s="1066"/>
      <c r="Z4021" s="1066"/>
      <c r="AA4021" s="1066"/>
      <c r="AB4021" s="1066"/>
      <c r="AC4021" s="1066"/>
      <c r="AD4021" s="1066"/>
      <c r="AE4021" s="1066"/>
      <c r="AF4021" s="1066"/>
      <c r="AG4021" s="1066"/>
      <c r="AH4021" s="1066"/>
      <c r="AI4021" s="1066"/>
      <c r="AJ4021" s="1066"/>
      <c r="AK4021" s="1066"/>
      <c r="AL4021" s="1066"/>
      <c r="AM4021" s="1066"/>
      <c r="AN4021" s="1066"/>
      <c r="AO4021" s="1066"/>
      <c r="AP4021" s="1066"/>
      <c r="AQ4021" s="1066"/>
      <c r="AR4021" s="1066"/>
      <c r="AS4021" s="1066"/>
      <c r="AT4021" s="1066"/>
      <c r="AU4021" s="1066"/>
      <c r="AV4021" s="1066"/>
      <c r="AW4021" s="1066"/>
      <c r="AX4021" s="1066"/>
      <c r="AY4021" s="1066"/>
      <c r="AZ4021" s="1066"/>
      <c r="BA4021" s="1066"/>
      <c r="BB4021" s="1066"/>
      <c r="BC4021" s="1066"/>
      <c r="BD4021" s="1066"/>
      <c r="BE4021" s="1066"/>
      <c r="BF4021" s="1066"/>
      <c r="BG4021" s="1066"/>
      <c r="BH4021" s="1066"/>
      <c r="BI4021" s="1066"/>
      <c r="BJ4021" s="1066"/>
      <c r="BK4021" s="1066"/>
      <c r="BL4021" s="1066"/>
    </row>
    <row r="4022" spans="1:64">
      <c r="A4022" s="1794"/>
      <c r="B4022" s="1794"/>
      <c r="C4022" s="1807" t="s">
        <v>2651</v>
      </c>
      <c r="D4022" s="1287">
        <v>0.8</v>
      </c>
      <c r="E4022" s="1288" t="s">
        <v>1380</v>
      </c>
      <c r="F4022" s="1211">
        <f>'Civil-SOR'!$G$68</f>
        <v>263</v>
      </c>
      <c r="G4022" s="1289">
        <v>1</v>
      </c>
      <c r="H4022" s="1290" t="str">
        <f t="shared" si="908"/>
        <v>Ltrs</v>
      </c>
      <c r="I4022" s="1211">
        <f t="shared" si="909"/>
        <v>210.4</v>
      </c>
      <c r="J4022" s="1022"/>
      <c r="K4022" s="1022"/>
      <c r="L4022" s="1022"/>
      <c r="M4022" s="1066"/>
      <c r="N4022" s="1066"/>
      <c r="O4022" s="1066"/>
      <c r="P4022" s="1066"/>
      <c r="Q4022" s="1066"/>
      <c r="R4022" s="1066"/>
      <c r="S4022" s="1066"/>
      <c r="T4022" s="1066"/>
      <c r="U4022" s="1066"/>
      <c r="V4022" s="1066"/>
      <c r="W4022" s="1066"/>
      <c r="X4022" s="1066"/>
      <c r="Y4022" s="1066"/>
      <c r="Z4022" s="1066"/>
      <c r="AA4022" s="1066"/>
      <c r="AB4022" s="1066"/>
      <c r="AC4022" s="1066"/>
      <c r="AD4022" s="1066"/>
      <c r="AE4022" s="1066"/>
      <c r="AF4022" s="1066"/>
      <c r="AG4022" s="1066"/>
      <c r="AH4022" s="1066"/>
      <c r="AI4022" s="1066"/>
      <c r="AJ4022" s="1066"/>
      <c r="AK4022" s="1066"/>
      <c r="AL4022" s="1066"/>
      <c r="AM4022" s="1066"/>
      <c r="AN4022" s="1066"/>
      <c r="AO4022" s="1066"/>
      <c r="AP4022" s="1066"/>
      <c r="AQ4022" s="1066"/>
      <c r="AR4022" s="1066"/>
      <c r="AS4022" s="1066"/>
      <c r="AT4022" s="1066"/>
      <c r="AU4022" s="1066"/>
      <c r="AV4022" s="1066"/>
      <c r="AW4022" s="1066"/>
      <c r="AX4022" s="1066"/>
      <c r="AY4022" s="1066"/>
      <c r="AZ4022" s="1066"/>
      <c r="BA4022" s="1066"/>
      <c r="BB4022" s="1066"/>
      <c r="BC4022" s="1066"/>
      <c r="BD4022" s="1066"/>
      <c r="BE4022" s="1066"/>
      <c r="BF4022" s="1066"/>
      <c r="BG4022" s="1066"/>
      <c r="BH4022" s="1066"/>
      <c r="BI4022" s="1066"/>
      <c r="BJ4022" s="1066"/>
      <c r="BK4022" s="1066"/>
      <c r="BL4022" s="1066"/>
    </row>
    <row r="4023" spans="1:64">
      <c r="A4023" s="1794"/>
      <c r="B4023" s="1794"/>
      <c r="C4023" s="1807" t="s">
        <v>1529</v>
      </c>
      <c r="D4023" s="1287">
        <v>0.36</v>
      </c>
      <c r="E4023" s="1288" t="s">
        <v>36</v>
      </c>
      <c r="F4023" s="1211">
        <f>'Civil-SOR'!$G$296</f>
        <v>665</v>
      </c>
      <c r="G4023" s="1289">
        <v>1</v>
      </c>
      <c r="H4023" s="1290" t="str">
        <f t="shared" si="908"/>
        <v>Each</v>
      </c>
      <c r="I4023" s="1211">
        <f t="shared" si="909"/>
        <v>239.39999999999998</v>
      </c>
      <c r="J4023" s="1022"/>
      <c r="K4023" s="1022"/>
      <c r="L4023" s="1022"/>
      <c r="M4023" s="1066"/>
      <c r="N4023" s="1066"/>
      <c r="O4023" s="1066"/>
      <c r="P4023" s="1066"/>
      <c r="Q4023" s="1066"/>
      <c r="R4023" s="1066"/>
      <c r="S4023" s="1066"/>
      <c r="T4023" s="1066"/>
      <c r="U4023" s="1066"/>
      <c r="V4023" s="1066"/>
      <c r="W4023" s="1066"/>
      <c r="X4023" s="1066"/>
      <c r="Y4023" s="1066"/>
      <c r="Z4023" s="1066"/>
      <c r="AA4023" s="1066"/>
      <c r="AB4023" s="1066"/>
      <c r="AC4023" s="1066"/>
      <c r="AD4023" s="1066"/>
      <c r="AE4023" s="1066"/>
      <c r="AF4023" s="1066"/>
      <c r="AG4023" s="1066"/>
      <c r="AH4023" s="1066"/>
      <c r="AI4023" s="1066"/>
      <c r="AJ4023" s="1066"/>
      <c r="AK4023" s="1066"/>
      <c r="AL4023" s="1066"/>
      <c r="AM4023" s="1066"/>
      <c r="AN4023" s="1066"/>
      <c r="AO4023" s="1066"/>
      <c r="AP4023" s="1066"/>
      <c r="AQ4023" s="1066"/>
      <c r="AR4023" s="1066"/>
      <c r="AS4023" s="1066"/>
      <c r="AT4023" s="1066"/>
      <c r="AU4023" s="1066"/>
      <c r="AV4023" s="1066"/>
      <c r="AW4023" s="1066"/>
      <c r="AX4023" s="1066"/>
      <c r="AY4023" s="1066"/>
      <c r="AZ4023" s="1066"/>
      <c r="BA4023" s="1066"/>
      <c r="BB4023" s="1066"/>
      <c r="BC4023" s="1066"/>
      <c r="BD4023" s="1066"/>
      <c r="BE4023" s="1066"/>
      <c r="BF4023" s="1066"/>
      <c r="BG4023" s="1066"/>
      <c r="BH4023" s="1066"/>
      <c r="BI4023" s="1066"/>
      <c r="BJ4023" s="1066"/>
      <c r="BK4023" s="1066"/>
      <c r="BL4023" s="1066"/>
    </row>
    <row r="4024" spans="1:64">
      <c r="A4024" s="1794"/>
      <c r="B4024" s="1794"/>
      <c r="C4024" s="1807" t="s">
        <v>1530</v>
      </c>
      <c r="D4024" s="1287">
        <v>0.84</v>
      </c>
      <c r="E4024" s="1288" t="s">
        <v>36</v>
      </c>
      <c r="F4024" s="1211">
        <f>'Civil-SOR'!$G$303</f>
        <v>550</v>
      </c>
      <c r="G4024" s="1289">
        <v>1</v>
      </c>
      <c r="H4024" s="1290" t="str">
        <f t="shared" si="908"/>
        <v>Each</v>
      </c>
      <c r="I4024" s="1211">
        <f t="shared" si="909"/>
        <v>462</v>
      </c>
      <c r="J4024" s="1022"/>
      <c r="K4024" s="1022"/>
      <c r="L4024" s="1022"/>
      <c r="M4024" s="1066"/>
      <c r="N4024" s="1066"/>
      <c r="O4024" s="1066"/>
      <c r="P4024" s="1066"/>
      <c r="Q4024" s="1066"/>
      <c r="R4024" s="1066"/>
      <c r="S4024" s="1066"/>
      <c r="T4024" s="1066"/>
      <c r="U4024" s="1066"/>
      <c r="V4024" s="1066"/>
      <c r="W4024" s="1066"/>
      <c r="X4024" s="1066"/>
      <c r="Y4024" s="1066"/>
      <c r="Z4024" s="1066"/>
      <c r="AA4024" s="1066"/>
      <c r="AB4024" s="1066"/>
      <c r="AC4024" s="1066"/>
      <c r="AD4024" s="1066"/>
      <c r="AE4024" s="1066"/>
      <c r="AF4024" s="1066"/>
      <c r="AG4024" s="1066"/>
      <c r="AH4024" s="1066"/>
      <c r="AI4024" s="1066"/>
      <c r="AJ4024" s="1066"/>
      <c r="AK4024" s="1066"/>
      <c r="AL4024" s="1066"/>
      <c r="AM4024" s="1066"/>
      <c r="AN4024" s="1066"/>
      <c r="AO4024" s="1066"/>
      <c r="AP4024" s="1066"/>
      <c r="AQ4024" s="1066"/>
      <c r="AR4024" s="1066"/>
      <c r="AS4024" s="1066"/>
      <c r="AT4024" s="1066"/>
      <c r="AU4024" s="1066"/>
      <c r="AV4024" s="1066"/>
      <c r="AW4024" s="1066"/>
      <c r="AX4024" s="1066"/>
      <c r="AY4024" s="1066"/>
      <c r="AZ4024" s="1066"/>
      <c r="BA4024" s="1066"/>
      <c r="BB4024" s="1066"/>
      <c r="BC4024" s="1066"/>
      <c r="BD4024" s="1066"/>
      <c r="BE4024" s="1066"/>
      <c r="BF4024" s="1066"/>
      <c r="BG4024" s="1066"/>
      <c r="BH4024" s="1066"/>
      <c r="BI4024" s="1066"/>
      <c r="BJ4024" s="1066"/>
      <c r="BK4024" s="1066"/>
      <c r="BL4024" s="1066"/>
    </row>
    <row r="4025" spans="1:64">
      <c r="A4025" s="1794"/>
      <c r="B4025" s="1794"/>
      <c r="C4025" s="1807" t="str">
        <f>Input!$C$47</f>
        <v>Add for MA @ 40%</v>
      </c>
      <c r="D4025" s="1212">
        <f>Input!$D$47</f>
        <v>0.4</v>
      </c>
      <c r="E4025" s="1308"/>
      <c r="F4025" s="1211">
        <f>SUM(I4020:I4021)+SUM(I4023:I4024)</f>
        <v>1110.55</v>
      </c>
      <c r="G4025" s="1210"/>
      <c r="H4025" s="1813"/>
      <c r="I4025" s="1211">
        <f t="shared" si="909"/>
        <v>444.22</v>
      </c>
      <c r="J4025" s="1022"/>
      <c r="K4025" s="1022"/>
      <c r="L4025" s="1022"/>
      <c r="M4025" s="1066"/>
      <c r="N4025" s="1066"/>
      <c r="O4025" s="1066"/>
      <c r="P4025" s="1066"/>
      <c r="Q4025" s="1066"/>
      <c r="R4025" s="1066"/>
      <c r="S4025" s="1066"/>
      <c r="T4025" s="1066"/>
      <c r="U4025" s="1066"/>
      <c r="V4025" s="1066"/>
      <c r="W4025" s="1066"/>
      <c r="X4025" s="1066"/>
      <c r="Y4025" s="1066"/>
      <c r="Z4025" s="1066"/>
      <c r="AA4025" s="1066"/>
      <c r="AB4025" s="1066"/>
      <c r="AC4025" s="1066"/>
      <c r="AD4025" s="1066"/>
      <c r="AE4025" s="1066"/>
      <c r="AF4025" s="1066"/>
      <c r="AG4025" s="1066"/>
      <c r="AH4025" s="1066"/>
      <c r="AI4025" s="1066"/>
      <c r="AJ4025" s="1066"/>
      <c r="AK4025" s="1066"/>
      <c r="AL4025" s="1066"/>
      <c r="AM4025" s="1066"/>
      <c r="AN4025" s="1066"/>
      <c r="AO4025" s="1066"/>
      <c r="AP4025" s="1066"/>
      <c r="AQ4025" s="1066"/>
      <c r="AR4025" s="1066"/>
      <c r="AS4025" s="1066"/>
      <c r="AT4025" s="1066"/>
      <c r="AU4025" s="1066"/>
      <c r="AV4025" s="1066"/>
      <c r="AW4025" s="1066"/>
      <c r="AX4025" s="1066"/>
      <c r="AY4025" s="1066"/>
      <c r="AZ4025" s="1066"/>
      <c r="BA4025" s="1066"/>
      <c r="BB4025" s="1066"/>
      <c r="BC4025" s="1066"/>
      <c r="BD4025" s="1066"/>
      <c r="BE4025" s="1066"/>
      <c r="BF4025" s="1066"/>
      <c r="BG4025" s="1066"/>
      <c r="BH4025" s="1066"/>
      <c r="BI4025" s="1066"/>
      <c r="BJ4025" s="1066"/>
      <c r="BK4025" s="1066"/>
      <c r="BL4025" s="1066"/>
    </row>
    <row r="4026" spans="1:64" ht="25.5">
      <c r="A4026" s="1794"/>
      <c r="B4026" s="1794"/>
      <c r="C4026" s="1807" t="s">
        <v>1531</v>
      </c>
      <c r="D4026" s="1352">
        <v>0.01</v>
      </c>
      <c r="E4026" s="1807"/>
      <c r="F4026" s="1209">
        <f>SUM(I4019:I4025)</f>
        <v>1938.1699999999998</v>
      </c>
      <c r="G4026" s="1807"/>
      <c r="H4026" s="1807"/>
      <c r="I4026" s="1211"/>
      <c r="J4026" s="1022"/>
      <c r="K4026" s="1022"/>
      <c r="L4026" s="1022"/>
      <c r="M4026" s="1066"/>
      <c r="N4026" s="1066"/>
      <c r="O4026" s="1066"/>
      <c r="P4026" s="1066"/>
      <c r="Q4026" s="1066"/>
      <c r="R4026" s="1066"/>
      <c r="S4026" s="1066"/>
      <c r="T4026" s="1066"/>
      <c r="U4026" s="1066"/>
      <c r="V4026" s="1066"/>
      <c r="W4026" s="1066"/>
      <c r="X4026" s="1066"/>
      <c r="Y4026" s="1066"/>
      <c r="Z4026" s="1066"/>
      <c r="AA4026" s="1066"/>
      <c r="AB4026" s="1066"/>
      <c r="AC4026" s="1066"/>
      <c r="AD4026" s="1066"/>
      <c r="AE4026" s="1066"/>
      <c r="AF4026" s="1066"/>
      <c r="AG4026" s="1066"/>
      <c r="AH4026" s="1066"/>
      <c r="AI4026" s="1066"/>
      <c r="AJ4026" s="1066"/>
      <c r="AK4026" s="1066"/>
      <c r="AL4026" s="1066"/>
      <c r="AM4026" s="1066"/>
      <c r="AN4026" s="1066"/>
      <c r="AO4026" s="1066"/>
      <c r="AP4026" s="1066"/>
      <c r="AQ4026" s="1066"/>
      <c r="AR4026" s="1066"/>
      <c r="AS4026" s="1066"/>
      <c r="AT4026" s="1066"/>
      <c r="AU4026" s="1066"/>
      <c r="AV4026" s="1066"/>
      <c r="AW4026" s="1066"/>
      <c r="AX4026" s="1066"/>
      <c r="AY4026" s="1066"/>
      <c r="AZ4026" s="1066"/>
      <c r="BA4026" s="1066"/>
      <c r="BB4026" s="1066"/>
      <c r="BC4026" s="1066"/>
      <c r="BD4026" s="1066"/>
      <c r="BE4026" s="1066"/>
      <c r="BF4026" s="1066"/>
      <c r="BG4026" s="1066"/>
      <c r="BH4026" s="1066"/>
      <c r="BI4026" s="1066"/>
      <c r="BJ4026" s="1066"/>
      <c r="BK4026" s="1066"/>
      <c r="BL4026" s="1066"/>
    </row>
    <row r="4027" spans="1:64">
      <c r="A4027" s="1794"/>
      <c r="B4027" s="1794"/>
      <c r="C4027" s="1807"/>
      <c r="D4027" s="1352"/>
      <c r="E4027" s="1807"/>
      <c r="F4027" s="1209"/>
      <c r="G4027" s="1807"/>
      <c r="H4027" s="1807"/>
      <c r="I4027" s="1307">
        <f>SUM(I4019:I4026)</f>
        <v>1938.1699999999998</v>
      </c>
      <c r="J4027" s="1022"/>
      <c r="K4027" s="1022"/>
      <c r="L4027" s="1022"/>
      <c r="M4027" s="1066"/>
      <c r="N4027" s="1066"/>
      <c r="O4027" s="1066"/>
      <c r="P4027" s="1066"/>
      <c r="Q4027" s="1066"/>
      <c r="R4027" s="1066"/>
      <c r="S4027" s="1066"/>
      <c r="T4027" s="1066"/>
      <c r="U4027" s="1066"/>
      <c r="V4027" s="1066"/>
      <c r="W4027" s="1066"/>
      <c r="X4027" s="1066"/>
      <c r="Y4027" s="1066"/>
      <c r="Z4027" s="1066"/>
      <c r="AA4027" s="1066"/>
      <c r="AB4027" s="1066"/>
      <c r="AC4027" s="1066"/>
      <c r="AD4027" s="1066"/>
      <c r="AE4027" s="1066"/>
      <c r="AF4027" s="1066"/>
      <c r="AG4027" s="1066"/>
      <c r="AH4027" s="1066"/>
      <c r="AI4027" s="1066"/>
      <c r="AJ4027" s="1066"/>
      <c r="AK4027" s="1066"/>
      <c r="AL4027" s="1066"/>
      <c r="AM4027" s="1066"/>
      <c r="AN4027" s="1066"/>
      <c r="AO4027" s="1066"/>
      <c r="AP4027" s="1066"/>
      <c r="AQ4027" s="1066"/>
      <c r="AR4027" s="1066"/>
      <c r="AS4027" s="1066"/>
      <c r="AT4027" s="1066"/>
      <c r="AU4027" s="1066"/>
      <c r="AV4027" s="1066"/>
      <c r="AW4027" s="1066"/>
      <c r="AX4027" s="1066"/>
      <c r="AY4027" s="1066"/>
      <c r="AZ4027" s="1066"/>
      <c r="BA4027" s="1066"/>
      <c r="BB4027" s="1066"/>
      <c r="BC4027" s="1066"/>
      <c r="BD4027" s="1066"/>
      <c r="BE4027" s="1066"/>
      <c r="BF4027" s="1066"/>
      <c r="BG4027" s="1066"/>
      <c r="BH4027" s="1066"/>
      <c r="BI4027" s="1066"/>
      <c r="BJ4027" s="1066"/>
      <c r="BK4027" s="1066"/>
      <c r="BL4027" s="1066"/>
    </row>
    <row r="4028" spans="1:64">
      <c r="A4028" s="1794"/>
      <c r="B4028" s="1794"/>
      <c r="C4028" s="1807" t="str">
        <f>Input!$C$48</f>
        <v>Overheads &amp; Contractors Profit @ 13.615%</v>
      </c>
      <c r="D4028" s="1355">
        <f>Input!$D$48</f>
        <v>0.13614999999999999</v>
      </c>
      <c r="E4028" s="1304"/>
      <c r="F4028" s="1211">
        <f>I4027</f>
        <v>1938.1699999999998</v>
      </c>
      <c r="G4028" s="1289"/>
      <c r="H4028" s="1208"/>
      <c r="I4028" s="1211">
        <f>IF(G4028="",D4028*F4028,(D4028*F4028/G4028))</f>
        <v>263.88184549999994</v>
      </c>
      <c r="J4028" s="1022"/>
      <c r="K4028" s="1022"/>
      <c r="L4028" s="1022"/>
      <c r="M4028" s="1066"/>
      <c r="N4028" s="1066"/>
      <c r="O4028" s="1066"/>
      <c r="P4028" s="1066"/>
      <c r="Q4028" s="1066"/>
      <c r="R4028" s="1066"/>
      <c r="S4028" s="1066"/>
      <c r="T4028" s="1066"/>
      <c r="U4028" s="1066"/>
      <c r="V4028" s="1066"/>
      <c r="W4028" s="1066"/>
      <c r="X4028" s="1066"/>
      <c r="Y4028" s="1066"/>
      <c r="Z4028" s="1066"/>
      <c r="AA4028" s="1066"/>
      <c r="AB4028" s="1066"/>
      <c r="AC4028" s="1066"/>
      <c r="AD4028" s="1066"/>
      <c r="AE4028" s="1066"/>
      <c r="AF4028" s="1066"/>
      <c r="AG4028" s="1066"/>
      <c r="AH4028" s="1066"/>
      <c r="AI4028" s="1066"/>
      <c r="AJ4028" s="1066"/>
      <c r="AK4028" s="1066"/>
      <c r="AL4028" s="1066"/>
      <c r="AM4028" s="1066"/>
      <c r="AN4028" s="1066"/>
      <c r="AO4028" s="1066"/>
      <c r="AP4028" s="1066"/>
      <c r="AQ4028" s="1066"/>
      <c r="AR4028" s="1066"/>
      <c r="AS4028" s="1066"/>
      <c r="AT4028" s="1066"/>
      <c r="AU4028" s="1066"/>
      <c r="AV4028" s="1066"/>
      <c r="AW4028" s="1066"/>
      <c r="AX4028" s="1066"/>
      <c r="AY4028" s="1066"/>
      <c r="AZ4028" s="1066"/>
      <c r="BA4028" s="1066"/>
      <c r="BB4028" s="1066"/>
      <c r="BC4028" s="1066"/>
      <c r="BD4028" s="1066"/>
      <c r="BE4028" s="1066"/>
      <c r="BF4028" s="1066"/>
      <c r="BG4028" s="1066"/>
      <c r="BH4028" s="1066"/>
      <c r="BI4028" s="1066"/>
      <c r="BJ4028" s="1066"/>
      <c r="BK4028" s="1066"/>
      <c r="BL4028" s="1066"/>
    </row>
    <row r="4029" spans="1:64">
      <c r="A4029" s="1798"/>
      <c r="B4029" s="1798"/>
      <c r="C4029" s="1795" t="s">
        <v>1044</v>
      </c>
      <c r="D4029" s="1354"/>
      <c r="E4029" s="1202"/>
      <c r="F4029" s="1353"/>
      <c r="G4029" s="1202"/>
      <c r="H4029" s="1202"/>
      <c r="I4029" s="1205">
        <f>SUM(I4027:I4028)</f>
        <v>2202.0518454999997</v>
      </c>
      <c r="J4029" s="1846"/>
      <c r="K4029" s="1846"/>
      <c r="L4029" s="1846"/>
    </row>
    <row r="4030" spans="1:64">
      <c r="A4030" s="1798"/>
      <c r="B4030" s="1798"/>
      <c r="C4030" s="1795" t="s">
        <v>1045</v>
      </c>
      <c r="D4030" s="1354"/>
      <c r="E4030" s="1202"/>
      <c r="F4030" s="1353"/>
      <c r="G4030" s="1202"/>
      <c r="H4030" s="1807"/>
      <c r="I4030" s="1209">
        <f>I4029/10</f>
        <v>220.20518454999996</v>
      </c>
      <c r="J4030" s="1846"/>
      <c r="K4030" s="1846"/>
      <c r="L4030" s="1846"/>
    </row>
    <row r="4031" spans="1:64">
      <c r="A4031" s="1798"/>
      <c r="B4031" s="1798"/>
      <c r="C4031" s="1199"/>
      <c r="D4031" s="1228"/>
      <c r="E4031" s="1276"/>
      <c r="F4031" s="1223"/>
      <c r="G4031" s="1272"/>
      <c r="H4031" s="1299" t="s">
        <v>1065</v>
      </c>
      <c r="I4031" s="1219">
        <f>ROUND(I4030,0)</f>
        <v>220</v>
      </c>
      <c r="J4031" s="1817"/>
      <c r="K4031" s="1817"/>
      <c r="L4031" s="1817"/>
      <c r="M4031" s="1315"/>
      <c r="N4031" s="1315"/>
      <c r="O4031" s="1315"/>
      <c r="P4031" s="1315"/>
      <c r="Q4031" s="1315"/>
      <c r="R4031" s="1315"/>
    </row>
    <row r="4032" spans="1:64">
      <c r="A4032" s="1798"/>
      <c r="B4032" s="1798"/>
      <c r="C4032" s="1199"/>
      <c r="D4032" s="1228"/>
      <c r="E4032" s="1276"/>
      <c r="F4032" s="1223"/>
      <c r="G4032" s="1272"/>
      <c r="H4032" s="1299"/>
      <c r="I4032" s="1219"/>
      <c r="J4032" s="1817"/>
      <c r="K4032" s="1817"/>
      <c r="L4032" s="1817"/>
      <c r="M4032" s="1315"/>
      <c r="N4032" s="1315"/>
      <c r="O4032" s="1315"/>
      <c r="P4032" s="1315"/>
      <c r="Q4032" s="1315"/>
      <c r="R4032" s="1315"/>
    </row>
    <row r="4033" spans="1:64" ht="79.150000000000006" customHeight="1">
      <c r="A4033" s="2013">
        <f>A4015+1</f>
        <v>54</v>
      </c>
      <c r="B4033" s="2013"/>
      <c r="C4033" s="2022" t="s">
        <v>2653</v>
      </c>
      <c r="D4033" s="2022"/>
      <c r="E4033" s="2022"/>
      <c r="F4033" s="2022"/>
      <c r="G4033" s="2022"/>
      <c r="H4033" s="2022"/>
      <c r="I4033" s="1814"/>
      <c r="J4033" s="1846"/>
      <c r="K4033" s="1846"/>
      <c r="L4033" s="1846"/>
    </row>
    <row r="4034" spans="1:64" ht="12.75" customHeight="1">
      <c r="A4034" s="1798"/>
      <c r="B4034" s="1798"/>
      <c r="C4034" s="2026" t="s">
        <v>1548</v>
      </c>
      <c r="D4034" s="2026"/>
      <c r="E4034" s="1807"/>
      <c r="F4034" s="1794"/>
      <c r="G4034" s="1807"/>
      <c r="H4034" s="1807"/>
      <c r="I4034" s="1353"/>
      <c r="J4034" s="1846"/>
      <c r="K4034" s="1846"/>
      <c r="L4034" s="1846"/>
    </row>
    <row r="4035" spans="1:64">
      <c r="A4035" s="1798"/>
      <c r="B4035" s="1798"/>
      <c r="C4035" s="1795" t="s">
        <v>1549</v>
      </c>
      <c r="D4035" s="1807"/>
      <c r="E4035" s="1807"/>
      <c r="F4035" s="1794"/>
      <c r="G4035" s="1807"/>
      <c r="H4035" s="1807"/>
      <c r="I4035" s="1353"/>
      <c r="J4035" s="1846"/>
      <c r="K4035" s="1846"/>
      <c r="L4035" s="1846"/>
    </row>
    <row r="4036" spans="1:64">
      <c r="A4036" s="1798"/>
      <c r="B4036" s="1798"/>
      <c r="C4036" s="1795" t="s">
        <v>1550</v>
      </c>
      <c r="D4036" s="1807"/>
      <c r="E4036" s="1807"/>
      <c r="F4036" s="1794"/>
      <c r="G4036" s="1807"/>
      <c r="H4036" s="1807"/>
      <c r="I4036" s="1353"/>
      <c r="J4036" s="1846"/>
      <c r="K4036" s="1846"/>
      <c r="L4036" s="1846"/>
    </row>
    <row r="4037" spans="1:64" ht="25.5">
      <c r="A4037" s="1794"/>
      <c r="B4037" s="1794"/>
      <c r="C4037" s="1725" t="s">
        <v>1552</v>
      </c>
      <c r="D4037" s="1287">
        <v>1</v>
      </c>
      <c r="E4037" s="1288" t="s">
        <v>97</v>
      </c>
      <c r="F4037" s="1209">
        <f>'Civil-SOR'!G56</f>
        <v>221</v>
      </c>
      <c r="G4037" s="1289">
        <v>1</v>
      </c>
      <c r="H4037" s="1290" t="str">
        <f t="shared" ref="H4037:H4043" si="910">IF(E4037="","",IF(E4037="No.","Each",IF(E4037="Nos.","Each",E4037)))</f>
        <v>Kg</v>
      </c>
      <c r="I4037" s="1211">
        <f t="shared" ref="I4037:I4044" si="911">IF(G4037="",D4037*F4037,(D4037*F4037/G4037))</f>
        <v>221</v>
      </c>
      <c r="J4037" s="1022"/>
      <c r="K4037" s="1022"/>
      <c r="L4037" s="1022"/>
      <c r="M4037" s="1066"/>
      <c r="N4037" s="1066"/>
      <c r="O4037" s="1066"/>
      <c r="P4037" s="1066"/>
      <c r="Q4037" s="1066"/>
      <c r="R4037" s="1066"/>
      <c r="S4037" s="1066"/>
      <c r="T4037" s="1066"/>
      <c r="U4037" s="1066"/>
      <c r="V4037" s="1066"/>
      <c r="W4037" s="1066"/>
      <c r="X4037" s="1066"/>
      <c r="Y4037" s="1066"/>
      <c r="Z4037" s="1066"/>
      <c r="AA4037" s="1066"/>
      <c r="AB4037" s="1066"/>
      <c r="AC4037" s="1066"/>
      <c r="AD4037" s="1066"/>
      <c r="AE4037" s="1066"/>
      <c r="AF4037" s="1066"/>
      <c r="AG4037" s="1066"/>
      <c r="AH4037" s="1066"/>
      <c r="AI4037" s="1066"/>
      <c r="AJ4037" s="1066"/>
      <c r="AK4037" s="1066"/>
      <c r="AL4037" s="1066"/>
      <c r="AM4037" s="1066"/>
      <c r="AN4037" s="1066"/>
      <c r="AO4037" s="1066"/>
      <c r="AP4037" s="1066"/>
      <c r="AQ4037" s="1066"/>
      <c r="AR4037" s="1066"/>
      <c r="AS4037" s="1066"/>
      <c r="AT4037" s="1066"/>
      <c r="AU4037" s="1066"/>
      <c r="AV4037" s="1066"/>
      <c r="AW4037" s="1066"/>
      <c r="AX4037" s="1066"/>
      <c r="AY4037" s="1066"/>
      <c r="AZ4037" s="1066"/>
      <c r="BA4037" s="1066"/>
      <c r="BB4037" s="1066"/>
      <c r="BC4037" s="1066"/>
      <c r="BD4037" s="1066"/>
      <c r="BE4037" s="1066"/>
      <c r="BF4037" s="1066"/>
      <c r="BG4037" s="1066"/>
      <c r="BH4037" s="1066"/>
      <c r="BI4037" s="1066"/>
      <c r="BJ4037" s="1066"/>
      <c r="BK4037" s="1066"/>
      <c r="BL4037" s="1066"/>
    </row>
    <row r="4038" spans="1:64">
      <c r="A4038" s="1794"/>
      <c r="B4038" s="1794"/>
      <c r="C4038" s="1807" t="s">
        <v>1529</v>
      </c>
      <c r="D4038" s="1287">
        <v>0.21</v>
      </c>
      <c r="E4038" s="1288" t="s">
        <v>36</v>
      </c>
      <c r="F4038" s="1211">
        <f>'Civil-SOR'!$G$296</f>
        <v>665</v>
      </c>
      <c r="G4038" s="1289">
        <v>1</v>
      </c>
      <c r="H4038" s="1290" t="str">
        <f t="shared" si="910"/>
        <v>Each</v>
      </c>
      <c r="I4038" s="1211">
        <f t="shared" si="911"/>
        <v>139.65</v>
      </c>
      <c r="J4038" s="1022"/>
      <c r="K4038" s="1022"/>
      <c r="L4038" s="1022"/>
      <c r="M4038" s="1066"/>
      <c r="N4038" s="1066"/>
      <c r="O4038" s="1066"/>
      <c r="P4038" s="1066"/>
      <c r="Q4038" s="1066"/>
      <c r="R4038" s="1066"/>
      <c r="S4038" s="1066"/>
      <c r="T4038" s="1066"/>
      <c r="U4038" s="1066"/>
      <c r="V4038" s="1066"/>
      <c r="W4038" s="1066"/>
      <c r="X4038" s="1066"/>
      <c r="Y4038" s="1066"/>
      <c r="Z4038" s="1066"/>
      <c r="AA4038" s="1066"/>
      <c r="AB4038" s="1066"/>
      <c r="AC4038" s="1066"/>
      <c r="AD4038" s="1066"/>
      <c r="AE4038" s="1066"/>
      <c r="AF4038" s="1066"/>
      <c r="AG4038" s="1066"/>
      <c r="AH4038" s="1066"/>
      <c r="AI4038" s="1066"/>
      <c r="AJ4038" s="1066"/>
      <c r="AK4038" s="1066"/>
      <c r="AL4038" s="1066"/>
      <c r="AM4038" s="1066"/>
      <c r="AN4038" s="1066"/>
      <c r="AO4038" s="1066"/>
      <c r="AP4038" s="1066"/>
      <c r="AQ4038" s="1066"/>
      <c r="AR4038" s="1066"/>
      <c r="AS4038" s="1066"/>
      <c r="AT4038" s="1066"/>
      <c r="AU4038" s="1066"/>
      <c r="AV4038" s="1066"/>
      <c r="AW4038" s="1066"/>
      <c r="AX4038" s="1066"/>
      <c r="AY4038" s="1066"/>
      <c r="AZ4038" s="1066"/>
      <c r="BA4038" s="1066"/>
      <c r="BB4038" s="1066"/>
      <c r="BC4038" s="1066"/>
      <c r="BD4038" s="1066"/>
      <c r="BE4038" s="1066"/>
      <c r="BF4038" s="1066"/>
      <c r="BG4038" s="1066"/>
      <c r="BH4038" s="1066"/>
      <c r="BI4038" s="1066"/>
      <c r="BJ4038" s="1066"/>
      <c r="BK4038" s="1066"/>
      <c r="BL4038" s="1066"/>
    </row>
    <row r="4039" spans="1:64">
      <c r="A4039" s="1794"/>
      <c r="B4039" s="1794"/>
      <c r="C4039" s="1807" t="s">
        <v>1530</v>
      </c>
      <c r="D4039" s="1287">
        <v>0.49</v>
      </c>
      <c r="E4039" s="1288" t="s">
        <v>36</v>
      </c>
      <c r="F4039" s="1211">
        <f>'Civil-SOR'!$G$303</f>
        <v>550</v>
      </c>
      <c r="G4039" s="1289">
        <v>1</v>
      </c>
      <c r="H4039" s="1290" t="str">
        <f t="shared" si="910"/>
        <v>Each</v>
      </c>
      <c r="I4039" s="1211">
        <f t="shared" si="911"/>
        <v>269.5</v>
      </c>
      <c r="J4039" s="1022"/>
      <c r="K4039" s="1022"/>
      <c r="L4039" s="1022"/>
      <c r="M4039" s="1066"/>
      <c r="N4039" s="1066"/>
      <c r="O4039" s="1066"/>
      <c r="P4039" s="1066"/>
      <c r="Q4039" s="1066"/>
      <c r="R4039" s="1066"/>
      <c r="S4039" s="1066"/>
      <c r="T4039" s="1066"/>
      <c r="U4039" s="1066"/>
      <c r="V4039" s="1066"/>
      <c r="W4039" s="1066"/>
      <c r="X4039" s="1066"/>
      <c r="Y4039" s="1066"/>
      <c r="Z4039" s="1066"/>
      <c r="AA4039" s="1066"/>
      <c r="AB4039" s="1066"/>
      <c r="AC4039" s="1066"/>
      <c r="AD4039" s="1066"/>
      <c r="AE4039" s="1066"/>
      <c r="AF4039" s="1066"/>
      <c r="AG4039" s="1066"/>
      <c r="AH4039" s="1066"/>
      <c r="AI4039" s="1066"/>
      <c r="AJ4039" s="1066"/>
      <c r="AK4039" s="1066"/>
      <c r="AL4039" s="1066"/>
      <c r="AM4039" s="1066"/>
      <c r="AN4039" s="1066"/>
      <c r="AO4039" s="1066"/>
      <c r="AP4039" s="1066"/>
      <c r="AQ4039" s="1066"/>
      <c r="AR4039" s="1066"/>
      <c r="AS4039" s="1066"/>
      <c r="AT4039" s="1066"/>
      <c r="AU4039" s="1066"/>
      <c r="AV4039" s="1066"/>
      <c r="AW4039" s="1066"/>
      <c r="AX4039" s="1066"/>
      <c r="AY4039" s="1066"/>
      <c r="AZ4039" s="1066"/>
      <c r="BA4039" s="1066"/>
      <c r="BB4039" s="1066"/>
      <c r="BC4039" s="1066"/>
      <c r="BD4039" s="1066"/>
      <c r="BE4039" s="1066"/>
      <c r="BF4039" s="1066"/>
      <c r="BG4039" s="1066"/>
      <c r="BH4039" s="1066"/>
      <c r="BI4039" s="1066"/>
      <c r="BJ4039" s="1066"/>
      <c r="BK4039" s="1066"/>
      <c r="BL4039" s="1066"/>
    </row>
    <row r="4040" spans="1:64">
      <c r="A4040" s="1794"/>
      <c r="B4040" s="1794"/>
      <c r="C4040" s="1807" t="s">
        <v>2654</v>
      </c>
      <c r="D4040" s="1287">
        <v>0.8</v>
      </c>
      <c r="E4040" s="1288" t="s">
        <v>1380</v>
      </c>
      <c r="F4040" s="1211">
        <v>373</v>
      </c>
      <c r="G4040" s="1289">
        <v>1</v>
      </c>
      <c r="H4040" s="1290" t="str">
        <f t="shared" si="910"/>
        <v>Ltrs</v>
      </c>
      <c r="I4040" s="1211">
        <f t="shared" si="911"/>
        <v>298.40000000000003</v>
      </c>
      <c r="J4040" s="1022"/>
      <c r="K4040" s="1022"/>
      <c r="L4040" s="1022"/>
      <c r="M4040" s="1066"/>
      <c r="N4040" s="1066"/>
      <c r="O4040" s="1066"/>
      <c r="P4040" s="1066"/>
      <c r="Q4040" s="1066"/>
      <c r="R4040" s="1066"/>
      <c r="S4040" s="1066"/>
      <c r="T4040" s="1066"/>
      <c r="U4040" s="1066"/>
      <c r="V4040" s="1066"/>
      <c r="W4040" s="1066"/>
      <c r="X4040" s="1066"/>
      <c r="Y4040" s="1066"/>
      <c r="Z4040" s="1066"/>
      <c r="AA4040" s="1066"/>
      <c r="AB4040" s="1066"/>
      <c r="AC4040" s="1066"/>
      <c r="AD4040" s="1066"/>
      <c r="AE4040" s="1066"/>
      <c r="AF4040" s="1066"/>
      <c r="AG4040" s="1066"/>
      <c r="AH4040" s="1066"/>
      <c r="AI4040" s="1066"/>
      <c r="AJ4040" s="1066"/>
      <c r="AK4040" s="1066"/>
      <c r="AL4040" s="1066"/>
      <c r="AM4040" s="1066"/>
      <c r="AN4040" s="1066"/>
      <c r="AO4040" s="1066"/>
      <c r="AP4040" s="1066"/>
      <c r="AQ4040" s="1066"/>
      <c r="AR4040" s="1066"/>
      <c r="AS4040" s="1066"/>
      <c r="AT4040" s="1066"/>
      <c r="AU4040" s="1066"/>
      <c r="AV4040" s="1066"/>
      <c r="AW4040" s="1066"/>
      <c r="AX4040" s="1066"/>
      <c r="AY4040" s="1066"/>
      <c r="AZ4040" s="1066"/>
      <c r="BA4040" s="1066"/>
      <c r="BB4040" s="1066"/>
      <c r="BC4040" s="1066"/>
      <c r="BD4040" s="1066"/>
      <c r="BE4040" s="1066"/>
      <c r="BF4040" s="1066"/>
      <c r="BG4040" s="1066"/>
      <c r="BH4040" s="1066"/>
      <c r="BI4040" s="1066"/>
      <c r="BJ4040" s="1066"/>
      <c r="BK4040" s="1066"/>
      <c r="BL4040" s="1066"/>
    </row>
    <row r="4041" spans="1:64">
      <c r="A4041" s="1794"/>
      <c r="B4041" s="1794"/>
      <c r="C4041" s="1807" t="s">
        <v>1529</v>
      </c>
      <c r="D4041" s="1287">
        <v>0.21</v>
      </c>
      <c r="E4041" s="1288" t="s">
        <v>36</v>
      </c>
      <c r="F4041" s="1211">
        <f>'Civil-SOR'!$G$296</f>
        <v>665</v>
      </c>
      <c r="G4041" s="1289">
        <v>1</v>
      </c>
      <c r="H4041" s="1290" t="str">
        <f t="shared" si="910"/>
        <v>Each</v>
      </c>
      <c r="I4041" s="1211">
        <f t="shared" si="911"/>
        <v>139.65</v>
      </c>
      <c r="J4041" s="1022"/>
      <c r="K4041" s="1022"/>
      <c r="L4041" s="1022"/>
      <c r="M4041" s="1066"/>
      <c r="N4041" s="1066"/>
      <c r="O4041" s="1066"/>
      <c r="P4041" s="1066"/>
      <c r="Q4041" s="1066"/>
      <c r="R4041" s="1066"/>
      <c r="S4041" s="1066"/>
      <c r="T4041" s="1066"/>
      <c r="U4041" s="1066"/>
      <c r="V4041" s="1066"/>
      <c r="W4041" s="1066"/>
      <c r="X4041" s="1066"/>
      <c r="Y4041" s="1066"/>
      <c r="Z4041" s="1066"/>
      <c r="AA4041" s="1066"/>
      <c r="AB4041" s="1066"/>
      <c r="AC4041" s="1066"/>
      <c r="AD4041" s="1066"/>
      <c r="AE4041" s="1066"/>
      <c r="AF4041" s="1066"/>
      <c r="AG4041" s="1066"/>
      <c r="AH4041" s="1066"/>
      <c r="AI4041" s="1066"/>
      <c r="AJ4041" s="1066"/>
      <c r="AK4041" s="1066"/>
      <c r="AL4041" s="1066"/>
      <c r="AM4041" s="1066"/>
      <c r="AN4041" s="1066"/>
      <c r="AO4041" s="1066"/>
      <c r="AP4041" s="1066"/>
      <c r="AQ4041" s="1066"/>
      <c r="AR4041" s="1066"/>
      <c r="AS4041" s="1066"/>
      <c r="AT4041" s="1066"/>
      <c r="AU4041" s="1066"/>
      <c r="AV4041" s="1066"/>
      <c r="AW4041" s="1066"/>
      <c r="AX4041" s="1066"/>
      <c r="AY4041" s="1066"/>
      <c r="AZ4041" s="1066"/>
      <c r="BA4041" s="1066"/>
      <c r="BB4041" s="1066"/>
      <c r="BC4041" s="1066"/>
      <c r="BD4041" s="1066"/>
      <c r="BE4041" s="1066"/>
      <c r="BF4041" s="1066"/>
      <c r="BG4041" s="1066"/>
      <c r="BH4041" s="1066"/>
      <c r="BI4041" s="1066"/>
      <c r="BJ4041" s="1066"/>
      <c r="BK4041" s="1066"/>
      <c r="BL4041" s="1066"/>
    </row>
    <row r="4042" spans="1:64">
      <c r="A4042" s="1794"/>
      <c r="B4042" s="1794"/>
      <c r="C4042" s="1807" t="s">
        <v>1530</v>
      </c>
      <c r="D4042" s="1287">
        <v>0.49</v>
      </c>
      <c r="E4042" s="1288" t="s">
        <v>36</v>
      </c>
      <c r="F4042" s="1211">
        <f>'Civil-SOR'!$G$303</f>
        <v>550</v>
      </c>
      <c r="G4042" s="1289">
        <v>1</v>
      </c>
      <c r="H4042" s="1290" t="str">
        <f t="shared" si="910"/>
        <v>Each</v>
      </c>
      <c r="I4042" s="1211">
        <f t="shared" si="911"/>
        <v>269.5</v>
      </c>
      <c r="J4042" s="1022"/>
      <c r="K4042" s="1022"/>
      <c r="L4042" s="1022"/>
      <c r="M4042" s="1066"/>
      <c r="N4042" s="1066"/>
      <c r="O4042" s="1066"/>
      <c r="P4042" s="1066"/>
      <c r="Q4042" s="1066"/>
      <c r="R4042" s="1066"/>
      <c r="S4042" s="1066"/>
      <c r="T4042" s="1066"/>
      <c r="U4042" s="1066"/>
      <c r="V4042" s="1066"/>
      <c r="W4042" s="1066"/>
      <c r="X4042" s="1066"/>
      <c r="Y4042" s="1066"/>
      <c r="Z4042" s="1066"/>
      <c r="AA4042" s="1066"/>
      <c r="AB4042" s="1066"/>
      <c r="AC4042" s="1066"/>
      <c r="AD4042" s="1066"/>
      <c r="AE4042" s="1066"/>
      <c r="AF4042" s="1066"/>
      <c r="AG4042" s="1066"/>
      <c r="AH4042" s="1066"/>
      <c r="AI4042" s="1066"/>
      <c r="AJ4042" s="1066"/>
      <c r="AK4042" s="1066"/>
      <c r="AL4042" s="1066"/>
      <c r="AM4042" s="1066"/>
      <c r="AN4042" s="1066"/>
      <c r="AO4042" s="1066"/>
      <c r="AP4042" s="1066"/>
      <c r="AQ4042" s="1066"/>
      <c r="AR4042" s="1066"/>
      <c r="AS4042" s="1066"/>
      <c r="AT4042" s="1066"/>
      <c r="AU4042" s="1066"/>
      <c r="AV4042" s="1066"/>
      <c r="AW4042" s="1066"/>
      <c r="AX4042" s="1066"/>
      <c r="AY4042" s="1066"/>
      <c r="AZ4042" s="1066"/>
      <c r="BA4042" s="1066"/>
      <c r="BB4042" s="1066"/>
      <c r="BC4042" s="1066"/>
      <c r="BD4042" s="1066"/>
      <c r="BE4042" s="1066"/>
      <c r="BF4042" s="1066"/>
      <c r="BG4042" s="1066"/>
      <c r="BH4042" s="1066"/>
      <c r="BI4042" s="1066"/>
      <c r="BJ4042" s="1066"/>
      <c r="BK4042" s="1066"/>
      <c r="BL4042" s="1066"/>
    </row>
    <row r="4043" spans="1:64">
      <c r="A4043" s="1794"/>
      <c r="B4043" s="1794"/>
      <c r="C4043" s="1807" t="s">
        <v>1537</v>
      </c>
      <c r="D4043" s="1287">
        <v>1.5</v>
      </c>
      <c r="E4043" s="1288" t="s">
        <v>36</v>
      </c>
      <c r="F4043" s="1211">
        <f>'Civil-SOR'!$G$307</f>
        <v>520</v>
      </c>
      <c r="G4043" s="1289">
        <v>1</v>
      </c>
      <c r="H4043" s="1290" t="str">
        <f t="shared" si="910"/>
        <v>Each</v>
      </c>
      <c r="I4043" s="1211">
        <f t="shared" si="911"/>
        <v>780</v>
      </c>
      <c r="J4043" s="1022"/>
      <c r="K4043" s="1022"/>
      <c r="L4043" s="1022"/>
      <c r="M4043" s="1066"/>
      <c r="N4043" s="1066"/>
      <c r="O4043" s="1066"/>
      <c r="P4043" s="1066"/>
      <c r="Q4043" s="1066"/>
      <c r="R4043" s="1066"/>
      <c r="S4043" s="1066"/>
      <c r="T4043" s="1066"/>
      <c r="U4043" s="1066"/>
      <c r="V4043" s="1066"/>
      <c r="W4043" s="1066"/>
      <c r="X4043" s="1066"/>
      <c r="Y4043" s="1066"/>
      <c r="Z4043" s="1066"/>
      <c r="AA4043" s="1066"/>
      <c r="AB4043" s="1066"/>
      <c r="AC4043" s="1066"/>
      <c r="AD4043" s="1066"/>
      <c r="AE4043" s="1066"/>
      <c r="AF4043" s="1066"/>
      <c r="AG4043" s="1066"/>
      <c r="AH4043" s="1066"/>
      <c r="AI4043" s="1066"/>
      <c r="AJ4043" s="1066"/>
      <c r="AK4043" s="1066"/>
      <c r="AL4043" s="1066"/>
      <c r="AM4043" s="1066"/>
      <c r="AN4043" s="1066"/>
      <c r="AO4043" s="1066"/>
      <c r="AP4043" s="1066"/>
      <c r="AQ4043" s="1066"/>
      <c r="AR4043" s="1066"/>
      <c r="AS4043" s="1066"/>
      <c r="AT4043" s="1066"/>
      <c r="AU4043" s="1066"/>
      <c r="AV4043" s="1066"/>
      <c r="AW4043" s="1066"/>
      <c r="AX4043" s="1066"/>
      <c r="AY4043" s="1066"/>
      <c r="AZ4043" s="1066"/>
      <c r="BA4043" s="1066"/>
      <c r="BB4043" s="1066"/>
      <c r="BC4043" s="1066"/>
      <c r="BD4043" s="1066"/>
      <c r="BE4043" s="1066"/>
      <c r="BF4043" s="1066"/>
      <c r="BG4043" s="1066"/>
      <c r="BH4043" s="1066"/>
      <c r="BI4043" s="1066"/>
      <c r="BJ4043" s="1066"/>
      <c r="BK4043" s="1066"/>
      <c r="BL4043" s="1066"/>
    </row>
    <row r="4044" spans="1:64">
      <c r="A4044" s="1794"/>
      <c r="B4044" s="1794"/>
      <c r="C4044" s="1807" t="str">
        <f>Input!$C$47</f>
        <v>Add for MA @ 40%</v>
      </c>
      <c r="D4044" s="1212">
        <f>Input!$D$47</f>
        <v>0.4</v>
      </c>
      <c r="E4044" s="1308"/>
      <c r="F4044" s="1211">
        <f>SUM(I4038:I4039)+SUM(I4041:I4043)</f>
        <v>1598.3000000000002</v>
      </c>
      <c r="G4044" s="1210"/>
      <c r="H4044" s="1813"/>
      <c r="I4044" s="1211">
        <f t="shared" si="911"/>
        <v>639.32000000000016</v>
      </c>
      <c r="J4044" s="1022"/>
      <c r="K4044" s="1022"/>
      <c r="L4044" s="1022"/>
      <c r="M4044" s="1066"/>
      <c r="N4044" s="1066"/>
      <c r="O4044" s="1066"/>
      <c r="P4044" s="1066"/>
      <c r="Q4044" s="1066"/>
      <c r="R4044" s="1066"/>
      <c r="S4044" s="1066"/>
      <c r="T4044" s="1066"/>
      <c r="U4044" s="1066"/>
      <c r="V4044" s="1066"/>
      <c r="W4044" s="1066"/>
      <c r="X4044" s="1066"/>
      <c r="Y4044" s="1066"/>
      <c r="Z4044" s="1066"/>
      <c r="AA4044" s="1066"/>
      <c r="AB4044" s="1066"/>
      <c r="AC4044" s="1066"/>
      <c r="AD4044" s="1066"/>
      <c r="AE4044" s="1066"/>
      <c r="AF4044" s="1066"/>
      <c r="AG4044" s="1066"/>
      <c r="AH4044" s="1066"/>
      <c r="AI4044" s="1066"/>
      <c r="AJ4044" s="1066"/>
      <c r="AK4044" s="1066"/>
      <c r="AL4044" s="1066"/>
      <c r="AM4044" s="1066"/>
      <c r="AN4044" s="1066"/>
      <c r="AO4044" s="1066"/>
      <c r="AP4044" s="1066"/>
      <c r="AQ4044" s="1066"/>
      <c r="AR4044" s="1066"/>
      <c r="AS4044" s="1066"/>
      <c r="AT4044" s="1066"/>
      <c r="AU4044" s="1066"/>
      <c r="AV4044" s="1066"/>
      <c r="AW4044" s="1066"/>
      <c r="AX4044" s="1066"/>
      <c r="AY4044" s="1066"/>
      <c r="AZ4044" s="1066"/>
      <c r="BA4044" s="1066"/>
      <c r="BB4044" s="1066"/>
      <c r="BC4044" s="1066"/>
      <c r="BD4044" s="1066"/>
      <c r="BE4044" s="1066"/>
      <c r="BF4044" s="1066"/>
      <c r="BG4044" s="1066"/>
      <c r="BH4044" s="1066"/>
      <c r="BI4044" s="1066"/>
      <c r="BJ4044" s="1066"/>
      <c r="BK4044" s="1066"/>
      <c r="BL4044" s="1066"/>
    </row>
    <row r="4045" spans="1:64" ht="25.5">
      <c r="A4045" s="1794"/>
      <c r="B4045" s="1794"/>
      <c r="C4045" s="1807" t="s">
        <v>1531</v>
      </c>
      <c r="D4045" s="1352">
        <v>0.01</v>
      </c>
      <c r="E4045" s="1807"/>
      <c r="F4045" s="1209">
        <f>SUM(I4037:I4044)</f>
        <v>2757.02</v>
      </c>
      <c r="G4045" s="1807"/>
      <c r="H4045" s="1807"/>
      <c r="I4045" s="1211"/>
      <c r="J4045" s="1022"/>
      <c r="K4045" s="1022"/>
      <c r="L4045" s="1022"/>
      <c r="M4045" s="1066"/>
      <c r="N4045" s="1066"/>
      <c r="O4045" s="1066"/>
      <c r="P4045" s="1066"/>
      <c r="Q4045" s="1066"/>
      <c r="R4045" s="1066"/>
      <c r="S4045" s="1066"/>
      <c r="T4045" s="1066"/>
      <c r="U4045" s="1066"/>
      <c r="V4045" s="1066"/>
      <c r="W4045" s="1066"/>
      <c r="X4045" s="1066"/>
      <c r="Y4045" s="1066"/>
      <c r="Z4045" s="1066"/>
      <c r="AA4045" s="1066"/>
      <c r="AB4045" s="1066"/>
      <c r="AC4045" s="1066"/>
      <c r="AD4045" s="1066"/>
      <c r="AE4045" s="1066"/>
      <c r="AF4045" s="1066"/>
      <c r="AG4045" s="1066"/>
      <c r="AH4045" s="1066"/>
      <c r="AI4045" s="1066"/>
      <c r="AJ4045" s="1066"/>
      <c r="AK4045" s="1066"/>
      <c r="AL4045" s="1066"/>
      <c r="AM4045" s="1066"/>
      <c r="AN4045" s="1066"/>
      <c r="AO4045" s="1066"/>
      <c r="AP4045" s="1066"/>
      <c r="AQ4045" s="1066"/>
      <c r="AR4045" s="1066"/>
      <c r="AS4045" s="1066"/>
      <c r="AT4045" s="1066"/>
      <c r="AU4045" s="1066"/>
      <c r="AV4045" s="1066"/>
      <c r="AW4045" s="1066"/>
      <c r="AX4045" s="1066"/>
      <c r="AY4045" s="1066"/>
      <c r="AZ4045" s="1066"/>
      <c r="BA4045" s="1066"/>
      <c r="BB4045" s="1066"/>
      <c r="BC4045" s="1066"/>
      <c r="BD4045" s="1066"/>
      <c r="BE4045" s="1066"/>
      <c r="BF4045" s="1066"/>
      <c r="BG4045" s="1066"/>
      <c r="BH4045" s="1066"/>
      <c r="BI4045" s="1066"/>
      <c r="BJ4045" s="1066"/>
      <c r="BK4045" s="1066"/>
      <c r="BL4045" s="1066"/>
    </row>
    <row r="4046" spans="1:64">
      <c r="A4046" s="1798"/>
      <c r="B4046" s="1798"/>
      <c r="C4046" s="1807" t="s">
        <v>1391</v>
      </c>
      <c r="D4046" s="1354">
        <v>10</v>
      </c>
      <c r="E4046" s="1202" t="s">
        <v>94</v>
      </c>
      <c r="F4046" s="1353">
        <f>'Civil-SOR'!$F$233</f>
        <v>1.17</v>
      </c>
      <c r="G4046" s="1354">
        <v>1</v>
      </c>
      <c r="H4046" s="1202" t="s">
        <v>94</v>
      </c>
      <c r="I4046" s="1205">
        <f t="shared" ref="I4046:I4048" si="912">IF(G4046="",D4046*F4046,(D4046*F4046/G4046))</f>
        <v>11.7</v>
      </c>
      <c r="J4046" s="1846"/>
      <c r="K4046" s="1846"/>
      <c r="L4046" s="1846"/>
    </row>
    <row r="4047" spans="1:64">
      <c r="A4047" s="1798"/>
      <c r="B4047" s="1798"/>
      <c r="C4047" s="1807" t="s">
        <v>1392</v>
      </c>
      <c r="D4047" s="1354">
        <v>10</v>
      </c>
      <c r="E4047" s="1202" t="s">
        <v>94</v>
      </c>
      <c r="F4047" s="1353">
        <f>'Civil-SOR'!$G$233</f>
        <v>9.43</v>
      </c>
      <c r="G4047" s="1354">
        <v>1</v>
      </c>
      <c r="H4047" s="1202" t="s">
        <v>94</v>
      </c>
      <c r="I4047" s="1205">
        <f t="shared" si="912"/>
        <v>94.3</v>
      </c>
      <c r="J4047" s="1846"/>
      <c r="K4047" s="1846"/>
      <c r="L4047" s="1846"/>
    </row>
    <row r="4048" spans="1:64">
      <c r="A4048" s="1798"/>
      <c r="B4048" s="1798"/>
      <c r="C4048" s="1807" t="str">
        <f>Input!$C$47</f>
        <v>Add for MA @ 40%</v>
      </c>
      <c r="D4048" s="1277">
        <f>Input!$D$47</f>
        <v>0.4</v>
      </c>
      <c r="E4048" s="1276"/>
      <c r="F4048" s="1223">
        <f>I4047</f>
        <v>94.3</v>
      </c>
      <c r="G4048" s="1278"/>
      <c r="H4048" s="1279"/>
      <c r="I4048" s="1205">
        <f t="shared" si="912"/>
        <v>37.72</v>
      </c>
      <c r="J4048" s="1846"/>
      <c r="K4048" s="1846"/>
      <c r="L4048" s="1846"/>
    </row>
    <row r="4049" spans="1:12">
      <c r="A4049" s="1798"/>
      <c r="B4049" s="1798"/>
      <c r="C4049" s="1807"/>
      <c r="D4049" s="1277"/>
      <c r="E4049" s="1276"/>
      <c r="F4049" s="1223"/>
      <c r="G4049" s="1278"/>
      <c r="H4049" s="1279"/>
      <c r="I4049" s="1205">
        <f>SUM(I4037:I4048)</f>
        <v>2900.74</v>
      </c>
      <c r="J4049" s="1846"/>
      <c r="K4049" s="1846"/>
      <c r="L4049" s="1846"/>
    </row>
    <row r="4050" spans="1:12">
      <c r="A4050" s="1798"/>
      <c r="B4050" s="1798"/>
      <c r="C4050" s="1807" t="str">
        <f>Input!$C$48</f>
        <v>Overheads &amp; Contractors Profit @ 13.615%</v>
      </c>
      <c r="D4050" s="1356">
        <f>Input!$D$48</f>
        <v>0.13614999999999999</v>
      </c>
      <c r="E4050" s="1297"/>
      <c r="F4050" s="1205">
        <f>I4049</f>
        <v>2900.74</v>
      </c>
      <c r="G4050" s="1272"/>
      <c r="H4050" s="1199"/>
      <c r="I4050" s="1205">
        <f>IF(G4050="",D4050*F4050,(D4050*F4050/G4050))</f>
        <v>394.93575099999993</v>
      </c>
      <c r="J4050" s="1846"/>
      <c r="K4050" s="1846"/>
      <c r="L4050" s="1846"/>
    </row>
    <row r="4051" spans="1:12">
      <c r="A4051" s="1798"/>
      <c r="B4051" s="1798"/>
      <c r="C4051" s="1795" t="s">
        <v>1044</v>
      </c>
      <c r="D4051" s="1354"/>
      <c r="E4051" s="1202"/>
      <c r="F4051" s="1353"/>
      <c r="G4051" s="1202"/>
      <c r="H4051" s="1202"/>
      <c r="I4051" s="1205">
        <f>SUM(I4049:I4050)</f>
        <v>3295.6757509999998</v>
      </c>
      <c r="J4051" s="1846"/>
      <c r="K4051" s="1846"/>
      <c r="L4051" s="1846"/>
    </row>
    <row r="4052" spans="1:12">
      <c r="A4052" s="1798"/>
      <c r="B4052" s="1798"/>
      <c r="C4052" s="1795" t="s">
        <v>1045</v>
      </c>
      <c r="D4052" s="1354"/>
      <c r="E4052" s="1202"/>
      <c r="F4052" s="1353"/>
      <c r="G4052" s="1202"/>
      <c r="H4052" s="1807"/>
      <c r="I4052" s="1209">
        <f>I4051/10</f>
        <v>329.5675751</v>
      </c>
      <c r="J4052" s="1846"/>
      <c r="K4052" s="1846"/>
      <c r="L4052" s="1846"/>
    </row>
    <row r="4053" spans="1:12">
      <c r="A4053" s="1798"/>
      <c r="B4053" s="1798"/>
      <c r="C4053" s="1199"/>
      <c r="D4053" s="1228"/>
      <c r="E4053" s="1276"/>
      <c r="F4053" s="1223"/>
      <c r="G4053" s="1272"/>
      <c r="H4053" s="1299" t="s">
        <v>1065</v>
      </c>
      <c r="I4053" s="1219">
        <f>ROUND(I4052,0)</f>
        <v>330</v>
      </c>
      <c r="J4053" s="1846"/>
      <c r="K4053" s="1846"/>
      <c r="L4053" s="1846"/>
    </row>
    <row r="4054" spans="1:12">
      <c r="A4054" s="1798"/>
      <c r="B4054" s="1798"/>
      <c r="C4054" s="1795"/>
      <c r="D4054" s="1228"/>
      <c r="E4054" s="1271"/>
      <c r="F4054" s="1223"/>
      <c r="G4054" s="1272"/>
      <c r="H4054" s="1298"/>
      <c r="I4054" s="1219"/>
      <c r="J4054" s="1846"/>
      <c r="K4054" s="1846"/>
      <c r="L4054" s="1846"/>
    </row>
    <row r="4055" spans="1:12" ht="89.65" customHeight="1">
      <c r="A4055" s="1197">
        <f>A4033+1</f>
        <v>55</v>
      </c>
      <c r="B4055" s="1197"/>
      <c r="C4055" s="2006" t="s">
        <v>3459</v>
      </c>
      <c r="D4055" s="2006"/>
      <c r="E4055" s="2006"/>
      <c r="F4055" s="2006"/>
      <c r="G4055" s="2006"/>
      <c r="H4055" s="2006"/>
      <c r="I4055" s="1814"/>
      <c r="J4055" s="1846"/>
      <c r="K4055" s="1846"/>
      <c r="L4055" s="1846"/>
    </row>
    <row r="4056" spans="1:12">
      <c r="A4056" s="1197"/>
      <c r="B4056" s="1197"/>
      <c r="C4056" s="1198" t="s">
        <v>1553</v>
      </c>
      <c r="D4056" s="1199"/>
      <c r="E4056" s="1199"/>
      <c r="F4056" s="1200"/>
      <c r="G4056" s="1199"/>
      <c r="H4056" s="1199"/>
      <c r="I4056" s="1201"/>
      <c r="J4056" s="1846"/>
      <c r="K4056" s="1846"/>
      <c r="L4056" s="1846"/>
    </row>
    <row r="4057" spans="1:12">
      <c r="A4057" s="1197"/>
      <c r="B4057" s="1197"/>
      <c r="C4057" s="1807" t="s">
        <v>1554</v>
      </c>
      <c r="D4057" s="1352">
        <v>1</v>
      </c>
      <c r="E4057" s="1813" t="s">
        <v>97</v>
      </c>
      <c r="F4057" s="1209">
        <f>'Civil-SOR'!$G$61</f>
        <v>167</v>
      </c>
      <c r="G4057" s="1317">
        <v>1</v>
      </c>
      <c r="H4057" s="1807" t="s">
        <v>97</v>
      </c>
      <c r="I4057" s="1205">
        <f>IF(G4057="",D4057*F4057,(D4057*F4057/G4057))</f>
        <v>167</v>
      </c>
      <c r="J4057" s="1846"/>
      <c r="K4057" s="1846"/>
      <c r="L4057" s="1846"/>
    </row>
    <row r="4058" spans="1:12">
      <c r="A4058" s="1197"/>
      <c r="B4058" s="1197"/>
      <c r="C4058" s="1795" t="s">
        <v>1555</v>
      </c>
      <c r="D4058" s="1228"/>
      <c r="E4058" s="1271"/>
      <c r="F4058" s="1223"/>
      <c r="G4058" s="1272"/>
      <c r="H4058" s="1271"/>
      <c r="I4058" s="1205"/>
      <c r="J4058" s="1846"/>
      <c r="K4058" s="1846"/>
      <c r="L4058" s="1846"/>
    </row>
    <row r="4059" spans="1:12">
      <c r="A4059" s="1197"/>
      <c r="B4059" s="1197"/>
      <c r="C4059" s="1807" t="s">
        <v>1556</v>
      </c>
      <c r="D4059" s="1228">
        <v>0.7</v>
      </c>
      <c r="E4059" s="1271" t="s">
        <v>138</v>
      </c>
      <c r="F4059" s="1223">
        <f>'Civil-SOR'!$G$60</f>
        <v>167</v>
      </c>
      <c r="G4059" s="1272">
        <v>1</v>
      </c>
      <c r="H4059" s="1273" t="str">
        <f t="shared" ref="H4059:H4061" si="913">IF(E4059="","",IF(E4059="No.","Each",IF(E4059="Nos.","Each",E4059)))</f>
        <v>Ltr</v>
      </c>
      <c r="I4059" s="1205">
        <f t="shared" ref="I4059:I4061" si="914">IF(G4059="",D4059*F4059,(D4059*F4059/G4059))</f>
        <v>116.89999999999999</v>
      </c>
      <c r="J4059" s="1846"/>
      <c r="K4059" s="1846"/>
      <c r="L4059" s="1846"/>
    </row>
    <row r="4060" spans="1:12">
      <c r="A4060" s="1197"/>
      <c r="B4060" s="1197"/>
      <c r="C4060" s="1807" t="s">
        <v>1557</v>
      </c>
      <c r="D4060" s="1228">
        <v>0.21</v>
      </c>
      <c r="E4060" s="1271" t="s">
        <v>36</v>
      </c>
      <c r="F4060" s="1223">
        <f>'Civil-SOR'!$G$296</f>
        <v>665</v>
      </c>
      <c r="G4060" s="1272">
        <v>1</v>
      </c>
      <c r="H4060" s="1273" t="str">
        <f t="shared" si="913"/>
        <v>Each</v>
      </c>
      <c r="I4060" s="1205">
        <f t="shared" si="914"/>
        <v>139.65</v>
      </c>
      <c r="J4060" s="1846"/>
      <c r="K4060" s="1846"/>
      <c r="L4060" s="1846"/>
    </row>
    <row r="4061" spans="1:12">
      <c r="A4061" s="1197"/>
      <c r="B4061" s="1197"/>
      <c r="C4061" s="1807" t="s">
        <v>1558</v>
      </c>
      <c r="D4061" s="1228">
        <v>0.49</v>
      </c>
      <c r="E4061" s="1271" t="s">
        <v>36</v>
      </c>
      <c r="F4061" s="1223">
        <f>'Civil-SOR'!$G$303</f>
        <v>550</v>
      </c>
      <c r="G4061" s="1272">
        <v>1</v>
      </c>
      <c r="H4061" s="1273" t="str">
        <f t="shared" si="913"/>
        <v>Each</v>
      </c>
      <c r="I4061" s="1205">
        <f t="shared" si="914"/>
        <v>269.5</v>
      </c>
      <c r="J4061" s="1846"/>
      <c r="K4061" s="1846"/>
      <c r="L4061" s="1846"/>
    </row>
    <row r="4062" spans="1:12">
      <c r="A4062" s="1197"/>
      <c r="B4062" s="1197"/>
      <c r="C4062" s="1795" t="s">
        <v>1559</v>
      </c>
      <c r="D4062" s="1228"/>
      <c r="E4062" s="1271"/>
      <c r="F4062" s="1223"/>
      <c r="G4062" s="1272"/>
      <c r="H4062" s="1271"/>
      <c r="I4062" s="1205"/>
      <c r="J4062" s="1846"/>
      <c r="K4062" s="1846"/>
      <c r="L4062" s="1846"/>
    </row>
    <row r="4063" spans="1:12">
      <c r="A4063" s="1197"/>
      <c r="B4063" s="1197"/>
      <c r="C4063" s="1807" t="s">
        <v>1560</v>
      </c>
      <c r="D4063" s="1228">
        <v>1.2</v>
      </c>
      <c r="E4063" s="1271" t="s">
        <v>138</v>
      </c>
      <c r="F4063" s="1223">
        <f>'Civil-SOR'!$G$71</f>
        <v>221</v>
      </c>
      <c r="G4063" s="1272">
        <v>1</v>
      </c>
      <c r="H4063" s="1273" t="str">
        <f t="shared" ref="H4063:H4065" si="915">IF(E4063="","",IF(E4063="No.","Each",IF(E4063="Nos.","Each",E4063)))</f>
        <v>Ltr</v>
      </c>
      <c r="I4063" s="1205">
        <f t="shared" ref="I4063:I4066" si="916">IF(G4063="",D4063*F4063,(D4063*F4063/G4063))</f>
        <v>265.2</v>
      </c>
      <c r="J4063" s="1846"/>
      <c r="K4063" s="1846"/>
      <c r="L4063" s="1846"/>
    </row>
    <row r="4064" spans="1:12">
      <c r="A4064" s="1197"/>
      <c r="B4064" s="1197"/>
      <c r="C4064" s="1807" t="s">
        <v>1557</v>
      </c>
      <c r="D4064" s="1228">
        <v>0.36</v>
      </c>
      <c r="E4064" s="1271" t="s">
        <v>36</v>
      </c>
      <c r="F4064" s="1223">
        <f>'Civil-SOR'!$G$296</f>
        <v>665</v>
      </c>
      <c r="G4064" s="1272">
        <v>1</v>
      </c>
      <c r="H4064" s="1273" t="str">
        <f t="shared" si="915"/>
        <v>Each</v>
      </c>
      <c r="I4064" s="1205">
        <f t="shared" si="916"/>
        <v>239.39999999999998</v>
      </c>
      <c r="J4064" s="1846"/>
      <c r="K4064" s="1846"/>
      <c r="L4064" s="1846"/>
    </row>
    <row r="4065" spans="1:64">
      <c r="A4065" s="1197"/>
      <c r="B4065" s="1197"/>
      <c r="C4065" s="1807" t="s">
        <v>1558</v>
      </c>
      <c r="D4065" s="1228">
        <v>0.84</v>
      </c>
      <c r="E4065" s="1271" t="s">
        <v>36</v>
      </c>
      <c r="F4065" s="1223">
        <f>'Civil-SOR'!$G$303</f>
        <v>550</v>
      </c>
      <c r="G4065" s="1272">
        <v>1</v>
      </c>
      <c r="H4065" s="1273" t="str">
        <f t="shared" si="915"/>
        <v>Each</v>
      </c>
      <c r="I4065" s="1205">
        <f t="shared" si="916"/>
        <v>462</v>
      </c>
      <c r="J4065" s="1846"/>
      <c r="K4065" s="1846"/>
      <c r="L4065" s="1846"/>
    </row>
    <row r="4066" spans="1:64">
      <c r="A4066" s="1197"/>
      <c r="B4066" s="1197"/>
      <c r="C4066" s="1807" t="str">
        <f>Input!$C$47</f>
        <v>Add for MA @ 40%</v>
      </c>
      <c r="D4066" s="1277">
        <f>Input!$D$47</f>
        <v>0.4</v>
      </c>
      <c r="E4066" s="1276"/>
      <c r="F4066" s="1223">
        <f>SUM($I$4064:$I$4065)+SUM($I$4060:$I$4061)</f>
        <v>1110.55</v>
      </c>
      <c r="G4066" s="1278"/>
      <c r="H4066" s="1279"/>
      <c r="I4066" s="1205">
        <f t="shared" si="916"/>
        <v>444.22</v>
      </c>
      <c r="J4066" s="1846"/>
      <c r="K4066" s="1846"/>
      <c r="L4066" s="1846"/>
    </row>
    <row r="4067" spans="1:64" ht="25.5">
      <c r="A4067" s="1197"/>
      <c r="B4067" s="1197"/>
      <c r="C4067" s="1807" t="s">
        <v>1561</v>
      </c>
      <c r="D4067" s="1354">
        <v>0.01</v>
      </c>
      <c r="E4067" s="1202"/>
      <c r="F4067" s="1353">
        <f>SUM(I4057:I4066)</f>
        <v>2103.87</v>
      </c>
      <c r="G4067" s="1202"/>
      <c r="H4067" s="1202"/>
      <c r="I4067" s="1205"/>
      <c r="J4067" s="1846"/>
      <c r="K4067" s="1846"/>
      <c r="L4067" s="1846"/>
    </row>
    <row r="4068" spans="1:64">
      <c r="A4068" s="1197"/>
      <c r="B4068" s="1197"/>
      <c r="C4068" s="1807"/>
      <c r="D4068" s="1354"/>
      <c r="E4068" s="1202"/>
      <c r="F4068" s="1353"/>
      <c r="G4068" s="1202"/>
      <c r="H4068" s="1202"/>
      <c r="I4068" s="1219">
        <f>SUM(I4057:I4067)</f>
        <v>2103.87</v>
      </c>
      <c r="J4068" s="1846"/>
      <c r="K4068" s="1846"/>
      <c r="L4068" s="1846"/>
    </row>
    <row r="4069" spans="1:64">
      <c r="A4069" s="1197"/>
      <c r="B4069" s="1197"/>
      <c r="C4069" s="1807" t="str">
        <f>Input!$C$48</f>
        <v>Overheads &amp; Contractors Profit @ 13.615%</v>
      </c>
      <c r="D4069" s="1344">
        <f>Input!$D$48</f>
        <v>0.13614999999999999</v>
      </c>
      <c r="E4069" s="1297"/>
      <c r="F4069" s="1223">
        <f>I4068</f>
        <v>2103.87</v>
      </c>
      <c r="G4069" s="1272"/>
      <c r="H4069" s="1199"/>
      <c r="I4069" s="1205">
        <f>IF(G4069="",D4069*F4069,(D4069*F4069/G4069))</f>
        <v>286.44190049999997</v>
      </c>
      <c r="J4069" s="1846"/>
      <c r="K4069" s="1846"/>
      <c r="L4069" s="1846"/>
    </row>
    <row r="4070" spans="1:64">
      <c r="A4070" s="1197"/>
      <c r="B4070" s="1197"/>
      <c r="C4070" s="1795" t="s">
        <v>1044</v>
      </c>
      <c r="D4070" s="1228"/>
      <c r="E4070" s="1271"/>
      <c r="F4070" s="1223"/>
      <c r="G4070" s="1272"/>
      <c r="H4070" s="1298"/>
      <c r="I4070" s="1205">
        <f>SUM(I4068:I4069)</f>
        <v>2390.3119004999999</v>
      </c>
      <c r="J4070" s="1846"/>
      <c r="K4070" s="1846"/>
      <c r="L4070" s="1846"/>
    </row>
    <row r="4071" spans="1:64">
      <c r="A4071" s="1197"/>
      <c r="B4071" s="1197"/>
      <c r="C4071" s="1795" t="s">
        <v>1045</v>
      </c>
      <c r="D4071" s="1228"/>
      <c r="E4071" s="1271"/>
      <c r="F4071" s="1223"/>
      <c r="G4071" s="1272"/>
      <c r="H4071" s="1807"/>
      <c r="I4071" s="1209">
        <f>I4070/10</f>
        <v>239.03119004999999</v>
      </c>
      <c r="J4071" s="1846"/>
      <c r="K4071" s="1846"/>
      <c r="L4071" s="1846"/>
    </row>
    <row r="4072" spans="1:64">
      <c r="A4072" s="1197"/>
      <c r="B4072" s="1197"/>
      <c r="C4072" s="1795"/>
      <c r="D4072" s="1228"/>
      <c r="E4072" s="1271"/>
      <c r="F4072" s="1223"/>
      <c r="G4072" s="1272"/>
      <c r="H4072" s="1299" t="s">
        <v>1065</v>
      </c>
      <c r="I4072" s="1219">
        <f>ROUND(I4071,0)</f>
        <v>239</v>
      </c>
      <c r="J4072" s="1846"/>
      <c r="K4072" s="1846"/>
      <c r="L4072" s="1846"/>
    </row>
    <row r="4073" spans="1:64">
      <c r="A4073" s="1197"/>
      <c r="B4073" s="1197"/>
      <c r="C4073" s="1795"/>
      <c r="D4073" s="1228"/>
      <c r="E4073" s="1271"/>
      <c r="F4073" s="1223"/>
      <c r="G4073" s="1272"/>
      <c r="H4073" s="1298"/>
      <c r="I4073" s="1219"/>
      <c r="J4073" s="1846"/>
      <c r="K4073" s="1846"/>
      <c r="L4073" s="1846"/>
    </row>
    <row r="4074" spans="1:64" ht="40.5" customHeight="1">
      <c r="A4074" s="1197">
        <f>A4055+1</f>
        <v>56</v>
      </c>
      <c r="B4074" s="1197"/>
      <c r="C4074" s="2031" t="s">
        <v>3597</v>
      </c>
      <c r="D4074" s="2032"/>
      <c r="E4074" s="2032"/>
      <c r="F4074" s="2032"/>
      <c r="G4074" s="2032"/>
      <c r="H4074" s="2032"/>
      <c r="I4074" s="2033"/>
      <c r="J4074" s="1846"/>
      <c r="K4074" s="1846"/>
      <c r="L4074" s="1846"/>
    </row>
    <row r="4075" spans="1:64">
      <c r="A4075" s="1197"/>
      <c r="B4075" s="1197"/>
      <c r="C4075" s="1198" t="s">
        <v>1562</v>
      </c>
      <c r="D4075" s="1199"/>
      <c r="E4075" s="1199"/>
      <c r="F4075" s="1200"/>
      <c r="G4075" s="1199"/>
      <c r="H4075" s="1199"/>
      <c r="I4075" s="1201"/>
      <c r="J4075" s="1846"/>
      <c r="K4075" s="1846"/>
      <c r="L4075" s="1846"/>
    </row>
    <row r="4076" spans="1:64">
      <c r="A4076" s="1197"/>
      <c r="B4076" s="1197"/>
      <c r="C4076" s="1807" t="s">
        <v>1563</v>
      </c>
      <c r="D4076" s="1228">
        <v>1.1000000000000001</v>
      </c>
      <c r="E4076" s="1271" t="s">
        <v>138</v>
      </c>
      <c r="F4076" s="1223">
        <f>'Civil-SOR'!$G$71</f>
        <v>221</v>
      </c>
      <c r="G4076" s="1272">
        <v>1</v>
      </c>
      <c r="H4076" s="1273" t="str">
        <f t="shared" ref="H4076:H4078" si="917">IF(E4076="","",IF(E4076="No.","Each",IF(E4076="Nos.","Each",E4076)))</f>
        <v>Ltr</v>
      </c>
      <c r="I4076" s="1205">
        <f t="shared" ref="I4076:I4079" si="918">IF(G4076="",D4076*F4076,(D4076*F4076/G4076))</f>
        <v>243.10000000000002</v>
      </c>
      <c r="J4076" s="1846"/>
      <c r="K4076" s="1846"/>
      <c r="L4076" s="1846"/>
    </row>
    <row r="4077" spans="1:64">
      <c r="A4077" s="1197"/>
      <c r="B4077" s="1197"/>
      <c r="C4077" s="1807" t="s">
        <v>1557</v>
      </c>
      <c r="D4077" s="1228">
        <v>0.36</v>
      </c>
      <c r="E4077" s="1271" t="s">
        <v>36</v>
      </c>
      <c r="F4077" s="1223">
        <f>'Civil-SOR'!$G$296</f>
        <v>665</v>
      </c>
      <c r="G4077" s="1272">
        <v>1</v>
      </c>
      <c r="H4077" s="1273" t="str">
        <f t="shared" si="917"/>
        <v>Each</v>
      </c>
      <c r="I4077" s="1205">
        <f t="shared" si="918"/>
        <v>239.39999999999998</v>
      </c>
      <c r="J4077" s="1846"/>
      <c r="K4077" s="1846"/>
      <c r="L4077" s="1846"/>
    </row>
    <row r="4078" spans="1:64">
      <c r="A4078" s="1197"/>
      <c r="B4078" s="1197"/>
      <c r="C4078" s="1807" t="s">
        <v>1558</v>
      </c>
      <c r="D4078" s="1228">
        <v>0.84</v>
      </c>
      <c r="E4078" s="1271" t="s">
        <v>36</v>
      </c>
      <c r="F4078" s="1223">
        <f>'Civil-SOR'!$G$303</f>
        <v>550</v>
      </c>
      <c r="G4078" s="1272">
        <v>1</v>
      </c>
      <c r="H4078" s="1273" t="str">
        <f t="shared" si="917"/>
        <v>Each</v>
      </c>
      <c r="I4078" s="1205">
        <f t="shared" si="918"/>
        <v>462</v>
      </c>
      <c r="J4078" s="1846"/>
      <c r="K4078" s="1846"/>
      <c r="L4078" s="1846"/>
    </row>
    <row r="4079" spans="1:64">
      <c r="A4079" s="1197"/>
      <c r="B4079" s="1197"/>
      <c r="C4079" s="1807" t="str">
        <f>Input!$C$47</f>
        <v>Add for MA @ 40%</v>
      </c>
      <c r="D4079" s="1277">
        <f>Input!$D$47</f>
        <v>0.4</v>
      </c>
      <c r="E4079" s="1276"/>
      <c r="F4079" s="1223">
        <f>SUM(I4077:I4078)</f>
        <v>701.4</v>
      </c>
      <c r="G4079" s="1278"/>
      <c r="H4079" s="1279"/>
      <c r="I4079" s="1205">
        <f t="shared" si="918"/>
        <v>280.56</v>
      </c>
      <c r="J4079" s="1846"/>
      <c r="K4079" s="1846"/>
      <c r="L4079" s="1846"/>
    </row>
    <row r="4080" spans="1:64" ht="25.5">
      <c r="A4080" s="1206"/>
      <c r="B4080" s="1206"/>
      <c r="C4080" s="1807" t="s">
        <v>1561</v>
      </c>
      <c r="D4080" s="1352">
        <v>0.01</v>
      </c>
      <c r="E4080" s="1807"/>
      <c r="F4080" s="1209">
        <f>SUM(I4076:I4079)</f>
        <v>1225.06</v>
      </c>
      <c r="G4080" s="1807"/>
      <c r="H4080" s="1807"/>
      <c r="I4080" s="1211"/>
      <c r="J4080" s="1022"/>
      <c r="K4080" s="1022"/>
      <c r="L4080" s="1022"/>
      <c r="M4080" s="1066"/>
      <c r="N4080" s="1066"/>
      <c r="O4080" s="1066"/>
      <c r="P4080" s="1066"/>
      <c r="Q4080" s="1066"/>
      <c r="R4080" s="1066"/>
      <c r="S4080" s="1066"/>
      <c r="T4080" s="1066"/>
      <c r="U4080" s="1066"/>
      <c r="V4080" s="1066"/>
      <c r="W4080" s="1066"/>
      <c r="X4080" s="1066"/>
      <c r="Y4080" s="1066"/>
      <c r="Z4080" s="1066"/>
      <c r="AA4080" s="1066"/>
      <c r="AB4080" s="1066"/>
      <c r="AC4080" s="1066"/>
      <c r="AD4080" s="1066"/>
      <c r="AE4080" s="1066"/>
      <c r="AF4080" s="1066"/>
      <c r="AG4080" s="1066"/>
      <c r="AH4080" s="1066"/>
      <c r="AI4080" s="1066"/>
      <c r="AJ4080" s="1066"/>
      <c r="AK4080" s="1066"/>
      <c r="AL4080" s="1066"/>
      <c r="AM4080" s="1066"/>
      <c r="AN4080" s="1066"/>
      <c r="AO4080" s="1066"/>
      <c r="AP4080" s="1066"/>
      <c r="AQ4080" s="1066"/>
      <c r="AR4080" s="1066"/>
      <c r="AS4080" s="1066"/>
      <c r="AT4080" s="1066"/>
      <c r="AU4080" s="1066"/>
      <c r="AV4080" s="1066"/>
      <c r="AW4080" s="1066"/>
      <c r="AX4080" s="1066"/>
      <c r="AY4080" s="1066"/>
      <c r="AZ4080" s="1066"/>
      <c r="BA4080" s="1066"/>
      <c r="BB4080" s="1066"/>
      <c r="BC4080" s="1066"/>
      <c r="BD4080" s="1066"/>
      <c r="BE4080" s="1066"/>
      <c r="BF4080" s="1066"/>
      <c r="BG4080" s="1066"/>
      <c r="BH4080" s="1066"/>
      <c r="BI4080" s="1066"/>
      <c r="BJ4080" s="1066"/>
      <c r="BK4080" s="1066"/>
      <c r="BL4080" s="1066"/>
    </row>
    <row r="4081" spans="1:12">
      <c r="A4081" s="1197"/>
      <c r="B4081" s="1197"/>
      <c r="C4081" s="1807"/>
      <c r="D4081" s="1354"/>
      <c r="E4081" s="1202"/>
      <c r="F4081" s="1353"/>
      <c r="G4081" s="1202"/>
      <c r="H4081" s="1202"/>
      <c r="I4081" s="1219">
        <f>SUM(I4076:I4080)</f>
        <v>1225.06</v>
      </c>
      <c r="J4081" s="1846"/>
      <c r="K4081" s="1846"/>
      <c r="L4081" s="1846"/>
    </row>
    <row r="4082" spans="1:12">
      <c r="A4082" s="1197"/>
      <c r="B4082" s="1197"/>
      <c r="C4082" s="1807" t="str">
        <f>Input!$C$48</f>
        <v>Overheads &amp; Contractors Profit @ 13.615%</v>
      </c>
      <c r="D4082" s="1344">
        <f>Input!$D$48</f>
        <v>0.13614999999999999</v>
      </c>
      <c r="E4082" s="1297"/>
      <c r="F4082" s="1223">
        <f>I4081</f>
        <v>1225.06</v>
      </c>
      <c r="G4082" s="1272"/>
      <c r="H4082" s="1199"/>
      <c r="I4082" s="1205">
        <f>IF(G4082="",D4082*F4082,(D4082*F4082/G4082))</f>
        <v>166.79191899999998</v>
      </c>
      <c r="J4082" s="1846"/>
      <c r="K4082" s="1846"/>
      <c r="L4082" s="1846"/>
    </row>
    <row r="4083" spans="1:12">
      <c r="A4083" s="1197"/>
      <c r="B4083" s="1197"/>
      <c r="C4083" s="1795" t="s">
        <v>1044</v>
      </c>
      <c r="D4083" s="1228"/>
      <c r="E4083" s="1271"/>
      <c r="F4083" s="1223"/>
      <c r="G4083" s="1272"/>
      <c r="H4083" s="1298"/>
      <c r="I4083" s="1205">
        <f>SUM(I4081:I4082)</f>
        <v>1391.851919</v>
      </c>
      <c r="J4083" s="1846"/>
      <c r="K4083" s="1846"/>
      <c r="L4083" s="1846"/>
    </row>
    <row r="4084" spans="1:12">
      <c r="A4084" s="1197"/>
      <c r="B4084" s="1197"/>
      <c r="C4084" s="1795" t="s">
        <v>1045</v>
      </c>
      <c r="D4084" s="1228"/>
      <c r="E4084" s="1271"/>
      <c r="F4084" s="1223"/>
      <c r="G4084" s="1272"/>
      <c r="H4084" s="1807"/>
      <c r="I4084" s="1209">
        <f>I4083/10</f>
        <v>139.18519190000001</v>
      </c>
      <c r="J4084" s="1846"/>
      <c r="K4084" s="1846"/>
      <c r="L4084" s="1846"/>
    </row>
    <row r="4085" spans="1:12">
      <c r="A4085" s="1197"/>
      <c r="B4085" s="1197"/>
      <c r="C4085" s="1795"/>
      <c r="D4085" s="1228"/>
      <c r="E4085" s="1271"/>
      <c r="F4085" s="1223"/>
      <c r="G4085" s="1272"/>
      <c r="H4085" s="1299" t="s">
        <v>1065</v>
      </c>
      <c r="I4085" s="1219">
        <f>ROUND(I4084,0)</f>
        <v>139</v>
      </c>
      <c r="J4085" s="1846"/>
      <c r="K4085" s="1846"/>
      <c r="L4085" s="1846"/>
    </row>
    <row r="4086" spans="1:12">
      <c r="A4086" s="1197"/>
      <c r="B4086" s="1197"/>
      <c r="C4086" s="1795"/>
      <c r="D4086" s="1228"/>
      <c r="E4086" s="1271"/>
      <c r="F4086" s="1223"/>
      <c r="G4086" s="1272"/>
      <c r="H4086" s="1298"/>
      <c r="I4086" s="1219"/>
      <c r="J4086" s="1846"/>
      <c r="K4086" s="1846"/>
      <c r="L4086" s="1846"/>
    </row>
    <row r="4087" spans="1:12" ht="76.900000000000006" customHeight="1">
      <c r="A4087" s="1197">
        <f>A4074+1</f>
        <v>57</v>
      </c>
      <c r="B4087" s="1197"/>
      <c r="C4087" s="2006" t="s">
        <v>3460</v>
      </c>
      <c r="D4087" s="2006"/>
      <c r="E4087" s="2006"/>
      <c r="F4087" s="2006"/>
      <c r="G4087" s="2006"/>
      <c r="H4087" s="2006"/>
      <c r="I4087" s="1814"/>
      <c r="J4087" s="1846"/>
      <c r="K4087" s="1846"/>
      <c r="L4087" s="1846"/>
    </row>
    <row r="4088" spans="1:12">
      <c r="A4088" s="1197"/>
      <c r="B4088" s="1197"/>
      <c r="C4088" s="1198" t="s">
        <v>1564</v>
      </c>
      <c r="D4088" s="1228"/>
      <c r="E4088" s="1271"/>
      <c r="F4088" s="1223"/>
      <c r="G4088" s="1272"/>
      <c r="H4088" s="1298"/>
      <c r="I4088" s="1219"/>
      <c r="J4088" s="1846"/>
      <c r="K4088" s="1846"/>
      <c r="L4088" s="1846"/>
    </row>
    <row r="4089" spans="1:12">
      <c r="A4089" s="1197"/>
      <c r="B4089" s="1197"/>
      <c r="C4089" s="1807" t="s">
        <v>1364</v>
      </c>
      <c r="D4089" s="1228"/>
      <c r="E4089" s="1271"/>
      <c r="F4089" s="1223"/>
      <c r="G4089" s="1272"/>
      <c r="H4089" s="1298"/>
      <c r="I4089" s="1219"/>
      <c r="J4089" s="1846"/>
      <c r="K4089" s="1846"/>
      <c r="L4089" s="1846"/>
    </row>
    <row r="4090" spans="1:12">
      <c r="A4090" s="1197"/>
      <c r="B4090" s="1197"/>
      <c r="C4090" s="1795" t="s">
        <v>1139</v>
      </c>
      <c r="D4090" s="1228"/>
      <c r="E4090" s="1271"/>
      <c r="F4090" s="1223"/>
      <c r="G4090" s="1272"/>
      <c r="H4090" s="1298"/>
      <c r="I4090" s="1219"/>
      <c r="J4090" s="1846"/>
      <c r="K4090" s="1846"/>
      <c r="L4090" s="1846"/>
    </row>
    <row r="4091" spans="1:12">
      <c r="A4091" s="1197"/>
      <c r="B4091" s="1197"/>
      <c r="C4091" s="1807" t="s">
        <v>1565</v>
      </c>
      <c r="D4091" s="1228">
        <v>0.7</v>
      </c>
      <c r="E4091" s="1271" t="s">
        <v>138</v>
      </c>
      <c r="F4091" s="1223">
        <f>'Civil-SOR'!$G$58</f>
        <v>149</v>
      </c>
      <c r="G4091" s="1272">
        <v>1</v>
      </c>
      <c r="H4091" s="1273" t="str">
        <f>IF(E4091="","",IF(E4091="No.","Each",IF(E4091="Nos.","Each",E4091)))</f>
        <v>Ltr</v>
      </c>
      <c r="I4091" s="1205">
        <f>IF(G4091="",D4091*F4091,(D4091*F4091/G4091))</f>
        <v>104.3</v>
      </c>
      <c r="J4091" s="1846"/>
      <c r="K4091" s="1846"/>
      <c r="L4091" s="1846"/>
    </row>
    <row r="4092" spans="1:12">
      <c r="A4092" s="1197"/>
      <c r="B4092" s="1197"/>
      <c r="C4092" s="1795" t="s">
        <v>1172</v>
      </c>
      <c r="D4092" s="1228"/>
      <c r="E4092" s="1271"/>
      <c r="F4092" s="1223"/>
      <c r="G4092" s="1272"/>
      <c r="H4092" s="1273"/>
      <c r="I4092" s="1205"/>
      <c r="J4092" s="1846"/>
      <c r="K4092" s="1846"/>
      <c r="L4092" s="1846"/>
    </row>
    <row r="4093" spans="1:12">
      <c r="A4093" s="1197"/>
      <c r="B4093" s="1197"/>
      <c r="C4093" s="1807" t="s">
        <v>1557</v>
      </c>
      <c r="D4093" s="1228">
        <v>0.21</v>
      </c>
      <c r="E4093" s="1271" t="s">
        <v>36</v>
      </c>
      <c r="F4093" s="1223">
        <f>'Civil-SOR'!$G$296</f>
        <v>665</v>
      </c>
      <c r="G4093" s="1272">
        <v>1</v>
      </c>
      <c r="H4093" s="1273" t="str">
        <f t="shared" ref="H4093:H4094" si="919">IF(E4093="","",IF(E4093="No.","Each",IF(E4093="Nos.","Each",E4093)))</f>
        <v>Each</v>
      </c>
      <c r="I4093" s="1205">
        <f t="shared" ref="I4093:I4095" si="920">IF(G4093="",D4093*F4093,(D4093*F4093/G4093))</f>
        <v>139.65</v>
      </c>
      <c r="J4093" s="1846"/>
      <c r="K4093" s="1846"/>
      <c r="L4093" s="1846"/>
    </row>
    <row r="4094" spans="1:12">
      <c r="A4094" s="1197"/>
      <c r="B4094" s="1197"/>
      <c r="C4094" s="1807" t="s">
        <v>1558</v>
      </c>
      <c r="D4094" s="1228">
        <v>0.49</v>
      </c>
      <c r="E4094" s="1271" t="s">
        <v>36</v>
      </c>
      <c r="F4094" s="1223">
        <f>'Civil-SOR'!$G$303</f>
        <v>550</v>
      </c>
      <c r="G4094" s="1272">
        <v>1</v>
      </c>
      <c r="H4094" s="1273" t="str">
        <f t="shared" si="919"/>
        <v>Each</v>
      </c>
      <c r="I4094" s="1205">
        <f t="shared" si="920"/>
        <v>269.5</v>
      </c>
      <c r="J4094" s="1846"/>
      <c r="K4094" s="1846"/>
      <c r="L4094" s="1846"/>
    </row>
    <row r="4095" spans="1:12">
      <c r="A4095" s="1197"/>
      <c r="B4095" s="1197"/>
      <c r="C4095" s="1807" t="str">
        <f>Input!$C$47</f>
        <v>Add for MA @ 40%</v>
      </c>
      <c r="D4095" s="1277">
        <f>Input!$D$47</f>
        <v>0.4</v>
      </c>
      <c r="E4095" s="1276"/>
      <c r="F4095" s="1223">
        <f>SUM(I4093:I4094)</f>
        <v>409.15</v>
      </c>
      <c r="G4095" s="1278"/>
      <c r="H4095" s="1279"/>
      <c r="I4095" s="1205">
        <f t="shared" si="920"/>
        <v>163.66</v>
      </c>
      <c r="J4095" s="1846"/>
      <c r="K4095" s="1846"/>
      <c r="L4095" s="1846"/>
    </row>
    <row r="4096" spans="1:12" ht="25.5">
      <c r="A4096" s="1197"/>
      <c r="B4096" s="1197"/>
      <c r="C4096" s="1807" t="s">
        <v>1561</v>
      </c>
      <c r="D4096" s="1354">
        <v>0.01</v>
      </c>
      <c r="E4096" s="1202"/>
      <c r="F4096" s="1353">
        <f>SUM(I4091:I4095)</f>
        <v>677.11</v>
      </c>
      <c r="G4096" s="1202"/>
      <c r="H4096" s="1202"/>
      <c r="I4096" s="1205"/>
      <c r="J4096" s="1846"/>
      <c r="K4096" s="1846"/>
      <c r="L4096" s="1846"/>
    </row>
    <row r="4097" spans="1:64">
      <c r="A4097" s="1197"/>
      <c r="B4097" s="1197"/>
      <c r="C4097" s="1807"/>
      <c r="D4097" s="1354"/>
      <c r="E4097" s="1202"/>
      <c r="F4097" s="1353"/>
      <c r="G4097" s="1202"/>
      <c r="H4097" s="1202"/>
      <c r="I4097" s="1219">
        <f>SUM(I4091:I4096)</f>
        <v>677.11</v>
      </c>
      <c r="J4097" s="1846"/>
      <c r="K4097" s="1846"/>
      <c r="L4097" s="1846"/>
    </row>
    <row r="4098" spans="1:64">
      <c r="A4098" s="1197"/>
      <c r="B4098" s="1197"/>
      <c r="C4098" s="1807" t="str">
        <f>Input!$C$48</f>
        <v>Overheads &amp; Contractors Profit @ 13.615%</v>
      </c>
      <c r="D4098" s="1344">
        <f>Input!$D$48</f>
        <v>0.13614999999999999</v>
      </c>
      <c r="E4098" s="1297"/>
      <c r="F4098" s="1223">
        <f>I4097</f>
        <v>677.11</v>
      </c>
      <c r="G4098" s="1272"/>
      <c r="H4098" s="1199"/>
      <c r="I4098" s="1205">
        <f>IF(G4098="",D4098*F4098,(D4098*F4098/G4098))</f>
        <v>92.188526499999995</v>
      </c>
      <c r="J4098" s="1846"/>
      <c r="K4098" s="1846"/>
      <c r="L4098" s="1846"/>
    </row>
    <row r="4099" spans="1:64">
      <c r="A4099" s="1197"/>
      <c r="B4099" s="1197"/>
      <c r="C4099" s="1795" t="s">
        <v>1044</v>
      </c>
      <c r="D4099" s="1228"/>
      <c r="E4099" s="1271"/>
      <c r="F4099" s="1223"/>
      <c r="G4099" s="1272"/>
      <c r="H4099" s="1298"/>
      <c r="I4099" s="1205">
        <f>SUM(I4097:I4098)</f>
        <v>769.29852649999998</v>
      </c>
      <c r="J4099" s="1846"/>
      <c r="K4099" s="1846"/>
      <c r="L4099" s="1846"/>
    </row>
    <row r="4100" spans="1:64">
      <c r="A4100" s="1197"/>
      <c r="B4100" s="1197"/>
      <c r="C4100" s="1795" t="s">
        <v>1045</v>
      </c>
      <c r="D4100" s="1228"/>
      <c r="E4100" s="1271"/>
      <c r="F4100" s="1223"/>
      <c r="G4100" s="1272"/>
      <c r="H4100" s="1807"/>
      <c r="I4100" s="1209">
        <f>I4099/10</f>
        <v>76.929852650000001</v>
      </c>
      <c r="J4100" s="1846"/>
      <c r="K4100" s="1846"/>
      <c r="L4100" s="1846"/>
    </row>
    <row r="4101" spans="1:64">
      <c r="A4101" s="1197"/>
      <c r="B4101" s="1197"/>
      <c r="C4101" s="1807"/>
      <c r="D4101" s="1228"/>
      <c r="E4101" s="1271"/>
      <c r="F4101" s="1223"/>
      <c r="G4101" s="1272"/>
      <c r="H4101" s="1299" t="s">
        <v>1065</v>
      </c>
      <c r="I4101" s="1219">
        <f>ROUND(I4100,0)</f>
        <v>77</v>
      </c>
      <c r="J4101" s="1846"/>
      <c r="K4101" s="1846"/>
      <c r="L4101" s="1846"/>
    </row>
    <row r="4102" spans="1:64">
      <c r="A4102" s="1197"/>
      <c r="B4102" s="1197"/>
      <c r="C4102" s="1795"/>
      <c r="D4102" s="1228"/>
      <c r="E4102" s="1271"/>
      <c r="F4102" s="1223"/>
      <c r="G4102" s="1272"/>
      <c r="H4102" s="1298"/>
      <c r="I4102" s="1219"/>
      <c r="J4102" s="1846"/>
      <c r="K4102" s="1846"/>
      <c r="L4102" s="1846"/>
    </row>
    <row r="4103" spans="1:64" ht="63.4" customHeight="1">
      <c r="A4103" s="1197">
        <f>A4087+1</f>
        <v>58</v>
      </c>
      <c r="B4103" s="1197"/>
      <c r="C4103" s="2006" t="s">
        <v>3461</v>
      </c>
      <c r="D4103" s="2006"/>
      <c r="E4103" s="2006"/>
      <c r="F4103" s="2006"/>
      <c r="G4103" s="2006"/>
      <c r="H4103" s="2006"/>
      <c r="I4103" s="1814"/>
      <c r="J4103" s="1846"/>
      <c r="K4103" s="1846"/>
      <c r="L4103" s="1846"/>
    </row>
    <row r="4104" spans="1:64">
      <c r="A4104" s="1197"/>
      <c r="B4104" s="1197"/>
      <c r="C4104" s="1198" t="s">
        <v>1566</v>
      </c>
      <c r="D4104" s="1807"/>
      <c r="E4104" s="1807"/>
      <c r="F4104" s="1794"/>
      <c r="G4104" s="1807"/>
      <c r="H4104" s="1807"/>
      <c r="I4104" s="1209"/>
      <c r="J4104" s="1846"/>
      <c r="K4104" s="1846"/>
      <c r="L4104" s="1846"/>
    </row>
    <row r="4105" spans="1:64">
      <c r="A4105" s="1197"/>
      <c r="B4105" s="1197"/>
      <c r="C4105" s="1807" t="s">
        <v>1364</v>
      </c>
      <c r="D4105" s="1807"/>
      <c r="E4105" s="1807"/>
      <c r="F4105" s="1794"/>
      <c r="G4105" s="1807"/>
      <c r="H4105" s="1807"/>
      <c r="I4105" s="1209"/>
      <c r="J4105" s="1846"/>
      <c r="K4105" s="1846"/>
      <c r="L4105" s="1846"/>
    </row>
    <row r="4106" spans="1:64">
      <c r="A4106" s="1197"/>
      <c r="B4106" s="1197"/>
      <c r="C4106" s="1795" t="s">
        <v>1139</v>
      </c>
      <c r="D4106" s="1807"/>
      <c r="E4106" s="1807"/>
      <c r="F4106" s="1794"/>
      <c r="G4106" s="1807"/>
      <c r="H4106" s="1807"/>
      <c r="I4106" s="1209"/>
      <c r="J4106" s="1846"/>
      <c r="K4106" s="1846"/>
      <c r="L4106" s="1846"/>
    </row>
    <row r="4107" spans="1:64">
      <c r="A4107" s="1206"/>
      <c r="B4107" s="1206"/>
      <c r="C4107" s="1807" t="s">
        <v>1567</v>
      </c>
      <c r="D4107" s="1287">
        <v>1.1000000000000001</v>
      </c>
      <c r="E4107" s="1288" t="s">
        <v>138</v>
      </c>
      <c r="F4107" s="1211">
        <f>'Civil-SOR'!$G$71</f>
        <v>221</v>
      </c>
      <c r="G4107" s="1289">
        <v>1</v>
      </c>
      <c r="H4107" s="1290" t="str">
        <f>IF(E4107="","",IF(E4107="No.","Each",IF(E4107="Nos.","Each",E4107)))</f>
        <v>Ltr</v>
      </c>
      <c r="I4107" s="1211">
        <f>IF(G4107="",D4107*F4107,(D4107*F4107/G4107))</f>
        <v>243.10000000000002</v>
      </c>
      <c r="J4107" s="1022"/>
      <c r="K4107" s="1022"/>
      <c r="L4107" s="1022"/>
      <c r="M4107" s="1066"/>
      <c r="N4107" s="1066"/>
      <c r="O4107" s="1066"/>
      <c r="P4107" s="1066"/>
      <c r="Q4107" s="1066"/>
      <c r="R4107" s="1066"/>
      <c r="S4107" s="1066"/>
      <c r="T4107" s="1066"/>
      <c r="U4107" s="1066"/>
      <c r="V4107" s="1066"/>
      <c r="W4107" s="1066"/>
      <c r="X4107" s="1066"/>
      <c r="Y4107" s="1066"/>
      <c r="Z4107" s="1066"/>
      <c r="AA4107" s="1066"/>
      <c r="AB4107" s="1066"/>
      <c r="AC4107" s="1066"/>
      <c r="AD4107" s="1066"/>
      <c r="AE4107" s="1066"/>
      <c r="AF4107" s="1066"/>
      <c r="AG4107" s="1066"/>
      <c r="AH4107" s="1066"/>
      <c r="AI4107" s="1066"/>
      <c r="AJ4107" s="1066"/>
      <c r="AK4107" s="1066"/>
      <c r="AL4107" s="1066"/>
      <c r="AM4107" s="1066"/>
      <c r="AN4107" s="1066"/>
      <c r="AO4107" s="1066"/>
      <c r="AP4107" s="1066"/>
      <c r="AQ4107" s="1066"/>
      <c r="AR4107" s="1066"/>
      <c r="AS4107" s="1066"/>
      <c r="AT4107" s="1066"/>
      <c r="AU4107" s="1066"/>
      <c r="AV4107" s="1066"/>
      <c r="AW4107" s="1066"/>
      <c r="AX4107" s="1066"/>
      <c r="AY4107" s="1066"/>
      <c r="AZ4107" s="1066"/>
      <c r="BA4107" s="1066"/>
      <c r="BB4107" s="1066"/>
      <c r="BC4107" s="1066"/>
      <c r="BD4107" s="1066"/>
      <c r="BE4107" s="1066"/>
      <c r="BF4107" s="1066"/>
      <c r="BG4107" s="1066"/>
      <c r="BH4107" s="1066"/>
      <c r="BI4107" s="1066"/>
      <c r="BJ4107" s="1066"/>
      <c r="BK4107" s="1066"/>
      <c r="BL4107" s="1066"/>
    </row>
    <row r="4108" spans="1:64">
      <c r="A4108" s="1206"/>
      <c r="B4108" s="1206"/>
      <c r="C4108" s="1795" t="s">
        <v>1172</v>
      </c>
      <c r="D4108" s="1287"/>
      <c r="E4108" s="1288"/>
      <c r="F4108" s="1211"/>
      <c r="G4108" s="1289"/>
      <c r="H4108" s="1290"/>
      <c r="I4108" s="1211"/>
      <c r="J4108" s="1022"/>
      <c r="K4108" s="1022"/>
      <c r="L4108" s="1022"/>
      <c r="M4108" s="1066"/>
      <c r="N4108" s="1066"/>
      <c r="O4108" s="1066"/>
      <c r="P4108" s="1066"/>
      <c r="Q4108" s="1066"/>
      <c r="R4108" s="1066"/>
      <c r="S4108" s="1066"/>
      <c r="T4108" s="1066"/>
      <c r="U4108" s="1066"/>
      <c r="V4108" s="1066"/>
      <c r="W4108" s="1066"/>
      <c r="X4108" s="1066"/>
      <c r="Y4108" s="1066"/>
      <c r="Z4108" s="1066"/>
      <c r="AA4108" s="1066"/>
      <c r="AB4108" s="1066"/>
      <c r="AC4108" s="1066"/>
      <c r="AD4108" s="1066"/>
      <c r="AE4108" s="1066"/>
      <c r="AF4108" s="1066"/>
      <c r="AG4108" s="1066"/>
      <c r="AH4108" s="1066"/>
      <c r="AI4108" s="1066"/>
      <c r="AJ4108" s="1066"/>
      <c r="AK4108" s="1066"/>
      <c r="AL4108" s="1066"/>
      <c r="AM4108" s="1066"/>
      <c r="AN4108" s="1066"/>
      <c r="AO4108" s="1066"/>
      <c r="AP4108" s="1066"/>
      <c r="AQ4108" s="1066"/>
      <c r="AR4108" s="1066"/>
      <c r="AS4108" s="1066"/>
      <c r="AT4108" s="1066"/>
      <c r="AU4108" s="1066"/>
      <c r="AV4108" s="1066"/>
      <c r="AW4108" s="1066"/>
      <c r="AX4108" s="1066"/>
      <c r="AY4108" s="1066"/>
      <c r="AZ4108" s="1066"/>
      <c r="BA4108" s="1066"/>
      <c r="BB4108" s="1066"/>
      <c r="BC4108" s="1066"/>
      <c r="BD4108" s="1066"/>
      <c r="BE4108" s="1066"/>
      <c r="BF4108" s="1066"/>
      <c r="BG4108" s="1066"/>
      <c r="BH4108" s="1066"/>
      <c r="BI4108" s="1066"/>
      <c r="BJ4108" s="1066"/>
      <c r="BK4108" s="1066"/>
      <c r="BL4108" s="1066"/>
    </row>
    <row r="4109" spans="1:64">
      <c r="A4109" s="1206"/>
      <c r="B4109" s="1206"/>
      <c r="C4109" s="1807" t="s">
        <v>1557</v>
      </c>
      <c r="D4109" s="1287">
        <v>0.33</v>
      </c>
      <c r="E4109" s="1288" t="s">
        <v>36</v>
      </c>
      <c r="F4109" s="1211">
        <f>'Civil-SOR'!$G$296</f>
        <v>665</v>
      </c>
      <c r="G4109" s="1289">
        <v>1</v>
      </c>
      <c r="H4109" s="1290" t="str">
        <f t="shared" ref="H4109:H4110" si="921">IF(E4109="","",IF(E4109="No.","Each",IF(E4109="Nos.","Each",E4109)))</f>
        <v>Each</v>
      </c>
      <c r="I4109" s="1211">
        <f t="shared" ref="I4109:I4111" si="922">IF(G4109="",D4109*F4109,(D4109*F4109/G4109))</f>
        <v>219.45000000000002</v>
      </c>
      <c r="J4109" s="1022"/>
      <c r="K4109" s="1022"/>
      <c r="L4109" s="1022"/>
      <c r="M4109" s="1066"/>
      <c r="N4109" s="1066"/>
      <c r="O4109" s="1066"/>
      <c r="P4109" s="1066"/>
      <c r="Q4109" s="1066"/>
      <c r="R4109" s="1066"/>
      <c r="S4109" s="1066"/>
      <c r="T4109" s="1066"/>
      <c r="U4109" s="1066"/>
      <c r="V4109" s="1066"/>
      <c r="W4109" s="1066"/>
      <c r="X4109" s="1066"/>
      <c r="Y4109" s="1066"/>
      <c r="Z4109" s="1066"/>
      <c r="AA4109" s="1066"/>
      <c r="AB4109" s="1066"/>
      <c r="AC4109" s="1066"/>
      <c r="AD4109" s="1066"/>
      <c r="AE4109" s="1066"/>
      <c r="AF4109" s="1066"/>
      <c r="AG4109" s="1066"/>
      <c r="AH4109" s="1066"/>
      <c r="AI4109" s="1066"/>
      <c r="AJ4109" s="1066"/>
      <c r="AK4109" s="1066"/>
      <c r="AL4109" s="1066"/>
      <c r="AM4109" s="1066"/>
      <c r="AN4109" s="1066"/>
      <c r="AO4109" s="1066"/>
      <c r="AP4109" s="1066"/>
      <c r="AQ4109" s="1066"/>
      <c r="AR4109" s="1066"/>
      <c r="AS4109" s="1066"/>
      <c r="AT4109" s="1066"/>
      <c r="AU4109" s="1066"/>
      <c r="AV4109" s="1066"/>
      <c r="AW4109" s="1066"/>
      <c r="AX4109" s="1066"/>
      <c r="AY4109" s="1066"/>
      <c r="AZ4109" s="1066"/>
      <c r="BA4109" s="1066"/>
      <c r="BB4109" s="1066"/>
      <c r="BC4109" s="1066"/>
      <c r="BD4109" s="1066"/>
      <c r="BE4109" s="1066"/>
      <c r="BF4109" s="1066"/>
      <c r="BG4109" s="1066"/>
      <c r="BH4109" s="1066"/>
      <c r="BI4109" s="1066"/>
      <c r="BJ4109" s="1066"/>
      <c r="BK4109" s="1066"/>
      <c r="BL4109" s="1066"/>
    </row>
    <row r="4110" spans="1:64">
      <c r="A4110" s="1206"/>
      <c r="B4110" s="1206"/>
      <c r="C4110" s="1807" t="s">
        <v>1558</v>
      </c>
      <c r="D4110" s="1287">
        <v>0.77</v>
      </c>
      <c r="E4110" s="1288" t="s">
        <v>36</v>
      </c>
      <c r="F4110" s="1211">
        <f>'Civil-SOR'!$G$303</f>
        <v>550</v>
      </c>
      <c r="G4110" s="1289">
        <v>1</v>
      </c>
      <c r="H4110" s="1290" t="str">
        <f t="shared" si="921"/>
        <v>Each</v>
      </c>
      <c r="I4110" s="1211">
        <f t="shared" si="922"/>
        <v>423.5</v>
      </c>
      <c r="J4110" s="1022"/>
      <c r="K4110" s="1022"/>
      <c r="L4110" s="1022"/>
      <c r="M4110" s="1066"/>
      <c r="N4110" s="1066"/>
      <c r="O4110" s="1066"/>
      <c r="P4110" s="1066"/>
      <c r="Q4110" s="1066"/>
      <c r="R4110" s="1066"/>
      <c r="S4110" s="1066"/>
      <c r="T4110" s="1066"/>
      <c r="U4110" s="1066"/>
      <c r="V4110" s="1066"/>
      <c r="W4110" s="1066"/>
      <c r="X4110" s="1066"/>
      <c r="Y4110" s="1066"/>
      <c r="Z4110" s="1066"/>
      <c r="AA4110" s="1066"/>
      <c r="AB4110" s="1066"/>
      <c r="AC4110" s="1066"/>
      <c r="AD4110" s="1066"/>
      <c r="AE4110" s="1066"/>
      <c r="AF4110" s="1066"/>
      <c r="AG4110" s="1066"/>
      <c r="AH4110" s="1066"/>
      <c r="AI4110" s="1066"/>
      <c r="AJ4110" s="1066"/>
      <c r="AK4110" s="1066"/>
      <c r="AL4110" s="1066"/>
      <c r="AM4110" s="1066"/>
      <c r="AN4110" s="1066"/>
      <c r="AO4110" s="1066"/>
      <c r="AP4110" s="1066"/>
      <c r="AQ4110" s="1066"/>
      <c r="AR4110" s="1066"/>
      <c r="AS4110" s="1066"/>
      <c r="AT4110" s="1066"/>
      <c r="AU4110" s="1066"/>
      <c r="AV4110" s="1066"/>
      <c r="AW4110" s="1066"/>
      <c r="AX4110" s="1066"/>
      <c r="AY4110" s="1066"/>
      <c r="AZ4110" s="1066"/>
      <c r="BA4110" s="1066"/>
      <c r="BB4110" s="1066"/>
      <c r="BC4110" s="1066"/>
      <c r="BD4110" s="1066"/>
      <c r="BE4110" s="1066"/>
      <c r="BF4110" s="1066"/>
      <c r="BG4110" s="1066"/>
      <c r="BH4110" s="1066"/>
      <c r="BI4110" s="1066"/>
      <c r="BJ4110" s="1066"/>
      <c r="BK4110" s="1066"/>
      <c r="BL4110" s="1066"/>
    </row>
    <row r="4111" spans="1:64">
      <c r="A4111" s="1206"/>
      <c r="B4111" s="1206"/>
      <c r="C4111" s="1807" t="str">
        <f>Input!$C$47</f>
        <v>Add for MA @ 40%</v>
      </c>
      <c r="D4111" s="1212">
        <f>Input!$D$47</f>
        <v>0.4</v>
      </c>
      <c r="E4111" s="1308"/>
      <c r="F4111" s="1211">
        <f>SUM(I4109:I4110)</f>
        <v>642.95000000000005</v>
      </c>
      <c r="G4111" s="1210"/>
      <c r="H4111" s="1813"/>
      <c r="I4111" s="1211">
        <f t="shared" si="922"/>
        <v>257.18</v>
      </c>
      <c r="J4111" s="1022"/>
      <c r="K4111" s="1022"/>
      <c r="L4111" s="1022"/>
      <c r="M4111" s="1066"/>
      <c r="N4111" s="1066"/>
      <c r="O4111" s="1066"/>
      <c r="P4111" s="1066"/>
      <c r="Q4111" s="1066"/>
      <c r="R4111" s="1066"/>
      <c r="S4111" s="1066"/>
      <c r="T4111" s="1066"/>
      <c r="U4111" s="1066"/>
      <c r="V4111" s="1066"/>
      <c r="W4111" s="1066"/>
      <c r="X4111" s="1066"/>
      <c r="Y4111" s="1066"/>
      <c r="Z4111" s="1066"/>
      <c r="AA4111" s="1066"/>
      <c r="AB4111" s="1066"/>
      <c r="AC4111" s="1066"/>
      <c r="AD4111" s="1066"/>
      <c r="AE4111" s="1066"/>
      <c r="AF4111" s="1066"/>
      <c r="AG4111" s="1066"/>
      <c r="AH4111" s="1066"/>
      <c r="AI4111" s="1066"/>
      <c r="AJ4111" s="1066"/>
      <c r="AK4111" s="1066"/>
      <c r="AL4111" s="1066"/>
      <c r="AM4111" s="1066"/>
      <c r="AN4111" s="1066"/>
      <c r="AO4111" s="1066"/>
      <c r="AP4111" s="1066"/>
      <c r="AQ4111" s="1066"/>
      <c r="AR4111" s="1066"/>
      <c r="AS4111" s="1066"/>
      <c r="AT4111" s="1066"/>
      <c r="AU4111" s="1066"/>
      <c r="AV4111" s="1066"/>
      <c r="AW4111" s="1066"/>
      <c r="AX4111" s="1066"/>
      <c r="AY4111" s="1066"/>
      <c r="AZ4111" s="1066"/>
      <c r="BA4111" s="1066"/>
      <c r="BB4111" s="1066"/>
      <c r="BC4111" s="1066"/>
      <c r="BD4111" s="1066"/>
      <c r="BE4111" s="1066"/>
      <c r="BF4111" s="1066"/>
      <c r="BG4111" s="1066"/>
      <c r="BH4111" s="1066"/>
      <c r="BI4111" s="1066"/>
      <c r="BJ4111" s="1066"/>
      <c r="BK4111" s="1066"/>
      <c r="BL4111" s="1066"/>
    </row>
    <row r="4112" spans="1:64" ht="25.5">
      <c r="A4112" s="1206"/>
      <c r="B4112" s="1206"/>
      <c r="C4112" s="1807" t="s">
        <v>1561</v>
      </c>
      <c r="D4112" s="1352">
        <v>0.01</v>
      </c>
      <c r="E4112" s="1807"/>
      <c r="F4112" s="1209">
        <f>SUM(I4107:I4111)</f>
        <v>1143.23</v>
      </c>
      <c r="G4112" s="1807"/>
      <c r="H4112" s="1807"/>
      <c r="I4112" s="1211"/>
      <c r="J4112" s="1022"/>
      <c r="K4112" s="1022"/>
      <c r="L4112" s="1022"/>
      <c r="M4112" s="1066"/>
      <c r="N4112" s="1066"/>
      <c r="O4112" s="1066"/>
      <c r="P4112" s="1066"/>
      <c r="Q4112" s="1066"/>
      <c r="R4112" s="1066"/>
      <c r="S4112" s="1066"/>
      <c r="T4112" s="1066"/>
      <c r="U4112" s="1066"/>
      <c r="V4112" s="1066"/>
      <c r="W4112" s="1066"/>
      <c r="X4112" s="1066"/>
      <c r="Y4112" s="1066"/>
      <c r="Z4112" s="1066"/>
      <c r="AA4112" s="1066"/>
      <c r="AB4112" s="1066"/>
      <c r="AC4112" s="1066"/>
      <c r="AD4112" s="1066"/>
      <c r="AE4112" s="1066"/>
      <c r="AF4112" s="1066"/>
      <c r="AG4112" s="1066"/>
      <c r="AH4112" s="1066"/>
      <c r="AI4112" s="1066"/>
      <c r="AJ4112" s="1066"/>
      <c r="AK4112" s="1066"/>
      <c r="AL4112" s="1066"/>
      <c r="AM4112" s="1066"/>
      <c r="AN4112" s="1066"/>
      <c r="AO4112" s="1066"/>
      <c r="AP4112" s="1066"/>
      <c r="AQ4112" s="1066"/>
      <c r="AR4112" s="1066"/>
      <c r="AS4112" s="1066"/>
      <c r="AT4112" s="1066"/>
      <c r="AU4112" s="1066"/>
      <c r="AV4112" s="1066"/>
      <c r="AW4112" s="1066"/>
      <c r="AX4112" s="1066"/>
      <c r="AY4112" s="1066"/>
      <c r="AZ4112" s="1066"/>
      <c r="BA4112" s="1066"/>
      <c r="BB4112" s="1066"/>
      <c r="BC4112" s="1066"/>
      <c r="BD4112" s="1066"/>
      <c r="BE4112" s="1066"/>
      <c r="BF4112" s="1066"/>
      <c r="BG4112" s="1066"/>
      <c r="BH4112" s="1066"/>
      <c r="BI4112" s="1066"/>
      <c r="BJ4112" s="1066"/>
      <c r="BK4112" s="1066"/>
      <c r="BL4112" s="1066"/>
    </row>
    <row r="4113" spans="1:64">
      <c r="A4113" s="1206"/>
      <c r="B4113" s="1206"/>
      <c r="C4113" s="1807"/>
      <c r="D4113" s="1352"/>
      <c r="E4113" s="1807"/>
      <c r="F4113" s="1209"/>
      <c r="G4113" s="1807"/>
      <c r="H4113" s="1807"/>
      <c r="I4113" s="1307">
        <f>SUM(I4107:I4112)</f>
        <v>1143.23</v>
      </c>
      <c r="J4113" s="1022"/>
      <c r="K4113" s="1022"/>
      <c r="L4113" s="1022"/>
      <c r="M4113" s="1066"/>
      <c r="N4113" s="1066"/>
      <c r="O4113" s="1066"/>
      <c r="P4113" s="1066"/>
      <c r="Q4113" s="1066"/>
      <c r="R4113" s="1066"/>
      <c r="S4113" s="1066"/>
      <c r="T4113" s="1066"/>
      <c r="U4113" s="1066"/>
      <c r="V4113" s="1066"/>
      <c r="W4113" s="1066"/>
      <c r="X4113" s="1066"/>
      <c r="Y4113" s="1066"/>
      <c r="Z4113" s="1066"/>
      <c r="AA4113" s="1066"/>
      <c r="AB4113" s="1066"/>
      <c r="AC4113" s="1066"/>
      <c r="AD4113" s="1066"/>
      <c r="AE4113" s="1066"/>
      <c r="AF4113" s="1066"/>
      <c r="AG4113" s="1066"/>
      <c r="AH4113" s="1066"/>
      <c r="AI4113" s="1066"/>
      <c r="AJ4113" s="1066"/>
      <c r="AK4113" s="1066"/>
      <c r="AL4113" s="1066"/>
      <c r="AM4113" s="1066"/>
      <c r="AN4113" s="1066"/>
      <c r="AO4113" s="1066"/>
      <c r="AP4113" s="1066"/>
      <c r="AQ4113" s="1066"/>
      <c r="AR4113" s="1066"/>
      <c r="AS4113" s="1066"/>
      <c r="AT4113" s="1066"/>
      <c r="AU4113" s="1066"/>
      <c r="AV4113" s="1066"/>
      <c r="AW4113" s="1066"/>
      <c r="AX4113" s="1066"/>
      <c r="AY4113" s="1066"/>
      <c r="AZ4113" s="1066"/>
      <c r="BA4113" s="1066"/>
      <c r="BB4113" s="1066"/>
      <c r="BC4113" s="1066"/>
      <c r="BD4113" s="1066"/>
      <c r="BE4113" s="1066"/>
      <c r="BF4113" s="1066"/>
      <c r="BG4113" s="1066"/>
      <c r="BH4113" s="1066"/>
      <c r="BI4113" s="1066"/>
      <c r="BJ4113" s="1066"/>
      <c r="BK4113" s="1066"/>
      <c r="BL4113" s="1066"/>
    </row>
    <row r="4114" spans="1:64">
      <c r="A4114" s="1206"/>
      <c r="B4114" s="1206"/>
      <c r="C4114" s="1807" t="str">
        <f>Input!$C$48</f>
        <v>Overheads &amp; Contractors Profit @ 13.615%</v>
      </c>
      <c r="D4114" s="1355">
        <f>Input!$D$48</f>
        <v>0.13614999999999999</v>
      </c>
      <c r="E4114" s="1304"/>
      <c r="F4114" s="1211">
        <f>I4113</f>
        <v>1143.23</v>
      </c>
      <c r="G4114" s="1289"/>
      <c r="H4114" s="1208"/>
      <c r="I4114" s="1211">
        <f>IF(G4114="",D4114*F4114,(D4114*F4114/G4114))</f>
        <v>155.65076450000001</v>
      </c>
      <c r="J4114" s="1022"/>
      <c r="K4114" s="1022"/>
      <c r="L4114" s="1022"/>
      <c r="M4114" s="1066"/>
      <c r="N4114" s="1066"/>
      <c r="O4114" s="1066"/>
      <c r="P4114" s="1066"/>
      <c r="Q4114" s="1066"/>
      <c r="R4114" s="1066"/>
      <c r="S4114" s="1066"/>
      <c r="T4114" s="1066"/>
      <c r="U4114" s="1066"/>
      <c r="V4114" s="1066"/>
      <c r="W4114" s="1066"/>
      <c r="X4114" s="1066"/>
      <c r="Y4114" s="1066"/>
      <c r="Z4114" s="1066"/>
      <c r="AA4114" s="1066"/>
      <c r="AB4114" s="1066"/>
      <c r="AC4114" s="1066"/>
      <c r="AD4114" s="1066"/>
      <c r="AE4114" s="1066"/>
      <c r="AF4114" s="1066"/>
      <c r="AG4114" s="1066"/>
      <c r="AH4114" s="1066"/>
      <c r="AI4114" s="1066"/>
      <c r="AJ4114" s="1066"/>
      <c r="AK4114" s="1066"/>
      <c r="AL4114" s="1066"/>
      <c r="AM4114" s="1066"/>
      <c r="AN4114" s="1066"/>
      <c r="AO4114" s="1066"/>
      <c r="AP4114" s="1066"/>
      <c r="AQ4114" s="1066"/>
      <c r="AR4114" s="1066"/>
      <c r="AS4114" s="1066"/>
      <c r="AT4114" s="1066"/>
      <c r="AU4114" s="1066"/>
      <c r="AV4114" s="1066"/>
      <c r="AW4114" s="1066"/>
      <c r="AX4114" s="1066"/>
      <c r="AY4114" s="1066"/>
      <c r="AZ4114" s="1066"/>
      <c r="BA4114" s="1066"/>
      <c r="BB4114" s="1066"/>
      <c r="BC4114" s="1066"/>
      <c r="BD4114" s="1066"/>
      <c r="BE4114" s="1066"/>
      <c r="BF4114" s="1066"/>
      <c r="BG4114" s="1066"/>
      <c r="BH4114" s="1066"/>
      <c r="BI4114" s="1066"/>
      <c r="BJ4114" s="1066"/>
      <c r="BK4114" s="1066"/>
      <c r="BL4114" s="1066"/>
    </row>
    <row r="4115" spans="1:64">
      <c r="A4115" s="1197"/>
      <c r="B4115" s="1197"/>
      <c r="C4115" s="1795" t="s">
        <v>1044</v>
      </c>
      <c r="D4115" s="1228"/>
      <c r="E4115" s="1271"/>
      <c r="F4115" s="1223"/>
      <c r="G4115" s="1272"/>
      <c r="H4115" s="1271"/>
      <c r="I4115" s="1205">
        <f>SUM(I4113:I4114)</f>
        <v>1298.8807644999999</v>
      </c>
      <c r="J4115" s="1846"/>
      <c r="K4115" s="1846"/>
      <c r="L4115" s="1846"/>
    </row>
    <row r="4116" spans="1:64">
      <c r="A4116" s="1197"/>
      <c r="B4116" s="1197"/>
      <c r="C4116" s="1795" t="s">
        <v>1045</v>
      </c>
      <c r="D4116" s="1228"/>
      <c r="E4116" s="1271"/>
      <c r="F4116" s="1223"/>
      <c r="G4116" s="1272"/>
      <c r="H4116" s="1807"/>
      <c r="I4116" s="1209">
        <f>I4115/10</f>
        <v>129.88807645</v>
      </c>
      <c r="J4116" s="1846"/>
      <c r="K4116" s="1846"/>
      <c r="L4116" s="1846"/>
    </row>
    <row r="4117" spans="1:64">
      <c r="A4117" s="1197"/>
      <c r="B4117" s="1197"/>
      <c r="C4117" s="1199"/>
      <c r="D4117" s="1228"/>
      <c r="E4117" s="1271"/>
      <c r="F4117" s="1223"/>
      <c r="G4117" s="1272"/>
      <c r="H4117" s="1299" t="s">
        <v>1065</v>
      </c>
      <c r="I4117" s="1219">
        <f>ROUND(I4116,0)</f>
        <v>130</v>
      </c>
      <c r="J4117" s="1846"/>
      <c r="K4117" s="1846"/>
      <c r="L4117" s="1846"/>
    </row>
    <row r="4118" spans="1:64">
      <c r="A4118" s="1197"/>
      <c r="B4118" s="1197"/>
      <c r="C4118" s="1199"/>
      <c r="D4118" s="1228"/>
      <c r="E4118" s="1271"/>
      <c r="F4118" s="1223"/>
      <c r="G4118" s="1272"/>
      <c r="H4118" s="1298"/>
      <c r="I4118" s="1219"/>
      <c r="J4118" s="1846"/>
      <c r="K4118" s="1846"/>
      <c r="L4118" s="1846"/>
    </row>
    <row r="4119" spans="1:64" ht="64.150000000000006" customHeight="1">
      <c r="A4119" s="1197">
        <f>1+A4055</f>
        <v>56</v>
      </c>
      <c r="B4119" s="1197"/>
      <c r="C4119" s="2006" t="s">
        <v>3462</v>
      </c>
      <c r="D4119" s="2006"/>
      <c r="E4119" s="2006"/>
      <c r="F4119" s="2006"/>
      <c r="G4119" s="2006"/>
      <c r="H4119" s="2006"/>
      <c r="I4119" s="1814"/>
      <c r="J4119" s="1846"/>
      <c r="K4119" s="1846"/>
      <c r="L4119" s="1846"/>
    </row>
    <row r="4120" spans="1:64">
      <c r="A4120" s="1197"/>
      <c r="B4120" s="1197"/>
      <c r="C4120" s="1198" t="s">
        <v>1568</v>
      </c>
      <c r="D4120" s="1807"/>
      <c r="E4120" s="1807"/>
      <c r="F4120" s="1794"/>
      <c r="G4120" s="1807"/>
      <c r="H4120" s="1807"/>
      <c r="I4120" s="1209"/>
      <c r="J4120" s="1846"/>
      <c r="K4120" s="1846"/>
      <c r="L4120" s="1846"/>
    </row>
    <row r="4121" spans="1:64">
      <c r="A4121" s="1197"/>
      <c r="B4121" s="1197"/>
      <c r="C4121" s="1807" t="s">
        <v>1364</v>
      </c>
      <c r="D4121" s="1807"/>
      <c r="E4121" s="1807"/>
      <c r="F4121" s="1794"/>
      <c r="G4121" s="1807"/>
      <c r="H4121" s="1807"/>
      <c r="I4121" s="1209"/>
      <c r="J4121" s="1846"/>
      <c r="K4121" s="1846"/>
      <c r="L4121" s="1846"/>
    </row>
    <row r="4122" spans="1:64">
      <c r="A4122" s="1197"/>
      <c r="B4122" s="1197"/>
      <c r="C4122" s="1795" t="s">
        <v>1139</v>
      </c>
      <c r="D4122" s="1807"/>
      <c r="E4122" s="1807"/>
      <c r="F4122" s="1794"/>
      <c r="G4122" s="1807"/>
      <c r="H4122" s="1807"/>
      <c r="I4122" s="1209"/>
      <c r="J4122" s="1846"/>
      <c r="K4122" s="1846"/>
      <c r="L4122" s="1846"/>
    </row>
    <row r="4123" spans="1:64">
      <c r="A4123" s="1197"/>
      <c r="B4123" s="1197"/>
      <c r="C4123" s="1807" t="s">
        <v>1565</v>
      </c>
      <c r="D4123" s="1228">
        <v>0.7</v>
      </c>
      <c r="E4123" s="1271" t="s">
        <v>138</v>
      </c>
      <c r="F4123" s="1223">
        <f>'Civil-SOR'!$G$58</f>
        <v>149</v>
      </c>
      <c r="G4123" s="1272">
        <v>1</v>
      </c>
      <c r="H4123" s="1273" t="str">
        <f t="shared" ref="H4123:H4124" si="923">IF(E4123="","",IF(E4123="No.","Each",IF(E4123="Nos.","Each",E4123)))</f>
        <v>Ltr</v>
      </c>
      <c r="I4123" s="1205">
        <f t="shared" ref="I4123:I4124" si="924">IF(G4123="",D4123*F4123,(D4123*F4123/G4123))</f>
        <v>104.3</v>
      </c>
      <c r="J4123" s="1846"/>
      <c r="K4123" s="1846"/>
      <c r="L4123" s="1846"/>
    </row>
    <row r="4124" spans="1:64">
      <c r="A4124" s="1197"/>
      <c r="B4124" s="1197"/>
      <c r="C4124" s="1807" t="s">
        <v>1560</v>
      </c>
      <c r="D4124" s="1228">
        <v>1.1000000000000001</v>
      </c>
      <c r="E4124" s="1271" t="s">
        <v>138</v>
      </c>
      <c r="F4124" s="1223">
        <f>'Civil-SOR'!$G$71</f>
        <v>221</v>
      </c>
      <c r="G4124" s="1272">
        <v>1</v>
      </c>
      <c r="H4124" s="1273" t="str">
        <f t="shared" si="923"/>
        <v>Ltr</v>
      </c>
      <c r="I4124" s="1205">
        <f t="shared" si="924"/>
        <v>243.10000000000002</v>
      </c>
      <c r="J4124" s="1846"/>
      <c r="K4124" s="1846"/>
      <c r="L4124" s="1846"/>
    </row>
    <row r="4125" spans="1:64">
      <c r="A4125" s="1197"/>
      <c r="B4125" s="1197"/>
      <c r="C4125" s="1795" t="s">
        <v>1172</v>
      </c>
      <c r="D4125" s="1228"/>
      <c r="E4125" s="1271"/>
      <c r="F4125" s="1223"/>
      <c r="G4125" s="1272"/>
      <c r="H4125" s="1273"/>
      <c r="I4125" s="1205"/>
      <c r="J4125" s="1846"/>
      <c r="K4125" s="1846"/>
      <c r="L4125" s="1846"/>
    </row>
    <row r="4126" spans="1:64">
      <c r="A4126" s="1197"/>
      <c r="B4126" s="1197"/>
      <c r="C4126" s="1807" t="s">
        <v>1569</v>
      </c>
      <c r="D4126" s="1228"/>
      <c r="E4126" s="1271"/>
      <c r="F4126" s="1223"/>
      <c r="G4126" s="1272"/>
      <c r="H4126" s="1273"/>
      <c r="I4126" s="1205"/>
      <c r="J4126" s="1846"/>
      <c r="K4126" s="1846"/>
      <c r="L4126" s="1846"/>
    </row>
    <row r="4127" spans="1:64">
      <c r="A4127" s="1197"/>
      <c r="B4127" s="1197"/>
      <c r="C4127" s="1807" t="s">
        <v>1557</v>
      </c>
      <c r="D4127" s="1228">
        <v>0.21</v>
      </c>
      <c r="E4127" s="1271" t="s">
        <v>36</v>
      </c>
      <c r="F4127" s="1223">
        <f>'Civil-SOR'!$G$296</f>
        <v>665</v>
      </c>
      <c r="G4127" s="1272">
        <v>1</v>
      </c>
      <c r="H4127" s="1273" t="str">
        <f t="shared" ref="H4127:H4128" si="925">IF(E4127="","",IF(E4127="No.","Each",IF(E4127="Nos.","Each",E4127)))</f>
        <v>Each</v>
      </c>
      <c r="I4127" s="1205">
        <f t="shared" ref="I4127:I4128" si="926">IF(G4127="",D4127*F4127,(D4127*F4127/G4127))</f>
        <v>139.65</v>
      </c>
      <c r="J4127" s="1846"/>
      <c r="K4127" s="1846"/>
      <c r="L4127" s="1846"/>
    </row>
    <row r="4128" spans="1:64">
      <c r="A4128" s="1197"/>
      <c r="B4128" s="1197"/>
      <c r="C4128" s="1807" t="s">
        <v>1558</v>
      </c>
      <c r="D4128" s="1228">
        <v>0.49</v>
      </c>
      <c r="E4128" s="1271" t="s">
        <v>36</v>
      </c>
      <c r="F4128" s="1223">
        <f>'Civil-SOR'!$G$303</f>
        <v>550</v>
      </c>
      <c r="G4128" s="1272">
        <v>1</v>
      </c>
      <c r="H4128" s="1273" t="str">
        <f t="shared" si="925"/>
        <v>Each</v>
      </c>
      <c r="I4128" s="1205">
        <f t="shared" si="926"/>
        <v>269.5</v>
      </c>
      <c r="J4128" s="1846"/>
      <c r="K4128" s="1846"/>
      <c r="L4128" s="1846"/>
    </row>
    <row r="4129" spans="1:12">
      <c r="A4129" s="1197"/>
      <c r="B4129" s="1197"/>
      <c r="C4129" s="1807" t="s">
        <v>1570</v>
      </c>
      <c r="D4129" s="1228"/>
      <c r="E4129" s="1271"/>
      <c r="F4129" s="1223"/>
      <c r="G4129" s="1272"/>
      <c r="H4129" s="1273"/>
      <c r="I4129" s="1205"/>
      <c r="J4129" s="1846"/>
      <c r="K4129" s="1846"/>
      <c r="L4129" s="1846"/>
    </row>
    <row r="4130" spans="1:12">
      <c r="A4130" s="1197"/>
      <c r="B4130" s="1197"/>
      <c r="C4130" s="1807" t="s">
        <v>1557</v>
      </c>
      <c r="D4130" s="1228">
        <v>0.33</v>
      </c>
      <c r="E4130" s="1271" t="s">
        <v>36</v>
      </c>
      <c r="F4130" s="1223">
        <f>'Civil-SOR'!$G$296</f>
        <v>665</v>
      </c>
      <c r="G4130" s="1272">
        <v>1</v>
      </c>
      <c r="H4130" s="1273" t="str">
        <f t="shared" ref="H4130:H4131" si="927">IF(E4130="","",IF(E4130="No.","Each",IF(E4130="Nos.","Each",E4130)))</f>
        <v>Each</v>
      </c>
      <c r="I4130" s="1205">
        <f t="shared" ref="I4130:I4132" si="928">IF(G4130="",D4130*F4130,(D4130*F4130/G4130))</f>
        <v>219.45000000000002</v>
      </c>
      <c r="J4130" s="1846"/>
      <c r="K4130" s="1846"/>
      <c r="L4130" s="1846"/>
    </row>
    <row r="4131" spans="1:12">
      <c r="A4131" s="1197"/>
      <c r="B4131" s="1197"/>
      <c r="C4131" s="1807" t="s">
        <v>1558</v>
      </c>
      <c r="D4131" s="1228">
        <v>0.77</v>
      </c>
      <c r="E4131" s="1271" t="s">
        <v>36</v>
      </c>
      <c r="F4131" s="1223">
        <f>'Civil-SOR'!$G$303</f>
        <v>550</v>
      </c>
      <c r="G4131" s="1272">
        <v>1</v>
      </c>
      <c r="H4131" s="1273" t="str">
        <f t="shared" si="927"/>
        <v>Each</v>
      </c>
      <c r="I4131" s="1205">
        <f t="shared" si="928"/>
        <v>423.5</v>
      </c>
      <c r="J4131" s="1846"/>
      <c r="K4131" s="1846"/>
      <c r="L4131" s="1846"/>
    </row>
    <row r="4132" spans="1:12">
      <c r="A4132" s="1197"/>
      <c r="B4132" s="1197"/>
      <c r="C4132" s="1807" t="str">
        <f>Input!$C$47</f>
        <v>Add for MA @ 40%</v>
      </c>
      <c r="D4132" s="1277">
        <f>Input!$D$47</f>
        <v>0.4</v>
      </c>
      <c r="E4132" s="1276"/>
      <c r="F4132" s="1223">
        <f>SUM(I4127:I4131)</f>
        <v>1052.0999999999999</v>
      </c>
      <c r="G4132" s="1278"/>
      <c r="H4132" s="1279"/>
      <c r="I4132" s="1205">
        <f t="shared" si="928"/>
        <v>420.84</v>
      </c>
      <c r="J4132" s="1846"/>
      <c r="K4132" s="1846"/>
      <c r="L4132" s="1846"/>
    </row>
    <row r="4133" spans="1:12" ht="25.5">
      <c r="A4133" s="1197"/>
      <c r="B4133" s="1197"/>
      <c r="C4133" s="1807" t="s">
        <v>1561</v>
      </c>
      <c r="D4133" s="1354">
        <v>0.01</v>
      </c>
      <c r="E4133" s="1202"/>
      <c r="F4133" s="1353">
        <f>SUM(I4123:I4132)</f>
        <v>1820.34</v>
      </c>
      <c r="G4133" s="1202"/>
      <c r="H4133" s="1202"/>
      <c r="I4133" s="1205"/>
      <c r="J4133" s="1846"/>
      <c r="K4133" s="1846"/>
      <c r="L4133" s="1846"/>
    </row>
    <row r="4134" spans="1:12">
      <c r="A4134" s="1197"/>
      <c r="B4134" s="1197"/>
      <c r="C4134" s="1807"/>
      <c r="D4134" s="1354"/>
      <c r="E4134" s="1202"/>
      <c r="F4134" s="1353"/>
      <c r="G4134" s="1202"/>
      <c r="H4134" s="1202"/>
      <c r="I4134" s="1219">
        <f>SUM(I4123:I4133)</f>
        <v>1820.34</v>
      </c>
      <c r="J4134" s="1846"/>
      <c r="K4134" s="1846"/>
      <c r="L4134" s="1846"/>
    </row>
    <row r="4135" spans="1:12">
      <c r="A4135" s="1197"/>
      <c r="B4135" s="1197"/>
      <c r="C4135" s="1807" t="str">
        <f>Input!$C$48</f>
        <v>Overheads &amp; Contractors Profit @ 13.615%</v>
      </c>
      <c r="D4135" s="1344">
        <f>Input!$D$48</f>
        <v>0.13614999999999999</v>
      </c>
      <c r="E4135" s="1297"/>
      <c r="F4135" s="1223">
        <f>I4134</f>
        <v>1820.34</v>
      </c>
      <c r="G4135" s="1272"/>
      <c r="H4135" s="1199"/>
      <c r="I4135" s="1205">
        <f>IF(G4135="",D4135*F4135,(D4135*F4135/G4135))</f>
        <v>247.83929099999997</v>
      </c>
      <c r="J4135" s="1846"/>
      <c r="K4135" s="1846"/>
      <c r="L4135" s="1846"/>
    </row>
    <row r="4136" spans="1:12">
      <c r="A4136" s="1197"/>
      <c r="B4136" s="1197"/>
      <c r="C4136" s="1795" t="s">
        <v>1044</v>
      </c>
      <c r="D4136" s="1228"/>
      <c r="E4136" s="1271"/>
      <c r="F4136" s="1223"/>
      <c r="G4136" s="1272"/>
      <c r="H4136" s="1271"/>
      <c r="I4136" s="1205">
        <f>SUM(I4134:I4135)</f>
        <v>2068.1792909999999</v>
      </c>
      <c r="J4136" s="1846"/>
      <c r="K4136" s="1846"/>
      <c r="L4136" s="1846"/>
    </row>
    <row r="4137" spans="1:12">
      <c r="A4137" s="1197"/>
      <c r="B4137" s="1197"/>
      <c r="C4137" s="1795" t="s">
        <v>1045</v>
      </c>
      <c r="D4137" s="1228"/>
      <c r="E4137" s="1271"/>
      <c r="F4137" s="1223"/>
      <c r="G4137" s="1272"/>
      <c r="H4137" s="1807"/>
      <c r="I4137" s="1209">
        <f>I4136/10</f>
        <v>206.81792909999999</v>
      </c>
      <c r="J4137" s="1846"/>
      <c r="K4137" s="1846"/>
      <c r="L4137" s="1846"/>
    </row>
    <row r="4138" spans="1:12">
      <c r="A4138" s="1197"/>
      <c r="B4138" s="1197"/>
      <c r="C4138" s="1199"/>
      <c r="D4138" s="1228"/>
      <c r="E4138" s="1271"/>
      <c r="F4138" s="1223"/>
      <c r="G4138" s="1272"/>
      <c r="H4138" s="1299" t="s">
        <v>1065</v>
      </c>
      <c r="I4138" s="1219">
        <f>ROUND(I4137,0)</f>
        <v>207</v>
      </c>
      <c r="J4138" s="1846"/>
      <c r="K4138" s="1846"/>
      <c r="L4138" s="1846"/>
    </row>
    <row r="4139" spans="1:12">
      <c r="A4139" s="1197"/>
      <c r="B4139" s="1197"/>
      <c r="C4139" s="1199"/>
      <c r="D4139" s="1228"/>
      <c r="E4139" s="1271"/>
      <c r="F4139" s="1223"/>
      <c r="G4139" s="1272"/>
      <c r="H4139" s="1298"/>
      <c r="I4139" s="1219"/>
      <c r="J4139" s="1846"/>
      <c r="K4139" s="1846"/>
      <c r="L4139" s="1846"/>
    </row>
    <row r="4140" spans="1:12">
      <c r="A4140" s="1197"/>
      <c r="B4140" s="1197"/>
      <c r="C4140" s="1199"/>
      <c r="D4140" s="1228"/>
      <c r="E4140" s="1271"/>
      <c r="F4140" s="1223"/>
      <c r="G4140" s="1272"/>
      <c r="H4140" s="1298"/>
      <c r="I4140" s="1219"/>
      <c r="J4140" s="1846"/>
      <c r="K4140" s="1846"/>
      <c r="L4140" s="1846"/>
    </row>
    <row r="4141" spans="1:12" ht="40.5" customHeight="1">
      <c r="A4141" s="1197">
        <f>A4119+1</f>
        <v>57</v>
      </c>
      <c r="B4141" s="1197"/>
      <c r="C4141" s="2031" t="s">
        <v>3598</v>
      </c>
      <c r="D4141" s="2032"/>
      <c r="E4141" s="2032"/>
      <c r="F4141" s="2032"/>
      <c r="G4141" s="2032"/>
      <c r="H4141" s="2032"/>
      <c r="I4141" s="2033"/>
      <c r="J4141" s="1846"/>
      <c r="K4141" s="1846"/>
      <c r="L4141" s="1846"/>
    </row>
    <row r="4142" spans="1:12">
      <c r="A4142" s="1197"/>
      <c r="B4142" s="1197"/>
      <c r="C4142" s="1198" t="s">
        <v>1571</v>
      </c>
      <c r="D4142" s="1807"/>
      <c r="E4142" s="1807"/>
      <c r="F4142" s="1794"/>
      <c r="G4142" s="1807"/>
      <c r="H4142" s="1807"/>
      <c r="I4142" s="1209"/>
      <c r="J4142" s="1846"/>
      <c r="K4142" s="1846"/>
      <c r="L4142" s="1846"/>
    </row>
    <row r="4143" spans="1:12">
      <c r="A4143" s="1197"/>
      <c r="B4143" s="1197"/>
      <c r="C4143" s="1807" t="s">
        <v>1364</v>
      </c>
      <c r="D4143" s="1807"/>
      <c r="E4143" s="1807"/>
      <c r="F4143" s="1794"/>
      <c r="G4143" s="1807"/>
      <c r="H4143" s="1807"/>
      <c r="I4143" s="1209"/>
      <c r="J4143" s="1846"/>
      <c r="K4143" s="1846"/>
      <c r="L4143" s="1846"/>
    </row>
    <row r="4144" spans="1:12">
      <c r="A4144" s="1197"/>
      <c r="B4144" s="1197"/>
      <c r="C4144" s="1795" t="s">
        <v>1139</v>
      </c>
      <c r="D4144" s="1807"/>
      <c r="E4144" s="1807"/>
      <c r="F4144" s="1794"/>
      <c r="G4144" s="1807"/>
      <c r="H4144" s="1807"/>
      <c r="I4144" s="1209"/>
      <c r="J4144" s="1846"/>
      <c r="K4144" s="1846"/>
      <c r="L4144" s="1846"/>
    </row>
    <row r="4145" spans="1:64" ht="25.5">
      <c r="A4145" s="1197"/>
      <c r="B4145" s="1197"/>
      <c r="C4145" s="1807" t="s">
        <v>1572</v>
      </c>
      <c r="D4145" s="1228">
        <v>0.9</v>
      </c>
      <c r="E4145" s="1271" t="s">
        <v>138</v>
      </c>
      <c r="F4145" s="1223">
        <f>'Civil-SOR'!$G$70</f>
        <v>289</v>
      </c>
      <c r="G4145" s="1272">
        <v>1</v>
      </c>
      <c r="H4145" s="1273" t="str">
        <f>IF(E4145="","",IF(E4145="No.","Each",IF(E4145="Nos.","Each",E4145)))</f>
        <v>Ltr</v>
      </c>
      <c r="I4145" s="1205">
        <f>IF(G4145="",D4145*F4145,(D4145*F4145/G4145))</f>
        <v>260.10000000000002</v>
      </c>
      <c r="J4145" s="1846"/>
      <c r="K4145" s="1846"/>
      <c r="L4145" s="1846"/>
    </row>
    <row r="4146" spans="1:64">
      <c r="A4146" s="1197"/>
      <c r="B4146" s="1197"/>
      <c r="C4146" s="1795" t="s">
        <v>1172</v>
      </c>
      <c r="D4146" s="1228"/>
      <c r="E4146" s="1271"/>
      <c r="F4146" s="1223"/>
      <c r="G4146" s="1272"/>
      <c r="H4146" s="1273"/>
      <c r="I4146" s="1205"/>
      <c r="J4146" s="1846"/>
      <c r="K4146" s="1846"/>
      <c r="L4146" s="1846"/>
    </row>
    <row r="4147" spans="1:64">
      <c r="A4147" s="1197"/>
      <c r="B4147" s="1197"/>
      <c r="C4147" s="1807" t="s">
        <v>1557</v>
      </c>
      <c r="D4147" s="1228">
        <v>0.33</v>
      </c>
      <c r="E4147" s="1271" t="s">
        <v>36</v>
      </c>
      <c r="F4147" s="1223">
        <f>'Civil-SOR'!$G$296</f>
        <v>665</v>
      </c>
      <c r="G4147" s="1272">
        <v>1</v>
      </c>
      <c r="H4147" s="1273" t="str">
        <f t="shared" ref="H4147:H4148" si="929">IF(E4147="","",IF(E4147="No.","Each",IF(E4147="Nos.","Each",E4147)))</f>
        <v>Each</v>
      </c>
      <c r="I4147" s="1205">
        <f t="shared" ref="I4147:I4149" si="930">IF(G4147="",D4147*F4147,(D4147*F4147/G4147))</f>
        <v>219.45000000000002</v>
      </c>
      <c r="J4147" s="1846"/>
      <c r="K4147" s="1846"/>
      <c r="L4147" s="1846"/>
    </row>
    <row r="4148" spans="1:64">
      <c r="A4148" s="1197"/>
      <c r="B4148" s="1197"/>
      <c r="C4148" s="1807" t="s">
        <v>1558</v>
      </c>
      <c r="D4148" s="1228">
        <v>0.77</v>
      </c>
      <c r="E4148" s="1271" t="s">
        <v>36</v>
      </c>
      <c r="F4148" s="1223">
        <f>'Civil-SOR'!$G$303</f>
        <v>550</v>
      </c>
      <c r="G4148" s="1272">
        <v>1</v>
      </c>
      <c r="H4148" s="1273" t="str">
        <f t="shared" si="929"/>
        <v>Each</v>
      </c>
      <c r="I4148" s="1205">
        <f t="shared" si="930"/>
        <v>423.5</v>
      </c>
      <c r="J4148" s="1846"/>
      <c r="K4148" s="1846"/>
      <c r="L4148" s="1846"/>
    </row>
    <row r="4149" spans="1:64">
      <c r="A4149" s="1197"/>
      <c r="B4149" s="1197"/>
      <c r="C4149" s="1807" t="str">
        <f>Input!$C$47</f>
        <v>Add for MA @ 40%</v>
      </c>
      <c r="D4149" s="1277">
        <f>Input!$D$47</f>
        <v>0.4</v>
      </c>
      <c r="E4149" s="1276"/>
      <c r="F4149" s="1223">
        <f>SUM(I4147:I4148)</f>
        <v>642.95000000000005</v>
      </c>
      <c r="G4149" s="1278"/>
      <c r="H4149" s="1279"/>
      <c r="I4149" s="1205">
        <f t="shared" si="930"/>
        <v>257.18</v>
      </c>
      <c r="J4149" s="1846"/>
      <c r="K4149" s="1846"/>
      <c r="L4149" s="1846"/>
    </row>
    <row r="4150" spans="1:64" ht="25.5">
      <c r="A4150" s="1206"/>
      <c r="B4150" s="1206"/>
      <c r="C4150" s="1807" t="s">
        <v>1561</v>
      </c>
      <c r="D4150" s="1352">
        <v>0.01</v>
      </c>
      <c r="E4150" s="1807"/>
      <c r="F4150" s="1209">
        <f>SUM(I4145:I4149)</f>
        <v>1160.23</v>
      </c>
      <c r="G4150" s="1807"/>
      <c r="H4150" s="1807"/>
      <c r="I4150" s="1211"/>
      <c r="J4150" s="1022"/>
      <c r="K4150" s="1022"/>
      <c r="L4150" s="1022"/>
      <c r="M4150" s="1066"/>
      <c r="N4150" s="1066"/>
      <c r="O4150" s="1066"/>
      <c r="P4150" s="1066"/>
      <c r="Q4150" s="1066"/>
      <c r="R4150" s="1066"/>
      <c r="S4150" s="1066"/>
      <c r="T4150" s="1066"/>
      <c r="U4150" s="1066"/>
      <c r="V4150" s="1066"/>
      <c r="W4150" s="1066"/>
      <c r="X4150" s="1066"/>
      <c r="Y4150" s="1066"/>
      <c r="Z4150" s="1066"/>
      <c r="AA4150" s="1066"/>
      <c r="AB4150" s="1066"/>
      <c r="AC4150" s="1066"/>
      <c r="AD4150" s="1066"/>
      <c r="AE4150" s="1066"/>
      <c r="AF4150" s="1066"/>
      <c r="AG4150" s="1066"/>
      <c r="AH4150" s="1066"/>
      <c r="AI4150" s="1066"/>
      <c r="AJ4150" s="1066"/>
      <c r="AK4150" s="1066"/>
      <c r="AL4150" s="1066"/>
      <c r="AM4150" s="1066"/>
      <c r="AN4150" s="1066"/>
      <c r="AO4150" s="1066"/>
      <c r="AP4150" s="1066"/>
      <c r="AQ4150" s="1066"/>
      <c r="AR4150" s="1066"/>
      <c r="AS4150" s="1066"/>
      <c r="AT4150" s="1066"/>
      <c r="AU4150" s="1066"/>
      <c r="AV4150" s="1066"/>
      <c r="AW4150" s="1066"/>
      <c r="AX4150" s="1066"/>
      <c r="AY4150" s="1066"/>
      <c r="AZ4150" s="1066"/>
      <c r="BA4150" s="1066"/>
      <c r="BB4150" s="1066"/>
      <c r="BC4150" s="1066"/>
      <c r="BD4150" s="1066"/>
      <c r="BE4150" s="1066"/>
      <c r="BF4150" s="1066"/>
      <c r="BG4150" s="1066"/>
      <c r="BH4150" s="1066"/>
      <c r="BI4150" s="1066"/>
      <c r="BJ4150" s="1066"/>
      <c r="BK4150" s="1066"/>
      <c r="BL4150" s="1066"/>
    </row>
    <row r="4151" spans="1:64">
      <c r="A4151" s="1197"/>
      <c r="B4151" s="1197"/>
      <c r="C4151" s="1807"/>
      <c r="D4151" s="1354"/>
      <c r="E4151" s="1202"/>
      <c r="F4151" s="1353"/>
      <c r="G4151" s="1202"/>
      <c r="H4151" s="1202"/>
      <c r="I4151" s="1219">
        <f>SUM(I4145:I4150)</f>
        <v>1160.23</v>
      </c>
      <c r="J4151" s="1846"/>
      <c r="K4151" s="1846"/>
      <c r="L4151" s="1846"/>
    </row>
    <row r="4152" spans="1:64">
      <c r="A4152" s="1197"/>
      <c r="B4152" s="1197"/>
      <c r="C4152" s="1807" t="str">
        <f>Input!$C$48</f>
        <v>Overheads &amp; Contractors Profit @ 13.615%</v>
      </c>
      <c r="D4152" s="1344">
        <f>Input!$D$48</f>
        <v>0.13614999999999999</v>
      </c>
      <c r="E4152" s="1297"/>
      <c r="F4152" s="1223">
        <f>I4151</f>
        <v>1160.23</v>
      </c>
      <c r="G4152" s="1272"/>
      <c r="H4152" s="1199"/>
      <c r="I4152" s="1205">
        <f>IF(G4152="",D4152*F4152,(D4152*F4152/G4152))</f>
        <v>157.96531450000001</v>
      </c>
      <c r="J4152" s="1846"/>
      <c r="K4152" s="1846"/>
      <c r="L4152" s="1846"/>
    </row>
    <row r="4153" spans="1:64">
      <c r="A4153" s="1197"/>
      <c r="B4153" s="1197"/>
      <c r="C4153" s="1795" t="s">
        <v>1044</v>
      </c>
      <c r="D4153" s="1228"/>
      <c r="E4153" s="1271"/>
      <c r="F4153" s="1223"/>
      <c r="G4153" s="1272"/>
      <c r="H4153" s="1271"/>
      <c r="I4153" s="1205">
        <f>SUM(I4151:I4152)</f>
        <v>1318.1953145</v>
      </c>
      <c r="J4153" s="1846"/>
      <c r="K4153" s="1846"/>
      <c r="L4153" s="1846"/>
    </row>
    <row r="4154" spans="1:64">
      <c r="A4154" s="1197"/>
      <c r="B4154" s="1197"/>
      <c r="C4154" s="1795" t="s">
        <v>1045</v>
      </c>
      <c r="D4154" s="1228"/>
      <c r="E4154" s="1271"/>
      <c r="F4154" s="1223"/>
      <c r="G4154" s="1272"/>
      <c r="H4154" s="1807"/>
      <c r="I4154" s="1209">
        <f>I4153/10</f>
        <v>131.81953145</v>
      </c>
      <c r="J4154" s="1846"/>
      <c r="K4154" s="1846"/>
      <c r="L4154" s="1846"/>
    </row>
    <row r="4155" spans="1:64">
      <c r="A4155" s="1197"/>
      <c r="B4155" s="1197"/>
      <c r="C4155" s="1199"/>
      <c r="D4155" s="1228"/>
      <c r="E4155" s="1271"/>
      <c r="F4155" s="1223"/>
      <c r="G4155" s="1272"/>
      <c r="H4155" s="1299" t="s">
        <v>1065</v>
      </c>
      <c r="I4155" s="1219">
        <f>ROUND(I4154,0)</f>
        <v>132</v>
      </c>
      <c r="J4155" s="1846"/>
      <c r="K4155" s="1846"/>
      <c r="L4155" s="1846"/>
    </row>
    <row r="4156" spans="1:64">
      <c r="A4156" s="1197"/>
      <c r="B4156" s="1197"/>
      <c r="C4156" s="1199"/>
      <c r="D4156" s="1228"/>
      <c r="E4156" s="1271"/>
      <c r="F4156" s="1223"/>
      <c r="G4156" s="1272"/>
      <c r="H4156" s="1298"/>
      <c r="I4156" s="1219"/>
      <c r="J4156" s="1846"/>
      <c r="K4156" s="1846"/>
      <c r="L4156" s="1846"/>
    </row>
    <row r="4157" spans="1:64" ht="47.1" customHeight="1">
      <c r="A4157" s="1197">
        <f>A4141+1</f>
        <v>58</v>
      </c>
      <c r="B4157" s="1197"/>
      <c r="C4157" s="2030" t="s">
        <v>3463</v>
      </c>
      <c r="D4157" s="2030"/>
      <c r="E4157" s="2030"/>
      <c r="F4157" s="2030"/>
      <c r="G4157" s="2030"/>
      <c r="H4157" s="2030"/>
      <c r="I4157" s="1814"/>
      <c r="J4157" s="1846"/>
      <c r="K4157" s="1846"/>
      <c r="L4157" s="1846"/>
    </row>
    <row r="4158" spans="1:64">
      <c r="A4158" s="1197"/>
      <c r="B4158" s="1197"/>
      <c r="C4158" s="1795" t="s">
        <v>1573</v>
      </c>
      <c r="D4158" s="1795"/>
      <c r="E4158" s="1795"/>
      <c r="F4158" s="1812"/>
      <c r="G4158" s="1795"/>
      <c r="H4158" s="1795"/>
      <c r="I4158" s="1357"/>
      <c r="J4158" s="1846"/>
      <c r="K4158" s="1846"/>
      <c r="L4158" s="1846"/>
    </row>
    <row r="4159" spans="1:64">
      <c r="A4159" s="1197"/>
      <c r="B4159" s="1197"/>
      <c r="C4159" s="1795" t="s">
        <v>1574</v>
      </c>
      <c r="D4159" s="1795"/>
      <c r="E4159" s="1795"/>
      <c r="F4159" s="1812"/>
      <c r="G4159" s="1795"/>
      <c r="H4159" s="1795"/>
      <c r="I4159" s="1357"/>
      <c r="J4159" s="1846"/>
      <c r="K4159" s="1846"/>
      <c r="L4159" s="1846"/>
    </row>
    <row r="4160" spans="1:64">
      <c r="A4160" s="1206"/>
      <c r="B4160" s="1206"/>
      <c r="C4160" s="1807" t="s">
        <v>1575</v>
      </c>
      <c r="D4160" s="1358">
        <v>0.22800000000000001</v>
      </c>
      <c r="E4160" s="1288" t="s">
        <v>1380</v>
      </c>
      <c r="F4160" s="1211">
        <f>'Civil-SOR'!$G$65</f>
        <v>217</v>
      </c>
      <c r="G4160" s="1318">
        <v>1</v>
      </c>
      <c r="H4160" s="1290" t="str">
        <f t="shared" ref="H4160:H4161" si="931">IF(E4160="","",IF(E4160="No","Each",IF(E4160="Nos","Each",E4160)))</f>
        <v>Ltrs</v>
      </c>
      <c r="I4160" s="1211">
        <f t="shared" ref="I4160:I4161" si="932">IF(G4160="",D4160*F4160,(D4160*F4160/G4160))</f>
        <v>49.475999999999999</v>
      </c>
      <c r="J4160" s="1022"/>
      <c r="K4160" s="1022"/>
      <c r="L4160" s="1022"/>
      <c r="M4160" s="1066"/>
      <c r="N4160" s="1066"/>
      <c r="O4160" s="1066"/>
      <c r="P4160" s="1066"/>
      <c r="Q4160" s="1066"/>
      <c r="R4160" s="1066"/>
      <c r="S4160" s="1066"/>
      <c r="T4160" s="1066"/>
      <c r="U4160" s="1066"/>
      <c r="V4160" s="1066"/>
      <c r="W4160" s="1066"/>
      <c r="X4160" s="1066"/>
      <c r="Y4160" s="1066"/>
      <c r="Z4160" s="1066"/>
      <c r="AA4160" s="1066"/>
      <c r="AB4160" s="1066"/>
      <c r="AC4160" s="1066"/>
      <c r="AD4160" s="1066"/>
      <c r="AE4160" s="1066"/>
      <c r="AF4160" s="1066"/>
      <c r="AG4160" s="1066"/>
      <c r="AH4160" s="1066"/>
      <c r="AI4160" s="1066"/>
      <c r="AJ4160" s="1066"/>
      <c r="AK4160" s="1066"/>
      <c r="AL4160" s="1066"/>
      <c r="AM4160" s="1066"/>
      <c r="AN4160" s="1066"/>
      <c r="AO4160" s="1066"/>
      <c r="AP4160" s="1066"/>
      <c r="AQ4160" s="1066"/>
      <c r="AR4160" s="1066"/>
      <c r="AS4160" s="1066"/>
      <c r="AT4160" s="1066"/>
      <c r="AU4160" s="1066"/>
      <c r="AV4160" s="1066"/>
      <c r="AW4160" s="1066"/>
      <c r="AX4160" s="1066"/>
      <c r="AY4160" s="1066"/>
      <c r="AZ4160" s="1066"/>
      <c r="BA4160" s="1066"/>
      <c r="BB4160" s="1066"/>
      <c r="BC4160" s="1066"/>
      <c r="BD4160" s="1066"/>
      <c r="BE4160" s="1066"/>
      <c r="BF4160" s="1066"/>
      <c r="BG4160" s="1066"/>
      <c r="BH4160" s="1066"/>
      <c r="BI4160" s="1066"/>
      <c r="BJ4160" s="1066"/>
      <c r="BK4160" s="1066"/>
      <c r="BL4160" s="1066"/>
    </row>
    <row r="4161" spans="1:64">
      <c r="A4161" s="1206"/>
      <c r="B4161" s="1206"/>
      <c r="C4161" s="1807" t="s">
        <v>1576</v>
      </c>
      <c r="D4161" s="1316">
        <v>1.63</v>
      </c>
      <c r="E4161" s="1288" t="s">
        <v>1380</v>
      </c>
      <c r="F4161" s="1211">
        <f>'Civil-SOR'!$G$62</f>
        <v>118</v>
      </c>
      <c r="G4161" s="1318">
        <v>1</v>
      </c>
      <c r="H4161" s="1290" t="str">
        <f t="shared" si="931"/>
        <v>Ltrs</v>
      </c>
      <c r="I4161" s="1211">
        <f t="shared" si="932"/>
        <v>192.33999999999997</v>
      </c>
      <c r="J4161" s="1022"/>
      <c r="K4161" s="1022"/>
      <c r="L4161" s="1022"/>
      <c r="M4161" s="1066"/>
      <c r="N4161" s="1066"/>
      <c r="O4161" s="1066"/>
      <c r="P4161" s="1066"/>
      <c r="Q4161" s="1066"/>
      <c r="R4161" s="1066"/>
      <c r="S4161" s="1066"/>
      <c r="T4161" s="1066"/>
      <c r="U4161" s="1066"/>
      <c r="V4161" s="1066"/>
      <c r="W4161" s="1066"/>
      <c r="X4161" s="1066"/>
      <c r="Y4161" s="1066"/>
      <c r="Z4161" s="1066"/>
      <c r="AA4161" s="1066"/>
      <c r="AB4161" s="1066"/>
      <c r="AC4161" s="1066"/>
      <c r="AD4161" s="1066"/>
      <c r="AE4161" s="1066"/>
      <c r="AF4161" s="1066"/>
      <c r="AG4161" s="1066"/>
      <c r="AH4161" s="1066"/>
      <c r="AI4161" s="1066"/>
      <c r="AJ4161" s="1066"/>
      <c r="AK4161" s="1066"/>
      <c r="AL4161" s="1066"/>
      <c r="AM4161" s="1066"/>
      <c r="AN4161" s="1066"/>
      <c r="AO4161" s="1066"/>
      <c r="AP4161" s="1066"/>
      <c r="AQ4161" s="1066"/>
      <c r="AR4161" s="1066"/>
      <c r="AS4161" s="1066"/>
      <c r="AT4161" s="1066"/>
      <c r="AU4161" s="1066"/>
      <c r="AV4161" s="1066"/>
      <c r="AW4161" s="1066"/>
      <c r="AX4161" s="1066"/>
      <c r="AY4161" s="1066"/>
      <c r="AZ4161" s="1066"/>
      <c r="BA4161" s="1066"/>
      <c r="BB4161" s="1066"/>
      <c r="BC4161" s="1066"/>
      <c r="BD4161" s="1066"/>
      <c r="BE4161" s="1066"/>
      <c r="BF4161" s="1066"/>
      <c r="BG4161" s="1066"/>
      <c r="BH4161" s="1066"/>
      <c r="BI4161" s="1066"/>
      <c r="BJ4161" s="1066"/>
      <c r="BK4161" s="1066"/>
      <c r="BL4161" s="1066"/>
    </row>
    <row r="4162" spans="1:64">
      <c r="A4162" s="1206"/>
      <c r="B4162" s="1206"/>
      <c r="C4162" s="1807" t="s">
        <v>1577</v>
      </c>
      <c r="D4162" s="1316"/>
      <c r="E4162" s="1288"/>
      <c r="F4162" s="1211"/>
      <c r="G4162" s="1318"/>
      <c r="H4162" s="1290"/>
      <c r="I4162" s="1211"/>
      <c r="J4162" s="1022"/>
      <c r="K4162" s="1022"/>
      <c r="L4162" s="1022"/>
      <c r="M4162" s="1066"/>
      <c r="N4162" s="1066"/>
      <c r="O4162" s="1066"/>
      <c r="P4162" s="1066"/>
      <c r="Q4162" s="1066"/>
      <c r="R4162" s="1066"/>
      <c r="S4162" s="1066"/>
      <c r="T4162" s="1066"/>
      <c r="U4162" s="1066"/>
      <c r="V4162" s="1066"/>
      <c r="W4162" s="1066"/>
      <c r="X4162" s="1066"/>
      <c r="Y4162" s="1066"/>
      <c r="Z4162" s="1066"/>
      <c r="AA4162" s="1066"/>
      <c r="AB4162" s="1066"/>
      <c r="AC4162" s="1066"/>
      <c r="AD4162" s="1066"/>
      <c r="AE4162" s="1066"/>
      <c r="AF4162" s="1066"/>
      <c r="AG4162" s="1066"/>
      <c r="AH4162" s="1066"/>
      <c r="AI4162" s="1066"/>
      <c r="AJ4162" s="1066"/>
      <c r="AK4162" s="1066"/>
      <c r="AL4162" s="1066"/>
      <c r="AM4162" s="1066"/>
      <c r="AN4162" s="1066"/>
      <c r="AO4162" s="1066"/>
      <c r="AP4162" s="1066"/>
      <c r="AQ4162" s="1066"/>
      <c r="AR4162" s="1066"/>
      <c r="AS4162" s="1066"/>
      <c r="AT4162" s="1066"/>
      <c r="AU4162" s="1066"/>
      <c r="AV4162" s="1066"/>
      <c r="AW4162" s="1066"/>
      <c r="AX4162" s="1066"/>
      <c r="AY4162" s="1066"/>
      <c r="AZ4162" s="1066"/>
      <c r="BA4162" s="1066"/>
      <c r="BB4162" s="1066"/>
      <c r="BC4162" s="1066"/>
      <c r="BD4162" s="1066"/>
      <c r="BE4162" s="1066"/>
      <c r="BF4162" s="1066"/>
      <c r="BG4162" s="1066"/>
      <c r="BH4162" s="1066"/>
      <c r="BI4162" s="1066"/>
      <c r="BJ4162" s="1066"/>
      <c r="BK4162" s="1066"/>
      <c r="BL4162" s="1066"/>
    </row>
    <row r="4163" spans="1:64">
      <c r="A4163" s="1206"/>
      <c r="B4163" s="1206"/>
      <c r="C4163" s="1807" t="s">
        <v>1557</v>
      </c>
      <c r="D4163" s="1316">
        <v>0.96</v>
      </c>
      <c r="E4163" s="1288" t="s">
        <v>36</v>
      </c>
      <c r="F4163" s="1211">
        <f>'Civil-SOR'!$G$296</f>
        <v>665</v>
      </c>
      <c r="G4163" s="1318">
        <v>1</v>
      </c>
      <c r="H4163" s="1290" t="str">
        <f t="shared" ref="H4163:H4164" si="933">IF(E4163="","",IF(E4163="No","Each",IF(E4163="Nos","Each",E4163)))</f>
        <v>Nos.</v>
      </c>
      <c r="I4163" s="1211">
        <f t="shared" ref="I4163:I4165" si="934">IF(G4163="",D4163*F4163,(D4163*F4163/G4163))</f>
        <v>638.4</v>
      </c>
      <c r="J4163" s="1022"/>
      <c r="K4163" s="1022"/>
      <c r="L4163" s="1022"/>
      <c r="M4163" s="1066"/>
      <c r="N4163" s="1066"/>
      <c r="O4163" s="1066"/>
      <c r="P4163" s="1066"/>
      <c r="Q4163" s="1066"/>
      <c r="R4163" s="1066"/>
      <c r="S4163" s="1066"/>
      <c r="T4163" s="1066"/>
      <c r="U4163" s="1066"/>
      <c r="V4163" s="1066"/>
      <c r="W4163" s="1066"/>
      <c r="X4163" s="1066"/>
      <c r="Y4163" s="1066"/>
      <c r="Z4163" s="1066"/>
      <c r="AA4163" s="1066"/>
      <c r="AB4163" s="1066"/>
      <c r="AC4163" s="1066"/>
      <c r="AD4163" s="1066"/>
      <c r="AE4163" s="1066"/>
      <c r="AF4163" s="1066"/>
      <c r="AG4163" s="1066"/>
      <c r="AH4163" s="1066"/>
      <c r="AI4163" s="1066"/>
      <c r="AJ4163" s="1066"/>
      <c r="AK4163" s="1066"/>
      <c r="AL4163" s="1066"/>
      <c r="AM4163" s="1066"/>
      <c r="AN4163" s="1066"/>
      <c r="AO4163" s="1066"/>
      <c r="AP4163" s="1066"/>
      <c r="AQ4163" s="1066"/>
      <c r="AR4163" s="1066"/>
      <c r="AS4163" s="1066"/>
      <c r="AT4163" s="1066"/>
      <c r="AU4163" s="1066"/>
      <c r="AV4163" s="1066"/>
      <c r="AW4163" s="1066"/>
      <c r="AX4163" s="1066"/>
      <c r="AY4163" s="1066"/>
      <c r="AZ4163" s="1066"/>
      <c r="BA4163" s="1066"/>
      <c r="BB4163" s="1066"/>
      <c r="BC4163" s="1066"/>
      <c r="BD4163" s="1066"/>
      <c r="BE4163" s="1066"/>
      <c r="BF4163" s="1066"/>
      <c r="BG4163" s="1066"/>
      <c r="BH4163" s="1066"/>
      <c r="BI4163" s="1066"/>
      <c r="BJ4163" s="1066"/>
      <c r="BK4163" s="1066"/>
      <c r="BL4163" s="1066"/>
    </row>
    <row r="4164" spans="1:64">
      <c r="A4164" s="1206"/>
      <c r="B4164" s="1206"/>
      <c r="C4164" s="1807" t="s">
        <v>1558</v>
      </c>
      <c r="D4164" s="1316">
        <v>2.2400000000000002</v>
      </c>
      <c r="E4164" s="1288" t="s">
        <v>36</v>
      </c>
      <c r="F4164" s="1211">
        <f>'Civil-SOR'!$G$303</f>
        <v>550</v>
      </c>
      <c r="G4164" s="1318">
        <v>1</v>
      </c>
      <c r="H4164" s="1290" t="str">
        <f t="shared" si="933"/>
        <v>Nos.</v>
      </c>
      <c r="I4164" s="1211">
        <f t="shared" si="934"/>
        <v>1232.0000000000002</v>
      </c>
      <c r="J4164" s="1022"/>
      <c r="K4164" s="1022"/>
      <c r="L4164" s="1022"/>
      <c r="M4164" s="1066"/>
      <c r="N4164" s="1066"/>
      <c r="O4164" s="1066"/>
      <c r="P4164" s="1066"/>
      <c r="Q4164" s="1066"/>
      <c r="R4164" s="1066"/>
      <c r="S4164" s="1066"/>
      <c r="T4164" s="1066"/>
      <c r="U4164" s="1066"/>
      <c r="V4164" s="1066"/>
      <c r="W4164" s="1066"/>
      <c r="X4164" s="1066"/>
      <c r="Y4164" s="1066"/>
      <c r="Z4164" s="1066"/>
      <c r="AA4164" s="1066"/>
      <c r="AB4164" s="1066"/>
      <c r="AC4164" s="1066"/>
      <c r="AD4164" s="1066"/>
      <c r="AE4164" s="1066"/>
      <c r="AF4164" s="1066"/>
      <c r="AG4164" s="1066"/>
      <c r="AH4164" s="1066"/>
      <c r="AI4164" s="1066"/>
      <c r="AJ4164" s="1066"/>
      <c r="AK4164" s="1066"/>
      <c r="AL4164" s="1066"/>
      <c r="AM4164" s="1066"/>
      <c r="AN4164" s="1066"/>
      <c r="AO4164" s="1066"/>
      <c r="AP4164" s="1066"/>
      <c r="AQ4164" s="1066"/>
      <c r="AR4164" s="1066"/>
      <c r="AS4164" s="1066"/>
      <c r="AT4164" s="1066"/>
      <c r="AU4164" s="1066"/>
      <c r="AV4164" s="1066"/>
      <c r="AW4164" s="1066"/>
      <c r="AX4164" s="1066"/>
      <c r="AY4164" s="1066"/>
      <c r="AZ4164" s="1066"/>
      <c r="BA4164" s="1066"/>
      <c r="BB4164" s="1066"/>
      <c r="BC4164" s="1066"/>
      <c r="BD4164" s="1066"/>
      <c r="BE4164" s="1066"/>
      <c r="BF4164" s="1066"/>
      <c r="BG4164" s="1066"/>
      <c r="BH4164" s="1066"/>
      <c r="BI4164" s="1066"/>
      <c r="BJ4164" s="1066"/>
      <c r="BK4164" s="1066"/>
      <c r="BL4164" s="1066"/>
    </row>
    <row r="4165" spans="1:64">
      <c r="A4165" s="1206"/>
      <c r="B4165" s="1206"/>
      <c r="C4165" s="1807" t="str">
        <f>Input!$C$47</f>
        <v>Add for MA @ 40%</v>
      </c>
      <c r="D4165" s="1212">
        <f>Input!$D$47</f>
        <v>0.4</v>
      </c>
      <c r="E4165" s="1288"/>
      <c r="F4165" s="1211">
        <f>SUM(I4163:I4164)</f>
        <v>1870.4</v>
      </c>
      <c r="G4165" s="1359"/>
      <c r="H4165" s="1360"/>
      <c r="I4165" s="1211">
        <f t="shared" si="934"/>
        <v>748.16000000000008</v>
      </c>
      <c r="J4165" s="1022"/>
      <c r="K4165" s="1022"/>
      <c r="L4165" s="1022"/>
      <c r="M4165" s="1066"/>
      <c r="N4165" s="1066"/>
      <c r="O4165" s="1066"/>
      <c r="P4165" s="1066"/>
      <c r="Q4165" s="1066"/>
      <c r="R4165" s="1066"/>
      <c r="S4165" s="1066"/>
      <c r="T4165" s="1066"/>
      <c r="U4165" s="1066"/>
      <c r="V4165" s="1066"/>
      <c r="W4165" s="1066"/>
      <c r="X4165" s="1066"/>
      <c r="Y4165" s="1066"/>
      <c r="Z4165" s="1066"/>
      <c r="AA4165" s="1066"/>
      <c r="AB4165" s="1066"/>
      <c r="AC4165" s="1066"/>
      <c r="AD4165" s="1066"/>
      <c r="AE4165" s="1066"/>
      <c r="AF4165" s="1066"/>
      <c r="AG4165" s="1066"/>
      <c r="AH4165" s="1066"/>
      <c r="AI4165" s="1066"/>
      <c r="AJ4165" s="1066"/>
      <c r="AK4165" s="1066"/>
      <c r="AL4165" s="1066"/>
      <c r="AM4165" s="1066"/>
      <c r="AN4165" s="1066"/>
      <c r="AO4165" s="1066"/>
      <c r="AP4165" s="1066"/>
      <c r="AQ4165" s="1066"/>
      <c r="AR4165" s="1066"/>
      <c r="AS4165" s="1066"/>
      <c r="AT4165" s="1066"/>
      <c r="AU4165" s="1066"/>
      <c r="AV4165" s="1066"/>
      <c r="AW4165" s="1066"/>
      <c r="AX4165" s="1066"/>
      <c r="AY4165" s="1066"/>
      <c r="AZ4165" s="1066"/>
      <c r="BA4165" s="1066"/>
      <c r="BB4165" s="1066"/>
      <c r="BC4165" s="1066"/>
      <c r="BD4165" s="1066"/>
      <c r="BE4165" s="1066"/>
      <c r="BF4165" s="1066"/>
      <c r="BG4165" s="1066"/>
      <c r="BH4165" s="1066"/>
      <c r="BI4165" s="1066"/>
      <c r="BJ4165" s="1066"/>
      <c r="BK4165" s="1066"/>
      <c r="BL4165" s="1066"/>
    </row>
    <row r="4166" spans="1:64" ht="38.25">
      <c r="A4166" s="1206"/>
      <c r="B4166" s="1206"/>
      <c r="C4166" s="1807" t="s">
        <v>1578</v>
      </c>
      <c r="D4166" s="1352">
        <v>0.01</v>
      </c>
      <c r="E4166" s="1807"/>
      <c r="F4166" s="1209">
        <f>SUM(I4160:I4165)</f>
        <v>2860.3760000000002</v>
      </c>
      <c r="G4166" s="1807"/>
      <c r="H4166" s="1807"/>
      <c r="I4166" s="1211"/>
      <c r="J4166" s="1022"/>
      <c r="K4166" s="1022"/>
      <c r="L4166" s="1022"/>
      <c r="M4166" s="1066"/>
      <c r="N4166" s="1066"/>
      <c r="O4166" s="1066"/>
      <c r="P4166" s="1066"/>
      <c r="Q4166" s="1066"/>
      <c r="R4166" s="1066"/>
      <c r="S4166" s="1066"/>
      <c r="T4166" s="1066"/>
      <c r="U4166" s="1066"/>
      <c r="V4166" s="1066"/>
      <c r="W4166" s="1066"/>
      <c r="X4166" s="1066"/>
      <c r="Y4166" s="1066"/>
      <c r="Z4166" s="1066"/>
      <c r="AA4166" s="1066"/>
      <c r="AB4166" s="1066"/>
      <c r="AC4166" s="1066"/>
      <c r="AD4166" s="1066"/>
      <c r="AE4166" s="1066"/>
      <c r="AF4166" s="1066"/>
      <c r="AG4166" s="1066"/>
      <c r="AH4166" s="1066"/>
      <c r="AI4166" s="1066"/>
      <c r="AJ4166" s="1066"/>
      <c r="AK4166" s="1066"/>
      <c r="AL4166" s="1066"/>
      <c r="AM4166" s="1066"/>
      <c r="AN4166" s="1066"/>
      <c r="AO4166" s="1066"/>
      <c r="AP4166" s="1066"/>
      <c r="AQ4166" s="1066"/>
      <c r="AR4166" s="1066"/>
      <c r="AS4166" s="1066"/>
      <c r="AT4166" s="1066"/>
      <c r="AU4166" s="1066"/>
      <c r="AV4166" s="1066"/>
      <c r="AW4166" s="1066"/>
      <c r="AX4166" s="1066"/>
      <c r="AY4166" s="1066"/>
      <c r="AZ4166" s="1066"/>
      <c r="BA4166" s="1066"/>
      <c r="BB4166" s="1066"/>
      <c r="BC4166" s="1066"/>
      <c r="BD4166" s="1066"/>
      <c r="BE4166" s="1066"/>
      <c r="BF4166" s="1066"/>
      <c r="BG4166" s="1066"/>
      <c r="BH4166" s="1066"/>
      <c r="BI4166" s="1066"/>
      <c r="BJ4166" s="1066"/>
      <c r="BK4166" s="1066"/>
      <c r="BL4166" s="1066"/>
    </row>
    <row r="4167" spans="1:64">
      <c r="A4167" s="1206"/>
      <c r="B4167" s="1206"/>
      <c r="C4167" s="1208"/>
      <c r="D4167" s="1208"/>
      <c r="E4167" s="1206"/>
      <c r="F4167" s="1211"/>
      <c r="G4167" s="1359"/>
      <c r="H4167" s="1360"/>
      <c r="I4167" s="1307">
        <f>SUM(I4160:I4166)</f>
        <v>2860.3760000000002</v>
      </c>
      <c r="J4167" s="1022"/>
      <c r="K4167" s="1022"/>
      <c r="L4167" s="1022"/>
      <c r="M4167" s="1066"/>
      <c r="N4167" s="1066"/>
      <c r="O4167" s="1066"/>
      <c r="P4167" s="1066"/>
      <c r="Q4167" s="1066"/>
      <c r="R4167" s="1066"/>
      <c r="S4167" s="1066"/>
      <c r="T4167" s="1066"/>
      <c r="U4167" s="1066"/>
      <c r="V4167" s="1066"/>
      <c r="W4167" s="1066"/>
      <c r="X4167" s="1066"/>
      <c r="Y4167" s="1066"/>
      <c r="Z4167" s="1066"/>
      <c r="AA4167" s="1066"/>
      <c r="AB4167" s="1066"/>
      <c r="AC4167" s="1066"/>
      <c r="AD4167" s="1066"/>
      <c r="AE4167" s="1066"/>
      <c r="AF4167" s="1066"/>
      <c r="AG4167" s="1066"/>
      <c r="AH4167" s="1066"/>
      <c r="AI4167" s="1066"/>
      <c r="AJ4167" s="1066"/>
      <c r="AK4167" s="1066"/>
      <c r="AL4167" s="1066"/>
      <c r="AM4167" s="1066"/>
      <c r="AN4167" s="1066"/>
      <c r="AO4167" s="1066"/>
      <c r="AP4167" s="1066"/>
      <c r="AQ4167" s="1066"/>
      <c r="AR4167" s="1066"/>
      <c r="AS4167" s="1066"/>
      <c r="AT4167" s="1066"/>
      <c r="AU4167" s="1066"/>
      <c r="AV4167" s="1066"/>
      <c r="AW4167" s="1066"/>
      <c r="AX4167" s="1066"/>
      <c r="AY4167" s="1066"/>
      <c r="AZ4167" s="1066"/>
      <c r="BA4167" s="1066"/>
      <c r="BB4167" s="1066"/>
      <c r="BC4167" s="1066"/>
      <c r="BD4167" s="1066"/>
      <c r="BE4167" s="1066"/>
      <c r="BF4167" s="1066"/>
      <c r="BG4167" s="1066"/>
      <c r="BH4167" s="1066"/>
      <c r="BI4167" s="1066"/>
      <c r="BJ4167" s="1066"/>
      <c r="BK4167" s="1066"/>
      <c r="BL4167" s="1066"/>
    </row>
    <row r="4168" spans="1:64">
      <c r="A4168" s="1206"/>
      <c r="B4168" s="1206"/>
      <c r="C4168" s="1807" t="str">
        <f>Input!$C$48</f>
        <v>Overheads &amp; Contractors Profit @ 13.615%</v>
      </c>
      <c r="D4168" s="1361">
        <f>Input!$D$48</f>
        <v>0.13614999999999999</v>
      </c>
      <c r="E4168" s="1206"/>
      <c r="F4168" s="1211">
        <f>I4167</f>
        <v>2860.3760000000002</v>
      </c>
      <c r="G4168" s="1359"/>
      <c r="H4168" s="1360"/>
      <c r="I4168" s="1211">
        <f>IF(G4168="",D4168*F4168,(D4168*F4168/G4168))</f>
        <v>389.4401924</v>
      </c>
      <c r="J4168" s="1022"/>
      <c r="K4168" s="1022"/>
      <c r="L4168" s="1022"/>
      <c r="M4168" s="1066"/>
      <c r="N4168" s="1066"/>
      <c r="O4168" s="1066"/>
      <c r="P4168" s="1066"/>
      <c r="Q4168" s="1066"/>
      <c r="R4168" s="1066"/>
      <c r="S4168" s="1066"/>
      <c r="T4168" s="1066"/>
      <c r="U4168" s="1066"/>
      <c r="V4168" s="1066"/>
      <c r="W4168" s="1066"/>
      <c r="X4168" s="1066"/>
      <c r="Y4168" s="1066"/>
      <c r="Z4168" s="1066"/>
      <c r="AA4168" s="1066"/>
      <c r="AB4168" s="1066"/>
      <c r="AC4168" s="1066"/>
      <c r="AD4168" s="1066"/>
      <c r="AE4168" s="1066"/>
      <c r="AF4168" s="1066"/>
      <c r="AG4168" s="1066"/>
      <c r="AH4168" s="1066"/>
      <c r="AI4168" s="1066"/>
      <c r="AJ4168" s="1066"/>
      <c r="AK4168" s="1066"/>
      <c r="AL4168" s="1066"/>
      <c r="AM4168" s="1066"/>
      <c r="AN4168" s="1066"/>
      <c r="AO4168" s="1066"/>
      <c r="AP4168" s="1066"/>
      <c r="AQ4168" s="1066"/>
      <c r="AR4168" s="1066"/>
      <c r="AS4168" s="1066"/>
      <c r="AT4168" s="1066"/>
      <c r="AU4168" s="1066"/>
      <c r="AV4168" s="1066"/>
      <c r="AW4168" s="1066"/>
      <c r="AX4168" s="1066"/>
      <c r="AY4168" s="1066"/>
      <c r="AZ4168" s="1066"/>
      <c r="BA4168" s="1066"/>
      <c r="BB4168" s="1066"/>
      <c r="BC4168" s="1066"/>
      <c r="BD4168" s="1066"/>
      <c r="BE4168" s="1066"/>
      <c r="BF4168" s="1066"/>
      <c r="BG4168" s="1066"/>
      <c r="BH4168" s="1066"/>
      <c r="BI4168" s="1066"/>
      <c r="BJ4168" s="1066"/>
      <c r="BK4168" s="1066"/>
      <c r="BL4168" s="1066"/>
    </row>
    <row r="4169" spans="1:64">
      <c r="A4169" s="1206"/>
      <c r="B4169" s="1206"/>
      <c r="C4169" s="1795" t="s">
        <v>1302</v>
      </c>
      <c r="D4169" s="1211"/>
      <c r="E4169" s="1206"/>
      <c r="F4169" s="1211"/>
      <c r="G4169" s="1359"/>
      <c r="H4169" s="1360"/>
      <c r="I4169" s="1307">
        <f>SUM(I4167:I4168)</f>
        <v>3249.8161924000001</v>
      </c>
      <c r="J4169" s="1022"/>
      <c r="K4169" s="1022"/>
      <c r="L4169" s="1022"/>
      <c r="M4169" s="1066"/>
      <c r="N4169" s="1066"/>
      <c r="O4169" s="1066"/>
      <c r="P4169" s="1066"/>
      <c r="Q4169" s="1066"/>
      <c r="R4169" s="1066"/>
      <c r="S4169" s="1066"/>
      <c r="T4169" s="1066"/>
      <c r="U4169" s="1066"/>
      <c r="V4169" s="1066"/>
      <c r="W4169" s="1066"/>
      <c r="X4169" s="1066"/>
      <c r="Y4169" s="1066"/>
      <c r="Z4169" s="1066"/>
      <c r="AA4169" s="1066"/>
      <c r="AB4169" s="1066"/>
      <c r="AC4169" s="1066"/>
      <c r="AD4169" s="1066"/>
      <c r="AE4169" s="1066"/>
      <c r="AF4169" s="1066"/>
      <c r="AG4169" s="1066"/>
      <c r="AH4169" s="1066"/>
      <c r="AI4169" s="1066"/>
      <c r="AJ4169" s="1066"/>
      <c r="AK4169" s="1066"/>
      <c r="AL4169" s="1066"/>
      <c r="AM4169" s="1066"/>
      <c r="AN4169" s="1066"/>
      <c r="AO4169" s="1066"/>
      <c r="AP4169" s="1066"/>
      <c r="AQ4169" s="1066"/>
      <c r="AR4169" s="1066"/>
      <c r="AS4169" s="1066"/>
      <c r="AT4169" s="1066"/>
      <c r="AU4169" s="1066"/>
      <c r="AV4169" s="1066"/>
      <c r="AW4169" s="1066"/>
      <c r="AX4169" s="1066"/>
      <c r="AY4169" s="1066"/>
      <c r="AZ4169" s="1066"/>
      <c r="BA4169" s="1066"/>
      <c r="BB4169" s="1066"/>
      <c r="BC4169" s="1066"/>
      <c r="BD4169" s="1066"/>
      <c r="BE4169" s="1066"/>
      <c r="BF4169" s="1066"/>
      <c r="BG4169" s="1066"/>
      <c r="BH4169" s="1066"/>
      <c r="BI4169" s="1066"/>
      <c r="BJ4169" s="1066"/>
      <c r="BK4169" s="1066"/>
      <c r="BL4169" s="1066"/>
    </row>
    <row r="4170" spans="1:64">
      <c r="A4170" s="1206"/>
      <c r="B4170" s="1206"/>
      <c r="C4170" s="1795" t="s">
        <v>1117</v>
      </c>
      <c r="D4170" s="1211"/>
      <c r="E4170" s="1206"/>
      <c r="F4170" s="1211"/>
      <c r="G4170" s="1359"/>
      <c r="H4170" s="1208"/>
      <c r="I4170" s="1209">
        <f>I4169/10</f>
        <v>324.98161923999999</v>
      </c>
      <c r="J4170" s="1022"/>
      <c r="K4170" s="1022"/>
      <c r="L4170" s="1022"/>
      <c r="M4170" s="1066"/>
      <c r="N4170" s="1066"/>
      <c r="O4170" s="1066"/>
      <c r="P4170" s="1066"/>
      <c r="Q4170" s="1066"/>
      <c r="R4170" s="1066"/>
      <c r="S4170" s="1066"/>
      <c r="T4170" s="1066"/>
      <c r="U4170" s="1066"/>
      <c r="V4170" s="1066"/>
      <c r="W4170" s="1066"/>
      <c r="X4170" s="1066"/>
      <c r="Y4170" s="1066"/>
      <c r="Z4170" s="1066"/>
      <c r="AA4170" s="1066"/>
      <c r="AB4170" s="1066"/>
      <c r="AC4170" s="1066"/>
      <c r="AD4170" s="1066"/>
      <c r="AE4170" s="1066"/>
      <c r="AF4170" s="1066"/>
      <c r="AG4170" s="1066"/>
      <c r="AH4170" s="1066"/>
      <c r="AI4170" s="1066"/>
      <c r="AJ4170" s="1066"/>
      <c r="AK4170" s="1066"/>
      <c r="AL4170" s="1066"/>
      <c r="AM4170" s="1066"/>
      <c r="AN4170" s="1066"/>
      <c r="AO4170" s="1066"/>
      <c r="AP4170" s="1066"/>
      <c r="AQ4170" s="1066"/>
      <c r="AR4170" s="1066"/>
      <c r="AS4170" s="1066"/>
      <c r="AT4170" s="1066"/>
      <c r="AU4170" s="1066"/>
      <c r="AV4170" s="1066"/>
      <c r="AW4170" s="1066"/>
      <c r="AX4170" s="1066"/>
      <c r="AY4170" s="1066"/>
      <c r="AZ4170" s="1066"/>
      <c r="BA4170" s="1066"/>
      <c r="BB4170" s="1066"/>
      <c r="BC4170" s="1066"/>
      <c r="BD4170" s="1066"/>
      <c r="BE4170" s="1066"/>
      <c r="BF4170" s="1066"/>
      <c r="BG4170" s="1066"/>
      <c r="BH4170" s="1066"/>
      <c r="BI4170" s="1066"/>
      <c r="BJ4170" s="1066"/>
      <c r="BK4170" s="1066"/>
      <c r="BL4170" s="1066"/>
    </row>
    <row r="4171" spans="1:64">
      <c r="A4171" s="1197"/>
      <c r="B4171" s="1197"/>
      <c r="C4171" s="1199"/>
      <c r="D4171" s="1228"/>
      <c r="E4171" s="1271"/>
      <c r="F4171" s="1223"/>
      <c r="G4171" s="1272"/>
      <c r="H4171" s="1299" t="s">
        <v>1065</v>
      </c>
      <c r="I4171" s="1218">
        <f>ROUND(I4170,0)</f>
        <v>325</v>
      </c>
      <c r="J4171" s="1846"/>
      <c r="K4171" s="1846"/>
      <c r="L4171" s="1846"/>
    </row>
    <row r="4172" spans="1:64">
      <c r="A4172" s="1197"/>
      <c r="B4172" s="1197"/>
      <c r="C4172" s="1199"/>
      <c r="D4172" s="1228"/>
      <c r="E4172" s="1271"/>
      <c r="F4172" s="1223"/>
      <c r="G4172" s="1272"/>
      <c r="H4172" s="1299"/>
      <c r="I4172" s="1218"/>
      <c r="J4172" s="1846"/>
      <c r="K4172" s="1846"/>
      <c r="L4172" s="1846"/>
    </row>
    <row r="4173" spans="1:64" ht="112.7" customHeight="1">
      <c r="A4173" s="1197">
        <f>1+A4119</f>
        <v>57</v>
      </c>
      <c r="B4173" s="1197"/>
      <c r="C4173" s="2006" t="s">
        <v>3464</v>
      </c>
      <c r="D4173" s="2006"/>
      <c r="E4173" s="2006"/>
      <c r="F4173" s="2006"/>
      <c r="G4173" s="2006"/>
      <c r="H4173" s="2006"/>
      <c r="I4173" s="1814"/>
      <c r="J4173" s="1846"/>
      <c r="K4173" s="1846"/>
      <c r="L4173" s="1846"/>
    </row>
    <row r="4174" spans="1:64" ht="12.75" customHeight="1">
      <c r="A4174" s="1197"/>
      <c r="B4174" s="1197"/>
      <c r="C4174" s="2026" t="s">
        <v>1534</v>
      </c>
      <c r="D4174" s="2026"/>
      <c r="E4174" s="1199"/>
      <c r="F4174" s="1200"/>
      <c r="G4174" s="1199"/>
      <c r="H4174" s="1199"/>
      <c r="I4174" s="1201"/>
      <c r="J4174" s="1846"/>
      <c r="K4174" s="1846"/>
      <c r="L4174" s="1846"/>
    </row>
    <row r="4175" spans="1:64">
      <c r="A4175" s="1197"/>
      <c r="B4175" s="1197"/>
      <c r="C4175" s="1811" t="s">
        <v>1579</v>
      </c>
      <c r="D4175" s="1811"/>
      <c r="E4175" s="1199"/>
      <c r="F4175" s="1200"/>
      <c r="G4175" s="1199"/>
      <c r="H4175" s="1199"/>
      <c r="I4175" s="1201"/>
      <c r="J4175" s="1846"/>
      <c r="K4175" s="1846"/>
      <c r="L4175" s="1846"/>
    </row>
    <row r="4176" spans="1:64">
      <c r="A4176" s="1197"/>
      <c r="B4176" s="1197"/>
      <c r="C4176" s="1795" t="s">
        <v>1574</v>
      </c>
      <c r="D4176" s="1795"/>
      <c r="E4176" s="1795"/>
      <c r="F4176" s="1812"/>
      <c r="G4176" s="1795"/>
      <c r="H4176" s="1795"/>
      <c r="I4176" s="1357"/>
      <c r="J4176" s="1846"/>
      <c r="K4176" s="1846"/>
      <c r="L4176" s="1846"/>
    </row>
    <row r="4177" spans="1:12">
      <c r="A4177" s="1197"/>
      <c r="B4177" s="1197"/>
      <c r="C4177" s="1807" t="s">
        <v>1580</v>
      </c>
      <c r="D4177" s="1362">
        <v>6.5000000000000002E-2</v>
      </c>
      <c r="E4177" s="1282" t="s">
        <v>1380</v>
      </c>
      <c r="F4177" s="1283">
        <f>'Civil-SOR'!$G$74</f>
        <v>365</v>
      </c>
      <c r="G4177" s="1363">
        <v>1</v>
      </c>
      <c r="H4177" s="1273" t="str">
        <f t="shared" ref="H4177:H4178" si="935">IF(E4177="","",IF(E4177="No","Each",IF(E4177="Nos","Each",E4177)))</f>
        <v>Ltrs</v>
      </c>
      <c r="I4177" s="1283">
        <f t="shared" ref="I4177:I4178" si="936">IF(G4177="",D4177*F4177,(D4177*F4177/G4177))</f>
        <v>23.725000000000001</v>
      </c>
      <c r="J4177" s="1846"/>
      <c r="K4177" s="1846"/>
      <c r="L4177" s="1846"/>
    </row>
    <row r="4178" spans="1:12">
      <c r="A4178" s="1197"/>
      <c r="B4178" s="1197"/>
      <c r="C4178" s="1807" t="s">
        <v>1581</v>
      </c>
      <c r="D4178" s="1362">
        <v>3.3000000000000002E-2</v>
      </c>
      <c r="E4178" s="1282" t="s">
        <v>1380</v>
      </c>
      <c r="F4178" s="1283">
        <f>'Civil-SOR'!$G$64</f>
        <v>154</v>
      </c>
      <c r="G4178" s="1363">
        <v>1</v>
      </c>
      <c r="H4178" s="1273" t="str">
        <f t="shared" si="935"/>
        <v>Ltrs</v>
      </c>
      <c r="I4178" s="1283">
        <f t="shared" si="936"/>
        <v>5.0819999999999999</v>
      </c>
      <c r="J4178" s="1846"/>
      <c r="K4178" s="1846"/>
      <c r="L4178" s="1846"/>
    </row>
    <row r="4179" spans="1:12">
      <c r="A4179" s="1197"/>
      <c r="B4179" s="1197"/>
      <c r="C4179" s="1807" t="s">
        <v>1577</v>
      </c>
      <c r="D4179" s="1364"/>
      <c r="E4179" s="1282"/>
      <c r="F4179" s="1283"/>
      <c r="G4179" s="1363"/>
      <c r="H4179" s="1273"/>
      <c r="I4179" s="1283"/>
      <c r="J4179" s="1846"/>
      <c r="K4179" s="1846"/>
      <c r="L4179" s="1846"/>
    </row>
    <row r="4180" spans="1:12">
      <c r="A4180" s="1197"/>
      <c r="B4180" s="1197"/>
      <c r="C4180" s="1807" t="s">
        <v>1557</v>
      </c>
      <c r="D4180" s="1364">
        <v>0.24</v>
      </c>
      <c r="E4180" s="1282" t="s">
        <v>36</v>
      </c>
      <c r="F4180" s="1223">
        <f>'Civil-SOR'!$G$296</f>
        <v>665</v>
      </c>
      <c r="G4180" s="1363">
        <v>1</v>
      </c>
      <c r="H4180" s="1273" t="str">
        <f t="shared" ref="H4180:H4182" si="937">IF(E4180="","",IF(E4180="No","Each",IF(E4180="Nos","Each",E4180)))</f>
        <v>Nos.</v>
      </c>
      <c r="I4180" s="1283">
        <f t="shared" ref="I4180:I4183" si="938">IF(G4180="",D4180*F4180,(D4180*F4180/G4180))</f>
        <v>159.6</v>
      </c>
      <c r="J4180" s="1846"/>
      <c r="K4180" s="1846"/>
      <c r="L4180" s="1846"/>
    </row>
    <row r="4181" spans="1:12">
      <c r="A4181" s="1197"/>
      <c r="B4181" s="1197"/>
      <c r="C4181" s="1807" t="s">
        <v>1558</v>
      </c>
      <c r="D4181" s="1364">
        <v>0.56000000000000005</v>
      </c>
      <c r="E4181" s="1282" t="s">
        <v>36</v>
      </c>
      <c r="F4181" s="1223">
        <f>'Civil-SOR'!$G$303</f>
        <v>550</v>
      </c>
      <c r="G4181" s="1363">
        <v>1</v>
      </c>
      <c r="H4181" s="1273" t="str">
        <f t="shared" si="937"/>
        <v>Nos.</v>
      </c>
      <c r="I4181" s="1283">
        <f t="shared" si="938"/>
        <v>308.00000000000006</v>
      </c>
      <c r="J4181" s="1846"/>
      <c r="K4181" s="1846"/>
      <c r="L4181" s="1846"/>
    </row>
    <row r="4182" spans="1:12">
      <c r="A4182" s="1197"/>
      <c r="B4182" s="1197"/>
      <c r="C4182" s="1807" t="s">
        <v>1582</v>
      </c>
      <c r="D4182" s="1364">
        <v>0.8</v>
      </c>
      <c r="E4182" s="1282" t="s">
        <v>36</v>
      </c>
      <c r="F4182" s="1283">
        <f>'Civil-SOR'!$G$307</f>
        <v>520</v>
      </c>
      <c r="G4182" s="1363">
        <v>1</v>
      </c>
      <c r="H4182" s="1273" t="str">
        <f t="shared" si="937"/>
        <v>Nos.</v>
      </c>
      <c r="I4182" s="1283">
        <f t="shared" si="938"/>
        <v>416</v>
      </c>
      <c r="J4182" s="1846"/>
      <c r="K4182" s="1846"/>
      <c r="L4182" s="1846"/>
    </row>
    <row r="4183" spans="1:12">
      <c r="A4183" s="1197"/>
      <c r="B4183" s="1197"/>
      <c r="C4183" s="1807" t="str">
        <f>Input!$C$47</f>
        <v>Add for MA @ 40%</v>
      </c>
      <c r="D4183" s="1365">
        <f>Input!$D$47</f>
        <v>0.4</v>
      </c>
      <c r="E4183" s="1282"/>
      <c r="F4183" s="1283">
        <f>SUM(I4180:I4182)</f>
        <v>883.6</v>
      </c>
      <c r="G4183" s="1342"/>
      <c r="H4183" s="1366"/>
      <c r="I4183" s="1283">
        <f t="shared" si="938"/>
        <v>353.44000000000005</v>
      </c>
      <c r="J4183" s="1846"/>
      <c r="K4183" s="1846"/>
      <c r="L4183" s="1846"/>
    </row>
    <row r="4184" spans="1:12">
      <c r="A4184" s="1197"/>
      <c r="B4184" s="1197"/>
      <c r="C4184" s="1807" t="s">
        <v>1583</v>
      </c>
      <c r="D4184" s="1354">
        <v>0.01</v>
      </c>
      <c r="E4184" s="1202"/>
      <c r="F4184" s="1353">
        <f>SUM(I4177:I4183)</f>
        <v>1265.8470000000002</v>
      </c>
      <c r="G4184" s="1202"/>
      <c r="H4184" s="1202"/>
      <c r="I4184" s="1205"/>
      <c r="J4184" s="1846"/>
      <c r="K4184" s="1846"/>
      <c r="L4184" s="1846"/>
    </row>
    <row r="4185" spans="1:12">
      <c r="A4185" s="1197"/>
      <c r="B4185" s="1197"/>
      <c r="C4185" s="1199"/>
      <c r="D4185" s="1199"/>
      <c r="E4185" s="1802"/>
      <c r="F4185" s="1283"/>
      <c r="G4185" s="1342"/>
      <c r="H4185" s="1366"/>
      <c r="I4185" s="1218">
        <f>SUM(I4177:I4184)</f>
        <v>1265.8470000000002</v>
      </c>
      <c r="J4185" s="1846"/>
      <c r="K4185" s="1846"/>
      <c r="L4185" s="1846"/>
    </row>
    <row r="4186" spans="1:12">
      <c r="A4186" s="1197"/>
      <c r="B4186" s="1197"/>
      <c r="C4186" s="1807" t="str">
        <f>Input!$C$48</f>
        <v>Overheads &amp; Contractors Profit @ 13.615%</v>
      </c>
      <c r="D4186" s="1367">
        <f>Input!$D$48</f>
        <v>0.13614999999999999</v>
      </c>
      <c r="E4186" s="1802"/>
      <c r="F4186" s="1283">
        <f>I4185</f>
        <v>1265.8470000000002</v>
      </c>
      <c r="G4186" s="1342"/>
      <c r="H4186" s="1366"/>
      <c r="I4186" s="1283">
        <f>IF(G4186="",D4186*F4186,(D4186*F4186/G4186))</f>
        <v>172.34506905000001</v>
      </c>
      <c r="J4186" s="1846"/>
      <c r="K4186" s="1846"/>
      <c r="L4186" s="1846"/>
    </row>
    <row r="4187" spans="1:12">
      <c r="A4187" s="1197"/>
      <c r="B4187" s="1197"/>
      <c r="C4187" s="1795" t="s">
        <v>1117</v>
      </c>
      <c r="D4187" s="1283"/>
      <c r="E4187" s="1802"/>
      <c r="F4187" s="1283"/>
      <c r="G4187" s="1342"/>
      <c r="H4187" s="1366"/>
      <c r="I4187" s="1218">
        <f>SUM(I4185:I4186)</f>
        <v>1438.1920690500001</v>
      </c>
      <c r="J4187" s="1846"/>
      <c r="K4187" s="1846"/>
      <c r="L4187" s="1846"/>
    </row>
    <row r="4188" spans="1:12">
      <c r="A4188" s="1197"/>
      <c r="B4188" s="1197"/>
      <c r="C4188" s="1199"/>
      <c r="D4188" s="1228"/>
      <c r="E4188" s="1271"/>
      <c r="F4188" s="1223"/>
      <c r="G4188" s="1272"/>
      <c r="H4188" s="1299" t="s">
        <v>1065</v>
      </c>
      <c r="I4188" s="1218">
        <f>ROUND(I4187,0)</f>
        <v>1438</v>
      </c>
      <c r="J4188" s="1846"/>
      <c r="K4188" s="1846"/>
      <c r="L4188" s="1846"/>
    </row>
    <row r="4189" spans="1:12">
      <c r="A4189" s="1197"/>
      <c r="B4189" s="1197"/>
      <c r="C4189" s="1199"/>
      <c r="D4189" s="1199"/>
      <c r="E4189" s="1199"/>
      <c r="F4189" s="1200"/>
      <c r="G4189" s="1199"/>
      <c r="H4189" s="1199"/>
      <c r="I4189" s="1201"/>
      <c r="J4189" s="1846"/>
      <c r="K4189" s="1846"/>
      <c r="L4189" s="1846"/>
    </row>
    <row r="4190" spans="1:12" ht="126.2" customHeight="1">
      <c r="A4190" s="1197">
        <f>A4173+1</f>
        <v>58</v>
      </c>
      <c r="B4190" s="1197"/>
      <c r="C4190" s="2006" t="s">
        <v>3465</v>
      </c>
      <c r="D4190" s="2006"/>
      <c r="E4190" s="2006"/>
      <c r="F4190" s="2006"/>
      <c r="G4190" s="2006"/>
      <c r="H4190" s="2006"/>
      <c r="I4190" s="1814"/>
      <c r="J4190" s="1846"/>
      <c r="K4190" s="1846"/>
      <c r="L4190" s="1846"/>
    </row>
    <row r="4191" spans="1:12" ht="12.75" customHeight="1">
      <c r="A4191" s="1197"/>
      <c r="B4191" s="1197"/>
      <c r="C4191" s="2026" t="s">
        <v>1534</v>
      </c>
      <c r="D4191" s="2026"/>
      <c r="E4191" s="1199"/>
      <c r="F4191" s="1200"/>
      <c r="G4191" s="1199"/>
      <c r="H4191" s="1199"/>
      <c r="I4191" s="1201"/>
      <c r="J4191" s="1846"/>
      <c r="K4191" s="1846"/>
      <c r="L4191" s="1846"/>
    </row>
    <row r="4192" spans="1:12">
      <c r="A4192" s="1197"/>
      <c r="B4192" s="1197"/>
      <c r="C4192" s="1811" t="s">
        <v>1579</v>
      </c>
      <c r="D4192" s="1811"/>
      <c r="E4192" s="1199"/>
      <c r="F4192" s="1200"/>
      <c r="G4192" s="1199"/>
      <c r="H4192" s="1199"/>
      <c r="I4192" s="1201"/>
      <c r="J4192" s="1846"/>
      <c r="K4192" s="1846"/>
      <c r="L4192" s="1846"/>
    </row>
    <row r="4193" spans="1:64">
      <c r="A4193" s="1197"/>
      <c r="B4193" s="1197"/>
      <c r="C4193" s="1795" t="s">
        <v>1574</v>
      </c>
      <c r="D4193" s="1795"/>
      <c r="E4193" s="1795"/>
      <c r="F4193" s="1812"/>
      <c r="G4193" s="1795"/>
      <c r="H4193" s="1795"/>
      <c r="I4193" s="1357"/>
      <c r="J4193" s="1846"/>
      <c r="K4193" s="1846"/>
      <c r="L4193" s="1846"/>
    </row>
    <row r="4194" spans="1:64" ht="25.5">
      <c r="A4194" s="1206"/>
      <c r="B4194" s="1206"/>
      <c r="C4194" s="1807" t="s">
        <v>1584</v>
      </c>
      <c r="D4194" s="1358">
        <v>6.5000000000000002E-2</v>
      </c>
      <c r="E4194" s="1288" t="s">
        <v>1380</v>
      </c>
      <c r="F4194" s="1211">
        <f>'Civil-SOR'!$G$75</f>
        <v>743</v>
      </c>
      <c r="G4194" s="1318">
        <v>1</v>
      </c>
      <c r="H4194" s="1290" t="str">
        <f t="shared" ref="H4194:H4195" si="939">IF(E4194="","",IF(E4194="No","Each",IF(E4194="Nos","Each",E4194)))</f>
        <v>Ltrs</v>
      </c>
      <c r="I4194" s="1211">
        <f t="shared" ref="I4194:I4195" si="940">IF(G4194="",D4194*F4194,(D4194*F4194/G4194))</f>
        <v>48.295000000000002</v>
      </c>
      <c r="J4194" s="1022"/>
      <c r="K4194" s="1022"/>
      <c r="L4194" s="1022"/>
      <c r="M4194" s="1066"/>
      <c r="N4194" s="1066"/>
      <c r="O4194" s="1066"/>
      <c r="P4194" s="1066"/>
      <c r="Q4194" s="1066"/>
      <c r="R4194" s="1066"/>
      <c r="S4194" s="1066"/>
      <c r="T4194" s="1066"/>
      <c r="U4194" s="1066"/>
      <c r="V4194" s="1066"/>
      <c r="W4194" s="1066"/>
      <c r="X4194" s="1066"/>
      <c r="Y4194" s="1066"/>
      <c r="Z4194" s="1066"/>
      <c r="AA4194" s="1066"/>
      <c r="AB4194" s="1066"/>
      <c r="AC4194" s="1066"/>
      <c r="AD4194" s="1066"/>
      <c r="AE4194" s="1066"/>
      <c r="AF4194" s="1066"/>
      <c r="AG4194" s="1066"/>
      <c r="AH4194" s="1066"/>
      <c r="AI4194" s="1066"/>
      <c r="AJ4194" s="1066"/>
      <c r="AK4194" s="1066"/>
      <c r="AL4194" s="1066"/>
      <c r="AM4194" s="1066"/>
      <c r="AN4194" s="1066"/>
      <c r="AO4194" s="1066"/>
      <c r="AP4194" s="1066"/>
      <c r="AQ4194" s="1066"/>
      <c r="AR4194" s="1066"/>
      <c r="AS4194" s="1066"/>
      <c r="AT4194" s="1066"/>
      <c r="AU4194" s="1066"/>
      <c r="AV4194" s="1066"/>
      <c r="AW4194" s="1066"/>
      <c r="AX4194" s="1066"/>
      <c r="AY4194" s="1066"/>
      <c r="AZ4194" s="1066"/>
      <c r="BA4194" s="1066"/>
      <c r="BB4194" s="1066"/>
      <c r="BC4194" s="1066"/>
      <c r="BD4194" s="1066"/>
      <c r="BE4194" s="1066"/>
      <c r="BF4194" s="1066"/>
      <c r="BG4194" s="1066"/>
      <c r="BH4194" s="1066"/>
      <c r="BI4194" s="1066"/>
      <c r="BJ4194" s="1066"/>
      <c r="BK4194" s="1066"/>
      <c r="BL4194" s="1066"/>
    </row>
    <row r="4195" spans="1:64" ht="25.5">
      <c r="A4195" s="1206"/>
      <c r="B4195" s="1206"/>
      <c r="C4195" s="1807" t="s">
        <v>1585</v>
      </c>
      <c r="D4195" s="1358">
        <v>3.3000000000000002E-2</v>
      </c>
      <c r="E4195" s="1288" t="s">
        <v>1380</v>
      </c>
      <c r="F4195" s="1211">
        <f>'Civil-SOR'!$G$64</f>
        <v>154</v>
      </c>
      <c r="G4195" s="1318">
        <v>1</v>
      </c>
      <c r="H4195" s="1290" t="str">
        <f t="shared" si="939"/>
        <v>Ltrs</v>
      </c>
      <c r="I4195" s="1211">
        <f t="shared" si="940"/>
        <v>5.0819999999999999</v>
      </c>
      <c r="J4195" s="1022"/>
      <c r="K4195" s="1022"/>
      <c r="L4195" s="1022"/>
      <c r="M4195" s="1066"/>
      <c r="N4195" s="1066"/>
      <c r="O4195" s="1066"/>
      <c r="P4195" s="1066"/>
      <c r="Q4195" s="1066"/>
      <c r="R4195" s="1066"/>
      <c r="S4195" s="1066"/>
      <c r="T4195" s="1066"/>
      <c r="U4195" s="1066"/>
      <c r="V4195" s="1066"/>
      <c r="W4195" s="1066"/>
      <c r="X4195" s="1066"/>
      <c r="Y4195" s="1066"/>
      <c r="Z4195" s="1066"/>
      <c r="AA4195" s="1066"/>
      <c r="AB4195" s="1066"/>
      <c r="AC4195" s="1066"/>
      <c r="AD4195" s="1066"/>
      <c r="AE4195" s="1066"/>
      <c r="AF4195" s="1066"/>
      <c r="AG4195" s="1066"/>
      <c r="AH4195" s="1066"/>
      <c r="AI4195" s="1066"/>
      <c r="AJ4195" s="1066"/>
      <c r="AK4195" s="1066"/>
      <c r="AL4195" s="1066"/>
      <c r="AM4195" s="1066"/>
      <c r="AN4195" s="1066"/>
      <c r="AO4195" s="1066"/>
      <c r="AP4195" s="1066"/>
      <c r="AQ4195" s="1066"/>
      <c r="AR4195" s="1066"/>
      <c r="AS4195" s="1066"/>
      <c r="AT4195" s="1066"/>
      <c r="AU4195" s="1066"/>
      <c r="AV4195" s="1066"/>
      <c r="AW4195" s="1066"/>
      <c r="AX4195" s="1066"/>
      <c r="AY4195" s="1066"/>
      <c r="AZ4195" s="1066"/>
      <c r="BA4195" s="1066"/>
      <c r="BB4195" s="1066"/>
      <c r="BC4195" s="1066"/>
      <c r="BD4195" s="1066"/>
      <c r="BE4195" s="1066"/>
      <c r="BF4195" s="1066"/>
      <c r="BG4195" s="1066"/>
      <c r="BH4195" s="1066"/>
      <c r="BI4195" s="1066"/>
      <c r="BJ4195" s="1066"/>
      <c r="BK4195" s="1066"/>
      <c r="BL4195" s="1066"/>
    </row>
    <row r="4196" spans="1:64">
      <c r="A4196" s="1206"/>
      <c r="B4196" s="1206"/>
      <c r="C4196" s="1807" t="s">
        <v>1577</v>
      </c>
      <c r="D4196" s="1316"/>
      <c r="E4196" s="1288"/>
      <c r="F4196" s="1211"/>
      <c r="G4196" s="1318"/>
      <c r="H4196" s="1290"/>
      <c r="I4196" s="1211"/>
      <c r="J4196" s="1022"/>
      <c r="K4196" s="1022"/>
      <c r="L4196" s="1022"/>
      <c r="M4196" s="1066"/>
      <c r="N4196" s="1066"/>
      <c r="O4196" s="1066"/>
      <c r="P4196" s="1066"/>
      <c r="Q4196" s="1066"/>
      <c r="R4196" s="1066"/>
      <c r="S4196" s="1066"/>
      <c r="T4196" s="1066"/>
      <c r="U4196" s="1066"/>
      <c r="V4196" s="1066"/>
      <c r="W4196" s="1066"/>
      <c r="X4196" s="1066"/>
      <c r="Y4196" s="1066"/>
      <c r="Z4196" s="1066"/>
      <c r="AA4196" s="1066"/>
      <c r="AB4196" s="1066"/>
      <c r="AC4196" s="1066"/>
      <c r="AD4196" s="1066"/>
      <c r="AE4196" s="1066"/>
      <c r="AF4196" s="1066"/>
      <c r="AG4196" s="1066"/>
      <c r="AH4196" s="1066"/>
      <c r="AI4196" s="1066"/>
      <c r="AJ4196" s="1066"/>
      <c r="AK4196" s="1066"/>
      <c r="AL4196" s="1066"/>
      <c r="AM4196" s="1066"/>
      <c r="AN4196" s="1066"/>
      <c r="AO4196" s="1066"/>
      <c r="AP4196" s="1066"/>
      <c r="AQ4196" s="1066"/>
      <c r="AR4196" s="1066"/>
      <c r="AS4196" s="1066"/>
      <c r="AT4196" s="1066"/>
      <c r="AU4196" s="1066"/>
      <c r="AV4196" s="1066"/>
      <c r="AW4196" s="1066"/>
      <c r="AX4196" s="1066"/>
      <c r="AY4196" s="1066"/>
      <c r="AZ4196" s="1066"/>
      <c r="BA4196" s="1066"/>
      <c r="BB4196" s="1066"/>
      <c r="BC4196" s="1066"/>
      <c r="BD4196" s="1066"/>
      <c r="BE4196" s="1066"/>
      <c r="BF4196" s="1066"/>
      <c r="BG4196" s="1066"/>
      <c r="BH4196" s="1066"/>
      <c r="BI4196" s="1066"/>
      <c r="BJ4196" s="1066"/>
      <c r="BK4196" s="1066"/>
      <c r="BL4196" s="1066"/>
    </row>
    <row r="4197" spans="1:64">
      <c r="A4197" s="1206"/>
      <c r="B4197" s="1206"/>
      <c r="C4197" s="1807" t="s">
        <v>1557</v>
      </c>
      <c r="D4197" s="1316">
        <v>0.24</v>
      </c>
      <c r="E4197" s="1288" t="s">
        <v>36</v>
      </c>
      <c r="F4197" s="1211">
        <f>'Civil-SOR'!$G$296</f>
        <v>665</v>
      </c>
      <c r="G4197" s="1318">
        <v>1</v>
      </c>
      <c r="H4197" s="1290" t="str">
        <f t="shared" ref="H4197:H4199" si="941">IF(E4197="","",IF(E4197="No","Each",IF(E4197="Nos","Each",E4197)))</f>
        <v>Nos.</v>
      </c>
      <c r="I4197" s="1211">
        <f t="shared" ref="I4197:I4200" si="942">IF(G4197="",D4197*F4197,(D4197*F4197/G4197))</f>
        <v>159.6</v>
      </c>
      <c r="J4197" s="1022"/>
      <c r="K4197" s="1022"/>
      <c r="L4197" s="1022"/>
      <c r="M4197" s="1066"/>
      <c r="N4197" s="1066"/>
      <c r="O4197" s="1066"/>
      <c r="P4197" s="1066"/>
      <c r="Q4197" s="1066"/>
      <c r="R4197" s="1066"/>
      <c r="S4197" s="1066"/>
      <c r="T4197" s="1066"/>
      <c r="U4197" s="1066"/>
      <c r="V4197" s="1066"/>
      <c r="W4197" s="1066"/>
      <c r="X4197" s="1066"/>
      <c r="Y4197" s="1066"/>
      <c r="Z4197" s="1066"/>
      <c r="AA4197" s="1066"/>
      <c r="AB4197" s="1066"/>
      <c r="AC4197" s="1066"/>
      <c r="AD4197" s="1066"/>
      <c r="AE4197" s="1066"/>
      <c r="AF4197" s="1066"/>
      <c r="AG4197" s="1066"/>
      <c r="AH4197" s="1066"/>
      <c r="AI4197" s="1066"/>
      <c r="AJ4197" s="1066"/>
      <c r="AK4197" s="1066"/>
      <c r="AL4197" s="1066"/>
      <c r="AM4197" s="1066"/>
      <c r="AN4197" s="1066"/>
      <c r="AO4197" s="1066"/>
      <c r="AP4197" s="1066"/>
      <c r="AQ4197" s="1066"/>
      <c r="AR4197" s="1066"/>
      <c r="AS4197" s="1066"/>
      <c r="AT4197" s="1066"/>
      <c r="AU4197" s="1066"/>
      <c r="AV4197" s="1066"/>
      <c r="AW4197" s="1066"/>
      <c r="AX4197" s="1066"/>
      <c r="AY4197" s="1066"/>
      <c r="AZ4197" s="1066"/>
      <c r="BA4197" s="1066"/>
      <c r="BB4197" s="1066"/>
      <c r="BC4197" s="1066"/>
      <c r="BD4197" s="1066"/>
      <c r="BE4197" s="1066"/>
      <c r="BF4197" s="1066"/>
      <c r="BG4197" s="1066"/>
      <c r="BH4197" s="1066"/>
      <c r="BI4197" s="1066"/>
      <c r="BJ4197" s="1066"/>
      <c r="BK4197" s="1066"/>
      <c r="BL4197" s="1066"/>
    </row>
    <row r="4198" spans="1:64">
      <c r="A4198" s="1206"/>
      <c r="B4198" s="1206"/>
      <c r="C4198" s="1807" t="s">
        <v>1558</v>
      </c>
      <c r="D4198" s="1316">
        <v>0.56000000000000005</v>
      </c>
      <c r="E4198" s="1288" t="s">
        <v>36</v>
      </c>
      <c r="F4198" s="1211">
        <f>'Civil-SOR'!$G$303</f>
        <v>550</v>
      </c>
      <c r="G4198" s="1318">
        <v>1</v>
      </c>
      <c r="H4198" s="1290" t="str">
        <f t="shared" si="941"/>
        <v>Nos.</v>
      </c>
      <c r="I4198" s="1211">
        <f t="shared" si="942"/>
        <v>308.00000000000006</v>
      </c>
      <c r="J4198" s="1022"/>
      <c r="K4198" s="1022"/>
      <c r="L4198" s="1022"/>
      <c r="M4198" s="1066"/>
      <c r="N4198" s="1066"/>
      <c r="O4198" s="1066"/>
      <c r="P4198" s="1066"/>
      <c r="Q4198" s="1066"/>
      <c r="R4198" s="1066"/>
      <c r="S4198" s="1066"/>
      <c r="T4198" s="1066"/>
      <c r="U4198" s="1066"/>
      <c r="V4198" s="1066"/>
      <c r="W4198" s="1066"/>
      <c r="X4198" s="1066"/>
      <c r="Y4198" s="1066"/>
      <c r="Z4198" s="1066"/>
      <c r="AA4198" s="1066"/>
      <c r="AB4198" s="1066"/>
      <c r="AC4198" s="1066"/>
      <c r="AD4198" s="1066"/>
      <c r="AE4198" s="1066"/>
      <c r="AF4198" s="1066"/>
      <c r="AG4198" s="1066"/>
      <c r="AH4198" s="1066"/>
      <c r="AI4198" s="1066"/>
      <c r="AJ4198" s="1066"/>
      <c r="AK4198" s="1066"/>
      <c r="AL4198" s="1066"/>
      <c r="AM4198" s="1066"/>
      <c r="AN4198" s="1066"/>
      <c r="AO4198" s="1066"/>
      <c r="AP4198" s="1066"/>
      <c r="AQ4198" s="1066"/>
      <c r="AR4198" s="1066"/>
      <c r="AS4198" s="1066"/>
      <c r="AT4198" s="1066"/>
      <c r="AU4198" s="1066"/>
      <c r="AV4198" s="1066"/>
      <c r="AW4198" s="1066"/>
      <c r="AX4198" s="1066"/>
      <c r="AY4198" s="1066"/>
      <c r="AZ4198" s="1066"/>
      <c r="BA4198" s="1066"/>
      <c r="BB4198" s="1066"/>
      <c r="BC4198" s="1066"/>
      <c r="BD4198" s="1066"/>
      <c r="BE4198" s="1066"/>
      <c r="BF4198" s="1066"/>
      <c r="BG4198" s="1066"/>
      <c r="BH4198" s="1066"/>
      <c r="BI4198" s="1066"/>
      <c r="BJ4198" s="1066"/>
      <c r="BK4198" s="1066"/>
      <c r="BL4198" s="1066"/>
    </row>
    <row r="4199" spans="1:64">
      <c r="A4199" s="1206"/>
      <c r="B4199" s="1206"/>
      <c r="C4199" s="1807" t="s">
        <v>1582</v>
      </c>
      <c r="D4199" s="1316">
        <v>0.8</v>
      </c>
      <c r="E4199" s="1288" t="s">
        <v>36</v>
      </c>
      <c r="F4199" s="1211">
        <f>'Civil-SOR'!$G$307</f>
        <v>520</v>
      </c>
      <c r="G4199" s="1318">
        <v>1</v>
      </c>
      <c r="H4199" s="1290" t="str">
        <f t="shared" si="941"/>
        <v>Nos.</v>
      </c>
      <c r="I4199" s="1211">
        <f t="shared" si="942"/>
        <v>416</v>
      </c>
      <c r="J4199" s="1022"/>
      <c r="K4199" s="1022"/>
      <c r="L4199" s="1022"/>
      <c r="M4199" s="1066"/>
      <c r="N4199" s="1066"/>
      <c r="O4199" s="1066"/>
      <c r="P4199" s="1066"/>
      <c r="Q4199" s="1066"/>
      <c r="R4199" s="1066"/>
      <c r="S4199" s="1066"/>
      <c r="T4199" s="1066"/>
      <c r="U4199" s="1066"/>
      <c r="V4199" s="1066"/>
      <c r="W4199" s="1066"/>
      <c r="X4199" s="1066"/>
      <c r="Y4199" s="1066"/>
      <c r="Z4199" s="1066"/>
      <c r="AA4199" s="1066"/>
      <c r="AB4199" s="1066"/>
      <c r="AC4199" s="1066"/>
      <c r="AD4199" s="1066"/>
      <c r="AE4199" s="1066"/>
      <c r="AF4199" s="1066"/>
      <c r="AG4199" s="1066"/>
      <c r="AH4199" s="1066"/>
      <c r="AI4199" s="1066"/>
      <c r="AJ4199" s="1066"/>
      <c r="AK4199" s="1066"/>
      <c r="AL4199" s="1066"/>
      <c r="AM4199" s="1066"/>
      <c r="AN4199" s="1066"/>
      <c r="AO4199" s="1066"/>
      <c r="AP4199" s="1066"/>
      <c r="AQ4199" s="1066"/>
      <c r="AR4199" s="1066"/>
      <c r="AS4199" s="1066"/>
      <c r="AT4199" s="1066"/>
      <c r="AU4199" s="1066"/>
      <c r="AV4199" s="1066"/>
      <c r="AW4199" s="1066"/>
      <c r="AX4199" s="1066"/>
      <c r="AY4199" s="1066"/>
      <c r="AZ4199" s="1066"/>
      <c r="BA4199" s="1066"/>
      <c r="BB4199" s="1066"/>
      <c r="BC4199" s="1066"/>
      <c r="BD4199" s="1066"/>
      <c r="BE4199" s="1066"/>
      <c r="BF4199" s="1066"/>
      <c r="BG4199" s="1066"/>
      <c r="BH4199" s="1066"/>
      <c r="BI4199" s="1066"/>
      <c r="BJ4199" s="1066"/>
      <c r="BK4199" s="1066"/>
      <c r="BL4199" s="1066"/>
    </row>
    <row r="4200" spans="1:64">
      <c r="A4200" s="1206"/>
      <c r="B4200" s="1206"/>
      <c r="C4200" s="1807" t="str">
        <f>Input!$C$47</f>
        <v>Add for MA @ 40%</v>
      </c>
      <c r="D4200" s="1212">
        <f>Input!$D$47</f>
        <v>0.4</v>
      </c>
      <c r="E4200" s="1288"/>
      <c r="F4200" s="1211">
        <f>SUM(I4197:I4199)</f>
        <v>883.6</v>
      </c>
      <c r="G4200" s="1359"/>
      <c r="H4200" s="1360"/>
      <c r="I4200" s="1211">
        <f t="shared" si="942"/>
        <v>353.44000000000005</v>
      </c>
      <c r="J4200" s="1022"/>
      <c r="K4200" s="1022"/>
      <c r="L4200" s="1022"/>
      <c r="M4200" s="1066"/>
      <c r="N4200" s="1066"/>
      <c r="O4200" s="1066"/>
      <c r="P4200" s="1066"/>
      <c r="Q4200" s="1066"/>
      <c r="R4200" s="1066"/>
      <c r="S4200" s="1066"/>
      <c r="T4200" s="1066"/>
      <c r="U4200" s="1066"/>
      <c r="V4200" s="1066"/>
      <c r="W4200" s="1066"/>
      <c r="X4200" s="1066"/>
      <c r="Y4200" s="1066"/>
      <c r="Z4200" s="1066"/>
      <c r="AA4200" s="1066"/>
      <c r="AB4200" s="1066"/>
      <c r="AC4200" s="1066"/>
      <c r="AD4200" s="1066"/>
      <c r="AE4200" s="1066"/>
      <c r="AF4200" s="1066"/>
      <c r="AG4200" s="1066"/>
      <c r="AH4200" s="1066"/>
      <c r="AI4200" s="1066"/>
      <c r="AJ4200" s="1066"/>
      <c r="AK4200" s="1066"/>
      <c r="AL4200" s="1066"/>
      <c r="AM4200" s="1066"/>
      <c r="AN4200" s="1066"/>
      <c r="AO4200" s="1066"/>
      <c r="AP4200" s="1066"/>
      <c r="AQ4200" s="1066"/>
      <c r="AR4200" s="1066"/>
      <c r="AS4200" s="1066"/>
      <c r="AT4200" s="1066"/>
      <c r="AU4200" s="1066"/>
      <c r="AV4200" s="1066"/>
      <c r="AW4200" s="1066"/>
      <c r="AX4200" s="1066"/>
      <c r="AY4200" s="1066"/>
      <c r="AZ4200" s="1066"/>
      <c r="BA4200" s="1066"/>
      <c r="BB4200" s="1066"/>
      <c r="BC4200" s="1066"/>
      <c r="BD4200" s="1066"/>
      <c r="BE4200" s="1066"/>
      <c r="BF4200" s="1066"/>
      <c r="BG4200" s="1066"/>
      <c r="BH4200" s="1066"/>
      <c r="BI4200" s="1066"/>
      <c r="BJ4200" s="1066"/>
      <c r="BK4200" s="1066"/>
      <c r="BL4200" s="1066"/>
    </row>
    <row r="4201" spans="1:64">
      <c r="A4201" s="1206"/>
      <c r="B4201" s="1206"/>
      <c r="C4201" s="1807" t="s">
        <v>1583</v>
      </c>
      <c r="D4201" s="1352">
        <v>0.01</v>
      </c>
      <c r="E4201" s="1807"/>
      <c r="F4201" s="1209">
        <f>SUM(I4194:I4200)</f>
        <v>1290.4170000000001</v>
      </c>
      <c r="G4201" s="1807"/>
      <c r="H4201" s="1807"/>
      <c r="I4201" s="1211"/>
      <c r="J4201" s="1022"/>
      <c r="K4201" s="1022"/>
      <c r="L4201" s="1022"/>
      <c r="M4201" s="1066"/>
      <c r="N4201" s="1066"/>
      <c r="O4201" s="1066"/>
      <c r="P4201" s="1066"/>
      <c r="Q4201" s="1066"/>
      <c r="R4201" s="1066"/>
      <c r="S4201" s="1066"/>
      <c r="T4201" s="1066"/>
      <c r="U4201" s="1066"/>
      <c r="V4201" s="1066"/>
      <c r="W4201" s="1066"/>
      <c r="X4201" s="1066"/>
      <c r="Y4201" s="1066"/>
      <c r="Z4201" s="1066"/>
      <c r="AA4201" s="1066"/>
      <c r="AB4201" s="1066"/>
      <c r="AC4201" s="1066"/>
      <c r="AD4201" s="1066"/>
      <c r="AE4201" s="1066"/>
      <c r="AF4201" s="1066"/>
      <c r="AG4201" s="1066"/>
      <c r="AH4201" s="1066"/>
      <c r="AI4201" s="1066"/>
      <c r="AJ4201" s="1066"/>
      <c r="AK4201" s="1066"/>
      <c r="AL4201" s="1066"/>
      <c r="AM4201" s="1066"/>
      <c r="AN4201" s="1066"/>
      <c r="AO4201" s="1066"/>
      <c r="AP4201" s="1066"/>
      <c r="AQ4201" s="1066"/>
      <c r="AR4201" s="1066"/>
      <c r="AS4201" s="1066"/>
      <c r="AT4201" s="1066"/>
      <c r="AU4201" s="1066"/>
      <c r="AV4201" s="1066"/>
      <c r="AW4201" s="1066"/>
      <c r="AX4201" s="1066"/>
      <c r="AY4201" s="1066"/>
      <c r="AZ4201" s="1066"/>
      <c r="BA4201" s="1066"/>
      <c r="BB4201" s="1066"/>
      <c r="BC4201" s="1066"/>
      <c r="BD4201" s="1066"/>
      <c r="BE4201" s="1066"/>
      <c r="BF4201" s="1066"/>
      <c r="BG4201" s="1066"/>
      <c r="BH4201" s="1066"/>
      <c r="BI4201" s="1066"/>
      <c r="BJ4201" s="1066"/>
      <c r="BK4201" s="1066"/>
      <c r="BL4201" s="1066"/>
    </row>
    <row r="4202" spans="1:64">
      <c r="A4202" s="1206"/>
      <c r="B4202" s="1206"/>
      <c r="C4202" s="1208"/>
      <c r="D4202" s="1208"/>
      <c r="E4202" s="1206"/>
      <c r="F4202" s="1211"/>
      <c r="G4202" s="1359"/>
      <c r="H4202" s="1360"/>
      <c r="I4202" s="1307">
        <f>SUM(I4194:I4201)</f>
        <v>1290.4170000000001</v>
      </c>
      <c r="J4202" s="1022"/>
      <c r="K4202" s="1022"/>
      <c r="L4202" s="1022"/>
      <c r="M4202" s="1066"/>
      <c r="N4202" s="1066"/>
      <c r="O4202" s="1066"/>
      <c r="P4202" s="1066"/>
      <c r="Q4202" s="1066"/>
      <c r="R4202" s="1066"/>
      <c r="S4202" s="1066"/>
      <c r="T4202" s="1066"/>
      <c r="U4202" s="1066"/>
      <c r="V4202" s="1066"/>
      <c r="W4202" s="1066"/>
      <c r="X4202" s="1066"/>
      <c r="Y4202" s="1066"/>
      <c r="Z4202" s="1066"/>
      <c r="AA4202" s="1066"/>
      <c r="AB4202" s="1066"/>
      <c r="AC4202" s="1066"/>
      <c r="AD4202" s="1066"/>
      <c r="AE4202" s="1066"/>
      <c r="AF4202" s="1066"/>
      <c r="AG4202" s="1066"/>
      <c r="AH4202" s="1066"/>
      <c r="AI4202" s="1066"/>
      <c r="AJ4202" s="1066"/>
      <c r="AK4202" s="1066"/>
      <c r="AL4202" s="1066"/>
      <c r="AM4202" s="1066"/>
      <c r="AN4202" s="1066"/>
      <c r="AO4202" s="1066"/>
      <c r="AP4202" s="1066"/>
      <c r="AQ4202" s="1066"/>
      <c r="AR4202" s="1066"/>
      <c r="AS4202" s="1066"/>
      <c r="AT4202" s="1066"/>
      <c r="AU4202" s="1066"/>
      <c r="AV4202" s="1066"/>
      <c r="AW4202" s="1066"/>
      <c r="AX4202" s="1066"/>
      <c r="AY4202" s="1066"/>
      <c r="AZ4202" s="1066"/>
      <c r="BA4202" s="1066"/>
      <c r="BB4202" s="1066"/>
      <c r="BC4202" s="1066"/>
      <c r="BD4202" s="1066"/>
      <c r="BE4202" s="1066"/>
      <c r="BF4202" s="1066"/>
      <c r="BG4202" s="1066"/>
      <c r="BH4202" s="1066"/>
      <c r="BI4202" s="1066"/>
      <c r="BJ4202" s="1066"/>
      <c r="BK4202" s="1066"/>
      <c r="BL4202" s="1066"/>
    </row>
    <row r="4203" spans="1:64">
      <c r="A4203" s="1206"/>
      <c r="B4203" s="1206"/>
      <c r="C4203" s="1807" t="str">
        <f>Input!$C$48</f>
        <v>Overheads &amp; Contractors Profit @ 13.615%</v>
      </c>
      <c r="D4203" s="1361">
        <f>Input!$D$48</f>
        <v>0.13614999999999999</v>
      </c>
      <c r="E4203" s="1206"/>
      <c r="F4203" s="1211">
        <f>I4202</f>
        <v>1290.4170000000001</v>
      </c>
      <c r="G4203" s="1359"/>
      <c r="H4203" s="1360"/>
      <c r="I4203" s="1211">
        <f>IF(G4203="",D4203*F4203,(D4203*F4203/G4203))</f>
        <v>175.69027455</v>
      </c>
      <c r="J4203" s="1022"/>
      <c r="K4203" s="1022"/>
      <c r="L4203" s="1022"/>
      <c r="M4203" s="1066"/>
      <c r="N4203" s="1066"/>
      <c r="O4203" s="1066"/>
      <c r="P4203" s="1066"/>
      <c r="Q4203" s="1066"/>
      <c r="R4203" s="1066"/>
      <c r="S4203" s="1066"/>
      <c r="T4203" s="1066"/>
      <c r="U4203" s="1066"/>
      <c r="V4203" s="1066"/>
      <c r="W4203" s="1066"/>
      <c r="X4203" s="1066"/>
      <c r="Y4203" s="1066"/>
      <c r="Z4203" s="1066"/>
      <c r="AA4203" s="1066"/>
      <c r="AB4203" s="1066"/>
      <c r="AC4203" s="1066"/>
      <c r="AD4203" s="1066"/>
      <c r="AE4203" s="1066"/>
      <c r="AF4203" s="1066"/>
      <c r="AG4203" s="1066"/>
      <c r="AH4203" s="1066"/>
      <c r="AI4203" s="1066"/>
      <c r="AJ4203" s="1066"/>
      <c r="AK4203" s="1066"/>
      <c r="AL4203" s="1066"/>
      <c r="AM4203" s="1066"/>
      <c r="AN4203" s="1066"/>
      <c r="AO4203" s="1066"/>
      <c r="AP4203" s="1066"/>
      <c r="AQ4203" s="1066"/>
      <c r="AR4203" s="1066"/>
      <c r="AS4203" s="1066"/>
      <c r="AT4203" s="1066"/>
      <c r="AU4203" s="1066"/>
      <c r="AV4203" s="1066"/>
      <c r="AW4203" s="1066"/>
      <c r="AX4203" s="1066"/>
      <c r="AY4203" s="1066"/>
      <c r="AZ4203" s="1066"/>
      <c r="BA4203" s="1066"/>
      <c r="BB4203" s="1066"/>
      <c r="BC4203" s="1066"/>
      <c r="BD4203" s="1066"/>
      <c r="BE4203" s="1066"/>
      <c r="BF4203" s="1066"/>
      <c r="BG4203" s="1066"/>
      <c r="BH4203" s="1066"/>
      <c r="BI4203" s="1066"/>
      <c r="BJ4203" s="1066"/>
      <c r="BK4203" s="1066"/>
      <c r="BL4203" s="1066"/>
    </row>
    <row r="4204" spans="1:64">
      <c r="A4204" s="1206"/>
      <c r="B4204" s="1206"/>
      <c r="C4204" s="1795" t="s">
        <v>1117</v>
      </c>
      <c r="D4204" s="1211"/>
      <c r="E4204" s="1206"/>
      <c r="F4204" s="1211"/>
      <c r="G4204" s="1359"/>
      <c r="H4204" s="1360"/>
      <c r="I4204" s="1307">
        <f>SUM(I4202:I4203)</f>
        <v>1466.1072745500001</v>
      </c>
      <c r="J4204" s="1022"/>
      <c r="K4204" s="1022"/>
      <c r="L4204" s="1022"/>
      <c r="M4204" s="1066"/>
      <c r="N4204" s="1066"/>
      <c r="O4204" s="1066"/>
      <c r="P4204" s="1066"/>
      <c r="Q4204" s="1066"/>
      <c r="R4204" s="1066"/>
      <c r="S4204" s="1066"/>
      <c r="T4204" s="1066"/>
      <c r="U4204" s="1066"/>
      <c r="V4204" s="1066"/>
      <c r="W4204" s="1066"/>
      <c r="X4204" s="1066"/>
      <c r="Y4204" s="1066"/>
      <c r="Z4204" s="1066"/>
      <c r="AA4204" s="1066"/>
      <c r="AB4204" s="1066"/>
      <c r="AC4204" s="1066"/>
      <c r="AD4204" s="1066"/>
      <c r="AE4204" s="1066"/>
      <c r="AF4204" s="1066"/>
      <c r="AG4204" s="1066"/>
      <c r="AH4204" s="1066"/>
      <c r="AI4204" s="1066"/>
      <c r="AJ4204" s="1066"/>
      <c r="AK4204" s="1066"/>
      <c r="AL4204" s="1066"/>
      <c r="AM4204" s="1066"/>
      <c r="AN4204" s="1066"/>
      <c r="AO4204" s="1066"/>
      <c r="AP4204" s="1066"/>
      <c r="AQ4204" s="1066"/>
      <c r="AR4204" s="1066"/>
      <c r="AS4204" s="1066"/>
      <c r="AT4204" s="1066"/>
      <c r="AU4204" s="1066"/>
      <c r="AV4204" s="1066"/>
      <c r="AW4204" s="1066"/>
      <c r="AX4204" s="1066"/>
      <c r="AY4204" s="1066"/>
      <c r="AZ4204" s="1066"/>
      <c r="BA4204" s="1066"/>
      <c r="BB4204" s="1066"/>
      <c r="BC4204" s="1066"/>
      <c r="BD4204" s="1066"/>
      <c r="BE4204" s="1066"/>
      <c r="BF4204" s="1066"/>
      <c r="BG4204" s="1066"/>
      <c r="BH4204" s="1066"/>
      <c r="BI4204" s="1066"/>
      <c r="BJ4204" s="1066"/>
      <c r="BK4204" s="1066"/>
      <c r="BL4204" s="1066"/>
    </row>
    <row r="4205" spans="1:64">
      <c r="A4205" s="1368"/>
      <c r="B4205" s="1368"/>
      <c r="C4205" s="1369"/>
      <c r="D4205" s="1370"/>
      <c r="E4205" s="1371"/>
      <c r="F4205" s="1372"/>
      <c r="G4205" s="1373"/>
      <c r="H4205" s="1374" t="s">
        <v>1065</v>
      </c>
      <c r="I4205" s="1375">
        <f>ROUND(I4204,0)</f>
        <v>1466</v>
      </c>
      <c r="J4205" s="1005"/>
      <c r="K4205" s="1005"/>
      <c r="L4205" s="1005"/>
      <c r="M4205" s="1006"/>
      <c r="N4205" s="1006"/>
      <c r="O4205" s="1006"/>
      <c r="P4205" s="1006"/>
      <c r="Q4205" s="1006"/>
      <c r="R4205" s="1006"/>
      <c r="S4205" s="1006"/>
      <c r="T4205" s="1006"/>
      <c r="U4205" s="1006"/>
      <c r="V4205" s="1006"/>
      <c r="W4205" s="1006"/>
      <c r="X4205" s="1006"/>
      <c r="Y4205" s="1006"/>
      <c r="Z4205" s="1006"/>
      <c r="AA4205" s="1006"/>
      <c r="AB4205" s="1006"/>
      <c r="AC4205" s="1006"/>
      <c r="AD4205" s="1006"/>
      <c r="AE4205" s="1006"/>
      <c r="AF4205" s="1006"/>
      <c r="AG4205" s="1006"/>
      <c r="AH4205" s="1006"/>
      <c r="AI4205" s="1006"/>
      <c r="AJ4205" s="1006"/>
      <c r="AK4205" s="1006"/>
      <c r="AL4205" s="1006"/>
      <c r="AM4205" s="1006"/>
      <c r="AN4205" s="1006"/>
      <c r="AO4205" s="1006"/>
      <c r="AP4205" s="1006"/>
      <c r="AQ4205" s="1006"/>
      <c r="AR4205" s="1006"/>
      <c r="AS4205" s="1006"/>
      <c r="AT4205" s="1006"/>
      <c r="AU4205" s="1006"/>
      <c r="AV4205" s="1006"/>
      <c r="AW4205" s="1006"/>
      <c r="AX4205" s="1006"/>
      <c r="AY4205" s="1006"/>
      <c r="AZ4205" s="1006"/>
      <c r="BA4205" s="1006"/>
      <c r="BB4205" s="1006"/>
      <c r="BC4205" s="1006"/>
      <c r="BD4205" s="1006"/>
      <c r="BE4205" s="1006"/>
      <c r="BF4205" s="1006"/>
      <c r="BG4205" s="1006"/>
      <c r="BH4205" s="1006"/>
      <c r="BI4205" s="1006"/>
      <c r="BJ4205" s="1006"/>
      <c r="BK4205" s="1006"/>
      <c r="BL4205" s="1006"/>
    </row>
    <row r="4206" spans="1:64">
      <c r="A4206" s="1197"/>
      <c r="B4206" s="1197"/>
      <c r="C4206" s="1199"/>
      <c r="D4206" s="1199"/>
      <c r="E4206" s="1199"/>
      <c r="F4206" s="1200"/>
      <c r="G4206" s="1199"/>
      <c r="H4206" s="1199"/>
      <c r="I4206" s="1201"/>
      <c r="J4206" s="1846"/>
      <c r="K4206" s="1846"/>
      <c r="L4206" s="1846"/>
    </row>
    <row r="4207" spans="1:64" ht="73.900000000000006" customHeight="1">
      <c r="A4207" s="2013">
        <f>1+A4173</f>
        <v>58</v>
      </c>
      <c r="B4207" s="2013"/>
      <c r="C4207" s="2006" t="s">
        <v>3466</v>
      </c>
      <c r="D4207" s="2006"/>
      <c r="E4207" s="2006"/>
      <c r="F4207" s="2006"/>
      <c r="G4207" s="2006"/>
      <c r="H4207" s="2006"/>
      <c r="I4207" s="1814"/>
      <c r="J4207" s="1846"/>
      <c r="K4207" s="1846"/>
      <c r="L4207" s="1846"/>
    </row>
    <row r="4208" spans="1:64">
      <c r="A4208" s="1798"/>
      <c r="B4208" s="1200"/>
      <c r="C4208" s="1807" t="s">
        <v>1586</v>
      </c>
      <c r="D4208" s="1203">
        <v>1</v>
      </c>
      <c r="E4208" s="1199" t="s">
        <v>94</v>
      </c>
      <c r="F4208" s="1201">
        <f>'Civil-SOR'!$G$43</f>
        <v>4431</v>
      </c>
      <c r="G4208" s="1204">
        <v>1</v>
      </c>
      <c r="H4208" s="1199" t="s">
        <v>94</v>
      </c>
      <c r="I4208" s="1205">
        <f t="shared" ref="I4208:I4209" si="943">IF(G4208="",D4208*F4208,(D4208*F4208/G4208))</f>
        <v>4431</v>
      </c>
      <c r="J4208" s="1846"/>
      <c r="K4208" s="1846"/>
      <c r="L4208" s="1846"/>
    </row>
    <row r="4209" spans="1:64">
      <c r="A4209" s="1798"/>
      <c r="B4209" s="1200"/>
      <c r="C4209" s="1807" t="str">
        <f>Input!$C$48</f>
        <v>Overheads &amp; Contractors Profit @ 13.615%</v>
      </c>
      <c r="D4209" s="1344">
        <f>Input!$D$48</f>
        <v>0.13614999999999999</v>
      </c>
      <c r="E4209" s="1199"/>
      <c r="F4209" s="1201">
        <f>I4208</f>
        <v>4431</v>
      </c>
      <c r="G4209" s="1204"/>
      <c r="H4209" s="1199"/>
      <c r="I4209" s="1205">
        <f t="shared" si="943"/>
        <v>603.28064999999992</v>
      </c>
      <c r="J4209" s="1846"/>
      <c r="K4209" s="1846"/>
      <c r="L4209" s="1846"/>
    </row>
    <row r="4210" spans="1:64">
      <c r="A4210" s="1798"/>
      <c r="B4210" s="1200"/>
      <c r="C4210" s="1807"/>
      <c r="D4210" s="1228"/>
      <c r="E4210" s="1199"/>
      <c r="F4210" s="1201"/>
      <c r="G4210" s="1204"/>
      <c r="H4210" s="1199"/>
      <c r="I4210" s="1205">
        <f>SUM(I4208:I4209)</f>
        <v>5034.2806499999997</v>
      </c>
      <c r="J4210" s="1846"/>
      <c r="K4210" s="1846"/>
      <c r="L4210" s="1846"/>
    </row>
    <row r="4211" spans="1:64">
      <c r="A4211" s="1798"/>
      <c r="B4211" s="1200"/>
      <c r="C4211" s="1795" t="s">
        <v>1045</v>
      </c>
      <c r="D4211" s="1203"/>
      <c r="E4211" s="1199"/>
      <c r="F4211" s="1201"/>
      <c r="G4211" s="1204"/>
      <c r="H4211" s="1299" t="s">
        <v>1065</v>
      </c>
      <c r="I4211" s="1218">
        <f>ROUND(I4210,0)</f>
        <v>5034</v>
      </c>
      <c r="J4211" s="1846"/>
      <c r="K4211" s="1846"/>
      <c r="L4211" s="1846"/>
    </row>
    <row r="4212" spans="1:64">
      <c r="A4212" s="1798"/>
      <c r="B4212" s="1200"/>
      <c r="C4212" s="1807"/>
      <c r="D4212" s="1203"/>
      <c r="E4212" s="1199"/>
      <c r="F4212" s="1201"/>
      <c r="G4212" s="1204"/>
      <c r="H4212" s="1199"/>
      <c r="I4212" s="1201"/>
      <c r="J4212" s="1846"/>
      <c r="K4212" s="1846"/>
      <c r="L4212" s="1846"/>
    </row>
    <row r="4213" spans="1:64" ht="82.15" customHeight="1">
      <c r="A4213" s="2013">
        <f>A4207+1</f>
        <v>59</v>
      </c>
      <c r="B4213" s="2013"/>
      <c r="C4213" s="2006" t="s">
        <v>3467</v>
      </c>
      <c r="D4213" s="2006"/>
      <c r="E4213" s="2006"/>
      <c r="F4213" s="2006"/>
      <c r="G4213" s="2006"/>
      <c r="H4213" s="2006"/>
      <c r="I4213" s="1814"/>
      <c r="J4213" s="1846"/>
      <c r="K4213" s="1846"/>
      <c r="L4213" s="1846"/>
    </row>
    <row r="4214" spans="1:64">
      <c r="A4214" s="1798"/>
      <c r="B4214" s="1798"/>
      <c r="C4214" s="1807" t="s">
        <v>1587</v>
      </c>
      <c r="D4214" s="1376">
        <v>1</v>
      </c>
      <c r="E4214" s="1332" t="s">
        <v>94</v>
      </c>
      <c r="F4214" s="1347">
        <f>'Civil-SOR'!$G$44</f>
        <v>3876</v>
      </c>
      <c r="G4214" s="1278">
        <v>1</v>
      </c>
      <c r="H4214" s="1332" t="s">
        <v>94</v>
      </c>
      <c r="I4214" s="1223">
        <f t="shared" ref="I4214:I4215" si="944">IF(G4214="",D4214*F4214,(D4214*F4214/G4214))</f>
        <v>3876</v>
      </c>
      <c r="J4214" s="1002"/>
      <c r="K4214" s="1002"/>
      <c r="L4214" s="1002"/>
      <c r="M4214" s="1003"/>
      <c r="N4214" s="1003"/>
      <c r="O4214" s="1003"/>
      <c r="P4214" s="1003"/>
      <c r="Q4214" s="1003"/>
      <c r="R4214" s="1003"/>
      <c r="S4214" s="1003"/>
      <c r="T4214" s="1003"/>
      <c r="U4214" s="1003"/>
      <c r="V4214" s="1003"/>
      <c r="W4214" s="1003"/>
      <c r="X4214" s="1003"/>
      <c r="Y4214" s="1003"/>
      <c r="Z4214" s="1003"/>
      <c r="AA4214" s="1003"/>
      <c r="AB4214" s="1003"/>
      <c r="AC4214" s="1003"/>
      <c r="AD4214" s="1003"/>
      <c r="AE4214" s="1003"/>
      <c r="AF4214" s="1003"/>
      <c r="AG4214" s="1003"/>
      <c r="AH4214" s="1003"/>
      <c r="AI4214" s="1003"/>
      <c r="AJ4214" s="1003"/>
      <c r="AK4214" s="1003"/>
      <c r="AL4214" s="1003"/>
      <c r="AM4214" s="1003"/>
      <c r="AN4214" s="1003"/>
      <c r="AO4214" s="1003"/>
      <c r="AP4214" s="1003"/>
      <c r="AQ4214" s="1003"/>
      <c r="AR4214" s="1003"/>
      <c r="AS4214" s="1003"/>
      <c r="AT4214" s="1003"/>
      <c r="AU4214" s="1003"/>
      <c r="AV4214" s="1003"/>
      <c r="AW4214" s="1003"/>
      <c r="AX4214" s="1003"/>
      <c r="AY4214" s="1003"/>
      <c r="AZ4214" s="1003"/>
      <c r="BA4214" s="1003"/>
      <c r="BB4214" s="1003"/>
      <c r="BC4214" s="1003"/>
      <c r="BD4214" s="1003"/>
      <c r="BE4214" s="1003"/>
      <c r="BF4214" s="1003"/>
      <c r="BG4214" s="1003"/>
      <c r="BH4214" s="1003"/>
      <c r="BI4214" s="1003"/>
      <c r="BJ4214" s="1003"/>
      <c r="BK4214" s="1003"/>
      <c r="BL4214" s="1003"/>
    </row>
    <row r="4215" spans="1:64">
      <c r="A4215" s="1798"/>
      <c r="B4215" s="1798"/>
      <c r="C4215" s="1807" t="str">
        <f>Input!$C$48</f>
        <v>Overheads &amp; Contractors Profit @ 13.615%</v>
      </c>
      <c r="D4215" s="1344">
        <f>Input!$D$48</f>
        <v>0.13614999999999999</v>
      </c>
      <c r="E4215" s="1332"/>
      <c r="F4215" s="1347">
        <f>I4214</f>
        <v>3876</v>
      </c>
      <c r="G4215" s="1278"/>
      <c r="H4215" s="1332"/>
      <c r="I4215" s="1223">
        <f t="shared" si="944"/>
        <v>527.7174</v>
      </c>
      <c r="J4215" s="1002"/>
      <c r="K4215" s="1002"/>
      <c r="L4215" s="1002"/>
      <c r="M4215" s="1003"/>
      <c r="N4215" s="1003"/>
      <c r="O4215" s="1003"/>
      <c r="P4215" s="1003"/>
      <c r="Q4215" s="1003"/>
      <c r="R4215" s="1003"/>
      <c r="S4215" s="1003"/>
      <c r="T4215" s="1003"/>
      <c r="U4215" s="1003"/>
      <c r="V4215" s="1003"/>
      <c r="W4215" s="1003"/>
      <c r="X4215" s="1003"/>
      <c r="Y4215" s="1003"/>
      <c r="Z4215" s="1003"/>
      <c r="AA4215" s="1003"/>
      <c r="AB4215" s="1003"/>
      <c r="AC4215" s="1003"/>
      <c r="AD4215" s="1003"/>
      <c r="AE4215" s="1003"/>
      <c r="AF4215" s="1003"/>
      <c r="AG4215" s="1003"/>
      <c r="AH4215" s="1003"/>
      <c r="AI4215" s="1003"/>
      <c r="AJ4215" s="1003"/>
      <c r="AK4215" s="1003"/>
      <c r="AL4215" s="1003"/>
      <c r="AM4215" s="1003"/>
      <c r="AN4215" s="1003"/>
      <c r="AO4215" s="1003"/>
      <c r="AP4215" s="1003"/>
      <c r="AQ4215" s="1003"/>
      <c r="AR4215" s="1003"/>
      <c r="AS4215" s="1003"/>
      <c r="AT4215" s="1003"/>
      <c r="AU4215" s="1003"/>
      <c r="AV4215" s="1003"/>
      <c r="AW4215" s="1003"/>
      <c r="AX4215" s="1003"/>
      <c r="AY4215" s="1003"/>
      <c r="AZ4215" s="1003"/>
      <c r="BA4215" s="1003"/>
      <c r="BB4215" s="1003"/>
      <c r="BC4215" s="1003"/>
      <c r="BD4215" s="1003"/>
      <c r="BE4215" s="1003"/>
      <c r="BF4215" s="1003"/>
      <c r="BG4215" s="1003"/>
      <c r="BH4215" s="1003"/>
      <c r="BI4215" s="1003"/>
      <c r="BJ4215" s="1003"/>
      <c r="BK4215" s="1003"/>
      <c r="BL4215" s="1003"/>
    </row>
    <row r="4216" spans="1:64">
      <c r="A4216" s="1798"/>
      <c r="B4216" s="1200"/>
      <c r="C4216" s="1795" t="s">
        <v>1045</v>
      </c>
      <c r="D4216" s="1203"/>
      <c r="E4216" s="1199"/>
      <c r="F4216" s="1201"/>
      <c r="G4216" s="1204"/>
      <c r="H4216" s="1199"/>
      <c r="I4216" s="1219">
        <f>SUM(I4214:I4215)</f>
        <v>4403.7173999999995</v>
      </c>
      <c r="J4216" s="1846"/>
      <c r="K4216" s="1846"/>
      <c r="L4216" s="1846"/>
    </row>
    <row r="4217" spans="1:64">
      <c r="A4217" s="1798"/>
      <c r="B4217" s="1200"/>
      <c r="C4217" s="1807"/>
      <c r="D4217" s="1203"/>
      <c r="E4217" s="1199"/>
      <c r="F4217" s="1201"/>
      <c r="G4217" s="1204"/>
      <c r="H4217" s="1299" t="s">
        <v>1065</v>
      </c>
      <c r="I4217" s="1218">
        <f>ROUND(I4216,0)</f>
        <v>4404</v>
      </c>
      <c r="J4217" s="1846"/>
      <c r="K4217" s="1846"/>
      <c r="L4217" s="1846"/>
    </row>
    <row r="4218" spans="1:64">
      <c r="A4218" s="1798"/>
      <c r="B4218" s="1200"/>
      <c r="C4218" s="1807"/>
      <c r="D4218" s="1203"/>
      <c r="E4218" s="1199"/>
      <c r="F4218" s="1201"/>
      <c r="G4218" s="1204"/>
      <c r="H4218" s="1299"/>
      <c r="I4218" s="1218"/>
      <c r="J4218" s="1846"/>
      <c r="K4218" s="1846"/>
      <c r="L4218" s="1846"/>
    </row>
    <row r="4219" spans="1:64" ht="137.25" customHeight="1">
      <c r="A4219" s="2013">
        <f>1+A4207</f>
        <v>59</v>
      </c>
      <c r="B4219" s="2013"/>
      <c r="C4219" s="2022" t="s">
        <v>1588</v>
      </c>
      <c r="D4219" s="2022"/>
      <c r="E4219" s="2022"/>
      <c r="F4219" s="2022"/>
      <c r="G4219" s="2022"/>
      <c r="H4219" s="2022"/>
      <c r="I4219" s="1814"/>
      <c r="J4219" s="1846"/>
      <c r="K4219" s="1846"/>
      <c r="L4219" s="1846"/>
    </row>
    <row r="4220" spans="1:64">
      <c r="A4220" s="1798"/>
      <c r="B4220" s="1200"/>
      <c r="C4220" s="1199" t="s">
        <v>1589</v>
      </c>
      <c r="D4220" s="1203">
        <v>1</v>
      </c>
      <c r="E4220" s="1199" t="s">
        <v>197</v>
      </c>
      <c r="F4220" s="1201">
        <f>'Civil-SOR'!G393</f>
        <v>769</v>
      </c>
      <c r="G4220" s="1204">
        <v>1</v>
      </c>
      <c r="H4220" s="1199" t="s">
        <v>197</v>
      </c>
      <c r="I4220" s="1205">
        <f t="shared" ref="I4220:I4221" si="945">IF(G4220="",D4220*F4220,(D4220*F4220/G4220))</f>
        <v>769</v>
      </c>
      <c r="J4220" s="1846"/>
      <c r="K4220" s="1846"/>
      <c r="L4220" s="1846"/>
    </row>
    <row r="4221" spans="1:64">
      <c r="A4221" s="1798"/>
      <c r="B4221" s="1200"/>
      <c r="C4221" s="1807" t="str">
        <f>Input!$C$48</f>
        <v>Overheads &amp; Contractors Profit @ 13.615%</v>
      </c>
      <c r="D4221" s="1344">
        <f>Input!$D$48</f>
        <v>0.13614999999999999</v>
      </c>
      <c r="E4221" s="1199"/>
      <c r="F4221" s="1201">
        <f>I4220</f>
        <v>769</v>
      </c>
      <c r="G4221" s="1204"/>
      <c r="H4221" s="1199"/>
      <c r="I4221" s="1205">
        <f t="shared" si="945"/>
        <v>104.69935</v>
      </c>
      <c r="J4221" s="1846"/>
      <c r="K4221" s="1846"/>
      <c r="L4221" s="1846"/>
    </row>
    <row r="4222" spans="1:64">
      <c r="A4222" s="1798"/>
      <c r="B4222" s="1200"/>
      <c r="C4222" s="1377" t="s">
        <v>1288</v>
      </c>
      <c r="D4222" s="1203"/>
      <c r="E4222" s="1199"/>
      <c r="F4222" s="1201"/>
      <c r="G4222" s="1204"/>
      <c r="H4222" s="1199"/>
      <c r="I4222" s="1219">
        <f>SUM(I4220:I4221)</f>
        <v>873.69934999999998</v>
      </c>
      <c r="J4222" s="1846"/>
      <c r="K4222" s="1846"/>
      <c r="L4222" s="1846"/>
    </row>
    <row r="4223" spans="1:64">
      <c r="A4223" s="1798"/>
      <c r="B4223" s="1200"/>
      <c r="C4223" s="1807"/>
      <c r="D4223" s="1203"/>
      <c r="E4223" s="1199"/>
      <c r="F4223" s="1201"/>
      <c r="G4223" s="1204"/>
      <c r="H4223" s="1299" t="s">
        <v>1065</v>
      </c>
      <c r="I4223" s="1218">
        <f>ROUND(I4222,0)</f>
        <v>874</v>
      </c>
      <c r="J4223" s="1846"/>
      <c r="K4223" s="1846"/>
      <c r="L4223" s="1846"/>
    </row>
    <row r="4224" spans="1:64">
      <c r="A4224" s="1798"/>
      <c r="B4224" s="1200"/>
      <c r="C4224" s="1377"/>
      <c r="D4224" s="1203"/>
      <c r="E4224" s="1199"/>
      <c r="F4224" s="1201"/>
      <c r="G4224" s="1204"/>
      <c r="H4224" s="1198"/>
      <c r="I4224" s="1230"/>
      <c r="J4224" s="1846"/>
      <c r="K4224" s="1846"/>
      <c r="L4224" s="1846"/>
    </row>
    <row r="4225" spans="1:64" ht="44.85" customHeight="1">
      <c r="A4225" s="2013">
        <f>A4219+1</f>
        <v>60</v>
      </c>
      <c r="B4225" s="2013"/>
      <c r="C4225" s="2006" t="s">
        <v>3468</v>
      </c>
      <c r="D4225" s="2006"/>
      <c r="E4225" s="2006"/>
      <c r="F4225" s="2006"/>
      <c r="G4225" s="2006"/>
      <c r="H4225" s="2006"/>
      <c r="I4225" s="1202"/>
      <c r="J4225" s="1846"/>
      <c r="K4225" s="1846"/>
      <c r="L4225" s="1846"/>
    </row>
    <row r="4226" spans="1:64">
      <c r="A4226" s="1798"/>
      <c r="B4226" s="1200"/>
      <c r="C4226" s="1208" t="s">
        <v>1590</v>
      </c>
      <c r="D4226" s="1378">
        <v>1</v>
      </c>
      <c r="E4226" s="1379" t="s">
        <v>46</v>
      </c>
      <c r="F4226" s="1353">
        <f>'Civil-SOR'!$G$183</f>
        <v>410</v>
      </c>
      <c r="G4226" s="1204">
        <v>1</v>
      </c>
      <c r="H4226" s="1379" t="s">
        <v>46</v>
      </c>
      <c r="I4226" s="1205">
        <f t="shared" ref="I4226:I4227" si="946">IF(G4226="",D4226*F4226,(D4226*F4226/G4226))</f>
        <v>410</v>
      </c>
      <c r="J4226" s="1846"/>
      <c r="K4226" s="1846"/>
      <c r="L4226" s="1846"/>
    </row>
    <row r="4227" spans="1:64">
      <c r="A4227" s="1798"/>
      <c r="B4227" s="1200"/>
      <c r="C4227" s="1807" t="str">
        <f>Input!$C$48</f>
        <v>Overheads &amp; Contractors Profit @ 13.615%</v>
      </c>
      <c r="D4227" s="1344">
        <f>Input!$D$48</f>
        <v>0.13614999999999999</v>
      </c>
      <c r="E4227" s="1297"/>
      <c r="F4227" s="1223">
        <f>I4226</f>
        <v>410</v>
      </c>
      <c r="G4227" s="1272"/>
      <c r="H4227" s="1199"/>
      <c r="I4227" s="1205">
        <f t="shared" si="946"/>
        <v>55.8215</v>
      </c>
      <c r="J4227" s="1846"/>
      <c r="K4227" s="1846"/>
      <c r="L4227" s="1846"/>
    </row>
    <row r="4228" spans="1:64">
      <c r="A4228" s="1798"/>
      <c r="B4228" s="1200"/>
      <c r="C4228" s="1795" t="s">
        <v>1045</v>
      </c>
      <c r="D4228" s="1203"/>
      <c r="E4228" s="1199"/>
      <c r="F4228" s="1201"/>
      <c r="G4228" s="1204"/>
      <c r="H4228" s="1199"/>
      <c r="I4228" s="1201">
        <f>SUM(I4226:I4227)</f>
        <v>465.82150000000001</v>
      </c>
      <c r="J4228" s="1846"/>
      <c r="K4228" s="1846"/>
      <c r="L4228" s="1846"/>
    </row>
    <row r="4229" spans="1:64">
      <c r="A4229" s="1798"/>
      <c r="B4229" s="1200"/>
      <c r="C4229" s="1807"/>
      <c r="D4229" s="1203"/>
      <c r="E4229" s="1199"/>
      <c r="F4229" s="1201"/>
      <c r="G4229" s="1204"/>
      <c r="H4229" s="1199" t="s">
        <v>1065</v>
      </c>
      <c r="I4229" s="1219">
        <f>ROUND(I4228,0)</f>
        <v>466</v>
      </c>
      <c r="J4229" s="1846"/>
      <c r="K4229" s="1846"/>
      <c r="L4229" s="1846"/>
    </row>
    <row r="4230" spans="1:64">
      <c r="A4230" s="1798"/>
      <c r="B4230" s="1200"/>
      <c r="C4230" s="1807"/>
      <c r="D4230" s="1203"/>
      <c r="E4230" s="1199"/>
      <c r="F4230" s="1201"/>
      <c r="G4230" s="1204"/>
      <c r="H4230" s="1199"/>
      <c r="I4230" s="1201"/>
      <c r="J4230" s="1846"/>
      <c r="K4230" s="1846"/>
      <c r="L4230" s="1846"/>
    </row>
    <row r="4231" spans="1:64" ht="89.65" customHeight="1">
      <c r="A4231" s="2013">
        <f>A4225+1</f>
        <v>61</v>
      </c>
      <c r="B4231" s="2013"/>
      <c r="C4231" s="2006" t="s">
        <v>3469</v>
      </c>
      <c r="D4231" s="2006"/>
      <c r="E4231" s="2006"/>
      <c r="F4231" s="2006"/>
      <c r="G4231" s="2006"/>
      <c r="H4231" s="2006"/>
      <c r="I4231" s="1795"/>
      <c r="J4231" s="1846"/>
      <c r="K4231" s="1846"/>
      <c r="L4231" s="1846"/>
    </row>
    <row r="4232" spans="1:64" ht="25.5">
      <c r="A4232" s="1794"/>
      <c r="B4232" s="1794"/>
      <c r="C4232" s="1807" t="s">
        <v>1591</v>
      </c>
      <c r="D4232" s="1207">
        <v>1</v>
      </c>
      <c r="E4232" s="1208" t="s">
        <v>46</v>
      </c>
      <c r="F4232" s="1209">
        <f>'Civil-SOR'!$G$191</f>
        <v>311</v>
      </c>
      <c r="G4232" s="1380">
        <v>1</v>
      </c>
      <c r="H4232" s="1794" t="s">
        <v>46</v>
      </c>
      <c r="I4232" s="1211">
        <f t="shared" ref="I4232:I4233" si="947">IF(G4232="",D4232*F4232,(D4232*F4232/G4232))</f>
        <v>311</v>
      </c>
      <c r="J4232" s="1022"/>
      <c r="K4232" s="1022"/>
      <c r="L4232" s="1022"/>
      <c r="M4232" s="1066"/>
      <c r="N4232" s="1066"/>
      <c r="O4232" s="1066"/>
      <c r="P4232" s="1066"/>
      <c r="Q4232" s="1066"/>
      <c r="R4232" s="1066"/>
      <c r="S4232" s="1066"/>
      <c r="T4232" s="1066"/>
      <c r="U4232" s="1066"/>
      <c r="V4232" s="1066"/>
      <c r="W4232" s="1066"/>
      <c r="X4232" s="1066"/>
      <c r="Y4232" s="1066"/>
      <c r="Z4232" s="1066"/>
      <c r="AA4232" s="1066"/>
      <c r="AB4232" s="1066"/>
      <c r="AC4232" s="1066"/>
      <c r="AD4232" s="1066"/>
      <c r="AE4232" s="1066"/>
      <c r="AF4232" s="1066"/>
      <c r="AG4232" s="1066"/>
      <c r="AH4232" s="1066"/>
      <c r="AI4232" s="1066"/>
      <c r="AJ4232" s="1066"/>
      <c r="AK4232" s="1066"/>
      <c r="AL4232" s="1066"/>
      <c r="AM4232" s="1066"/>
      <c r="AN4232" s="1066"/>
      <c r="AO4232" s="1066"/>
      <c r="AP4232" s="1066"/>
      <c r="AQ4232" s="1066"/>
      <c r="AR4232" s="1066"/>
      <c r="AS4232" s="1066"/>
      <c r="AT4232" s="1066"/>
      <c r="AU4232" s="1066"/>
      <c r="AV4232" s="1066"/>
      <c r="AW4232" s="1066"/>
      <c r="AX4232" s="1066"/>
      <c r="AY4232" s="1066"/>
      <c r="AZ4232" s="1066"/>
      <c r="BA4232" s="1066"/>
      <c r="BB4232" s="1066"/>
      <c r="BC4232" s="1066"/>
      <c r="BD4232" s="1066"/>
      <c r="BE4232" s="1066"/>
      <c r="BF4232" s="1066"/>
      <c r="BG4232" s="1066"/>
      <c r="BH4232" s="1066"/>
      <c r="BI4232" s="1066"/>
      <c r="BJ4232" s="1066"/>
      <c r="BK4232" s="1066"/>
      <c r="BL4232" s="1066"/>
    </row>
    <row r="4233" spans="1:64" ht="38.25">
      <c r="A4233" s="1794"/>
      <c r="B4233" s="1794"/>
      <c r="C4233" s="1807" t="s">
        <v>1592</v>
      </c>
      <c r="D4233" s="1207">
        <v>6.6</v>
      </c>
      <c r="E4233" s="1208" t="s">
        <v>197</v>
      </c>
      <c r="F4233" s="1209">
        <f>'Civil-SOR'!$G$392</f>
        <v>30</v>
      </c>
      <c r="G4233" s="1380">
        <v>1</v>
      </c>
      <c r="H4233" s="1794" t="s">
        <v>197</v>
      </c>
      <c r="I4233" s="1211">
        <f t="shared" si="947"/>
        <v>198</v>
      </c>
      <c r="J4233" s="1022"/>
      <c r="K4233" s="1022"/>
      <c r="L4233" s="1022"/>
      <c r="M4233" s="1066"/>
      <c r="N4233" s="1066"/>
      <c r="O4233" s="1066"/>
      <c r="P4233" s="1066"/>
      <c r="Q4233" s="1066"/>
      <c r="R4233" s="1066"/>
      <c r="S4233" s="1066"/>
      <c r="T4233" s="1066"/>
      <c r="U4233" s="1066"/>
      <c r="V4233" s="1066"/>
      <c r="W4233" s="1066"/>
      <c r="X4233" s="1066"/>
      <c r="Y4233" s="1066"/>
      <c r="Z4233" s="1066"/>
      <c r="AA4233" s="1066"/>
      <c r="AB4233" s="1066"/>
      <c r="AC4233" s="1066"/>
      <c r="AD4233" s="1066"/>
      <c r="AE4233" s="1066"/>
      <c r="AF4233" s="1066"/>
      <c r="AG4233" s="1066"/>
      <c r="AH4233" s="1066"/>
      <c r="AI4233" s="1066"/>
      <c r="AJ4233" s="1066"/>
      <c r="AK4233" s="1066"/>
      <c r="AL4233" s="1066"/>
      <c r="AM4233" s="1066"/>
      <c r="AN4233" s="1066"/>
      <c r="AO4233" s="1066"/>
      <c r="AP4233" s="1066"/>
      <c r="AQ4233" s="1066"/>
      <c r="AR4233" s="1066"/>
      <c r="AS4233" s="1066"/>
      <c r="AT4233" s="1066"/>
      <c r="AU4233" s="1066"/>
      <c r="AV4233" s="1066"/>
      <c r="AW4233" s="1066"/>
      <c r="AX4233" s="1066"/>
      <c r="AY4233" s="1066"/>
      <c r="AZ4233" s="1066"/>
      <c r="BA4233" s="1066"/>
      <c r="BB4233" s="1066"/>
      <c r="BC4233" s="1066"/>
      <c r="BD4233" s="1066"/>
      <c r="BE4233" s="1066"/>
      <c r="BF4233" s="1066"/>
      <c r="BG4233" s="1066"/>
      <c r="BH4233" s="1066"/>
      <c r="BI4233" s="1066"/>
      <c r="BJ4233" s="1066"/>
      <c r="BK4233" s="1066"/>
      <c r="BL4233" s="1066"/>
    </row>
    <row r="4234" spans="1:64">
      <c r="A4234" s="1794"/>
      <c r="B4234" s="1794"/>
      <c r="C4234" s="1795" t="s">
        <v>1045</v>
      </c>
      <c r="D4234" s="1207"/>
      <c r="E4234" s="1208"/>
      <c r="F4234" s="1209"/>
      <c r="G4234" s="1210"/>
      <c r="H4234" s="1208"/>
      <c r="I4234" s="1307">
        <f>SUM(I4232:I4233)</f>
        <v>509</v>
      </c>
      <c r="J4234" s="1022"/>
      <c r="K4234" s="1022"/>
      <c r="L4234" s="1022"/>
      <c r="M4234" s="1066"/>
      <c r="N4234" s="1066"/>
      <c r="O4234" s="1066"/>
      <c r="P4234" s="1066"/>
      <c r="Q4234" s="1066"/>
      <c r="R4234" s="1066"/>
      <c r="S4234" s="1066"/>
      <c r="T4234" s="1066"/>
      <c r="U4234" s="1066"/>
      <c r="V4234" s="1066"/>
      <c r="W4234" s="1066"/>
      <c r="X4234" s="1066"/>
      <c r="Y4234" s="1066"/>
      <c r="Z4234" s="1066"/>
      <c r="AA4234" s="1066"/>
      <c r="AB4234" s="1066"/>
      <c r="AC4234" s="1066"/>
      <c r="AD4234" s="1066"/>
      <c r="AE4234" s="1066"/>
      <c r="AF4234" s="1066"/>
      <c r="AG4234" s="1066"/>
      <c r="AH4234" s="1066"/>
      <c r="AI4234" s="1066"/>
      <c r="AJ4234" s="1066"/>
      <c r="AK4234" s="1066"/>
      <c r="AL4234" s="1066"/>
      <c r="AM4234" s="1066"/>
      <c r="AN4234" s="1066"/>
      <c r="AO4234" s="1066"/>
      <c r="AP4234" s="1066"/>
      <c r="AQ4234" s="1066"/>
      <c r="AR4234" s="1066"/>
      <c r="AS4234" s="1066"/>
      <c r="AT4234" s="1066"/>
      <c r="AU4234" s="1066"/>
      <c r="AV4234" s="1066"/>
      <c r="AW4234" s="1066"/>
      <c r="AX4234" s="1066"/>
      <c r="AY4234" s="1066"/>
      <c r="AZ4234" s="1066"/>
      <c r="BA4234" s="1066"/>
      <c r="BB4234" s="1066"/>
      <c r="BC4234" s="1066"/>
      <c r="BD4234" s="1066"/>
      <c r="BE4234" s="1066"/>
      <c r="BF4234" s="1066"/>
      <c r="BG4234" s="1066"/>
      <c r="BH4234" s="1066"/>
      <c r="BI4234" s="1066"/>
      <c r="BJ4234" s="1066"/>
      <c r="BK4234" s="1066"/>
      <c r="BL4234" s="1066"/>
    </row>
    <row r="4235" spans="1:64">
      <c r="A4235" s="1794"/>
      <c r="B4235" s="1794"/>
      <c r="C4235" s="1795" t="s">
        <v>1288</v>
      </c>
      <c r="D4235" s="1207"/>
      <c r="E4235" s="1208"/>
      <c r="F4235" s="1209"/>
      <c r="G4235" s="1210"/>
      <c r="H4235" s="1294"/>
      <c r="I4235" s="1209">
        <f>ROUND(I4234/6.6,0)</f>
        <v>77</v>
      </c>
      <c r="J4235" s="1022"/>
      <c r="K4235" s="1022"/>
      <c r="L4235" s="1022"/>
      <c r="M4235" s="1066"/>
      <c r="N4235" s="1066"/>
      <c r="O4235" s="1066"/>
      <c r="P4235" s="1066"/>
      <c r="Q4235" s="1066"/>
      <c r="R4235" s="1066"/>
      <c r="S4235" s="1066"/>
      <c r="T4235" s="1066"/>
      <c r="U4235" s="1066"/>
      <c r="V4235" s="1066"/>
      <c r="W4235" s="1066"/>
      <c r="X4235" s="1066"/>
      <c r="Y4235" s="1066"/>
      <c r="Z4235" s="1066"/>
      <c r="AA4235" s="1066"/>
      <c r="AB4235" s="1066"/>
      <c r="AC4235" s="1066"/>
      <c r="AD4235" s="1066"/>
      <c r="AE4235" s="1066"/>
      <c r="AF4235" s="1066"/>
      <c r="AG4235" s="1066"/>
      <c r="AH4235" s="1066"/>
      <c r="AI4235" s="1066"/>
      <c r="AJ4235" s="1066"/>
      <c r="AK4235" s="1066"/>
      <c r="AL4235" s="1066"/>
      <c r="AM4235" s="1066"/>
      <c r="AN4235" s="1066"/>
      <c r="AO4235" s="1066"/>
      <c r="AP4235" s="1066"/>
      <c r="AQ4235" s="1066"/>
      <c r="AR4235" s="1066"/>
      <c r="AS4235" s="1066"/>
      <c r="AT4235" s="1066"/>
      <c r="AU4235" s="1066"/>
      <c r="AV4235" s="1066"/>
      <c r="AW4235" s="1066"/>
      <c r="AX4235" s="1066"/>
      <c r="AY4235" s="1066"/>
      <c r="AZ4235" s="1066"/>
      <c r="BA4235" s="1066"/>
      <c r="BB4235" s="1066"/>
      <c r="BC4235" s="1066"/>
      <c r="BD4235" s="1066"/>
      <c r="BE4235" s="1066"/>
      <c r="BF4235" s="1066"/>
      <c r="BG4235" s="1066"/>
      <c r="BH4235" s="1066"/>
      <c r="BI4235" s="1066"/>
      <c r="BJ4235" s="1066"/>
      <c r="BK4235" s="1066"/>
      <c r="BL4235" s="1066"/>
    </row>
    <row r="4236" spans="1:64">
      <c r="A4236" s="1794"/>
      <c r="B4236" s="1794"/>
      <c r="C4236" s="1807" t="str">
        <f>Input!$C$48</f>
        <v>Overheads &amp; Contractors Profit @ 13.615%</v>
      </c>
      <c r="D4236" s="1355">
        <f>Input!$D$48</f>
        <v>0.13614999999999999</v>
      </c>
      <c r="E4236" s="1304"/>
      <c r="F4236" s="1211">
        <f>I4235</f>
        <v>77</v>
      </c>
      <c r="G4236" s="1289"/>
      <c r="H4236" s="1208"/>
      <c r="I4236" s="1211">
        <f>IF(G4236="",D4236*F4236,(D4236*F4236/G4236))</f>
        <v>10.483549999999999</v>
      </c>
      <c r="J4236" s="1022"/>
      <c r="K4236" s="1022"/>
      <c r="L4236" s="1022"/>
      <c r="M4236" s="1066"/>
      <c r="N4236" s="1066"/>
      <c r="O4236" s="1066"/>
      <c r="P4236" s="1066"/>
      <c r="Q4236" s="1066"/>
      <c r="R4236" s="1066"/>
      <c r="S4236" s="1066"/>
      <c r="T4236" s="1066"/>
      <c r="U4236" s="1066"/>
      <c r="V4236" s="1066"/>
      <c r="W4236" s="1066"/>
      <c r="X4236" s="1066"/>
      <c r="Y4236" s="1066"/>
      <c r="Z4236" s="1066"/>
      <c r="AA4236" s="1066"/>
      <c r="AB4236" s="1066"/>
      <c r="AC4236" s="1066"/>
      <c r="AD4236" s="1066"/>
      <c r="AE4236" s="1066"/>
      <c r="AF4236" s="1066"/>
      <c r="AG4236" s="1066"/>
      <c r="AH4236" s="1066"/>
      <c r="AI4236" s="1066"/>
      <c r="AJ4236" s="1066"/>
      <c r="AK4236" s="1066"/>
      <c r="AL4236" s="1066"/>
      <c r="AM4236" s="1066"/>
      <c r="AN4236" s="1066"/>
      <c r="AO4236" s="1066"/>
      <c r="AP4236" s="1066"/>
      <c r="AQ4236" s="1066"/>
      <c r="AR4236" s="1066"/>
      <c r="AS4236" s="1066"/>
      <c r="AT4236" s="1066"/>
      <c r="AU4236" s="1066"/>
      <c r="AV4236" s="1066"/>
      <c r="AW4236" s="1066"/>
      <c r="AX4236" s="1066"/>
      <c r="AY4236" s="1066"/>
      <c r="AZ4236" s="1066"/>
      <c r="BA4236" s="1066"/>
      <c r="BB4236" s="1066"/>
      <c r="BC4236" s="1066"/>
      <c r="BD4236" s="1066"/>
      <c r="BE4236" s="1066"/>
      <c r="BF4236" s="1066"/>
      <c r="BG4236" s="1066"/>
      <c r="BH4236" s="1066"/>
      <c r="BI4236" s="1066"/>
      <c r="BJ4236" s="1066"/>
      <c r="BK4236" s="1066"/>
      <c r="BL4236" s="1066"/>
    </row>
    <row r="4237" spans="1:64">
      <c r="A4237" s="1798"/>
      <c r="B4237" s="1200"/>
      <c r="C4237" s="1807"/>
      <c r="D4237" s="1203"/>
      <c r="E4237" s="1199"/>
      <c r="F4237" s="1201"/>
      <c r="G4237" s="1204"/>
      <c r="H4237" s="1199"/>
      <c r="I4237" s="1201">
        <f>SUM(I4235:I4236)</f>
        <v>87.483549999999994</v>
      </c>
      <c r="J4237" s="1846"/>
      <c r="K4237" s="1846"/>
      <c r="L4237" s="1846"/>
    </row>
    <row r="4238" spans="1:64">
      <c r="A4238" s="1798"/>
      <c r="B4238" s="1200"/>
      <c r="C4238" s="1807"/>
      <c r="D4238" s="1203"/>
      <c r="E4238" s="1199"/>
      <c r="F4238" s="1201"/>
      <c r="G4238" s="1204"/>
      <c r="H4238" s="1199" t="s">
        <v>1065</v>
      </c>
      <c r="I4238" s="1219">
        <f>ROUND(I4237,0)</f>
        <v>87</v>
      </c>
      <c r="J4238" s="1846"/>
      <c r="K4238" s="1846"/>
      <c r="L4238" s="1846"/>
    </row>
    <row r="4239" spans="1:64">
      <c r="A4239" s="1798"/>
      <c r="B4239" s="1200"/>
      <c r="C4239" s="1807"/>
      <c r="D4239" s="1203"/>
      <c r="E4239" s="1199"/>
      <c r="F4239" s="1201"/>
      <c r="G4239" s="1204"/>
      <c r="H4239" s="1199"/>
      <c r="I4239" s="1230"/>
      <c r="J4239" s="1846"/>
      <c r="K4239" s="1846"/>
      <c r="L4239" s="1846"/>
    </row>
    <row r="4240" spans="1:64" ht="85.15" customHeight="1">
      <c r="A4240" s="2013">
        <f>A4231+1</f>
        <v>62</v>
      </c>
      <c r="B4240" s="2013"/>
      <c r="C4240" s="2006" t="s">
        <v>3470</v>
      </c>
      <c r="D4240" s="2006"/>
      <c r="E4240" s="2006"/>
      <c r="F4240" s="2006"/>
      <c r="G4240" s="2006"/>
      <c r="H4240" s="2006"/>
      <c r="I4240" s="1814"/>
      <c r="J4240" s="1846"/>
      <c r="K4240" s="1846"/>
      <c r="L4240" s="1846"/>
    </row>
    <row r="4241" spans="1:12">
      <c r="A4241" s="1798"/>
      <c r="B4241" s="1200"/>
      <c r="C4241" s="1807" t="s">
        <v>1593</v>
      </c>
      <c r="D4241" s="1203">
        <v>1</v>
      </c>
      <c r="E4241" s="1199" t="s">
        <v>94</v>
      </c>
      <c r="F4241" s="1201">
        <f>'Civil-SOR'!$G$188</f>
        <v>2955</v>
      </c>
      <c r="G4241" s="1204">
        <v>1</v>
      </c>
      <c r="H4241" s="1199" t="s">
        <v>94</v>
      </c>
      <c r="I4241" s="1205">
        <f t="shared" ref="I4241:I4242" si="948">IF(G4241="",D4241*F4241,(D4241*F4241/G4241))</f>
        <v>2955</v>
      </c>
      <c r="J4241" s="1846"/>
      <c r="K4241" s="1846"/>
      <c r="L4241" s="1846"/>
    </row>
    <row r="4242" spans="1:12">
      <c r="A4242" s="1798"/>
      <c r="B4242" s="1200"/>
      <c r="C4242" s="1807" t="str">
        <f>Input!$C$48</f>
        <v>Overheads &amp; Contractors Profit @ 13.615%</v>
      </c>
      <c r="D4242" s="1344">
        <f>Input!$D$48</f>
        <v>0.13614999999999999</v>
      </c>
      <c r="E4242" s="1297"/>
      <c r="F4242" s="1223">
        <f>I4241</f>
        <v>2955</v>
      </c>
      <c r="G4242" s="1272"/>
      <c r="H4242" s="1199"/>
      <c r="I4242" s="1205">
        <f t="shared" si="948"/>
        <v>402.32324999999997</v>
      </c>
      <c r="J4242" s="1846"/>
      <c r="K4242" s="1846"/>
      <c r="L4242" s="1846"/>
    </row>
    <row r="4243" spans="1:12">
      <c r="A4243" s="1798"/>
      <c r="B4243" s="1200"/>
      <c r="C4243" s="1795" t="s">
        <v>1045</v>
      </c>
      <c r="D4243" s="1203"/>
      <c r="E4243" s="1199"/>
      <c r="F4243" s="1201"/>
      <c r="G4243" s="1204"/>
      <c r="H4243" s="1199"/>
      <c r="I4243" s="1205">
        <f>SUM(I4241:I4242)</f>
        <v>3357.3232499999999</v>
      </c>
      <c r="J4243" s="1846"/>
      <c r="K4243" s="1846"/>
      <c r="L4243" s="1846"/>
    </row>
    <row r="4244" spans="1:12">
      <c r="A4244" s="1798"/>
      <c r="B4244" s="1200"/>
      <c r="C4244" s="1807"/>
      <c r="D4244" s="1203"/>
      <c r="E4244" s="1199"/>
      <c r="F4244" s="1201"/>
      <c r="G4244" s="1204"/>
      <c r="H4244" s="1381" t="s">
        <v>1065</v>
      </c>
      <c r="I4244" s="1219">
        <f>ROUND(I4243,0)</f>
        <v>3357</v>
      </c>
      <c r="J4244" s="1846"/>
      <c r="K4244" s="1846"/>
      <c r="L4244" s="1846"/>
    </row>
    <row r="4245" spans="1:12">
      <c r="A4245" s="1798"/>
      <c r="B4245" s="1200"/>
      <c r="C4245" s="1807"/>
      <c r="D4245" s="1203"/>
      <c r="E4245" s="1199"/>
      <c r="F4245" s="1201"/>
      <c r="G4245" s="1204"/>
      <c r="H4245" s="1199"/>
      <c r="I4245" s="1201"/>
      <c r="J4245" s="1846"/>
      <c r="K4245" s="1846"/>
      <c r="L4245" s="1846"/>
    </row>
    <row r="4246" spans="1:12" ht="78.400000000000006" customHeight="1">
      <c r="A4246" s="2013">
        <f>A4240+1</f>
        <v>63</v>
      </c>
      <c r="B4246" s="2013"/>
      <c r="C4246" s="2006" t="s">
        <v>3471</v>
      </c>
      <c r="D4246" s="2006"/>
      <c r="E4246" s="2006"/>
      <c r="F4246" s="2006"/>
      <c r="G4246" s="2006"/>
      <c r="H4246" s="2006"/>
      <c r="I4246" s="1814"/>
      <c r="J4246" s="1846"/>
      <c r="K4246" s="1846"/>
      <c r="L4246" s="1846"/>
    </row>
    <row r="4247" spans="1:12">
      <c r="A4247" s="1798"/>
      <c r="B4247" s="1200"/>
      <c r="C4247" s="1807" t="s">
        <v>1594</v>
      </c>
      <c r="D4247" s="1203">
        <v>1</v>
      </c>
      <c r="E4247" s="1199" t="s">
        <v>94</v>
      </c>
      <c r="F4247" s="1201">
        <f>'Civil-SOR'!$G$189</f>
        <v>3313</v>
      </c>
      <c r="G4247" s="1204">
        <v>1</v>
      </c>
      <c r="H4247" s="1199" t="s">
        <v>94</v>
      </c>
      <c r="I4247" s="1205">
        <f t="shared" ref="I4247:I4248" si="949">IF(G4247="",D4247*F4247,(D4247*F4247/G4247))</f>
        <v>3313</v>
      </c>
      <c r="J4247" s="1846"/>
      <c r="K4247" s="1846"/>
      <c r="L4247" s="1846"/>
    </row>
    <row r="4248" spans="1:12">
      <c r="A4248" s="1798"/>
      <c r="B4248" s="1200"/>
      <c r="C4248" s="1807" t="str">
        <f>Input!$C$48</f>
        <v>Overheads &amp; Contractors Profit @ 13.615%</v>
      </c>
      <c r="D4248" s="1344">
        <f>Input!$D$48</f>
        <v>0.13614999999999999</v>
      </c>
      <c r="E4248" s="1297"/>
      <c r="F4248" s="1223">
        <f>I4247</f>
        <v>3313</v>
      </c>
      <c r="G4248" s="1272"/>
      <c r="H4248" s="1199"/>
      <c r="I4248" s="1205">
        <f t="shared" si="949"/>
        <v>451.06494999999995</v>
      </c>
      <c r="J4248" s="1846"/>
      <c r="K4248" s="1846"/>
      <c r="L4248" s="1846"/>
    </row>
    <row r="4249" spans="1:12">
      <c r="A4249" s="1798"/>
      <c r="B4249" s="1200"/>
      <c r="C4249" s="1795" t="s">
        <v>1045</v>
      </c>
      <c r="D4249" s="1203"/>
      <c r="E4249" s="1199"/>
      <c r="F4249" s="1201"/>
      <c r="G4249" s="1204"/>
      <c r="H4249" s="1199"/>
      <c r="I4249" s="1205">
        <f>SUM(I4247:I4248)</f>
        <v>3764.06495</v>
      </c>
      <c r="J4249" s="1846"/>
      <c r="K4249" s="1846"/>
      <c r="L4249" s="1846"/>
    </row>
    <row r="4250" spans="1:12">
      <c r="A4250" s="1798"/>
      <c r="B4250" s="1200"/>
      <c r="C4250" s="1807"/>
      <c r="D4250" s="1203"/>
      <c r="E4250" s="1199"/>
      <c r="F4250" s="1201"/>
      <c r="G4250" s="1204"/>
      <c r="H4250" s="1381" t="s">
        <v>1065</v>
      </c>
      <c r="I4250" s="1219">
        <f>ROUND(I4249,0)</f>
        <v>3764</v>
      </c>
      <c r="J4250" s="1846"/>
      <c r="K4250" s="1846"/>
      <c r="L4250" s="1846"/>
    </row>
    <row r="4251" spans="1:12">
      <c r="A4251" s="1798"/>
      <c r="B4251" s="1200"/>
      <c r="C4251" s="1807"/>
      <c r="D4251" s="1203"/>
      <c r="E4251" s="1199"/>
      <c r="F4251" s="1201"/>
      <c r="G4251" s="1204"/>
      <c r="H4251" s="1199"/>
      <c r="I4251" s="1230"/>
      <c r="J4251" s="1846"/>
      <c r="K4251" s="1846"/>
      <c r="L4251" s="1846"/>
    </row>
    <row r="4252" spans="1:12" ht="103.7" customHeight="1">
      <c r="A4252" s="2013">
        <f>A4246+1</f>
        <v>64</v>
      </c>
      <c r="B4252" s="2013"/>
      <c r="C4252" s="2022" t="s">
        <v>1595</v>
      </c>
      <c r="D4252" s="2022"/>
      <c r="E4252" s="2022"/>
      <c r="F4252" s="2022"/>
      <c r="G4252" s="2022"/>
      <c r="H4252" s="2022"/>
      <c r="I4252" s="2022"/>
      <c r="J4252" s="1846"/>
      <c r="K4252" s="1846"/>
      <c r="L4252" s="1846"/>
    </row>
    <row r="4253" spans="1:12" ht="58.9" customHeight="1">
      <c r="A4253" s="1798"/>
      <c r="B4253" s="1200"/>
      <c r="C4253" s="2022" t="s">
        <v>1596</v>
      </c>
      <c r="D4253" s="2022"/>
      <c r="E4253" s="2022"/>
      <c r="F4253" s="2022"/>
      <c r="G4253" s="2022"/>
      <c r="H4253" s="2022"/>
      <c r="I4253" s="2022"/>
      <c r="J4253" s="1846"/>
      <c r="K4253" s="1846"/>
      <c r="L4253" s="1846"/>
    </row>
    <row r="4254" spans="1:12">
      <c r="A4254" s="1798"/>
      <c r="B4254" s="1200"/>
      <c r="C4254" s="1807" t="s">
        <v>1597</v>
      </c>
      <c r="D4254" s="1203">
        <v>1</v>
      </c>
      <c r="E4254" s="1199" t="s">
        <v>94</v>
      </c>
      <c r="F4254" s="1201">
        <f>'Civil-SOR'!$G$147</f>
        <v>8280</v>
      </c>
      <c r="G4254" s="1204">
        <v>1</v>
      </c>
      <c r="H4254" s="1199" t="s">
        <v>94</v>
      </c>
      <c r="I4254" s="1205">
        <f t="shared" ref="I4254:I4255" si="950">IF(G4254="",D4254*F4254,(D4254*F4254/G4254))</f>
        <v>8280</v>
      </c>
      <c r="J4254" s="1846"/>
      <c r="K4254" s="1846"/>
      <c r="L4254" s="1846"/>
    </row>
    <row r="4255" spans="1:12">
      <c r="A4255" s="1798"/>
      <c r="B4255" s="1200"/>
      <c r="C4255" s="1807" t="str">
        <f>Input!$C$48</f>
        <v>Overheads &amp; Contractors Profit @ 13.615%</v>
      </c>
      <c r="D4255" s="1344">
        <f>Input!$D$48</f>
        <v>0.13614999999999999</v>
      </c>
      <c r="E4255" s="1297"/>
      <c r="F4255" s="1223">
        <f>I4254</f>
        <v>8280</v>
      </c>
      <c r="G4255" s="1272"/>
      <c r="H4255" s="1199"/>
      <c r="I4255" s="1205">
        <f t="shared" si="950"/>
        <v>1127.3219999999999</v>
      </c>
      <c r="J4255" s="1846"/>
      <c r="K4255" s="1846"/>
      <c r="L4255" s="1846"/>
    </row>
    <row r="4256" spans="1:12">
      <c r="A4256" s="1798"/>
      <c r="B4256" s="1200"/>
      <c r="C4256" s="1795" t="s">
        <v>1045</v>
      </c>
      <c r="D4256" s="1203"/>
      <c r="E4256" s="1199"/>
      <c r="F4256" s="1201"/>
      <c r="G4256" s="1204"/>
      <c r="H4256" s="1199"/>
      <c r="I4256" s="1205">
        <f>SUM(I4254:I4255)</f>
        <v>9407.3220000000001</v>
      </c>
      <c r="J4256" s="1846"/>
      <c r="K4256" s="1846"/>
      <c r="L4256" s="1846"/>
    </row>
    <row r="4257" spans="1:64">
      <c r="A4257" s="1797"/>
      <c r="B4257" s="1797"/>
      <c r="C4257" s="1815"/>
      <c r="D4257" s="1214"/>
      <c r="E4257" s="1215"/>
      <c r="F4257" s="1216"/>
      <c r="G4257" s="1217"/>
      <c r="H4257" s="1382" t="s">
        <v>1065</v>
      </c>
      <c r="I4257" s="1218">
        <f>ROUND(I4256,0)</f>
        <v>9407</v>
      </c>
      <c r="J4257" s="996"/>
      <c r="K4257" s="996"/>
      <c r="L4257" s="996"/>
      <c r="M4257" s="997"/>
      <c r="N4257" s="997"/>
      <c r="O4257" s="997"/>
      <c r="P4257" s="997"/>
      <c r="Q4257" s="997"/>
      <c r="R4257" s="997"/>
      <c r="S4257" s="997"/>
      <c r="T4257" s="997"/>
      <c r="U4257" s="997"/>
      <c r="V4257" s="997"/>
      <c r="W4257" s="997"/>
      <c r="X4257" s="997"/>
      <c r="Y4257" s="997"/>
      <c r="Z4257" s="997"/>
      <c r="AA4257" s="997"/>
      <c r="AB4257" s="997"/>
      <c r="AC4257" s="997"/>
      <c r="AD4257" s="997"/>
      <c r="AE4257" s="997"/>
      <c r="AF4257" s="997"/>
      <c r="AG4257" s="997"/>
      <c r="AH4257" s="997"/>
      <c r="AI4257" s="997"/>
      <c r="AJ4257" s="997"/>
      <c r="AK4257" s="997"/>
      <c r="AL4257" s="997"/>
      <c r="AM4257" s="997"/>
      <c r="AN4257" s="997"/>
      <c r="AO4257" s="997"/>
      <c r="AP4257" s="997"/>
      <c r="AQ4257" s="997"/>
      <c r="AR4257" s="997"/>
      <c r="AS4257" s="997"/>
      <c r="AT4257" s="997"/>
      <c r="AU4257" s="997"/>
      <c r="AV4257" s="997"/>
      <c r="AW4257" s="997"/>
      <c r="AX4257" s="997"/>
      <c r="AY4257" s="997"/>
      <c r="AZ4257" s="997"/>
      <c r="BA4257" s="997"/>
      <c r="BB4257" s="997"/>
      <c r="BC4257" s="997"/>
      <c r="BD4257" s="997"/>
      <c r="BE4257" s="997"/>
      <c r="BF4257" s="997"/>
      <c r="BG4257" s="997"/>
      <c r="BH4257" s="997"/>
      <c r="BI4257" s="997"/>
      <c r="BJ4257" s="997"/>
      <c r="BK4257" s="997"/>
      <c r="BL4257" s="997"/>
    </row>
    <row r="4258" spans="1:64">
      <c r="A4258" s="1798"/>
      <c r="B4258" s="1200"/>
      <c r="C4258" s="1807"/>
      <c r="D4258" s="1203"/>
      <c r="E4258" s="1199"/>
      <c r="F4258" s="1201"/>
      <c r="G4258" s="1204"/>
      <c r="H4258" s="1199"/>
      <c r="I4258" s="1201"/>
      <c r="J4258" s="1846"/>
      <c r="K4258" s="1846"/>
      <c r="L4258" s="1846"/>
    </row>
    <row r="4259" spans="1:64" ht="114.95" customHeight="1">
      <c r="A4259" s="2013">
        <f>A4252+1</f>
        <v>65</v>
      </c>
      <c r="B4259" s="2013"/>
      <c r="C4259" s="2006" t="s">
        <v>3472</v>
      </c>
      <c r="D4259" s="2006"/>
      <c r="E4259" s="2006"/>
      <c r="F4259" s="2006"/>
      <c r="G4259" s="2006"/>
      <c r="H4259" s="2006"/>
      <c r="I4259" s="1814"/>
      <c r="J4259" s="1846"/>
      <c r="K4259" s="1846"/>
      <c r="L4259" s="1846"/>
    </row>
    <row r="4260" spans="1:64" ht="36.6" customHeight="1">
      <c r="A4260" s="1798"/>
      <c r="B4260" s="1200"/>
      <c r="C4260" s="2022" t="s">
        <v>1598</v>
      </c>
      <c r="D4260" s="2022"/>
      <c r="E4260" s="2022"/>
      <c r="F4260" s="2022"/>
      <c r="G4260" s="2022"/>
      <c r="H4260" s="2022"/>
      <c r="I4260" s="1807"/>
      <c r="J4260" s="1846"/>
      <c r="K4260" s="1846"/>
      <c r="L4260" s="1846"/>
    </row>
    <row r="4261" spans="1:64">
      <c r="A4261" s="1798"/>
      <c r="B4261" s="1200"/>
      <c r="C4261" s="1807" t="s">
        <v>1599</v>
      </c>
      <c r="D4261" s="1203">
        <v>1</v>
      </c>
      <c r="E4261" s="1199" t="s">
        <v>94</v>
      </c>
      <c r="F4261" s="1201">
        <f>'Civil-SOR'!$G$148</f>
        <v>6785</v>
      </c>
      <c r="G4261" s="1204">
        <v>1</v>
      </c>
      <c r="H4261" s="1199" t="s">
        <v>94</v>
      </c>
      <c r="I4261" s="1205">
        <f t="shared" ref="I4261:I4262" si="951">IF(G4261="",D4261*F4261,(D4261*F4261/G4261))</f>
        <v>6785</v>
      </c>
      <c r="J4261" s="1846"/>
      <c r="K4261" s="1846"/>
      <c r="L4261" s="1846"/>
    </row>
    <row r="4262" spans="1:64">
      <c r="A4262" s="1798"/>
      <c r="B4262" s="1200"/>
      <c r="C4262" s="1807" t="str">
        <f>Input!$C$48</f>
        <v>Overheads &amp; Contractors Profit @ 13.615%</v>
      </c>
      <c r="D4262" s="1344">
        <f>Input!$D$48</f>
        <v>0.13614999999999999</v>
      </c>
      <c r="E4262" s="1297"/>
      <c r="F4262" s="1223">
        <f>I4261</f>
        <v>6785</v>
      </c>
      <c r="G4262" s="1272"/>
      <c r="H4262" s="1199"/>
      <c r="I4262" s="1205">
        <f t="shared" si="951"/>
        <v>923.77774999999997</v>
      </c>
      <c r="J4262" s="1846"/>
      <c r="K4262" s="1846"/>
      <c r="L4262" s="1846"/>
    </row>
    <row r="4263" spans="1:64">
      <c r="A4263" s="1798"/>
      <c r="B4263" s="1200"/>
      <c r="C4263" s="1795" t="s">
        <v>1045</v>
      </c>
      <c r="D4263" s="1203"/>
      <c r="E4263" s="1199"/>
      <c r="F4263" s="1201"/>
      <c r="G4263" s="1204"/>
      <c r="H4263" s="1199"/>
      <c r="I4263" s="1205">
        <f>SUM(I4261:I4262)</f>
        <v>7708.7777500000002</v>
      </c>
      <c r="J4263" s="1846"/>
      <c r="K4263" s="1846"/>
      <c r="L4263" s="1846"/>
    </row>
    <row r="4264" spans="1:64">
      <c r="A4264" s="1798"/>
      <c r="B4264" s="1200"/>
      <c r="C4264" s="1807"/>
      <c r="D4264" s="1203"/>
      <c r="E4264" s="1199"/>
      <c r="F4264" s="1201"/>
      <c r="G4264" s="1204"/>
      <c r="H4264" s="1381" t="s">
        <v>1065</v>
      </c>
      <c r="I4264" s="1219">
        <f>ROUND(I4263,0)</f>
        <v>7709</v>
      </c>
      <c r="J4264" s="1846"/>
      <c r="K4264" s="1846"/>
      <c r="L4264" s="1846"/>
    </row>
    <row r="4265" spans="1:64">
      <c r="A4265" s="1798"/>
      <c r="B4265" s="1200"/>
      <c r="C4265" s="1807"/>
      <c r="D4265" s="1203"/>
      <c r="E4265" s="1199"/>
      <c r="F4265" s="1201"/>
      <c r="G4265" s="1204"/>
      <c r="H4265" s="1381"/>
      <c r="I4265" s="1219"/>
      <c r="J4265" s="1846"/>
      <c r="K4265" s="1846"/>
      <c r="L4265" s="1846"/>
    </row>
    <row r="4266" spans="1:64" ht="126.2" customHeight="1">
      <c r="A4266" s="2013">
        <f>A4259+1</f>
        <v>66</v>
      </c>
      <c r="B4266" s="2013"/>
      <c r="C4266" s="2006" t="s">
        <v>3473</v>
      </c>
      <c r="D4266" s="2006"/>
      <c r="E4266" s="2006"/>
      <c r="F4266" s="2006"/>
      <c r="G4266" s="2006"/>
      <c r="H4266" s="2006"/>
      <c r="I4266" s="1814"/>
      <c r="J4266" s="1846"/>
      <c r="K4266" s="1846"/>
      <c r="L4266" s="1846"/>
    </row>
    <row r="4267" spans="1:64" ht="25.35" customHeight="1">
      <c r="A4267" s="1798"/>
      <c r="B4267" s="1798" t="s">
        <v>294</v>
      </c>
      <c r="C4267" s="2006" t="s">
        <v>1600</v>
      </c>
      <c r="D4267" s="2006"/>
      <c r="E4267" s="2006"/>
      <c r="F4267" s="2006"/>
      <c r="G4267" s="2006"/>
      <c r="H4267" s="2006"/>
      <c r="I4267" s="1814"/>
      <c r="J4267" s="1846"/>
      <c r="K4267" s="1846"/>
      <c r="L4267" s="1846"/>
    </row>
    <row r="4268" spans="1:64">
      <c r="A4268" s="1798"/>
      <c r="B4268" s="1200"/>
      <c r="C4268" s="1807" t="s">
        <v>1601</v>
      </c>
      <c r="D4268" s="1203">
        <v>1</v>
      </c>
      <c r="E4268" s="1199" t="s">
        <v>94</v>
      </c>
      <c r="F4268" s="1201">
        <f>'Civil-SOR'!$G$144</f>
        <v>6926</v>
      </c>
      <c r="G4268" s="1204">
        <v>1</v>
      </c>
      <c r="H4268" s="1199" t="s">
        <v>94</v>
      </c>
      <c r="I4268" s="1205">
        <f t="shared" ref="I4268:I4269" si="952">IF(G4268="",D4268*F4268,(D4268*F4268/G4268))</f>
        <v>6926</v>
      </c>
      <c r="J4268" s="1846"/>
      <c r="K4268" s="1846"/>
      <c r="L4268" s="1846"/>
    </row>
    <row r="4269" spans="1:64">
      <c r="A4269" s="1798"/>
      <c r="B4269" s="1200"/>
      <c r="C4269" s="1807" t="str">
        <f>Input!$C$48</f>
        <v>Overheads &amp; Contractors Profit @ 13.615%</v>
      </c>
      <c r="D4269" s="1344">
        <f>Input!$D$48</f>
        <v>0.13614999999999999</v>
      </c>
      <c r="E4269" s="1297"/>
      <c r="F4269" s="1223">
        <f>I4268</f>
        <v>6926</v>
      </c>
      <c r="G4269" s="1272"/>
      <c r="H4269" s="1199"/>
      <c r="I4269" s="1205">
        <f t="shared" si="952"/>
        <v>942.97489999999993</v>
      </c>
      <c r="J4269" s="1846"/>
      <c r="K4269" s="1846"/>
      <c r="L4269" s="1846"/>
    </row>
    <row r="4270" spans="1:64">
      <c r="A4270" s="1798"/>
      <c r="B4270" s="1200"/>
      <c r="C4270" s="1795" t="s">
        <v>1045</v>
      </c>
      <c r="D4270" s="1203"/>
      <c r="E4270" s="1199"/>
      <c r="F4270" s="1201"/>
      <c r="G4270" s="1204"/>
      <c r="H4270" s="1199"/>
      <c r="I4270" s="1205">
        <f>SUM(I4268:I4269)</f>
        <v>7868.9749000000002</v>
      </c>
      <c r="J4270" s="1846"/>
      <c r="K4270" s="1846"/>
      <c r="L4270" s="1846"/>
    </row>
    <row r="4271" spans="1:64">
      <c r="A4271" s="1798"/>
      <c r="B4271" s="1200"/>
      <c r="C4271" s="1807"/>
      <c r="D4271" s="1203"/>
      <c r="E4271" s="1199"/>
      <c r="F4271" s="1201"/>
      <c r="G4271" s="1204"/>
      <c r="H4271" s="1381" t="s">
        <v>1065</v>
      </c>
      <c r="I4271" s="1219">
        <f>ROUND(I4270,0)</f>
        <v>7869</v>
      </c>
      <c r="J4271" s="1846"/>
      <c r="K4271" s="1846"/>
      <c r="L4271" s="1846"/>
    </row>
    <row r="4272" spans="1:64">
      <c r="A4272" s="1798"/>
      <c r="B4272" s="1200"/>
      <c r="C4272" s="1807"/>
      <c r="D4272" s="1203"/>
      <c r="E4272" s="1199"/>
      <c r="F4272" s="1201"/>
      <c r="G4272" s="1204"/>
      <c r="H4272" s="1199"/>
      <c r="I4272" s="1201"/>
      <c r="J4272" s="1846"/>
      <c r="K4272" s="1846"/>
      <c r="L4272" s="1846"/>
    </row>
    <row r="4273" spans="1:64" ht="25.35" customHeight="1">
      <c r="A4273" s="1798"/>
      <c r="B4273" s="1798" t="s">
        <v>297</v>
      </c>
      <c r="C4273" s="2030" t="s">
        <v>1602</v>
      </c>
      <c r="D4273" s="2030"/>
      <c r="E4273" s="2030"/>
      <c r="F4273" s="2030"/>
      <c r="G4273" s="2030"/>
      <c r="H4273" s="2030"/>
      <c r="I4273" s="1814"/>
      <c r="J4273" s="1846"/>
      <c r="K4273" s="1846"/>
      <c r="L4273" s="1846"/>
    </row>
    <row r="4274" spans="1:64">
      <c r="A4274" s="1798"/>
      <c r="B4274" s="1200"/>
      <c r="C4274" s="1807" t="s">
        <v>1603</v>
      </c>
      <c r="D4274" s="1203">
        <v>1</v>
      </c>
      <c r="E4274" s="1199" t="s">
        <v>94</v>
      </c>
      <c r="F4274" s="1201">
        <f>'Civil-SOR'!$G$145</f>
        <v>5877</v>
      </c>
      <c r="G4274" s="1204">
        <v>1</v>
      </c>
      <c r="H4274" s="1199" t="s">
        <v>94</v>
      </c>
      <c r="I4274" s="1205">
        <f t="shared" ref="I4274:I4275" si="953">IF(G4274="",D4274*F4274,(D4274*F4274/G4274))</f>
        <v>5877</v>
      </c>
      <c r="J4274" s="1846"/>
      <c r="K4274" s="1846"/>
      <c r="L4274" s="1846"/>
    </row>
    <row r="4275" spans="1:64">
      <c r="A4275" s="1798"/>
      <c r="B4275" s="1200"/>
      <c r="C4275" s="1807" t="str">
        <f>Input!$C$48</f>
        <v>Overheads &amp; Contractors Profit @ 13.615%</v>
      </c>
      <c r="D4275" s="1228">
        <f>Input!$D$48</f>
        <v>0.13614999999999999</v>
      </c>
      <c r="E4275" s="1297"/>
      <c r="F4275" s="1223">
        <f>I4274</f>
        <v>5877</v>
      </c>
      <c r="G4275" s="1272"/>
      <c r="H4275" s="1199"/>
      <c r="I4275" s="1205">
        <f t="shared" si="953"/>
        <v>800.15355</v>
      </c>
      <c r="J4275" s="1846"/>
      <c r="K4275" s="1846"/>
      <c r="L4275" s="1846"/>
    </row>
    <row r="4276" spans="1:64">
      <c r="A4276" s="1798"/>
      <c r="B4276" s="1200"/>
      <c r="C4276" s="1795" t="s">
        <v>1045</v>
      </c>
      <c r="D4276" s="1203"/>
      <c r="E4276" s="1199"/>
      <c r="F4276" s="1201"/>
      <c r="G4276" s="1204"/>
      <c r="H4276" s="1199"/>
      <c r="I4276" s="1205">
        <f>SUM(I4274:I4275)</f>
        <v>6677.15355</v>
      </c>
      <c r="J4276" s="1846"/>
      <c r="K4276" s="1846"/>
      <c r="L4276" s="1846"/>
    </row>
    <row r="4277" spans="1:64" ht="90.95" customHeight="1">
      <c r="A4277" s="1797"/>
      <c r="B4277" s="1798" t="s">
        <v>297</v>
      </c>
      <c r="C4277" s="2022" t="s">
        <v>1604</v>
      </c>
      <c r="D4277" s="2022"/>
      <c r="E4277" s="2022"/>
      <c r="F4277" s="2022"/>
      <c r="G4277" s="2022"/>
      <c r="H4277" s="2022"/>
      <c r="I4277" s="2022"/>
      <c r="J4277" s="996"/>
      <c r="K4277" s="996"/>
      <c r="L4277" s="996"/>
      <c r="M4277" s="997"/>
      <c r="N4277" s="997"/>
      <c r="O4277" s="997"/>
      <c r="P4277" s="997"/>
      <c r="Q4277" s="997"/>
      <c r="R4277" s="997"/>
      <c r="S4277" s="997"/>
      <c r="T4277" s="997"/>
      <c r="U4277" s="997"/>
      <c r="V4277" s="997"/>
      <c r="W4277" s="997"/>
      <c r="X4277" s="997"/>
      <c r="Y4277" s="997"/>
      <c r="Z4277" s="997"/>
      <c r="AA4277" s="997"/>
      <c r="AB4277" s="997"/>
      <c r="AC4277" s="997"/>
      <c r="AD4277" s="997"/>
      <c r="AE4277" s="997"/>
      <c r="AF4277" s="997"/>
      <c r="AG4277" s="997"/>
      <c r="AH4277" s="997"/>
      <c r="AI4277" s="997"/>
      <c r="AJ4277" s="997"/>
      <c r="AK4277" s="997"/>
      <c r="AL4277" s="997"/>
      <c r="AM4277" s="997"/>
      <c r="AN4277" s="997"/>
      <c r="AO4277" s="997"/>
      <c r="AP4277" s="997"/>
      <c r="AQ4277" s="997"/>
      <c r="AR4277" s="997"/>
      <c r="AS4277" s="997"/>
      <c r="AT4277" s="997"/>
      <c r="AU4277" s="997"/>
      <c r="AV4277" s="997"/>
      <c r="AW4277" s="997"/>
      <c r="AX4277" s="997"/>
      <c r="AY4277" s="997"/>
      <c r="AZ4277" s="997"/>
      <c r="BA4277" s="997"/>
      <c r="BB4277" s="997"/>
      <c r="BC4277" s="997"/>
      <c r="BD4277" s="997"/>
      <c r="BE4277" s="997"/>
      <c r="BF4277" s="997"/>
      <c r="BG4277" s="997"/>
      <c r="BH4277" s="997"/>
      <c r="BI4277" s="997"/>
      <c r="BJ4277" s="997"/>
      <c r="BK4277" s="997"/>
      <c r="BL4277" s="997"/>
    </row>
    <row r="4278" spans="1:64">
      <c r="A4278" s="1797"/>
      <c r="B4278" s="1200"/>
      <c r="C4278" s="1807" t="s">
        <v>1605</v>
      </c>
      <c r="D4278" s="1203">
        <v>1</v>
      </c>
      <c r="E4278" s="1199" t="s">
        <v>94</v>
      </c>
      <c r="F4278" s="1201">
        <v>3610</v>
      </c>
      <c r="G4278" s="1204">
        <v>1</v>
      </c>
      <c r="H4278" s="1199" t="s">
        <v>94</v>
      </c>
      <c r="I4278" s="1205">
        <f t="shared" ref="I4278:I4279" si="954">IF(G4278="",D4278*F4278,(D4278*F4278/G4278))</f>
        <v>3610</v>
      </c>
      <c r="J4278" s="996"/>
      <c r="K4278" s="996"/>
      <c r="L4278" s="996"/>
      <c r="M4278" s="997"/>
      <c r="N4278" s="997"/>
      <c r="O4278" s="997"/>
      <c r="P4278" s="997"/>
      <c r="Q4278" s="997"/>
      <c r="R4278" s="997"/>
      <c r="S4278" s="997"/>
      <c r="T4278" s="997"/>
      <c r="U4278" s="997"/>
      <c r="V4278" s="997"/>
      <c r="W4278" s="997"/>
      <c r="X4278" s="997"/>
      <c r="Y4278" s="997"/>
      <c r="Z4278" s="997"/>
      <c r="AA4278" s="997"/>
      <c r="AB4278" s="997"/>
      <c r="AC4278" s="997"/>
      <c r="AD4278" s="997"/>
      <c r="AE4278" s="997"/>
      <c r="AF4278" s="997"/>
      <c r="AG4278" s="997"/>
      <c r="AH4278" s="997"/>
      <c r="AI4278" s="997"/>
      <c r="AJ4278" s="997"/>
      <c r="AK4278" s="997"/>
      <c r="AL4278" s="997"/>
      <c r="AM4278" s="997"/>
      <c r="AN4278" s="997"/>
      <c r="AO4278" s="997"/>
      <c r="AP4278" s="997"/>
      <c r="AQ4278" s="997"/>
      <c r="AR4278" s="997"/>
      <c r="AS4278" s="997"/>
      <c r="AT4278" s="997"/>
      <c r="AU4278" s="997"/>
      <c r="AV4278" s="997"/>
      <c r="AW4278" s="997"/>
      <c r="AX4278" s="997"/>
      <c r="AY4278" s="997"/>
      <c r="AZ4278" s="997"/>
      <c r="BA4278" s="997"/>
      <c r="BB4278" s="997"/>
      <c r="BC4278" s="997"/>
      <c r="BD4278" s="997"/>
      <c r="BE4278" s="997"/>
      <c r="BF4278" s="997"/>
      <c r="BG4278" s="997"/>
      <c r="BH4278" s="997"/>
      <c r="BI4278" s="997"/>
      <c r="BJ4278" s="997"/>
      <c r="BK4278" s="997"/>
      <c r="BL4278" s="997"/>
    </row>
    <row r="4279" spans="1:64">
      <c r="A4279" s="1797"/>
      <c r="B4279" s="1200"/>
      <c r="C4279" s="1807" t="str">
        <f>Input!$C$48</f>
        <v>Overheads &amp; Contractors Profit @ 13.615%</v>
      </c>
      <c r="D4279" s="1228">
        <f>Input!$D$48</f>
        <v>0.13614999999999999</v>
      </c>
      <c r="E4279" s="1297"/>
      <c r="F4279" s="1223">
        <f>I4278</f>
        <v>3610</v>
      </c>
      <c r="G4279" s="1272"/>
      <c r="H4279" s="1199"/>
      <c r="I4279" s="1205">
        <f t="shared" si="954"/>
        <v>491.50149999999996</v>
      </c>
      <c r="J4279" s="996"/>
      <c r="K4279" s="996"/>
      <c r="L4279" s="996"/>
      <c r="M4279" s="997"/>
      <c r="N4279" s="997"/>
      <c r="O4279" s="997"/>
      <c r="P4279" s="997"/>
      <c r="Q4279" s="997"/>
      <c r="R4279" s="997"/>
      <c r="S4279" s="997"/>
      <c r="T4279" s="997"/>
      <c r="U4279" s="997"/>
      <c r="V4279" s="997"/>
      <c r="W4279" s="997"/>
      <c r="X4279" s="997"/>
      <c r="Y4279" s="997"/>
      <c r="Z4279" s="997"/>
      <c r="AA4279" s="997"/>
      <c r="AB4279" s="997"/>
      <c r="AC4279" s="997"/>
      <c r="AD4279" s="997"/>
      <c r="AE4279" s="997"/>
      <c r="AF4279" s="997"/>
      <c r="AG4279" s="997"/>
      <c r="AH4279" s="997"/>
      <c r="AI4279" s="997"/>
      <c r="AJ4279" s="997"/>
      <c r="AK4279" s="997"/>
      <c r="AL4279" s="997"/>
      <c r="AM4279" s="997"/>
      <c r="AN4279" s="997"/>
      <c r="AO4279" s="997"/>
      <c r="AP4279" s="997"/>
      <c r="AQ4279" s="997"/>
      <c r="AR4279" s="997"/>
      <c r="AS4279" s="997"/>
      <c r="AT4279" s="997"/>
      <c r="AU4279" s="997"/>
      <c r="AV4279" s="997"/>
      <c r="AW4279" s="997"/>
      <c r="AX4279" s="997"/>
      <c r="AY4279" s="997"/>
      <c r="AZ4279" s="997"/>
      <c r="BA4279" s="997"/>
      <c r="BB4279" s="997"/>
      <c r="BC4279" s="997"/>
      <c r="BD4279" s="997"/>
      <c r="BE4279" s="997"/>
      <c r="BF4279" s="997"/>
      <c r="BG4279" s="997"/>
      <c r="BH4279" s="997"/>
      <c r="BI4279" s="997"/>
      <c r="BJ4279" s="997"/>
      <c r="BK4279" s="997"/>
      <c r="BL4279" s="997"/>
    </row>
    <row r="4280" spans="1:64">
      <c r="A4280" s="1797"/>
      <c r="B4280" s="1200"/>
      <c r="C4280" s="1795" t="s">
        <v>1045</v>
      </c>
      <c r="D4280" s="1203"/>
      <c r="E4280" s="1199"/>
      <c r="F4280" s="1201"/>
      <c r="G4280" s="1204"/>
      <c r="H4280" s="1199"/>
      <c r="I4280" s="1205">
        <f>SUM(I4278:I4279)</f>
        <v>4101.5015000000003</v>
      </c>
      <c r="J4280" s="996"/>
      <c r="K4280" s="996"/>
      <c r="L4280" s="996"/>
      <c r="M4280" s="997"/>
      <c r="N4280" s="997"/>
      <c r="O4280" s="997"/>
      <c r="P4280" s="997"/>
      <c r="Q4280" s="997"/>
      <c r="R4280" s="997"/>
      <c r="S4280" s="997"/>
      <c r="T4280" s="997"/>
      <c r="U4280" s="997"/>
      <c r="V4280" s="997"/>
      <c r="W4280" s="997"/>
      <c r="X4280" s="997"/>
      <c r="Y4280" s="997"/>
      <c r="Z4280" s="997"/>
      <c r="AA4280" s="997"/>
      <c r="AB4280" s="997"/>
      <c r="AC4280" s="997"/>
      <c r="AD4280" s="997"/>
      <c r="AE4280" s="997"/>
      <c r="AF4280" s="997"/>
      <c r="AG4280" s="997"/>
      <c r="AH4280" s="997"/>
      <c r="AI4280" s="997"/>
      <c r="AJ4280" s="997"/>
      <c r="AK4280" s="997"/>
      <c r="AL4280" s="997"/>
      <c r="AM4280" s="997"/>
      <c r="AN4280" s="997"/>
      <c r="AO4280" s="997"/>
      <c r="AP4280" s="997"/>
      <c r="AQ4280" s="997"/>
      <c r="AR4280" s="997"/>
      <c r="AS4280" s="997"/>
      <c r="AT4280" s="997"/>
      <c r="AU4280" s="997"/>
      <c r="AV4280" s="997"/>
      <c r="AW4280" s="997"/>
      <c r="AX4280" s="997"/>
      <c r="AY4280" s="997"/>
      <c r="AZ4280" s="997"/>
      <c r="BA4280" s="997"/>
      <c r="BB4280" s="997"/>
      <c r="BC4280" s="997"/>
      <c r="BD4280" s="997"/>
      <c r="BE4280" s="997"/>
      <c r="BF4280" s="997"/>
      <c r="BG4280" s="997"/>
      <c r="BH4280" s="997"/>
      <c r="BI4280" s="997"/>
      <c r="BJ4280" s="997"/>
      <c r="BK4280" s="997"/>
      <c r="BL4280" s="997"/>
    </row>
    <row r="4281" spans="1:64">
      <c r="A4281" s="1797"/>
      <c r="B4281" s="1797"/>
      <c r="C4281" s="1807"/>
      <c r="D4281" s="1214"/>
      <c r="E4281" s="1215"/>
      <c r="F4281" s="1216"/>
      <c r="G4281" s="1217"/>
      <c r="H4281" s="1382" t="s">
        <v>1065</v>
      </c>
      <c r="I4281" s="1218">
        <f>ROUND(I4280,0)</f>
        <v>4102</v>
      </c>
      <c r="J4281" s="996"/>
      <c r="K4281" s="996"/>
      <c r="L4281" s="996"/>
      <c r="M4281" s="997"/>
      <c r="N4281" s="997"/>
      <c r="O4281" s="997"/>
      <c r="P4281" s="997"/>
      <c r="Q4281" s="997"/>
      <c r="R4281" s="997"/>
      <c r="S4281" s="997"/>
      <c r="T4281" s="997"/>
      <c r="U4281" s="997"/>
      <c r="V4281" s="997"/>
      <c r="W4281" s="997"/>
      <c r="X4281" s="997"/>
      <c r="Y4281" s="997"/>
      <c r="Z4281" s="997"/>
      <c r="AA4281" s="997"/>
      <c r="AB4281" s="997"/>
      <c r="AC4281" s="997"/>
      <c r="AD4281" s="997"/>
      <c r="AE4281" s="997"/>
      <c r="AF4281" s="997"/>
      <c r="AG4281" s="997"/>
      <c r="AH4281" s="997"/>
      <c r="AI4281" s="997"/>
      <c r="AJ4281" s="997"/>
      <c r="AK4281" s="997"/>
      <c r="AL4281" s="997"/>
      <c r="AM4281" s="997"/>
      <c r="AN4281" s="997"/>
      <c r="AO4281" s="997"/>
      <c r="AP4281" s="997"/>
      <c r="AQ4281" s="997"/>
      <c r="AR4281" s="997"/>
      <c r="AS4281" s="997"/>
      <c r="AT4281" s="997"/>
      <c r="AU4281" s="997"/>
      <c r="AV4281" s="997"/>
      <c r="AW4281" s="997"/>
      <c r="AX4281" s="997"/>
      <c r="AY4281" s="997"/>
      <c r="AZ4281" s="997"/>
      <c r="BA4281" s="997"/>
      <c r="BB4281" s="997"/>
      <c r="BC4281" s="997"/>
      <c r="BD4281" s="997"/>
      <c r="BE4281" s="997"/>
      <c r="BF4281" s="997"/>
      <c r="BG4281" s="997"/>
      <c r="BH4281" s="997"/>
      <c r="BI4281" s="997"/>
      <c r="BJ4281" s="997"/>
      <c r="BK4281" s="997"/>
      <c r="BL4281" s="997"/>
    </row>
    <row r="4282" spans="1:64" ht="114.95" customHeight="1">
      <c r="A4282" s="2013">
        <f>A4266+1</f>
        <v>67</v>
      </c>
      <c r="B4282" s="2013"/>
      <c r="C4282" s="2006" t="s">
        <v>3474</v>
      </c>
      <c r="D4282" s="2006"/>
      <c r="E4282" s="2006"/>
      <c r="F4282" s="2006"/>
      <c r="G4282" s="2006"/>
      <c r="H4282" s="2006"/>
      <c r="I4282" s="1814"/>
      <c r="J4282" s="1846"/>
      <c r="K4282" s="1846"/>
      <c r="L4282" s="1846"/>
    </row>
    <row r="4283" spans="1:64" ht="14.65" customHeight="1">
      <c r="A4283" s="1798"/>
      <c r="B4283" s="1200"/>
      <c r="C4283" s="2026" t="s">
        <v>1606</v>
      </c>
      <c r="D4283" s="2026"/>
      <c r="E4283" s="2026"/>
      <c r="F4283" s="1201"/>
      <c r="G4283" s="1204"/>
      <c r="H4283" s="1199"/>
      <c r="I4283" s="1201"/>
      <c r="J4283" s="1846"/>
      <c r="K4283" s="1846"/>
      <c r="L4283" s="1846"/>
    </row>
    <row r="4284" spans="1:64">
      <c r="A4284" s="1798"/>
      <c r="B4284" s="1200"/>
      <c r="C4284" s="1807" t="s">
        <v>1607</v>
      </c>
      <c r="D4284" s="1203"/>
      <c r="E4284" s="1199"/>
      <c r="F4284" s="1201"/>
      <c r="G4284" s="1204"/>
      <c r="H4284" s="1199"/>
      <c r="I4284" s="1201"/>
      <c r="J4284" s="1846"/>
      <c r="K4284" s="1846"/>
      <c r="L4284" s="1846"/>
    </row>
    <row r="4285" spans="1:64">
      <c r="A4285" s="1798"/>
      <c r="B4285" s="1200"/>
      <c r="C4285" s="1795" t="s">
        <v>1432</v>
      </c>
      <c r="D4285" s="1203"/>
      <c r="E4285" s="1199"/>
      <c r="F4285" s="1201"/>
      <c r="G4285" s="1204"/>
      <c r="H4285" s="1199"/>
      <c r="I4285" s="1201"/>
      <c r="J4285" s="1846"/>
      <c r="K4285" s="1846"/>
      <c r="L4285" s="1846"/>
    </row>
    <row r="4286" spans="1:64" ht="25.5">
      <c r="A4286" s="1794"/>
      <c r="B4286" s="1794"/>
      <c r="C4286" s="1807" t="s">
        <v>1608</v>
      </c>
      <c r="D4286" s="1207">
        <v>1</v>
      </c>
      <c r="E4286" s="1208" t="s">
        <v>94</v>
      </c>
      <c r="F4286" s="1209">
        <f>'Civil-SOR'!$G$84</f>
        <v>599</v>
      </c>
      <c r="G4286" s="1210">
        <v>1</v>
      </c>
      <c r="H4286" s="1208" t="s">
        <v>94</v>
      </c>
      <c r="I4286" s="1211">
        <f t="shared" ref="I4286:I4291" si="955">IF(G4286="",D4286*F4286,(D4286*F4286/G4286))</f>
        <v>599</v>
      </c>
      <c r="J4286" s="1022"/>
      <c r="K4286" s="1022"/>
      <c r="L4286" s="1022"/>
      <c r="M4286" s="1066"/>
      <c r="N4286" s="1066"/>
      <c r="O4286" s="1066"/>
      <c r="P4286" s="1066"/>
      <c r="Q4286" s="1066"/>
      <c r="R4286" s="1066"/>
      <c r="S4286" s="1066"/>
      <c r="T4286" s="1066"/>
      <c r="U4286" s="1066"/>
      <c r="V4286" s="1066"/>
      <c r="W4286" s="1066"/>
      <c r="X4286" s="1066"/>
      <c r="Y4286" s="1066"/>
      <c r="Z4286" s="1066"/>
      <c r="AA4286" s="1066"/>
      <c r="AB4286" s="1066"/>
      <c r="AC4286" s="1066"/>
      <c r="AD4286" s="1066"/>
      <c r="AE4286" s="1066"/>
      <c r="AF4286" s="1066"/>
      <c r="AG4286" s="1066"/>
      <c r="AH4286" s="1066"/>
      <c r="AI4286" s="1066"/>
      <c r="AJ4286" s="1066"/>
      <c r="AK4286" s="1066"/>
      <c r="AL4286" s="1066"/>
      <c r="AM4286" s="1066"/>
      <c r="AN4286" s="1066"/>
      <c r="AO4286" s="1066"/>
      <c r="AP4286" s="1066"/>
      <c r="AQ4286" s="1066"/>
      <c r="AR4286" s="1066"/>
      <c r="AS4286" s="1066"/>
      <c r="AT4286" s="1066"/>
      <c r="AU4286" s="1066"/>
      <c r="AV4286" s="1066"/>
      <c r="AW4286" s="1066"/>
      <c r="AX4286" s="1066"/>
      <c r="AY4286" s="1066"/>
      <c r="AZ4286" s="1066"/>
      <c r="BA4286" s="1066"/>
      <c r="BB4286" s="1066"/>
      <c r="BC4286" s="1066"/>
      <c r="BD4286" s="1066"/>
      <c r="BE4286" s="1066"/>
      <c r="BF4286" s="1066"/>
      <c r="BG4286" s="1066"/>
      <c r="BH4286" s="1066"/>
      <c r="BI4286" s="1066"/>
      <c r="BJ4286" s="1066"/>
      <c r="BK4286" s="1066"/>
      <c r="BL4286" s="1066"/>
    </row>
    <row r="4287" spans="1:64" ht="25.5">
      <c r="A4287" s="1794"/>
      <c r="B4287" s="1794"/>
      <c r="C4287" s="1807" t="s">
        <v>1609</v>
      </c>
      <c r="D4287" s="1207">
        <v>0.4</v>
      </c>
      <c r="E4287" s="1208" t="s">
        <v>197</v>
      </c>
      <c r="F4287" s="1209">
        <f>'Civil-SOR'!$G$93</f>
        <v>42</v>
      </c>
      <c r="G4287" s="1210">
        <v>1</v>
      </c>
      <c r="H4287" s="1208" t="s">
        <v>197</v>
      </c>
      <c r="I4287" s="1211">
        <f t="shared" si="955"/>
        <v>16.8</v>
      </c>
      <c r="J4287" s="1022"/>
      <c r="K4287" s="1022"/>
      <c r="L4287" s="1022"/>
      <c r="M4287" s="1066"/>
      <c r="N4287" s="1066"/>
      <c r="O4287" s="1066"/>
      <c r="P4287" s="1066"/>
      <c r="Q4287" s="1066"/>
      <c r="R4287" s="1066"/>
      <c r="S4287" s="1066"/>
      <c r="T4287" s="1066"/>
      <c r="U4287" s="1066"/>
      <c r="V4287" s="1066"/>
      <c r="W4287" s="1066"/>
      <c r="X4287" s="1066"/>
      <c r="Y4287" s="1066"/>
      <c r="Z4287" s="1066"/>
      <c r="AA4287" s="1066"/>
      <c r="AB4287" s="1066"/>
      <c r="AC4287" s="1066"/>
      <c r="AD4287" s="1066"/>
      <c r="AE4287" s="1066"/>
      <c r="AF4287" s="1066"/>
      <c r="AG4287" s="1066"/>
      <c r="AH4287" s="1066"/>
      <c r="AI4287" s="1066"/>
      <c r="AJ4287" s="1066"/>
      <c r="AK4287" s="1066"/>
      <c r="AL4287" s="1066"/>
      <c r="AM4287" s="1066"/>
      <c r="AN4287" s="1066"/>
      <c r="AO4287" s="1066"/>
      <c r="AP4287" s="1066"/>
      <c r="AQ4287" s="1066"/>
      <c r="AR4287" s="1066"/>
      <c r="AS4287" s="1066"/>
      <c r="AT4287" s="1066"/>
      <c r="AU4287" s="1066"/>
      <c r="AV4287" s="1066"/>
      <c r="AW4287" s="1066"/>
      <c r="AX4287" s="1066"/>
      <c r="AY4287" s="1066"/>
      <c r="AZ4287" s="1066"/>
      <c r="BA4287" s="1066"/>
      <c r="BB4287" s="1066"/>
      <c r="BC4287" s="1066"/>
      <c r="BD4287" s="1066"/>
      <c r="BE4287" s="1066"/>
      <c r="BF4287" s="1066"/>
      <c r="BG4287" s="1066"/>
      <c r="BH4287" s="1066"/>
      <c r="BI4287" s="1066"/>
      <c r="BJ4287" s="1066"/>
      <c r="BK4287" s="1066"/>
      <c r="BL4287" s="1066"/>
    </row>
    <row r="4288" spans="1:64" ht="38.25">
      <c r="A4288" s="1794"/>
      <c r="B4288" s="1794"/>
      <c r="C4288" s="1807" t="s">
        <v>1610</v>
      </c>
      <c r="D4288" s="1207">
        <v>1.6</v>
      </c>
      <c r="E4288" s="1208" t="s">
        <v>197</v>
      </c>
      <c r="F4288" s="1209">
        <f>'Civil-SOR'!$G$94</f>
        <v>52</v>
      </c>
      <c r="G4288" s="1210">
        <v>1</v>
      </c>
      <c r="H4288" s="1208" t="s">
        <v>197</v>
      </c>
      <c r="I4288" s="1211">
        <f t="shared" si="955"/>
        <v>83.2</v>
      </c>
      <c r="J4288" s="1022"/>
      <c r="K4288" s="1022"/>
      <c r="L4288" s="1022"/>
      <c r="M4288" s="1066"/>
      <c r="N4288" s="1066"/>
      <c r="O4288" s="1066"/>
      <c r="P4288" s="1066"/>
      <c r="Q4288" s="1066"/>
      <c r="R4288" s="1066"/>
      <c r="S4288" s="1066"/>
      <c r="T4288" s="1066"/>
      <c r="U4288" s="1066"/>
      <c r="V4288" s="1066"/>
      <c r="W4288" s="1066"/>
      <c r="X4288" s="1066"/>
      <c r="Y4288" s="1066"/>
      <c r="Z4288" s="1066"/>
      <c r="AA4288" s="1066"/>
      <c r="AB4288" s="1066"/>
      <c r="AC4288" s="1066"/>
      <c r="AD4288" s="1066"/>
      <c r="AE4288" s="1066"/>
      <c r="AF4288" s="1066"/>
      <c r="AG4288" s="1066"/>
      <c r="AH4288" s="1066"/>
      <c r="AI4288" s="1066"/>
      <c r="AJ4288" s="1066"/>
      <c r="AK4288" s="1066"/>
      <c r="AL4288" s="1066"/>
      <c r="AM4288" s="1066"/>
      <c r="AN4288" s="1066"/>
      <c r="AO4288" s="1066"/>
      <c r="AP4288" s="1066"/>
      <c r="AQ4288" s="1066"/>
      <c r="AR4288" s="1066"/>
      <c r="AS4288" s="1066"/>
      <c r="AT4288" s="1066"/>
      <c r="AU4288" s="1066"/>
      <c r="AV4288" s="1066"/>
      <c r="AW4288" s="1066"/>
      <c r="AX4288" s="1066"/>
      <c r="AY4288" s="1066"/>
      <c r="AZ4288" s="1066"/>
      <c r="BA4288" s="1066"/>
      <c r="BB4288" s="1066"/>
      <c r="BC4288" s="1066"/>
      <c r="BD4288" s="1066"/>
      <c r="BE4288" s="1066"/>
      <c r="BF4288" s="1066"/>
      <c r="BG4288" s="1066"/>
      <c r="BH4288" s="1066"/>
      <c r="BI4288" s="1066"/>
      <c r="BJ4288" s="1066"/>
      <c r="BK4288" s="1066"/>
      <c r="BL4288" s="1066"/>
    </row>
    <row r="4289" spans="1:64" ht="25.5">
      <c r="A4289" s="1794"/>
      <c r="B4289" s="1794"/>
      <c r="C4289" s="1807" t="s">
        <v>1611</v>
      </c>
      <c r="D4289" s="1207">
        <v>1.6</v>
      </c>
      <c r="E4289" s="1208" t="s">
        <v>197</v>
      </c>
      <c r="F4289" s="1209">
        <f>'Civil-SOR'!$G$96</f>
        <v>48</v>
      </c>
      <c r="G4289" s="1210">
        <v>1</v>
      </c>
      <c r="H4289" s="1208" t="s">
        <v>197</v>
      </c>
      <c r="I4289" s="1211">
        <f t="shared" si="955"/>
        <v>76.800000000000011</v>
      </c>
      <c r="J4289" s="1022"/>
      <c r="K4289" s="1022"/>
      <c r="L4289" s="1022"/>
      <c r="M4289" s="1066"/>
      <c r="N4289" s="1066"/>
      <c r="O4289" s="1066"/>
      <c r="P4289" s="1066"/>
      <c r="Q4289" s="1066"/>
      <c r="R4289" s="1066"/>
      <c r="S4289" s="1066"/>
      <c r="T4289" s="1066"/>
      <c r="U4289" s="1066"/>
      <c r="V4289" s="1066"/>
      <c r="W4289" s="1066"/>
      <c r="X4289" s="1066"/>
      <c r="Y4289" s="1066"/>
      <c r="Z4289" s="1066"/>
      <c r="AA4289" s="1066"/>
      <c r="AB4289" s="1066"/>
      <c r="AC4289" s="1066"/>
      <c r="AD4289" s="1066"/>
      <c r="AE4289" s="1066"/>
      <c r="AF4289" s="1066"/>
      <c r="AG4289" s="1066"/>
      <c r="AH4289" s="1066"/>
      <c r="AI4289" s="1066"/>
      <c r="AJ4289" s="1066"/>
      <c r="AK4289" s="1066"/>
      <c r="AL4289" s="1066"/>
      <c r="AM4289" s="1066"/>
      <c r="AN4289" s="1066"/>
      <c r="AO4289" s="1066"/>
      <c r="AP4289" s="1066"/>
      <c r="AQ4289" s="1066"/>
      <c r="AR4289" s="1066"/>
      <c r="AS4289" s="1066"/>
      <c r="AT4289" s="1066"/>
      <c r="AU4289" s="1066"/>
      <c r="AV4289" s="1066"/>
      <c r="AW4289" s="1066"/>
      <c r="AX4289" s="1066"/>
      <c r="AY4289" s="1066"/>
      <c r="AZ4289" s="1066"/>
      <c r="BA4289" s="1066"/>
      <c r="BB4289" s="1066"/>
      <c r="BC4289" s="1066"/>
      <c r="BD4289" s="1066"/>
      <c r="BE4289" s="1066"/>
      <c r="BF4289" s="1066"/>
      <c r="BG4289" s="1066"/>
      <c r="BH4289" s="1066"/>
      <c r="BI4289" s="1066"/>
      <c r="BJ4289" s="1066"/>
      <c r="BK4289" s="1066"/>
      <c r="BL4289" s="1066"/>
    </row>
    <row r="4290" spans="1:64" ht="25.5">
      <c r="A4290" s="1794"/>
      <c r="B4290" s="1794"/>
      <c r="C4290" s="1807" t="s">
        <v>1612</v>
      </c>
      <c r="D4290" s="1207">
        <v>1.28</v>
      </c>
      <c r="E4290" s="1208" t="s">
        <v>197</v>
      </c>
      <c r="F4290" s="1209">
        <f>'Civil-SOR'!$G$109</f>
        <v>12</v>
      </c>
      <c r="G4290" s="1210">
        <v>1</v>
      </c>
      <c r="H4290" s="1208" t="s">
        <v>197</v>
      </c>
      <c r="I4290" s="1211">
        <f t="shared" si="955"/>
        <v>15.36</v>
      </c>
      <c r="J4290" s="1022"/>
      <c r="K4290" s="1022"/>
      <c r="L4290" s="1022"/>
      <c r="M4290" s="1066"/>
      <c r="N4290" s="1066"/>
      <c r="O4290" s="1066"/>
      <c r="P4290" s="1066"/>
      <c r="Q4290" s="1066"/>
      <c r="R4290" s="1066"/>
      <c r="S4290" s="1066"/>
      <c r="T4290" s="1066"/>
      <c r="U4290" s="1066"/>
      <c r="V4290" s="1066"/>
      <c r="W4290" s="1066"/>
      <c r="X4290" s="1066"/>
      <c r="Y4290" s="1066"/>
      <c r="Z4290" s="1066"/>
      <c r="AA4290" s="1066"/>
      <c r="AB4290" s="1066"/>
      <c r="AC4290" s="1066"/>
      <c r="AD4290" s="1066"/>
      <c r="AE4290" s="1066"/>
      <c r="AF4290" s="1066"/>
      <c r="AG4290" s="1066"/>
      <c r="AH4290" s="1066"/>
      <c r="AI4290" s="1066"/>
      <c r="AJ4290" s="1066"/>
      <c r="AK4290" s="1066"/>
      <c r="AL4290" s="1066"/>
      <c r="AM4290" s="1066"/>
      <c r="AN4290" s="1066"/>
      <c r="AO4290" s="1066"/>
      <c r="AP4290" s="1066"/>
      <c r="AQ4290" s="1066"/>
      <c r="AR4290" s="1066"/>
      <c r="AS4290" s="1066"/>
      <c r="AT4290" s="1066"/>
      <c r="AU4290" s="1066"/>
      <c r="AV4290" s="1066"/>
      <c r="AW4290" s="1066"/>
      <c r="AX4290" s="1066"/>
      <c r="AY4290" s="1066"/>
      <c r="AZ4290" s="1066"/>
      <c r="BA4290" s="1066"/>
      <c r="BB4290" s="1066"/>
      <c r="BC4290" s="1066"/>
      <c r="BD4290" s="1066"/>
      <c r="BE4290" s="1066"/>
      <c r="BF4290" s="1066"/>
      <c r="BG4290" s="1066"/>
      <c r="BH4290" s="1066"/>
      <c r="BI4290" s="1066"/>
      <c r="BJ4290" s="1066"/>
      <c r="BK4290" s="1066"/>
      <c r="BL4290" s="1066"/>
    </row>
    <row r="4291" spans="1:64">
      <c r="A4291" s="1794"/>
      <c r="B4291" s="1794"/>
      <c r="C4291" s="1807" t="s">
        <v>1613</v>
      </c>
      <c r="D4291" s="1207">
        <v>1.28</v>
      </c>
      <c r="E4291" s="1208" t="s">
        <v>36</v>
      </c>
      <c r="F4291" s="1209">
        <f>'Civil-SOR'!$G$100</f>
        <v>5</v>
      </c>
      <c r="G4291" s="1210">
        <v>1</v>
      </c>
      <c r="H4291" s="1208" t="s">
        <v>39</v>
      </c>
      <c r="I4291" s="1211">
        <f t="shared" si="955"/>
        <v>6.4</v>
      </c>
      <c r="J4291" s="1022"/>
      <c r="K4291" s="1022"/>
      <c r="L4291" s="1022"/>
      <c r="M4291" s="1066"/>
      <c r="N4291" s="1066"/>
      <c r="O4291" s="1066"/>
      <c r="P4291" s="1066"/>
      <c r="Q4291" s="1066"/>
      <c r="R4291" s="1066"/>
      <c r="S4291" s="1066"/>
      <c r="T4291" s="1066"/>
      <c r="U4291" s="1066"/>
      <c r="V4291" s="1066"/>
      <c r="W4291" s="1066"/>
      <c r="X4291" s="1066"/>
      <c r="Y4291" s="1066"/>
      <c r="Z4291" s="1066"/>
      <c r="AA4291" s="1066"/>
      <c r="AB4291" s="1066"/>
      <c r="AC4291" s="1066"/>
      <c r="AD4291" s="1066"/>
      <c r="AE4291" s="1066"/>
      <c r="AF4291" s="1066"/>
      <c r="AG4291" s="1066"/>
      <c r="AH4291" s="1066"/>
      <c r="AI4291" s="1066"/>
      <c r="AJ4291" s="1066"/>
      <c r="AK4291" s="1066"/>
      <c r="AL4291" s="1066"/>
      <c r="AM4291" s="1066"/>
      <c r="AN4291" s="1066"/>
      <c r="AO4291" s="1066"/>
      <c r="AP4291" s="1066"/>
      <c r="AQ4291" s="1066"/>
      <c r="AR4291" s="1066"/>
      <c r="AS4291" s="1066"/>
      <c r="AT4291" s="1066"/>
      <c r="AU4291" s="1066"/>
      <c r="AV4291" s="1066"/>
      <c r="AW4291" s="1066"/>
      <c r="AX4291" s="1066"/>
      <c r="AY4291" s="1066"/>
      <c r="AZ4291" s="1066"/>
      <c r="BA4291" s="1066"/>
      <c r="BB4291" s="1066"/>
      <c r="BC4291" s="1066"/>
      <c r="BD4291" s="1066"/>
      <c r="BE4291" s="1066"/>
      <c r="BF4291" s="1066"/>
      <c r="BG4291" s="1066"/>
      <c r="BH4291" s="1066"/>
      <c r="BI4291" s="1066"/>
      <c r="BJ4291" s="1066"/>
      <c r="BK4291" s="1066"/>
      <c r="BL4291" s="1066"/>
    </row>
    <row r="4292" spans="1:64">
      <c r="A4292" s="1794"/>
      <c r="B4292" s="1794"/>
      <c r="C4292" s="1795" t="s">
        <v>1614</v>
      </c>
      <c r="D4292" s="1207"/>
      <c r="E4292" s="1208"/>
      <c r="F4292" s="1209"/>
      <c r="G4292" s="1210"/>
      <c r="H4292" s="1208"/>
      <c r="I4292" s="1209"/>
      <c r="J4292" s="1022"/>
      <c r="K4292" s="1022"/>
      <c r="L4292" s="1022"/>
      <c r="M4292" s="1066"/>
      <c r="N4292" s="1066"/>
      <c r="O4292" s="1066"/>
      <c r="P4292" s="1066"/>
      <c r="Q4292" s="1066"/>
      <c r="R4292" s="1066"/>
      <c r="S4292" s="1066"/>
      <c r="T4292" s="1066"/>
      <c r="U4292" s="1066"/>
      <c r="V4292" s="1066"/>
      <c r="W4292" s="1066"/>
      <c r="X4292" s="1066"/>
      <c r="Y4292" s="1066"/>
      <c r="Z4292" s="1066"/>
      <c r="AA4292" s="1066"/>
      <c r="AB4292" s="1066"/>
      <c r="AC4292" s="1066"/>
      <c r="AD4292" s="1066"/>
      <c r="AE4292" s="1066"/>
      <c r="AF4292" s="1066"/>
      <c r="AG4292" s="1066"/>
      <c r="AH4292" s="1066"/>
      <c r="AI4292" s="1066"/>
      <c r="AJ4292" s="1066"/>
      <c r="AK4292" s="1066"/>
      <c r="AL4292" s="1066"/>
      <c r="AM4292" s="1066"/>
      <c r="AN4292" s="1066"/>
      <c r="AO4292" s="1066"/>
      <c r="AP4292" s="1066"/>
      <c r="AQ4292" s="1066"/>
      <c r="AR4292" s="1066"/>
      <c r="AS4292" s="1066"/>
      <c r="AT4292" s="1066"/>
      <c r="AU4292" s="1066"/>
      <c r="AV4292" s="1066"/>
      <c r="AW4292" s="1066"/>
      <c r="AX4292" s="1066"/>
      <c r="AY4292" s="1066"/>
      <c r="AZ4292" s="1066"/>
      <c r="BA4292" s="1066"/>
      <c r="BB4292" s="1066"/>
      <c r="BC4292" s="1066"/>
      <c r="BD4292" s="1066"/>
      <c r="BE4292" s="1066"/>
      <c r="BF4292" s="1066"/>
      <c r="BG4292" s="1066"/>
      <c r="BH4292" s="1066"/>
      <c r="BI4292" s="1066"/>
      <c r="BJ4292" s="1066"/>
      <c r="BK4292" s="1066"/>
      <c r="BL4292" s="1066"/>
    </row>
    <row r="4293" spans="1:64">
      <c r="A4293" s="1794"/>
      <c r="B4293" s="1794"/>
      <c r="C4293" s="1807" t="s">
        <v>1615</v>
      </c>
      <c r="D4293" s="1207">
        <v>0.12</v>
      </c>
      <c r="E4293" s="1208" t="s">
        <v>36</v>
      </c>
      <c r="F4293" s="1209">
        <f>'Civil-SOR'!$G$291</f>
        <v>685</v>
      </c>
      <c r="G4293" s="1210">
        <v>1</v>
      </c>
      <c r="H4293" s="1208" t="s">
        <v>39</v>
      </c>
      <c r="I4293" s="1211">
        <f t="shared" ref="I4293:I4300" si="956">IF(G4293="",D4293*F4293,(D4293*F4293/G4293))</f>
        <v>82.2</v>
      </c>
      <c r="J4293" s="1022"/>
      <c r="K4293" s="1022"/>
      <c r="L4293" s="1022"/>
      <c r="M4293" s="1066"/>
      <c r="N4293" s="1066"/>
      <c r="O4293" s="1066"/>
      <c r="P4293" s="1066"/>
      <c r="Q4293" s="1066"/>
      <c r="R4293" s="1066"/>
      <c r="S4293" s="1066"/>
      <c r="T4293" s="1066"/>
      <c r="U4293" s="1066"/>
      <c r="V4293" s="1066"/>
      <c r="W4293" s="1066"/>
      <c r="X4293" s="1066"/>
      <c r="Y4293" s="1066"/>
      <c r="Z4293" s="1066"/>
      <c r="AA4293" s="1066"/>
      <c r="AB4293" s="1066"/>
      <c r="AC4293" s="1066"/>
      <c r="AD4293" s="1066"/>
      <c r="AE4293" s="1066"/>
      <c r="AF4293" s="1066"/>
      <c r="AG4293" s="1066"/>
      <c r="AH4293" s="1066"/>
      <c r="AI4293" s="1066"/>
      <c r="AJ4293" s="1066"/>
      <c r="AK4293" s="1066"/>
      <c r="AL4293" s="1066"/>
      <c r="AM4293" s="1066"/>
      <c r="AN4293" s="1066"/>
      <c r="AO4293" s="1066"/>
      <c r="AP4293" s="1066"/>
      <c r="AQ4293" s="1066"/>
      <c r="AR4293" s="1066"/>
      <c r="AS4293" s="1066"/>
      <c r="AT4293" s="1066"/>
      <c r="AU4293" s="1066"/>
      <c r="AV4293" s="1066"/>
      <c r="AW4293" s="1066"/>
      <c r="AX4293" s="1066"/>
      <c r="AY4293" s="1066"/>
      <c r="AZ4293" s="1066"/>
      <c r="BA4293" s="1066"/>
      <c r="BB4293" s="1066"/>
      <c r="BC4293" s="1066"/>
      <c r="BD4293" s="1066"/>
      <c r="BE4293" s="1066"/>
      <c r="BF4293" s="1066"/>
      <c r="BG4293" s="1066"/>
      <c r="BH4293" s="1066"/>
      <c r="BI4293" s="1066"/>
      <c r="BJ4293" s="1066"/>
      <c r="BK4293" s="1066"/>
      <c r="BL4293" s="1066"/>
    </row>
    <row r="4294" spans="1:64">
      <c r="A4294" s="1794"/>
      <c r="B4294" s="1794"/>
      <c r="C4294" s="1807" t="s">
        <v>1616</v>
      </c>
      <c r="D4294" s="1207">
        <v>0.12</v>
      </c>
      <c r="E4294" s="1208" t="s">
        <v>36</v>
      </c>
      <c r="F4294" s="1209">
        <f>'Civil-SOR'!$G$300</f>
        <v>550</v>
      </c>
      <c r="G4294" s="1210">
        <v>1</v>
      </c>
      <c r="H4294" s="1208" t="s">
        <v>39</v>
      </c>
      <c r="I4294" s="1211">
        <f t="shared" si="956"/>
        <v>66</v>
      </c>
      <c r="J4294" s="1022"/>
      <c r="K4294" s="1022"/>
      <c r="L4294" s="1022"/>
      <c r="M4294" s="1066"/>
      <c r="N4294" s="1066"/>
      <c r="O4294" s="1066"/>
      <c r="P4294" s="1066"/>
      <c r="Q4294" s="1066"/>
      <c r="R4294" s="1066"/>
      <c r="S4294" s="1066"/>
      <c r="T4294" s="1066"/>
      <c r="U4294" s="1066"/>
      <c r="V4294" s="1066"/>
      <c r="W4294" s="1066"/>
      <c r="X4294" s="1066"/>
      <c r="Y4294" s="1066"/>
      <c r="Z4294" s="1066"/>
      <c r="AA4294" s="1066"/>
      <c r="AB4294" s="1066"/>
      <c r="AC4294" s="1066"/>
      <c r="AD4294" s="1066"/>
      <c r="AE4294" s="1066"/>
      <c r="AF4294" s="1066"/>
      <c r="AG4294" s="1066"/>
      <c r="AH4294" s="1066"/>
      <c r="AI4294" s="1066"/>
      <c r="AJ4294" s="1066"/>
      <c r="AK4294" s="1066"/>
      <c r="AL4294" s="1066"/>
      <c r="AM4294" s="1066"/>
      <c r="AN4294" s="1066"/>
      <c r="AO4294" s="1066"/>
      <c r="AP4294" s="1066"/>
      <c r="AQ4294" s="1066"/>
      <c r="AR4294" s="1066"/>
      <c r="AS4294" s="1066"/>
      <c r="AT4294" s="1066"/>
      <c r="AU4294" s="1066"/>
      <c r="AV4294" s="1066"/>
      <c r="AW4294" s="1066"/>
      <c r="AX4294" s="1066"/>
      <c r="AY4294" s="1066"/>
      <c r="AZ4294" s="1066"/>
      <c r="BA4294" s="1066"/>
      <c r="BB4294" s="1066"/>
      <c r="BC4294" s="1066"/>
      <c r="BD4294" s="1066"/>
      <c r="BE4294" s="1066"/>
      <c r="BF4294" s="1066"/>
      <c r="BG4294" s="1066"/>
      <c r="BH4294" s="1066"/>
      <c r="BI4294" s="1066"/>
      <c r="BJ4294" s="1066"/>
      <c r="BK4294" s="1066"/>
      <c r="BL4294" s="1066"/>
    </row>
    <row r="4295" spans="1:64">
      <c r="A4295" s="1794"/>
      <c r="B4295" s="1794"/>
      <c r="C4295" s="1807" t="s">
        <v>1557</v>
      </c>
      <c r="D4295" s="1383">
        <v>2.4E-2</v>
      </c>
      <c r="E4295" s="1208" t="s">
        <v>36</v>
      </c>
      <c r="F4295" s="1209">
        <f>'Civil-SOR'!$G$296</f>
        <v>665</v>
      </c>
      <c r="G4295" s="1210">
        <v>1</v>
      </c>
      <c r="H4295" s="1208" t="s">
        <v>39</v>
      </c>
      <c r="I4295" s="1211">
        <f t="shared" si="956"/>
        <v>15.96</v>
      </c>
      <c r="J4295" s="1022"/>
      <c r="K4295" s="1022"/>
      <c r="L4295" s="1022"/>
      <c r="M4295" s="1066"/>
      <c r="N4295" s="1066"/>
      <c r="O4295" s="1066"/>
      <c r="P4295" s="1066"/>
      <c r="Q4295" s="1066"/>
      <c r="R4295" s="1066"/>
      <c r="S4295" s="1066"/>
      <c r="T4295" s="1066"/>
      <c r="U4295" s="1066"/>
      <c r="V4295" s="1066"/>
      <c r="W4295" s="1066"/>
      <c r="X4295" s="1066"/>
      <c r="Y4295" s="1066"/>
      <c r="Z4295" s="1066"/>
      <c r="AA4295" s="1066"/>
      <c r="AB4295" s="1066"/>
      <c r="AC4295" s="1066"/>
      <c r="AD4295" s="1066"/>
      <c r="AE4295" s="1066"/>
      <c r="AF4295" s="1066"/>
      <c r="AG4295" s="1066"/>
      <c r="AH4295" s="1066"/>
      <c r="AI4295" s="1066"/>
      <c r="AJ4295" s="1066"/>
      <c r="AK4295" s="1066"/>
      <c r="AL4295" s="1066"/>
      <c r="AM4295" s="1066"/>
      <c r="AN4295" s="1066"/>
      <c r="AO4295" s="1066"/>
      <c r="AP4295" s="1066"/>
      <c r="AQ4295" s="1066"/>
      <c r="AR4295" s="1066"/>
      <c r="AS4295" s="1066"/>
      <c r="AT4295" s="1066"/>
      <c r="AU4295" s="1066"/>
      <c r="AV4295" s="1066"/>
      <c r="AW4295" s="1066"/>
      <c r="AX4295" s="1066"/>
      <c r="AY4295" s="1066"/>
      <c r="AZ4295" s="1066"/>
      <c r="BA4295" s="1066"/>
      <c r="BB4295" s="1066"/>
      <c r="BC4295" s="1066"/>
      <c r="BD4295" s="1066"/>
      <c r="BE4295" s="1066"/>
      <c r="BF4295" s="1066"/>
      <c r="BG4295" s="1066"/>
      <c r="BH4295" s="1066"/>
      <c r="BI4295" s="1066"/>
      <c r="BJ4295" s="1066"/>
      <c r="BK4295" s="1066"/>
      <c r="BL4295" s="1066"/>
    </row>
    <row r="4296" spans="1:64">
      <c r="A4296" s="1794"/>
      <c r="B4296" s="1794"/>
      <c r="C4296" s="1807" t="s">
        <v>1558</v>
      </c>
      <c r="D4296" s="1383">
        <v>2.4E-2</v>
      </c>
      <c r="E4296" s="1208" t="s">
        <v>36</v>
      </c>
      <c r="F4296" s="1209">
        <f>'Civil-SOR'!$G$303</f>
        <v>550</v>
      </c>
      <c r="G4296" s="1210">
        <v>1</v>
      </c>
      <c r="H4296" s="1208" t="s">
        <v>39</v>
      </c>
      <c r="I4296" s="1211">
        <f t="shared" si="956"/>
        <v>13.200000000000001</v>
      </c>
      <c r="J4296" s="1022"/>
      <c r="K4296" s="1022"/>
      <c r="L4296" s="1022"/>
      <c r="M4296" s="1066"/>
      <c r="N4296" s="1066"/>
      <c r="O4296" s="1066"/>
      <c r="P4296" s="1066"/>
      <c r="Q4296" s="1066"/>
      <c r="R4296" s="1066"/>
      <c r="S4296" s="1066"/>
      <c r="T4296" s="1066"/>
      <c r="U4296" s="1066"/>
      <c r="V4296" s="1066"/>
      <c r="W4296" s="1066"/>
      <c r="X4296" s="1066"/>
      <c r="Y4296" s="1066"/>
      <c r="Z4296" s="1066"/>
      <c r="AA4296" s="1066"/>
      <c r="AB4296" s="1066"/>
      <c r="AC4296" s="1066"/>
      <c r="AD4296" s="1066"/>
      <c r="AE4296" s="1066"/>
      <c r="AF4296" s="1066"/>
      <c r="AG4296" s="1066"/>
      <c r="AH4296" s="1066"/>
      <c r="AI4296" s="1066"/>
      <c r="AJ4296" s="1066"/>
      <c r="AK4296" s="1066"/>
      <c r="AL4296" s="1066"/>
      <c r="AM4296" s="1066"/>
      <c r="AN4296" s="1066"/>
      <c r="AO4296" s="1066"/>
      <c r="AP4296" s="1066"/>
      <c r="AQ4296" s="1066"/>
      <c r="AR4296" s="1066"/>
      <c r="AS4296" s="1066"/>
      <c r="AT4296" s="1066"/>
      <c r="AU4296" s="1066"/>
      <c r="AV4296" s="1066"/>
      <c r="AW4296" s="1066"/>
      <c r="AX4296" s="1066"/>
      <c r="AY4296" s="1066"/>
      <c r="AZ4296" s="1066"/>
      <c r="BA4296" s="1066"/>
      <c r="BB4296" s="1066"/>
      <c r="BC4296" s="1066"/>
      <c r="BD4296" s="1066"/>
      <c r="BE4296" s="1066"/>
      <c r="BF4296" s="1066"/>
      <c r="BG4296" s="1066"/>
      <c r="BH4296" s="1066"/>
      <c r="BI4296" s="1066"/>
      <c r="BJ4296" s="1066"/>
      <c r="BK4296" s="1066"/>
      <c r="BL4296" s="1066"/>
    </row>
    <row r="4297" spans="1:64">
      <c r="A4297" s="1794"/>
      <c r="B4297" s="1794"/>
      <c r="C4297" s="1807" t="s">
        <v>1617</v>
      </c>
      <c r="D4297" s="1383">
        <v>1.2E-2</v>
      </c>
      <c r="E4297" s="1208" t="s">
        <v>36</v>
      </c>
      <c r="F4297" s="1209">
        <f>'Civil-SOR'!G297</f>
        <v>675</v>
      </c>
      <c r="G4297" s="1210">
        <v>1</v>
      </c>
      <c r="H4297" s="1208" t="s">
        <v>39</v>
      </c>
      <c r="I4297" s="1211">
        <f t="shared" si="956"/>
        <v>8.1</v>
      </c>
      <c r="J4297" s="1022"/>
      <c r="K4297" s="1022"/>
      <c r="L4297" s="1022"/>
      <c r="M4297" s="1066"/>
      <c r="N4297" s="1066"/>
      <c r="O4297" s="1066"/>
      <c r="P4297" s="1066"/>
      <c r="Q4297" s="1066"/>
      <c r="R4297" s="1066"/>
      <c r="S4297" s="1066"/>
      <c r="T4297" s="1066"/>
      <c r="U4297" s="1066"/>
      <c r="V4297" s="1066"/>
      <c r="W4297" s="1066"/>
      <c r="X4297" s="1066"/>
      <c r="Y4297" s="1066"/>
      <c r="Z4297" s="1066"/>
      <c r="AA4297" s="1066"/>
      <c r="AB4297" s="1066"/>
      <c r="AC4297" s="1066"/>
      <c r="AD4297" s="1066"/>
      <c r="AE4297" s="1066"/>
      <c r="AF4297" s="1066"/>
      <c r="AG4297" s="1066"/>
      <c r="AH4297" s="1066"/>
      <c r="AI4297" s="1066"/>
      <c r="AJ4297" s="1066"/>
      <c r="AK4297" s="1066"/>
      <c r="AL4297" s="1066"/>
      <c r="AM4297" s="1066"/>
      <c r="AN4297" s="1066"/>
      <c r="AO4297" s="1066"/>
      <c r="AP4297" s="1066"/>
      <c r="AQ4297" s="1066"/>
      <c r="AR4297" s="1066"/>
      <c r="AS4297" s="1066"/>
      <c r="AT4297" s="1066"/>
      <c r="AU4297" s="1066"/>
      <c r="AV4297" s="1066"/>
      <c r="AW4297" s="1066"/>
      <c r="AX4297" s="1066"/>
      <c r="AY4297" s="1066"/>
      <c r="AZ4297" s="1066"/>
      <c r="BA4297" s="1066"/>
      <c r="BB4297" s="1066"/>
      <c r="BC4297" s="1066"/>
      <c r="BD4297" s="1066"/>
      <c r="BE4297" s="1066"/>
      <c r="BF4297" s="1066"/>
      <c r="BG4297" s="1066"/>
      <c r="BH4297" s="1066"/>
      <c r="BI4297" s="1066"/>
      <c r="BJ4297" s="1066"/>
      <c r="BK4297" s="1066"/>
      <c r="BL4297" s="1066"/>
    </row>
    <row r="4298" spans="1:64">
      <c r="A4298" s="1794"/>
      <c r="B4298" s="1794"/>
      <c r="C4298" s="1807" t="s">
        <v>1618</v>
      </c>
      <c r="D4298" s="1383">
        <v>1.2E-2</v>
      </c>
      <c r="E4298" s="1208" t="s">
        <v>36</v>
      </c>
      <c r="F4298" s="1209">
        <f>'Civil-SOR'!G297</f>
        <v>675</v>
      </c>
      <c r="G4298" s="1210">
        <v>1</v>
      </c>
      <c r="H4298" s="1208" t="s">
        <v>39</v>
      </c>
      <c r="I4298" s="1211">
        <f t="shared" si="956"/>
        <v>8.1</v>
      </c>
      <c r="J4298" s="1022"/>
      <c r="K4298" s="1022"/>
      <c r="L4298" s="1022"/>
      <c r="M4298" s="1066"/>
      <c r="N4298" s="1066" t="s">
        <v>1619</v>
      </c>
      <c r="O4298" s="1066"/>
      <c r="P4298" s="1066"/>
      <c r="Q4298" s="1066"/>
      <c r="R4298" s="1066"/>
      <c r="S4298" s="1066"/>
      <c r="T4298" s="1066"/>
      <c r="U4298" s="1066"/>
      <c r="V4298" s="1066"/>
      <c r="W4298" s="1066"/>
      <c r="X4298" s="1066"/>
      <c r="Y4298" s="1066"/>
      <c r="Z4298" s="1066"/>
      <c r="AA4298" s="1066"/>
      <c r="AB4298" s="1066"/>
      <c r="AC4298" s="1066"/>
      <c r="AD4298" s="1066"/>
      <c r="AE4298" s="1066"/>
      <c r="AF4298" s="1066"/>
      <c r="AG4298" s="1066"/>
      <c r="AH4298" s="1066"/>
      <c r="AI4298" s="1066"/>
      <c r="AJ4298" s="1066"/>
      <c r="AK4298" s="1066"/>
      <c r="AL4298" s="1066"/>
      <c r="AM4298" s="1066"/>
      <c r="AN4298" s="1066"/>
      <c r="AO4298" s="1066"/>
      <c r="AP4298" s="1066"/>
      <c r="AQ4298" s="1066"/>
      <c r="AR4298" s="1066"/>
      <c r="AS4298" s="1066"/>
      <c r="AT4298" s="1066"/>
      <c r="AU4298" s="1066"/>
      <c r="AV4298" s="1066"/>
      <c r="AW4298" s="1066"/>
      <c r="AX4298" s="1066"/>
      <c r="AY4298" s="1066"/>
      <c r="AZ4298" s="1066"/>
      <c r="BA4298" s="1066"/>
      <c r="BB4298" s="1066"/>
      <c r="BC4298" s="1066"/>
      <c r="BD4298" s="1066"/>
      <c r="BE4298" s="1066"/>
      <c r="BF4298" s="1066"/>
      <c r="BG4298" s="1066"/>
      <c r="BH4298" s="1066"/>
      <c r="BI4298" s="1066"/>
      <c r="BJ4298" s="1066"/>
      <c r="BK4298" s="1066"/>
      <c r="BL4298" s="1066"/>
    </row>
    <row r="4299" spans="1:64">
      <c r="A4299" s="1794"/>
      <c r="B4299" s="1794"/>
      <c r="C4299" s="1807" t="s">
        <v>1620</v>
      </c>
      <c r="D4299" s="1383">
        <v>7.1999999999999995E-2</v>
      </c>
      <c r="E4299" s="1208" t="s">
        <v>36</v>
      </c>
      <c r="F4299" s="1209">
        <f>'Civil-SOR'!$G$307</f>
        <v>520</v>
      </c>
      <c r="G4299" s="1210">
        <v>1</v>
      </c>
      <c r="H4299" s="1208" t="s">
        <v>39</v>
      </c>
      <c r="I4299" s="1211">
        <f t="shared" si="956"/>
        <v>37.44</v>
      </c>
      <c r="J4299" s="1022"/>
      <c r="K4299" s="1022"/>
      <c r="L4299" s="1022"/>
      <c r="M4299" s="1066"/>
      <c r="N4299" s="1066"/>
      <c r="O4299" s="1066"/>
      <c r="P4299" s="1066"/>
      <c r="Q4299" s="1066"/>
      <c r="R4299" s="1066"/>
      <c r="S4299" s="1066"/>
      <c r="T4299" s="1066"/>
      <c r="U4299" s="1066"/>
      <c r="V4299" s="1066"/>
      <c r="W4299" s="1066"/>
      <c r="X4299" s="1066"/>
      <c r="Y4299" s="1066"/>
      <c r="Z4299" s="1066"/>
      <c r="AA4299" s="1066"/>
      <c r="AB4299" s="1066"/>
      <c r="AC4299" s="1066"/>
      <c r="AD4299" s="1066"/>
      <c r="AE4299" s="1066"/>
      <c r="AF4299" s="1066"/>
      <c r="AG4299" s="1066"/>
      <c r="AH4299" s="1066"/>
      <c r="AI4299" s="1066"/>
      <c r="AJ4299" s="1066"/>
      <c r="AK4299" s="1066"/>
      <c r="AL4299" s="1066"/>
      <c r="AM4299" s="1066"/>
      <c r="AN4299" s="1066"/>
      <c r="AO4299" s="1066"/>
      <c r="AP4299" s="1066"/>
      <c r="AQ4299" s="1066"/>
      <c r="AR4299" s="1066"/>
      <c r="AS4299" s="1066"/>
      <c r="AT4299" s="1066"/>
      <c r="AU4299" s="1066"/>
      <c r="AV4299" s="1066"/>
      <c r="AW4299" s="1066"/>
      <c r="AX4299" s="1066"/>
      <c r="AY4299" s="1066"/>
      <c r="AZ4299" s="1066"/>
      <c r="BA4299" s="1066"/>
      <c r="BB4299" s="1066"/>
      <c r="BC4299" s="1066"/>
      <c r="BD4299" s="1066"/>
      <c r="BE4299" s="1066"/>
      <c r="BF4299" s="1066"/>
      <c r="BG4299" s="1066"/>
      <c r="BH4299" s="1066"/>
      <c r="BI4299" s="1066"/>
      <c r="BJ4299" s="1066"/>
      <c r="BK4299" s="1066"/>
      <c r="BL4299" s="1066"/>
    </row>
    <row r="4300" spans="1:64">
      <c r="A4300" s="1794"/>
      <c r="B4300" s="1794"/>
      <c r="C4300" s="1807" t="str">
        <f>Input!$C$47</f>
        <v>Add for MA @ 40%</v>
      </c>
      <c r="D4300" s="1287">
        <f>Input!$D$47</f>
        <v>0.4</v>
      </c>
      <c r="E4300" s="1208"/>
      <c r="F4300" s="1209">
        <f>SUM(I4293:I4299)</f>
        <v>230.99999999999997</v>
      </c>
      <c r="G4300" s="1210"/>
      <c r="H4300" s="1208"/>
      <c r="I4300" s="1211">
        <f t="shared" si="956"/>
        <v>92.399999999999991</v>
      </c>
      <c r="J4300" s="1022"/>
      <c r="K4300" s="1022"/>
      <c r="L4300" s="1022"/>
      <c r="M4300" s="1066"/>
      <c r="N4300" s="1066"/>
      <c r="O4300" s="1066"/>
      <c r="P4300" s="1066"/>
      <c r="Q4300" s="1066"/>
      <c r="R4300" s="1066"/>
      <c r="S4300" s="1066"/>
      <c r="T4300" s="1066"/>
      <c r="U4300" s="1066"/>
      <c r="V4300" s="1066"/>
      <c r="W4300" s="1066"/>
      <c r="X4300" s="1066"/>
      <c r="Y4300" s="1066"/>
      <c r="Z4300" s="1066"/>
      <c r="AA4300" s="1066"/>
      <c r="AB4300" s="1066"/>
      <c r="AC4300" s="1066"/>
      <c r="AD4300" s="1066"/>
      <c r="AE4300" s="1066"/>
      <c r="AF4300" s="1066"/>
      <c r="AG4300" s="1066"/>
      <c r="AH4300" s="1066"/>
      <c r="AI4300" s="1066"/>
      <c r="AJ4300" s="1066"/>
      <c r="AK4300" s="1066"/>
      <c r="AL4300" s="1066"/>
      <c r="AM4300" s="1066"/>
      <c r="AN4300" s="1066"/>
      <c r="AO4300" s="1066"/>
      <c r="AP4300" s="1066"/>
      <c r="AQ4300" s="1066"/>
      <c r="AR4300" s="1066"/>
      <c r="AS4300" s="1066"/>
      <c r="AT4300" s="1066"/>
      <c r="AU4300" s="1066"/>
      <c r="AV4300" s="1066"/>
      <c r="AW4300" s="1066"/>
      <c r="AX4300" s="1066"/>
      <c r="AY4300" s="1066"/>
      <c r="AZ4300" s="1066"/>
      <c r="BA4300" s="1066"/>
      <c r="BB4300" s="1066"/>
      <c r="BC4300" s="1066"/>
      <c r="BD4300" s="1066"/>
      <c r="BE4300" s="1066"/>
      <c r="BF4300" s="1066"/>
      <c r="BG4300" s="1066"/>
      <c r="BH4300" s="1066"/>
      <c r="BI4300" s="1066"/>
      <c r="BJ4300" s="1066"/>
      <c r="BK4300" s="1066"/>
      <c r="BL4300" s="1066"/>
    </row>
    <row r="4301" spans="1:64">
      <c r="A4301" s="1794"/>
      <c r="B4301" s="1794"/>
      <c r="C4301" s="1795" t="s">
        <v>1621</v>
      </c>
      <c r="D4301" s="1207"/>
      <c r="E4301" s="1208"/>
      <c r="F4301" s="1209"/>
      <c r="G4301" s="1210"/>
      <c r="H4301" s="1208"/>
      <c r="I4301" s="1209"/>
      <c r="J4301" s="1022"/>
      <c r="K4301" s="1022"/>
      <c r="L4301" s="1022"/>
      <c r="M4301" s="1066"/>
      <c r="N4301" s="1066"/>
      <c r="O4301" s="1066"/>
      <c r="P4301" s="1066"/>
      <c r="Q4301" s="1066"/>
      <c r="R4301" s="1066"/>
      <c r="S4301" s="1066"/>
      <c r="T4301" s="1066"/>
      <c r="U4301" s="1066"/>
      <c r="V4301" s="1066"/>
      <c r="W4301" s="1066"/>
      <c r="X4301" s="1066"/>
      <c r="Y4301" s="1066"/>
      <c r="Z4301" s="1066"/>
      <c r="AA4301" s="1066"/>
      <c r="AB4301" s="1066"/>
      <c r="AC4301" s="1066"/>
      <c r="AD4301" s="1066"/>
      <c r="AE4301" s="1066"/>
      <c r="AF4301" s="1066"/>
      <c r="AG4301" s="1066"/>
      <c r="AH4301" s="1066"/>
      <c r="AI4301" s="1066"/>
      <c r="AJ4301" s="1066"/>
      <c r="AK4301" s="1066"/>
      <c r="AL4301" s="1066"/>
      <c r="AM4301" s="1066"/>
      <c r="AN4301" s="1066"/>
      <c r="AO4301" s="1066"/>
      <c r="AP4301" s="1066"/>
      <c r="AQ4301" s="1066"/>
      <c r="AR4301" s="1066"/>
      <c r="AS4301" s="1066"/>
      <c r="AT4301" s="1066"/>
      <c r="AU4301" s="1066"/>
      <c r="AV4301" s="1066"/>
      <c r="AW4301" s="1066"/>
      <c r="AX4301" s="1066"/>
      <c r="AY4301" s="1066"/>
      <c r="AZ4301" s="1066"/>
      <c r="BA4301" s="1066"/>
      <c r="BB4301" s="1066"/>
      <c r="BC4301" s="1066"/>
      <c r="BD4301" s="1066"/>
      <c r="BE4301" s="1066"/>
      <c r="BF4301" s="1066"/>
      <c r="BG4301" s="1066"/>
      <c r="BH4301" s="1066"/>
      <c r="BI4301" s="1066"/>
      <c r="BJ4301" s="1066"/>
      <c r="BK4301" s="1066"/>
      <c r="BL4301" s="1066"/>
    </row>
    <row r="4302" spans="1:64" ht="25.5">
      <c r="A4302" s="1794"/>
      <c r="B4302" s="1794"/>
      <c r="C4302" s="1807" t="s">
        <v>1622</v>
      </c>
      <c r="D4302" s="1207">
        <v>0.32</v>
      </c>
      <c r="E4302" s="1208" t="s">
        <v>1107</v>
      </c>
      <c r="F4302" s="1209">
        <f>'Civil-SOR'!$G$194</f>
        <v>146</v>
      </c>
      <c r="G4302" s="1210">
        <v>1</v>
      </c>
      <c r="H4302" s="1208" t="s">
        <v>39</v>
      </c>
      <c r="I4302" s="1211">
        <f t="shared" ref="I4302:I4303" si="957">IF(G4302="",D4302*F4302,(D4302*F4302/G4302))</f>
        <v>46.72</v>
      </c>
      <c r="J4302" s="1022"/>
      <c r="K4302" s="1022"/>
      <c r="L4302" s="1022"/>
      <c r="M4302" s="1066"/>
      <c r="N4302" s="1066"/>
      <c r="O4302" s="1066"/>
      <c r="P4302" s="1066"/>
      <c r="Q4302" s="1066"/>
      <c r="R4302" s="1066"/>
      <c r="S4302" s="1066"/>
      <c r="T4302" s="1066"/>
      <c r="U4302" s="1066"/>
      <c r="V4302" s="1066"/>
      <c r="W4302" s="1066"/>
      <c r="X4302" s="1066"/>
      <c r="Y4302" s="1066"/>
      <c r="Z4302" s="1066"/>
      <c r="AA4302" s="1066"/>
      <c r="AB4302" s="1066"/>
      <c r="AC4302" s="1066"/>
      <c r="AD4302" s="1066"/>
      <c r="AE4302" s="1066"/>
      <c r="AF4302" s="1066"/>
      <c r="AG4302" s="1066"/>
      <c r="AH4302" s="1066"/>
      <c r="AI4302" s="1066"/>
      <c r="AJ4302" s="1066"/>
      <c r="AK4302" s="1066"/>
      <c r="AL4302" s="1066"/>
      <c r="AM4302" s="1066"/>
      <c r="AN4302" s="1066"/>
      <c r="AO4302" s="1066"/>
      <c r="AP4302" s="1066"/>
      <c r="AQ4302" s="1066"/>
      <c r="AR4302" s="1066"/>
      <c r="AS4302" s="1066"/>
      <c r="AT4302" s="1066"/>
      <c r="AU4302" s="1066"/>
      <c r="AV4302" s="1066"/>
      <c r="AW4302" s="1066"/>
      <c r="AX4302" s="1066"/>
      <c r="AY4302" s="1066"/>
      <c r="AZ4302" s="1066"/>
      <c r="BA4302" s="1066"/>
      <c r="BB4302" s="1066"/>
      <c r="BC4302" s="1066"/>
      <c r="BD4302" s="1066"/>
      <c r="BE4302" s="1066"/>
      <c r="BF4302" s="1066"/>
      <c r="BG4302" s="1066"/>
      <c r="BH4302" s="1066"/>
      <c r="BI4302" s="1066"/>
      <c r="BJ4302" s="1066"/>
      <c r="BK4302" s="1066"/>
      <c r="BL4302" s="1066"/>
    </row>
    <row r="4303" spans="1:64" ht="25.5">
      <c r="A4303" s="1794"/>
      <c r="B4303" s="1794"/>
      <c r="C4303" s="1807" t="s">
        <v>1623</v>
      </c>
      <c r="D4303" s="1207">
        <v>0.32</v>
      </c>
      <c r="E4303" s="1208" t="s">
        <v>1107</v>
      </c>
      <c r="F4303" s="1209">
        <f>'Civil-SOR'!$G$195</f>
        <v>137</v>
      </c>
      <c r="G4303" s="1210">
        <v>1</v>
      </c>
      <c r="H4303" s="1208" t="s">
        <v>39</v>
      </c>
      <c r="I4303" s="1211">
        <f t="shared" si="957"/>
        <v>43.84</v>
      </c>
      <c r="J4303" s="1022"/>
      <c r="K4303" s="1022"/>
      <c r="L4303" s="1022"/>
      <c r="M4303" s="1066"/>
      <c r="N4303" s="1066"/>
      <c r="O4303" s="1066"/>
      <c r="P4303" s="1066"/>
      <c r="Q4303" s="1066"/>
      <c r="R4303" s="1066"/>
      <c r="S4303" s="1066"/>
      <c r="T4303" s="1066"/>
      <c r="U4303" s="1066"/>
      <c r="V4303" s="1066"/>
      <c r="W4303" s="1066"/>
      <c r="X4303" s="1066"/>
      <c r="Y4303" s="1066"/>
      <c r="Z4303" s="1066"/>
      <c r="AA4303" s="1066"/>
      <c r="AB4303" s="1066"/>
      <c r="AC4303" s="1066"/>
      <c r="AD4303" s="1066"/>
      <c r="AE4303" s="1066"/>
      <c r="AF4303" s="1066"/>
      <c r="AG4303" s="1066"/>
      <c r="AH4303" s="1066"/>
      <c r="AI4303" s="1066"/>
      <c r="AJ4303" s="1066"/>
      <c r="AK4303" s="1066"/>
      <c r="AL4303" s="1066"/>
      <c r="AM4303" s="1066"/>
      <c r="AN4303" s="1066"/>
      <c r="AO4303" s="1066"/>
      <c r="AP4303" s="1066"/>
      <c r="AQ4303" s="1066"/>
      <c r="AR4303" s="1066"/>
      <c r="AS4303" s="1066"/>
      <c r="AT4303" s="1066"/>
      <c r="AU4303" s="1066"/>
      <c r="AV4303" s="1066"/>
      <c r="AW4303" s="1066"/>
      <c r="AX4303" s="1066"/>
      <c r="AY4303" s="1066"/>
      <c r="AZ4303" s="1066"/>
      <c r="BA4303" s="1066"/>
      <c r="BB4303" s="1066"/>
      <c r="BC4303" s="1066"/>
      <c r="BD4303" s="1066"/>
      <c r="BE4303" s="1066"/>
      <c r="BF4303" s="1066"/>
      <c r="BG4303" s="1066"/>
      <c r="BH4303" s="1066"/>
      <c r="BI4303" s="1066"/>
      <c r="BJ4303" s="1066"/>
      <c r="BK4303" s="1066"/>
      <c r="BL4303" s="1066"/>
    </row>
    <row r="4304" spans="1:64">
      <c r="A4304" s="1794"/>
      <c r="B4304" s="1794"/>
      <c r="C4304" s="1807"/>
      <c r="D4304" s="1207"/>
      <c r="E4304" s="1208"/>
      <c r="F4304" s="1209"/>
      <c r="G4304" s="1210"/>
      <c r="H4304" s="1208"/>
      <c r="I4304" s="1307">
        <f>SUM(I4286:I4303)</f>
        <v>1211.5200000000002</v>
      </c>
      <c r="J4304" s="1022"/>
      <c r="K4304" s="1022"/>
      <c r="L4304" s="1022"/>
      <c r="M4304" s="1066"/>
      <c r="N4304" s="1066"/>
      <c r="O4304" s="1066"/>
      <c r="P4304" s="1066"/>
      <c r="Q4304" s="1066"/>
      <c r="R4304" s="1066"/>
      <c r="S4304" s="1066"/>
      <c r="T4304" s="1066"/>
      <c r="U4304" s="1066"/>
      <c r="V4304" s="1066"/>
      <c r="W4304" s="1066"/>
      <c r="X4304" s="1066"/>
      <c r="Y4304" s="1066"/>
      <c r="Z4304" s="1066"/>
      <c r="AA4304" s="1066"/>
      <c r="AB4304" s="1066"/>
      <c r="AC4304" s="1066"/>
      <c r="AD4304" s="1066"/>
      <c r="AE4304" s="1066"/>
      <c r="AF4304" s="1066"/>
      <c r="AG4304" s="1066"/>
      <c r="AH4304" s="1066"/>
      <c r="AI4304" s="1066"/>
      <c r="AJ4304" s="1066"/>
      <c r="AK4304" s="1066"/>
      <c r="AL4304" s="1066"/>
      <c r="AM4304" s="1066"/>
      <c r="AN4304" s="1066"/>
      <c r="AO4304" s="1066"/>
      <c r="AP4304" s="1066"/>
      <c r="AQ4304" s="1066"/>
      <c r="AR4304" s="1066"/>
      <c r="AS4304" s="1066"/>
      <c r="AT4304" s="1066"/>
      <c r="AU4304" s="1066"/>
      <c r="AV4304" s="1066"/>
      <c r="AW4304" s="1066"/>
      <c r="AX4304" s="1066"/>
      <c r="AY4304" s="1066"/>
      <c r="AZ4304" s="1066"/>
      <c r="BA4304" s="1066"/>
      <c r="BB4304" s="1066"/>
      <c r="BC4304" s="1066"/>
      <c r="BD4304" s="1066"/>
      <c r="BE4304" s="1066"/>
      <c r="BF4304" s="1066"/>
      <c r="BG4304" s="1066"/>
      <c r="BH4304" s="1066"/>
      <c r="BI4304" s="1066"/>
      <c r="BJ4304" s="1066"/>
      <c r="BK4304" s="1066"/>
      <c r="BL4304" s="1066"/>
    </row>
    <row r="4305" spans="1:64">
      <c r="A4305" s="1794"/>
      <c r="B4305" s="1794"/>
      <c r="C4305" s="1807" t="s">
        <v>1624</v>
      </c>
      <c r="D4305" s="1207">
        <v>0.01</v>
      </c>
      <c r="E4305" s="1208"/>
      <c r="F4305" s="1209">
        <f>I4304</f>
        <v>1211.5200000000002</v>
      </c>
      <c r="G4305" s="1210"/>
      <c r="H4305" s="1208"/>
      <c r="I4305" s="1211">
        <f>IF(G4305="",D4305*F4305,(D4305*F4305/G4305))</f>
        <v>12.115200000000002</v>
      </c>
      <c r="J4305" s="1022"/>
      <c r="K4305" s="1022"/>
      <c r="L4305" s="1022"/>
      <c r="M4305" s="1066"/>
      <c r="N4305" s="1066"/>
      <c r="O4305" s="1066"/>
      <c r="P4305" s="1066"/>
      <c r="Q4305" s="1066"/>
      <c r="R4305" s="1066"/>
      <c r="S4305" s="1066"/>
      <c r="T4305" s="1066"/>
      <c r="U4305" s="1066"/>
      <c r="V4305" s="1066"/>
      <c r="W4305" s="1066"/>
      <c r="X4305" s="1066"/>
      <c r="Y4305" s="1066"/>
      <c r="Z4305" s="1066"/>
      <c r="AA4305" s="1066"/>
      <c r="AB4305" s="1066"/>
      <c r="AC4305" s="1066"/>
      <c r="AD4305" s="1066"/>
      <c r="AE4305" s="1066"/>
      <c r="AF4305" s="1066"/>
      <c r="AG4305" s="1066"/>
      <c r="AH4305" s="1066"/>
      <c r="AI4305" s="1066"/>
      <c r="AJ4305" s="1066"/>
      <c r="AK4305" s="1066"/>
      <c r="AL4305" s="1066"/>
      <c r="AM4305" s="1066"/>
      <c r="AN4305" s="1066"/>
      <c r="AO4305" s="1066"/>
      <c r="AP4305" s="1066"/>
      <c r="AQ4305" s="1066"/>
      <c r="AR4305" s="1066"/>
      <c r="AS4305" s="1066"/>
      <c r="AT4305" s="1066"/>
      <c r="AU4305" s="1066"/>
      <c r="AV4305" s="1066"/>
      <c r="AW4305" s="1066"/>
      <c r="AX4305" s="1066"/>
      <c r="AY4305" s="1066"/>
      <c r="AZ4305" s="1066"/>
      <c r="BA4305" s="1066"/>
      <c r="BB4305" s="1066"/>
      <c r="BC4305" s="1066"/>
      <c r="BD4305" s="1066"/>
      <c r="BE4305" s="1066"/>
      <c r="BF4305" s="1066"/>
      <c r="BG4305" s="1066"/>
      <c r="BH4305" s="1066"/>
      <c r="BI4305" s="1066"/>
      <c r="BJ4305" s="1066"/>
      <c r="BK4305" s="1066"/>
      <c r="BL4305" s="1066"/>
    </row>
    <row r="4306" spans="1:64">
      <c r="A4306" s="1794"/>
      <c r="B4306" s="1794"/>
      <c r="C4306" s="1795" t="s">
        <v>1625</v>
      </c>
      <c r="D4306" s="1207"/>
      <c r="E4306" s="1208"/>
      <c r="F4306" s="1209"/>
      <c r="G4306" s="1210"/>
      <c r="H4306" s="1208"/>
      <c r="I4306" s="1357">
        <f>SUM(I4304:I4305)</f>
        <v>1223.6352000000002</v>
      </c>
      <c r="J4306" s="1022"/>
      <c r="K4306" s="1022"/>
      <c r="L4306" s="1022"/>
      <c r="M4306" s="1066"/>
      <c r="N4306" s="1066"/>
      <c r="O4306" s="1066"/>
      <c r="P4306" s="1066"/>
      <c r="Q4306" s="1066"/>
      <c r="R4306" s="1066"/>
      <c r="S4306" s="1066"/>
      <c r="T4306" s="1066"/>
      <c r="U4306" s="1066"/>
      <c r="V4306" s="1066"/>
      <c r="W4306" s="1066"/>
      <c r="X4306" s="1066"/>
      <c r="Y4306" s="1066"/>
      <c r="Z4306" s="1066"/>
      <c r="AA4306" s="1066"/>
      <c r="AB4306" s="1066"/>
      <c r="AC4306" s="1066"/>
      <c r="AD4306" s="1066"/>
      <c r="AE4306" s="1066"/>
      <c r="AF4306" s="1066"/>
      <c r="AG4306" s="1066"/>
      <c r="AH4306" s="1066"/>
      <c r="AI4306" s="1066"/>
      <c r="AJ4306" s="1066"/>
      <c r="AK4306" s="1066"/>
      <c r="AL4306" s="1066"/>
      <c r="AM4306" s="1066"/>
      <c r="AN4306" s="1066"/>
      <c r="AO4306" s="1066"/>
      <c r="AP4306" s="1066"/>
      <c r="AQ4306" s="1066"/>
      <c r="AR4306" s="1066"/>
      <c r="AS4306" s="1066"/>
      <c r="AT4306" s="1066"/>
      <c r="AU4306" s="1066"/>
      <c r="AV4306" s="1066"/>
      <c r="AW4306" s="1066"/>
      <c r="AX4306" s="1066"/>
      <c r="AY4306" s="1066"/>
      <c r="AZ4306" s="1066"/>
      <c r="BA4306" s="1066"/>
      <c r="BB4306" s="1066"/>
      <c r="BC4306" s="1066"/>
      <c r="BD4306" s="1066"/>
      <c r="BE4306" s="1066"/>
      <c r="BF4306" s="1066"/>
      <c r="BG4306" s="1066"/>
      <c r="BH4306" s="1066"/>
      <c r="BI4306" s="1066"/>
      <c r="BJ4306" s="1066"/>
      <c r="BK4306" s="1066"/>
      <c r="BL4306" s="1066"/>
    </row>
    <row r="4307" spans="1:64">
      <c r="A4307" s="1794"/>
      <c r="B4307" s="1794"/>
      <c r="C4307" s="1807" t="str">
        <f>Input!$C$48</f>
        <v>Overheads &amp; Contractors Profit @ 13.615%</v>
      </c>
      <c r="D4307" s="1355">
        <f>Input!$D$48</f>
        <v>0.13614999999999999</v>
      </c>
      <c r="E4307" s="1208"/>
      <c r="F4307" s="1209">
        <f>I4306</f>
        <v>1223.6352000000002</v>
      </c>
      <c r="G4307" s="1210"/>
      <c r="H4307" s="1208"/>
      <c r="I4307" s="1211">
        <f>IF(G4307="",D4307*F4307,(D4307*F4307/G4307))</f>
        <v>166.59793248000003</v>
      </c>
      <c r="J4307" s="1022"/>
      <c r="K4307" s="1022"/>
      <c r="L4307" s="1022"/>
      <c r="M4307" s="1066"/>
      <c r="N4307" s="1066"/>
      <c r="O4307" s="1066"/>
      <c r="P4307" s="1066"/>
      <c r="Q4307" s="1066"/>
      <c r="R4307" s="1066"/>
      <c r="S4307" s="1066"/>
      <c r="T4307" s="1066"/>
      <c r="U4307" s="1066"/>
      <c r="V4307" s="1066"/>
      <c r="W4307" s="1066"/>
      <c r="X4307" s="1066"/>
      <c r="Y4307" s="1066"/>
      <c r="Z4307" s="1066"/>
      <c r="AA4307" s="1066"/>
      <c r="AB4307" s="1066"/>
      <c r="AC4307" s="1066"/>
      <c r="AD4307" s="1066"/>
      <c r="AE4307" s="1066"/>
      <c r="AF4307" s="1066"/>
      <c r="AG4307" s="1066"/>
      <c r="AH4307" s="1066"/>
      <c r="AI4307" s="1066"/>
      <c r="AJ4307" s="1066"/>
      <c r="AK4307" s="1066"/>
      <c r="AL4307" s="1066"/>
      <c r="AM4307" s="1066"/>
      <c r="AN4307" s="1066"/>
      <c r="AO4307" s="1066"/>
      <c r="AP4307" s="1066"/>
      <c r="AQ4307" s="1066"/>
      <c r="AR4307" s="1066"/>
      <c r="AS4307" s="1066"/>
      <c r="AT4307" s="1066"/>
      <c r="AU4307" s="1066"/>
      <c r="AV4307" s="1066"/>
      <c r="AW4307" s="1066"/>
      <c r="AX4307" s="1066"/>
      <c r="AY4307" s="1066"/>
      <c r="AZ4307" s="1066"/>
      <c r="BA4307" s="1066"/>
      <c r="BB4307" s="1066"/>
      <c r="BC4307" s="1066"/>
      <c r="BD4307" s="1066"/>
      <c r="BE4307" s="1066"/>
      <c r="BF4307" s="1066"/>
      <c r="BG4307" s="1066"/>
      <c r="BH4307" s="1066"/>
      <c r="BI4307" s="1066"/>
      <c r="BJ4307" s="1066"/>
      <c r="BK4307" s="1066"/>
      <c r="BL4307" s="1066"/>
    </row>
    <row r="4308" spans="1:64">
      <c r="A4308" s="1794"/>
      <c r="B4308" s="1794"/>
      <c r="C4308" s="1795" t="s">
        <v>1045</v>
      </c>
      <c r="D4308" s="1207"/>
      <c r="E4308" s="1208"/>
      <c r="F4308" s="1209"/>
      <c r="G4308" s="1210"/>
      <c r="H4308" s="1208"/>
      <c r="I4308" s="1209">
        <f>SUM(I4306:I4307)</f>
        <v>1390.2331324800002</v>
      </c>
      <c r="J4308" s="1022"/>
      <c r="K4308" s="1022"/>
      <c r="L4308" s="1022"/>
      <c r="M4308" s="1066"/>
      <c r="N4308" s="1066"/>
      <c r="O4308" s="1066"/>
      <c r="P4308" s="1066"/>
      <c r="Q4308" s="1066"/>
      <c r="R4308" s="1066"/>
      <c r="S4308" s="1066"/>
      <c r="T4308" s="1066"/>
      <c r="U4308" s="1066"/>
      <c r="V4308" s="1066"/>
      <c r="W4308" s="1066"/>
      <c r="X4308" s="1066"/>
      <c r="Y4308" s="1066"/>
      <c r="Z4308" s="1066"/>
      <c r="AA4308" s="1066"/>
      <c r="AB4308" s="1066"/>
      <c r="AC4308" s="1066"/>
      <c r="AD4308" s="1066"/>
      <c r="AE4308" s="1066"/>
      <c r="AF4308" s="1066"/>
      <c r="AG4308" s="1066"/>
      <c r="AH4308" s="1066"/>
      <c r="AI4308" s="1066"/>
      <c r="AJ4308" s="1066"/>
      <c r="AK4308" s="1066"/>
      <c r="AL4308" s="1066"/>
      <c r="AM4308" s="1066"/>
      <c r="AN4308" s="1066"/>
      <c r="AO4308" s="1066"/>
      <c r="AP4308" s="1066"/>
      <c r="AQ4308" s="1066"/>
      <c r="AR4308" s="1066"/>
      <c r="AS4308" s="1066"/>
      <c r="AT4308" s="1066"/>
      <c r="AU4308" s="1066"/>
      <c r="AV4308" s="1066"/>
      <c r="AW4308" s="1066"/>
      <c r="AX4308" s="1066"/>
      <c r="AY4308" s="1066"/>
      <c r="AZ4308" s="1066"/>
      <c r="BA4308" s="1066"/>
      <c r="BB4308" s="1066"/>
      <c r="BC4308" s="1066"/>
      <c r="BD4308" s="1066"/>
      <c r="BE4308" s="1066"/>
      <c r="BF4308" s="1066"/>
      <c r="BG4308" s="1066"/>
      <c r="BH4308" s="1066"/>
      <c r="BI4308" s="1066"/>
      <c r="BJ4308" s="1066"/>
      <c r="BK4308" s="1066"/>
      <c r="BL4308" s="1066"/>
    </row>
    <row r="4309" spans="1:64">
      <c r="A4309" s="1797"/>
      <c r="B4309" s="1797"/>
      <c r="C4309" s="1815"/>
      <c r="D4309" s="1214"/>
      <c r="E4309" s="1215"/>
      <c r="F4309" s="1216"/>
      <c r="G4309" s="1217"/>
      <c r="H4309" s="1384" t="s">
        <v>1065</v>
      </c>
      <c r="I4309" s="1285">
        <f>ROUND(I4308,0)</f>
        <v>1390</v>
      </c>
      <c r="J4309" s="996"/>
      <c r="K4309" s="996"/>
      <c r="L4309" s="996"/>
      <c r="M4309" s="997"/>
      <c r="N4309" s="997"/>
      <c r="O4309" s="997"/>
      <c r="P4309" s="997"/>
      <c r="Q4309" s="997"/>
      <c r="R4309" s="997"/>
      <c r="S4309" s="997"/>
      <c r="T4309" s="997"/>
      <c r="U4309" s="997"/>
      <c r="V4309" s="997"/>
      <c r="W4309" s="997"/>
      <c r="X4309" s="997"/>
      <c r="Y4309" s="997"/>
      <c r="Z4309" s="997"/>
      <c r="AA4309" s="997"/>
      <c r="AB4309" s="997"/>
      <c r="AC4309" s="997"/>
      <c r="AD4309" s="997"/>
      <c r="AE4309" s="997"/>
      <c r="AF4309" s="997"/>
      <c r="AG4309" s="997"/>
      <c r="AH4309" s="997"/>
      <c r="AI4309" s="997"/>
      <c r="AJ4309" s="997"/>
      <c r="AK4309" s="997"/>
      <c r="AL4309" s="997"/>
      <c r="AM4309" s="997"/>
      <c r="AN4309" s="997"/>
      <c r="AO4309" s="997"/>
      <c r="AP4309" s="997"/>
      <c r="AQ4309" s="997"/>
      <c r="AR4309" s="997"/>
      <c r="AS4309" s="997"/>
      <c r="AT4309" s="997"/>
      <c r="AU4309" s="997"/>
      <c r="AV4309" s="997"/>
      <c r="AW4309" s="997"/>
      <c r="AX4309" s="997"/>
      <c r="AY4309" s="997"/>
      <c r="AZ4309" s="997"/>
      <c r="BA4309" s="997"/>
      <c r="BB4309" s="997"/>
      <c r="BC4309" s="997"/>
      <c r="BD4309" s="997"/>
      <c r="BE4309" s="997"/>
      <c r="BF4309" s="997"/>
      <c r="BG4309" s="997"/>
      <c r="BH4309" s="997"/>
      <c r="BI4309" s="997"/>
      <c r="BJ4309" s="997"/>
      <c r="BK4309" s="997"/>
      <c r="BL4309" s="997"/>
    </row>
    <row r="4310" spans="1:64">
      <c r="A4310" s="1798"/>
      <c r="B4310" s="1200"/>
      <c r="C4310" s="1807"/>
      <c r="D4310" s="1203"/>
      <c r="E4310" s="1199"/>
      <c r="F4310" s="1201"/>
      <c r="G4310" s="1204"/>
      <c r="H4310" s="1199"/>
      <c r="I4310" s="1201"/>
      <c r="J4310" s="1846"/>
      <c r="K4310" s="1846"/>
      <c r="L4310" s="1846"/>
    </row>
    <row r="4311" spans="1:64" ht="103.5" customHeight="1">
      <c r="A4311" s="2013">
        <f>A4282+1</f>
        <v>68</v>
      </c>
      <c r="B4311" s="2013"/>
      <c r="C4311" s="2031" t="s">
        <v>3599</v>
      </c>
      <c r="D4311" s="2032"/>
      <c r="E4311" s="2032"/>
      <c r="F4311" s="2032"/>
      <c r="G4311" s="2032"/>
      <c r="H4311" s="2032"/>
      <c r="I4311" s="2033"/>
      <c r="J4311" s="1846"/>
      <c r="K4311" s="1846"/>
      <c r="L4311" s="1846"/>
    </row>
    <row r="4312" spans="1:64">
      <c r="A4312" s="1798"/>
      <c r="B4312" s="1200"/>
      <c r="C4312" s="1198" t="s">
        <v>1626</v>
      </c>
      <c r="D4312" s="1203"/>
      <c r="E4312" s="1199"/>
      <c r="F4312" s="1201"/>
      <c r="G4312" s="1204"/>
      <c r="H4312" s="1199"/>
      <c r="I4312" s="1201"/>
      <c r="J4312" s="1846"/>
      <c r="K4312" s="1846"/>
      <c r="L4312" s="1846"/>
    </row>
    <row r="4313" spans="1:64">
      <c r="A4313" s="1798"/>
      <c r="B4313" s="1200"/>
      <c r="C4313" s="1807" t="s">
        <v>1627</v>
      </c>
      <c r="D4313" s="1203"/>
      <c r="E4313" s="1199"/>
      <c r="F4313" s="1201"/>
      <c r="G4313" s="1204"/>
      <c r="H4313" s="1199"/>
      <c r="I4313" s="1201"/>
      <c r="J4313" s="1846"/>
      <c r="K4313" s="1846"/>
      <c r="L4313" s="1846"/>
    </row>
    <row r="4314" spans="1:64" ht="12.75" customHeight="1">
      <c r="A4314" s="1794"/>
      <c r="B4314" s="1794"/>
      <c r="C4314" s="2029" t="s">
        <v>1628</v>
      </c>
      <c r="D4314" s="2029"/>
      <c r="E4314" s="2029"/>
      <c r="F4314" s="2029"/>
      <c r="G4314" s="1210"/>
      <c r="H4314" s="1208"/>
      <c r="I4314" s="1209"/>
      <c r="J4314" s="1022"/>
      <c r="K4314" s="1022"/>
      <c r="L4314" s="1022"/>
      <c r="M4314" s="1066"/>
      <c r="N4314" s="1066"/>
      <c r="O4314" s="1066"/>
      <c r="P4314" s="1066"/>
      <c r="Q4314" s="1066"/>
      <c r="R4314" s="1066"/>
      <c r="S4314" s="1066"/>
      <c r="T4314" s="1066"/>
      <c r="U4314" s="1066"/>
      <c r="V4314" s="1066"/>
      <c r="W4314" s="1066"/>
      <c r="X4314" s="1066"/>
      <c r="Y4314" s="1066"/>
      <c r="Z4314" s="1066"/>
      <c r="AA4314" s="1066"/>
      <c r="AB4314" s="1066"/>
      <c r="AC4314" s="1066"/>
      <c r="AD4314" s="1066"/>
      <c r="AE4314" s="1066"/>
      <c r="AF4314" s="1066"/>
      <c r="AG4314" s="1066"/>
      <c r="AH4314" s="1066"/>
      <c r="AI4314" s="1066"/>
      <c r="AJ4314" s="1066"/>
      <c r="AK4314" s="1066"/>
      <c r="AL4314" s="1066"/>
      <c r="AM4314" s="1066"/>
      <c r="AN4314" s="1066"/>
      <c r="AO4314" s="1066"/>
      <c r="AP4314" s="1066"/>
      <c r="AQ4314" s="1066"/>
      <c r="AR4314" s="1066"/>
      <c r="AS4314" s="1066"/>
      <c r="AT4314" s="1066"/>
      <c r="AU4314" s="1066"/>
      <c r="AV4314" s="1066"/>
      <c r="AW4314" s="1066"/>
      <c r="AX4314" s="1066"/>
      <c r="AY4314" s="1066"/>
      <c r="AZ4314" s="1066"/>
      <c r="BA4314" s="1066"/>
      <c r="BB4314" s="1066"/>
      <c r="BC4314" s="1066"/>
      <c r="BD4314" s="1066"/>
      <c r="BE4314" s="1066"/>
      <c r="BF4314" s="1066"/>
      <c r="BG4314" s="1066"/>
      <c r="BH4314" s="1066"/>
      <c r="BI4314" s="1066"/>
      <c r="BJ4314" s="1066"/>
      <c r="BK4314" s="1066"/>
      <c r="BL4314" s="1066"/>
    </row>
    <row r="4315" spans="1:64">
      <c r="A4315" s="1794"/>
      <c r="B4315" s="1794"/>
      <c r="C4315" s="1807" t="s">
        <v>3589</v>
      </c>
      <c r="D4315" s="1207">
        <v>1.03</v>
      </c>
      <c r="E4315" s="1208" t="s">
        <v>94</v>
      </c>
      <c r="F4315" s="1209">
        <f>'Civil-SOR'!$G$82</f>
        <v>253</v>
      </c>
      <c r="G4315" s="1210">
        <v>1</v>
      </c>
      <c r="H4315" s="1208" t="s">
        <v>94</v>
      </c>
      <c r="I4315" s="1211">
        <f t="shared" ref="I4315:I4326" si="958">IF(G4315="",D4315*F4315,(D4315*F4315/G4315))</f>
        <v>260.59000000000003</v>
      </c>
      <c r="J4315" s="1137"/>
      <c r="K4315" s="1022"/>
      <c r="L4315" s="1022"/>
      <c r="M4315" s="1066"/>
      <c r="N4315" s="1066"/>
      <c r="O4315" s="1066"/>
      <c r="P4315" s="1066"/>
      <c r="Q4315" s="1066"/>
      <c r="R4315" s="1066"/>
      <c r="S4315" s="1066"/>
      <c r="T4315" s="1066"/>
      <c r="U4315" s="1066"/>
      <c r="V4315" s="1066"/>
      <c r="W4315" s="1066"/>
      <c r="X4315" s="1066"/>
      <c r="Y4315" s="1066"/>
      <c r="Z4315" s="1066"/>
      <c r="AA4315" s="1066"/>
      <c r="AB4315" s="1066"/>
      <c r="AC4315" s="1066"/>
      <c r="AD4315" s="1066"/>
      <c r="AE4315" s="1066"/>
      <c r="AF4315" s="1066"/>
      <c r="AG4315" s="1066"/>
      <c r="AH4315" s="1066"/>
      <c r="AI4315" s="1066"/>
      <c r="AJ4315" s="1066"/>
      <c r="AK4315" s="1066"/>
      <c r="AL4315" s="1066"/>
      <c r="AM4315" s="1066"/>
      <c r="AN4315" s="1066"/>
      <c r="AO4315" s="1066"/>
      <c r="AP4315" s="1066"/>
      <c r="AQ4315" s="1066"/>
      <c r="AR4315" s="1066"/>
      <c r="AS4315" s="1066"/>
      <c r="AT4315" s="1066"/>
      <c r="AU4315" s="1066"/>
      <c r="AV4315" s="1066"/>
      <c r="AW4315" s="1066"/>
      <c r="AX4315" s="1066"/>
      <c r="AY4315" s="1066"/>
      <c r="AZ4315" s="1066"/>
      <c r="BA4315" s="1066"/>
      <c r="BB4315" s="1066"/>
      <c r="BC4315" s="1066"/>
      <c r="BD4315" s="1066"/>
      <c r="BE4315" s="1066"/>
      <c r="BF4315" s="1066"/>
      <c r="BG4315" s="1066"/>
      <c r="BH4315" s="1066"/>
      <c r="BI4315" s="1066"/>
      <c r="BJ4315" s="1066"/>
      <c r="BK4315" s="1066"/>
      <c r="BL4315" s="1066"/>
    </row>
    <row r="4316" spans="1:64" ht="25.5">
      <c r="A4316" s="1794"/>
      <c r="B4316" s="1794"/>
      <c r="C4316" s="1807" t="s">
        <v>1629</v>
      </c>
      <c r="D4316" s="1207">
        <v>0.64</v>
      </c>
      <c r="E4316" s="1208" t="s">
        <v>197</v>
      </c>
      <c r="F4316" s="1209">
        <f>'Civil-SOR'!$G$87</f>
        <v>76</v>
      </c>
      <c r="G4316" s="1210">
        <v>1</v>
      </c>
      <c r="H4316" s="1208" t="s">
        <v>197</v>
      </c>
      <c r="I4316" s="1211">
        <f t="shared" si="958"/>
        <v>48.64</v>
      </c>
      <c r="J4316" s="1137"/>
      <c r="K4316" s="1022"/>
      <c r="L4316" s="1022"/>
      <c r="M4316" s="1066"/>
      <c r="N4316" s="1066"/>
      <c r="O4316" s="1066"/>
      <c r="P4316" s="1066"/>
      <c r="Q4316" s="1066"/>
      <c r="R4316" s="1066"/>
      <c r="S4316" s="1066"/>
      <c r="T4316" s="1066"/>
      <c r="U4316" s="1066"/>
      <c r="V4316" s="1066"/>
      <c r="W4316" s="1066"/>
      <c r="X4316" s="1066"/>
      <c r="Y4316" s="1066"/>
      <c r="Z4316" s="1066"/>
      <c r="AA4316" s="1066"/>
      <c r="AB4316" s="1066"/>
      <c r="AC4316" s="1066"/>
      <c r="AD4316" s="1066"/>
      <c r="AE4316" s="1066"/>
      <c r="AF4316" s="1066"/>
      <c r="AG4316" s="1066"/>
      <c r="AH4316" s="1066"/>
      <c r="AI4316" s="1066"/>
      <c r="AJ4316" s="1066"/>
      <c r="AK4316" s="1066"/>
      <c r="AL4316" s="1066"/>
      <c r="AM4316" s="1066"/>
      <c r="AN4316" s="1066"/>
      <c r="AO4316" s="1066"/>
      <c r="AP4316" s="1066"/>
      <c r="AQ4316" s="1066"/>
      <c r="AR4316" s="1066"/>
      <c r="AS4316" s="1066"/>
      <c r="AT4316" s="1066"/>
      <c r="AU4316" s="1066"/>
      <c r="AV4316" s="1066"/>
      <c r="AW4316" s="1066"/>
      <c r="AX4316" s="1066"/>
      <c r="AY4316" s="1066"/>
      <c r="AZ4316" s="1066"/>
      <c r="BA4316" s="1066"/>
      <c r="BB4316" s="1066"/>
      <c r="BC4316" s="1066"/>
      <c r="BD4316" s="1066"/>
      <c r="BE4316" s="1066"/>
      <c r="BF4316" s="1066"/>
      <c r="BG4316" s="1066"/>
      <c r="BH4316" s="1066"/>
      <c r="BI4316" s="1066"/>
      <c r="BJ4316" s="1066"/>
      <c r="BK4316" s="1066"/>
      <c r="BL4316" s="1066"/>
    </row>
    <row r="4317" spans="1:64" ht="25.5">
      <c r="A4317" s="1794"/>
      <c r="B4317" s="1794"/>
      <c r="C4317" s="1807" t="s">
        <v>1630</v>
      </c>
      <c r="D4317" s="1207">
        <v>0.84</v>
      </c>
      <c r="E4317" s="1208" t="s">
        <v>197</v>
      </c>
      <c r="F4317" s="1209">
        <f>'Civil-SOR'!$G$88</f>
        <v>88</v>
      </c>
      <c r="G4317" s="1210">
        <v>1</v>
      </c>
      <c r="H4317" s="1208" t="s">
        <v>197</v>
      </c>
      <c r="I4317" s="1211">
        <f t="shared" si="958"/>
        <v>73.92</v>
      </c>
      <c r="J4317" s="1137"/>
      <c r="K4317" s="1022"/>
      <c r="L4317" s="1022"/>
      <c r="M4317" s="1066"/>
      <c r="N4317" s="1066"/>
      <c r="O4317" s="1066"/>
      <c r="P4317" s="1066"/>
      <c r="Q4317" s="1066"/>
      <c r="R4317" s="1066"/>
      <c r="S4317" s="1066"/>
      <c r="T4317" s="1066"/>
      <c r="U4317" s="1066"/>
      <c r="V4317" s="1066"/>
      <c r="W4317" s="1066"/>
      <c r="X4317" s="1066"/>
      <c r="Y4317" s="1066"/>
      <c r="Z4317" s="1066"/>
      <c r="AA4317" s="1066"/>
      <c r="AB4317" s="1066"/>
      <c r="AC4317" s="1066"/>
      <c r="AD4317" s="1066"/>
      <c r="AE4317" s="1066"/>
      <c r="AF4317" s="1066"/>
      <c r="AG4317" s="1066"/>
      <c r="AH4317" s="1066"/>
      <c r="AI4317" s="1066"/>
      <c r="AJ4317" s="1066"/>
      <c r="AK4317" s="1066"/>
      <c r="AL4317" s="1066"/>
      <c r="AM4317" s="1066"/>
      <c r="AN4317" s="1066"/>
      <c r="AO4317" s="1066"/>
      <c r="AP4317" s="1066"/>
      <c r="AQ4317" s="1066"/>
      <c r="AR4317" s="1066"/>
      <c r="AS4317" s="1066"/>
      <c r="AT4317" s="1066"/>
      <c r="AU4317" s="1066"/>
      <c r="AV4317" s="1066"/>
      <c r="AW4317" s="1066"/>
      <c r="AX4317" s="1066"/>
      <c r="AY4317" s="1066"/>
      <c r="AZ4317" s="1066"/>
      <c r="BA4317" s="1066"/>
      <c r="BB4317" s="1066"/>
      <c r="BC4317" s="1066"/>
      <c r="BD4317" s="1066"/>
      <c r="BE4317" s="1066"/>
      <c r="BF4317" s="1066"/>
      <c r="BG4317" s="1066"/>
      <c r="BH4317" s="1066"/>
      <c r="BI4317" s="1066"/>
      <c r="BJ4317" s="1066"/>
      <c r="BK4317" s="1066"/>
      <c r="BL4317" s="1066"/>
    </row>
    <row r="4318" spans="1:64" ht="25.5">
      <c r="A4318" s="1794"/>
      <c r="B4318" s="1794"/>
      <c r="C4318" s="1807" t="s">
        <v>1631</v>
      </c>
      <c r="D4318" s="1207">
        <v>0.84</v>
      </c>
      <c r="E4318" s="1208" t="s">
        <v>197</v>
      </c>
      <c r="F4318" s="1209">
        <f>'Civil-SOR'!$G$89</f>
        <v>87</v>
      </c>
      <c r="G4318" s="1210">
        <v>1</v>
      </c>
      <c r="H4318" s="1208" t="s">
        <v>197</v>
      </c>
      <c r="I4318" s="1211">
        <f t="shared" si="958"/>
        <v>73.08</v>
      </c>
      <c r="J4318" s="1137"/>
      <c r="K4318" s="1022"/>
      <c r="L4318" s="1022"/>
      <c r="M4318" s="1066"/>
      <c r="N4318" s="1066"/>
      <c r="O4318" s="1066"/>
      <c r="P4318" s="1066"/>
      <c r="Q4318" s="1066"/>
      <c r="R4318" s="1066"/>
      <c r="S4318" s="1066"/>
      <c r="T4318" s="1066"/>
      <c r="U4318" s="1066"/>
      <c r="V4318" s="1066"/>
      <c r="W4318" s="1066"/>
      <c r="X4318" s="1066"/>
      <c r="Y4318" s="1066"/>
      <c r="Z4318" s="1066"/>
      <c r="AA4318" s="1066"/>
      <c r="AB4318" s="1066"/>
      <c r="AC4318" s="1066"/>
      <c r="AD4318" s="1066"/>
      <c r="AE4318" s="1066"/>
      <c r="AF4318" s="1066"/>
      <c r="AG4318" s="1066"/>
      <c r="AH4318" s="1066"/>
      <c r="AI4318" s="1066"/>
      <c r="AJ4318" s="1066"/>
      <c r="AK4318" s="1066"/>
      <c r="AL4318" s="1066"/>
      <c r="AM4318" s="1066"/>
      <c r="AN4318" s="1066"/>
      <c r="AO4318" s="1066"/>
      <c r="AP4318" s="1066"/>
      <c r="AQ4318" s="1066"/>
      <c r="AR4318" s="1066"/>
      <c r="AS4318" s="1066"/>
      <c r="AT4318" s="1066"/>
      <c r="AU4318" s="1066"/>
      <c r="AV4318" s="1066"/>
      <c r="AW4318" s="1066"/>
      <c r="AX4318" s="1066"/>
      <c r="AY4318" s="1066"/>
      <c r="AZ4318" s="1066"/>
      <c r="BA4318" s="1066"/>
      <c r="BB4318" s="1066"/>
      <c r="BC4318" s="1066"/>
      <c r="BD4318" s="1066"/>
      <c r="BE4318" s="1066"/>
      <c r="BF4318" s="1066"/>
      <c r="BG4318" s="1066"/>
      <c r="BH4318" s="1066"/>
      <c r="BI4318" s="1066"/>
      <c r="BJ4318" s="1066"/>
      <c r="BK4318" s="1066"/>
      <c r="BL4318" s="1066"/>
    </row>
    <row r="4319" spans="1:64" ht="25.5">
      <c r="A4319" s="1794"/>
      <c r="B4319" s="1794"/>
      <c r="C4319" s="1807" t="s">
        <v>3588</v>
      </c>
      <c r="D4319" s="1207">
        <v>0.4</v>
      </c>
      <c r="E4319" s="1208" t="s">
        <v>197</v>
      </c>
      <c r="F4319" s="1209">
        <f>'Civil-SOR'!$G$90</f>
        <v>76</v>
      </c>
      <c r="G4319" s="1210">
        <v>1</v>
      </c>
      <c r="H4319" s="1208" t="s">
        <v>197</v>
      </c>
      <c r="I4319" s="1211">
        <f t="shared" si="958"/>
        <v>30.400000000000002</v>
      </c>
      <c r="J4319" s="1137"/>
      <c r="K4319" s="1022"/>
      <c r="L4319" s="1022"/>
      <c r="M4319" s="1066"/>
      <c r="N4319" s="1066"/>
      <c r="O4319" s="1066"/>
      <c r="P4319" s="1066"/>
      <c r="Q4319" s="1066"/>
      <c r="R4319" s="1066"/>
      <c r="S4319" s="1066"/>
      <c r="T4319" s="1066"/>
      <c r="U4319" s="1066"/>
      <c r="V4319" s="1066"/>
      <c r="W4319" s="1066"/>
      <c r="X4319" s="1066"/>
      <c r="Y4319" s="1066"/>
      <c r="Z4319" s="1066"/>
      <c r="AA4319" s="1066"/>
      <c r="AB4319" s="1066"/>
      <c r="AC4319" s="1066"/>
      <c r="AD4319" s="1066"/>
      <c r="AE4319" s="1066"/>
      <c r="AF4319" s="1066"/>
      <c r="AG4319" s="1066"/>
      <c r="AH4319" s="1066"/>
      <c r="AI4319" s="1066"/>
      <c r="AJ4319" s="1066"/>
      <c r="AK4319" s="1066"/>
      <c r="AL4319" s="1066"/>
      <c r="AM4319" s="1066"/>
      <c r="AN4319" s="1066"/>
      <c r="AO4319" s="1066"/>
      <c r="AP4319" s="1066"/>
      <c r="AQ4319" s="1066"/>
      <c r="AR4319" s="1066"/>
      <c r="AS4319" s="1066"/>
      <c r="AT4319" s="1066"/>
      <c r="AU4319" s="1066"/>
      <c r="AV4319" s="1066"/>
      <c r="AW4319" s="1066"/>
      <c r="AX4319" s="1066"/>
      <c r="AY4319" s="1066"/>
      <c r="AZ4319" s="1066"/>
      <c r="BA4319" s="1066"/>
      <c r="BB4319" s="1066"/>
      <c r="BC4319" s="1066"/>
      <c r="BD4319" s="1066"/>
      <c r="BE4319" s="1066"/>
      <c r="BF4319" s="1066"/>
      <c r="BG4319" s="1066"/>
      <c r="BH4319" s="1066"/>
      <c r="BI4319" s="1066"/>
      <c r="BJ4319" s="1066"/>
      <c r="BK4319" s="1066"/>
      <c r="BL4319" s="1066"/>
    </row>
    <row r="4320" spans="1:64">
      <c r="A4320" s="1794"/>
      <c r="B4320" s="1794"/>
      <c r="C4320" s="1807" t="s">
        <v>1632</v>
      </c>
      <c r="D4320" s="1207">
        <v>1.84</v>
      </c>
      <c r="E4320" s="1208" t="s">
        <v>36</v>
      </c>
      <c r="F4320" s="1209">
        <f>'Civil-SOR'!$G$99</f>
        <v>5</v>
      </c>
      <c r="G4320" s="1210">
        <v>1</v>
      </c>
      <c r="H4320" s="1208" t="s">
        <v>39</v>
      </c>
      <c r="I4320" s="1211">
        <f t="shared" si="958"/>
        <v>9.2000000000000011</v>
      </c>
      <c r="J4320" s="1137"/>
      <c r="K4320" s="1022"/>
      <c r="L4320" s="1022"/>
      <c r="M4320" s="1066"/>
      <c r="N4320" s="1066"/>
      <c r="O4320" s="1066"/>
      <c r="P4320" s="1066"/>
      <c r="Q4320" s="1066"/>
      <c r="R4320" s="1066"/>
      <c r="S4320" s="1066"/>
      <c r="T4320" s="1066"/>
      <c r="U4320" s="1066"/>
      <c r="V4320" s="1066"/>
      <c r="W4320" s="1066"/>
      <c r="X4320" s="1066"/>
      <c r="Y4320" s="1066"/>
      <c r="Z4320" s="1066"/>
      <c r="AA4320" s="1066"/>
      <c r="AB4320" s="1066"/>
      <c r="AC4320" s="1066"/>
      <c r="AD4320" s="1066"/>
      <c r="AE4320" s="1066"/>
      <c r="AF4320" s="1066"/>
      <c r="AG4320" s="1066"/>
      <c r="AH4320" s="1066"/>
      <c r="AI4320" s="1066"/>
      <c r="AJ4320" s="1066"/>
      <c r="AK4320" s="1066"/>
      <c r="AL4320" s="1066"/>
      <c r="AM4320" s="1066"/>
      <c r="AN4320" s="1066"/>
      <c r="AO4320" s="1066"/>
      <c r="AP4320" s="1066"/>
      <c r="AQ4320" s="1066"/>
      <c r="AR4320" s="1066"/>
      <c r="AS4320" s="1066"/>
      <c r="AT4320" s="1066"/>
      <c r="AU4320" s="1066"/>
      <c r="AV4320" s="1066"/>
      <c r="AW4320" s="1066"/>
      <c r="AX4320" s="1066"/>
      <c r="AY4320" s="1066"/>
      <c r="AZ4320" s="1066"/>
      <c r="BA4320" s="1066"/>
      <c r="BB4320" s="1066"/>
      <c r="BC4320" s="1066"/>
      <c r="BD4320" s="1066"/>
      <c r="BE4320" s="1066"/>
      <c r="BF4320" s="1066"/>
      <c r="BG4320" s="1066"/>
      <c r="BH4320" s="1066"/>
      <c r="BI4320" s="1066"/>
      <c r="BJ4320" s="1066"/>
      <c r="BK4320" s="1066"/>
      <c r="BL4320" s="1066"/>
    </row>
    <row r="4321" spans="1:64">
      <c r="A4321" s="1794"/>
      <c r="B4321" s="1794"/>
      <c r="C4321" s="1807" t="s">
        <v>1633</v>
      </c>
      <c r="D4321" s="1207">
        <v>0.64</v>
      </c>
      <c r="E4321" s="1208" t="s">
        <v>36</v>
      </c>
      <c r="F4321" s="1209">
        <f>'Civil-SOR'!$G$100</f>
        <v>5</v>
      </c>
      <c r="G4321" s="1210">
        <v>1</v>
      </c>
      <c r="H4321" s="1208" t="s">
        <v>39</v>
      </c>
      <c r="I4321" s="1211">
        <f t="shared" si="958"/>
        <v>3.2</v>
      </c>
      <c r="J4321" s="1137"/>
      <c r="K4321" s="1022"/>
      <c r="L4321" s="1022"/>
      <c r="M4321" s="1066"/>
      <c r="N4321" s="1066"/>
      <c r="O4321" s="1066"/>
      <c r="P4321" s="1066"/>
      <c r="Q4321" s="1066"/>
      <c r="R4321" s="1066"/>
      <c r="S4321" s="1066"/>
      <c r="T4321" s="1066"/>
      <c r="U4321" s="1066"/>
      <c r="V4321" s="1066"/>
      <c r="W4321" s="1066"/>
      <c r="X4321" s="1066"/>
      <c r="Y4321" s="1066"/>
      <c r="Z4321" s="1066"/>
      <c r="AA4321" s="1066"/>
      <c r="AB4321" s="1066"/>
      <c r="AC4321" s="1066"/>
      <c r="AD4321" s="1066"/>
      <c r="AE4321" s="1066"/>
      <c r="AF4321" s="1066"/>
      <c r="AG4321" s="1066"/>
      <c r="AH4321" s="1066"/>
      <c r="AI4321" s="1066"/>
      <c r="AJ4321" s="1066"/>
      <c r="AK4321" s="1066"/>
      <c r="AL4321" s="1066"/>
      <c r="AM4321" s="1066"/>
      <c r="AN4321" s="1066"/>
      <c r="AO4321" s="1066"/>
      <c r="AP4321" s="1066"/>
      <c r="AQ4321" s="1066"/>
      <c r="AR4321" s="1066"/>
      <c r="AS4321" s="1066"/>
      <c r="AT4321" s="1066"/>
      <c r="AU4321" s="1066"/>
      <c r="AV4321" s="1066"/>
      <c r="AW4321" s="1066"/>
      <c r="AX4321" s="1066"/>
      <c r="AY4321" s="1066"/>
      <c r="AZ4321" s="1066"/>
      <c r="BA4321" s="1066"/>
      <c r="BB4321" s="1066"/>
      <c r="BC4321" s="1066"/>
      <c r="BD4321" s="1066"/>
      <c r="BE4321" s="1066"/>
      <c r="BF4321" s="1066"/>
      <c r="BG4321" s="1066"/>
      <c r="BH4321" s="1066"/>
      <c r="BI4321" s="1066"/>
      <c r="BJ4321" s="1066"/>
      <c r="BK4321" s="1066"/>
      <c r="BL4321" s="1066"/>
    </row>
    <row r="4322" spans="1:64">
      <c r="A4322" s="1794"/>
      <c r="B4322" s="1794"/>
      <c r="C4322" s="1807" t="s">
        <v>1634</v>
      </c>
      <c r="D4322" s="1207">
        <v>0.64</v>
      </c>
      <c r="E4322" s="1208" t="s">
        <v>36</v>
      </c>
      <c r="F4322" s="1209">
        <f>'Civil-SOR'!$G$102</f>
        <v>5</v>
      </c>
      <c r="G4322" s="1210">
        <v>1</v>
      </c>
      <c r="H4322" s="1208" t="s">
        <v>39</v>
      </c>
      <c r="I4322" s="1211">
        <f t="shared" si="958"/>
        <v>3.2</v>
      </c>
      <c r="J4322" s="1137"/>
      <c r="K4322" s="1022"/>
      <c r="L4322" s="1022"/>
      <c r="M4322" s="1066"/>
      <c r="N4322" s="1066"/>
      <c r="O4322" s="1066"/>
      <c r="P4322" s="1066"/>
      <c r="Q4322" s="1066"/>
      <c r="R4322" s="1066"/>
      <c r="S4322" s="1066"/>
      <c r="T4322" s="1066"/>
      <c r="U4322" s="1066"/>
      <c r="V4322" s="1066"/>
      <c r="W4322" s="1066"/>
      <c r="X4322" s="1066"/>
      <c r="Y4322" s="1066"/>
      <c r="Z4322" s="1066"/>
      <c r="AA4322" s="1066"/>
      <c r="AB4322" s="1066"/>
      <c r="AC4322" s="1066"/>
      <c r="AD4322" s="1066"/>
      <c r="AE4322" s="1066"/>
      <c r="AF4322" s="1066"/>
      <c r="AG4322" s="1066"/>
      <c r="AH4322" s="1066"/>
      <c r="AI4322" s="1066"/>
      <c r="AJ4322" s="1066"/>
      <c r="AK4322" s="1066"/>
      <c r="AL4322" s="1066"/>
      <c r="AM4322" s="1066"/>
      <c r="AN4322" s="1066"/>
      <c r="AO4322" s="1066"/>
      <c r="AP4322" s="1066"/>
      <c r="AQ4322" s="1066"/>
      <c r="AR4322" s="1066"/>
      <c r="AS4322" s="1066"/>
      <c r="AT4322" s="1066"/>
      <c r="AU4322" s="1066"/>
      <c r="AV4322" s="1066"/>
      <c r="AW4322" s="1066"/>
      <c r="AX4322" s="1066"/>
      <c r="AY4322" s="1066"/>
      <c r="AZ4322" s="1066"/>
      <c r="BA4322" s="1066"/>
      <c r="BB4322" s="1066"/>
      <c r="BC4322" s="1066"/>
      <c r="BD4322" s="1066"/>
      <c r="BE4322" s="1066"/>
      <c r="BF4322" s="1066"/>
      <c r="BG4322" s="1066"/>
      <c r="BH4322" s="1066"/>
      <c r="BI4322" s="1066"/>
      <c r="BJ4322" s="1066"/>
      <c r="BK4322" s="1066"/>
      <c r="BL4322" s="1066"/>
    </row>
    <row r="4323" spans="1:64">
      <c r="A4323" s="1794"/>
      <c r="B4323" s="1794"/>
      <c r="C4323" s="1807" t="s">
        <v>1635</v>
      </c>
      <c r="D4323" s="1207">
        <v>18</v>
      </c>
      <c r="E4323" s="1208" t="s">
        <v>36</v>
      </c>
      <c r="F4323" s="1209">
        <f>'Civil-SOR'!$G$103</f>
        <v>5</v>
      </c>
      <c r="G4323" s="1210">
        <v>1</v>
      </c>
      <c r="H4323" s="1208" t="s">
        <v>39</v>
      </c>
      <c r="I4323" s="1211">
        <f t="shared" si="958"/>
        <v>90</v>
      </c>
      <c r="J4323" s="1137"/>
      <c r="K4323" s="1022"/>
      <c r="L4323" s="1022"/>
      <c r="M4323" s="1066"/>
      <c r="N4323" s="1066"/>
      <c r="O4323" s="1066"/>
      <c r="P4323" s="1066"/>
      <c r="Q4323" s="1066"/>
      <c r="R4323" s="1066"/>
      <c r="S4323" s="1066"/>
      <c r="T4323" s="1066"/>
      <c r="U4323" s="1066"/>
      <c r="V4323" s="1066"/>
      <c r="W4323" s="1066"/>
      <c r="X4323" s="1066"/>
      <c r="Y4323" s="1066"/>
      <c r="Z4323" s="1066"/>
      <c r="AA4323" s="1066"/>
      <c r="AB4323" s="1066"/>
      <c r="AC4323" s="1066"/>
      <c r="AD4323" s="1066"/>
      <c r="AE4323" s="1066"/>
      <c r="AF4323" s="1066"/>
      <c r="AG4323" s="1066"/>
      <c r="AH4323" s="1066"/>
      <c r="AI4323" s="1066"/>
      <c r="AJ4323" s="1066"/>
      <c r="AK4323" s="1066"/>
      <c r="AL4323" s="1066"/>
      <c r="AM4323" s="1066"/>
      <c r="AN4323" s="1066"/>
      <c r="AO4323" s="1066"/>
      <c r="AP4323" s="1066"/>
      <c r="AQ4323" s="1066"/>
      <c r="AR4323" s="1066"/>
      <c r="AS4323" s="1066"/>
      <c r="AT4323" s="1066"/>
      <c r="AU4323" s="1066"/>
      <c r="AV4323" s="1066"/>
      <c r="AW4323" s="1066"/>
      <c r="AX4323" s="1066"/>
      <c r="AY4323" s="1066"/>
      <c r="AZ4323" s="1066"/>
      <c r="BA4323" s="1066"/>
      <c r="BB4323" s="1066"/>
      <c r="BC4323" s="1066"/>
      <c r="BD4323" s="1066"/>
      <c r="BE4323" s="1066"/>
      <c r="BF4323" s="1066"/>
      <c r="BG4323" s="1066"/>
      <c r="BH4323" s="1066"/>
      <c r="BI4323" s="1066"/>
      <c r="BJ4323" s="1066"/>
      <c r="BK4323" s="1066"/>
      <c r="BL4323" s="1066"/>
    </row>
    <row r="4324" spans="1:64">
      <c r="A4324" s="1794"/>
      <c r="B4324" s="1794"/>
      <c r="C4324" s="1807" t="s">
        <v>1636</v>
      </c>
      <c r="D4324" s="1207">
        <v>0.55000000000000004</v>
      </c>
      <c r="E4324" s="1208" t="s">
        <v>1637</v>
      </c>
      <c r="F4324" s="1209">
        <f>'Civil-SOR'!$G$104</f>
        <v>31</v>
      </c>
      <c r="G4324" s="1210">
        <v>1</v>
      </c>
      <c r="H4324" s="1208" t="s">
        <v>232</v>
      </c>
      <c r="I4324" s="1211">
        <f t="shared" si="958"/>
        <v>17.05</v>
      </c>
      <c r="J4324" s="1137"/>
      <c r="K4324" s="1022"/>
      <c r="L4324" s="1022"/>
      <c r="M4324" s="1066"/>
      <c r="N4324" s="1066"/>
      <c r="O4324" s="1066"/>
      <c r="P4324" s="1066"/>
      <c r="Q4324" s="1066"/>
      <c r="R4324" s="1066"/>
      <c r="S4324" s="1066"/>
      <c r="T4324" s="1066"/>
      <c r="U4324" s="1066"/>
      <c r="V4324" s="1066"/>
      <c r="W4324" s="1066"/>
      <c r="X4324" s="1066"/>
      <c r="Y4324" s="1066"/>
      <c r="Z4324" s="1066"/>
      <c r="AA4324" s="1066"/>
      <c r="AB4324" s="1066"/>
      <c r="AC4324" s="1066"/>
      <c r="AD4324" s="1066"/>
      <c r="AE4324" s="1066"/>
      <c r="AF4324" s="1066"/>
      <c r="AG4324" s="1066"/>
      <c r="AH4324" s="1066"/>
      <c r="AI4324" s="1066"/>
      <c r="AJ4324" s="1066"/>
      <c r="AK4324" s="1066"/>
      <c r="AL4324" s="1066"/>
      <c r="AM4324" s="1066"/>
      <c r="AN4324" s="1066"/>
      <c r="AO4324" s="1066"/>
      <c r="AP4324" s="1066"/>
      <c r="AQ4324" s="1066"/>
      <c r="AR4324" s="1066"/>
      <c r="AS4324" s="1066"/>
      <c r="AT4324" s="1066"/>
      <c r="AU4324" s="1066"/>
      <c r="AV4324" s="1066"/>
      <c r="AW4324" s="1066"/>
      <c r="AX4324" s="1066"/>
      <c r="AY4324" s="1066"/>
      <c r="AZ4324" s="1066"/>
      <c r="BA4324" s="1066"/>
      <c r="BB4324" s="1066"/>
      <c r="BC4324" s="1066"/>
      <c r="BD4324" s="1066"/>
      <c r="BE4324" s="1066"/>
      <c r="BF4324" s="1066"/>
      <c r="BG4324" s="1066"/>
      <c r="BH4324" s="1066"/>
      <c r="BI4324" s="1066"/>
      <c r="BJ4324" s="1066"/>
      <c r="BK4324" s="1066"/>
      <c r="BL4324" s="1066"/>
    </row>
    <row r="4325" spans="1:64">
      <c r="A4325" s="1794"/>
      <c r="B4325" s="1794"/>
      <c r="C4325" s="1807" t="s">
        <v>1638</v>
      </c>
      <c r="D4325" s="1207">
        <v>1.46</v>
      </c>
      <c r="E4325" s="1208" t="s">
        <v>197</v>
      </c>
      <c r="F4325" s="1209">
        <f>'Civil-SOR'!$G$105</f>
        <v>7</v>
      </c>
      <c r="G4325" s="1210">
        <v>1</v>
      </c>
      <c r="H4325" s="1208" t="s">
        <v>197</v>
      </c>
      <c r="I4325" s="1211">
        <f t="shared" si="958"/>
        <v>10.219999999999999</v>
      </c>
      <c r="J4325" s="1137"/>
      <c r="K4325" s="1022"/>
      <c r="L4325" s="1022"/>
      <c r="M4325" s="1066"/>
      <c r="N4325" s="1066"/>
      <c r="O4325" s="1066"/>
      <c r="P4325" s="1066"/>
      <c r="Q4325" s="1066"/>
      <c r="R4325" s="1066"/>
      <c r="S4325" s="1066"/>
      <c r="T4325" s="1066"/>
      <c r="U4325" s="1066"/>
      <c r="V4325" s="1066"/>
      <c r="W4325" s="1066"/>
      <c r="X4325" s="1066"/>
      <c r="Y4325" s="1066"/>
      <c r="Z4325" s="1066"/>
      <c r="AA4325" s="1066"/>
      <c r="AB4325" s="1066"/>
      <c r="AC4325" s="1066"/>
      <c r="AD4325" s="1066"/>
      <c r="AE4325" s="1066"/>
      <c r="AF4325" s="1066"/>
      <c r="AG4325" s="1066"/>
      <c r="AH4325" s="1066"/>
      <c r="AI4325" s="1066"/>
      <c r="AJ4325" s="1066"/>
      <c r="AK4325" s="1066"/>
      <c r="AL4325" s="1066"/>
      <c r="AM4325" s="1066"/>
      <c r="AN4325" s="1066"/>
      <c r="AO4325" s="1066"/>
      <c r="AP4325" s="1066"/>
      <c r="AQ4325" s="1066"/>
      <c r="AR4325" s="1066"/>
      <c r="AS4325" s="1066"/>
      <c r="AT4325" s="1066"/>
      <c r="AU4325" s="1066"/>
      <c r="AV4325" s="1066"/>
      <c r="AW4325" s="1066"/>
      <c r="AX4325" s="1066"/>
      <c r="AY4325" s="1066"/>
      <c r="AZ4325" s="1066"/>
      <c r="BA4325" s="1066"/>
      <c r="BB4325" s="1066"/>
      <c r="BC4325" s="1066"/>
      <c r="BD4325" s="1066"/>
      <c r="BE4325" s="1066"/>
      <c r="BF4325" s="1066"/>
      <c r="BG4325" s="1066"/>
      <c r="BH4325" s="1066"/>
      <c r="BI4325" s="1066"/>
      <c r="BJ4325" s="1066"/>
      <c r="BK4325" s="1066"/>
      <c r="BL4325" s="1066"/>
    </row>
    <row r="4326" spans="1:64">
      <c r="A4326" s="1794"/>
      <c r="B4326" s="1794"/>
      <c r="C4326" s="1807" t="s">
        <v>1639</v>
      </c>
      <c r="D4326" s="1207">
        <v>0.15</v>
      </c>
      <c r="E4326" s="1207" t="s">
        <v>1380</v>
      </c>
      <c r="F4326" s="1209">
        <f>'Civil-SOR'!$G$106</f>
        <v>145</v>
      </c>
      <c r="G4326" s="1210">
        <v>1</v>
      </c>
      <c r="H4326" s="1208" t="s">
        <v>138</v>
      </c>
      <c r="I4326" s="1211">
        <f t="shared" si="958"/>
        <v>21.75</v>
      </c>
      <c r="J4326" s="1137"/>
      <c r="K4326" s="1022"/>
      <c r="L4326" s="1022"/>
      <c r="M4326" s="1066"/>
      <c r="N4326" s="1066"/>
      <c r="O4326" s="1066"/>
      <c r="P4326" s="1066"/>
      <c r="Q4326" s="1066"/>
      <c r="R4326" s="1066"/>
      <c r="S4326" s="1066"/>
      <c r="T4326" s="1066"/>
      <c r="U4326" s="1066"/>
      <c r="V4326" s="1066"/>
      <c r="W4326" s="1066"/>
      <c r="X4326" s="1066"/>
      <c r="Y4326" s="1066"/>
      <c r="Z4326" s="1066"/>
      <c r="AA4326" s="1066"/>
      <c r="AB4326" s="1066"/>
      <c r="AC4326" s="1066"/>
      <c r="AD4326" s="1066"/>
      <c r="AE4326" s="1066"/>
      <c r="AF4326" s="1066"/>
      <c r="AG4326" s="1066"/>
      <c r="AH4326" s="1066"/>
      <c r="AI4326" s="1066"/>
      <c r="AJ4326" s="1066"/>
      <c r="AK4326" s="1066"/>
      <c r="AL4326" s="1066"/>
      <c r="AM4326" s="1066"/>
      <c r="AN4326" s="1066"/>
      <c r="AO4326" s="1066"/>
      <c r="AP4326" s="1066"/>
      <c r="AQ4326" s="1066"/>
      <c r="AR4326" s="1066"/>
      <c r="AS4326" s="1066"/>
      <c r="AT4326" s="1066"/>
      <c r="AU4326" s="1066"/>
      <c r="AV4326" s="1066"/>
      <c r="AW4326" s="1066"/>
      <c r="AX4326" s="1066"/>
      <c r="AY4326" s="1066"/>
      <c r="AZ4326" s="1066"/>
      <c r="BA4326" s="1066"/>
      <c r="BB4326" s="1066"/>
      <c r="BC4326" s="1066"/>
      <c r="BD4326" s="1066"/>
      <c r="BE4326" s="1066"/>
      <c r="BF4326" s="1066"/>
      <c r="BG4326" s="1066"/>
      <c r="BH4326" s="1066"/>
      <c r="BI4326" s="1066"/>
      <c r="BJ4326" s="1066"/>
      <c r="BK4326" s="1066"/>
      <c r="BL4326" s="1066"/>
    </row>
    <row r="4327" spans="1:64">
      <c r="A4327" s="1794"/>
      <c r="B4327" s="1794"/>
      <c r="C4327" s="1795" t="s">
        <v>1640</v>
      </c>
      <c r="D4327" s="1207"/>
      <c r="E4327" s="1208"/>
      <c r="F4327" s="1209"/>
      <c r="G4327" s="1210"/>
      <c r="H4327" s="1208"/>
      <c r="I4327" s="1209"/>
      <c r="J4327" s="1137"/>
      <c r="K4327" s="1022"/>
      <c r="L4327" s="1022"/>
      <c r="M4327" s="1066"/>
      <c r="N4327" s="1066"/>
      <c r="O4327" s="1066"/>
      <c r="P4327" s="1066"/>
      <c r="Q4327" s="1066"/>
      <c r="R4327" s="1066"/>
      <c r="S4327" s="1066"/>
      <c r="T4327" s="1066"/>
      <c r="U4327" s="1066"/>
      <c r="V4327" s="1066"/>
      <c r="W4327" s="1066"/>
      <c r="X4327" s="1066"/>
      <c r="Y4327" s="1066"/>
      <c r="Z4327" s="1066"/>
      <c r="AA4327" s="1066"/>
      <c r="AB4327" s="1066"/>
      <c r="AC4327" s="1066"/>
      <c r="AD4327" s="1066"/>
      <c r="AE4327" s="1066"/>
      <c r="AF4327" s="1066"/>
      <c r="AG4327" s="1066"/>
      <c r="AH4327" s="1066"/>
      <c r="AI4327" s="1066"/>
      <c r="AJ4327" s="1066"/>
      <c r="AK4327" s="1066"/>
      <c r="AL4327" s="1066"/>
      <c r="AM4327" s="1066"/>
      <c r="AN4327" s="1066"/>
      <c r="AO4327" s="1066"/>
      <c r="AP4327" s="1066"/>
      <c r="AQ4327" s="1066"/>
      <c r="AR4327" s="1066"/>
      <c r="AS4327" s="1066"/>
      <c r="AT4327" s="1066"/>
      <c r="AU4327" s="1066"/>
      <c r="AV4327" s="1066"/>
      <c r="AW4327" s="1066"/>
      <c r="AX4327" s="1066"/>
      <c r="AY4327" s="1066"/>
      <c r="AZ4327" s="1066"/>
      <c r="BA4327" s="1066"/>
      <c r="BB4327" s="1066"/>
      <c r="BC4327" s="1066"/>
      <c r="BD4327" s="1066"/>
      <c r="BE4327" s="1066"/>
      <c r="BF4327" s="1066"/>
      <c r="BG4327" s="1066"/>
      <c r="BH4327" s="1066"/>
      <c r="BI4327" s="1066"/>
      <c r="BJ4327" s="1066"/>
      <c r="BK4327" s="1066"/>
      <c r="BL4327" s="1066"/>
    </row>
    <row r="4328" spans="1:64">
      <c r="A4328" s="1794"/>
      <c r="B4328" s="1794"/>
      <c r="C4328" s="1807" t="s">
        <v>1615</v>
      </c>
      <c r="D4328" s="1207">
        <v>0.12</v>
      </c>
      <c r="E4328" s="1208" t="s">
        <v>36</v>
      </c>
      <c r="F4328" s="1209">
        <f>'Civil-SOR'!$G$291</f>
        <v>685</v>
      </c>
      <c r="G4328" s="1210">
        <v>1</v>
      </c>
      <c r="H4328" s="1208" t="s">
        <v>39</v>
      </c>
      <c r="I4328" s="1211">
        <f t="shared" ref="I4328:I4335" si="959">IF(G4328="",D4328*F4328,(D4328*F4328/G4328))</f>
        <v>82.2</v>
      </c>
      <c r="J4328" s="1137"/>
      <c r="K4328" s="1022"/>
      <c r="L4328" s="1022"/>
      <c r="M4328" s="1066"/>
      <c r="N4328" s="1066"/>
      <c r="O4328" s="1066"/>
      <c r="P4328" s="1066"/>
      <c r="Q4328" s="1066"/>
      <c r="R4328" s="1066"/>
      <c r="S4328" s="1066"/>
      <c r="T4328" s="1066"/>
      <c r="U4328" s="1066"/>
      <c r="V4328" s="1066"/>
      <c r="W4328" s="1066"/>
      <c r="X4328" s="1066"/>
      <c r="Y4328" s="1066"/>
      <c r="Z4328" s="1066"/>
      <c r="AA4328" s="1066"/>
      <c r="AB4328" s="1066"/>
      <c r="AC4328" s="1066"/>
      <c r="AD4328" s="1066"/>
      <c r="AE4328" s="1066"/>
      <c r="AF4328" s="1066"/>
      <c r="AG4328" s="1066"/>
      <c r="AH4328" s="1066"/>
      <c r="AI4328" s="1066"/>
      <c r="AJ4328" s="1066"/>
      <c r="AK4328" s="1066"/>
      <c r="AL4328" s="1066"/>
      <c r="AM4328" s="1066"/>
      <c r="AN4328" s="1066"/>
      <c r="AO4328" s="1066"/>
      <c r="AP4328" s="1066"/>
      <c r="AQ4328" s="1066"/>
      <c r="AR4328" s="1066"/>
      <c r="AS4328" s="1066"/>
      <c r="AT4328" s="1066"/>
      <c r="AU4328" s="1066"/>
      <c r="AV4328" s="1066"/>
      <c r="AW4328" s="1066"/>
      <c r="AX4328" s="1066"/>
      <c r="AY4328" s="1066"/>
      <c r="AZ4328" s="1066"/>
      <c r="BA4328" s="1066"/>
      <c r="BB4328" s="1066"/>
      <c r="BC4328" s="1066"/>
      <c r="BD4328" s="1066"/>
      <c r="BE4328" s="1066"/>
      <c r="BF4328" s="1066"/>
      <c r="BG4328" s="1066"/>
      <c r="BH4328" s="1066"/>
      <c r="BI4328" s="1066"/>
      <c r="BJ4328" s="1066"/>
      <c r="BK4328" s="1066"/>
      <c r="BL4328" s="1066"/>
    </row>
    <row r="4329" spans="1:64">
      <c r="A4329" s="1794"/>
      <c r="B4329" s="1794"/>
      <c r="C4329" s="1807" t="s">
        <v>1616</v>
      </c>
      <c r="D4329" s="1207">
        <v>0.12</v>
      </c>
      <c r="E4329" s="1208" t="s">
        <v>36</v>
      </c>
      <c r="F4329" s="1209">
        <f>'Civil-SOR'!$G$300</f>
        <v>550</v>
      </c>
      <c r="G4329" s="1210">
        <v>1</v>
      </c>
      <c r="H4329" s="1208" t="s">
        <v>39</v>
      </c>
      <c r="I4329" s="1211">
        <f t="shared" si="959"/>
        <v>66</v>
      </c>
      <c r="J4329" s="1137"/>
      <c r="K4329" s="1022"/>
      <c r="L4329" s="1022"/>
      <c r="M4329" s="1066"/>
      <c r="N4329" s="1066"/>
      <c r="O4329" s="1066"/>
      <c r="P4329" s="1066"/>
      <c r="Q4329" s="1066"/>
      <c r="R4329" s="1066"/>
      <c r="S4329" s="1066"/>
      <c r="T4329" s="1066"/>
      <c r="U4329" s="1066"/>
      <c r="V4329" s="1066"/>
      <c r="W4329" s="1066"/>
      <c r="X4329" s="1066"/>
      <c r="Y4329" s="1066"/>
      <c r="Z4329" s="1066"/>
      <c r="AA4329" s="1066"/>
      <c r="AB4329" s="1066"/>
      <c r="AC4329" s="1066"/>
      <c r="AD4329" s="1066"/>
      <c r="AE4329" s="1066"/>
      <c r="AF4329" s="1066"/>
      <c r="AG4329" s="1066"/>
      <c r="AH4329" s="1066"/>
      <c r="AI4329" s="1066"/>
      <c r="AJ4329" s="1066"/>
      <c r="AK4329" s="1066"/>
      <c r="AL4329" s="1066"/>
      <c r="AM4329" s="1066"/>
      <c r="AN4329" s="1066"/>
      <c r="AO4329" s="1066"/>
      <c r="AP4329" s="1066"/>
      <c r="AQ4329" s="1066"/>
      <c r="AR4329" s="1066"/>
      <c r="AS4329" s="1066"/>
      <c r="AT4329" s="1066"/>
      <c r="AU4329" s="1066"/>
      <c r="AV4329" s="1066"/>
      <c r="AW4329" s="1066"/>
      <c r="AX4329" s="1066"/>
      <c r="AY4329" s="1066"/>
      <c r="AZ4329" s="1066"/>
      <c r="BA4329" s="1066"/>
      <c r="BB4329" s="1066"/>
      <c r="BC4329" s="1066"/>
      <c r="BD4329" s="1066"/>
      <c r="BE4329" s="1066"/>
      <c r="BF4329" s="1066"/>
      <c r="BG4329" s="1066"/>
      <c r="BH4329" s="1066"/>
      <c r="BI4329" s="1066"/>
      <c r="BJ4329" s="1066"/>
      <c r="BK4329" s="1066"/>
      <c r="BL4329" s="1066"/>
    </row>
    <row r="4330" spans="1:64">
      <c r="A4330" s="1794"/>
      <c r="B4330" s="1794"/>
      <c r="C4330" s="1807" t="s">
        <v>1557</v>
      </c>
      <c r="D4330" s="1383">
        <v>2.4E-2</v>
      </c>
      <c r="E4330" s="1208" t="s">
        <v>36</v>
      </c>
      <c r="F4330" s="1209">
        <f>'Civil-SOR'!$G$296</f>
        <v>665</v>
      </c>
      <c r="G4330" s="1210">
        <v>1</v>
      </c>
      <c r="H4330" s="1208" t="s">
        <v>39</v>
      </c>
      <c r="I4330" s="1211">
        <f t="shared" si="959"/>
        <v>15.96</v>
      </c>
      <c r="J4330" s="1137"/>
      <c r="K4330" s="1022"/>
      <c r="L4330" s="1022"/>
      <c r="M4330" s="1066"/>
      <c r="N4330" s="1066"/>
      <c r="O4330" s="1066"/>
      <c r="P4330" s="1066"/>
      <c r="Q4330" s="1066"/>
      <c r="R4330" s="1066"/>
      <c r="S4330" s="1066"/>
      <c r="T4330" s="1066"/>
      <c r="U4330" s="1066"/>
      <c r="V4330" s="1066"/>
      <c r="W4330" s="1066"/>
      <c r="X4330" s="1066"/>
      <c r="Y4330" s="1066"/>
      <c r="Z4330" s="1066"/>
      <c r="AA4330" s="1066"/>
      <c r="AB4330" s="1066"/>
      <c r="AC4330" s="1066"/>
      <c r="AD4330" s="1066"/>
      <c r="AE4330" s="1066"/>
      <c r="AF4330" s="1066"/>
      <c r="AG4330" s="1066"/>
      <c r="AH4330" s="1066"/>
      <c r="AI4330" s="1066"/>
      <c r="AJ4330" s="1066"/>
      <c r="AK4330" s="1066"/>
      <c r="AL4330" s="1066"/>
      <c r="AM4330" s="1066"/>
      <c r="AN4330" s="1066"/>
      <c r="AO4330" s="1066"/>
      <c r="AP4330" s="1066"/>
      <c r="AQ4330" s="1066"/>
      <c r="AR4330" s="1066"/>
      <c r="AS4330" s="1066"/>
      <c r="AT4330" s="1066"/>
      <c r="AU4330" s="1066"/>
      <c r="AV4330" s="1066"/>
      <c r="AW4330" s="1066"/>
      <c r="AX4330" s="1066"/>
      <c r="AY4330" s="1066"/>
      <c r="AZ4330" s="1066"/>
      <c r="BA4330" s="1066"/>
      <c r="BB4330" s="1066"/>
      <c r="BC4330" s="1066"/>
      <c r="BD4330" s="1066"/>
      <c r="BE4330" s="1066"/>
      <c r="BF4330" s="1066"/>
      <c r="BG4330" s="1066"/>
      <c r="BH4330" s="1066"/>
      <c r="BI4330" s="1066"/>
      <c r="BJ4330" s="1066"/>
      <c r="BK4330" s="1066"/>
      <c r="BL4330" s="1066"/>
    </row>
    <row r="4331" spans="1:64">
      <c r="A4331" s="1794"/>
      <c r="B4331" s="1794"/>
      <c r="C4331" s="1807" t="s">
        <v>1558</v>
      </c>
      <c r="D4331" s="1383">
        <v>2.4E-2</v>
      </c>
      <c r="E4331" s="1208" t="s">
        <v>36</v>
      </c>
      <c r="F4331" s="1209">
        <f>'Civil-SOR'!$G$303</f>
        <v>550</v>
      </c>
      <c r="G4331" s="1210">
        <v>1</v>
      </c>
      <c r="H4331" s="1208" t="s">
        <v>39</v>
      </c>
      <c r="I4331" s="1211">
        <f t="shared" si="959"/>
        <v>13.200000000000001</v>
      </c>
      <c r="J4331" s="1137"/>
      <c r="K4331" s="1022"/>
      <c r="L4331" s="1022"/>
      <c r="M4331" s="1066"/>
      <c r="N4331" s="1066"/>
      <c r="O4331" s="1066"/>
      <c r="P4331" s="1066"/>
      <c r="Q4331" s="1066"/>
      <c r="R4331" s="1066"/>
      <c r="S4331" s="1066"/>
      <c r="T4331" s="1066"/>
      <c r="U4331" s="1066"/>
      <c r="V4331" s="1066"/>
      <c r="W4331" s="1066"/>
      <c r="X4331" s="1066"/>
      <c r="Y4331" s="1066"/>
      <c r="Z4331" s="1066"/>
      <c r="AA4331" s="1066"/>
      <c r="AB4331" s="1066"/>
      <c r="AC4331" s="1066"/>
      <c r="AD4331" s="1066"/>
      <c r="AE4331" s="1066"/>
      <c r="AF4331" s="1066"/>
      <c r="AG4331" s="1066"/>
      <c r="AH4331" s="1066"/>
      <c r="AI4331" s="1066"/>
      <c r="AJ4331" s="1066"/>
      <c r="AK4331" s="1066"/>
      <c r="AL4331" s="1066"/>
      <c r="AM4331" s="1066"/>
      <c r="AN4331" s="1066"/>
      <c r="AO4331" s="1066"/>
      <c r="AP4331" s="1066"/>
      <c r="AQ4331" s="1066"/>
      <c r="AR4331" s="1066"/>
      <c r="AS4331" s="1066"/>
      <c r="AT4331" s="1066"/>
      <c r="AU4331" s="1066"/>
      <c r="AV4331" s="1066"/>
      <c r="AW4331" s="1066"/>
      <c r="AX4331" s="1066"/>
      <c r="AY4331" s="1066"/>
      <c r="AZ4331" s="1066"/>
      <c r="BA4331" s="1066"/>
      <c r="BB4331" s="1066"/>
      <c r="BC4331" s="1066"/>
      <c r="BD4331" s="1066"/>
      <c r="BE4331" s="1066"/>
      <c r="BF4331" s="1066"/>
      <c r="BG4331" s="1066"/>
      <c r="BH4331" s="1066"/>
      <c r="BI4331" s="1066"/>
      <c r="BJ4331" s="1066"/>
      <c r="BK4331" s="1066"/>
      <c r="BL4331" s="1066"/>
    </row>
    <row r="4332" spans="1:64">
      <c r="A4332" s="1794"/>
      <c r="B4332" s="1794"/>
      <c r="C4332" s="1807" t="s">
        <v>1617</v>
      </c>
      <c r="D4332" s="1383">
        <v>1.2E-2</v>
      </c>
      <c r="E4332" s="1208" t="s">
        <v>36</v>
      </c>
      <c r="F4332" s="1209">
        <f>'Civil-SOR'!G297</f>
        <v>675</v>
      </c>
      <c r="G4332" s="1210">
        <v>1</v>
      </c>
      <c r="H4332" s="1208" t="s">
        <v>39</v>
      </c>
      <c r="I4332" s="1211">
        <f t="shared" si="959"/>
        <v>8.1</v>
      </c>
      <c r="J4332" s="1137"/>
      <c r="K4332" s="1022"/>
      <c r="L4332" s="1022"/>
      <c r="M4332" s="1066"/>
      <c r="N4332" s="1066"/>
      <c r="O4332" s="1066"/>
      <c r="P4332" s="1066"/>
      <c r="Q4332" s="1066"/>
      <c r="R4332" s="1066"/>
      <c r="S4332" s="1066"/>
      <c r="T4332" s="1066"/>
      <c r="U4332" s="1066"/>
      <c r="V4332" s="1066"/>
      <c r="W4332" s="1066"/>
      <c r="X4332" s="1066"/>
      <c r="Y4332" s="1066"/>
      <c r="Z4332" s="1066"/>
      <c r="AA4332" s="1066"/>
      <c r="AB4332" s="1066"/>
      <c r="AC4332" s="1066"/>
      <c r="AD4332" s="1066"/>
      <c r="AE4332" s="1066"/>
      <c r="AF4332" s="1066"/>
      <c r="AG4332" s="1066"/>
      <c r="AH4332" s="1066"/>
      <c r="AI4332" s="1066"/>
      <c r="AJ4332" s="1066"/>
      <c r="AK4332" s="1066"/>
      <c r="AL4332" s="1066"/>
      <c r="AM4332" s="1066"/>
      <c r="AN4332" s="1066"/>
      <c r="AO4332" s="1066"/>
      <c r="AP4332" s="1066"/>
      <c r="AQ4332" s="1066"/>
      <c r="AR4332" s="1066"/>
      <c r="AS4332" s="1066"/>
      <c r="AT4332" s="1066"/>
      <c r="AU4332" s="1066"/>
      <c r="AV4332" s="1066"/>
      <c r="AW4332" s="1066"/>
      <c r="AX4332" s="1066"/>
      <c r="AY4332" s="1066"/>
      <c r="AZ4332" s="1066"/>
      <c r="BA4332" s="1066"/>
      <c r="BB4332" s="1066"/>
      <c r="BC4332" s="1066"/>
      <c r="BD4332" s="1066"/>
      <c r="BE4332" s="1066"/>
      <c r="BF4332" s="1066"/>
      <c r="BG4332" s="1066"/>
      <c r="BH4332" s="1066"/>
      <c r="BI4332" s="1066"/>
      <c r="BJ4332" s="1066"/>
      <c r="BK4332" s="1066"/>
      <c r="BL4332" s="1066"/>
    </row>
    <row r="4333" spans="1:64">
      <c r="A4333" s="1794"/>
      <c r="B4333" s="1794"/>
      <c r="C4333" s="1807" t="s">
        <v>1618</v>
      </c>
      <c r="D4333" s="1383">
        <v>2.4E-2</v>
      </c>
      <c r="E4333" s="1208" t="s">
        <v>36</v>
      </c>
      <c r="F4333" s="1209">
        <f>'Civil-SOR'!G297</f>
        <v>675</v>
      </c>
      <c r="G4333" s="1210">
        <v>1</v>
      </c>
      <c r="H4333" s="1208" t="s">
        <v>39</v>
      </c>
      <c r="I4333" s="1211">
        <f t="shared" si="959"/>
        <v>16.2</v>
      </c>
      <c r="J4333" s="1137"/>
      <c r="K4333" s="1022"/>
      <c r="L4333" s="1022"/>
      <c r="M4333" s="1066"/>
      <c r="N4333" s="1066"/>
      <c r="O4333" s="1066"/>
      <c r="P4333" s="1066"/>
      <c r="Q4333" s="1066"/>
      <c r="R4333" s="1066"/>
      <c r="S4333" s="1066"/>
      <c r="T4333" s="1066"/>
      <c r="U4333" s="1066"/>
      <c r="V4333" s="1066"/>
      <c r="W4333" s="1066"/>
      <c r="X4333" s="1066"/>
      <c r="Y4333" s="1066"/>
      <c r="Z4333" s="1066"/>
      <c r="AA4333" s="1066"/>
      <c r="AB4333" s="1066"/>
      <c r="AC4333" s="1066"/>
      <c r="AD4333" s="1066"/>
      <c r="AE4333" s="1066"/>
      <c r="AF4333" s="1066"/>
      <c r="AG4333" s="1066"/>
      <c r="AH4333" s="1066"/>
      <c r="AI4333" s="1066"/>
      <c r="AJ4333" s="1066"/>
      <c r="AK4333" s="1066"/>
      <c r="AL4333" s="1066"/>
      <c r="AM4333" s="1066"/>
      <c r="AN4333" s="1066"/>
      <c r="AO4333" s="1066"/>
      <c r="AP4333" s="1066"/>
      <c r="AQ4333" s="1066"/>
      <c r="AR4333" s="1066"/>
      <c r="AS4333" s="1066"/>
      <c r="AT4333" s="1066"/>
      <c r="AU4333" s="1066"/>
      <c r="AV4333" s="1066"/>
      <c r="AW4333" s="1066"/>
      <c r="AX4333" s="1066"/>
      <c r="AY4333" s="1066"/>
      <c r="AZ4333" s="1066"/>
      <c r="BA4333" s="1066"/>
      <c r="BB4333" s="1066"/>
      <c r="BC4333" s="1066"/>
      <c r="BD4333" s="1066"/>
      <c r="BE4333" s="1066"/>
      <c r="BF4333" s="1066"/>
      <c r="BG4333" s="1066"/>
      <c r="BH4333" s="1066"/>
      <c r="BI4333" s="1066"/>
      <c r="BJ4333" s="1066"/>
      <c r="BK4333" s="1066"/>
      <c r="BL4333" s="1066"/>
    </row>
    <row r="4334" spans="1:64">
      <c r="A4334" s="1794"/>
      <c r="B4334" s="1794"/>
      <c r="C4334" s="1807" t="s">
        <v>1620</v>
      </c>
      <c r="D4334" s="1383">
        <v>7.1999999999999995E-2</v>
      </c>
      <c r="E4334" s="1208" t="s">
        <v>36</v>
      </c>
      <c r="F4334" s="1209">
        <f>'Civil-SOR'!$G$307</f>
        <v>520</v>
      </c>
      <c r="G4334" s="1210">
        <v>1</v>
      </c>
      <c r="H4334" s="1208" t="s">
        <v>39</v>
      </c>
      <c r="I4334" s="1211">
        <f t="shared" si="959"/>
        <v>37.44</v>
      </c>
      <c r="J4334" s="1137"/>
      <c r="K4334" s="1022"/>
      <c r="L4334" s="1022"/>
      <c r="M4334" s="1066"/>
      <c r="N4334" s="1066"/>
      <c r="O4334" s="1066"/>
      <c r="P4334" s="1066"/>
      <c r="Q4334" s="1066"/>
      <c r="R4334" s="1066"/>
      <c r="S4334" s="1066"/>
      <c r="T4334" s="1066"/>
      <c r="U4334" s="1066"/>
      <c r="V4334" s="1066"/>
      <c r="W4334" s="1066"/>
      <c r="X4334" s="1066"/>
      <c r="Y4334" s="1066"/>
      <c r="Z4334" s="1066"/>
      <c r="AA4334" s="1066"/>
      <c r="AB4334" s="1066"/>
      <c r="AC4334" s="1066"/>
      <c r="AD4334" s="1066"/>
      <c r="AE4334" s="1066"/>
      <c r="AF4334" s="1066"/>
      <c r="AG4334" s="1066"/>
      <c r="AH4334" s="1066"/>
      <c r="AI4334" s="1066"/>
      <c r="AJ4334" s="1066"/>
      <c r="AK4334" s="1066"/>
      <c r="AL4334" s="1066"/>
      <c r="AM4334" s="1066"/>
      <c r="AN4334" s="1066"/>
      <c r="AO4334" s="1066"/>
      <c r="AP4334" s="1066"/>
      <c r="AQ4334" s="1066"/>
      <c r="AR4334" s="1066"/>
      <c r="AS4334" s="1066"/>
      <c r="AT4334" s="1066"/>
      <c r="AU4334" s="1066"/>
      <c r="AV4334" s="1066"/>
      <c r="AW4334" s="1066"/>
      <c r="AX4334" s="1066"/>
      <c r="AY4334" s="1066"/>
      <c r="AZ4334" s="1066"/>
      <c r="BA4334" s="1066"/>
      <c r="BB4334" s="1066"/>
      <c r="BC4334" s="1066"/>
      <c r="BD4334" s="1066"/>
      <c r="BE4334" s="1066"/>
      <c r="BF4334" s="1066"/>
      <c r="BG4334" s="1066"/>
      <c r="BH4334" s="1066"/>
      <c r="BI4334" s="1066"/>
      <c r="BJ4334" s="1066"/>
      <c r="BK4334" s="1066"/>
      <c r="BL4334" s="1066"/>
    </row>
    <row r="4335" spans="1:64">
      <c r="A4335" s="1794"/>
      <c r="B4335" s="1794"/>
      <c r="C4335" s="1807" t="str">
        <f>Input!$C$47</f>
        <v>Add for MA @ 40%</v>
      </c>
      <c r="D4335" s="1287">
        <f>Input!$D$47</f>
        <v>0.4</v>
      </c>
      <c r="E4335" s="1208"/>
      <c r="F4335" s="1209">
        <f>SUM(I4328:I4334)</f>
        <v>239.09999999999997</v>
      </c>
      <c r="G4335" s="1210"/>
      <c r="H4335" s="1208"/>
      <c r="I4335" s="1211">
        <f t="shared" si="959"/>
        <v>95.639999999999986</v>
      </c>
      <c r="J4335" s="1137"/>
      <c r="K4335" s="1022"/>
      <c r="L4335" s="1022"/>
      <c r="M4335" s="1066"/>
      <c r="N4335" s="1066"/>
      <c r="O4335" s="1066"/>
      <c r="P4335" s="1066"/>
      <c r="Q4335" s="1066"/>
      <c r="R4335" s="1066"/>
      <c r="S4335" s="1066"/>
      <c r="T4335" s="1066"/>
      <c r="U4335" s="1066"/>
      <c r="V4335" s="1066"/>
      <c r="W4335" s="1066"/>
      <c r="X4335" s="1066"/>
      <c r="Y4335" s="1066"/>
      <c r="Z4335" s="1066"/>
      <c r="AA4335" s="1066"/>
      <c r="AB4335" s="1066"/>
      <c r="AC4335" s="1066"/>
      <c r="AD4335" s="1066"/>
      <c r="AE4335" s="1066"/>
      <c r="AF4335" s="1066"/>
      <c r="AG4335" s="1066"/>
      <c r="AH4335" s="1066"/>
      <c r="AI4335" s="1066"/>
      <c r="AJ4335" s="1066"/>
      <c r="AK4335" s="1066"/>
      <c r="AL4335" s="1066"/>
      <c r="AM4335" s="1066"/>
      <c r="AN4335" s="1066"/>
      <c r="AO4335" s="1066"/>
      <c r="AP4335" s="1066"/>
      <c r="AQ4335" s="1066"/>
      <c r="AR4335" s="1066"/>
      <c r="AS4335" s="1066"/>
      <c r="AT4335" s="1066"/>
      <c r="AU4335" s="1066"/>
      <c r="AV4335" s="1066"/>
      <c r="AW4335" s="1066"/>
      <c r="AX4335" s="1066"/>
      <c r="AY4335" s="1066"/>
      <c r="AZ4335" s="1066"/>
      <c r="BA4335" s="1066"/>
      <c r="BB4335" s="1066"/>
      <c r="BC4335" s="1066"/>
      <c r="BD4335" s="1066"/>
      <c r="BE4335" s="1066"/>
      <c r="BF4335" s="1066"/>
      <c r="BG4335" s="1066"/>
      <c r="BH4335" s="1066"/>
      <c r="BI4335" s="1066"/>
      <c r="BJ4335" s="1066"/>
      <c r="BK4335" s="1066"/>
      <c r="BL4335" s="1066"/>
    </row>
    <row r="4336" spans="1:64">
      <c r="A4336" s="1794"/>
      <c r="B4336" s="1794"/>
      <c r="C4336" s="1795" t="s">
        <v>1621</v>
      </c>
      <c r="D4336" s="1207"/>
      <c r="E4336" s="1208"/>
      <c r="F4336" s="1209"/>
      <c r="G4336" s="1210"/>
      <c r="H4336" s="1208"/>
      <c r="I4336" s="1209"/>
      <c r="J4336" s="1137"/>
      <c r="K4336" s="1022"/>
      <c r="L4336" s="1022"/>
      <c r="M4336" s="1066"/>
      <c r="N4336" s="1066"/>
      <c r="O4336" s="1066"/>
      <c r="P4336" s="1066"/>
      <c r="Q4336" s="1066"/>
      <c r="R4336" s="1066"/>
      <c r="S4336" s="1066"/>
      <c r="T4336" s="1066"/>
      <c r="U4336" s="1066"/>
      <c r="V4336" s="1066"/>
      <c r="W4336" s="1066"/>
      <c r="X4336" s="1066"/>
      <c r="Y4336" s="1066"/>
      <c r="Z4336" s="1066"/>
      <c r="AA4336" s="1066"/>
      <c r="AB4336" s="1066"/>
      <c r="AC4336" s="1066"/>
      <c r="AD4336" s="1066"/>
      <c r="AE4336" s="1066"/>
      <c r="AF4336" s="1066"/>
      <c r="AG4336" s="1066"/>
      <c r="AH4336" s="1066"/>
      <c r="AI4336" s="1066"/>
      <c r="AJ4336" s="1066"/>
      <c r="AK4336" s="1066"/>
      <c r="AL4336" s="1066"/>
      <c r="AM4336" s="1066"/>
      <c r="AN4336" s="1066"/>
      <c r="AO4336" s="1066"/>
      <c r="AP4336" s="1066"/>
      <c r="AQ4336" s="1066"/>
      <c r="AR4336" s="1066"/>
      <c r="AS4336" s="1066"/>
      <c r="AT4336" s="1066"/>
      <c r="AU4336" s="1066"/>
      <c r="AV4336" s="1066"/>
      <c r="AW4336" s="1066"/>
      <c r="AX4336" s="1066"/>
      <c r="AY4336" s="1066"/>
      <c r="AZ4336" s="1066"/>
      <c r="BA4336" s="1066"/>
      <c r="BB4336" s="1066"/>
      <c r="BC4336" s="1066"/>
      <c r="BD4336" s="1066"/>
      <c r="BE4336" s="1066"/>
      <c r="BF4336" s="1066"/>
      <c r="BG4336" s="1066"/>
      <c r="BH4336" s="1066"/>
      <c r="BI4336" s="1066"/>
      <c r="BJ4336" s="1066"/>
      <c r="BK4336" s="1066"/>
      <c r="BL4336" s="1066"/>
    </row>
    <row r="4337" spans="1:64" ht="25.5">
      <c r="A4337" s="1794"/>
      <c r="B4337" s="1794"/>
      <c r="C4337" s="1807" t="s">
        <v>1622</v>
      </c>
      <c r="D4337" s="1207">
        <v>0.32</v>
      </c>
      <c r="E4337" s="1208" t="s">
        <v>1107</v>
      </c>
      <c r="F4337" s="1209">
        <f>'Civil-SOR'!$G$194</f>
        <v>146</v>
      </c>
      <c r="G4337" s="1210">
        <v>1</v>
      </c>
      <c r="H4337" s="1208" t="s">
        <v>616</v>
      </c>
      <c r="I4337" s="1211">
        <f t="shared" ref="I4337:I4338" si="960">IF(G4337="",D4337*F4337,(D4337*F4337/G4337))</f>
        <v>46.72</v>
      </c>
      <c r="J4337" s="1137"/>
      <c r="K4337" s="1022"/>
      <c r="L4337" s="1022"/>
      <c r="M4337" s="1066"/>
      <c r="N4337" s="1066"/>
      <c r="O4337" s="1066"/>
      <c r="P4337" s="1066"/>
      <c r="Q4337" s="1066"/>
      <c r="R4337" s="1066"/>
      <c r="S4337" s="1066"/>
      <c r="T4337" s="1066"/>
      <c r="U4337" s="1066"/>
      <c r="V4337" s="1066"/>
      <c r="W4337" s="1066"/>
      <c r="X4337" s="1066"/>
      <c r="Y4337" s="1066"/>
      <c r="Z4337" s="1066"/>
      <c r="AA4337" s="1066"/>
      <c r="AB4337" s="1066"/>
      <c r="AC4337" s="1066"/>
      <c r="AD4337" s="1066"/>
      <c r="AE4337" s="1066"/>
      <c r="AF4337" s="1066"/>
      <c r="AG4337" s="1066"/>
      <c r="AH4337" s="1066"/>
      <c r="AI4337" s="1066"/>
      <c r="AJ4337" s="1066"/>
      <c r="AK4337" s="1066"/>
      <c r="AL4337" s="1066"/>
      <c r="AM4337" s="1066"/>
      <c r="AN4337" s="1066"/>
      <c r="AO4337" s="1066"/>
      <c r="AP4337" s="1066"/>
      <c r="AQ4337" s="1066"/>
      <c r="AR4337" s="1066"/>
      <c r="AS4337" s="1066"/>
      <c r="AT4337" s="1066"/>
      <c r="AU4337" s="1066"/>
      <c r="AV4337" s="1066"/>
      <c r="AW4337" s="1066"/>
      <c r="AX4337" s="1066"/>
      <c r="AY4337" s="1066"/>
      <c r="AZ4337" s="1066"/>
      <c r="BA4337" s="1066"/>
      <c r="BB4337" s="1066"/>
      <c r="BC4337" s="1066"/>
      <c r="BD4337" s="1066"/>
      <c r="BE4337" s="1066"/>
      <c r="BF4337" s="1066"/>
      <c r="BG4337" s="1066"/>
      <c r="BH4337" s="1066"/>
      <c r="BI4337" s="1066"/>
      <c r="BJ4337" s="1066"/>
      <c r="BK4337" s="1066"/>
      <c r="BL4337" s="1066"/>
    </row>
    <row r="4338" spans="1:64">
      <c r="A4338" s="1794"/>
      <c r="B4338" s="1794"/>
      <c r="C4338" s="1807" t="s">
        <v>1641</v>
      </c>
      <c r="D4338" s="1207">
        <v>0.64</v>
      </c>
      <c r="E4338" s="1208" t="s">
        <v>1107</v>
      </c>
      <c r="F4338" s="1209">
        <f>'Civil-SOR'!$G$195</f>
        <v>137</v>
      </c>
      <c r="G4338" s="1210">
        <v>1</v>
      </c>
      <c r="H4338" s="1208" t="s">
        <v>616</v>
      </c>
      <c r="I4338" s="1211">
        <f t="shared" si="960"/>
        <v>87.68</v>
      </c>
      <c r="J4338" s="1137"/>
      <c r="K4338" s="1022"/>
      <c r="L4338" s="1022"/>
      <c r="M4338" s="1066"/>
      <c r="N4338" s="1066"/>
      <c r="O4338" s="1066"/>
      <c r="P4338" s="1066"/>
      <c r="Q4338" s="1066"/>
      <c r="R4338" s="1066"/>
      <c r="S4338" s="1066"/>
      <c r="T4338" s="1066"/>
      <c r="U4338" s="1066"/>
      <c r="V4338" s="1066"/>
      <c r="W4338" s="1066"/>
      <c r="X4338" s="1066"/>
      <c r="Y4338" s="1066"/>
      <c r="Z4338" s="1066"/>
      <c r="AA4338" s="1066"/>
      <c r="AB4338" s="1066"/>
      <c r="AC4338" s="1066"/>
      <c r="AD4338" s="1066"/>
      <c r="AE4338" s="1066"/>
      <c r="AF4338" s="1066"/>
      <c r="AG4338" s="1066"/>
      <c r="AH4338" s="1066"/>
      <c r="AI4338" s="1066"/>
      <c r="AJ4338" s="1066"/>
      <c r="AK4338" s="1066"/>
      <c r="AL4338" s="1066"/>
      <c r="AM4338" s="1066"/>
      <c r="AN4338" s="1066"/>
      <c r="AO4338" s="1066"/>
      <c r="AP4338" s="1066"/>
      <c r="AQ4338" s="1066"/>
      <c r="AR4338" s="1066"/>
      <c r="AS4338" s="1066"/>
      <c r="AT4338" s="1066"/>
      <c r="AU4338" s="1066"/>
      <c r="AV4338" s="1066"/>
      <c r="AW4338" s="1066"/>
      <c r="AX4338" s="1066"/>
      <c r="AY4338" s="1066"/>
      <c r="AZ4338" s="1066"/>
      <c r="BA4338" s="1066"/>
      <c r="BB4338" s="1066"/>
      <c r="BC4338" s="1066"/>
      <c r="BD4338" s="1066"/>
      <c r="BE4338" s="1066"/>
      <c r="BF4338" s="1066"/>
      <c r="BG4338" s="1066"/>
      <c r="BH4338" s="1066"/>
      <c r="BI4338" s="1066"/>
      <c r="BJ4338" s="1066"/>
      <c r="BK4338" s="1066"/>
      <c r="BL4338" s="1066"/>
    </row>
    <row r="4339" spans="1:64">
      <c r="A4339" s="1794"/>
      <c r="B4339" s="1794"/>
      <c r="C4339" s="1807" t="s">
        <v>402</v>
      </c>
      <c r="D4339" s="1207"/>
      <c r="E4339" s="1208"/>
      <c r="F4339" s="1209"/>
      <c r="G4339" s="1210"/>
      <c r="H4339" s="1208"/>
      <c r="I4339" s="1307">
        <f>SUM(I4315:I4338)</f>
        <v>1110.3900000000001</v>
      </c>
      <c r="J4339" s="1137"/>
      <c r="K4339" s="1022"/>
      <c r="L4339" s="1022"/>
      <c r="M4339" s="1066"/>
      <c r="N4339" s="1066"/>
      <c r="O4339" s="1066"/>
      <c r="P4339" s="1066"/>
      <c r="Q4339" s="1066"/>
      <c r="R4339" s="1066"/>
      <c r="S4339" s="1066"/>
      <c r="T4339" s="1066"/>
      <c r="U4339" s="1066"/>
      <c r="V4339" s="1066"/>
      <c r="W4339" s="1066"/>
      <c r="X4339" s="1066"/>
      <c r="Y4339" s="1066"/>
      <c r="Z4339" s="1066"/>
      <c r="AA4339" s="1066"/>
      <c r="AB4339" s="1066"/>
      <c r="AC4339" s="1066"/>
      <c r="AD4339" s="1066"/>
      <c r="AE4339" s="1066"/>
      <c r="AF4339" s="1066"/>
      <c r="AG4339" s="1066"/>
      <c r="AH4339" s="1066"/>
      <c r="AI4339" s="1066"/>
      <c r="AJ4339" s="1066"/>
      <c r="AK4339" s="1066"/>
      <c r="AL4339" s="1066"/>
      <c r="AM4339" s="1066"/>
      <c r="AN4339" s="1066"/>
      <c r="AO4339" s="1066"/>
      <c r="AP4339" s="1066"/>
      <c r="AQ4339" s="1066"/>
      <c r="AR4339" s="1066"/>
      <c r="AS4339" s="1066"/>
      <c r="AT4339" s="1066"/>
      <c r="AU4339" s="1066"/>
      <c r="AV4339" s="1066"/>
      <c r="AW4339" s="1066"/>
      <c r="AX4339" s="1066"/>
      <c r="AY4339" s="1066"/>
      <c r="AZ4339" s="1066"/>
      <c r="BA4339" s="1066"/>
      <c r="BB4339" s="1066"/>
      <c r="BC4339" s="1066"/>
      <c r="BD4339" s="1066"/>
      <c r="BE4339" s="1066"/>
      <c r="BF4339" s="1066"/>
      <c r="BG4339" s="1066"/>
      <c r="BH4339" s="1066"/>
      <c r="BI4339" s="1066"/>
      <c r="BJ4339" s="1066"/>
      <c r="BK4339" s="1066"/>
      <c r="BL4339" s="1066"/>
    </row>
    <row r="4340" spans="1:64">
      <c r="A4340" s="1794"/>
      <c r="B4340" s="1794"/>
      <c r="C4340" s="1807" t="s">
        <v>1642</v>
      </c>
      <c r="D4340" s="1207">
        <v>0.01</v>
      </c>
      <c r="E4340" s="1208"/>
      <c r="F4340" s="1209">
        <f>I4339</f>
        <v>1110.3900000000001</v>
      </c>
      <c r="G4340" s="1210"/>
      <c r="H4340" s="1208"/>
      <c r="I4340" s="1211">
        <f>IF(G4340="",D4340*F4340,(D4340*F4340/G4340))</f>
        <v>11.103900000000001</v>
      </c>
      <c r="J4340" s="1137"/>
      <c r="K4340" s="1022"/>
      <c r="L4340" s="1022"/>
      <c r="M4340" s="1066"/>
      <c r="N4340" s="1066"/>
      <c r="O4340" s="1066"/>
      <c r="P4340" s="1066"/>
      <c r="Q4340" s="1066"/>
      <c r="R4340" s="1066"/>
      <c r="S4340" s="1066"/>
      <c r="T4340" s="1066"/>
      <c r="U4340" s="1066"/>
      <c r="V4340" s="1066"/>
      <c r="W4340" s="1066"/>
      <c r="X4340" s="1066"/>
      <c r="Y4340" s="1066"/>
      <c r="Z4340" s="1066"/>
      <c r="AA4340" s="1066"/>
      <c r="AB4340" s="1066"/>
      <c r="AC4340" s="1066"/>
      <c r="AD4340" s="1066"/>
      <c r="AE4340" s="1066"/>
      <c r="AF4340" s="1066"/>
      <c r="AG4340" s="1066"/>
      <c r="AH4340" s="1066"/>
      <c r="AI4340" s="1066"/>
      <c r="AJ4340" s="1066"/>
      <c r="AK4340" s="1066"/>
      <c r="AL4340" s="1066"/>
      <c r="AM4340" s="1066"/>
      <c r="AN4340" s="1066"/>
      <c r="AO4340" s="1066"/>
      <c r="AP4340" s="1066"/>
      <c r="AQ4340" s="1066"/>
      <c r="AR4340" s="1066"/>
      <c r="AS4340" s="1066"/>
      <c r="AT4340" s="1066"/>
      <c r="AU4340" s="1066"/>
      <c r="AV4340" s="1066"/>
      <c r="AW4340" s="1066"/>
      <c r="AX4340" s="1066"/>
      <c r="AY4340" s="1066"/>
      <c r="AZ4340" s="1066"/>
      <c r="BA4340" s="1066"/>
      <c r="BB4340" s="1066"/>
      <c r="BC4340" s="1066"/>
      <c r="BD4340" s="1066"/>
      <c r="BE4340" s="1066"/>
      <c r="BF4340" s="1066"/>
      <c r="BG4340" s="1066"/>
      <c r="BH4340" s="1066"/>
      <c r="BI4340" s="1066"/>
      <c r="BJ4340" s="1066"/>
      <c r="BK4340" s="1066"/>
      <c r="BL4340" s="1066"/>
    </row>
    <row r="4341" spans="1:64">
      <c r="A4341" s="1794"/>
      <c r="B4341" s="1794"/>
      <c r="C4341" s="1795" t="s">
        <v>1045</v>
      </c>
      <c r="D4341" s="1207"/>
      <c r="E4341" s="1208"/>
      <c r="F4341" s="1209"/>
      <c r="G4341" s="1210"/>
      <c r="H4341" s="1208"/>
      <c r="I4341" s="1357">
        <f>SUM(I4339:I4340)</f>
        <v>1121.4939000000002</v>
      </c>
      <c r="J4341" s="1137"/>
      <c r="K4341" s="1022"/>
      <c r="L4341" s="1022"/>
      <c r="M4341" s="1066"/>
      <c r="N4341" s="1066"/>
      <c r="O4341" s="1066"/>
      <c r="P4341" s="1066"/>
      <c r="Q4341" s="1066"/>
      <c r="R4341" s="1066"/>
      <c r="S4341" s="1066"/>
      <c r="T4341" s="1066"/>
      <c r="U4341" s="1066"/>
      <c r="V4341" s="1066"/>
      <c r="W4341" s="1066"/>
      <c r="X4341" s="1066"/>
      <c r="Y4341" s="1066"/>
      <c r="Z4341" s="1066"/>
      <c r="AA4341" s="1066"/>
      <c r="AB4341" s="1066"/>
      <c r="AC4341" s="1066"/>
      <c r="AD4341" s="1066"/>
      <c r="AE4341" s="1066"/>
      <c r="AF4341" s="1066"/>
      <c r="AG4341" s="1066"/>
      <c r="AH4341" s="1066"/>
      <c r="AI4341" s="1066"/>
      <c r="AJ4341" s="1066"/>
      <c r="AK4341" s="1066"/>
      <c r="AL4341" s="1066"/>
      <c r="AM4341" s="1066"/>
      <c r="AN4341" s="1066"/>
      <c r="AO4341" s="1066"/>
      <c r="AP4341" s="1066"/>
      <c r="AQ4341" s="1066"/>
      <c r="AR4341" s="1066"/>
      <c r="AS4341" s="1066"/>
      <c r="AT4341" s="1066"/>
      <c r="AU4341" s="1066"/>
      <c r="AV4341" s="1066"/>
      <c r="AW4341" s="1066"/>
      <c r="AX4341" s="1066"/>
      <c r="AY4341" s="1066"/>
      <c r="AZ4341" s="1066"/>
      <c r="BA4341" s="1066"/>
      <c r="BB4341" s="1066"/>
      <c r="BC4341" s="1066"/>
      <c r="BD4341" s="1066"/>
      <c r="BE4341" s="1066"/>
      <c r="BF4341" s="1066"/>
      <c r="BG4341" s="1066"/>
      <c r="BH4341" s="1066"/>
      <c r="BI4341" s="1066"/>
      <c r="BJ4341" s="1066"/>
      <c r="BK4341" s="1066"/>
      <c r="BL4341" s="1066"/>
    </row>
    <row r="4342" spans="1:64">
      <c r="A4342" s="1794"/>
      <c r="B4342" s="1794"/>
      <c r="C4342" s="1807" t="str">
        <f>Input!$C$48</f>
        <v>Overheads &amp; Contractors Profit @ 13.615%</v>
      </c>
      <c r="D4342" s="1355">
        <f>Input!$D$48</f>
        <v>0.13614999999999999</v>
      </c>
      <c r="E4342" s="1208"/>
      <c r="F4342" s="1209">
        <f>I4341</f>
        <v>1121.4939000000002</v>
      </c>
      <c r="G4342" s="1210"/>
      <c r="H4342" s="1208"/>
      <c r="I4342" s="1211">
        <f>IF(G4342="",D4342*F4342,(D4342*F4342/G4342))</f>
        <v>152.69139448500002</v>
      </c>
      <c r="J4342" s="1137"/>
      <c r="K4342" s="1022"/>
      <c r="L4342" s="1022"/>
      <c r="M4342" s="1066"/>
      <c r="N4342" s="1066"/>
      <c r="O4342" s="1066"/>
      <c r="P4342" s="1066"/>
      <c r="Q4342" s="1066"/>
      <c r="R4342" s="1066"/>
      <c r="S4342" s="1066"/>
      <c r="T4342" s="1066"/>
      <c r="U4342" s="1066"/>
      <c r="V4342" s="1066"/>
      <c r="W4342" s="1066"/>
      <c r="X4342" s="1066"/>
      <c r="Y4342" s="1066"/>
      <c r="Z4342" s="1066"/>
      <c r="AA4342" s="1066"/>
      <c r="AB4342" s="1066"/>
      <c r="AC4342" s="1066"/>
      <c r="AD4342" s="1066"/>
      <c r="AE4342" s="1066"/>
      <c r="AF4342" s="1066"/>
      <c r="AG4342" s="1066"/>
      <c r="AH4342" s="1066"/>
      <c r="AI4342" s="1066"/>
      <c r="AJ4342" s="1066"/>
      <c r="AK4342" s="1066"/>
      <c r="AL4342" s="1066"/>
      <c r="AM4342" s="1066"/>
      <c r="AN4342" s="1066"/>
      <c r="AO4342" s="1066"/>
      <c r="AP4342" s="1066"/>
      <c r="AQ4342" s="1066"/>
      <c r="AR4342" s="1066"/>
      <c r="AS4342" s="1066"/>
      <c r="AT4342" s="1066"/>
      <c r="AU4342" s="1066"/>
      <c r="AV4342" s="1066"/>
      <c r="AW4342" s="1066"/>
      <c r="AX4342" s="1066"/>
      <c r="AY4342" s="1066"/>
      <c r="AZ4342" s="1066"/>
      <c r="BA4342" s="1066"/>
      <c r="BB4342" s="1066"/>
      <c r="BC4342" s="1066"/>
      <c r="BD4342" s="1066"/>
      <c r="BE4342" s="1066"/>
      <c r="BF4342" s="1066"/>
      <c r="BG4342" s="1066"/>
      <c r="BH4342" s="1066"/>
      <c r="BI4342" s="1066"/>
      <c r="BJ4342" s="1066"/>
      <c r="BK4342" s="1066"/>
      <c r="BL4342" s="1066"/>
    </row>
    <row r="4343" spans="1:64">
      <c r="A4343" s="1794"/>
      <c r="B4343" s="1794"/>
      <c r="C4343" s="1807"/>
      <c r="D4343" s="1207"/>
      <c r="E4343" s="1208"/>
      <c r="F4343" s="1209"/>
      <c r="G4343" s="1210"/>
      <c r="H4343" s="1208"/>
      <c r="I4343" s="1209">
        <f>SUM(I4341:I4342)</f>
        <v>1274.1852944850002</v>
      </c>
      <c r="J4343" s="1137"/>
      <c r="K4343" s="1022"/>
      <c r="L4343" s="1022"/>
      <c r="M4343" s="1066"/>
      <c r="N4343" s="1066"/>
      <c r="O4343" s="1066"/>
      <c r="P4343" s="1066"/>
      <c r="Q4343" s="1066"/>
      <c r="R4343" s="1066"/>
      <c r="S4343" s="1066"/>
      <c r="T4343" s="1066"/>
      <c r="U4343" s="1066"/>
      <c r="V4343" s="1066"/>
      <c r="W4343" s="1066"/>
      <c r="X4343" s="1066"/>
      <c r="Y4343" s="1066"/>
      <c r="Z4343" s="1066"/>
      <c r="AA4343" s="1066"/>
      <c r="AB4343" s="1066"/>
      <c r="AC4343" s="1066"/>
      <c r="AD4343" s="1066"/>
      <c r="AE4343" s="1066"/>
      <c r="AF4343" s="1066"/>
      <c r="AG4343" s="1066"/>
      <c r="AH4343" s="1066"/>
      <c r="AI4343" s="1066"/>
      <c r="AJ4343" s="1066"/>
      <c r="AK4343" s="1066"/>
      <c r="AL4343" s="1066"/>
      <c r="AM4343" s="1066"/>
      <c r="AN4343" s="1066"/>
      <c r="AO4343" s="1066"/>
      <c r="AP4343" s="1066"/>
      <c r="AQ4343" s="1066"/>
      <c r="AR4343" s="1066"/>
      <c r="AS4343" s="1066"/>
      <c r="AT4343" s="1066"/>
      <c r="AU4343" s="1066"/>
      <c r="AV4343" s="1066"/>
      <c r="AW4343" s="1066"/>
      <c r="AX4343" s="1066"/>
      <c r="AY4343" s="1066"/>
      <c r="AZ4343" s="1066"/>
      <c r="BA4343" s="1066"/>
      <c r="BB4343" s="1066"/>
      <c r="BC4343" s="1066"/>
      <c r="BD4343" s="1066"/>
      <c r="BE4343" s="1066"/>
      <c r="BF4343" s="1066"/>
      <c r="BG4343" s="1066"/>
      <c r="BH4343" s="1066"/>
      <c r="BI4343" s="1066"/>
      <c r="BJ4343" s="1066"/>
      <c r="BK4343" s="1066"/>
      <c r="BL4343" s="1066"/>
    </row>
    <row r="4344" spans="1:64">
      <c r="A4344" s="1797"/>
      <c r="B4344" s="1797"/>
      <c r="C4344" s="1815"/>
      <c r="D4344" s="1214"/>
      <c r="E4344" s="1215"/>
      <c r="F4344" s="1216"/>
      <c r="G4344" s="1217"/>
      <c r="H4344" s="1384" t="s">
        <v>1065</v>
      </c>
      <c r="I4344" s="1285">
        <f>ROUND(I4343,0)</f>
        <v>1274</v>
      </c>
      <c r="J4344" s="996"/>
      <c r="K4344" s="996"/>
      <c r="L4344" s="996"/>
      <c r="M4344" s="997"/>
      <c r="N4344" s="997"/>
      <c r="O4344" s="997"/>
      <c r="P4344" s="997"/>
      <c r="Q4344" s="997"/>
      <c r="R4344" s="997"/>
      <c r="S4344" s="997"/>
      <c r="T4344" s="997"/>
      <c r="U4344" s="997"/>
      <c r="V4344" s="997"/>
      <c r="W4344" s="997"/>
      <c r="X4344" s="997"/>
      <c r="Y4344" s="997"/>
      <c r="Z4344" s="997"/>
      <c r="AA4344" s="997"/>
      <c r="AB4344" s="997"/>
      <c r="AC4344" s="997"/>
      <c r="AD4344" s="997"/>
      <c r="AE4344" s="997"/>
      <c r="AF4344" s="997"/>
      <c r="AG4344" s="997"/>
      <c r="AH4344" s="997"/>
      <c r="AI4344" s="997"/>
      <c r="AJ4344" s="997"/>
      <c r="AK4344" s="997"/>
      <c r="AL4344" s="997"/>
      <c r="AM4344" s="997"/>
      <c r="AN4344" s="997"/>
      <c r="AO4344" s="997"/>
      <c r="AP4344" s="997"/>
      <c r="AQ4344" s="997"/>
      <c r="AR4344" s="997"/>
      <c r="AS4344" s="997"/>
      <c r="AT4344" s="997"/>
      <c r="AU4344" s="997"/>
      <c r="AV4344" s="997"/>
      <c r="AW4344" s="997"/>
      <c r="AX4344" s="997"/>
      <c r="AY4344" s="997"/>
      <c r="AZ4344" s="997"/>
      <c r="BA4344" s="997"/>
      <c r="BB4344" s="997"/>
      <c r="BC4344" s="997"/>
      <c r="BD4344" s="997"/>
      <c r="BE4344" s="997"/>
      <c r="BF4344" s="997"/>
      <c r="BG4344" s="997"/>
      <c r="BH4344" s="997"/>
      <c r="BI4344" s="997"/>
      <c r="BJ4344" s="997"/>
      <c r="BK4344" s="997"/>
      <c r="BL4344" s="997"/>
    </row>
    <row r="4345" spans="1:64">
      <c r="A4345" s="1798"/>
      <c r="B4345" s="1200"/>
      <c r="C4345" s="1807"/>
      <c r="D4345" s="1203"/>
      <c r="E4345" s="1199"/>
      <c r="F4345" s="1201"/>
      <c r="G4345" s="1204"/>
      <c r="H4345" s="1198"/>
      <c r="I4345" s="1205"/>
      <c r="J4345" s="1846"/>
      <c r="K4345" s="1846"/>
      <c r="L4345" s="1846"/>
    </row>
    <row r="4346" spans="1:64" ht="103.7" customHeight="1">
      <c r="A4346" s="2013">
        <f>A4311+1</f>
        <v>69</v>
      </c>
      <c r="B4346" s="2013"/>
      <c r="C4346" s="2006" t="s">
        <v>3475</v>
      </c>
      <c r="D4346" s="2006"/>
      <c r="E4346" s="2006"/>
      <c r="F4346" s="2006"/>
      <c r="G4346" s="2006"/>
      <c r="H4346" s="2006"/>
      <c r="I4346" s="1814"/>
      <c r="J4346" s="1846"/>
      <c r="K4346" s="1846"/>
      <c r="L4346" s="1846"/>
    </row>
    <row r="4347" spans="1:64" ht="12.75" customHeight="1">
      <c r="A4347" s="1794"/>
      <c r="B4347" s="1794"/>
      <c r="C4347" s="2027" t="s">
        <v>1643</v>
      </c>
      <c r="D4347" s="2027"/>
      <c r="E4347" s="2027"/>
      <c r="F4347" s="1209"/>
      <c r="G4347" s="1210"/>
      <c r="H4347" s="1208"/>
      <c r="I4347" s="1209"/>
      <c r="J4347" s="1022"/>
      <c r="K4347" s="1022"/>
      <c r="L4347" s="1022"/>
      <c r="M4347" s="1066"/>
      <c r="N4347" s="1066"/>
      <c r="O4347" s="1066"/>
      <c r="P4347" s="1066"/>
      <c r="Q4347" s="1066"/>
      <c r="R4347" s="1066"/>
      <c r="S4347" s="1066"/>
      <c r="T4347" s="1066"/>
      <c r="U4347" s="1066"/>
      <c r="V4347" s="1066"/>
      <c r="W4347" s="1066"/>
      <c r="X4347" s="1066"/>
      <c r="Y4347" s="1066"/>
      <c r="Z4347" s="1066"/>
      <c r="AA4347" s="1066"/>
      <c r="AB4347" s="1066"/>
      <c r="AC4347" s="1066"/>
      <c r="AD4347" s="1066"/>
      <c r="AE4347" s="1066"/>
      <c r="AF4347" s="1066"/>
      <c r="AG4347" s="1066"/>
      <c r="AH4347" s="1066"/>
      <c r="AI4347" s="1066"/>
      <c r="AJ4347" s="1066"/>
      <c r="AK4347" s="1066"/>
      <c r="AL4347" s="1066"/>
      <c r="AM4347" s="1066"/>
      <c r="AN4347" s="1066"/>
      <c r="AO4347" s="1066"/>
      <c r="AP4347" s="1066"/>
      <c r="AQ4347" s="1066"/>
      <c r="AR4347" s="1066"/>
      <c r="AS4347" s="1066"/>
      <c r="AT4347" s="1066"/>
      <c r="AU4347" s="1066"/>
      <c r="AV4347" s="1066"/>
      <c r="AW4347" s="1066"/>
      <c r="AX4347" s="1066"/>
      <c r="AY4347" s="1066"/>
      <c r="AZ4347" s="1066"/>
      <c r="BA4347" s="1066"/>
      <c r="BB4347" s="1066"/>
      <c r="BC4347" s="1066"/>
      <c r="BD4347" s="1066"/>
      <c r="BE4347" s="1066"/>
      <c r="BF4347" s="1066"/>
      <c r="BG4347" s="1066"/>
      <c r="BH4347" s="1066"/>
      <c r="BI4347" s="1066"/>
      <c r="BJ4347" s="1066"/>
      <c r="BK4347" s="1066"/>
      <c r="BL4347" s="1066"/>
    </row>
    <row r="4348" spans="1:64">
      <c r="A4348" s="1794"/>
      <c r="B4348" s="1794"/>
      <c r="C4348" s="1795" t="s">
        <v>1627</v>
      </c>
      <c r="D4348" s="1207"/>
      <c r="E4348" s="1208"/>
      <c r="F4348" s="1209"/>
      <c r="G4348" s="1210"/>
      <c r="H4348" s="1208"/>
      <c r="I4348" s="1209"/>
      <c r="J4348" s="1022"/>
      <c r="K4348" s="1022"/>
      <c r="L4348" s="1022"/>
      <c r="M4348" s="1066"/>
      <c r="N4348" s="1066"/>
      <c r="O4348" s="1066"/>
      <c r="P4348" s="1066"/>
      <c r="Q4348" s="1066"/>
      <c r="R4348" s="1066"/>
      <c r="S4348" s="1066"/>
      <c r="T4348" s="1066"/>
      <c r="U4348" s="1066"/>
      <c r="V4348" s="1066"/>
      <c r="W4348" s="1066"/>
      <c r="X4348" s="1066"/>
      <c r="Y4348" s="1066"/>
      <c r="Z4348" s="1066"/>
      <c r="AA4348" s="1066"/>
      <c r="AB4348" s="1066"/>
      <c r="AC4348" s="1066"/>
      <c r="AD4348" s="1066"/>
      <c r="AE4348" s="1066"/>
      <c r="AF4348" s="1066"/>
      <c r="AG4348" s="1066"/>
      <c r="AH4348" s="1066"/>
      <c r="AI4348" s="1066"/>
      <c r="AJ4348" s="1066"/>
      <c r="AK4348" s="1066"/>
      <c r="AL4348" s="1066"/>
      <c r="AM4348" s="1066"/>
      <c r="AN4348" s="1066"/>
      <c r="AO4348" s="1066"/>
      <c r="AP4348" s="1066"/>
      <c r="AQ4348" s="1066"/>
      <c r="AR4348" s="1066"/>
      <c r="AS4348" s="1066"/>
      <c r="AT4348" s="1066"/>
      <c r="AU4348" s="1066"/>
      <c r="AV4348" s="1066"/>
      <c r="AW4348" s="1066"/>
      <c r="AX4348" s="1066"/>
      <c r="AY4348" s="1066"/>
      <c r="AZ4348" s="1066"/>
      <c r="BA4348" s="1066"/>
      <c r="BB4348" s="1066"/>
      <c r="BC4348" s="1066"/>
      <c r="BD4348" s="1066"/>
      <c r="BE4348" s="1066"/>
      <c r="BF4348" s="1066"/>
      <c r="BG4348" s="1066"/>
      <c r="BH4348" s="1066"/>
      <c r="BI4348" s="1066"/>
      <c r="BJ4348" s="1066"/>
      <c r="BK4348" s="1066"/>
      <c r="BL4348" s="1066"/>
    </row>
    <row r="4349" spans="1:64" ht="12.75" customHeight="1">
      <c r="A4349" s="1794"/>
      <c r="B4349" s="1794"/>
      <c r="C4349" s="2026" t="s">
        <v>1644</v>
      </c>
      <c r="D4349" s="2026"/>
      <c r="E4349" s="1208"/>
      <c r="F4349" s="1209"/>
      <c r="G4349" s="1210"/>
      <c r="H4349" s="1208"/>
      <c r="I4349" s="1209"/>
      <c r="J4349" s="1022"/>
      <c r="K4349" s="1022"/>
      <c r="L4349" s="1022"/>
      <c r="M4349" s="1066"/>
      <c r="N4349" s="1066"/>
      <c r="O4349" s="1066"/>
      <c r="P4349" s="1066"/>
      <c r="Q4349" s="1066"/>
      <c r="R4349" s="1066"/>
      <c r="S4349" s="1066"/>
      <c r="T4349" s="1066"/>
      <c r="U4349" s="1066"/>
      <c r="V4349" s="1066"/>
      <c r="W4349" s="1066"/>
      <c r="X4349" s="1066"/>
      <c r="Y4349" s="1066"/>
      <c r="Z4349" s="1066"/>
      <c r="AA4349" s="1066"/>
      <c r="AB4349" s="1066"/>
      <c r="AC4349" s="1066"/>
      <c r="AD4349" s="1066"/>
      <c r="AE4349" s="1066"/>
      <c r="AF4349" s="1066"/>
      <c r="AG4349" s="1066"/>
      <c r="AH4349" s="1066"/>
      <c r="AI4349" s="1066"/>
      <c r="AJ4349" s="1066"/>
      <c r="AK4349" s="1066"/>
      <c r="AL4349" s="1066"/>
      <c r="AM4349" s="1066"/>
      <c r="AN4349" s="1066"/>
      <c r="AO4349" s="1066"/>
      <c r="AP4349" s="1066"/>
      <c r="AQ4349" s="1066"/>
      <c r="AR4349" s="1066"/>
      <c r="AS4349" s="1066"/>
      <c r="AT4349" s="1066"/>
      <c r="AU4349" s="1066"/>
      <c r="AV4349" s="1066"/>
      <c r="AW4349" s="1066"/>
      <c r="AX4349" s="1066"/>
      <c r="AY4349" s="1066"/>
      <c r="AZ4349" s="1066"/>
      <c r="BA4349" s="1066"/>
      <c r="BB4349" s="1066"/>
      <c r="BC4349" s="1066"/>
      <c r="BD4349" s="1066"/>
      <c r="BE4349" s="1066"/>
      <c r="BF4349" s="1066"/>
      <c r="BG4349" s="1066"/>
      <c r="BH4349" s="1066"/>
      <c r="BI4349" s="1066"/>
      <c r="BJ4349" s="1066"/>
      <c r="BK4349" s="1066"/>
      <c r="BL4349" s="1066"/>
    </row>
    <row r="4350" spans="1:64">
      <c r="A4350" s="1794"/>
      <c r="B4350" s="1794"/>
      <c r="C4350" s="1807" t="s">
        <v>1645</v>
      </c>
      <c r="D4350" s="1207"/>
      <c r="E4350" s="1208"/>
      <c r="F4350" s="1209"/>
      <c r="G4350" s="1210"/>
      <c r="H4350" s="1208"/>
      <c r="I4350" s="1209"/>
      <c r="J4350" s="1022"/>
      <c r="K4350" s="1022"/>
      <c r="L4350" s="1022"/>
      <c r="M4350" s="1066"/>
      <c r="N4350" s="1066"/>
      <c r="O4350" s="1066"/>
      <c r="P4350" s="1066"/>
      <c r="Q4350" s="1066"/>
      <c r="R4350" s="1066"/>
      <c r="S4350" s="1066"/>
      <c r="T4350" s="1066"/>
      <c r="U4350" s="1066"/>
      <c r="V4350" s="1066"/>
      <c r="W4350" s="1066"/>
      <c r="X4350" s="1066"/>
      <c r="Y4350" s="1066"/>
      <c r="Z4350" s="1066"/>
      <c r="AA4350" s="1066"/>
      <c r="AB4350" s="1066"/>
      <c r="AC4350" s="1066"/>
      <c r="AD4350" s="1066"/>
      <c r="AE4350" s="1066"/>
      <c r="AF4350" s="1066"/>
      <c r="AG4350" s="1066"/>
      <c r="AH4350" s="1066"/>
      <c r="AI4350" s="1066"/>
      <c r="AJ4350" s="1066"/>
      <c r="AK4350" s="1066"/>
      <c r="AL4350" s="1066"/>
      <c r="AM4350" s="1066"/>
      <c r="AN4350" s="1066"/>
      <c r="AO4350" s="1066"/>
      <c r="AP4350" s="1066"/>
      <c r="AQ4350" s="1066"/>
      <c r="AR4350" s="1066"/>
      <c r="AS4350" s="1066"/>
      <c r="AT4350" s="1066"/>
      <c r="AU4350" s="1066"/>
      <c r="AV4350" s="1066"/>
      <c r="AW4350" s="1066"/>
      <c r="AX4350" s="1066"/>
      <c r="AY4350" s="1066"/>
      <c r="AZ4350" s="1066"/>
      <c r="BA4350" s="1066"/>
      <c r="BB4350" s="1066"/>
      <c r="BC4350" s="1066"/>
      <c r="BD4350" s="1066"/>
      <c r="BE4350" s="1066"/>
      <c r="BF4350" s="1066"/>
      <c r="BG4350" s="1066"/>
      <c r="BH4350" s="1066"/>
      <c r="BI4350" s="1066"/>
      <c r="BJ4350" s="1066"/>
      <c r="BK4350" s="1066"/>
      <c r="BL4350" s="1066"/>
    </row>
    <row r="4351" spans="1:64">
      <c r="A4351" s="1794"/>
      <c r="B4351" s="1794"/>
      <c r="C4351" s="1807" t="s">
        <v>1646</v>
      </c>
      <c r="D4351" s="1207">
        <v>1</v>
      </c>
      <c r="E4351" s="1208" t="s">
        <v>94</v>
      </c>
      <c r="F4351" s="1209">
        <f>'Civil-SOR'!$G$81</f>
        <v>286</v>
      </c>
      <c r="G4351" s="1210">
        <v>1</v>
      </c>
      <c r="H4351" s="1208" t="s">
        <v>94</v>
      </c>
      <c r="I4351" s="1211">
        <f t="shared" ref="I4351:I4358" si="961">IF(G4351="",D4351*F4351,(D4351*F4351/G4351))</f>
        <v>286</v>
      </c>
      <c r="J4351" s="1022"/>
      <c r="K4351" s="1022"/>
      <c r="L4351" s="1022"/>
      <c r="M4351" s="1066"/>
      <c r="N4351" s="1066"/>
      <c r="O4351" s="1066"/>
      <c r="P4351" s="1066"/>
      <c r="Q4351" s="1066"/>
      <c r="R4351" s="1066"/>
      <c r="S4351" s="1066"/>
      <c r="T4351" s="1066"/>
      <c r="U4351" s="1066"/>
      <c r="V4351" s="1066"/>
      <c r="W4351" s="1066"/>
      <c r="X4351" s="1066"/>
      <c r="Y4351" s="1066"/>
      <c r="Z4351" s="1066"/>
      <c r="AA4351" s="1066"/>
      <c r="AB4351" s="1066"/>
      <c r="AC4351" s="1066"/>
      <c r="AD4351" s="1066"/>
      <c r="AE4351" s="1066"/>
      <c r="AF4351" s="1066"/>
      <c r="AG4351" s="1066"/>
      <c r="AH4351" s="1066"/>
      <c r="AI4351" s="1066"/>
      <c r="AJ4351" s="1066"/>
      <c r="AK4351" s="1066"/>
      <c r="AL4351" s="1066"/>
      <c r="AM4351" s="1066"/>
      <c r="AN4351" s="1066"/>
      <c r="AO4351" s="1066"/>
      <c r="AP4351" s="1066"/>
      <c r="AQ4351" s="1066"/>
      <c r="AR4351" s="1066"/>
      <c r="AS4351" s="1066"/>
      <c r="AT4351" s="1066"/>
      <c r="AU4351" s="1066"/>
      <c r="AV4351" s="1066"/>
      <c r="AW4351" s="1066"/>
      <c r="AX4351" s="1066"/>
      <c r="AY4351" s="1066"/>
      <c r="AZ4351" s="1066"/>
      <c r="BA4351" s="1066"/>
      <c r="BB4351" s="1066"/>
      <c r="BC4351" s="1066"/>
      <c r="BD4351" s="1066"/>
      <c r="BE4351" s="1066"/>
      <c r="BF4351" s="1066"/>
      <c r="BG4351" s="1066"/>
      <c r="BH4351" s="1066"/>
      <c r="BI4351" s="1066"/>
      <c r="BJ4351" s="1066"/>
      <c r="BK4351" s="1066"/>
      <c r="BL4351" s="1066"/>
    </row>
    <row r="4352" spans="1:64" ht="25.5">
      <c r="A4352" s="1794"/>
      <c r="B4352" s="1794"/>
      <c r="C4352" s="1807" t="s">
        <v>1647</v>
      </c>
      <c r="D4352" s="1207">
        <v>0.4</v>
      </c>
      <c r="E4352" s="1208" t="s">
        <v>197</v>
      </c>
      <c r="F4352" s="1209">
        <f>'Civil-SOR'!$G$91</f>
        <v>43</v>
      </c>
      <c r="G4352" s="1210">
        <v>1</v>
      </c>
      <c r="H4352" s="1208" t="s">
        <v>197</v>
      </c>
      <c r="I4352" s="1211">
        <f t="shared" si="961"/>
        <v>17.2</v>
      </c>
      <c r="J4352" s="1022"/>
      <c r="K4352" s="1022"/>
      <c r="L4352" s="1022"/>
      <c r="M4352" s="1066"/>
      <c r="N4352" s="1066"/>
      <c r="O4352" s="1066"/>
      <c r="P4352" s="1066"/>
      <c r="Q4352" s="1066"/>
      <c r="R4352" s="1066"/>
      <c r="S4352" s="1066"/>
      <c r="T4352" s="1066"/>
      <c r="U4352" s="1066"/>
      <c r="V4352" s="1066"/>
      <c r="W4352" s="1066"/>
      <c r="X4352" s="1066"/>
      <c r="Y4352" s="1066"/>
      <c r="Z4352" s="1066"/>
      <c r="AA4352" s="1066"/>
      <c r="AB4352" s="1066"/>
      <c r="AC4352" s="1066"/>
      <c r="AD4352" s="1066"/>
      <c r="AE4352" s="1066"/>
      <c r="AF4352" s="1066"/>
      <c r="AG4352" s="1066"/>
      <c r="AH4352" s="1066"/>
      <c r="AI4352" s="1066"/>
      <c r="AJ4352" s="1066"/>
      <c r="AK4352" s="1066"/>
      <c r="AL4352" s="1066"/>
      <c r="AM4352" s="1066"/>
      <c r="AN4352" s="1066"/>
      <c r="AO4352" s="1066"/>
      <c r="AP4352" s="1066"/>
      <c r="AQ4352" s="1066"/>
      <c r="AR4352" s="1066"/>
      <c r="AS4352" s="1066"/>
      <c r="AT4352" s="1066"/>
      <c r="AU4352" s="1066"/>
      <c r="AV4352" s="1066"/>
      <c r="AW4352" s="1066"/>
      <c r="AX4352" s="1066"/>
      <c r="AY4352" s="1066"/>
      <c r="AZ4352" s="1066"/>
      <c r="BA4352" s="1066"/>
      <c r="BB4352" s="1066"/>
      <c r="BC4352" s="1066"/>
      <c r="BD4352" s="1066"/>
      <c r="BE4352" s="1066"/>
      <c r="BF4352" s="1066"/>
      <c r="BG4352" s="1066"/>
      <c r="BH4352" s="1066"/>
      <c r="BI4352" s="1066"/>
      <c r="BJ4352" s="1066"/>
      <c r="BK4352" s="1066"/>
      <c r="BL4352" s="1066"/>
    </row>
    <row r="4353" spans="1:64" ht="25.5">
      <c r="A4353" s="1794"/>
      <c r="B4353" s="1794"/>
      <c r="C4353" s="1807" t="s">
        <v>1648</v>
      </c>
      <c r="D4353" s="1207">
        <v>3.2</v>
      </c>
      <c r="E4353" s="1208" t="s">
        <v>197</v>
      </c>
      <c r="F4353" s="1209">
        <f>'Civil-SOR'!$G$92</f>
        <v>57</v>
      </c>
      <c r="G4353" s="1210">
        <v>1</v>
      </c>
      <c r="H4353" s="1208" t="s">
        <v>197</v>
      </c>
      <c r="I4353" s="1211">
        <f t="shared" si="961"/>
        <v>182.4</v>
      </c>
      <c r="J4353" s="1022"/>
      <c r="K4353" s="1022"/>
      <c r="L4353" s="1022"/>
      <c r="M4353" s="1066"/>
      <c r="N4353" s="1066"/>
      <c r="O4353" s="1066"/>
      <c r="P4353" s="1066"/>
      <c r="Q4353" s="1066"/>
      <c r="R4353" s="1066"/>
      <c r="S4353" s="1066"/>
      <c r="T4353" s="1066"/>
      <c r="U4353" s="1066"/>
      <c r="V4353" s="1066"/>
      <c r="W4353" s="1066"/>
      <c r="X4353" s="1066"/>
      <c r="Y4353" s="1066"/>
      <c r="Z4353" s="1066"/>
      <c r="AA4353" s="1066"/>
      <c r="AB4353" s="1066"/>
      <c r="AC4353" s="1066"/>
      <c r="AD4353" s="1066"/>
      <c r="AE4353" s="1066"/>
      <c r="AF4353" s="1066"/>
      <c r="AG4353" s="1066"/>
      <c r="AH4353" s="1066"/>
      <c r="AI4353" s="1066"/>
      <c r="AJ4353" s="1066"/>
      <c r="AK4353" s="1066"/>
      <c r="AL4353" s="1066"/>
      <c r="AM4353" s="1066"/>
      <c r="AN4353" s="1066"/>
      <c r="AO4353" s="1066"/>
      <c r="AP4353" s="1066"/>
      <c r="AQ4353" s="1066"/>
      <c r="AR4353" s="1066"/>
      <c r="AS4353" s="1066"/>
      <c r="AT4353" s="1066"/>
      <c r="AU4353" s="1066"/>
      <c r="AV4353" s="1066"/>
      <c r="AW4353" s="1066"/>
      <c r="AX4353" s="1066"/>
      <c r="AY4353" s="1066"/>
      <c r="AZ4353" s="1066"/>
      <c r="BA4353" s="1066"/>
      <c r="BB4353" s="1066"/>
      <c r="BC4353" s="1066"/>
      <c r="BD4353" s="1066"/>
      <c r="BE4353" s="1066"/>
      <c r="BF4353" s="1066"/>
      <c r="BG4353" s="1066"/>
      <c r="BH4353" s="1066"/>
      <c r="BI4353" s="1066"/>
      <c r="BJ4353" s="1066"/>
      <c r="BK4353" s="1066"/>
      <c r="BL4353" s="1066"/>
    </row>
    <row r="4354" spans="1:64" ht="25.5">
      <c r="A4354" s="1794"/>
      <c r="B4354" s="1794"/>
      <c r="C4354" s="1807" t="s">
        <v>1649</v>
      </c>
      <c r="D4354" s="1207">
        <v>1.28</v>
      </c>
      <c r="E4354" s="1208" t="s">
        <v>197</v>
      </c>
      <c r="F4354" s="1209">
        <f>'Civil-SOR'!$G$108</f>
        <v>13</v>
      </c>
      <c r="G4354" s="1210">
        <v>1</v>
      </c>
      <c r="H4354" s="1208" t="s">
        <v>197</v>
      </c>
      <c r="I4354" s="1211">
        <f t="shared" si="961"/>
        <v>16.64</v>
      </c>
      <c r="J4354" s="1022"/>
      <c r="K4354" s="1022"/>
      <c r="L4354" s="1022"/>
      <c r="M4354" s="1066"/>
      <c r="N4354" s="1066"/>
      <c r="O4354" s="1066"/>
      <c r="P4354" s="1066"/>
      <c r="Q4354" s="1066"/>
      <c r="R4354" s="1066"/>
      <c r="S4354" s="1066"/>
      <c r="T4354" s="1066"/>
      <c r="U4354" s="1066"/>
      <c r="V4354" s="1066"/>
      <c r="W4354" s="1066"/>
      <c r="X4354" s="1066"/>
      <c r="Y4354" s="1066"/>
      <c r="Z4354" s="1066"/>
      <c r="AA4354" s="1066"/>
      <c r="AB4354" s="1066"/>
      <c r="AC4354" s="1066"/>
      <c r="AD4354" s="1066"/>
      <c r="AE4354" s="1066"/>
      <c r="AF4354" s="1066"/>
      <c r="AG4354" s="1066"/>
      <c r="AH4354" s="1066"/>
      <c r="AI4354" s="1066"/>
      <c r="AJ4354" s="1066"/>
      <c r="AK4354" s="1066"/>
      <c r="AL4354" s="1066"/>
      <c r="AM4354" s="1066"/>
      <c r="AN4354" s="1066"/>
      <c r="AO4354" s="1066"/>
      <c r="AP4354" s="1066"/>
      <c r="AQ4354" s="1066"/>
      <c r="AR4354" s="1066"/>
      <c r="AS4354" s="1066"/>
      <c r="AT4354" s="1066"/>
      <c r="AU4354" s="1066"/>
      <c r="AV4354" s="1066"/>
      <c r="AW4354" s="1066"/>
      <c r="AX4354" s="1066"/>
      <c r="AY4354" s="1066"/>
      <c r="AZ4354" s="1066"/>
      <c r="BA4354" s="1066"/>
      <c r="BB4354" s="1066"/>
      <c r="BC4354" s="1066"/>
      <c r="BD4354" s="1066"/>
      <c r="BE4354" s="1066"/>
      <c r="BF4354" s="1066"/>
      <c r="BG4354" s="1066"/>
      <c r="BH4354" s="1066"/>
      <c r="BI4354" s="1066"/>
      <c r="BJ4354" s="1066"/>
      <c r="BK4354" s="1066"/>
      <c r="BL4354" s="1066"/>
    </row>
    <row r="4355" spans="1:64">
      <c r="A4355" s="1794"/>
      <c r="B4355" s="1794"/>
      <c r="C4355" s="1807" t="str">
        <f t="shared" ref="C4355:C4356" si="962">C4321</f>
        <v>Rawl Plug           TBSC-K.II-15</v>
      </c>
      <c r="D4355" s="1207">
        <v>1.28</v>
      </c>
      <c r="E4355" s="1208" t="s">
        <v>36</v>
      </c>
      <c r="F4355" s="1209">
        <f>'Civil-SOR'!$G$100</f>
        <v>5</v>
      </c>
      <c r="G4355" s="1210">
        <v>1</v>
      </c>
      <c r="H4355" s="1208" t="s">
        <v>39</v>
      </c>
      <c r="I4355" s="1211">
        <f t="shared" si="961"/>
        <v>6.4</v>
      </c>
      <c r="J4355" s="1022"/>
      <c r="K4355" s="1022"/>
      <c r="L4355" s="1022"/>
      <c r="M4355" s="1066"/>
      <c r="N4355" s="1066"/>
      <c r="O4355" s="1066"/>
      <c r="P4355" s="1066"/>
      <c r="Q4355" s="1066"/>
      <c r="R4355" s="1066"/>
      <c r="S4355" s="1066"/>
      <c r="T4355" s="1066"/>
      <c r="U4355" s="1066"/>
      <c r="V4355" s="1066"/>
      <c r="W4355" s="1066"/>
      <c r="X4355" s="1066"/>
      <c r="Y4355" s="1066"/>
      <c r="Z4355" s="1066"/>
      <c r="AA4355" s="1066"/>
      <c r="AB4355" s="1066"/>
      <c r="AC4355" s="1066"/>
      <c r="AD4355" s="1066"/>
      <c r="AE4355" s="1066"/>
      <c r="AF4355" s="1066"/>
      <c r="AG4355" s="1066"/>
      <c r="AH4355" s="1066"/>
      <c r="AI4355" s="1066"/>
      <c r="AJ4355" s="1066"/>
      <c r="AK4355" s="1066"/>
      <c r="AL4355" s="1066"/>
      <c r="AM4355" s="1066"/>
      <c r="AN4355" s="1066"/>
      <c r="AO4355" s="1066"/>
      <c r="AP4355" s="1066"/>
      <c r="AQ4355" s="1066"/>
      <c r="AR4355" s="1066"/>
      <c r="AS4355" s="1066"/>
      <c r="AT4355" s="1066"/>
      <c r="AU4355" s="1066"/>
      <c r="AV4355" s="1066"/>
      <c r="AW4355" s="1066"/>
      <c r="AX4355" s="1066"/>
      <c r="AY4355" s="1066"/>
      <c r="AZ4355" s="1066"/>
      <c r="BA4355" s="1066"/>
      <c r="BB4355" s="1066"/>
      <c r="BC4355" s="1066"/>
      <c r="BD4355" s="1066"/>
      <c r="BE4355" s="1066"/>
      <c r="BF4355" s="1066"/>
      <c r="BG4355" s="1066"/>
      <c r="BH4355" s="1066"/>
      <c r="BI4355" s="1066"/>
      <c r="BJ4355" s="1066"/>
      <c r="BK4355" s="1066"/>
      <c r="BL4355" s="1066"/>
    </row>
    <row r="4356" spans="1:64">
      <c r="A4356" s="1794"/>
      <c r="B4356" s="1794"/>
      <c r="C4356" s="1807" t="str">
        <f t="shared" si="962"/>
        <v>Soffit Cleats TBSC-K.II-17</v>
      </c>
      <c r="D4356" s="1207">
        <v>1.28</v>
      </c>
      <c r="E4356" s="1208" t="s">
        <v>36</v>
      </c>
      <c r="F4356" s="1209">
        <f>'Civil-SOR'!$G$102</f>
        <v>5</v>
      </c>
      <c r="G4356" s="1210">
        <v>1</v>
      </c>
      <c r="H4356" s="1208" t="s">
        <v>39</v>
      </c>
      <c r="I4356" s="1211">
        <f t="shared" si="961"/>
        <v>6.4</v>
      </c>
      <c r="J4356" s="1022"/>
      <c r="K4356" s="1022"/>
      <c r="L4356" s="1022"/>
      <c r="M4356" s="1066"/>
      <c r="N4356" s="1066"/>
      <c r="O4356" s="1066"/>
      <c r="P4356" s="1066"/>
      <c r="Q4356" s="1066"/>
      <c r="R4356" s="1066"/>
      <c r="S4356" s="1066"/>
      <c r="T4356" s="1066"/>
      <c r="U4356" s="1066"/>
      <c r="V4356" s="1066"/>
      <c r="W4356" s="1066"/>
      <c r="X4356" s="1066"/>
      <c r="Y4356" s="1066"/>
      <c r="Z4356" s="1066"/>
      <c r="AA4356" s="1066"/>
      <c r="AB4356" s="1066"/>
      <c r="AC4356" s="1066"/>
      <c r="AD4356" s="1066"/>
      <c r="AE4356" s="1066"/>
      <c r="AF4356" s="1066"/>
      <c r="AG4356" s="1066"/>
      <c r="AH4356" s="1066"/>
      <c r="AI4356" s="1066"/>
      <c r="AJ4356" s="1066"/>
      <c r="AK4356" s="1066"/>
      <c r="AL4356" s="1066"/>
      <c r="AM4356" s="1066"/>
      <c r="AN4356" s="1066"/>
      <c r="AO4356" s="1066"/>
      <c r="AP4356" s="1066"/>
      <c r="AQ4356" s="1066"/>
      <c r="AR4356" s="1066"/>
      <c r="AS4356" s="1066"/>
      <c r="AT4356" s="1066"/>
      <c r="AU4356" s="1066"/>
      <c r="AV4356" s="1066"/>
      <c r="AW4356" s="1066"/>
      <c r="AX4356" s="1066"/>
      <c r="AY4356" s="1066"/>
      <c r="AZ4356" s="1066"/>
      <c r="BA4356" s="1066"/>
      <c r="BB4356" s="1066"/>
      <c r="BC4356" s="1066"/>
      <c r="BD4356" s="1066"/>
      <c r="BE4356" s="1066"/>
      <c r="BF4356" s="1066"/>
      <c r="BG4356" s="1066"/>
      <c r="BH4356" s="1066"/>
      <c r="BI4356" s="1066"/>
      <c r="BJ4356" s="1066"/>
      <c r="BK4356" s="1066"/>
      <c r="BL4356" s="1066"/>
    </row>
    <row r="4357" spans="1:64">
      <c r="A4357" s="1794"/>
      <c r="B4357" s="1794"/>
      <c r="C4357" s="1807" t="s">
        <v>1650</v>
      </c>
      <c r="D4357" s="1207">
        <v>5.36</v>
      </c>
      <c r="E4357" s="1208" t="s">
        <v>36</v>
      </c>
      <c r="F4357" s="1209">
        <f>'Civil-SOR'!$G$107</f>
        <v>5</v>
      </c>
      <c r="G4357" s="1210">
        <v>1</v>
      </c>
      <c r="H4357" s="1208" t="s">
        <v>39</v>
      </c>
      <c r="I4357" s="1211">
        <f t="shared" si="961"/>
        <v>26.8</v>
      </c>
      <c r="J4357" s="1022"/>
      <c r="K4357" s="1022"/>
      <c r="L4357" s="1022"/>
      <c r="M4357" s="1066"/>
      <c r="N4357" s="1066"/>
      <c r="O4357" s="1066"/>
      <c r="P4357" s="1066"/>
      <c r="Q4357" s="1066"/>
      <c r="R4357" s="1066"/>
      <c r="S4357" s="1066"/>
      <c r="T4357" s="1066"/>
      <c r="U4357" s="1066"/>
      <c r="V4357" s="1066"/>
      <c r="W4357" s="1066"/>
      <c r="X4357" s="1066"/>
      <c r="Y4357" s="1066"/>
      <c r="Z4357" s="1066"/>
      <c r="AA4357" s="1066"/>
      <c r="AB4357" s="1066"/>
      <c r="AC4357" s="1066"/>
      <c r="AD4357" s="1066"/>
      <c r="AE4357" s="1066"/>
      <c r="AF4357" s="1066"/>
      <c r="AG4357" s="1066"/>
      <c r="AH4357" s="1066"/>
      <c r="AI4357" s="1066"/>
      <c r="AJ4357" s="1066"/>
      <c r="AK4357" s="1066"/>
      <c r="AL4357" s="1066"/>
      <c r="AM4357" s="1066"/>
      <c r="AN4357" s="1066"/>
      <c r="AO4357" s="1066"/>
      <c r="AP4357" s="1066"/>
      <c r="AQ4357" s="1066"/>
      <c r="AR4357" s="1066"/>
      <c r="AS4357" s="1066"/>
      <c r="AT4357" s="1066"/>
      <c r="AU4357" s="1066"/>
      <c r="AV4357" s="1066"/>
      <c r="AW4357" s="1066"/>
      <c r="AX4357" s="1066"/>
      <c r="AY4357" s="1066"/>
      <c r="AZ4357" s="1066"/>
      <c r="BA4357" s="1066"/>
      <c r="BB4357" s="1066"/>
      <c r="BC4357" s="1066"/>
      <c r="BD4357" s="1066"/>
      <c r="BE4357" s="1066"/>
      <c r="BF4357" s="1066"/>
      <c r="BG4357" s="1066"/>
      <c r="BH4357" s="1066"/>
      <c r="BI4357" s="1066"/>
      <c r="BJ4357" s="1066"/>
      <c r="BK4357" s="1066"/>
      <c r="BL4357" s="1066"/>
    </row>
    <row r="4358" spans="1:64">
      <c r="A4358" s="1794"/>
      <c r="B4358" s="1794"/>
      <c r="C4358" s="1807" t="s">
        <v>1651</v>
      </c>
      <c r="D4358" s="1207">
        <v>0.15</v>
      </c>
      <c r="E4358" s="1208" t="s">
        <v>1380</v>
      </c>
      <c r="F4358" s="1209">
        <f>'Civil-SOR'!$G$106</f>
        <v>145</v>
      </c>
      <c r="G4358" s="1210">
        <v>1</v>
      </c>
      <c r="H4358" s="1208" t="s">
        <v>138</v>
      </c>
      <c r="I4358" s="1211">
        <f t="shared" si="961"/>
        <v>21.75</v>
      </c>
      <c r="J4358" s="1022"/>
      <c r="K4358" s="1022"/>
      <c r="L4358" s="1022"/>
      <c r="M4358" s="1066"/>
      <c r="N4358" s="1066"/>
      <c r="O4358" s="1066"/>
      <c r="P4358" s="1066"/>
      <c r="Q4358" s="1066"/>
      <c r="R4358" s="1066"/>
      <c r="S4358" s="1066"/>
      <c r="T4358" s="1066"/>
      <c r="U4358" s="1066"/>
      <c r="V4358" s="1066"/>
      <c r="W4358" s="1066"/>
      <c r="X4358" s="1066"/>
      <c r="Y4358" s="1066"/>
      <c r="Z4358" s="1066"/>
      <c r="AA4358" s="1066"/>
      <c r="AB4358" s="1066"/>
      <c r="AC4358" s="1066"/>
      <c r="AD4358" s="1066"/>
      <c r="AE4358" s="1066"/>
      <c r="AF4358" s="1066"/>
      <c r="AG4358" s="1066"/>
      <c r="AH4358" s="1066"/>
      <c r="AI4358" s="1066"/>
      <c r="AJ4358" s="1066"/>
      <c r="AK4358" s="1066"/>
      <c r="AL4358" s="1066"/>
      <c r="AM4358" s="1066"/>
      <c r="AN4358" s="1066"/>
      <c r="AO4358" s="1066"/>
      <c r="AP4358" s="1066"/>
      <c r="AQ4358" s="1066"/>
      <c r="AR4358" s="1066"/>
      <c r="AS4358" s="1066"/>
      <c r="AT4358" s="1066"/>
      <c r="AU4358" s="1066"/>
      <c r="AV4358" s="1066"/>
      <c r="AW4358" s="1066"/>
      <c r="AX4358" s="1066"/>
      <c r="AY4358" s="1066"/>
      <c r="AZ4358" s="1066"/>
      <c r="BA4358" s="1066"/>
      <c r="BB4358" s="1066"/>
      <c r="BC4358" s="1066"/>
      <c r="BD4358" s="1066"/>
      <c r="BE4358" s="1066"/>
      <c r="BF4358" s="1066"/>
      <c r="BG4358" s="1066"/>
      <c r="BH4358" s="1066"/>
      <c r="BI4358" s="1066"/>
      <c r="BJ4358" s="1066"/>
      <c r="BK4358" s="1066"/>
      <c r="BL4358" s="1066"/>
    </row>
    <row r="4359" spans="1:64">
      <c r="A4359" s="1794"/>
      <c r="B4359" s="1794"/>
      <c r="C4359" s="1795" t="s">
        <v>1640</v>
      </c>
      <c r="D4359" s="1207"/>
      <c r="E4359" s="1208"/>
      <c r="F4359" s="1209"/>
      <c r="G4359" s="1210"/>
      <c r="H4359" s="1208"/>
      <c r="I4359" s="1209"/>
      <c r="J4359" s="1022"/>
      <c r="K4359" s="1022"/>
      <c r="L4359" s="1022"/>
      <c r="M4359" s="1066"/>
      <c r="N4359" s="1066"/>
      <c r="O4359" s="1066"/>
      <c r="P4359" s="1066"/>
      <c r="Q4359" s="1066"/>
      <c r="R4359" s="1066"/>
      <c r="S4359" s="1066"/>
      <c r="T4359" s="1066"/>
      <c r="U4359" s="1066"/>
      <c r="V4359" s="1066"/>
      <c r="W4359" s="1066"/>
      <c r="X4359" s="1066"/>
      <c r="Y4359" s="1066"/>
      <c r="Z4359" s="1066"/>
      <c r="AA4359" s="1066"/>
      <c r="AB4359" s="1066"/>
      <c r="AC4359" s="1066"/>
      <c r="AD4359" s="1066"/>
      <c r="AE4359" s="1066"/>
      <c r="AF4359" s="1066"/>
      <c r="AG4359" s="1066"/>
      <c r="AH4359" s="1066"/>
      <c r="AI4359" s="1066"/>
      <c r="AJ4359" s="1066"/>
      <c r="AK4359" s="1066"/>
      <c r="AL4359" s="1066"/>
      <c r="AM4359" s="1066"/>
      <c r="AN4359" s="1066"/>
      <c r="AO4359" s="1066"/>
      <c r="AP4359" s="1066"/>
      <c r="AQ4359" s="1066"/>
      <c r="AR4359" s="1066"/>
      <c r="AS4359" s="1066"/>
      <c r="AT4359" s="1066"/>
      <c r="AU4359" s="1066"/>
      <c r="AV4359" s="1066"/>
      <c r="AW4359" s="1066"/>
      <c r="AX4359" s="1066"/>
      <c r="AY4359" s="1066"/>
      <c r="AZ4359" s="1066"/>
      <c r="BA4359" s="1066"/>
      <c r="BB4359" s="1066"/>
      <c r="BC4359" s="1066"/>
      <c r="BD4359" s="1066"/>
      <c r="BE4359" s="1066"/>
      <c r="BF4359" s="1066"/>
      <c r="BG4359" s="1066"/>
      <c r="BH4359" s="1066"/>
      <c r="BI4359" s="1066"/>
      <c r="BJ4359" s="1066"/>
      <c r="BK4359" s="1066"/>
      <c r="BL4359" s="1066"/>
    </row>
    <row r="4360" spans="1:64">
      <c r="A4360" s="1794"/>
      <c r="B4360" s="1794"/>
      <c r="C4360" s="1807" t="s">
        <v>1615</v>
      </c>
      <c r="D4360" s="1207">
        <v>0.12</v>
      </c>
      <c r="E4360" s="1208" t="s">
        <v>36</v>
      </c>
      <c r="F4360" s="1209">
        <f>'Civil-SOR'!$G$291</f>
        <v>685</v>
      </c>
      <c r="G4360" s="1210">
        <v>1</v>
      </c>
      <c r="H4360" s="1208" t="s">
        <v>39</v>
      </c>
      <c r="I4360" s="1211">
        <f t="shared" ref="I4360:I4367" si="963">IF(G4360="",D4360*F4360,(D4360*F4360/G4360))</f>
        <v>82.2</v>
      </c>
      <c r="J4360" s="1022"/>
      <c r="K4360" s="1022"/>
      <c r="L4360" s="1022"/>
      <c r="M4360" s="1066"/>
      <c r="N4360" s="1066"/>
      <c r="O4360" s="1066"/>
      <c r="P4360" s="1066"/>
      <c r="Q4360" s="1066"/>
      <c r="R4360" s="1066"/>
      <c r="S4360" s="1066"/>
      <c r="T4360" s="1066"/>
      <c r="U4360" s="1066"/>
      <c r="V4360" s="1066"/>
      <c r="W4360" s="1066"/>
      <c r="X4360" s="1066"/>
      <c r="Y4360" s="1066"/>
      <c r="Z4360" s="1066"/>
      <c r="AA4360" s="1066"/>
      <c r="AB4360" s="1066"/>
      <c r="AC4360" s="1066"/>
      <c r="AD4360" s="1066"/>
      <c r="AE4360" s="1066"/>
      <c r="AF4360" s="1066"/>
      <c r="AG4360" s="1066"/>
      <c r="AH4360" s="1066"/>
      <c r="AI4360" s="1066"/>
      <c r="AJ4360" s="1066"/>
      <c r="AK4360" s="1066"/>
      <c r="AL4360" s="1066"/>
      <c r="AM4360" s="1066"/>
      <c r="AN4360" s="1066"/>
      <c r="AO4360" s="1066"/>
      <c r="AP4360" s="1066"/>
      <c r="AQ4360" s="1066"/>
      <c r="AR4360" s="1066"/>
      <c r="AS4360" s="1066"/>
      <c r="AT4360" s="1066"/>
      <c r="AU4360" s="1066"/>
      <c r="AV4360" s="1066"/>
      <c r="AW4360" s="1066"/>
      <c r="AX4360" s="1066"/>
      <c r="AY4360" s="1066"/>
      <c r="AZ4360" s="1066"/>
      <c r="BA4360" s="1066"/>
      <c r="BB4360" s="1066"/>
      <c r="BC4360" s="1066"/>
      <c r="BD4360" s="1066"/>
      <c r="BE4360" s="1066"/>
      <c r="BF4360" s="1066"/>
      <c r="BG4360" s="1066"/>
      <c r="BH4360" s="1066"/>
      <c r="BI4360" s="1066"/>
      <c r="BJ4360" s="1066"/>
      <c r="BK4360" s="1066"/>
      <c r="BL4360" s="1066"/>
    </row>
    <row r="4361" spans="1:64">
      <c r="A4361" s="1794"/>
      <c r="B4361" s="1794"/>
      <c r="C4361" s="1807" t="s">
        <v>1616</v>
      </c>
      <c r="D4361" s="1207">
        <v>0.12</v>
      </c>
      <c r="E4361" s="1208" t="s">
        <v>36</v>
      </c>
      <c r="F4361" s="1209">
        <f>'Civil-SOR'!$G$300</f>
        <v>550</v>
      </c>
      <c r="G4361" s="1210">
        <v>1</v>
      </c>
      <c r="H4361" s="1208" t="s">
        <v>39</v>
      </c>
      <c r="I4361" s="1211">
        <f t="shared" si="963"/>
        <v>66</v>
      </c>
      <c r="J4361" s="1022"/>
      <c r="K4361" s="1022"/>
      <c r="L4361" s="1022"/>
      <c r="M4361" s="1066"/>
      <c r="N4361" s="1066"/>
      <c r="O4361" s="1066"/>
      <c r="P4361" s="1066"/>
      <c r="Q4361" s="1066"/>
      <c r="R4361" s="1066"/>
      <c r="S4361" s="1066"/>
      <c r="T4361" s="1066"/>
      <c r="U4361" s="1066"/>
      <c r="V4361" s="1066"/>
      <c r="W4361" s="1066"/>
      <c r="X4361" s="1066"/>
      <c r="Y4361" s="1066"/>
      <c r="Z4361" s="1066"/>
      <c r="AA4361" s="1066"/>
      <c r="AB4361" s="1066"/>
      <c r="AC4361" s="1066"/>
      <c r="AD4361" s="1066"/>
      <c r="AE4361" s="1066"/>
      <c r="AF4361" s="1066"/>
      <c r="AG4361" s="1066"/>
      <c r="AH4361" s="1066"/>
      <c r="AI4361" s="1066"/>
      <c r="AJ4361" s="1066"/>
      <c r="AK4361" s="1066"/>
      <c r="AL4361" s="1066"/>
      <c r="AM4361" s="1066"/>
      <c r="AN4361" s="1066"/>
      <c r="AO4361" s="1066"/>
      <c r="AP4361" s="1066"/>
      <c r="AQ4361" s="1066"/>
      <c r="AR4361" s="1066"/>
      <c r="AS4361" s="1066"/>
      <c r="AT4361" s="1066"/>
      <c r="AU4361" s="1066"/>
      <c r="AV4361" s="1066"/>
      <c r="AW4361" s="1066"/>
      <c r="AX4361" s="1066"/>
      <c r="AY4361" s="1066"/>
      <c r="AZ4361" s="1066"/>
      <c r="BA4361" s="1066"/>
      <c r="BB4361" s="1066"/>
      <c r="BC4361" s="1066"/>
      <c r="BD4361" s="1066"/>
      <c r="BE4361" s="1066"/>
      <c r="BF4361" s="1066"/>
      <c r="BG4361" s="1066"/>
      <c r="BH4361" s="1066"/>
      <c r="BI4361" s="1066"/>
      <c r="BJ4361" s="1066"/>
      <c r="BK4361" s="1066"/>
      <c r="BL4361" s="1066"/>
    </row>
    <row r="4362" spans="1:64">
      <c r="A4362" s="1794"/>
      <c r="B4362" s="1794"/>
      <c r="C4362" s="1807" t="s">
        <v>1557</v>
      </c>
      <c r="D4362" s="1207">
        <v>2.4E-2</v>
      </c>
      <c r="E4362" s="1208" t="s">
        <v>36</v>
      </c>
      <c r="F4362" s="1209">
        <f>'Civil-SOR'!$G$296</f>
        <v>665</v>
      </c>
      <c r="G4362" s="1210">
        <v>1</v>
      </c>
      <c r="H4362" s="1208" t="s">
        <v>39</v>
      </c>
      <c r="I4362" s="1211">
        <f t="shared" si="963"/>
        <v>15.96</v>
      </c>
      <c r="J4362" s="1022"/>
      <c r="K4362" s="1022"/>
      <c r="L4362" s="1022"/>
      <c r="M4362" s="1066"/>
      <c r="N4362" s="1066"/>
      <c r="O4362" s="1066"/>
      <c r="P4362" s="1066"/>
      <c r="Q4362" s="1066"/>
      <c r="R4362" s="1066"/>
      <c r="S4362" s="1066"/>
      <c r="T4362" s="1066"/>
      <c r="U4362" s="1066"/>
      <c r="V4362" s="1066"/>
      <c r="W4362" s="1066"/>
      <c r="X4362" s="1066"/>
      <c r="Y4362" s="1066"/>
      <c r="Z4362" s="1066"/>
      <c r="AA4362" s="1066"/>
      <c r="AB4362" s="1066"/>
      <c r="AC4362" s="1066"/>
      <c r="AD4362" s="1066"/>
      <c r="AE4362" s="1066"/>
      <c r="AF4362" s="1066"/>
      <c r="AG4362" s="1066"/>
      <c r="AH4362" s="1066"/>
      <c r="AI4362" s="1066"/>
      <c r="AJ4362" s="1066"/>
      <c r="AK4362" s="1066"/>
      <c r="AL4362" s="1066"/>
      <c r="AM4362" s="1066"/>
      <c r="AN4362" s="1066"/>
      <c r="AO4362" s="1066"/>
      <c r="AP4362" s="1066"/>
      <c r="AQ4362" s="1066"/>
      <c r="AR4362" s="1066"/>
      <c r="AS4362" s="1066"/>
      <c r="AT4362" s="1066"/>
      <c r="AU4362" s="1066"/>
      <c r="AV4362" s="1066"/>
      <c r="AW4362" s="1066"/>
      <c r="AX4362" s="1066"/>
      <c r="AY4362" s="1066"/>
      <c r="AZ4362" s="1066"/>
      <c r="BA4362" s="1066"/>
      <c r="BB4362" s="1066"/>
      <c r="BC4362" s="1066"/>
      <c r="BD4362" s="1066"/>
      <c r="BE4362" s="1066"/>
      <c r="BF4362" s="1066"/>
      <c r="BG4362" s="1066"/>
      <c r="BH4362" s="1066"/>
      <c r="BI4362" s="1066"/>
      <c r="BJ4362" s="1066"/>
      <c r="BK4362" s="1066"/>
      <c r="BL4362" s="1066"/>
    </row>
    <row r="4363" spans="1:64">
      <c r="A4363" s="1794"/>
      <c r="B4363" s="1794"/>
      <c r="C4363" s="1807" t="s">
        <v>1558</v>
      </c>
      <c r="D4363" s="1383">
        <v>2.4E-2</v>
      </c>
      <c r="E4363" s="1208" t="s">
        <v>36</v>
      </c>
      <c r="F4363" s="1209">
        <f>'Civil-SOR'!$G$303</f>
        <v>550</v>
      </c>
      <c r="G4363" s="1210">
        <v>1</v>
      </c>
      <c r="H4363" s="1208" t="s">
        <v>39</v>
      </c>
      <c r="I4363" s="1211">
        <f t="shared" si="963"/>
        <v>13.200000000000001</v>
      </c>
      <c r="J4363" s="1022"/>
      <c r="K4363" s="1022"/>
      <c r="L4363" s="1022"/>
      <c r="M4363" s="1066"/>
      <c r="N4363" s="1066"/>
      <c r="O4363" s="1066"/>
      <c r="P4363" s="1066"/>
      <c r="Q4363" s="1066"/>
      <c r="R4363" s="1066"/>
      <c r="S4363" s="1066"/>
      <c r="T4363" s="1066"/>
      <c r="U4363" s="1066"/>
      <c r="V4363" s="1066"/>
      <c r="W4363" s="1066"/>
      <c r="X4363" s="1066"/>
      <c r="Y4363" s="1066"/>
      <c r="Z4363" s="1066"/>
      <c r="AA4363" s="1066"/>
      <c r="AB4363" s="1066"/>
      <c r="AC4363" s="1066"/>
      <c r="AD4363" s="1066"/>
      <c r="AE4363" s="1066"/>
      <c r="AF4363" s="1066"/>
      <c r="AG4363" s="1066"/>
      <c r="AH4363" s="1066"/>
      <c r="AI4363" s="1066"/>
      <c r="AJ4363" s="1066"/>
      <c r="AK4363" s="1066"/>
      <c r="AL4363" s="1066"/>
      <c r="AM4363" s="1066"/>
      <c r="AN4363" s="1066"/>
      <c r="AO4363" s="1066"/>
      <c r="AP4363" s="1066"/>
      <c r="AQ4363" s="1066"/>
      <c r="AR4363" s="1066"/>
      <c r="AS4363" s="1066"/>
      <c r="AT4363" s="1066"/>
      <c r="AU4363" s="1066"/>
      <c r="AV4363" s="1066"/>
      <c r="AW4363" s="1066"/>
      <c r="AX4363" s="1066"/>
      <c r="AY4363" s="1066"/>
      <c r="AZ4363" s="1066"/>
      <c r="BA4363" s="1066"/>
      <c r="BB4363" s="1066"/>
      <c r="BC4363" s="1066"/>
      <c r="BD4363" s="1066"/>
      <c r="BE4363" s="1066"/>
      <c r="BF4363" s="1066"/>
      <c r="BG4363" s="1066"/>
      <c r="BH4363" s="1066"/>
      <c r="BI4363" s="1066"/>
      <c r="BJ4363" s="1066"/>
      <c r="BK4363" s="1066"/>
      <c r="BL4363" s="1066"/>
    </row>
    <row r="4364" spans="1:64">
      <c r="A4364" s="1794"/>
      <c r="B4364" s="1794"/>
      <c r="C4364" s="1807" t="s">
        <v>1617</v>
      </c>
      <c r="D4364" s="1383">
        <v>1.2E-2</v>
      </c>
      <c r="E4364" s="1208" t="s">
        <v>36</v>
      </c>
      <c r="F4364" s="1209">
        <f>'Civil-SOR'!G297</f>
        <v>675</v>
      </c>
      <c r="G4364" s="1210">
        <v>1</v>
      </c>
      <c r="H4364" s="1208" t="s">
        <v>39</v>
      </c>
      <c r="I4364" s="1211">
        <f t="shared" si="963"/>
        <v>8.1</v>
      </c>
      <c r="J4364" s="1022"/>
      <c r="K4364" s="1022"/>
      <c r="L4364" s="1022"/>
      <c r="M4364" s="1066"/>
      <c r="N4364" s="1066"/>
      <c r="O4364" s="1066"/>
      <c r="P4364" s="1066"/>
      <c r="Q4364" s="1066"/>
      <c r="R4364" s="1066"/>
      <c r="S4364" s="1066"/>
      <c r="T4364" s="1066"/>
      <c r="U4364" s="1066"/>
      <c r="V4364" s="1066"/>
      <c r="W4364" s="1066"/>
      <c r="X4364" s="1066"/>
      <c r="Y4364" s="1066"/>
      <c r="Z4364" s="1066"/>
      <c r="AA4364" s="1066"/>
      <c r="AB4364" s="1066"/>
      <c r="AC4364" s="1066"/>
      <c r="AD4364" s="1066"/>
      <c r="AE4364" s="1066"/>
      <c r="AF4364" s="1066"/>
      <c r="AG4364" s="1066"/>
      <c r="AH4364" s="1066"/>
      <c r="AI4364" s="1066"/>
      <c r="AJ4364" s="1066"/>
      <c r="AK4364" s="1066"/>
      <c r="AL4364" s="1066"/>
      <c r="AM4364" s="1066"/>
      <c r="AN4364" s="1066"/>
      <c r="AO4364" s="1066"/>
      <c r="AP4364" s="1066"/>
      <c r="AQ4364" s="1066"/>
      <c r="AR4364" s="1066"/>
      <c r="AS4364" s="1066"/>
      <c r="AT4364" s="1066"/>
      <c r="AU4364" s="1066"/>
      <c r="AV4364" s="1066"/>
      <c r="AW4364" s="1066"/>
      <c r="AX4364" s="1066"/>
      <c r="AY4364" s="1066"/>
      <c r="AZ4364" s="1066"/>
      <c r="BA4364" s="1066"/>
      <c r="BB4364" s="1066"/>
      <c r="BC4364" s="1066"/>
      <c r="BD4364" s="1066"/>
      <c r="BE4364" s="1066"/>
      <c r="BF4364" s="1066"/>
      <c r="BG4364" s="1066"/>
      <c r="BH4364" s="1066"/>
      <c r="BI4364" s="1066"/>
      <c r="BJ4364" s="1066"/>
      <c r="BK4364" s="1066"/>
      <c r="BL4364" s="1066"/>
    </row>
    <row r="4365" spans="1:64">
      <c r="A4365" s="1794"/>
      <c r="B4365" s="1794"/>
      <c r="C4365" s="1807" t="s">
        <v>1618</v>
      </c>
      <c r="D4365" s="1383">
        <v>1.2E-2</v>
      </c>
      <c r="E4365" s="1208" t="s">
        <v>36</v>
      </c>
      <c r="F4365" s="1209">
        <f>'Civil-SOR'!G297</f>
        <v>675</v>
      </c>
      <c r="G4365" s="1210">
        <v>1</v>
      </c>
      <c r="H4365" s="1208" t="s">
        <v>39</v>
      </c>
      <c r="I4365" s="1211">
        <f t="shared" si="963"/>
        <v>8.1</v>
      </c>
      <c r="J4365" s="1022"/>
      <c r="K4365" s="1022"/>
      <c r="L4365" s="1022"/>
      <c r="M4365" s="1066"/>
      <c r="N4365" s="1066"/>
      <c r="O4365" s="1066"/>
      <c r="P4365" s="1066"/>
      <c r="Q4365" s="1066"/>
      <c r="R4365" s="1066"/>
      <c r="S4365" s="1066"/>
      <c r="T4365" s="1066"/>
      <c r="U4365" s="1066"/>
      <c r="V4365" s="1066"/>
      <c r="W4365" s="1066"/>
      <c r="X4365" s="1066"/>
      <c r="Y4365" s="1066"/>
      <c r="Z4365" s="1066"/>
      <c r="AA4365" s="1066"/>
      <c r="AB4365" s="1066"/>
      <c r="AC4365" s="1066"/>
      <c r="AD4365" s="1066"/>
      <c r="AE4365" s="1066"/>
      <c r="AF4365" s="1066"/>
      <c r="AG4365" s="1066"/>
      <c r="AH4365" s="1066"/>
      <c r="AI4365" s="1066"/>
      <c r="AJ4365" s="1066"/>
      <c r="AK4365" s="1066"/>
      <c r="AL4365" s="1066"/>
      <c r="AM4365" s="1066"/>
      <c r="AN4365" s="1066"/>
      <c r="AO4365" s="1066"/>
      <c r="AP4365" s="1066"/>
      <c r="AQ4365" s="1066"/>
      <c r="AR4365" s="1066"/>
      <c r="AS4365" s="1066"/>
      <c r="AT4365" s="1066"/>
      <c r="AU4365" s="1066"/>
      <c r="AV4365" s="1066"/>
      <c r="AW4365" s="1066"/>
      <c r="AX4365" s="1066"/>
      <c r="AY4365" s="1066"/>
      <c r="AZ4365" s="1066"/>
      <c r="BA4365" s="1066"/>
      <c r="BB4365" s="1066"/>
      <c r="BC4365" s="1066"/>
      <c r="BD4365" s="1066"/>
      <c r="BE4365" s="1066"/>
      <c r="BF4365" s="1066"/>
      <c r="BG4365" s="1066"/>
      <c r="BH4365" s="1066"/>
      <c r="BI4365" s="1066"/>
      <c r="BJ4365" s="1066"/>
      <c r="BK4365" s="1066"/>
      <c r="BL4365" s="1066"/>
    </row>
    <row r="4366" spans="1:64">
      <c r="A4366" s="1794"/>
      <c r="B4366" s="1794"/>
      <c r="C4366" s="1807" t="s">
        <v>1620</v>
      </c>
      <c r="D4366" s="1383">
        <v>7.1999999999999995E-2</v>
      </c>
      <c r="E4366" s="1208" t="s">
        <v>36</v>
      </c>
      <c r="F4366" s="1209">
        <f>'Civil-SOR'!$G$307</f>
        <v>520</v>
      </c>
      <c r="G4366" s="1210">
        <v>1</v>
      </c>
      <c r="H4366" s="1208" t="s">
        <v>39</v>
      </c>
      <c r="I4366" s="1211">
        <f t="shared" si="963"/>
        <v>37.44</v>
      </c>
      <c r="J4366" s="1022"/>
      <c r="K4366" s="1022"/>
      <c r="L4366" s="1022"/>
      <c r="M4366" s="1066"/>
      <c r="N4366" s="1066"/>
      <c r="O4366" s="1066"/>
      <c r="P4366" s="1066"/>
      <c r="Q4366" s="1066"/>
      <c r="R4366" s="1066"/>
      <c r="S4366" s="1066"/>
      <c r="T4366" s="1066"/>
      <c r="U4366" s="1066"/>
      <c r="V4366" s="1066"/>
      <c r="W4366" s="1066"/>
      <c r="X4366" s="1066"/>
      <c r="Y4366" s="1066"/>
      <c r="Z4366" s="1066"/>
      <c r="AA4366" s="1066"/>
      <c r="AB4366" s="1066"/>
      <c r="AC4366" s="1066"/>
      <c r="AD4366" s="1066"/>
      <c r="AE4366" s="1066"/>
      <c r="AF4366" s="1066"/>
      <c r="AG4366" s="1066"/>
      <c r="AH4366" s="1066"/>
      <c r="AI4366" s="1066"/>
      <c r="AJ4366" s="1066"/>
      <c r="AK4366" s="1066"/>
      <c r="AL4366" s="1066"/>
      <c r="AM4366" s="1066"/>
      <c r="AN4366" s="1066"/>
      <c r="AO4366" s="1066"/>
      <c r="AP4366" s="1066"/>
      <c r="AQ4366" s="1066"/>
      <c r="AR4366" s="1066"/>
      <c r="AS4366" s="1066"/>
      <c r="AT4366" s="1066"/>
      <c r="AU4366" s="1066"/>
      <c r="AV4366" s="1066"/>
      <c r="AW4366" s="1066"/>
      <c r="AX4366" s="1066"/>
      <c r="AY4366" s="1066"/>
      <c r="AZ4366" s="1066"/>
      <c r="BA4366" s="1066"/>
      <c r="BB4366" s="1066"/>
      <c r="BC4366" s="1066"/>
      <c r="BD4366" s="1066"/>
      <c r="BE4366" s="1066"/>
      <c r="BF4366" s="1066"/>
      <c r="BG4366" s="1066"/>
      <c r="BH4366" s="1066"/>
      <c r="BI4366" s="1066"/>
      <c r="BJ4366" s="1066"/>
      <c r="BK4366" s="1066"/>
      <c r="BL4366" s="1066"/>
    </row>
    <row r="4367" spans="1:64">
      <c r="A4367" s="1794"/>
      <c r="B4367" s="1794"/>
      <c r="C4367" s="1807" t="str">
        <f>Input!$C$47</f>
        <v>Add for MA @ 40%</v>
      </c>
      <c r="D4367" s="1207">
        <f>Input!$D$47</f>
        <v>0.4</v>
      </c>
      <c r="E4367" s="1208"/>
      <c r="F4367" s="1209">
        <f>SUM(I4360:I4366)</f>
        <v>230.99999999999997</v>
      </c>
      <c r="G4367" s="1210"/>
      <c r="H4367" s="1208"/>
      <c r="I4367" s="1211">
        <f t="shared" si="963"/>
        <v>92.399999999999991</v>
      </c>
      <c r="J4367" s="1022"/>
      <c r="K4367" s="1022"/>
      <c r="L4367" s="1022"/>
      <c r="M4367" s="1066"/>
      <c r="N4367" s="1066"/>
      <c r="O4367" s="1066"/>
      <c r="P4367" s="1066"/>
      <c r="Q4367" s="1066"/>
      <c r="R4367" s="1066"/>
      <c r="S4367" s="1066"/>
      <c r="T4367" s="1066"/>
      <c r="U4367" s="1066"/>
      <c r="V4367" s="1066"/>
      <c r="W4367" s="1066"/>
      <c r="X4367" s="1066"/>
      <c r="Y4367" s="1066"/>
      <c r="Z4367" s="1066"/>
      <c r="AA4367" s="1066"/>
      <c r="AB4367" s="1066"/>
      <c r="AC4367" s="1066"/>
      <c r="AD4367" s="1066"/>
      <c r="AE4367" s="1066"/>
      <c r="AF4367" s="1066"/>
      <c r="AG4367" s="1066"/>
      <c r="AH4367" s="1066"/>
      <c r="AI4367" s="1066"/>
      <c r="AJ4367" s="1066"/>
      <c r="AK4367" s="1066"/>
      <c r="AL4367" s="1066"/>
      <c r="AM4367" s="1066"/>
      <c r="AN4367" s="1066"/>
      <c r="AO4367" s="1066"/>
      <c r="AP4367" s="1066"/>
      <c r="AQ4367" s="1066"/>
      <c r="AR4367" s="1066"/>
      <c r="AS4367" s="1066"/>
      <c r="AT4367" s="1066"/>
      <c r="AU4367" s="1066"/>
      <c r="AV4367" s="1066"/>
      <c r="AW4367" s="1066"/>
      <c r="AX4367" s="1066"/>
      <c r="AY4367" s="1066"/>
      <c r="AZ4367" s="1066"/>
      <c r="BA4367" s="1066"/>
      <c r="BB4367" s="1066"/>
      <c r="BC4367" s="1066"/>
      <c r="BD4367" s="1066"/>
      <c r="BE4367" s="1066"/>
      <c r="BF4367" s="1066"/>
      <c r="BG4367" s="1066"/>
      <c r="BH4367" s="1066"/>
      <c r="BI4367" s="1066"/>
      <c r="BJ4367" s="1066"/>
      <c r="BK4367" s="1066"/>
      <c r="BL4367" s="1066"/>
    </row>
    <row r="4368" spans="1:64">
      <c r="A4368" s="1794"/>
      <c r="B4368" s="1794"/>
      <c r="C4368" s="1795" t="s">
        <v>1621</v>
      </c>
      <c r="D4368" s="1207"/>
      <c r="E4368" s="1208"/>
      <c r="F4368" s="1209"/>
      <c r="G4368" s="1210"/>
      <c r="H4368" s="1208"/>
      <c r="I4368" s="1209"/>
      <c r="J4368" s="1022"/>
      <c r="K4368" s="1022"/>
      <c r="L4368" s="1022"/>
      <c r="M4368" s="1066"/>
      <c r="N4368" s="1066"/>
      <c r="O4368" s="1066"/>
      <c r="P4368" s="1066"/>
      <c r="Q4368" s="1066"/>
      <c r="R4368" s="1066"/>
      <c r="S4368" s="1066"/>
      <c r="T4368" s="1066"/>
      <c r="U4368" s="1066"/>
      <c r="V4368" s="1066"/>
      <c r="W4368" s="1066"/>
      <c r="X4368" s="1066"/>
      <c r="Y4368" s="1066"/>
      <c r="Z4368" s="1066"/>
      <c r="AA4368" s="1066"/>
      <c r="AB4368" s="1066"/>
      <c r="AC4368" s="1066"/>
      <c r="AD4368" s="1066"/>
      <c r="AE4368" s="1066"/>
      <c r="AF4368" s="1066"/>
      <c r="AG4368" s="1066"/>
      <c r="AH4368" s="1066"/>
      <c r="AI4368" s="1066"/>
      <c r="AJ4368" s="1066"/>
      <c r="AK4368" s="1066"/>
      <c r="AL4368" s="1066"/>
      <c r="AM4368" s="1066"/>
      <c r="AN4368" s="1066"/>
      <c r="AO4368" s="1066"/>
      <c r="AP4368" s="1066"/>
      <c r="AQ4368" s="1066"/>
      <c r="AR4368" s="1066"/>
      <c r="AS4368" s="1066"/>
      <c r="AT4368" s="1066"/>
      <c r="AU4368" s="1066"/>
      <c r="AV4368" s="1066"/>
      <c r="AW4368" s="1066"/>
      <c r="AX4368" s="1066"/>
      <c r="AY4368" s="1066"/>
      <c r="AZ4368" s="1066"/>
      <c r="BA4368" s="1066"/>
      <c r="BB4368" s="1066"/>
      <c r="BC4368" s="1066"/>
      <c r="BD4368" s="1066"/>
      <c r="BE4368" s="1066"/>
      <c r="BF4368" s="1066"/>
      <c r="BG4368" s="1066"/>
      <c r="BH4368" s="1066"/>
      <c r="BI4368" s="1066"/>
      <c r="BJ4368" s="1066"/>
      <c r="BK4368" s="1066"/>
      <c r="BL4368" s="1066"/>
    </row>
    <row r="4369" spans="1:64" ht="25.5">
      <c r="A4369" s="1794"/>
      <c r="B4369" s="1794"/>
      <c r="C4369" s="1807" t="s">
        <v>398</v>
      </c>
      <c r="D4369" s="1207">
        <v>0.32</v>
      </c>
      <c r="E4369" s="1208" t="s">
        <v>1107</v>
      </c>
      <c r="F4369" s="1209">
        <f>'Civil-SOR'!$G$194</f>
        <v>146</v>
      </c>
      <c r="G4369" s="1210">
        <v>1</v>
      </c>
      <c r="H4369" s="1208" t="s">
        <v>616</v>
      </c>
      <c r="I4369" s="1211">
        <f t="shared" ref="I4369:I4370" si="964">IF(G4369="",D4369*F4369,(D4369*F4369/G4369))</f>
        <v>46.72</v>
      </c>
      <c r="J4369" s="1022"/>
      <c r="K4369" s="1022"/>
      <c r="L4369" s="1022"/>
      <c r="M4369" s="1066"/>
      <c r="N4369" s="1066"/>
      <c r="O4369" s="1066"/>
      <c r="P4369" s="1066"/>
      <c r="Q4369" s="1066"/>
      <c r="R4369" s="1066"/>
      <c r="S4369" s="1066"/>
      <c r="T4369" s="1066"/>
      <c r="U4369" s="1066"/>
      <c r="V4369" s="1066"/>
      <c r="W4369" s="1066"/>
      <c r="X4369" s="1066"/>
      <c r="Y4369" s="1066"/>
      <c r="Z4369" s="1066"/>
      <c r="AA4369" s="1066"/>
      <c r="AB4369" s="1066"/>
      <c r="AC4369" s="1066"/>
      <c r="AD4369" s="1066"/>
      <c r="AE4369" s="1066"/>
      <c r="AF4369" s="1066"/>
      <c r="AG4369" s="1066"/>
      <c r="AH4369" s="1066"/>
      <c r="AI4369" s="1066"/>
      <c r="AJ4369" s="1066"/>
      <c r="AK4369" s="1066"/>
      <c r="AL4369" s="1066"/>
      <c r="AM4369" s="1066"/>
      <c r="AN4369" s="1066"/>
      <c r="AO4369" s="1066"/>
      <c r="AP4369" s="1066"/>
      <c r="AQ4369" s="1066"/>
      <c r="AR4369" s="1066"/>
      <c r="AS4369" s="1066"/>
      <c r="AT4369" s="1066"/>
      <c r="AU4369" s="1066"/>
      <c r="AV4369" s="1066"/>
      <c r="AW4369" s="1066"/>
      <c r="AX4369" s="1066"/>
      <c r="AY4369" s="1066"/>
      <c r="AZ4369" s="1066"/>
      <c r="BA4369" s="1066"/>
      <c r="BB4369" s="1066"/>
      <c r="BC4369" s="1066"/>
      <c r="BD4369" s="1066"/>
      <c r="BE4369" s="1066"/>
      <c r="BF4369" s="1066"/>
      <c r="BG4369" s="1066"/>
      <c r="BH4369" s="1066"/>
      <c r="BI4369" s="1066"/>
      <c r="BJ4369" s="1066"/>
      <c r="BK4369" s="1066"/>
      <c r="BL4369" s="1066"/>
    </row>
    <row r="4370" spans="1:64">
      <c r="A4370" s="1794"/>
      <c r="B4370" s="1794"/>
      <c r="C4370" s="1807" t="s">
        <v>401</v>
      </c>
      <c r="D4370" s="1207">
        <v>0.32</v>
      </c>
      <c r="E4370" s="1208" t="s">
        <v>1107</v>
      </c>
      <c r="F4370" s="1209">
        <f>'Civil-SOR'!$G$195</f>
        <v>137</v>
      </c>
      <c r="G4370" s="1210">
        <v>1</v>
      </c>
      <c r="H4370" s="1208" t="s">
        <v>616</v>
      </c>
      <c r="I4370" s="1211">
        <f t="shared" si="964"/>
        <v>43.84</v>
      </c>
      <c r="J4370" s="1022"/>
      <c r="K4370" s="1022"/>
      <c r="L4370" s="1022"/>
      <c r="M4370" s="1066"/>
      <c r="N4370" s="1066"/>
      <c r="O4370" s="1066"/>
      <c r="P4370" s="1066"/>
      <c r="Q4370" s="1066"/>
      <c r="R4370" s="1066"/>
      <c r="S4370" s="1066"/>
      <c r="T4370" s="1066"/>
      <c r="U4370" s="1066"/>
      <c r="V4370" s="1066"/>
      <c r="W4370" s="1066"/>
      <c r="X4370" s="1066"/>
      <c r="Y4370" s="1066"/>
      <c r="Z4370" s="1066"/>
      <c r="AA4370" s="1066"/>
      <c r="AB4370" s="1066"/>
      <c r="AC4370" s="1066"/>
      <c r="AD4370" s="1066"/>
      <c r="AE4370" s="1066"/>
      <c r="AF4370" s="1066"/>
      <c r="AG4370" s="1066"/>
      <c r="AH4370" s="1066"/>
      <c r="AI4370" s="1066"/>
      <c r="AJ4370" s="1066"/>
      <c r="AK4370" s="1066"/>
      <c r="AL4370" s="1066"/>
      <c r="AM4370" s="1066"/>
      <c r="AN4370" s="1066"/>
      <c r="AO4370" s="1066"/>
      <c r="AP4370" s="1066"/>
      <c r="AQ4370" s="1066"/>
      <c r="AR4370" s="1066"/>
      <c r="AS4370" s="1066"/>
      <c r="AT4370" s="1066"/>
      <c r="AU4370" s="1066"/>
      <c r="AV4370" s="1066"/>
      <c r="AW4370" s="1066"/>
      <c r="AX4370" s="1066"/>
      <c r="AY4370" s="1066"/>
      <c r="AZ4370" s="1066"/>
      <c r="BA4370" s="1066"/>
      <c r="BB4370" s="1066"/>
      <c r="BC4370" s="1066"/>
      <c r="BD4370" s="1066"/>
      <c r="BE4370" s="1066"/>
      <c r="BF4370" s="1066"/>
      <c r="BG4370" s="1066"/>
      <c r="BH4370" s="1066"/>
      <c r="BI4370" s="1066"/>
      <c r="BJ4370" s="1066"/>
      <c r="BK4370" s="1066"/>
      <c r="BL4370" s="1066"/>
    </row>
    <row r="4371" spans="1:64">
      <c r="A4371" s="1794"/>
      <c r="B4371" s="1794"/>
      <c r="C4371" s="1807"/>
      <c r="D4371" s="1207"/>
      <c r="E4371" s="1208"/>
      <c r="F4371" s="1209"/>
      <c r="G4371" s="1210"/>
      <c r="H4371" s="1208"/>
      <c r="I4371" s="1307">
        <f>SUM(I4351:I4370)</f>
        <v>977.55000000000018</v>
      </c>
      <c r="J4371" s="1022"/>
      <c r="K4371" s="1022"/>
      <c r="L4371" s="1022"/>
      <c r="M4371" s="1066"/>
      <c r="N4371" s="1066"/>
      <c r="O4371" s="1066"/>
      <c r="P4371" s="1066"/>
      <c r="Q4371" s="1066"/>
      <c r="R4371" s="1066"/>
      <c r="S4371" s="1066"/>
      <c r="T4371" s="1066"/>
      <c r="U4371" s="1066"/>
      <c r="V4371" s="1066"/>
      <c r="W4371" s="1066"/>
      <c r="X4371" s="1066"/>
      <c r="Y4371" s="1066"/>
      <c r="Z4371" s="1066"/>
      <c r="AA4371" s="1066"/>
      <c r="AB4371" s="1066"/>
      <c r="AC4371" s="1066"/>
      <c r="AD4371" s="1066"/>
      <c r="AE4371" s="1066"/>
      <c r="AF4371" s="1066"/>
      <c r="AG4371" s="1066"/>
      <c r="AH4371" s="1066"/>
      <c r="AI4371" s="1066"/>
      <c r="AJ4371" s="1066"/>
      <c r="AK4371" s="1066"/>
      <c r="AL4371" s="1066"/>
      <c r="AM4371" s="1066"/>
      <c r="AN4371" s="1066"/>
      <c r="AO4371" s="1066"/>
      <c r="AP4371" s="1066"/>
      <c r="AQ4371" s="1066"/>
      <c r="AR4371" s="1066"/>
      <c r="AS4371" s="1066"/>
      <c r="AT4371" s="1066"/>
      <c r="AU4371" s="1066"/>
      <c r="AV4371" s="1066"/>
      <c r="AW4371" s="1066"/>
      <c r="AX4371" s="1066"/>
      <c r="AY4371" s="1066"/>
      <c r="AZ4371" s="1066"/>
      <c r="BA4371" s="1066"/>
      <c r="BB4371" s="1066"/>
      <c r="BC4371" s="1066"/>
      <c r="BD4371" s="1066"/>
      <c r="BE4371" s="1066"/>
      <c r="BF4371" s="1066"/>
      <c r="BG4371" s="1066"/>
      <c r="BH4371" s="1066"/>
      <c r="BI4371" s="1066"/>
      <c r="BJ4371" s="1066"/>
      <c r="BK4371" s="1066"/>
      <c r="BL4371" s="1066"/>
    </row>
    <row r="4372" spans="1:64">
      <c r="A4372" s="1794"/>
      <c r="B4372" s="1794"/>
      <c r="C4372" s="1807" t="s">
        <v>1652</v>
      </c>
      <c r="D4372" s="1207">
        <v>0.01</v>
      </c>
      <c r="E4372" s="1208"/>
      <c r="F4372" s="1209">
        <f>I4371</f>
        <v>977.55000000000018</v>
      </c>
      <c r="G4372" s="1210"/>
      <c r="H4372" s="1208"/>
      <c r="I4372" s="1211">
        <f>IF(G4372="",D4372*F4372,(D4372*F4372/G4372))</f>
        <v>9.7755000000000027</v>
      </c>
      <c r="J4372" s="1022"/>
      <c r="K4372" s="1022"/>
      <c r="L4372" s="1022"/>
      <c r="M4372" s="1066"/>
      <c r="N4372" s="1066"/>
      <c r="O4372" s="1066"/>
      <c r="P4372" s="1066"/>
      <c r="Q4372" s="1066"/>
      <c r="R4372" s="1066"/>
      <c r="S4372" s="1066"/>
      <c r="T4372" s="1066"/>
      <c r="U4372" s="1066"/>
      <c r="V4372" s="1066"/>
      <c r="W4372" s="1066"/>
      <c r="X4372" s="1066"/>
      <c r="Y4372" s="1066"/>
      <c r="Z4372" s="1066"/>
      <c r="AA4372" s="1066"/>
      <c r="AB4372" s="1066"/>
      <c r="AC4372" s="1066"/>
      <c r="AD4372" s="1066"/>
      <c r="AE4372" s="1066"/>
      <c r="AF4372" s="1066"/>
      <c r="AG4372" s="1066"/>
      <c r="AH4372" s="1066"/>
      <c r="AI4372" s="1066"/>
      <c r="AJ4372" s="1066"/>
      <c r="AK4372" s="1066"/>
      <c r="AL4372" s="1066"/>
      <c r="AM4372" s="1066"/>
      <c r="AN4372" s="1066"/>
      <c r="AO4372" s="1066"/>
      <c r="AP4372" s="1066"/>
      <c r="AQ4372" s="1066"/>
      <c r="AR4372" s="1066"/>
      <c r="AS4372" s="1066"/>
      <c r="AT4372" s="1066"/>
      <c r="AU4372" s="1066"/>
      <c r="AV4372" s="1066"/>
      <c r="AW4372" s="1066"/>
      <c r="AX4372" s="1066"/>
      <c r="AY4372" s="1066"/>
      <c r="AZ4372" s="1066"/>
      <c r="BA4372" s="1066"/>
      <c r="BB4372" s="1066"/>
      <c r="BC4372" s="1066"/>
      <c r="BD4372" s="1066"/>
      <c r="BE4372" s="1066"/>
      <c r="BF4372" s="1066"/>
      <c r="BG4372" s="1066"/>
      <c r="BH4372" s="1066"/>
      <c r="BI4372" s="1066"/>
      <c r="BJ4372" s="1066"/>
      <c r="BK4372" s="1066"/>
      <c r="BL4372" s="1066"/>
    </row>
    <row r="4373" spans="1:64">
      <c r="A4373" s="1794"/>
      <c r="B4373" s="1794"/>
      <c r="C4373" s="1807" t="s">
        <v>1653</v>
      </c>
      <c r="D4373" s="1207"/>
      <c r="E4373" s="1208"/>
      <c r="F4373" s="1209"/>
      <c r="G4373" s="1210"/>
      <c r="H4373" s="1208"/>
      <c r="I4373" s="1357">
        <f>SUM(I4371:I4372)</f>
        <v>987.32550000000015</v>
      </c>
      <c r="J4373" s="1022"/>
      <c r="K4373" s="1022"/>
      <c r="L4373" s="1022"/>
      <c r="M4373" s="1066"/>
      <c r="N4373" s="1066"/>
      <c r="O4373" s="1066"/>
      <c r="P4373" s="1066"/>
      <c r="Q4373" s="1066"/>
      <c r="R4373" s="1066"/>
      <c r="S4373" s="1066"/>
      <c r="T4373" s="1066"/>
      <c r="U4373" s="1066"/>
      <c r="V4373" s="1066"/>
      <c r="W4373" s="1066"/>
      <c r="X4373" s="1066"/>
      <c r="Y4373" s="1066"/>
      <c r="Z4373" s="1066"/>
      <c r="AA4373" s="1066"/>
      <c r="AB4373" s="1066"/>
      <c r="AC4373" s="1066"/>
      <c r="AD4373" s="1066"/>
      <c r="AE4373" s="1066"/>
      <c r="AF4373" s="1066"/>
      <c r="AG4373" s="1066"/>
      <c r="AH4373" s="1066"/>
      <c r="AI4373" s="1066"/>
      <c r="AJ4373" s="1066"/>
      <c r="AK4373" s="1066"/>
      <c r="AL4373" s="1066"/>
      <c r="AM4373" s="1066"/>
      <c r="AN4373" s="1066"/>
      <c r="AO4373" s="1066"/>
      <c r="AP4373" s="1066"/>
      <c r="AQ4373" s="1066"/>
      <c r="AR4373" s="1066"/>
      <c r="AS4373" s="1066"/>
      <c r="AT4373" s="1066"/>
      <c r="AU4373" s="1066"/>
      <c r="AV4373" s="1066"/>
      <c r="AW4373" s="1066"/>
      <c r="AX4373" s="1066"/>
      <c r="AY4373" s="1066"/>
      <c r="AZ4373" s="1066"/>
      <c r="BA4373" s="1066"/>
      <c r="BB4373" s="1066"/>
      <c r="BC4373" s="1066"/>
      <c r="BD4373" s="1066"/>
      <c r="BE4373" s="1066"/>
      <c r="BF4373" s="1066"/>
      <c r="BG4373" s="1066"/>
      <c r="BH4373" s="1066"/>
      <c r="BI4373" s="1066"/>
      <c r="BJ4373" s="1066"/>
      <c r="BK4373" s="1066"/>
      <c r="BL4373" s="1066"/>
    </row>
    <row r="4374" spans="1:64">
      <c r="A4374" s="1794"/>
      <c r="B4374" s="1794"/>
      <c r="C4374" s="1807" t="str">
        <f>Input!$C$48</f>
        <v>Overheads &amp; Contractors Profit @ 13.615%</v>
      </c>
      <c r="D4374" s="1385">
        <f>Input!$D$48</f>
        <v>0.13614999999999999</v>
      </c>
      <c r="E4374" s="1208"/>
      <c r="F4374" s="1209">
        <f>I4373</f>
        <v>987.32550000000015</v>
      </c>
      <c r="G4374" s="1210"/>
      <c r="H4374" s="1208"/>
      <c r="I4374" s="1211">
        <f>IF(G4374="",D4374*F4374,(D4374*F4374/G4374))</f>
        <v>134.42436682500002</v>
      </c>
      <c r="J4374" s="1022"/>
      <c r="K4374" s="1022"/>
      <c r="L4374" s="1022"/>
      <c r="M4374" s="1066"/>
      <c r="N4374" s="1066"/>
      <c r="O4374" s="1066"/>
      <c r="P4374" s="1066"/>
      <c r="Q4374" s="1066"/>
      <c r="R4374" s="1066"/>
      <c r="S4374" s="1066"/>
      <c r="T4374" s="1066"/>
      <c r="U4374" s="1066"/>
      <c r="V4374" s="1066"/>
      <c r="W4374" s="1066"/>
      <c r="X4374" s="1066"/>
      <c r="Y4374" s="1066"/>
      <c r="Z4374" s="1066"/>
      <c r="AA4374" s="1066"/>
      <c r="AB4374" s="1066"/>
      <c r="AC4374" s="1066"/>
      <c r="AD4374" s="1066"/>
      <c r="AE4374" s="1066"/>
      <c r="AF4374" s="1066"/>
      <c r="AG4374" s="1066"/>
      <c r="AH4374" s="1066"/>
      <c r="AI4374" s="1066"/>
      <c r="AJ4374" s="1066"/>
      <c r="AK4374" s="1066"/>
      <c r="AL4374" s="1066"/>
      <c r="AM4374" s="1066"/>
      <c r="AN4374" s="1066"/>
      <c r="AO4374" s="1066"/>
      <c r="AP4374" s="1066"/>
      <c r="AQ4374" s="1066"/>
      <c r="AR4374" s="1066"/>
      <c r="AS4374" s="1066"/>
      <c r="AT4374" s="1066"/>
      <c r="AU4374" s="1066"/>
      <c r="AV4374" s="1066"/>
      <c r="AW4374" s="1066"/>
      <c r="AX4374" s="1066"/>
      <c r="AY4374" s="1066"/>
      <c r="AZ4374" s="1066"/>
      <c r="BA4374" s="1066"/>
      <c r="BB4374" s="1066"/>
      <c r="BC4374" s="1066"/>
      <c r="BD4374" s="1066"/>
      <c r="BE4374" s="1066"/>
      <c r="BF4374" s="1066"/>
      <c r="BG4374" s="1066"/>
      <c r="BH4374" s="1066"/>
      <c r="BI4374" s="1066"/>
      <c r="BJ4374" s="1066"/>
      <c r="BK4374" s="1066"/>
      <c r="BL4374" s="1066"/>
    </row>
    <row r="4375" spans="1:64">
      <c r="A4375" s="1794"/>
      <c r="B4375" s="1794"/>
      <c r="C4375" s="1795" t="s">
        <v>1045</v>
      </c>
      <c r="D4375" s="1207"/>
      <c r="E4375" s="1208"/>
      <c r="F4375" s="1209"/>
      <c r="G4375" s="1210"/>
      <c r="H4375" s="1208"/>
      <c r="I4375" s="1209">
        <f>SUM(I4373:I4374)</f>
        <v>1121.7498668250003</v>
      </c>
      <c r="J4375" s="1022"/>
      <c r="K4375" s="1022"/>
      <c r="L4375" s="1022"/>
      <c r="M4375" s="1066"/>
      <c r="N4375" s="1066"/>
      <c r="O4375" s="1066"/>
      <c r="P4375" s="1066"/>
      <c r="Q4375" s="1066"/>
      <c r="R4375" s="1066"/>
      <c r="S4375" s="1066"/>
      <c r="T4375" s="1066"/>
      <c r="U4375" s="1066"/>
      <c r="V4375" s="1066"/>
      <c r="W4375" s="1066"/>
      <c r="X4375" s="1066"/>
      <c r="Y4375" s="1066"/>
      <c r="Z4375" s="1066"/>
      <c r="AA4375" s="1066"/>
      <c r="AB4375" s="1066"/>
      <c r="AC4375" s="1066"/>
      <c r="AD4375" s="1066"/>
      <c r="AE4375" s="1066"/>
      <c r="AF4375" s="1066"/>
      <c r="AG4375" s="1066"/>
      <c r="AH4375" s="1066"/>
      <c r="AI4375" s="1066"/>
      <c r="AJ4375" s="1066"/>
      <c r="AK4375" s="1066"/>
      <c r="AL4375" s="1066"/>
      <c r="AM4375" s="1066"/>
      <c r="AN4375" s="1066"/>
      <c r="AO4375" s="1066"/>
      <c r="AP4375" s="1066"/>
      <c r="AQ4375" s="1066"/>
      <c r="AR4375" s="1066"/>
      <c r="AS4375" s="1066"/>
      <c r="AT4375" s="1066"/>
      <c r="AU4375" s="1066"/>
      <c r="AV4375" s="1066"/>
      <c r="AW4375" s="1066"/>
      <c r="AX4375" s="1066"/>
      <c r="AY4375" s="1066"/>
      <c r="AZ4375" s="1066"/>
      <c r="BA4375" s="1066"/>
      <c r="BB4375" s="1066"/>
      <c r="BC4375" s="1066"/>
      <c r="BD4375" s="1066"/>
      <c r="BE4375" s="1066"/>
      <c r="BF4375" s="1066"/>
      <c r="BG4375" s="1066"/>
      <c r="BH4375" s="1066"/>
      <c r="BI4375" s="1066"/>
      <c r="BJ4375" s="1066"/>
      <c r="BK4375" s="1066"/>
      <c r="BL4375" s="1066"/>
    </row>
    <row r="4376" spans="1:64">
      <c r="A4376" s="1797"/>
      <c r="B4376" s="1797"/>
      <c r="C4376" s="1815"/>
      <c r="D4376" s="1214"/>
      <c r="E4376" s="1215"/>
      <c r="F4376" s="1216"/>
      <c r="G4376" s="1217"/>
      <c r="H4376" s="1384" t="s">
        <v>1065</v>
      </c>
      <c r="I4376" s="1285">
        <f>ROUND(I4375,0)</f>
        <v>1122</v>
      </c>
      <c r="J4376" s="996"/>
      <c r="K4376" s="996"/>
      <c r="L4376" s="996"/>
      <c r="M4376" s="997"/>
      <c r="N4376" s="997"/>
      <c r="O4376" s="997"/>
      <c r="P4376" s="997"/>
      <c r="Q4376" s="997"/>
      <c r="R4376" s="997"/>
      <c r="S4376" s="997"/>
      <c r="T4376" s="997"/>
      <c r="U4376" s="997"/>
      <c r="V4376" s="997"/>
      <c r="W4376" s="997"/>
      <c r="X4376" s="997"/>
      <c r="Y4376" s="997"/>
      <c r="Z4376" s="997"/>
      <c r="AA4376" s="997"/>
      <c r="AB4376" s="997"/>
      <c r="AC4376" s="997"/>
      <c r="AD4376" s="997"/>
      <c r="AE4376" s="997"/>
      <c r="AF4376" s="997"/>
      <c r="AG4376" s="997"/>
      <c r="AH4376" s="997"/>
      <c r="AI4376" s="997"/>
      <c r="AJ4376" s="997"/>
      <c r="AK4376" s="997"/>
      <c r="AL4376" s="997"/>
      <c r="AM4376" s="997"/>
      <c r="AN4376" s="997"/>
      <c r="AO4376" s="997"/>
      <c r="AP4376" s="997"/>
      <c r="AQ4376" s="997"/>
      <c r="AR4376" s="997"/>
      <c r="AS4376" s="997"/>
      <c r="AT4376" s="997"/>
      <c r="AU4376" s="997"/>
      <c r="AV4376" s="997"/>
      <c r="AW4376" s="997"/>
      <c r="AX4376" s="997"/>
      <c r="AY4376" s="997"/>
      <c r="AZ4376" s="997"/>
      <c r="BA4376" s="997"/>
      <c r="BB4376" s="997"/>
      <c r="BC4376" s="997"/>
      <c r="BD4376" s="997"/>
      <c r="BE4376" s="997"/>
      <c r="BF4376" s="997"/>
      <c r="BG4376" s="997"/>
      <c r="BH4376" s="997"/>
      <c r="BI4376" s="997"/>
      <c r="BJ4376" s="997"/>
      <c r="BK4376" s="997"/>
      <c r="BL4376" s="997"/>
    </row>
    <row r="4377" spans="1:64">
      <c r="A4377" s="1798"/>
      <c r="B4377" s="1200"/>
      <c r="C4377" s="1807"/>
      <c r="D4377" s="1203"/>
      <c r="E4377" s="1199"/>
      <c r="F4377" s="1201"/>
      <c r="G4377" s="1204"/>
      <c r="H4377" s="1379"/>
      <c r="I4377" s="1205"/>
      <c r="J4377" s="1846"/>
      <c r="K4377" s="1846"/>
      <c r="L4377" s="1846"/>
    </row>
    <row r="4378" spans="1:64" ht="103.7" customHeight="1">
      <c r="A4378" s="2028">
        <f>1+A4346</f>
        <v>70</v>
      </c>
      <c r="B4378" s="2028"/>
      <c r="C4378" s="2006" t="s">
        <v>3476</v>
      </c>
      <c r="D4378" s="2006"/>
      <c r="E4378" s="2006"/>
      <c r="F4378" s="2006"/>
      <c r="G4378" s="2006"/>
      <c r="H4378" s="2006"/>
      <c r="I4378" s="2006"/>
      <c r="J4378" s="1846"/>
      <c r="K4378" s="1846"/>
      <c r="L4378" s="1846"/>
    </row>
    <row r="4379" spans="1:64" ht="12.75" customHeight="1">
      <c r="A4379" s="1798"/>
      <c r="B4379" s="1798"/>
      <c r="C4379" s="2026" t="s">
        <v>1606</v>
      </c>
      <c r="D4379" s="2026"/>
      <c r="E4379" s="2026"/>
      <c r="F4379" s="1376"/>
      <c r="G4379" s="1278"/>
      <c r="H4379" s="1332"/>
      <c r="I4379" s="1376"/>
      <c r="J4379" s="1846"/>
      <c r="K4379" s="1846"/>
      <c r="L4379" s="1846"/>
    </row>
    <row r="4380" spans="1:64">
      <c r="A4380" s="1798"/>
      <c r="B4380" s="1798"/>
      <c r="C4380" s="1807" t="s">
        <v>1607</v>
      </c>
      <c r="D4380" s="1376"/>
      <c r="E4380" s="1332"/>
      <c r="F4380" s="1376"/>
      <c r="G4380" s="1278"/>
      <c r="H4380" s="1332"/>
      <c r="I4380" s="1376"/>
      <c r="J4380" s="1846"/>
      <c r="K4380" s="1846"/>
      <c r="L4380" s="1846"/>
    </row>
    <row r="4381" spans="1:64">
      <c r="A4381" s="1798"/>
      <c r="B4381" s="1798"/>
      <c r="C4381" s="1795" t="s">
        <v>1432</v>
      </c>
      <c r="D4381" s="1376"/>
      <c r="E4381" s="1332"/>
      <c r="F4381" s="1376"/>
      <c r="G4381" s="1278"/>
      <c r="H4381" s="1332"/>
      <c r="I4381" s="1376"/>
      <c r="J4381" s="1846"/>
      <c r="K4381" s="1846"/>
      <c r="L4381" s="1846"/>
    </row>
    <row r="4382" spans="1:64" ht="25.5">
      <c r="A4382" s="1798"/>
      <c r="B4382" s="1798"/>
      <c r="C4382" s="1807" t="s">
        <v>1654</v>
      </c>
      <c r="D4382" s="1376">
        <v>1</v>
      </c>
      <c r="E4382" s="1332" t="s">
        <v>94</v>
      </c>
      <c r="F4382" s="1376">
        <v>599</v>
      </c>
      <c r="G4382" s="1278">
        <v>1</v>
      </c>
      <c r="H4382" s="1332" t="s">
        <v>94</v>
      </c>
      <c r="I4382" s="1228">
        <f t="shared" ref="I4382:I4387" si="965">IF(G4382="",D4382*F4382,(D4382*F4382/G4382))</f>
        <v>599</v>
      </c>
      <c r="J4382" s="1846"/>
      <c r="K4382" s="1846"/>
      <c r="L4382" s="1846"/>
    </row>
    <row r="4383" spans="1:64" ht="25.5">
      <c r="A4383" s="1798"/>
      <c r="B4383" s="1798"/>
      <c r="C4383" s="1807" t="s">
        <v>208</v>
      </c>
      <c r="D4383" s="1376">
        <v>0.4</v>
      </c>
      <c r="E4383" s="1332" t="s">
        <v>197</v>
      </c>
      <c r="F4383" s="1376">
        <f>'Civil-SOR'!G93</f>
        <v>42</v>
      </c>
      <c r="G4383" s="1278">
        <v>1</v>
      </c>
      <c r="H4383" s="1332" t="s">
        <v>197</v>
      </c>
      <c r="I4383" s="1228">
        <f t="shared" si="965"/>
        <v>16.8</v>
      </c>
      <c r="J4383" s="1846"/>
      <c r="K4383" s="1846"/>
      <c r="L4383" s="1846"/>
    </row>
    <row r="4384" spans="1:64" ht="25.5">
      <c r="A4384" s="1798"/>
      <c r="B4384" s="1798"/>
      <c r="C4384" s="1807" t="s">
        <v>210</v>
      </c>
      <c r="D4384" s="1376">
        <v>1.6</v>
      </c>
      <c r="E4384" s="1332" t="s">
        <v>197</v>
      </c>
      <c r="F4384" s="1376">
        <f>'Civil-SOR'!G94</f>
        <v>52</v>
      </c>
      <c r="G4384" s="1278">
        <v>1</v>
      </c>
      <c r="H4384" s="1332" t="s">
        <v>197</v>
      </c>
      <c r="I4384" s="1228">
        <f t="shared" si="965"/>
        <v>83.2</v>
      </c>
      <c r="J4384" s="1846"/>
      <c r="K4384" s="1846"/>
      <c r="L4384" s="1846"/>
    </row>
    <row r="4385" spans="1:12" ht="25.5">
      <c r="A4385" s="1798"/>
      <c r="B4385" s="1798"/>
      <c r="C4385" s="1807" t="s">
        <v>214</v>
      </c>
      <c r="D4385" s="1376">
        <v>1.6</v>
      </c>
      <c r="E4385" s="1332" t="s">
        <v>197</v>
      </c>
      <c r="F4385" s="1376">
        <f>'Civil-SOR'!G96</f>
        <v>48</v>
      </c>
      <c r="G4385" s="1278">
        <v>1</v>
      </c>
      <c r="H4385" s="1332" t="s">
        <v>197</v>
      </c>
      <c r="I4385" s="1228">
        <f t="shared" si="965"/>
        <v>76.800000000000011</v>
      </c>
      <c r="J4385" s="1846"/>
      <c r="K4385" s="1846"/>
      <c r="L4385" s="1846"/>
    </row>
    <row r="4386" spans="1:12" ht="25.5">
      <c r="A4386" s="1798"/>
      <c r="B4386" s="1798"/>
      <c r="C4386" s="1807" t="s">
        <v>1655</v>
      </c>
      <c r="D4386" s="1376">
        <v>1.28</v>
      </c>
      <c r="E4386" s="1332" t="s">
        <v>197</v>
      </c>
      <c r="F4386" s="1376">
        <f>'Civil-SOR'!G109</f>
        <v>12</v>
      </c>
      <c r="G4386" s="1278">
        <v>1</v>
      </c>
      <c r="H4386" s="1332" t="s">
        <v>197</v>
      </c>
      <c r="I4386" s="1228">
        <f t="shared" si="965"/>
        <v>15.36</v>
      </c>
      <c r="J4386" s="1846"/>
      <c r="K4386" s="1846"/>
      <c r="L4386" s="1846"/>
    </row>
    <row r="4387" spans="1:12">
      <c r="A4387" s="1798"/>
      <c r="B4387" s="1798"/>
      <c r="C4387" s="1807" t="s">
        <v>224</v>
      </c>
      <c r="D4387" s="1376">
        <v>1.28</v>
      </c>
      <c r="E4387" s="1332" t="s">
        <v>36</v>
      </c>
      <c r="F4387" s="1376">
        <f>'Civil-SOR'!G101</f>
        <v>5</v>
      </c>
      <c r="G4387" s="1278">
        <v>1</v>
      </c>
      <c r="H4387" s="1332" t="s">
        <v>39</v>
      </c>
      <c r="I4387" s="1228">
        <f t="shared" si="965"/>
        <v>6.4</v>
      </c>
      <c r="J4387" s="1846"/>
      <c r="K4387" s="1846"/>
      <c r="L4387" s="1846"/>
    </row>
    <row r="4388" spans="1:12">
      <c r="A4388" s="1798"/>
      <c r="B4388" s="1798"/>
      <c r="C4388" s="1795" t="s">
        <v>1614</v>
      </c>
      <c r="D4388" s="1376"/>
      <c r="E4388" s="1332"/>
      <c r="F4388" s="1376"/>
      <c r="G4388" s="1278"/>
      <c r="H4388" s="1332"/>
      <c r="I4388" s="1376"/>
      <c r="J4388" s="1846"/>
      <c r="K4388" s="1846"/>
      <c r="L4388" s="1846"/>
    </row>
    <row r="4389" spans="1:12">
      <c r="A4389" s="1798"/>
      <c r="B4389" s="1798"/>
      <c r="C4389" s="1807" t="s">
        <v>1615</v>
      </c>
      <c r="D4389" s="1376">
        <v>0.12</v>
      </c>
      <c r="E4389" s="1332" t="s">
        <v>36</v>
      </c>
      <c r="F4389" s="1209">
        <f>'Civil-SOR'!$G$291</f>
        <v>685</v>
      </c>
      <c r="G4389" s="1278">
        <v>1</v>
      </c>
      <c r="H4389" s="1332" t="s">
        <v>39</v>
      </c>
      <c r="I4389" s="1228">
        <f t="shared" ref="I4389:I4396" si="966">IF(G4389="",D4389*F4389,(D4389*F4389/G4389))</f>
        <v>82.2</v>
      </c>
      <c r="J4389" s="1846"/>
      <c r="K4389" s="1846"/>
      <c r="L4389" s="1846"/>
    </row>
    <row r="4390" spans="1:12">
      <c r="A4390" s="1798"/>
      <c r="B4390" s="1798"/>
      <c r="C4390" s="1807" t="s">
        <v>1616</v>
      </c>
      <c r="D4390" s="1376">
        <v>0.12</v>
      </c>
      <c r="E4390" s="1332" t="s">
        <v>36</v>
      </c>
      <c r="F4390" s="1209">
        <f>'Civil-SOR'!$G$300</f>
        <v>550</v>
      </c>
      <c r="G4390" s="1278">
        <v>1</v>
      </c>
      <c r="H4390" s="1332" t="s">
        <v>39</v>
      </c>
      <c r="I4390" s="1228">
        <f t="shared" si="966"/>
        <v>66</v>
      </c>
      <c r="J4390" s="1846"/>
      <c r="K4390" s="1846"/>
      <c r="L4390" s="1846"/>
    </row>
    <row r="4391" spans="1:12">
      <c r="A4391" s="1798"/>
      <c r="B4391" s="1798"/>
      <c r="C4391" s="1807" t="s">
        <v>1557</v>
      </c>
      <c r="D4391" s="1386">
        <v>2.4E-2</v>
      </c>
      <c r="E4391" s="1332" t="s">
        <v>36</v>
      </c>
      <c r="F4391" s="1209">
        <f>'Civil-SOR'!$G$296</f>
        <v>665</v>
      </c>
      <c r="G4391" s="1278">
        <v>1</v>
      </c>
      <c r="H4391" s="1332" t="s">
        <v>39</v>
      </c>
      <c r="I4391" s="1228">
        <f t="shared" si="966"/>
        <v>15.96</v>
      </c>
      <c r="J4391" s="1846"/>
      <c r="K4391" s="1846"/>
      <c r="L4391" s="1846"/>
    </row>
    <row r="4392" spans="1:12">
      <c r="A4392" s="1798"/>
      <c r="B4392" s="1798"/>
      <c r="C4392" s="1807" t="s">
        <v>1558</v>
      </c>
      <c r="D4392" s="1386">
        <v>2.4E-2</v>
      </c>
      <c r="E4392" s="1332" t="s">
        <v>36</v>
      </c>
      <c r="F4392" s="1209">
        <f>'Civil-SOR'!$G$303</f>
        <v>550</v>
      </c>
      <c r="G4392" s="1278">
        <v>1</v>
      </c>
      <c r="H4392" s="1332" t="s">
        <v>39</v>
      </c>
      <c r="I4392" s="1228">
        <f t="shared" si="966"/>
        <v>13.200000000000001</v>
      </c>
      <c r="J4392" s="1846"/>
      <c r="K4392" s="1846"/>
      <c r="L4392" s="1846"/>
    </row>
    <row r="4393" spans="1:12">
      <c r="A4393" s="1798"/>
      <c r="B4393" s="1798"/>
      <c r="C4393" s="1807" t="s">
        <v>1617</v>
      </c>
      <c r="D4393" s="1386">
        <v>1.2E-2</v>
      </c>
      <c r="E4393" s="1332" t="s">
        <v>36</v>
      </c>
      <c r="F4393" s="1209">
        <f>'Civil-SOR'!$G$297</f>
        <v>675</v>
      </c>
      <c r="G4393" s="1278">
        <v>1</v>
      </c>
      <c r="H4393" s="1332" t="s">
        <v>39</v>
      </c>
      <c r="I4393" s="1228">
        <f t="shared" si="966"/>
        <v>8.1</v>
      </c>
      <c r="J4393" s="1846"/>
      <c r="K4393" s="1846"/>
      <c r="L4393" s="1846"/>
    </row>
    <row r="4394" spans="1:12">
      <c r="A4394" s="1798"/>
      <c r="B4394" s="1798"/>
      <c r="C4394" s="1807" t="s">
        <v>1618</v>
      </c>
      <c r="D4394" s="1386">
        <v>1.2E-2</v>
      </c>
      <c r="E4394" s="1332" t="s">
        <v>36</v>
      </c>
      <c r="F4394" s="1209">
        <f>'Civil-SOR'!$G$297</f>
        <v>675</v>
      </c>
      <c r="G4394" s="1278">
        <v>1</v>
      </c>
      <c r="H4394" s="1332" t="s">
        <v>39</v>
      </c>
      <c r="I4394" s="1228">
        <f t="shared" si="966"/>
        <v>8.1</v>
      </c>
      <c r="J4394" s="1846"/>
      <c r="K4394" s="1846"/>
      <c r="L4394" s="1846"/>
    </row>
    <row r="4395" spans="1:12">
      <c r="A4395" s="1798"/>
      <c r="B4395" s="1798"/>
      <c r="C4395" s="1807" t="s">
        <v>1620</v>
      </c>
      <c r="D4395" s="1386">
        <v>7.1999999999999995E-2</v>
      </c>
      <c r="E4395" s="1332" t="s">
        <v>36</v>
      </c>
      <c r="F4395" s="1209">
        <f>'Civil-SOR'!$G$307</f>
        <v>520</v>
      </c>
      <c r="G4395" s="1278">
        <v>1</v>
      </c>
      <c r="H4395" s="1332" t="s">
        <v>39</v>
      </c>
      <c r="I4395" s="1228">
        <f t="shared" si="966"/>
        <v>37.44</v>
      </c>
      <c r="J4395" s="1846"/>
      <c r="K4395" s="1846"/>
      <c r="L4395" s="1846"/>
    </row>
    <row r="4396" spans="1:12">
      <c r="A4396" s="1798"/>
      <c r="B4396" s="1798"/>
      <c r="C4396" s="1807" t="str">
        <f>Input!$C$47</f>
        <v>Add for MA @ 40%</v>
      </c>
      <c r="D4396" s="1207">
        <f>Input!$D$47</f>
        <v>0.4</v>
      </c>
      <c r="E4396" s="1332"/>
      <c r="F4396" s="1376">
        <f>SUM(I4389:I4395)</f>
        <v>230.99999999999997</v>
      </c>
      <c r="G4396" s="1278"/>
      <c r="H4396" s="1332"/>
      <c r="I4396" s="1228">
        <f t="shared" si="966"/>
        <v>92.399999999999991</v>
      </c>
      <c r="J4396" s="1846"/>
      <c r="K4396" s="1846"/>
      <c r="L4396" s="1846"/>
    </row>
    <row r="4397" spans="1:12">
      <c r="A4397" s="1798"/>
      <c r="B4397" s="1798"/>
      <c r="C4397" s="1795" t="s">
        <v>1621</v>
      </c>
      <c r="D4397" s="1376"/>
      <c r="E4397" s="1332"/>
      <c r="F4397" s="1376"/>
      <c r="G4397" s="1278"/>
      <c r="H4397" s="1332"/>
      <c r="I4397" s="1376"/>
      <c r="J4397" s="1846"/>
      <c r="K4397" s="1846"/>
      <c r="L4397" s="1846"/>
    </row>
    <row r="4398" spans="1:12" ht="25.5">
      <c r="A4398" s="1798"/>
      <c r="B4398" s="1798"/>
      <c r="C4398" s="1807" t="s">
        <v>1656</v>
      </c>
      <c r="D4398" s="1376">
        <v>0.32</v>
      </c>
      <c r="E4398" s="1332" t="s">
        <v>1107</v>
      </c>
      <c r="F4398" s="1209">
        <f>'Civil-SOR'!$G$194</f>
        <v>146</v>
      </c>
      <c r="G4398" s="1278">
        <v>1</v>
      </c>
      <c r="H4398" s="1332" t="s">
        <v>39</v>
      </c>
      <c r="I4398" s="1228">
        <f t="shared" ref="I4398:I4399" si="967">IF(G4398="",D4398*F4398,(D4398*F4398/G4398))</f>
        <v>46.72</v>
      </c>
      <c r="J4398" s="1846"/>
      <c r="K4398" s="1846"/>
      <c r="L4398" s="1846"/>
    </row>
    <row r="4399" spans="1:12">
      <c r="A4399" s="1798"/>
      <c r="B4399" s="1798"/>
      <c r="C4399" s="1807" t="s">
        <v>401</v>
      </c>
      <c r="D4399" s="1376">
        <v>0.32</v>
      </c>
      <c r="E4399" s="1332" t="s">
        <v>1107</v>
      </c>
      <c r="F4399" s="1209">
        <f>'Civil-SOR'!$G$195</f>
        <v>137</v>
      </c>
      <c r="G4399" s="1278">
        <v>1</v>
      </c>
      <c r="H4399" s="1332" t="s">
        <v>39</v>
      </c>
      <c r="I4399" s="1228">
        <f t="shared" si="967"/>
        <v>43.84</v>
      </c>
      <c r="J4399" s="1846"/>
      <c r="K4399" s="1846"/>
      <c r="L4399" s="1846"/>
    </row>
    <row r="4400" spans="1:12">
      <c r="A4400" s="1798"/>
      <c r="B4400" s="1798"/>
      <c r="C4400" s="1807"/>
      <c r="D4400" s="1376"/>
      <c r="E4400" s="1332"/>
      <c r="F4400" s="1376"/>
      <c r="G4400" s="1278"/>
      <c r="H4400" s="1332"/>
      <c r="I4400" s="1302">
        <f>SUM(I4382:I4399)</f>
        <v>1211.5200000000002</v>
      </c>
      <c r="J4400" s="1846"/>
      <c r="K4400" s="1846"/>
      <c r="L4400" s="1846"/>
    </row>
    <row r="4401" spans="1:64">
      <c r="A4401" s="1798"/>
      <c r="B4401" s="1798"/>
      <c r="C4401" s="1807" t="s">
        <v>1624</v>
      </c>
      <c r="D4401" s="1376">
        <v>0.01</v>
      </c>
      <c r="E4401" s="1332"/>
      <c r="F4401" s="1376">
        <f>I4400</f>
        <v>1211.5200000000002</v>
      </c>
      <c r="G4401" s="1278"/>
      <c r="H4401" s="1332"/>
      <c r="I4401" s="1228">
        <f>IF(G4401="",D4401*F4401,(D4401*F4401/G4401))</f>
        <v>12.115200000000002</v>
      </c>
      <c r="J4401" s="1846"/>
      <c r="K4401" s="1846"/>
      <c r="L4401" s="1846"/>
    </row>
    <row r="4402" spans="1:64">
      <c r="A4402" s="1798"/>
      <c r="B4402" s="1798"/>
      <c r="C4402" s="1795" t="s">
        <v>1625</v>
      </c>
      <c r="D4402" s="1376"/>
      <c r="E4402" s="1332"/>
      <c r="F4402" s="1376"/>
      <c r="G4402" s="1278"/>
      <c r="H4402" s="1332"/>
      <c r="I4402" s="1387">
        <f>SUM(I4400:I4401)</f>
        <v>1223.6352000000002</v>
      </c>
      <c r="J4402" s="1846"/>
      <c r="K4402" s="1846"/>
      <c r="L4402" s="1846"/>
    </row>
    <row r="4403" spans="1:64">
      <c r="A4403" s="1798"/>
      <c r="B4403" s="1798"/>
      <c r="C4403" s="1807" t="str">
        <f>Input!$C$48</f>
        <v>Overheads &amp; Contractors Profit @ 13.615%</v>
      </c>
      <c r="D4403" s="1385">
        <f>Input!$D$48</f>
        <v>0.13614999999999999</v>
      </c>
      <c r="E4403" s="1332"/>
      <c r="F4403" s="1376">
        <f>I4402</f>
        <v>1223.6352000000002</v>
      </c>
      <c r="G4403" s="1278"/>
      <c r="H4403" s="1332"/>
      <c r="I4403" s="1228">
        <f>IF(G4403="",D4403*F4403,(D4403*F4403/G4403))</f>
        <v>166.59793248000003</v>
      </c>
      <c r="J4403" s="1846"/>
      <c r="K4403" s="1846"/>
      <c r="L4403" s="1846"/>
    </row>
    <row r="4404" spans="1:64">
      <c r="A4404" s="1798"/>
      <c r="B4404" s="1798"/>
      <c r="C4404" s="1795" t="s">
        <v>1045</v>
      </c>
      <c r="D4404" s="1376"/>
      <c r="E4404" s="1332"/>
      <c r="F4404" s="1376"/>
      <c r="G4404" s="1278"/>
      <c r="H4404" s="1332"/>
      <c r="I4404" s="1376">
        <f>SUM(I4402:I4403)</f>
        <v>1390.2331324800002</v>
      </c>
      <c r="J4404" s="1846"/>
      <c r="K4404" s="1846"/>
      <c r="L4404" s="1846"/>
    </row>
    <row r="4405" spans="1:64">
      <c r="A4405" s="1798"/>
      <c r="B4405" s="1798"/>
      <c r="C4405" s="1807"/>
      <c r="D4405" s="1376"/>
      <c r="E4405" s="1332"/>
      <c r="F4405" s="1376"/>
      <c r="G4405" s="1278"/>
      <c r="H4405" s="1388" t="s">
        <v>1065</v>
      </c>
      <c r="I4405" s="1389">
        <f>ROUND(I4404,0)</f>
        <v>1390</v>
      </c>
      <c r="J4405" s="1846"/>
      <c r="K4405" s="1846"/>
      <c r="L4405" s="1846"/>
    </row>
    <row r="4406" spans="1:64">
      <c r="A4406" s="1798"/>
      <c r="B4406" s="1200"/>
      <c r="C4406" s="1807"/>
      <c r="D4406" s="1203"/>
      <c r="E4406" s="1199"/>
      <c r="F4406" s="1201"/>
      <c r="G4406" s="1204"/>
      <c r="H4406" s="1379"/>
      <c r="I4406" s="1205"/>
      <c r="J4406" s="1846"/>
      <c r="K4406" s="1846"/>
      <c r="L4406" s="1846"/>
    </row>
    <row r="4407" spans="1:64" ht="100.7" customHeight="1">
      <c r="A4407" s="2013">
        <f>A4346+1</f>
        <v>70</v>
      </c>
      <c r="B4407" s="2013"/>
      <c r="C4407" s="2006" t="s">
        <v>3477</v>
      </c>
      <c r="D4407" s="2006"/>
      <c r="E4407" s="2006"/>
      <c r="F4407" s="2006"/>
      <c r="G4407" s="2006"/>
      <c r="H4407" s="2006"/>
      <c r="I4407" s="1814"/>
      <c r="J4407" s="1846"/>
      <c r="K4407" s="1846"/>
      <c r="L4407" s="1846"/>
    </row>
    <row r="4408" spans="1:64">
      <c r="A4408" s="1798"/>
      <c r="B4408" s="1200"/>
      <c r="C4408" s="1198" t="s">
        <v>1657</v>
      </c>
      <c r="D4408" s="1203"/>
      <c r="E4408" s="1199"/>
      <c r="F4408" s="1201"/>
      <c r="G4408" s="1204"/>
      <c r="H4408" s="1199"/>
      <c r="I4408" s="1201"/>
      <c r="J4408" s="1846"/>
      <c r="K4408" s="1846"/>
      <c r="L4408" s="1846"/>
    </row>
    <row r="4409" spans="1:64">
      <c r="A4409" s="1798"/>
      <c r="B4409" s="1200"/>
      <c r="C4409" s="1807" t="s">
        <v>1607</v>
      </c>
      <c r="D4409" s="1203"/>
      <c r="E4409" s="1199"/>
      <c r="F4409" s="1201"/>
      <c r="G4409" s="1204"/>
      <c r="H4409" s="1199"/>
      <c r="I4409" s="1201"/>
      <c r="J4409" s="1846"/>
      <c r="K4409" s="1846"/>
      <c r="L4409" s="1846"/>
    </row>
    <row r="4410" spans="1:64">
      <c r="A4410" s="1798"/>
      <c r="B4410" s="1200"/>
      <c r="C4410" s="1795" t="s">
        <v>1432</v>
      </c>
      <c r="D4410" s="1203"/>
      <c r="E4410" s="1199"/>
      <c r="F4410" s="1201"/>
      <c r="G4410" s="1204"/>
      <c r="H4410" s="1199"/>
      <c r="I4410" s="1201"/>
      <c r="J4410" s="1846"/>
      <c r="K4410" s="1846"/>
      <c r="L4410" s="1846"/>
    </row>
    <row r="4411" spans="1:64">
      <c r="A4411" s="1794"/>
      <c r="B4411" s="1794"/>
      <c r="C4411" s="1807" t="s">
        <v>1658</v>
      </c>
      <c r="D4411" s="1207">
        <v>1</v>
      </c>
      <c r="E4411" s="1208" t="s">
        <v>94</v>
      </c>
      <c r="F4411" s="1209">
        <f>'Civil-SOR'!$G$86</f>
        <v>28</v>
      </c>
      <c r="G4411" s="1210">
        <v>1</v>
      </c>
      <c r="H4411" s="1208" t="s">
        <v>94</v>
      </c>
      <c r="I4411" s="1211">
        <f t="shared" ref="I4411:I4415" si="968">IF(G4411="",D4411*F4411,(D4411*F4411/G4411))</f>
        <v>28</v>
      </c>
      <c r="J4411" s="1022"/>
      <c r="K4411" s="1022"/>
      <c r="L4411" s="1022"/>
      <c r="M4411" s="1066"/>
      <c r="N4411" s="1066"/>
      <c r="O4411" s="1066"/>
      <c r="P4411" s="1066"/>
      <c r="Q4411" s="1066"/>
      <c r="R4411" s="1066"/>
      <c r="S4411" s="1066"/>
      <c r="T4411" s="1066"/>
      <c r="U4411" s="1066"/>
      <c r="V4411" s="1066"/>
      <c r="W4411" s="1066"/>
      <c r="X4411" s="1066"/>
      <c r="Y4411" s="1066"/>
      <c r="Z4411" s="1066"/>
      <c r="AA4411" s="1066"/>
      <c r="AB4411" s="1066"/>
      <c r="AC4411" s="1066"/>
      <c r="AD4411" s="1066"/>
      <c r="AE4411" s="1066"/>
      <c r="AF4411" s="1066"/>
      <c r="AG4411" s="1066"/>
      <c r="AH4411" s="1066"/>
      <c r="AI4411" s="1066"/>
      <c r="AJ4411" s="1066"/>
      <c r="AK4411" s="1066"/>
      <c r="AL4411" s="1066"/>
      <c r="AM4411" s="1066"/>
      <c r="AN4411" s="1066"/>
      <c r="AO4411" s="1066"/>
      <c r="AP4411" s="1066"/>
      <c r="AQ4411" s="1066"/>
      <c r="AR4411" s="1066"/>
      <c r="AS4411" s="1066"/>
      <c r="AT4411" s="1066"/>
      <c r="AU4411" s="1066"/>
      <c r="AV4411" s="1066"/>
      <c r="AW4411" s="1066"/>
      <c r="AX4411" s="1066"/>
      <c r="AY4411" s="1066"/>
      <c r="AZ4411" s="1066"/>
      <c r="BA4411" s="1066"/>
      <c r="BB4411" s="1066"/>
      <c r="BC4411" s="1066"/>
      <c r="BD4411" s="1066"/>
      <c r="BE4411" s="1066"/>
      <c r="BF4411" s="1066"/>
      <c r="BG4411" s="1066"/>
      <c r="BH4411" s="1066"/>
      <c r="BI4411" s="1066"/>
      <c r="BJ4411" s="1066"/>
      <c r="BK4411" s="1066"/>
      <c r="BL4411" s="1066"/>
    </row>
    <row r="4412" spans="1:64" ht="25.5">
      <c r="A4412" s="1794"/>
      <c r="B4412" s="1794"/>
      <c r="C4412" s="1807" t="s">
        <v>1659</v>
      </c>
      <c r="D4412" s="1207">
        <v>0.4</v>
      </c>
      <c r="E4412" s="1208" t="s">
        <v>197</v>
      </c>
      <c r="F4412" s="1209">
        <f>'Civil-SOR'!$G$97</f>
        <v>29</v>
      </c>
      <c r="G4412" s="1210">
        <v>1</v>
      </c>
      <c r="H4412" s="1208" t="s">
        <v>197</v>
      </c>
      <c r="I4412" s="1211">
        <f t="shared" si="968"/>
        <v>11.600000000000001</v>
      </c>
      <c r="J4412" s="1022"/>
      <c r="K4412" s="1022"/>
      <c r="L4412" s="1022"/>
      <c r="M4412" s="1066"/>
      <c r="N4412" s="1066"/>
      <c r="O4412" s="1066"/>
      <c r="P4412" s="1066"/>
      <c r="Q4412" s="1066"/>
      <c r="R4412" s="1066"/>
      <c r="S4412" s="1066"/>
      <c r="T4412" s="1066"/>
      <c r="U4412" s="1066"/>
      <c r="V4412" s="1066"/>
      <c r="W4412" s="1066"/>
      <c r="X4412" s="1066"/>
      <c r="Y4412" s="1066"/>
      <c r="Z4412" s="1066"/>
      <c r="AA4412" s="1066"/>
      <c r="AB4412" s="1066"/>
      <c r="AC4412" s="1066"/>
      <c r="AD4412" s="1066"/>
      <c r="AE4412" s="1066"/>
      <c r="AF4412" s="1066"/>
      <c r="AG4412" s="1066"/>
      <c r="AH4412" s="1066"/>
      <c r="AI4412" s="1066"/>
      <c r="AJ4412" s="1066"/>
      <c r="AK4412" s="1066"/>
      <c r="AL4412" s="1066"/>
      <c r="AM4412" s="1066"/>
      <c r="AN4412" s="1066"/>
      <c r="AO4412" s="1066"/>
      <c r="AP4412" s="1066"/>
      <c r="AQ4412" s="1066"/>
      <c r="AR4412" s="1066"/>
      <c r="AS4412" s="1066"/>
      <c r="AT4412" s="1066"/>
      <c r="AU4412" s="1066"/>
      <c r="AV4412" s="1066"/>
      <c r="AW4412" s="1066"/>
      <c r="AX4412" s="1066"/>
      <c r="AY4412" s="1066"/>
      <c r="AZ4412" s="1066"/>
      <c r="BA4412" s="1066"/>
      <c r="BB4412" s="1066"/>
      <c r="BC4412" s="1066"/>
      <c r="BD4412" s="1066"/>
      <c r="BE4412" s="1066"/>
      <c r="BF4412" s="1066"/>
      <c r="BG4412" s="1066"/>
      <c r="BH4412" s="1066"/>
      <c r="BI4412" s="1066"/>
      <c r="BJ4412" s="1066"/>
      <c r="BK4412" s="1066"/>
      <c r="BL4412" s="1066"/>
    </row>
    <row r="4413" spans="1:64" ht="25.5">
      <c r="A4413" s="1794"/>
      <c r="B4413" s="1794"/>
      <c r="C4413" s="1807" t="s">
        <v>1660</v>
      </c>
      <c r="D4413" s="1207">
        <v>3.2</v>
      </c>
      <c r="E4413" s="1208" t="s">
        <v>197</v>
      </c>
      <c r="F4413" s="1209">
        <f>'Civil-SOR'!$G$98</f>
        <v>36</v>
      </c>
      <c r="G4413" s="1210">
        <v>1</v>
      </c>
      <c r="H4413" s="1208" t="s">
        <v>197</v>
      </c>
      <c r="I4413" s="1211">
        <f t="shared" si="968"/>
        <v>115.2</v>
      </c>
      <c r="J4413" s="1022"/>
      <c r="K4413" s="1022"/>
      <c r="L4413" s="1022"/>
      <c r="M4413" s="1066"/>
      <c r="N4413" s="1066"/>
      <c r="O4413" s="1066"/>
      <c r="P4413" s="1066"/>
      <c r="Q4413" s="1066"/>
      <c r="R4413" s="1066"/>
      <c r="S4413" s="1066"/>
      <c r="T4413" s="1066"/>
      <c r="U4413" s="1066"/>
      <c r="V4413" s="1066"/>
      <c r="W4413" s="1066"/>
      <c r="X4413" s="1066"/>
      <c r="Y4413" s="1066"/>
      <c r="Z4413" s="1066"/>
      <c r="AA4413" s="1066"/>
      <c r="AB4413" s="1066"/>
      <c r="AC4413" s="1066"/>
      <c r="AD4413" s="1066"/>
      <c r="AE4413" s="1066"/>
      <c r="AF4413" s="1066"/>
      <c r="AG4413" s="1066"/>
      <c r="AH4413" s="1066"/>
      <c r="AI4413" s="1066"/>
      <c r="AJ4413" s="1066"/>
      <c r="AK4413" s="1066"/>
      <c r="AL4413" s="1066"/>
      <c r="AM4413" s="1066"/>
      <c r="AN4413" s="1066"/>
      <c r="AO4413" s="1066"/>
      <c r="AP4413" s="1066"/>
      <c r="AQ4413" s="1066"/>
      <c r="AR4413" s="1066"/>
      <c r="AS4413" s="1066"/>
      <c r="AT4413" s="1066"/>
      <c r="AU4413" s="1066"/>
      <c r="AV4413" s="1066"/>
      <c r="AW4413" s="1066"/>
      <c r="AX4413" s="1066"/>
      <c r="AY4413" s="1066"/>
      <c r="AZ4413" s="1066"/>
      <c r="BA4413" s="1066"/>
      <c r="BB4413" s="1066"/>
      <c r="BC4413" s="1066"/>
      <c r="BD4413" s="1066"/>
      <c r="BE4413" s="1066"/>
      <c r="BF4413" s="1066"/>
      <c r="BG4413" s="1066"/>
      <c r="BH4413" s="1066"/>
      <c r="BI4413" s="1066"/>
      <c r="BJ4413" s="1066"/>
      <c r="BK4413" s="1066"/>
      <c r="BL4413" s="1066"/>
    </row>
    <row r="4414" spans="1:64" ht="25.5">
      <c r="A4414" s="1794"/>
      <c r="B4414" s="1794"/>
      <c r="C4414" s="1807" t="s">
        <v>1661</v>
      </c>
      <c r="D4414" s="1207">
        <v>1.28</v>
      </c>
      <c r="E4414" s="1208" t="s">
        <v>36</v>
      </c>
      <c r="F4414" s="1209">
        <f>'Civil-SOR'!$G$109</f>
        <v>12</v>
      </c>
      <c r="G4414" s="1210">
        <v>1</v>
      </c>
      <c r="H4414" s="1208" t="s">
        <v>39</v>
      </c>
      <c r="I4414" s="1211">
        <f t="shared" si="968"/>
        <v>15.36</v>
      </c>
      <c r="J4414" s="1022"/>
      <c r="K4414" s="1022"/>
      <c r="L4414" s="1022"/>
      <c r="M4414" s="1066"/>
      <c r="N4414" s="1066"/>
      <c r="O4414" s="1066"/>
      <c r="P4414" s="1066"/>
      <c r="Q4414" s="1066"/>
      <c r="R4414" s="1066"/>
      <c r="S4414" s="1066"/>
      <c r="T4414" s="1066"/>
      <c r="U4414" s="1066"/>
      <c r="V4414" s="1066"/>
      <c r="W4414" s="1066"/>
      <c r="X4414" s="1066"/>
      <c r="Y4414" s="1066"/>
      <c r="Z4414" s="1066"/>
      <c r="AA4414" s="1066"/>
      <c r="AB4414" s="1066"/>
      <c r="AC4414" s="1066"/>
      <c r="AD4414" s="1066"/>
      <c r="AE4414" s="1066"/>
      <c r="AF4414" s="1066"/>
      <c r="AG4414" s="1066"/>
      <c r="AH4414" s="1066"/>
      <c r="AI4414" s="1066"/>
      <c r="AJ4414" s="1066"/>
      <c r="AK4414" s="1066"/>
      <c r="AL4414" s="1066"/>
      <c r="AM4414" s="1066"/>
      <c r="AN4414" s="1066"/>
      <c r="AO4414" s="1066"/>
      <c r="AP4414" s="1066"/>
      <c r="AQ4414" s="1066"/>
      <c r="AR4414" s="1066"/>
      <c r="AS4414" s="1066"/>
      <c r="AT4414" s="1066"/>
      <c r="AU4414" s="1066"/>
      <c r="AV4414" s="1066"/>
      <c r="AW4414" s="1066"/>
      <c r="AX4414" s="1066"/>
      <c r="AY4414" s="1066"/>
      <c r="AZ4414" s="1066"/>
      <c r="BA4414" s="1066"/>
      <c r="BB4414" s="1066"/>
      <c r="BC4414" s="1066"/>
      <c r="BD4414" s="1066"/>
      <c r="BE4414" s="1066"/>
      <c r="BF4414" s="1066"/>
      <c r="BG4414" s="1066"/>
      <c r="BH4414" s="1066"/>
      <c r="BI4414" s="1066"/>
      <c r="BJ4414" s="1066"/>
      <c r="BK4414" s="1066"/>
      <c r="BL4414" s="1066"/>
    </row>
    <row r="4415" spans="1:64">
      <c r="A4415" s="1794"/>
      <c r="B4415" s="1794"/>
      <c r="C4415" s="1807" t="s">
        <v>1662</v>
      </c>
      <c r="D4415" s="1207">
        <v>1.28</v>
      </c>
      <c r="E4415" s="1208" t="s">
        <v>36</v>
      </c>
      <c r="F4415" s="1209">
        <f>'Civil-SOR'!$G$100</f>
        <v>5</v>
      </c>
      <c r="G4415" s="1210">
        <v>1</v>
      </c>
      <c r="H4415" s="1208" t="s">
        <v>39</v>
      </c>
      <c r="I4415" s="1211">
        <f t="shared" si="968"/>
        <v>6.4</v>
      </c>
      <c r="J4415" s="1022"/>
      <c r="K4415" s="1022"/>
      <c r="L4415" s="1022"/>
      <c r="M4415" s="1066"/>
      <c r="N4415" s="1066"/>
      <c r="O4415" s="1066"/>
      <c r="P4415" s="1066"/>
      <c r="Q4415" s="1066"/>
      <c r="R4415" s="1066"/>
      <c r="S4415" s="1066"/>
      <c r="T4415" s="1066"/>
      <c r="U4415" s="1066"/>
      <c r="V4415" s="1066"/>
      <c r="W4415" s="1066"/>
      <c r="X4415" s="1066"/>
      <c r="Y4415" s="1066"/>
      <c r="Z4415" s="1066"/>
      <c r="AA4415" s="1066"/>
      <c r="AB4415" s="1066"/>
      <c r="AC4415" s="1066"/>
      <c r="AD4415" s="1066"/>
      <c r="AE4415" s="1066"/>
      <c r="AF4415" s="1066"/>
      <c r="AG4415" s="1066"/>
      <c r="AH4415" s="1066"/>
      <c r="AI4415" s="1066"/>
      <c r="AJ4415" s="1066"/>
      <c r="AK4415" s="1066"/>
      <c r="AL4415" s="1066"/>
      <c r="AM4415" s="1066"/>
      <c r="AN4415" s="1066"/>
      <c r="AO4415" s="1066"/>
      <c r="AP4415" s="1066"/>
      <c r="AQ4415" s="1066"/>
      <c r="AR4415" s="1066"/>
      <c r="AS4415" s="1066"/>
      <c r="AT4415" s="1066"/>
      <c r="AU4415" s="1066"/>
      <c r="AV4415" s="1066"/>
      <c r="AW4415" s="1066"/>
      <c r="AX4415" s="1066"/>
      <c r="AY4415" s="1066"/>
      <c r="AZ4415" s="1066"/>
      <c r="BA4415" s="1066"/>
      <c r="BB4415" s="1066"/>
      <c r="BC4415" s="1066"/>
      <c r="BD4415" s="1066"/>
      <c r="BE4415" s="1066"/>
      <c r="BF4415" s="1066"/>
      <c r="BG4415" s="1066"/>
      <c r="BH4415" s="1066"/>
      <c r="BI4415" s="1066"/>
      <c r="BJ4415" s="1066"/>
      <c r="BK4415" s="1066"/>
      <c r="BL4415" s="1066"/>
    </row>
    <row r="4416" spans="1:64">
      <c r="A4416" s="1794"/>
      <c r="B4416" s="1794"/>
      <c r="C4416" s="1795" t="s">
        <v>1614</v>
      </c>
      <c r="D4416" s="1207"/>
      <c r="E4416" s="1208"/>
      <c r="F4416" s="1209"/>
      <c r="G4416" s="1210"/>
      <c r="H4416" s="1208"/>
      <c r="I4416" s="1209"/>
      <c r="J4416" s="1022"/>
      <c r="K4416" s="1022"/>
      <c r="L4416" s="1022"/>
      <c r="M4416" s="1066"/>
      <c r="N4416" s="1066"/>
      <c r="O4416" s="1066"/>
      <c r="P4416" s="1066"/>
      <c r="Q4416" s="1066"/>
      <c r="R4416" s="1066"/>
      <c r="S4416" s="1066"/>
      <c r="T4416" s="1066"/>
      <c r="U4416" s="1066"/>
      <c r="V4416" s="1066"/>
      <c r="W4416" s="1066"/>
      <c r="X4416" s="1066"/>
      <c r="Y4416" s="1066"/>
      <c r="Z4416" s="1066"/>
      <c r="AA4416" s="1066"/>
      <c r="AB4416" s="1066"/>
      <c r="AC4416" s="1066"/>
      <c r="AD4416" s="1066"/>
      <c r="AE4416" s="1066"/>
      <c r="AF4416" s="1066"/>
      <c r="AG4416" s="1066"/>
      <c r="AH4416" s="1066"/>
      <c r="AI4416" s="1066"/>
      <c r="AJ4416" s="1066"/>
      <c r="AK4416" s="1066"/>
      <c r="AL4416" s="1066"/>
      <c r="AM4416" s="1066"/>
      <c r="AN4416" s="1066"/>
      <c r="AO4416" s="1066"/>
      <c r="AP4416" s="1066"/>
      <c r="AQ4416" s="1066"/>
      <c r="AR4416" s="1066"/>
      <c r="AS4416" s="1066"/>
      <c r="AT4416" s="1066"/>
      <c r="AU4416" s="1066"/>
      <c r="AV4416" s="1066"/>
      <c r="AW4416" s="1066"/>
      <c r="AX4416" s="1066"/>
      <c r="AY4416" s="1066"/>
      <c r="AZ4416" s="1066"/>
      <c r="BA4416" s="1066"/>
      <c r="BB4416" s="1066"/>
      <c r="BC4416" s="1066"/>
      <c r="BD4416" s="1066"/>
      <c r="BE4416" s="1066"/>
      <c r="BF4416" s="1066"/>
      <c r="BG4416" s="1066"/>
      <c r="BH4416" s="1066"/>
      <c r="BI4416" s="1066"/>
      <c r="BJ4416" s="1066"/>
      <c r="BK4416" s="1066"/>
      <c r="BL4416" s="1066"/>
    </row>
    <row r="4417" spans="1:64">
      <c r="A4417" s="1794"/>
      <c r="B4417" s="1794"/>
      <c r="C4417" s="1807" t="s">
        <v>1615</v>
      </c>
      <c r="D4417" s="1383">
        <v>0.108</v>
      </c>
      <c r="E4417" s="1208" t="s">
        <v>36</v>
      </c>
      <c r="F4417" s="1209">
        <f>'Civil-SOR'!$G$291</f>
        <v>685</v>
      </c>
      <c r="G4417" s="1210">
        <v>1</v>
      </c>
      <c r="H4417" s="1208" t="s">
        <v>39</v>
      </c>
      <c r="I4417" s="1211">
        <f t="shared" ref="I4417:I4422" si="969">IF(G4417="",D4417*F4417,(D4417*F4417/G4417))</f>
        <v>73.98</v>
      </c>
      <c r="J4417" s="1022"/>
      <c r="K4417" s="1022"/>
      <c r="L4417" s="1022"/>
      <c r="M4417" s="1066"/>
      <c r="N4417" s="1066"/>
      <c r="O4417" s="1066"/>
      <c r="P4417" s="1066"/>
      <c r="Q4417" s="1066"/>
      <c r="R4417" s="1066"/>
      <c r="S4417" s="1066"/>
      <c r="T4417" s="1066"/>
      <c r="U4417" s="1066"/>
      <c r="V4417" s="1066"/>
      <c r="W4417" s="1066"/>
      <c r="X4417" s="1066"/>
      <c r="Y4417" s="1066"/>
      <c r="Z4417" s="1066"/>
      <c r="AA4417" s="1066"/>
      <c r="AB4417" s="1066"/>
      <c r="AC4417" s="1066"/>
      <c r="AD4417" s="1066"/>
      <c r="AE4417" s="1066"/>
      <c r="AF4417" s="1066"/>
      <c r="AG4417" s="1066"/>
      <c r="AH4417" s="1066"/>
      <c r="AI4417" s="1066"/>
      <c r="AJ4417" s="1066"/>
      <c r="AK4417" s="1066"/>
      <c r="AL4417" s="1066"/>
      <c r="AM4417" s="1066"/>
      <c r="AN4417" s="1066"/>
      <c r="AO4417" s="1066"/>
      <c r="AP4417" s="1066"/>
      <c r="AQ4417" s="1066"/>
      <c r="AR4417" s="1066"/>
      <c r="AS4417" s="1066"/>
      <c r="AT4417" s="1066"/>
      <c r="AU4417" s="1066"/>
      <c r="AV4417" s="1066"/>
      <c r="AW4417" s="1066"/>
      <c r="AX4417" s="1066"/>
      <c r="AY4417" s="1066"/>
      <c r="AZ4417" s="1066"/>
      <c r="BA4417" s="1066"/>
      <c r="BB4417" s="1066"/>
      <c r="BC4417" s="1066"/>
      <c r="BD4417" s="1066"/>
      <c r="BE4417" s="1066"/>
      <c r="BF4417" s="1066"/>
      <c r="BG4417" s="1066"/>
      <c r="BH4417" s="1066"/>
      <c r="BI4417" s="1066"/>
      <c r="BJ4417" s="1066"/>
      <c r="BK4417" s="1066"/>
      <c r="BL4417" s="1066"/>
    </row>
    <row r="4418" spans="1:64">
      <c r="A4418" s="1794"/>
      <c r="B4418" s="1794"/>
      <c r="C4418" s="1807" t="s">
        <v>1616</v>
      </c>
      <c r="D4418" s="1383">
        <v>0.108</v>
      </c>
      <c r="E4418" s="1208" t="s">
        <v>36</v>
      </c>
      <c r="F4418" s="1209">
        <f>'Civil-SOR'!$G$300</f>
        <v>550</v>
      </c>
      <c r="G4418" s="1210">
        <v>1</v>
      </c>
      <c r="H4418" s="1208" t="s">
        <v>39</v>
      </c>
      <c r="I4418" s="1211">
        <f t="shared" si="969"/>
        <v>59.4</v>
      </c>
      <c r="J4418" s="1022"/>
      <c r="K4418" s="1022"/>
      <c r="L4418" s="1022"/>
      <c r="M4418" s="1066"/>
      <c r="N4418" s="1066"/>
      <c r="O4418" s="1066"/>
      <c r="P4418" s="1066"/>
      <c r="Q4418" s="1066"/>
      <c r="R4418" s="1066"/>
      <c r="S4418" s="1066"/>
      <c r="T4418" s="1066"/>
      <c r="U4418" s="1066"/>
      <c r="V4418" s="1066"/>
      <c r="W4418" s="1066"/>
      <c r="X4418" s="1066"/>
      <c r="Y4418" s="1066"/>
      <c r="Z4418" s="1066"/>
      <c r="AA4418" s="1066"/>
      <c r="AB4418" s="1066"/>
      <c r="AC4418" s="1066"/>
      <c r="AD4418" s="1066"/>
      <c r="AE4418" s="1066"/>
      <c r="AF4418" s="1066"/>
      <c r="AG4418" s="1066"/>
      <c r="AH4418" s="1066"/>
      <c r="AI4418" s="1066"/>
      <c r="AJ4418" s="1066"/>
      <c r="AK4418" s="1066"/>
      <c r="AL4418" s="1066"/>
      <c r="AM4418" s="1066"/>
      <c r="AN4418" s="1066"/>
      <c r="AO4418" s="1066"/>
      <c r="AP4418" s="1066"/>
      <c r="AQ4418" s="1066"/>
      <c r="AR4418" s="1066"/>
      <c r="AS4418" s="1066"/>
      <c r="AT4418" s="1066"/>
      <c r="AU4418" s="1066"/>
      <c r="AV4418" s="1066"/>
      <c r="AW4418" s="1066"/>
      <c r="AX4418" s="1066"/>
      <c r="AY4418" s="1066"/>
      <c r="AZ4418" s="1066"/>
      <c r="BA4418" s="1066"/>
      <c r="BB4418" s="1066"/>
      <c r="BC4418" s="1066"/>
      <c r="BD4418" s="1066"/>
      <c r="BE4418" s="1066"/>
      <c r="BF4418" s="1066"/>
      <c r="BG4418" s="1066"/>
      <c r="BH4418" s="1066"/>
      <c r="BI4418" s="1066"/>
      <c r="BJ4418" s="1066"/>
      <c r="BK4418" s="1066"/>
      <c r="BL4418" s="1066"/>
    </row>
    <row r="4419" spans="1:64">
      <c r="A4419" s="1794"/>
      <c r="B4419" s="1794"/>
      <c r="C4419" s="1807" t="s">
        <v>1617</v>
      </c>
      <c r="D4419" s="1207">
        <v>0.02</v>
      </c>
      <c r="E4419" s="1208" t="s">
        <v>36</v>
      </c>
      <c r="F4419" s="1209">
        <f>'Civil-SOR'!G302</f>
        <v>550</v>
      </c>
      <c r="G4419" s="1210">
        <v>1</v>
      </c>
      <c r="H4419" s="1208" t="s">
        <v>39</v>
      </c>
      <c r="I4419" s="1211">
        <f t="shared" si="969"/>
        <v>11</v>
      </c>
      <c r="J4419" s="1022"/>
      <c r="K4419" s="1022"/>
      <c r="L4419" s="1022"/>
      <c r="M4419" s="1066"/>
      <c r="N4419" s="1066"/>
      <c r="O4419" s="1066"/>
      <c r="P4419" s="1066"/>
      <c r="Q4419" s="1066"/>
      <c r="R4419" s="1066"/>
      <c r="S4419" s="1066"/>
      <c r="T4419" s="1066"/>
      <c r="U4419" s="1066"/>
      <c r="V4419" s="1066"/>
      <c r="W4419" s="1066"/>
      <c r="X4419" s="1066"/>
      <c r="Y4419" s="1066"/>
      <c r="Z4419" s="1066"/>
      <c r="AA4419" s="1066"/>
      <c r="AB4419" s="1066"/>
      <c r="AC4419" s="1066"/>
      <c r="AD4419" s="1066"/>
      <c r="AE4419" s="1066"/>
      <c r="AF4419" s="1066"/>
      <c r="AG4419" s="1066"/>
      <c r="AH4419" s="1066"/>
      <c r="AI4419" s="1066"/>
      <c r="AJ4419" s="1066"/>
      <c r="AK4419" s="1066"/>
      <c r="AL4419" s="1066"/>
      <c r="AM4419" s="1066"/>
      <c r="AN4419" s="1066"/>
      <c r="AO4419" s="1066"/>
      <c r="AP4419" s="1066"/>
      <c r="AQ4419" s="1066"/>
      <c r="AR4419" s="1066"/>
      <c r="AS4419" s="1066"/>
      <c r="AT4419" s="1066"/>
      <c r="AU4419" s="1066"/>
      <c r="AV4419" s="1066"/>
      <c r="AW4419" s="1066"/>
      <c r="AX4419" s="1066"/>
      <c r="AY4419" s="1066"/>
      <c r="AZ4419" s="1066"/>
      <c r="BA4419" s="1066"/>
      <c r="BB4419" s="1066"/>
      <c r="BC4419" s="1066"/>
      <c r="BD4419" s="1066"/>
      <c r="BE4419" s="1066"/>
      <c r="BF4419" s="1066"/>
      <c r="BG4419" s="1066"/>
      <c r="BH4419" s="1066"/>
      <c r="BI4419" s="1066"/>
      <c r="BJ4419" s="1066"/>
      <c r="BK4419" s="1066"/>
      <c r="BL4419" s="1066"/>
    </row>
    <row r="4420" spans="1:64">
      <c r="A4420" s="1794"/>
      <c r="B4420" s="1794"/>
      <c r="C4420" s="1807" t="s">
        <v>1618</v>
      </c>
      <c r="D4420" s="1207">
        <v>0.04</v>
      </c>
      <c r="E4420" s="1208" t="s">
        <v>36</v>
      </c>
      <c r="F4420" s="1209">
        <f>+F4419</f>
        <v>550</v>
      </c>
      <c r="G4420" s="1210">
        <v>1</v>
      </c>
      <c r="H4420" s="1208" t="s">
        <v>39</v>
      </c>
      <c r="I4420" s="1211">
        <f t="shared" si="969"/>
        <v>22</v>
      </c>
      <c r="J4420" s="1022"/>
      <c r="K4420" s="1022"/>
      <c r="L4420" s="1022"/>
      <c r="M4420" s="1066"/>
      <c r="N4420" s="1066"/>
      <c r="O4420" s="1066"/>
      <c r="P4420" s="1066"/>
      <c r="Q4420" s="1066"/>
      <c r="R4420" s="1066"/>
      <c r="S4420" s="1066"/>
      <c r="T4420" s="1066"/>
      <c r="U4420" s="1066"/>
      <c r="V4420" s="1066"/>
      <c r="W4420" s="1066"/>
      <c r="X4420" s="1066"/>
      <c r="Y4420" s="1066"/>
      <c r="Z4420" s="1066"/>
      <c r="AA4420" s="1066"/>
      <c r="AB4420" s="1066"/>
      <c r="AC4420" s="1066"/>
      <c r="AD4420" s="1066"/>
      <c r="AE4420" s="1066"/>
      <c r="AF4420" s="1066"/>
      <c r="AG4420" s="1066"/>
      <c r="AH4420" s="1066"/>
      <c r="AI4420" s="1066"/>
      <c r="AJ4420" s="1066"/>
      <c r="AK4420" s="1066"/>
      <c r="AL4420" s="1066"/>
      <c r="AM4420" s="1066"/>
      <c r="AN4420" s="1066"/>
      <c r="AO4420" s="1066"/>
      <c r="AP4420" s="1066"/>
      <c r="AQ4420" s="1066"/>
      <c r="AR4420" s="1066"/>
      <c r="AS4420" s="1066"/>
      <c r="AT4420" s="1066"/>
      <c r="AU4420" s="1066"/>
      <c r="AV4420" s="1066"/>
      <c r="AW4420" s="1066"/>
      <c r="AX4420" s="1066"/>
      <c r="AY4420" s="1066"/>
      <c r="AZ4420" s="1066"/>
      <c r="BA4420" s="1066"/>
      <c r="BB4420" s="1066"/>
      <c r="BC4420" s="1066"/>
      <c r="BD4420" s="1066"/>
      <c r="BE4420" s="1066"/>
      <c r="BF4420" s="1066"/>
      <c r="BG4420" s="1066"/>
      <c r="BH4420" s="1066"/>
      <c r="BI4420" s="1066"/>
      <c r="BJ4420" s="1066"/>
      <c r="BK4420" s="1066"/>
      <c r="BL4420" s="1066"/>
    </row>
    <row r="4421" spans="1:64">
      <c r="A4421" s="1794"/>
      <c r="B4421" s="1794"/>
      <c r="C4421" s="1807" t="s">
        <v>1620</v>
      </c>
      <c r="D4421" s="1207">
        <v>0.2</v>
      </c>
      <c r="E4421" s="1208" t="s">
        <v>36</v>
      </c>
      <c r="F4421" s="1209">
        <f>'Civil-SOR'!$G$307</f>
        <v>520</v>
      </c>
      <c r="G4421" s="1210">
        <v>1</v>
      </c>
      <c r="H4421" s="1208" t="s">
        <v>39</v>
      </c>
      <c r="I4421" s="1211">
        <f t="shared" si="969"/>
        <v>104</v>
      </c>
      <c r="J4421" s="1022"/>
      <c r="K4421" s="1022"/>
      <c r="L4421" s="1022"/>
      <c r="M4421" s="1066"/>
      <c r="N4421" s="1066"/>
      <c r="O4421" s="1066"/>
      <c r="P4421" s="1066"/>
      <c r="Q4421" s="1066"/>
      <c r="R4421" s="1066"/>
      <c r="S4421" s="1066"/>
      <c r="T4421" s="1066"/>
      <c r="U4421" s="1066"/>
      <c r="V4421" s="1066"/>
      <c r="W4421" s="1066"/>
      <c r="X4421" s="1066"/>
      <c r="Y4421" s="1066"/>
      <c r="Z4421" s="1066"/>
      <c r="AA4421" s="1066"/>
      <c r="AB4421" s="1066"/>
      <c r="AC4421" s="1066"/>
      <c r="AD4421" s="1066"/>
      <c r="AE4421" s="1066"/>
      <c r="AF4421" s="1066"/>
      <c r="AG4421" s="1066"/>
      <c r="AH4421" s="1066"/>
      <c r="AI4421" s="1066"/>
      <c r="AJ4421" s="1066"/>
      <c r="AK4421" s="1066"/>
      <c r="AL4421" s="1066"/>
      <c r="AM4421" s="1066"/>
      <c r="AN4421" s="1066"/>
      <c r="AO4421" s="1066"/>
      <c r="AP4421" s="1066"/>
      <c r="AQ4421" s="1066"/>
      <c r="AR4421" s="1066"/>
      <c r="AS4421" s="1066"/>
      <c r="AT4421" s="1066"/>
      <c r="AU4421" s="1066"/>
      <c r="AV4421" s="1066"/>
      <c r="AW4421" s="1066"/>
      <c r="AX4421" s="1066"/>
      <c r="AY4421" s="1066"/>
      <c r="AZ4421" s="1066"/>
      <c r="BA4421" s="1066"/>
      <c r="BB4421" s="1066"/>
      <c r="BC4421" s="1066"/>
      <c r="BD4421" s="1066"/>
      <c r="BE4421" s="1066"/>
      <c r="BF4421" s="1066"/>
      <c r="BG4421" s="1066"/>
      <c r="BH4421" s="1066"/>
      <c r="BI4421" s="1066"/>
      <c r="BJ4421" s="1066"/>
      <c r="BK4421" s="1066"/>
      <c r="BL4421" s="1066"/>
    </row>
    <row r="4422" spans="1:64">
      <c r="A4422" s="1794"/>
      <c r="B4422" s="1794"/>
      <c r="C4422" s="1807" t="str">
        <f>Input!$C$47</f>
        <v>Add for MA @ 40%</v>
      </c>
      <c r="D4422" s="1207">
        <f>Input!$D$47</f>
        <v>0.4</v>
      </c>
      <c r="E4422" s="1208"/>
      <c r="F4422" s="1209">
        <f>SUM(I4417:I4421)</f>
        <v>270.38</v>
      </c>
      <c r="G4422" s="1210"/>
      <c r="H4422" s="1208"/>
      <c r="I4422" s="1211">
        <f t="shared" si="969"/>
        <v>108.152</v>
      </c>
      <c r="J4422" s="1022"/>
      <c r="K4422" s="1022"/>
      <c r="L4422" s="1022"/>
      <c r="M4422" s="1066"/>
      <c r="N4422" s="1066"/>
      <c r="O4422" s="1066"/>
      <c r="P4422" s="1066"/>
      <c r="Q4422" s="1066"/>
      <c r="R4422" s="1066"/>
      <c r="S4422" s="1066"/>
      <c r="T4422" s="1066"/>
      <c r="U4422" s="1066"/>
      <c r="V4422" s="1066"/>
      <c r="W4422" s="1066"/>
      <c r="X4422" s="1066"/>
      <c r="Y4422" s="1066"/>
      <c r="Z4422" s="1066"/>
      <c r="AA4422" s="1066"/>
      <c r="AB4422" s="1066"/>
      <c r="AC4422" s="1066"/>
      <c r="AD4422" s="1066"/>
      <c r="AE4422" s="1066"/>
      <c r="AF4422" s="1066"/>
      <c r="AG4422" s="1066"/>
      <c r="AH4422" s="1066"/>
      <c r="AI4422" s="1066"/>
      <c r="AJ4422" s="1066"/>
      <c r="AK4422" s="1066"/>
      <c r="AL4422" s="1066"/>
      <c r="AM4422" s="1066"/>
      <c r="AN4422" s="1066"/>
      <c r="AO4422" s="1066"/>
      <c r="AP4422" s="1066"/>
      <c r="AQ4422" s="1066"/>
      <c r="AR4422" s="1066"/>
      <c r="AS4422" s="1066"/>
      <c r="AT4422" s="1066"/>
      <c r="AU4422" s="1066"/>
      <c r="AV4422" s="1066"/>
      <c r="AW4422" s="1066"/>
      <c r="AX4422" s="1066"/>
      <c r="AY4422" s="1066"/>
      <c r="AZ4422" s="1066"/>
      <c r="BA4422" s="1066"/>
      <c r="BB4422" s="1066"/>
      <c r="BC4422" s="1066"/>
      <c r="BD4422" s="1066"/>
      <c r="BE4422" s="1066"/>
      <c r="BF4422" s="1066"/>
      <c r="BG4422" s="1066"/>
      <c r="BH4422" s="1066"/>
      <c r="BI4422" s="1066"/>
      <c r="BJ4422" s="1066"/>
      <c r="BK4422" s="1066"/>
      <c r="BL4422" s="1066"/>
    </row>
    <row r="4423" spans="1:64">
      <c r="A4423" s="1794"/>
      <c r="B4423" s="1794"/>
      <c r="C4423" s="1795" t="s">
        <v>1621</v>
      </c>
      <c r="D4423" s="1207"/>
      <c r="E4423" s="1208"/>
      <c r="F4423" s="1209"/>
      <c r="G4423" s="1210"/>
      <c r="H4423" s="1208"/>
      <c r="I4423" s="1209"/>
      <c r="J4423" s="1022"/>
      <c r="K4423" s="1022"/>
      <c r="L4423" s="1022"/>
      <c r="M4423" s="1066"/>
      <c r="N4423" s="1066"/>
      <c r="O4423" s="1066"/>
      <c r="P4423" s="1066"/>
      <c r="Q4423" s="1066"/>
      <c r="R4423" s="1066"/>
      <c r="S4423" s="1066"/>
      <c r="T4423" s="1066"/>
      <c r="U4423" s="1066"/>
      <c r="V4423" s="1066"/>
      <c r="W4423" s="1066"/>
      <c r="X4423" s="1066"/>
      <c r="Y4423" s="1066"/>
      <c r="Z4423" s="1066"/>
      <c r="AA4423" s="1066"/>
      <c r="AB4423" s="1066"/>
      <c r="AC4423" s="1066"/>
      <c r="AD4423" s="1066"/>
      <c r="AE4423" s="1066"/>
      <c r="AF4423" s="1066"/>
      <c r="AG4423" s="1066"/>
      <c r="AH4423" s="1066"/>
      <c r="AI4423" s="1066"/>
      <c r="AJ4423" s="1066"/>
      <c r="AK4423" s="1066"/>
      <c r="AL4423" s="1066"/>
      <c r="AM4423" s="1066"/>
      <c r="AN4423" s="1066"/>
      <c r="AO4423" s="1066"/>
      <c r="AP4423" s="1066"/>
      <c r="AQ4423" s="1066"/>
      <c r="AR4423" s="1066"/>
      <c r="AS4423" s="1066"/>
      <c r="AT4423" s="1066"/>
      <c r="AU4423" s="1066"/>
      <c r="AV4423" s="1066"/>
      <c r="AW4423" s="1066"/>
      <c r="AX4423" s="1066"/>
      <c r="AY4423" s="1066"/>
      <c r="AZ4423" s="1066"/>
      <c r="BA4423" s="1066"/>
      <c r="BB4423" s="1066"/>
      <c r="BC4423" s="1066"/>
      <c r="BD4423" s="1066"/>
      <c r="BE4423" s="1066"/>
      <c r="BF4423" s="1066"/>
      <c r="BG4423" s="1066"/>
      <c r="BH4423" s="1066"/>
      <c r="BI4423" s="1066"/>
      <c r="BJ4423" s="1066"/>
      <c r="BK4423" s="1066"/>
      <c r="BL4423" s="1066"/>
    </row>
    <row r="4424" spans="1:64" ht="25.5">
      <c r="A4424" s="1794"/>
      <c r="B4424" s="1794"/>
      <c r="C4424" s="1807" t="s">
        <v>1656</v>
      </c>
      <c r="D4424" s="1207">
        <v>0.16</v>
      </c>
      <c r="E4424" s="1208" t="s">
        <v>1107</v>
      </c>
      <c r="F4424" s="1209">
        <f>'Civil-SOR'!$G$194</f>
        <v>146</v>
      </c>
      <c r="G4424" s="1210">
        <v>1</v>
      </c>
      <c r="H4424" s="1208" t="s">
        <v>39</v>
      </c>
      <c r="I4424" s="1211">
        <f t="shared" ref="I4424:I4425" si="970">IF(G4424="",D4424*F4424,(D4424*F4424/G4424))</f>
        <v>23.36</v>
      </c>
      <c r="J4424" s="1022"/>
      <c r="K4424" s="1022"/>
      <c r="L4424" s="1022"/>
      <c r="M4424" s="1066"/>
      <c r="N4424" s="1066"/>
      <c r="O4424" s="1066"/>
      <c r="P4424" s="1066"/>
      <c r="Q4424" s="1066"/>
      <c r="R4424" s="1066"/>
      <c r="S4424" s="1066"/>
      <c r="T4424" s="1066"/>
      <c r="U4424" s="1066"/>
      <c r="V4424" s="1066"/>
      <c r="W4424" s="1066"/>
      <c r="X4424" s="1066"/>
      <c r="Y4424" s="1066"/>
      <c r="Z4424" s="1066"/>
      <c r="AA4424" s="1066"/>
      <c r="AB4424" s="1066"/>
      <c r="AC4424" s="1066"/>
      <c r="AD4424" s="1066"/>
      <c r="AE4424" s="1066"/>
      <c r="AF4424" s="1066"/>
      <c r="AG4424" s="1066"/>
      <c r="AH4424" s="1066"/>
      <c r="AI4424" s="1066"/>
      <c r="AJ4424" s="1066"/>
      <c r="AK4424" s="1066"/>
      <c r="AL4424" s="1066"/>
      <c r="AM4424" s="1066"/>
      <c r="AN4424" s="1066"/>
      <c r="AO4424" s="1066"/>
      <c r="AP4424" s="1066"/>
      <c r="AQ4424" s="1066"/>
      <c r="AR4424" s="1066"/>
      <c r="AS4424" s="1066"/>
      <c r="AT4424" s="1066"/>
      <c r="AU4424" s="1066"/>
      <c r="AV4424" s="1066"/>
      <c r="AW4424" s="1066"/>
      <c r="AX4424" s="1066"/>
      <c r="AY4424" s="1066"/>
      <c r="AZ4424" s="1066"/>
      <c r="BA4424" s="1066"/>
      <c r="BB4424" s="1066"/>
      <c r="BC4424" s="1066"/>
      <c r="BD4424" s="1066"/>
      <c r="BE4424" s="1066"/>
      <c r="BF4424" s="1066"/>
      <c r="BG4424" s="1066"/>
      <c r="BH4424" s="1066"/>
      <c r="BI4424" s="1066"/>
      <c r="BJ4424" s="1066"/>
      <c r="BK4424" s="1066"/>
      <c r="BL4424" s="1066"/>
    </row>
    <row r="4425" spans="1:64">
      <c r="A4425" s="1794"/>
      <c r="B4425" s="1794"/>
      <c r="C4425" s="1807" t="s">
        <v>401</v>
      </c>
      <c r="D4425" s="1207">
        <v>0.32</v>
      </c>
      <c r="E4425" s="1208" t="s">
        <v>1107</v>
      </c>
      <c r="F4425" s="1209">
        <f>'Civil-SOR'!$G$195</f>
        <v>137</v>
      </c>
      <c r="G4425" s="1210">
        <v>1</v>
      </c>
      <c r="H4425" s="1208" t="s">
        <v>39</v>
      </c>
      <c r="I4425" s="1211">
        <f t="shared" si="970"/>
        <v>43.84</v>
      </c>
      <c r="J4425" s="1022"/>
      <c r="K4425" s="1022"/>
      <c r="L4425" s="1022"/>
      <c r="M4425" s="1066"/>
      <c r="N4425" s="1066"/>
      <c r="O4425" s="1066"/>
      <c r="P4425" s="1066"/>
      <c r="Q4425" s="1066"/>
      <c r="R4425" s="1066"/>
      <c r="S4425" s="1066"/>
      <c r="T4425" s="1066"/>
      <c r="U4425" s="1066"/>
      <c r="V4425" s="1066"/>
      <c r="W4425" s="1066"/>
      <c r="X4425" s="1066"/>
      <c r="Y4425" s="1066"/>
      <c r="Z4425" s="1066"/>
      <c r="AA4425" s="1066"/>
      <c r="AB4425" s="1066"/>
      <c r="AC4425" s="1066"/>
      <c r="AD4425" s="1066"/>
      <c r="AE4425" s="1066"/>
      <c r="AF4425" s="1066"/>
      <c r="AG4425" s="1066"/>
      <c r="AH4425" s="1066"/>
      <c r="AI4425" s="1066"/>
      <c r="AJ4425" s="1066"/>
      <c r="AK4425" s="1066"/>
      <c r="AL4425" s="1066"/>
      <c r="AM4425" s="1066"/>
      <c r="AN4425" s="1066"/>
      <c r="AO4425" s="1066"/>
      <c r="AP4425" s="1066"/>
      <c r="AQ4425" s="1066"/>
      <c r="AR4425" s="1066"/>
      <c r="AS4425" s="1066"/>
      <c r="AT4425" s="1066"/>
      <c r="AU4425" s="1066"/>
      <c r="AV4425" s="1066"/>
      <c r="AW4425" s="1066"/>
      <c r="AX4425" s="1066"/>
      <c r="AY4425" s="1066"/>
      <c r="AZ4425" s="1066"/>
      <c r="BA4425" s="1066"/>
      <c r="BB4425" s="1066"/>
      <c r="BC4425" s="1066"/>
      <c r="BD4425" s="1066"/>
      <c r="BE4425" s="1066"/>
      <c r="BF4425" s="1066"/>
      <c r="BG4425" s="1066"/>
      <c r="BH4425" s="1066"/>
      <c r="BI4425" s="1066"/>
      <c r="BJ4425" s="1066"/>
      <c r="BK4425" s="1066"/>
      <c r="BL4425" s="1066"/>
    </row>
    <row r="4426" spans="1:64">
      <c r="A4426" s="1794"/>
      <c r="B4426" s="1794"/>
      <c r="C4426" s="1807"/>
      <c r="D4426" s="1207"/>
      <c r="E4426" s="1208"/>
      <c r="F4426" s="1209"/>
      <c r="G4426" s="1210"/>
      <c r="H4426" s="1208"/>
      <c r="I4426" s="1307">
        <f>SUM(I4411:I4425)</f>
        <v>622.29200000000003</v>
      </c>
      <c r="J4426" s="1022"/>
      <c r="K4426" s="1022"/>
      <c r="L4426" s="1022"/>
      <c r="M4426" s="1066"/>
      <c r="N4426" s="1066"/>
      <c r="O4426" s="1066"/>
      <c r="P4426" s="1066"/>
      <c r="Q4426" s="1066"/>
      <c r="R4426" s="1066"/>
      <c r="S4426" s="1066"/>
      <c r="T4426" s="1066"/>
      <c r="U4426" s="1066"/>
      <c r="V4426" s="1066"/>
      <c r="W4426" s="1066"/>
      <c r="X4426" s="1066"/>
      <c r="Y4426" s="1066"/>
      <c r="Z4426" s="1066"/>
      <c r="AA4426" s="1066"/>
      <c r="AB4426" s="1066"/>
      <c r="AC4426" s="1066"/>
      <c r="AD4426" s="1066"/>
      <c r="AE4426" s="1066"/>
      <c r="AF4426" s="1066"/>
      <c r="AG4426" s="1066"/>
      <c r="AH4426" s="1066"/>
      <c r="AI4426" s="1066"/>
      <c r="AJ4426" s="1066"/>
      <c r="AK4426" s="1066"/>
      <c r="AL4426" s="1066"/>
      <c r="AM4426" s="1066"/>
      <c r="AN4426" s="1066"/>
      <c r="AO4426" s="1066"/>
      <c r="AP4426" s="1066"/>
      <c r="AQ4426" s="1066"/>
      <c r="AR4426" s="1066"/>
      <c r="AS4426" s="1066"/>
      <c r="AT4426" s="1066"/>
      <c r="AU4426" s="1066"/>
      <c r="AV4426" s="1066"/>
      <c r="AW4426" s="1066"/>
      <c r="AX4426" s="1066"/>
      <c r="AY4426" s="1066"/>
      <c r="AZ4426" s="1066"/>
      <c r="BA4426" s="1066"/>
      <c r="BB4426" s="1066"/>
      <c r="BC4426" s="1066"/>
      <c r="BD4426" s="1066"/>
      <c r="BE4426" s="1066"/>
      <c r="BF4426" s="1066"/>
      <c r="BG4426" s="1066"/>
      <c r="BH4426" s="1066"/>
      <c r="BI4426" s="1066"/>
      <c r="BJ4426" s="1066"/>
      <c r="BK4426" s="1066"/>
      <c r="BL4426" s="1066"/>
    </row>
    <row r="4427" spans="1:64">
      <c r="A4427" s="1794"/>
      <c r="B4427" s="1794"/>
      <c r="C4427" s="1807" t="s">
        <v>1624</v>
      </c>
      <c r="D4427" s="1207">
        <v>0.01</v>
      </c>
      <c r="E4427" s="1208"/>
      <c r="F4427" s="1209">
        <f>I4426</f>
        <v>622.29200000000003</v>
      </c>
      <c r="G4427" s="1210"/>
      <c r="H4427" s="1208"/>
      <c r="I4427" s="1211">
        <f>IF(G4427="",D4427*F4427,(D4427*F4427/G4427))</f>
        <v>6.2229200000000002</v>
      </c>
      <c r="J4427" s="1022"/>
      <c r="K4427" s="1022"/>
      <c r="L4427" s="1022"/>
      <c r="M4427" s="1066"/>
      <c r="N4427" s="1066"/>
      <c r="O4427" s="1066"/>
      <c r="P4427" s="1066"/>
      <c r="Q4427" s="1066"/>
      <c r="R4427" s="1066"/>
      <c r="S4427" s="1066"/>
      <c r="T4427" s="1066"/>
      <c r="U4427" s="1066"/>
      <c r="V4427" s="1066"/>
      <c r="W4427" s="1066"/>
      <c r="X4427" s="1066"/>
      <c r="Y4427" s="1066"/>
      <c r="Z4427" s="1066"/>
      <c r="AA4427" s="1066"/>
      <c r="AB4427" s="1066"/>
      <c r="AC4427" s="1066"/>
      <c r="AD4427" s="1066"/>
      <c r="AE4427" s="1066"/>
      <c r="AF4427" s="1066"/>
      <c r="AG4427" s="1066"/>
      <c r="AH4427" s="1066"/>
      <c r="AI4427" s="1066"/>
      <c r="AJ4427" s="1066"/>
      <c r="AK4427" s="1066"/>
      <c r="AL4427" s="1066"/>
      <c r="AM4427" s="1066"/>
      <c r="AN4427" s="1066"/>
      <c r="AO4427" s="1066"/>
      <c r="AP4427" s="1066"/>
      <c r="AQ4427" s="1066"/>
      <c r="AR4427" s="1066"/>
      <c r="AS4427" s="1066"/>
      <c r="AT4427" s="1066"/>
      <c r="AU4427" s="1066"/>
      <c r="AV4427" s="1066"/>
      <c r="AW4427" s="1066"/>
      <c r="AX4427" s="1066"/>
      <c r="AY4427" s="1066"/>
      <c r="AZ4427" s="1066"/>
      <c r="BA4427" s="1066"/>
      <c r="BB4427" s="1066"/>
      <c r="BC4427" s="1066"/>
      <c r="BD4427" s="1066"/>
      <c r="BE4427" s="1066"/>
      <c r="BF4427" s="1066"/>
      <c r="BG4427" s="1066"/>
      <c r="BH4427" s="1066"/>
      <c r="BI4427" s="1066"/>
      <c r="BJ4427" s="1066"/>
      <c r="BK4427" s="1066"/>
      <c r="BL4427" s="1066"/>
    </row>
    <row r="4428" spans="1:64">
      <c r="A4428" s="1794"/>
      <c r="B4428" s="1794"/>
      <c r="C4428" s="1795" t="s">
        <v>1653</v>
      </c>
      <c r="D4428" s="1207"/>
      <c r="E4428" s="1208"/>
      <c r="F4428" s="1209"/>
      <c r="G4428" s="1210"/>
      <c r="H4428" s="1208"/>
      <c r="I4428" s="1357">
        <f>SUM(I4426:I4427)</f>
        <v>628.51492000000007</v>
      </c>
      <c r="J4428" s="1022"/>
      <c r="K4428" s="1022"/>
      <c r="L4428" s="1022"/>
      <c r="M4428" s="1066"/>
      <c r="N4428" s="1066"/>
      <c r="O4428" s="1066"/>
      <c r="P4428" s="1066"/>
      <c r="Q4428" s="1066"/>
      <c r="R4428" s="1066"/>
      <c r="S4428" s="1066"/>
      <c r="T4428" s="1066"/>
      <c r="U4428" s="1066"/>
      <c r="V4428" s="1066"/>
      <c r="W4428" s="1066"/>
      <c r="X4428" s="1066"/>
      <c r="Y4428" s="1066"/>
      <c r="Z4428" s="1066"/>
      <c r="AA4428" s="1066"/>
      <c r="AB4428" s="1066"/>
      <c r="AC4428" s="1066"/>
      <c r="AD4428" s="1066"/>
      <c r="AE4428" s="1066"/>
      <c r="AF4428" s="1066"/>
      <c r="AG4428" s="1066"/>
      <c r="AH4428" s="1066"/>
      <c r="AI4428" s="1066"/>
      <c r="AJ4428" s="1066"/>
      <c r="AK4428" s="1066"/>
      <c r="AL4428" s="1066"/>
      <c r="AM4428" s="1066"/>
      <c r="AN4428" s="1066"/>
      <c r="AO4428" s="1066"/>
      <c r="AP4428" s="1066"/>
      <c r="AQ4428" s="1066"/>
      <c r="AR4428" s="1066"/>
      <c r="AS4428" s="1066"/>
      <c r="AT4428" s="1066"/>
      <c r="AU4428" s="1066"/>
      <c r="AV4428" s="1066"/>
      <c r="AW4428" s="1066"/>
      <c r="AX4428" s="1066"/>
      <c r="AY4428" s="1066"/>
      <c r="AZ4428" s="1066"/>
      <c r="BA4428" s="1066"/>
      <c r="BB4428" s="1066"/>
      <c r="BC4428" s="1066"/>
      <c r="BD4428" s="1066"/>
      <c r="BE4428" s="1066"/>
      <c r="BF4428" s="1066"/>
      <c r="BG4428" s="1066"/>
      <c r="BH4428" s="1066"/>
      <c r="BI4428" s="1066"/>
      <c r="BJ4428" s="1066"/>
      <c r="BK4428" s="1066"/>
      <c r="BL4428" s="1066"/>
    </row>
    <row r="4429" spans="1:64">
      <c r="A4429" s="1794"/>
      <c r="B4429" s="1794"/>
      <c r="C4429" s="1807" t="str">
        <f>Input!$C$48</f>
        <v>Overheads &amp; Contractors Profit @ 13.615%</v>
      </c>
      <c r="D4429" s="1385">
        <f>Input!$D$48</f>
        <v>0.13614999999999999</v>
      </c>
      <c r="E4429" s="1208"/>
      <c r="F4429" s="1209">
        <f>I4428</f>
        <v>628.51492000000007</v>
      </c>
      <c r="G4429" s="1210"/>
      <c r="H4429" s="1208"/>
      <c r="I4429" s="1211">
        <f>IF(G4429="",D4429*F4429,(D4429*F4429/G4429))</f>
        <v>85.572306358000006</v>
      </c>
      <c r="J4429" s="1022"/>
      <c r="K4429" s="1022"/>
      <c r="L4429" s="1022"/>
      <c r="M4429" s="1066"/>
      <c r="N4429" s="1066"/>
      <c r="O4429" s="1066"/>
      <c r="P4429" s="1066"/>
      <c r="Q4429" s="1066"/>
      <c r="R4429" s="1066"/>
      <c r="S4429" s="1066"/>
      <c r="T4429" s="1066"/>
      <c r="U4429" s="1066"/>
      <c r="V4429" s="1066"/>
      <c r="W4429" s="1066"/>
      <c r="X4429" s="1066"/>
      <c r="Y4429" s="1066"/>
      <c r="Z4429" s="1066"/>
      <c r="AA4429" s="1066"/>
      <c r="AB4429" s="1066"/>
      <c r="AC4429" s="1066"/>
      <c r="AD4429" s="1066"/>
      <c r="AE4429" s="1066"/>
      <c r="AF4429" s="1066"/>
      <c r="AG4429" s="1066"/>
      <c r="AH4429" s="1066"/>
      <c r="AI4429" s="1066"/>
      <c r="AJ4429" s="1066"/>
      <c r="AK4429" s="1066"/>
      <c r="AL4429" s="1066"/>
      <c r="AM4429" s="1066"/>
      <c r="AN4429" s="1066"/>
      <c r="AO4429" s="1066"/>
      <c r="AP4429" s="1066"/>
      <c r="AQ4429" s="1066"/>
      <c r="AR4429" s="1066"/>
      <c r="AS4429" s="1066"/>
      <c r="AT4429" s="1066"/>
      <c r="AU4429" s="1066"/>
      <c r="AV4429" s="1066"/>
      <c r="AW4429" s="1066"/>
      <c r="AX4429" s="1066"/>
      <c r="AY4429" s="1066"/>
      <c r="AZ4429" s="1066"/>
      <c r="BA4429" s="1066"/>
      <c r="BB4429" s="1066"/>
      <c r="BC4429" s="1066"/>
      <c r="BD4429" s="1066"/>
      <c r="BE4429" s="1066"/>
      <c r="BF4429" s="1066"/>
      <c r="BG4429" s="1066"/>
      <c r="BH4429" s="1066"/>
      <c r="BI4429" s="1066"/>
      <c r="BJ4429" s="1066"/>
      <c r="BK4429" s="1066"/>
      <c r="BL4429" s="1066"/>
    </row>
    <row r="4430" spans="1:64">
      <c r="A4430" s="1797"/>
      <c r="B4430" s="1797"/>
      <c r="C4430" s="1796" t="s">
        <v>1045</v>
      </c>
      <c r="D4430" s="1214"/>
      <c r="E4430" s="1215"/>
      <c r="F4430" s="1216"/>
      <c r="G4430" s="1217"/>
      <c r="H4430" s="1215"/>
      <c r="I4430" s="1216">
        <f>SUM(I4428:I4429)</f>
        <v>714.08722635800007</v>
      </c>
      <c r="J4430" s="996"/>
      <c r="K4430" s="996"/>
      <c r="L4430" s="996"/>
      <c r="M4430" s="997"/>
      <c r="N4430" s="997"/>
      <c r="O4430" s="997"/>
      <c r="P4430" s="997"/>
      <c r="Q4430" s="997"/>
      <c r="R4430" s="997"/>
      <c r="S4430" s="997"/>
      <c r="T4430" s="997"/>
      <c r="U4430" s="997"/>
      <c r="V4430" s="997"/>
      <c r="W4430" s="997"/>
      <c r="X4430" s="997"/>
      <c r="Y4430" s="997"/>
      <c r="Z4430" s="997"/>
      <c r="AA4430" s="997"/>
      <c r="AB4430" s="997"/>
      <c r="AC4430" s="997"/>
      <c r="AD4430" s="997"/>
      <c r="AE4430" s="997"/>
      <c r="AF4430" s="997"/>
      <c r="AG4430" s="997"/>
      <c r="AH4430" s="997"/>
      <c r="AI4430" s="997"/>
      <c r="AJ4430" s="997"/>
      <c r="AK4430" s="997"/>
      <c r="AL4430" s="997"/>
      <c r="AM4430" s="997"/>
      <c r="AN4430" s="997"/>
      <c r="AO4430" s="997"/>
      <c r="AP4430" s="997"/>
      <c r="AQ4430" s="997"/>
      <c r="AR4430" s="997"/>
      <c r="AS4430" s="997"/>
      <c r="AT4430" s="997"/>
      <c r="AU4430" s="997"/>
      <c r="AV4430" s="997"/>
      <c r="AW4430" s="997"/>
      <c r="AX4430" s="997"/>
      <c r="AY4430" s="997"/>
      <c r="AZ4430" s="997"/>
      <c r="BA4430" s="997"/>
      <c r="BB4430" s="997"/>
      <c r="BC4430" s="997"/>
      <c r="BD4430" s="997"/>
      <c r="BE4430" s="997"/>
      <c r="BF4430" s="997"/>
      <c r="BG4430" s="997"/>
      <c r="BH4430" s="997"/>
      <c r="BI4430" s="997"/>
      <c r="BJ4430" s="997"/>
      <c r="BK4430" s="997"/>
      <c r="BL4430" s="997"/>
    </row>
    <row r="4431" spans="1:64">
      <c r="A4431" s="1797"/>
      <c r="B4431" s="1797"/>
      <c r="C4431" s="1815"/>
      <c r="D4431" s="1214"/>
      <c r="E4431" s="1215"/>
      <c r="F4431" s="1216"/>
      <c r="G4431" s="1217"/>
      <c r="H4431" s="1384" t="s">
        <v>1065</v>
      </c>
      <c r="I4431" s="1285">
        <f>ROUND(I4430,0)</f>
        <v>714</v>
      </c>
      <c r="J4431" s="996"/>
      <c r="K4431" s="996"/>
      <c r="L4431" s="996"/>
      <c r="M4431" s="997"/>
      <c r="N4431" s="997"/>
      <c r="O4431" s="997"/>
      <c r="P4431" s="997"/>
      <c r="Q4431" s="997"/>
      <c r="R4431" s="997"/>
      <c r="S4431" s="997"/>
      <c r="T4431" s="997"/>
      <c r="U4431" s="997"/>
      <c r="V4431" s="997"/>
      <c r="W4431" s="997"/>
      <c r="X4431" s="997"/>
      <c r="Y4431" s="997"/>
      <c r="Z4431" s="997"/>
      <c r="AA4431" s="997"/>
      <c r="AB4431" s="997"/>
      <c r="AC4431" s="997"/>
      <c r="AD4431" s="997"/>
      <c r="AE4431" s="997"/>
      <c r="AF4431" s="997"/>
      <c r="AG4431" s="997"/>
      <c r="AH4431" s="997"/>
      <c r="AI4431" s="997"/>
      <c r="AJ4431" s="997"/>
      <c r="AK4431" s="997"/>
      <c r="AL4431" s="997"/>
      <c r="AM4431" s="997"/>
      <c r="AN4431" s="997"/>
      <c r="AO4431" s="997"/>
      <c r="AP4431" s="997"/>
      <c r="AQ4431" s="997"/>
      <c r="AR4431" s="997"/>
      <c r="AS4431" s="997"/>
      <c r="AT4431" s="997"/>
      <c r="AU4431" s="997"/>
      <c r="AV4431" s="997"/>
      <c r="AW4431" s="997"/>
      <c r="AX4431" s="997"/>
      <c r="AY4431" s="997"/>
      <c r="AZ4431" s="997"/>
      <c r="BA4431" s="997"/>
      <c r="BB4431" s="997"/>
      <c r="BC4431" s="997"/>
      <c r="BD4431" s="997"/>
      <c r="BE4431" s="997"/>
      <c r="BF4431" s="997"/>
      <c r="BG4431" s="997"/>
      <c r="BH4431" s="997"/>
      <c r="BI4431" s="997"/>
      <c r="BJ4431" s="997"/>
      <c r="BK4431" s="997"/>
      <c r="BL4431" s="997"/>
    </row>
    <row r="4432" spans="1:64">
      <c r="A4432" s="1798"/>
      <c r="B4432" s="1200"/>
      <c r="C4432" s="1807"/>
      <c r="D4432" s="1203"/>
      <c r="E4432" s="1199"/>
      <c r="F4432" s="1201"/>
      <c r="G4432" s="1204"/>
      <c r="H4432" s="1379"/>
      <c r="I4432" s="1205"/>
      <c r="J4432" s="1846"/>
      <c r="K4432" s="1846"/>
      <c r="L4432" s="1846"/>
    </row>
    <row r="4433" spans="1:64" ht="57.4" customHeight="1">
      <c r="A4433" s="2013">
        <f>1+A4407</f>
        <v>71</v>
      </c>
      <c r="B4433" s="2013"/>
      <c r="C4433" s="2006" t="s">
        <v>3478</v>
      </c>
      <c r="D4433" s="2006"/>
      <c r="E4433" s="2006"/>
      <c r="F4433" s="2006"/>
      <c r="G4433" s="2006"/>
      <c r="H4433" s="2006"/>
      <c r="I4433" s="1814"/>
      <c r="J4433" s="1846"/>
      <c r="K4433" s="1846"/>
      <c r="L4433" s="1846"/>
    </row>
    <row r="4434" spans="1:64">
      <c r="A4434" s="1794"/>
      <c r="B4434" s="1794"/>
      <c r="C4434" s="1208" t="s">
        <v>1663</v>
      </c>
      <c r="D4434" s="1316">
        <v>5.03</v>
      </c>
      <c r="E4434" s="1308" t="s">
        <v>1110</v>
      </c>
      <c r="F4434" s="1211">
        <f>'Civil-SOR'!$G$46</f>
        <v>75</v>
      </c>
      <c r="G4434" s="1308">
        <v>1</v>
      </c>
      <c r="H4434" s="1290" t="str">
        <f t="shared" ref="H4434:H4435" si="971">IF(E4434="","",IF(E4434="No.","Each",IF(E4434="Nos.","Each",E4434)))</f>
        <v>Kgs</v>
      </c>
      <c r="I4434" s="1211">
        <f t="shared" ref="I4434:I4437" si="972">IF(G4434="",D4434*F4434,(D4434*F4434/G4434))</f>
        <v>377.25</v>
      </c>
      <c r="J4434" s="1022"/>
      <c r="K4434" s="1022"/>
      <c r="L4434" s="1022"/>
      <c r="M4434" s="1066"/>
      <c r="N4434" s="1066"/>
      <c r="O4434" s="1066"/>
      <c r="P4434" s="1066"/>
      <c r="Q4434" s="1066"/>
      <c r="R4434" s="1066"/>
      <c r="S4434" s="1066"/>
      <c r="T4434" s="1066"/>
      <c r="U4434" s="1066"/>
      <c r="V4434" s="1066"/>
      <c r="W4434" s="1066"/>
      <c r="X4434" s="1066"/>
      <c r="Y4434" s="1066"/>
      <c r="Z4434" s="1066"/>
      <c r="AA4434" s="1066"/>
      <c r="AB4434" s="1066"/>
      <c r="AC4434" s="1066"/>
      <c r="AD4434" s="1066"/>
      <c r="AE4434" s="1066"/>
      <c r="AF4434" s="1066"/>
      <c r="AG4434" s="1066"/>
      <c r="AH4434" s="1066"/>
      <c r="AI4434" s="1066"/>
      <c r="AJ4434" s="1066"/>
      <c r="AK4434" s="1066"/>
      <c r="AL4434" s="1066"/>
      <c r="AM4434" s="1066"/>
      <c r="AN4434" s="1066"/>
      <c r="AO4434" s="1066"/>
      <c r="AP4434" s="1066"/>
      <c r="AQ4434" s="1066"/>
      <c r="AR4434" s="1066"/>
      <c r="AS4434" s="1066"/>
      <c r="AT4434" s="1066"/>
      <c r="AU4434" s="1066"/>
      <c r="AV4434" s="1066"/>
      <c r="AW4434" s="1066"/>
      <c r="AX4434" s="1066"/>
      <c r="AY4434" s="1066"/>
      <c r="AZ4434" s="1066"/>
      <c r="BA4434" s="1066"/>
      <c r="BB4434" s="1066"/>
      <c r="BC4434" s="1066"/>
      <c r="BD4434" s="1066"/>
      <c r="BE4434" s="1066"/>
      <c r="BF4434" s="1066"/>
      <c r="BG4434" s="1066"/>
      <c r="BH4434" s="1066"/>
      <c r="BI4434" s="1066"/>
      <c r="BJ4434" s="1066"/>
      <c r="BK4434" s="1066"/>
      <c r="BL4434" s="1066"/>
    </row>
    <row r="4435" spans="1:64" ht="25.5">
      <c r="A4435" s="1794"/>
      <c r="B4435" s="1794"/>
      <c r="C4435" s="1208" t="s">
        <v>1664</v>
      </c>
      <c r="D4435" s="1316">
        <f t="shared" ref="D4435:D4436" si="973">D4434</f>
        <v>5.03</v>
      </c>
      <c r="E4435" s="1308" t="s">
        <v>1110</v>
      </c>
      <c r="F4435" s="1211">
        <f>'Civil-SOR'!$G$202</f>
        <v>37</v>
      </c>
      <c r="G4435" s="1308">
        <v>1</v>
      </c>
      <c r="H4435" s="1290" t="str">
        <f t="shared" si="971"/>
        <v>Kgs</v>
      </c>
      <c r="I4435" s="1211">
        <f t="shared" si="972"/>
        <v>186.11</v>
      </c>
      <c r="J4435" s="1022"/>
      <c r="K4435" s="1022"/>
      <c r="L4435" s="1022"/>
      <c r="M4435" s="1066"/>
      <c r="N4435" s="1066"/>
      <c r="O4435" s="1066"/>
      <c r="P4435" s="1066"/>
      <c r="Q4435" s="1066"/>
      <c r="R4435" s="1066"/>
      <c r="S4435" s="1066"/>
      <c r="T4435" s="1066"/>
      <c r="U4435" s="1066"/>
      <c r="V4435" s="1066"/>
      <c r="W4435" s="1066"/>
      <c r="X4435" s="1066"/>
      <c r="Y4435" s="1066"/>
      <c r="Z4435" s="1066"/>
      <c r="AA4435" s="1066"/>
      <c r="AB4435" s="1066"/>
      <c r="AC4435" s="1066"/>
      <c r="AD4435" s="1066"/>
      <c r="AE4435" s="1066"/>
      <c r="AF4435" s="1066"/>
      <c r="AG4435" s="1066"/>
      <c r="AH4435" s="1066"/>
      <c r="AI4435" s="1066"/>
      <c r="AJ4435" s="1066"/>
      <c r="AK4435" s="1066"/>
      <c r="AL4435" s="1066"/>
      <c r="AM4435" s="1066"/>
      <c r="AN4435" s="1066"/>
      <c r="AO4435" s="1066"/>
      <c r="AP4435" s="1066"/>
      <c r="AQ4435" s="1066"/>
      <c r="AR4435" s="1066"/>
      <c r="AS4435" s="1066"/>
      <c r="AT4435" s="1066"/>
      <c r="AU4435" s="1066"/>
      <c r="AV4435" s="1066"/>
      <c r="AW4435" s="1066"/>
      <c r="AX4435" s="1066"/>
      <c r="AY4435" s="1066"/>
      <c r="AZ4435" s="1066"/>
      <c r="BA4435" s="1066"/>
      <c r="BB4435" s="1066"/>
      <c r="BC4435" s="1066"/>
      <c r="BD4435" s="1066"/>
      <c r="BE4435" s="1066"/>
      <c r="BF4435" s="1066"/>
      <c r="BG4435" s="1066"/>
      <c r="BH4435" s="1066"/>
      <c r="BI4435" s="1066"/>
      <c r="BJ4435" s="1066"/>
      <c r="BK4435" s="1066"/>
      <c r="BL4435" s="1066"/>
    </row>
    <row r="4436" spans="1:64">
      <c r="A4436" s="1794"/>
      <c r="B4436" s="1794"/>
      <c r="C4436" s="1208" t="s">
        <v>1665</v>
      </c>
      <c r="D4436" s="1316">
        <f t="shared" si="973"/>
        <v>5.03</v>
      </c>
      <c r="E4436" s="1308" t="s">
        <v>1110</v>
      </c>
      <c r="F4436" s="1211">
        <f>'Civil-SOR'!$G$203</f>
        <v>6</v>
      </c>
      <c r="G4436" s="1308"/>
      <c r="H4436" s="1308" t="s">
        <v>1110</v>
      </c>
      <c r="I4436" s="1211">
        <f t="shared" si="972"/>
        <v>30.18</v>
      </c>
      <c r="J4436" s="1022"/>
      <c r="K4436" s="1022"/>
      <c r="L4436" s="1022"/>
      <c r="M4436" s="1066"/>
      <c r="N4436" s="1066"/>
      <c r="O4436" s="1066"/>
      <c r="P4436" s="1066"/>
      <c r="Q4436" s="1066"/>
      <c r="R4436" s="1066"/>
      <c r="S4436" s="1066"/>
      <c r="T4436" s="1066"/>
      <c r="U4436" s="1066"/>
      <c r="V4436" s="1066"/>
      <c r="W4436" s="1066"/>
      <c r="X4436" s="1066"/>
      <c r="Y4436" s="1066"/>
      <c r="Z4436" s="1066"/>
      <c r="AA4436" s="1066"/>
      <c r="AB4436" s="1066"/>
      <c r="AC4436" s="1066"/>
      <c r="AD4436" s="1066"/>
      <c r="AE4436" s="1066"/>
      <c r="AF4436" s="1066"/>
      <c r="AG4436" s="1066"/>
      <c r="AH4436" s="1066"/>
      <c r="AI4436" s="1066"/>
      <c r="AJ4436" s="1066"/>
      <c r="AK4436" s="1066"/>
      <c r="AL4436" s="1066"/>
      <c r="AM4436" s="1066"/>
      <c r="AN4436" s="1066"/>
      <c r="AO4436" s="1066"/>
      <c r="AP4436" s="1066"/>
      <c r="AQ4436" s="1066"/>
      <c r="AR4436" s="1066"/>
      <c r="AS4436" s="1066"/>
      <c r="AT4436" s="1066"/>
      <c r="AU4436" s="1066"/>
      <c r="AV4436" s="1066"/>
      <c r="AW4436" s="1066"/>
      <c r="AX4436" s="1066"/>
      <c r="AY4436" s="1066"/>
      <c r="AZ4436" s="1066"/>
      <c r="BA4436" s="1066"/>
      <c r="BB4436" s="1066"/>
      <c r="BC4436" s="1066"/>
      <c r="BD4436" s="1066"/>
      <c r="BE4436" s="1066"/>
      <c r="BF4436" s="1066"/>
      <c r="BG4436" s="1066"/>
      <c r="BH4436" s="1066"/>
      <c r="BI4436" s="1066"/>
      <c r="BJ4436" s="1066"/>
      <c r="BK4436" s="1066"/>
      <c r="BL4436" s="1066"/>
    </row>
    <row r="4437" spans="1:64">
      <c r="A4437" s="1794"/>
      <c r="B4437" s="1794"/>
      <c r="C4437" s="1807" t="str">
        <f>Input!$C$47</f>
        <v>Add for MA @ 40%</v>
      </c>
      <c r="D4437" s="1212">
        <f>Input!$D$47</f>
        <v>0.4</v>
      </c>
      <c r="E4437" s="1308"/>
      <c r="F4437" s="1211">
        <f>I4435*40%+I4436</f>
        <v>104.624</v>
      </c>
      <c r="G4437" s="1208"/>
      <c r="H4437" s="1813"/>
      <c r="I4437" s="1211">
        <f t="shared" si="972"/>
        <v>41.849600000000002</v>
      </c>
      <c r="J4437" s="1022"/>
      <c r="K4437" s="1022"/>
      <c r="L4437" s="1022"/>
      <c r="M4437" s="1066"/>
      <c r="N4437" s="1066"/>
      <c r="O4437" s="1066"/>
      <c r="P4437" s="1066"/>
      <c r="Q4437" s="1066"/>
      <c r="R4437" s="1066"/>
      <c r="S4437" s="1066"/>
      <c r="T4437" s="1066"/>
      <c r="U4437" s="1066"/>
      <c r="V4437" s="1066"/>
      <c r="W4437" s="1066"/>
      <c r="X4437" s="1066"/>
      <c r="Y4437" s="1066"/>
      <c r="Z4437" s="1066"/>
      <c r="AA4437" s="1066"/>
      <c r="AB4437" s="1066"/>
      <c r="AC4437" s="1066"/>
      <c r="AD4437" s="1066"/>
      <c r="AE4437" s="1066"/>
      <c r="AF4437" s="1066"/>
      <c r="AG4437" s="1066"/>
      <c r="AH4437" s="1066"/>
      <c r="AI4437" s="1066"/>
      <c r="AJ4437" s="1066"/>
      <c r="AK4437" s="1066"/>
      <c r="AL4437" s="1066"/>
      <c r="AM4437" s="1066"/>
      <c r="AN4437" s="1066"/>
      <c r="AO4437" s="1066"/>
      <c r="AP4437" s="1066"/>
      <c r="AQ4437" s="1066"/>
      <c r="AR4437" s="1066"/>
      <c r="AS4437" s="1066"/>
      <c r="AT4437" s="1066"/>
      <c r="AU4437" s="1066"/>
      <c r="AV4437" s="1066"/>
      <c r="AW4437" s="1066"/>
      <c r="AX4437" s="1066"/>
      <c r="AY4437" s="1066"/>
      <c r="AZ4437" s="1066"/>
      <c r="BA4437" s="1066"/>
      <c r="BB4437" s="1066"/>
      <c r="BC4437" s="1066"/>
      <c r="BD4437" s="1066"/>
      <c r="BE4437" s="1066"/>
      <c r="BF4437" s="1066"/>
      <c r="BG4437" s="1066"/>
      <c r="BH4437" s="1066"/>
      <c r="BI4437" s="1066"/>
      <c r="BJ4437" s="1066"/>
      <c r="BK4437" s="1066"/>
      <c r="BL4437" s="1066"/>
    </row>
    <row r="4438" spans="1:64">
      <c r="A4438" s="1794"/>
      <c r="B4438" s="1794"/>
      <c r="C4438" s="1294" t="s">
        <v>1288</v>
      </c>
      <c r="D4438" s="1316"/>
      <c r="E4438" s="1390"/>
      <c r="F4438" s="1206"/>
      <c r="G4438" s="1308"/>
      <c r="H4438" s="1391"/>
      <c r="I4438" s="1307">
        <f>SUM(I4434:I4437)</f>
        <v>635.38959999999997</v>
      </c>
      <c r="J4438" s="1022"/>
      <c r="K4438" s="1022"/>
      <c r="L4438" s="1022"/>
      <c r="M4438" s="1066"/>
      <c r="N4438" s="1066"/>
      <c r="O4438" s="1066"/>
      <c r="P4438" s="1066"/>
      <c r="Q4438" s="1066"/>
      <c r="R4438" s="1066"/>
      <c r="S4438" s="1066"/>
      <c r="T4438" s="1066"/>
      <c r="U4438" s="1066"/>
      <c r="V4438" s="1066"/>
      <c r="W4438" s="1066"/>
      <c r="X4438" s="1066"/>
      <c r="Y4438" s="1066"/>
      <c r="Z4438" s="1066"/>
      <c r="AA4438" s="1066"/>
      <c r="AB4438" s="1066"/>
      <c r="AC4438" s="1066"/>
      <c r="AD4438" s="1066"/>
      <c r="AE4438" s="1066"/>
      <c r="AF4438" s="1066"/>
      <c r="AG4438" s="1066"/>
      <c r="AH4438" s="1066"/>
      <c r="AI4438" s="1066"/>
      <c r="AJ4438" s="1066"/>
      <c r="AK4438" s="1066"/>
      <c r="AL4438" s="1066"/>
      <c r="AM4438" s="1066"/>
      <c r="AN4438" s="1066"/>
      <c r="AO4438" s="1066"/>
      <c r="AP4438" s="1066"/>
      <c r="AQ4438" s="1066"/>
      <c r="AR4438" s="1066"/>
      <c r="AS4438" s="1066"/>
      <c r="AT4438" s="1066"/>
      <c r="AU4438" s="1066"/>
      <c r="AV4438" s="1066"/>
      <c r="AW4438" s="1066"/>
      <c r="AX4438" s="1066"/>
      <c r="AY4438" s="1066"/>
      <c r="AZ4438" s="1066"/>
      <c r="BA4438" s="1066"/>
      <c r="BB4438" s="1066"/>
      <c r="BC4438" s="1066"/>
      <c r="BD4438" s="1066"/>
      <c r="BE4438" s="1066"/>
      <c r="BF4438" s="1066"/>
      <c r="BG4438" s="1066"/>
      <c r="BH4438" s="1066"/>
      <c r="BI4438" s="1066"/>
      <c r="BJ4438" s="1066"/>
      <c r="BK4438" s="1066"/>
      <c r="BL4438" s="1066"/>
    </row>
    <row r="4439" spans="1:64">
      <c r="A4439" s="1794"/>
      <c r="B4439" s="1794"/>
      <c r="C4439" s="1208" t="str">
        <f>Input!$C$48</f>
        <v>Overheads &amp; Contractors Profit @ 13.615%</v>
      </c>
      <c r="D4439" s="1392">
        <f>Input!$D$48</f>
        <v>0.13614999999999999</v>
      </c>
      <c r="E4439" s="1390"/>
      <c r="F4439" s="1211">
        <f>I4438</f>
        <v>635.38959999999997</v>
      </c>
      <c r="G4439" s="1308"/>
      <c r="H4439" s="1391"/>
      <c r="I4439" s="1211">
        <f>IF(G4439="",D4439*F4439,(D4439*F4439/G4439))</f>
        <v>86.508294039999996</v>
      </c>
      <c r="J4439" s="1022"/>
      <c r="K4439" s="1022"/>
      <c r="L4439" s="1022"/>
      <c r="M4439" s="1066"/>
      <c r="N4439" s="1066"/>
      <c r="O4439" s="1066"/>
      <c r="P4439" s="1066"/>
      <c r="Q4439" s="1066"/>
      <c r="R4439" s="1066"/>
      <c r="S4439" s="1066"/>
      <c r="T4439" s="1066"/>
      <c r="U4439" s="1066"/>
      <c r="V4439" s="1066"/>
      <c r="W4439" s="1066"/>
      <c r="X4439" s="1066"/>
      <c r="Y4439" s="1066"/>
      <c r="Z4439" s="1066"/>
      <c r="AA4439" s="1066"/>
      <c r="AB4439" s="1066"/>
      <c r="AC4439" s="1066"/>
      <c r="AD4439" s="1066"/>
      <c r="AE4439" s="1066"/>
      <c r="AF4439" s="1066"/>
      <c r="AG4439" s="1066"/>
      <c r="AH4439" s="1066"/>
      <c r="AI4439" s="1066"/>
      <c r="AJ4439" s="1066"/>
      <c r="AK4439" s="1066"/>
      <c r="AL4439" s="1066"/>
      <c r="AM4439" s="1066"/>
      <c r="AN4439" s="1066"/>
      <c r="AO4439" s="1066"/>
      <c r="AP4439" s="1066"/>
      <c r="AQ4439" s="1066"/>
      <c r="AR4439" s="1066"/>
      <c r="AS4439" s="1066"/>
      <c r="AT4439" s="1066"/>
      <c r="AU4439" s="1066"/>
      <c r="AV4439" s="1066"/>
      <c r="AW4439" s="1066"/>
      <c r="AX4439" s="1066"/>
      <c r="AY4439" s="1066"/>
      <c r="AZ4439" s="1066"/>
      <c r="BA4439" s="1066"/>
      <c r="BB4439" s="1066"/>
      <c r="BC4439" s="1066"/>
      <c r="BD4439" s="1066"/>
      <c r="BE4439" s="1066"/>
      <c r="BF4439" s="1066"/>
      <c r="BG4439" s="1066"/>
      <c r="BH4439" s="1066"/>
      <c r="BI4439" s="1066"/>
      <c r="BJ4439" s="1066"/>
      <c r="BK4439" s="1066"/>
      <c r="BL4439" s="1066"/>
    </row>
    <row r="4440" spans="1:64">
      <c r="A4440" s="1798"/>
      <c r="B4440" s="1200"/>
      <c r="C4440" s="1198"/>
      <c r="D4440" s="1333"/>
      <c r="E4440" s="1393"/>
      <c r="F4440" s="1339"/>
      <c r="G4440" s="1394"/>
      <c r="H4440" s="1810"/>
      <c r="I4440" s="1219">
        <f>SUM(I4438:I4439)</f>
        <v>721.89789403999998</v>
      </c>
      <c r="J4440" s="1846"/>
      <c r="K4440" s="1846"/>
      <c r="L4440" s="1846"/>
    </row>
    <row r="4441" spans="1:64">
      <c r="A4441" s="1797"/>
      <c r="B4441" s="1797"/>
      <c r="C4441" s="1215"/>
      <c r="D4441" s="1364"/>
      <c r="E4441" s="1349"/>
      <c r="F4441" s="1802"/>
      <c r="G4441" s="1348"/>
      <c r="H4441" s="1799" t="s">
        <v>1065</v>
      </c>
      <c r="I4441" s="1218">
        <f>ROUND(I4440,0)</f>
        <v>722</v>
      </c>
      <c r="J4441" s="996"/>
      <c r="K4441" s="996"/>
      <c r="L4441" s="996"/>
      <c r="M4441" s="997"/>
      <c r="N4441" s="997"/>
      <c r="O4441" s="997"/>
      <c r="P4441" s="997"/>
      <c r="Q4441" s="997"/>
      <c r="R4441" s="997"/>
      <c r="S4441" s="997"/>
      <c r="T4441" s="997"/>
      <c r="U4441" s="997"/>
      <c r="V4441" s="997"/>
      <c r="W4441" s="997"/>
      <c r="X4441" s="997"/>
      <c r="Y4441" s="997"/>
      <c r="Z4441" s="997"/>
      <c r="AA4441" s="997"/>
      <c r="AB4441" s="997"/>
      <c r="AC4441" s="997"/>
      <c r="AD4441" s="997"/>
      <c r="AE4441" s="997"/>
      <c r="AF4441" s="997"/>
      <c r="AG4441" s="997"/>
      <c r="AH4441" s="997"/>
      <c r="AI4441" s="997"/>
      <c r="AJ4441" s="997"/>
      <c r="AK4441" s="997"/>
      <c r="AL4441" s="997"/>
      <c r="AM4441" s="997"/>
      <c r="AN4441" s="997"/>
      <c r="AO4441" s="997"/>
      <c r="AP4441" s="997"/>
      <c r="AQ4441" s="997"/>
      <c r="AR4441" s="997"/>
      <c r="AS4441" s="997"/>
      <c r="AT4441" s="997"/>
      <c r="AU4441" s="997"/>
      <c r="AV4441" s="997"/>
      <c r="AW4441" s="997"/>
      <c r="AX4441" s="997"/>
      <c r="AY4441" s="997"/>
      <c r="AZ4441" s="997"/>
      <c r="BA4441" s="997"/>
      <c r="BB4441" s="997"/>
      <c r="BC4441" s="997"/>
      <c r="BD4441" s="997"/>
      <c r="BE4441" s="997"/>
      <c r="BF4441" s="997"/>
      <c r="BG4441" s="997"/>
      <c r="BH4441" s="997"/>
      <c r="BI4441" s="997"/>
      <c r="BJ4441" s="997"/>
      <c r="BK4441" s="997"/>
      <c r="BL4441" s="997"/>
    </row>
    <row r="4442" spans="1:64">
      <c r="A4442" s="1798"/>
      <c r="B4442" s="1200"/>
      <c r="C4442" s="1807"/>
      <c r="D4442" s="1203"/>
      <c r="E4442" s="1199"/>
      <c r="F4442" s="1201"/>
      <c r="G4442" s="1204"/>
      <c r="H4442" s="1379"/>
      <c r="I4442" s="1205"/>
      <c r="J4442" s="1846"/>
      <c r="K4442" s="1846"/>
      <c r="L4442" s="1846"/>
    </row>
    <row r="4443" spans="1:64" ht="58.9" customHeight="1">
      <c r="A4443" s="2013">
        <f>A4433+1</f>
        <v>72</v>
      </c>
      <c r="B4443" s="2013"/>
      <c r="C4443" s="2006" t="s">
        <v>3479</v>
      </c>
      <c r="D4443" s="2006"/>
      <c r="E4443" s="2006"/>
      <c r="F4443" s="2006"/>
      <c r="G4443" s="2006"/>
      <c r="H4443" s="2006"/>
      <c r="I4443" s="1814"/>
      <c r="J4443" s="1846"/>
      <c r="K4443" s="1846"/>
      <c r="L4443" s="1846"/>
    </row>
    <row r="4444" spans="1:64">
      <c r="A4444" s="1199"/>
      <c r="B4444" s="1199"/>
      <c r="C4444" s="1198" t="s">
        <v>1364</v>
      </c>
      <c r="D4444" s="1199"/>
      <c r="E4444" s="1199"/>
      <c r="F4444" s="1200"/>
      <c r="G4444" s="1199"/>
      <c r="H4444" s="1199"/>
      <c r="I4444" s="1201"/>
      <c r="J4444" s="1846"/>
      <c r="K4444" s="1846"/>
      <c r="L4444" s="1846"/>
    </row>
    <row r="4445" spans="1:64">
      <c r="A4445" s="1199"/>
      <c r="B4445" s="1199"/>
      <c r="C4445" s="1198" t="s">
        <v>1395</v>
      </c>
      <c r="D4445" s="1199"/>
      <c r="E4445" s="1199"/>
      <c r="F4445" s="1200"/>
      <c r="G4445" s="1199"/>
      <c r="H4445" s="1199"/>
      <c r="I4445" s="1201"/>
      <c r="J4445" s="1846"/>
      <c r="K4445" s="1846"/>
      <c r="L4445" s="1846"/>
    </row>
    <row r="4446" spans="1:64" ht="25.5">
      <c r="A4446" s="1208"/>
      <c r="B4446" s="1208"/>
      <c r="C4446" s="1208" t="s">
        <v>1666</v>
      </c>
      <c r="D4446" s="1208">
        <v>103.09</v>
      </c>
      <c r="E4446" s="1208" t="s">
        <v>1110</v>
      </c>
      <c r="F4446" s="1209">
        <f>'Civil-SOR'!$G$35</f>
        <v>68</v>
      </c>
      <c r="G4446" s="1208">
        <v>1</v>
      </c>
      <c r="H4446" s="1208" t="s">
        <v>97</v>
      </c>
      <c r="I4446" s="1209">
        <f t="shared" ref="I4446:I4452" si="974">IF(G4446="",D4446*F4446,(D4446*F4446/G4446))</f>
        <v>7010.12</v>
      </c>
      <c r="J4446" s="1022"/>
      <c r="K4446" s="1022"/>
      <c r="L4446" s="1022"/>
      <c r="M4446" s="1066"/>
      <c r="N4446" s="1066"/>
      <c r="O4446" s="1066"/>
      <c r="P4446" s="1066"/>
      <c r="Q4446" s="1066"/>
      <c r="R4446" s="1066"/>
      <c r="S4446" s="1066"/>
      <c r="T4446" s="1066"/>
      <c r="U4446" s="1066"/>
      <c r="V4446" s="1066"/>
      <c r="W4446" s="1066"/>
      <c r="X4446" s="1066"/>
      <c r="Y4446" s="1066"/>
      <c r="Z4446" s="1066"/>
      <c r="AA4446" s="1066"/>
      <c r="AB4446" s="1066"/>
      <c r="AC4446" s="1066"/>
      <c r="AD4446" s="1066"/>
      <c r="AE4446" s="1066"/>
      <c r="AF4446" s="1066"/>
      <c r="AG4446" s="1066"/>
      <c r="AH4446" s="1066"/>
      <c r="AI4446" s="1066"/>
      <c r="AJ4446" s="1066"/>
      <c r="AK4446" s="1066"/>
      <c r="AL4446" s="1066"/>
      <c r="AM4446" s="1066"/>
      <c r="AN4446" s="1066"/>
      <c r="AO4446" s="1066"/>
      <c r="AP4446" s="1066"/>
      <c r="AQ4446" s="1066"/>
      <c r="AR4446" s="1066"/>
      <c r="AS4446" s="1066"/>
      <c r="AT4446" s="1066"/>
      <c r="AU4446" s="1066"/>
      <c r="AV4446" s="1066"/>
      <c r="AW4446" s="1066"/>
      <c r="AX4446" s="1066"/>
      <c r="AY4446" s="1066"/>
      <c r="AZ4446" s="1066"/>
      <c r="BA4446" s="1066"/>
      <c r="BB4446" s="1066"/>
      <c r="BC4446" s="1066"/>
      <c r="BD4446" s="1066"/>
      <c r="BE4446" s="1066"/>
      <c r="BF4446" s="1066"/>
      <c r="BG4446" s="1066"/>
      <c r="BH4446" s="1066"/>
      <c r="BI4446" s="1066"/>
      <c r="BJ4446" s="1066"/>
      <c r="BK4446" s="1066"/>
      <c r="BL4446" s="1066"/>
    </row>
    <row r="4447" spans="1:64" ht="25.5">
      <c r="A4447" s="1208"/>
      <c r="B4447" s="1208"/>
      <c r="C4447" s="1208" t="s">
        <v>1667</v>
      </c>
      <c r="D4447" s="1208">
        <v>47.91</v>
      </c>
      <c r="E4447" s="1208" t="s">
        <v>36</v>
      </c>
      <c r="F4447" s="1209">
        <f>'Civil-SOR'!$G$37</f>
        <v>8</v>
      </c>
      <c r="G4447" s="1208">
        <v>1</v>
      </c>
      <c r="H4447" s="1208" t="s">
        <v>39</v>
      </c>
      <c r="I4447" s="1209">
        <f t="shared" si="974"/>
        <v>383.28</v>
      </c>
      <c r="J4447" s="1022"/>
      <c r="K4447" s="1022"/>
      <c r="L4447" s="1022"/>
      <c r="M4447" s="1066"/>
      <c r="N4447" s="1066"/>
      <c r="O4447" s="1066"/>
      <c r="P4447" s="1066"/>
      <c r="Q4447" s="1066"/>
      <c r="R4447" s="1066"/>
      <c r="S4447" s="1066"/>
      <c r="T4447" s="1066"/>
      <c r="U4447" s="1066"/>
      <c r="V4447" s="1066"/>
      <c r="W4447" s="1066"/>
      <c r="X4447" s="1066"/>
      <c r="Y4447" s="1066"/>
      <c r="Z4447" s="1066"/>
      <c r="AA4447" s="1066"/>
      <c r="AB4447" s="1066"/>
      <c r="AC4447" s="1066"/>
      <c r="AD4447" s="1066"/>
      <c r="AE4447" s="1066"/>
      <c r="AF4447" s="1066"/>
      <c r="AG4447" s="1066"/>
      <c r="AH4447" s="1066"/>
      <c r="AI4447" s="1066"/>
      <c r="AJ4447" s="1066"/>
      <c r="AK4447" s="1066"/>
      <c r="AL4447" s="1066"/>
      <c r="AM4447" s="1066"/>
      <c r="AN4447" s="1066"/>
      <c r="AO4447" s="1066"/>
      <c r="AP4447" s="1066"/>
      <c r="AQ4447" s="1066"/>
      <c r="AR4447" s="1066"/>
      <c r="AS4447" s="1066"/>
      <c r="AT4447" s="1066"/>
      <c r="AU4447" s="1066"/>
      <c r="AV4447" s="1066"/>
      <c r="AW4447" s="1066"/>
      <c r="AX4447" s="1066"/>
      <c r="AY4447" s="1066"/>
      <c r="AZ4447" s="1066"/>
      <c r="BA4447" s="1066"/>
      <c r="BB4447" s="1066"/>
      <c r="BC4447" s="1066"/>
      <c r="BD4447" s="1066"/>
      <c r="BE4447" s="1066"/>
      <c r="BF4447" s="1066"/>
      <c r="BG4447" s="1066"/>
      <c r="BH4447" s="1066"/>
      <c r="BI4447" s="1066"/>
      <c r="BJ4447" s="1066"/>
      <c r="BK4447" s="1066"/>
      <c r="BL4447" s="1066"/>
    </row>
    <row r="4448" spans="1:64" ht="38.25">
      <c r="A4448" s="1208"/>
      <c r="B4448" s="1208"/>
      <c r="C4448" s="1208" t="s">
        <v>1668</v>
      </c>
      <c r="D4448" s="1208">
        <v>43.9</v>
      </c>
      <c r="E4448" s="1208" t="s">
        <v>36</v>
      </c>
      <c r="F4448" s="1209">
        <f>'Civil-SOR'!$G$38</f>
        <v>12</v>
      </c>
      <c r="G4448" s="1208">
        <v>1</v>
      </c>
      <c r="H4448" s="1208" t="s">
        <v>39</v>
      </c>
      <c r="I4448" s="1209">
        <f t="shared" si="974"/>
        <v>526.79999999999995</v>
      </c>
      <c r="J4448" s="1022"/>
      <c r="K4448" s="1022"/>
      <c r="L4448" s="1022"/>
      <c r="M4448" s="1066"/>
      <c r="N4448" s="1066"/>
      <c r="O4448" s="1066"/>
      <c r="P4448" s="1066"/>
      <c r="Q4448" s="1066"/>
      <c r="R4448" s="1066"/>
      <c r="S4448" s="1066"/>
      <c r="T4448" s="1066"/>
      <c r="U4448" s="1066"/>
      <c r="V4448" s="1066"/>
      <c r="W4448" s="1066"/>
      <c r="X4448" s="1066"/>
      <c r="Y4448" s="1066"/>
      <c r="Z4448" s="1066"/>
      <c r="AA4448" s="1066"/>
      <c r="AB4448" s="1066"/>
      <c r="AC4448" s="1066"/>
      <c r="AD4448" s="1066"/>
      <c r="AE4448" s="1066"/>
      <c r="AF4448" s="1066"/>
      <c r="AG4448" s="1066"/>
      <c r="AH4448" s="1066"/>
      <c r="AI4448" s="1066"/>
      <c r="AJ4448" s="1066"/>
      <c r="AK4448" s="1066"/>
      <c r="AL4448" s="1066"/>
      <c r="AM4448" s="1066"/>
      <c r="AN4448" s="1066"/>
      <c r="AO4448" s="1066"/>
      <c r="AP4448" s="1066"/>
      <c r="AQ4448" s="1066"/>
      <c r="AR4448" s="1066"/>
      <c r="AS4448" s="1066"/>
      <c r="AT4448" s="1066"/>
      <c r="AU4448" s="1066"/>
      <c r="AV4448" s="1066"/>
      <c r="AW4448" s="1066"/>
      <c r="AX4448" s="1066"/>
      <c r="AY4448" s="1066"/>
      <c r="AZ4448" s="1066"/>
      <c r="BA4448" s="1066"/>
      <c r="BB4448" s="1066"/>
      <c r="BC4448" s="1066"/>
      <c r="BD4448" s="1066"/>
      <c r="BE4448" s="1066"/>
      <c r="BF4448" s="1066"/>
      <c r="BG4448" s="1066"/>
      <c r="BH4448" s="1066"/>
      <c r="BI4448" s="1066"/>
      <c r="BJ4448" s="1066"/>
      <c r="BK4448" s="1066"/>
      <c r="BL4448" s="1066"/>
    </row>
    <row r="4449" spans="1:64" ht="25.5">
      <c r="A4449" s="1208"/>
      <c r="B4449" s="1208"/>
      <c r="C4449" s="1208" t="s">
        <v>1669</v>
      </c>
      <c r="D4449" s="1208">
        <v>91.82</v>
      </c>
      <c r="E4449" s="1208" t="s">
        <v>36</v>
      </c>
      <c r="F4449" s="1209">
        <f>'Civil-SOR'!$G$40</f>
        <v>4</v>
      </c>
      <c r="G4449" s="1208">
        <v>1</v>
      </c>
      <c r="H4449" s="1208" t="s">
        <v>39</v>
      </c>
      <c r="I4449" s="1209">
        <f t="shared" si="974"/>
        <v>367.28</v>
      </c>
      <c r="J4449" s="1022"/>
      <c r="K4449" s="1022"/>
      <c r="L4449" s="1022"/>
      <c r="M4449" s="1066"/>
      <c r="N4449" s="1066"/>
      <c r="O4449" s="1066"/>
      <c r="P4449" s="1066"/>
      <c r="Q4449" s="1066"/>
      <c r="R4449" s="1066"/>
      <c r="S4449" s="1066"/>
      <c r="T4449" s="1066"/>
      <c r="U4449" s="1066"/>
      <c r="V4449" s="1066"/>
      <c r="W4449" s="1066"/>
      <c r="X4449" s="1066"/>
      <c r="Y4449" s="1066"/>
      <c r="Z4449" s="1066"/>
      <c r="AA4449" s="1066"/>
      <c r="AB4449" s="1066"/>
      <c r="AC4449" s="1066"/>
      <c r="AD4449" s="1066"/>
      <c r="AE4449" s="1066"/>
      <c r="AF4449" s="1066"/>
      <c r="AG4449" s="1066"/>
      <c r="AH4449" s="1066"/>
      <c r="AI4449" s="1066"/>
      <c r="AJ4449" s="1066"/>
      <c r="AK4449" s="1066"/>
      <c r="AL4449" s="1066"/>
      <c r="AM4449" s="1066"/>
      <c r="AN4449" s="1066"/>
      <c r="AO4449" s="1066"/>
      <c r="AP4449" s="1066"/>
      <c r="AQ4449" s="1066"/>
      <c r="AR4449" s="1066"/>
      <c r="AS4449" s="1066"/>
      <c r="AT4449" s="1066"/>
      <c r="AU4449" s="1066"/>
      <c r="AV4449" s="1066"/>
      <c r="AW4449" s="1066"/>
      <c r="AX4449" s="1066"/>
      <c r="AY4449" s="1066"/>
      <c r="AZ4449" s="1066"/>
      <c r="BA4449" s="1066"/>
      <c r="BB4449" s="1066"/>
      <c r="BC4449" s="1066"/>
      <c r="BD4449" s="1066"/>
      <c r="BE4449" s="1066"/>
      <c r="BF4449" s="1066"/>
      <c r="BG4449" s="1066"/>
      <c r="BH4449" s="1066"/>
      <c r="BI4449" s="1066"/>
      <c r="BJ4449" s="1066"/>
      <c r="BK4449" s="1066"/>
      <c r="BL4449" s="1066"/>
    </row>
    <row r="4450" spans="1:64">
      <c r="A4450" s="1208"/>
      <c r="B4450" s="1208"/>
      <c r="C4450" s="1208" t="s">
        <v>1670</v>
      </c>
      <c r="D4450" s="1208">
        <v>91.82</v>
      </c>
      <c r="E4450" s="1208" t="s">
        <v>36</v>
      </c>
      <c r="F4450" s="1209">
        <f>'Civil-SOR'!$G$41</f>
        <v>4</v>
      </c>
      <c r="G4450" s="1208">
        <v>1</v>
      </c>
      <c r="H4450" s="1208" t="s">
        <v>39</v>
      </c>
      <c r="I4450" s="1209">
        <f t="shared" si="974"/>
        <v>367.28</v>
      </c>
      <c r="J4450" s="1022"/>
      <c r="K4450" s="1022"/>
      <c r="L4450" s="1022"/>
      <c r="M4450" s="1066"/>
      <c r="N4450" s="1066"/>
      <c r="O4450" s="1066"/>
      <c r="P4450" s="1066"/>
      <c r="Q4450" s="1066"/>
      <c r="R4450" s="1066"/>
      <c r="S4450" s="1066"/>
      <c r="T4450" s="1066"/>
      <c r="U4450" s="1066"/>
      <c r="V4450" s="1066"/>
      <c r="W4450" s="1066"/>
      <c r="X4450" s="1066"/>
      <c r="Y4450" s="1066"/>
      <c r="Z4450" s="1066"/>
      <c r="AA4450" s="1066"/>
      <c r="AB4450" s="1066"/>
      <c r="AC4450" s="1066"/>
      <c r="AD4450" s="1066"/>
      <c r="AE4450" s="1066"/>
      <c r="AF4450" s="1066"/>
      <c r="AG4450" s="1066"/>
      <c r="AH4450" s="1066"/>
      <c r="AI4450" s="1066"/>
      <c r="AJ4450" s="1066"/>
      <c r="AK4450" s="1066"/>
      <c r="AL4450" s="1066"/>
      <c r="AM4450" s="1066"/>
      <c r="AN4450" s="1066"/>
      <c r="AO4450" s="1066"/>
      <c r="AP4450" s="1066"/>
      <c r="AQ4450" s="1066"/>
      <c r="AR4450" s="1066"/>
      <c r="AS4450" s="1066"/>
      <c r="AT4450" s="1066"/>
      <c r="AU4450" s="1066"/>
      <c r="AV4450" s="1066"/>
      <c r="AW4450" s="1066"/>
      <c r="AX4450" s="1066"/>
      <c r="AY4450" s="1066"/>
      <c r="AZ4450" s="1066"/>
      <c r="BA4450" s="1066"/>
      <c r="BB4450" s="1066"/>
      <c r="BC4450" s="1066"/>
      <c r="BD4450" s="1066"/>
      <c r="BE4450" s="1066"/>
      <c r="BF4450" s="1066"/>
      <c r="BG4450" s="1066"/>
      <c r="BH4450" s="1066"/>
      <c r="BI4450" s="1066"/>
      <c r="BJ4450" s="1066"/>
      <c r="BK4450" s="1066"/>
      <c r="BL4450" s="1066"/>
    </row>
    <row r="4451" spans="1:64">
      <c r="A4451" s="1208"/>
      <c r="B4451" s="1208"/>
      <c r="C4451" s="1208" t="s">
        <v>1671</v>
      </c>
      <c r="D4451" s="1208">
        <v>0.14000000000000001</v>
      </c>
      <c r="E4451" s="1208" t="s">
        <v>1380</v>
      </c>
      <c r="F4451" s="1209">
        <f>'Civil-SOR'!$G$59</f>
        <v>236</v>
      </c>
      <c r="G4451" s="1208">
        <v>1</v>
      </c>
      <c r="H4451" s="1208" t="s">
        <v>138</v>
      </c>
      <c r="I4451" s="1209">
        <f t="shared" si="974"/>
        <v>33.040000000000006</v>
      </c>
      <c r="J4451" s="1022"/>
      <c r="K4451" s="1022"/>
      <c r="L4451" s="1022"/>
      <c r="M4451" s="1066"/>
      <c r="N4451" s="1066"/>
      <c r="O4451" s="1066"/>
      <c r="P4451" s="1066"/>
      <c r="Q4451" s="1066"/>
      <c r="R4451" s="1066"/>
      <c r="S4451" s="1066"/>
      <c r="T4451" s="1066"/>
      <c r="U4451" s="1066"/>
      <c r="V4451" s="1066"/>
      <c r="W4451" s="1066"/>
      <c r="X4451" s="1066"/>
      <c r="Y4451" s="1066"/>
      <c r="Z4451" s="1066"/>
      <c r="AA4451" s="1066"/>
      <c r="AB4451" s="1066"/>
      <c r="AC4451" s="1066"/>
      <c r="AD4451" s="1066"/>
      <c r="AE4451" s="1066"/>
      <c r="AF4451" s="1066"/>
      <c r="AG4451" s="1066"/>
      <c r="AH4451" s="1066"/>
      <c r="AI4451" s="1066"/>
      <c r="AJ4451" s="1066"/>
      <c r="AK4451" s="1066"/>
      <c r="AL4451" s="1066"/>
      <c r="AM4451" s="1066"/>
      <c r="AN4451" s="1066"/>
      <c r="AO4451" s="1066"/>
      <c r="AP4451" s="1066"/>
      <c r="AQ4451" s="1066"/>
      <c r="AR4451" s="1066"/>
      <c r="AS4451" s="1066"/>
      <c r="AT4451" s="1066"/>
      <c r="AU4451" s="1066"/>
      <c r="AV4451" s="1066"/>
      <c r="AW4451" s="1066"/>
      <c r="AX4451" s="1066"/>
      <c r="AY4451" s="1066"/>
      <c r="AZ4451" s="1066"/>
      <c r="BA4451" s="1066"/>
      <c r="BB4451" s="1066"/>
      <c r="BC4451" s="1066"/>
      <c r="BD4451" s="1066"/>
      <c r="BE4451" s="1066"/>
      <c r="BF4451" s="1066"/>
      <c r="BG4451" s="1066"/>
      <c r="BH4451" s="1066"/>
      <c r="BI4451" s="1066"/>
      <c r="BJ4451" s="1066"/>
      <c r="BK4451" s="1066"/>
      <c r="BL4451" s="1066"/>
    </row>
    <row r="4452" spans="1:64">
      <c r="A4452" s="1208"/>
      <c r="B4452" s="1208"/>
      <c r="C4452" s="1208" t="s">
        <v>1672</v>
      </c>
      <c r="D4452" s="1208">
        <v>0.2</v>
      </c>
      <c r="E4452" s="1208" t="s">
        <v>1380</v>
      </c>
      <c r="F4452" s="1209">
        <f>'Civil-SOR'!$G$70</f>
        <v>289</v>
      </c>
      <c r="G4452" s="1208">
        <v>1</v>
      </c>
      <c r="H4452" s="1208" t="s">
        <v>138</v>
      </c>
      <c r="I4452" s="1209">
        <f t="shared" si="974"/>
        <v>57.800000000000004</v>
      </c>
      <c r="J4452" s="1022"/>
      <c r="K4452" s="1022"/>
      <c r="L4452" s="1022"/>
      <c r="M4452" s="1066"/>
      <c r="N4452" s="1066"/>
      <c r="O4452" s="1066"/>
      <c r="P4452" s="1066"/>
      <c r="Q4452" s="1066"/>
      <c r="R4452" s="1066"/>
      <c r="S4452" s="1066"/>
      <c r="T4452" s="1066"/>
      <c r="U4452" s="1066"/>
      <c r="V4452" s="1066"/>
      <c r="W4452" s="1066"/>
      <c r="X4452" s="1066"/>
      <c r="Y4452" s="1066"/>
      <c r="Z4452" s="1066"/>
      <c r="AA4452" s="1066"/>
      <c r="AB4452" s="1066"/>
      <c r="AC4452" s="1066"/>
      <c r="AD4452" s="1066"/>
      <c r="AE4452" s="1066"/>
      <c r="AF4452" s="1066"/>
      <c r="AG4452" s="1066"/>
      <c r="AH4452" s="1066"/>
      <c r="AI4452" s="1066"/>
      <c r="AJ4452" s="1066"/>
      <c r="AK4452" s="1066"/>
      <c r="AL4452" s="1066"/>
      <c r="AM4452" s="1066"/>
      <c r="AN4452" s="1066"/>
      <c r="AO4452" s="1066"/>
      <c r="AP4452" s="1066"/>
      <c r="AQ4452" s="1066"/>
      <c r="AR4452" s="1066"/>
      <c r="AS4452" s="1066"/>
      <c r="AT4452" s="1066"/>
      <c r="AU4452" s="1066"/>
      <c r="AV4452" s="1066"/>
      <c r="AW4452" s="1066"/>
      <c r="AX4452" s="1066"/>
      <c r="AY4452" s="1066"/>
      <c r="AZ4452" s="1066"/>
      <c r="BA4452" s="1066"/>
      <c r="BB4452" s="1066"/>
      <c r="BC4452" s="1066"/>
      <c r="BD4452" s="1066"/>
      <c r="BE4452" s="1066"/>
      <c r="BF4452" s="1066"/>
      <c r="BG4452" s="1066"/>
      <c r="BH4452" s="1066"/>
      <c r="BI4452" s="1066"/>
      <c r="BJ4452" s="1066"/>
      <c r="BK4452" s="1066"/>
      <c r="BL4452" s="1066"/>
    </row>
    <row r="4453" spans="1:64">
      <c r="A4453" s="1208"/>
      <c r="B4453" s="1208"/>
      <c r="C4453" s="1294" t="s">
        <v>1298</v>
      </c>
      <c r="D4453" s="1208"/>
      <c r="E4453" s="1208"/>
      <c r="F4453" s="1209"/>
      <c r="G4453" s="1208"/>
      <c r="H4453" s="1208"/>
      <c r="I4453" s="1209"/>
      <c r="J4453" s="1022"/>
      <c r="K4453" s="1022"/>
      <c r="L4453" s="1022"/>
      <c r="M4453" s="1066"/>
      <c r="N4453" s="1066"/>
      <c r="O4453" s="1066"/>
      <c r="P4453" s="1066"/>
      <c r="Q4453" s="1066"/>
      <c r="R4453" s="1066"/>
      <c r="S4453" s="1066"/>
      <c r="T4453" s="1066"/>
      <c r="U4453" s="1066"/>
      <c r="V4453" s="1066"/>
      <c r="W4453" s="1066"/>
      <c r="X4453" s="1066"/>
      <c r="Y4453" s="1066"/>
      <c r="Z4453" s="1066"/>
      <c r="AA4453" s="1066"/>
      <c r="AB4453" s="1066"/>
      <c r="AC4453" s="1066"/>
      <c r="AD4453" s="1066"/>
      <c r="AE4453" s="1066"/>
      <c r="AF4453" s="1066"/>
      <c r="AG4453" s="1066"/>
      <c r="AH4453" s="1066"/>
      <c r="AI4453" s="1066"/>
      <c r="AJ4453" s="1066"/>
      <c r="AK4453" s="1066"/>
      <c r="AL4453" s="1066"/>
      <c r="AM4453" s="1066"/>
      <c r="AN4453" s="1066"/>
      <c r="AO4453" s="1066"/>
      <c r="AP4453" s="1066"/>
      <c r="AQ4453" s="1066"/>
      <c r="AR4453" s="1066"/>
      <c r="AS4453" s="1066"/>
      <c r="AT4453" s="1066"/>
      <c r="AU4453" s="1066"/>
      <c r="AV4453" s="1066"/>
      <c r="AW4453" s="1066"/>
      <c r="AX4453" s="1066"/>
      <c r="AY4453" s="1066"/>
      <c r="AZ4453" s="1066"/>
      <c r="BA4453" s="1066"/>
      <c r="BB4453" s="1066"/>
      <c r="BC4453" s="1066"/>
      <c r="BD4453" s="1066"/>
      <c r="BE4453" s="1066"/>
      <c r="BF4453" s="1066"/>
      <c r="BG4453" s="1066"/>
      <c r="BH4453" s="1066"/>
      <c r="BI4453" s="1066"/>
      <c r="BJ4453" s="1066"/>
      <c r="BK4453" s="1066"/>
      <c r="BL4453" s="1066"/>
    </row>
    <row r="4454" spans="1:64">
      <c r="A4454" s="1208"/>
      <c r="B4454" s="1208"/>
      <c r="C4454" s="1208" t="s">
        <v>1673</v>
      </c>
      <c r="D4454" s="1208"/>
      <c r="E4454" s="1208"/>
      <c r="F4454" s="1209"/>
      <c r="G4454" s="1208"/>
      <c r="H4454" s="1208"/>
      <c r="I4454" s="1209"/>
      <c r="J4454" s="1022"/>
      <c r="K4454" s="1022"/>
      <c r="L4454" s="1022"/>
      <c r="M4454" s="1066"/>
      <c r="N4454" s="1066"/>
      <c r="O4454" s="1066"/>
      <c r="P4454" s="1066"/>
      <c r="Q4454" s="1066"/>
      <c r="R4454" s="1066"/>
      <c r="S4454" s="1066"/>
      <c r="T4454" s="1066"/>
      <c r="U4454" s="1066"/>
      <c r="V4454" s="1066"/>
      <c r="W4454" s="1066"/>
      <c r="X4454" s="1066"/>
      <c r="Y4454" s="1066"/>
      <c r="Z4454" s="1066"/>
      <c r="AA4454" s="1066"/>
      <c r="AB4454" s="1066"/>
      <c r="AC4454" s="1066"/>
      <c r="AD4454" s="1066"/>
      <c r="AE4454" s="1066"/>
      <c r="AF4454" s="1066"/>
      <c r="AG4454" s="1066"/>
      <c r="AH4454" s="1066"/>
      <c r="AI4454" s="1066"/>
      <c r="AJ4454" s="1066"/>
      <c r="AK4454" s="1066"/>
      <c r="AL4454" s="1066"/>
      <c r="AM4454" s="1066"/>
      <c r="AN4454" s="1066"/>
      <c r="AO4454" s="1066"/>
      <c r="AP4454" s="1066"/>
      <c r="AQ4454" s="1066"/>
      <c r="AR4454" s="1066"/>
      <c r="AS4454" s="1066"/>
      <c r="AT4454" s="1066"/>
      <c r="AU4454" s="1066"/>
      <c r="AV4454" s="1066"/>
      <c r="AW4454" s="1066"/>
      <c r="AX4454" s="1066"/>
      <c r="AY4454" s="1066"/>
      <c r="AZ4454" s="1066"/>
      <c r="BA4454" s="1066"/>
      <c r="BB4454" s="1066"/>
      <c r="BC4454" s="1066"/>
      <c r="BD4454" s="1066"/>
      <c r="BE4454" s="1066"/>
      <c r="BF4454" s="1066"/>
      <c r="BG4454" s="1066"/>
      <c r="BH4454" s="1066"/>
      <c r="BI4454" s="1066"/>
      <c r="BJ4454" s="1066"/>
      <c r="BK4454" s="1066"/>
      <c r="BL4454" s="1066"/>
    </row>
    <row r="4455" spans="1:64">
      <c r="A4455" s="1208"/>
      <c r="B4455" s="1208"/>
      <c r="C4455" s="1208" t="s">
        <v>1674</v>
      </c>
      <c r="D4455" s="1208">
        <v>0.84</v>
      </c>
      <c r="E4455" s="1208" t="s">
        <v>36</v>
      </c>
      <c r="F4455" s="1209">
        <f>'Civil-SOR'!$G$300</f>
        <v>550</v>
      </c>
      <c r="G4455" s="1208">
        <v>1</v>
      </c>
      <c r="H4455" s="1208" t="s">
        <v>39</v>
      </c>
      <c r="I4455" s="1209">
        <f t="shared" ref="I4455:I4456" si="975">IF(G4455="",D4455*F4455,(D4455*F4455/G4455))</f>
        <v>462</v>
      </c>
      <c r="J4455" s="1022"/>
      <c r="K4455" s="1022"/>
      <c r="L4455" s="1022"/>
      <c r="M4455" s="1066"/>
      <c r="N4455" s="1066"/>
      <c r="O4455" s="1066"/>
      <c r="P4455" s="1066"/>
      <c r="Q4455" s="1066"/>
      <c r="R4455" s="1066"/>
      <c r="S4455" s="1066"/>
      <c r="T4455" s="1066"/>
      <c r="U4455" s="1066"/>
      <c r="V4455" s="1066"/>
      <c r="W4455" s="1066"/>
      <c r="X4455" s="1066"/>
      <c r="Y4455" s="1066"/>
      <c r="Z4455" s="1066"/>
      <c r="AA4455" s="1066"/>
      <c r="AB4455" s="1066"/>
      <c r="AC4455" s="1066"/>
      <c r="AD4455" s="1066"/>
      <c r="AE4455" s="1066"/>
      <c r="AF4455" s="1066"/>
      <c r="AG4455" s="1066"/>
      <c r="AH4455" s="1066"/>
      <c r="AI4455" s="1066"/>
      <c r="AJ4455" s="1066"/>
      <c r="AK4455" s="1066"/>
      <c r="AL4455" s="1066"/>
      <c r="AM4455" s="1066"/>
      <c r="AN4455" s="1066"/>
      <c r="AO4455" s="1066"/>
      <c r="AP4455" s="1066"/>
      <c r="AQ4455" s="1066"/>
      <c r="AR4455" s="1066"/>
      <c r="AS4455" s="1066"/>
      <c r="AT4455" s="1066"/>
      <c r="AU4455" s="1066"/>
      <c r="AV4455" s="1066"/>
      <c r="AW4455" s="1066"/>
      <c r="AX4455" s="1066"/>
      <c r="AY4455" s="1066"/>
      <c r="AZ4455" s="1066"/>
      <c r="BA4455" s="1066"/>
      <c r="BB4455" s="1066"/>
      <c r="BC4455" s="1066"/>
      <c r="BD4455" s="1066"/>
      <c r="BE4455" s="1066"/>
      <c r="BF4455" s="1066"/>
      <c r="BG4455" s="1066"/>
      <c r="BH4455" s="1066"/>
      <c r="BI4455" s="1066"/>
      <c r="BJ4455" s="1066"/>
      <c r="BK4455" s="1066"/>
      <c r="BL4455" s="1066"/>
    </row>
    <row r="4456" spans="1:64">
      <c r="A4456" s="1208"/>
      <c r="B4456" s="1208"/>
      <c r="C4456" s="1208" t="s">
        <v>1675</v>
      </c>
      <c r="D4456" s="1208">
        <v>0.91</v>
      </c>
      <c r="E4456" s="1208" t="s">
        <v>36</v>
      </c>
      <c r="F4456" s="1209">
        <f>'Civil-SOR'!$G$307</f>
        <v>520</v>
      </c>
      <c r="G4456" s="1208">
        <v>1</v>
      </c>
      <c r="H4456" s="1208" t="s">
        <v>39</v>
      </c>
      <c r="I4456" s="1209">
        <f t="shared" si="975"/>
        <v>473.2</v>
      </c>
      <c r="J4456" s="1022"/>
      <c r="K4456" s="1022"/>
      <c r="L4456" s="1022"/>
      <c r="M4456" s="1066"/>
      <c r="N4456" s="1066"/>
      <c r="O4456" s="1066"/>
      <c r="P4456" s="1066"/>
      <c r="Q4456" s="1066"/>
      <c r="R4456" s="1066"/>
      <c r="S4456" s="1066"/>
      <c r="T4456" s="1066"/>
      <c r="U4456" s="1066"/>
      <c r="V4456" s="1066"/>
      <c r="W4456" s="1066"/>
      <c r="X4456" s="1066"/>
      <c r="Y4456" s="1066"/>
      <c r="Z4456" s="1066"/>
      <c r="AA4456" s="1066"/>
      <c r="AB4456" s="1066"/>
      <c r="AC4456" s="1066"/>
      <c r="AD4456" s="1066"/>
      <c r="AE4456" s="1066"/>
      <c r="AF4456" s="1066"/>
      <c r="AG4456" s="1066"/>
      <c r="AH4456" s="1066"/>
      <c r="AI4456" s="1066"/>
      <c r="AJ4456" s="1066"/>
      <c r="AK4456" s="1066"/>
      <c r="AL4456" s="1066"/>
      <c r="AM4456" s="1066"/>
      <c r="AN4456" s="1066"/>
      <c r="AO4456" s="1066"/>
      <c r="AP4456" s="1066"/>
      <c r="AQ4456" s="1066"/>
      <c r="AR4456" s="1066"/>
      <c r="AS4456" s="1066"/>
      <c r="AT4456" s="1066"/>
      <c r="AU4456" s="1066"/>
      <c r="AV4456" s="1066"/>
      <c r="AW4456" s="1066"/>
      <c r="AX4456" s="1066"/>
      <c r="AY4456" s="1066"/>
      <c r="AZ4456" s="1066"/>
      <c r="BA4456" s="1066"/>
      <c r="BB4456" s="1066"/>
      <c r="BC4456" s="1066"/>
      <c r="BD4456" s="1066"/>
      <c r="BE4456" s="1066"/>
      <c r="BF4456" s="1066"/>
      <c r="BG4456" s="1066"/>
      <c r="BH4456" s="1066"/>
      <c r="BI4456" s="1066"/>
      <c r="BJ4456" s="1066"/>
      <c r="BK4456" s="1066"/>
      <c r="BL4456" s="1066"/>
    </row>
    <row r="4457" spans="1:64">
      <c r="A4457" s="1208"/>
      <c r="B4457" s="1208"/>
      <c r="C4457" s="1208" t="s">
        <v>1676</v>
      </c>
      <c r="D4457" s="1208"/>
      <c r="E4457" s="1208"/>
      <c r="F4457" s="1209"/>
      <c r="G4457" s="1208"/>
      <c r="H4457" s="1208"/>
      <c r="I4457" s="1209"/>
      <c r="J4457" s="1022"/>
      <c r="K4457" s="1022"/>
      <c r="L4457" s="1022"/>
      <c r="M4457" s="1066"/>
      <c r="N4457" s="1066"/>
      <c r="O4457" s="1066"/>
      <c r="P4457" s="1066"/>
      <c r="Q4457" s="1066"/>
      <c r="R4457" s="1066"/>
      <c r="S4457" s="1066"/>
      <c r="T4457" s="1066"/>
      <c r="U4457" s="1066"/>
      <c r="V4457" s="1066"/>
      <c r="W4457" s="1066"/>
      <c r="X4457" s="1066"/>
      <c r="Y4457" s="1066"/>
      <c r="Z4457" s="1066"/>
      <c r="AA4457" s="1066"/>
      <c r="AB4457" s="1066"/>
      <c r="AC4457" s="1066"/>
      <c r="AD4457" s="1066"/>
      <c r="AE4457" s="1066"/>
      <c r="AF4457" s="1066"/>
      <c r="AG4457" s="1066"/>
      <c r="AH4457" s="1066"/>
      <c r="AI4457" s="1066"/>
      <c r="AJ4457" s="1066"/>
      <c r="AK4457" s="1066"/>
      <c r="AL4457" s="1066"/>
      <c r="AM4457" s="1066"/>
      <c r="AN4457" s="1066"/>
      <c r="AO4457" s="1066"/>
      <c r="AP4457" s="1066"/>
      <c r="AQ4457" s="1066"/>
      <c r="AR4457" s="1066"/>
      <c r="AS4457" s="1066"/>
      <c r="AT4457" s="1066"/>
      <c r="AU4457" s="1066"/>
      <c r="AV4457" s="1066"/>
      <c r="AW4457" s="1066"/>
      <c r="AX4457" s="1066"/>
      <c r="AY4457" s="1066"/>
      <c r="AZ4457" s="1066"/>
      <c r="BA4457" s="1066"/>
      <c r="BB4457" s="1066"/>
      <c r="BC4457" s="1066"/>
      <c r="BD4457" s="1066"/>
      <c r="BE4457" s="1066"/>
      <c r="BF4457" s="1066"/>
      <c r="BG4457" s="1066"/>
      <c r="BH4457" s="1066"/>
      <c r="BI4457" s="1066"/>
      <c r="BJ4457" s="1066"/>
      <c r="BK4457" s="1066"/>
      <c r="BL4457" s="1066"/>
    </row>
    <row r="4458" spans="1:64">
      <c r="A4458" s="1208"/>
      <c r="B4458" s="1208"/>
      <c r="C4458" s="1208" t="s">
        <v>1529</v>
      </c>
      <c r="D4458" s="1208">
        <v>1.7999999999999999E-2</v>
      </c>
      <c r="E4458" s="1208" t="s">
        <v>36</v>
      </c>
      <c r="F4458" s="1209">
        <f>'Civil-SOR'!$G$296</f>
        <v>665</v>
      </c>
      <c r="G4458" s="1208">
        <v>1</v>
      </c>
      <c r="H4458" s="1208" t="s">
        <v>39</v>
      </c>
      <c r="I4458" s="1209">
        <f t="shared" ref="I4458:I4460" si="976">IF(G4458="",D4458*F4458,(D4458*F4458/G4458))</f>
        <v>11.969999999999999</v>
      </c>
      <c r="J4458" s="1022"/>
      <c r="K4458" s="1022"/>
      <c r="L4458" s="1022"/>
      <c r="M4458" s="1066"/>
      <c r="N4458" s="1066"/>
      <c r="O4458" s="1066"/>
      <c r="P4458" s="1066"/>
      <c r="Q4458" s="1066"/>
      <c r="R4458" s="1066"/>
      <c r="S4458" s="1066"/>
      <c r="T4458" s="1066"/>
      <c r="U4458" s="1066"/>
      <c r="V4458" s="1066"/>
      <c r="W4458" s="1066"/>
      <c r="X4458" s="1066"/>
      <c r="Y4458" s="1066"/>
      <c r="Z4458" s="1066"/>
      <c r="AA4458" s="1066"/>
      <c r="AB4458" s="1066"/>
      <c r="AC4458" s="1066"/>
      <c r="AD4458" s="1066"/>
      <c r="AE4458" s="1066"/>
      <c r="AF4458" s="1066"/>
      <c r="AG4458" s="1066"/>
      <c r="AH4458" s="1066"/>
      <c r="AI4458" s="1066"/>
      <c r="AJ4458" s="1066"/>
      <c r="AK4458" s="1066"/>
      <c r="AL4458" s="1066"/>
      <c r="AM4458" s="1066"/>
      <c r="AN4458" s="1066"/>
      <c r="AO4458" s="1066"/>
      <c r="AP4458" s="1066"/>
      <c r="AQ4458" s="1066"/>
      <c r="AR4458" s="1066"/>
      <c r="AS4458" s="1066"/>
      <c r="AT4458" s="1066"/>
      <c r="AU4458" s="1066"/>
      <c r="AV4458" s="1066"/>
      <c r="AW4458" s="1066"/>
      <c r="AX4458" s="1066"/>
      <c r="AY4458" s="1066"/>
      <c r="AZ4458" s="1066"/>
      <c r="BA4458" s="1066"/>
      <c r="BB4458" s="1066"/>
      <c r="BC4458" s="1066"/>
      <c r="BD4458" s="1066"/>
      <c r="BE4458" s="1066"/>
      <c r="BF4458" s="1066"/>
      <c r="BG4458" s="1066"/>
      <c r="BH4458" s="1066"/>
      <c r="BI4458" s="1066"/>
      <c r="BJ4458" s="1066"/>
      <c r="BK4458" s="1066"/>
      <c r="BL4458" s="1066"/>
    </row>
    <row r="4459" spans="1:64">
      <c r="A4459" s="1208"/>
      <c r="B4459" s="1208"/>
      <c r="C4459" s="1208" t="s">
        <v>1529</v>
      </c>
      <c r="D4459" s="1208">
        <v>4.2000000000000003E-2</v>
      </c>
      <c r="E4459" s="1208" t="s">
        <v>36</v>
      </c>
      <c r="F4459" s="1209">
        <f>'Civil-SOR'!$G$303</f>
        <v>550</v>
      </c>
      <c r="G4459" s="1208">
        <v>1</v>
      </c>
      <c r="H4459" s="1208" t="s">
        <v>39</v>
      </c>
      <c r="I4459" s="1209">
        <f t="shared" si="976"/>
        <v>23.1</v>
      </c>
      <c r="J4459" s="1022"/>
      <c r="K4459" s="1022"/>
      <c r="L4459" s="1022"/>
      <c r="M4459" s="1066"/>
      <c r="N4459" s="1066"/>
      <c r="O4459" s="1066"/>
      <c r="P4459" s="1066"/>
      <c r="Q4459" s="1066"/>
      <c r="R4459" s="1066"/>
      <c r="S4459" s="1066"/>
      <c r="T4459" s="1066"/>
      <c r="U4459" s="1066"/>
      <c r="V4459" s="1066"/>
      <c r="W4459" s="1066"/>
      <c r="X4459" s="1066"/>
      <c r="Y4459" s="1066"/>
      <c r="Z4459" s="1066"/>
      <c r="AA4459" s="1066"/>
      <c r="AB4459" s="1066"/>
      <c r="AC4459" s="1066"/>
      <c r="AD4459" s="1066"/>
      <c r="AE4459" s="1066"/>
      <c r="AF4459" s="1066"/>
      <c r="AG4459" s="1066"/>
      <c r="AH4459" s="1066"/>
      <c r="AI4459" s="1066"/>
      <c r="AJ4459" s="1066"/>
      <c r="AK4459" s="1066"/>
      <c r="AL4459" s="1066"/>
      <c r="AM4459" s="1066"/>
      <c r="AN4459" s="1066"/>
      <c r="AO4459" s="1066"/>
      <c r="AP4459" s="1066"/>
      <c r="AQ4459" s="1066"/>
      <c r="AR4459" s="1066"/>
      <c r="AS4459" s="1066"/>
      <c r="AT4459" s="1066"/>
      <c r="AU4459" s="1066"/>
      <c r="AV4459" s="1066"/>
      <c r="AW4459" s="1066"/>
      <c r="AX4459" s="1066"/>
      <c r="AY4459" s="1066"/>
      <c r="AZ4459" s="1066"/>
      <c r="BA4459" s="1066"/>
      <c r="BB4459" s="1066"/>
      <c r="BC4459" s="1066"/>
      <c r="BD4459" s="1066"/>
      <c r="BE4459" s="1066"/>
      <c r="BF4459" s="1066"/>
      <c r="BG4459" s="1066"/>
      <c r="BH4459" s="1066"/>
      <c r="BI4459" s="1066"/>
      <c r="BJ4459" s="1066"/>
      <c r="BK4459" s="1066"/>
      <c r="BL4459" s="1066"/>
    </row>
    <row r="4460" spans="1:64">
      <c r="A4460" s="1208"/>
      <c r="B4460" s="1208"/>
      <c r="C4460" s="1208" t="s">
        <v>1677</v>
      </c>
      <c r="D4460" s="1208">
        <v>0.06</v>
      </c>
      <c r="E4460" s="1208" t="s">
        <v>36</v>
      </c>
      <c r="F4460" s="1209">
        <f>'Civil-SOR'!$G$307</f>
        <v>520</v>
      </c>
      <c r="G4460" s="1208">
        <v>1</v>
      </c>
      <c r="H4460" s="1208" t="s">
        <v>39</v>
      </c>
      <c r="I4460" s="1209">
        <f t="shared" si="976"/>
        <v>31.2</v>
      </c>
      <c r="J4460" s="1022"/>
      <c r="K4460" s="1022"/>
      <c r="L4460" s="1022"/>
      <c r="M4460" s="1066"/>
      <c r="N4460" s="1066"/>
      <c r="O4460" s="1066"/>
      <c r="P4460" s="1066"/>
      <c r="Q4460" s="1066"/>
      <c r="R4460" s="1066"/>
      <c r="S4460" s="1066"/>
      <c r="T4460" s="1066"/>
      <c r="U4460" s="1066"/>
      <c r="V4460" s="1066"/>
      <c r="W4460" s="1066"/>
      <c r="X4460" s="1066"/>
      <c r="Y4460" s="1066"/>
      <c r="Z4460" s="1066"/>
      <c r="AA4460" s="1066"/>
      <c r="AB4460" s="1066"/>
      <c r="AC4460" s="1066"/>
      <c r="AD4460" s="1066"/>
      <c r="AE4460" s="1066"/>
      <c r="AF4460" s="1066"/>
      <c r="AG4460" s="1066"/>
      <c r="AH4460" s="1066"/>
      <c r="AI4460" s="1066"/>
      <c r="AJ4460" s="1066"/>
      <c r="AK4460" s="1066"/>
      <c r="AL4460" s="1066"/>
      <c r="AM4460" s="1066"/>
      <c r="AN4460" s="1066"/>
      <c r="AO4460" s="1066"/>
      <c r="AP4460" s="1066"/>
      <c r="AQ4460" s="1066"/>
      <c r="AR4460" s="1066"/>
      <c r="AS4460" s="1066"/>
      <c r="AT4460" s="1066"/>
      <c r="AU4460" s="1066"/>
      <c r="AV4460" s="1066"/>
      <c r="AW4460" s="1066"/>
      <c r="AX4460" s="1066"/>
      <c r="AY4460" s="1066"/>
      <c r="AZ4460" s="1066"/>
      <c r="BA4460" s="1066"/>
      <c r="BB4460" s="1066"/>
      <c r="BC4460" s="1066"/>
      <c r="BD4460" s="1066"/>
      <c r="BE4460" s="1066"/>
      <c r="BF4460" s="1066"/>
      <c r="BG4460" s="1066"/>
      <c r="BH4460" s="1066"/>
      <c r="BI4460" s="1066"/>
      <c r="BJ4460" s="1066"/>
      <c r="BK4460" s="1066"/>
      <c r="BL4460" s="1066"/>
    </row>
    <row r="4461" spans="1:64">
      <c r="A4461" s="1208"/>
      <c r="B4461" s="1208"/>
      <c r="C4461" s="1208" t="s">
        <v>1678</v>
      </c>
      <c r="D4461" s="1208"/>
      <c r="E4461" s="1208"/>
      <c r="F4461" s="1209"/>
      <c r="G4461" s="1208"/>
      <c r="H4461" s="1208"/>
      <c r="I4461" s="1209"/>
      <c r="J4461" s="1022"/>
      <c r="K4461" s="1022"/>
      <c r="L4461" s="1022"/>
      <c r="M4461" s="1066"/>
      <c r="N4461" s="1066"/>
      <c r="O4461" s="1066"/>
      <c r="P4461" s="1066"/>
      <c r="Q4461" s="1066"/>
      <c r="R4461" s="1066"/>
      <c r="S4461" s="1066"/>
      <c r="T4461" s="1066"/>
      <c r="U4461" s="1066"/>
      <c r="V4461" s="1066"/>
      <c r="W4461" s="1066"/>
      <c r="X4461" s="1066"/>
      <c r="Y4461" s="1066"/>
      <c r="Z4461" s="1066"/>
      <c r="AA4461" s="1066"/>
      <c r="AB4461" s="1066"/>
      <c r="AC4461" s="1066"/>
      <c r="AD4461" s="1066"/>
      <c r="AE4461" s="1066"/>
      <c r="AF4461" s="1066"/>
      <c r="AG4461" s="1066"/>
      <c r="AH4461" s="1066"/>
      <c r="AI4461" s="1066"/>
      <c r="AJ4461" s="1066"/>
      <c r="AK4461" s="1066"/>
      <c r="AL4461" s="1066"/>
      <c r="AM4461" s="1066"/>
      <c r="AN4461" s="1066"/>
      <c r="AO4461" s="1066"/>
      <c r="AP4461" s="1066"/>
      <c r="AQ4461" s="1066"/>
      <c r="AR4461" s="1066"/>
      <c r="AS4461" s="1066"/>
      <c r="AT4461" s="1066"/>
      <c r="AU4461" s="1066"/>
      <c r="AV4461" s="1066"/>
      <c r="AW4461" s="1066"/>
      <c r="AX4461" s="1066"/>
      <c r="AY4461" s="1066"/>
      <c r="AZ4461" s="1066"/>
      <c r="BA4461" s="1066"/>
      <c r="BB4461" s="1066"/>
      <c r="BC4461" s="1066"/>
      <c r="BD4461" s="1066"/>
      <c r="BE4461" s="1066"/>
      <c r="BF4461" s="1066"/>
      <c r="BG4461" s="1066"/>
      <c r="BH4461" s="1066"/>
      <c r="BI4461" s="1066"/>
      <c r="BJ4461" s="1066"/>
      <c r="BK4461" s="1066"/>
      <c r="BL4461" s="1066"/>
    </row>
    <row r="4462" spans="1:64">
      <c r="A4462" s="1208"/>
      <c r="B4462" s="1208"/>
      <c r="C4462" s="1208" t="s">
        <v>1529</v>
      </c>
      <c r="D4462" s="1208">
        <v>4.2000000000000003E-2</v>
      </c>
      <c r="E4462" s="1208" t="s">
        <v>36</v>
      </c>
      <c r="F4462" s="1209">
        <f>'Civil-SOR'!$G$296</f>
        <v>665</v>
      </c>
      <c r="G4462" s="1208">
        <v>1</v>
      </c>
      <c r="H4462" s="1208" t="s">
        <v>39</v>
      </c>
      <c r="I4462" s="1209">
        <f t="shared" ref="I4462:I4465" si="977">IF(G4462="",D4462*F4462,(D4462*F4462/G4462))</f>
        <v>27.930000000000003</v>
      </c>
      <c r="J4462" s="1022"/>
      <c r="K4462" s="1022"/>
      <c r="L4462" s="1022"/>
      <c r="M4462" s="1066"/>
      <c r="N4462" s="1066"/>
      <c r="O4462" s="1066"/>
      <c r="P4462" s="1066"/>
      <c r="Q4462" s="1066"/>
      <c r="R4462" s="1066"/>
      <c r="S4462" s="1066"/>
      <c r="T4462" s="1066"/>
      <c r="U4462" s="1066"/>
      <c r="V4462" s="1066"/>
      <c r="W4462" s="1066"/>
      <c r="X4462" s="1066"/>
      <c r="Y4462" s="1066"/>
      <c r="Z4462" s="1066"/>
      <c r="AA4462" s="1066"/>
      <c r="AB4462" s="1066"/>
      <c r="AC4462" s="1066"/>
      <c r="AD4462" s="1066"/>
      <c r="AE4462" s="1066"/>
      <c r="AF4462" s="1066"/>
      <c r="AG4462" s="1066"/>
      <c r="AH4462" s="1066"/>
      <c r="AI4462" s="1066"/>
      <c r="AJ4462" s="1066"/>
      <c r="AK4462" s="1066"/>
      <c r="AL4462" s="1066"/>
      <c r="AM4462" s="1066"/>
      <c r="AN4462" s="1066"/>
      <c r="AO4462" s="1066"/>
      <c r="AP4462" s="1066"/>
      <c r="AQ4462" s="1066"/>
      <c r="AR4462" s="1066"/>
      <c r="AS4462" s="1066"/>
      <c r="AT4462" s="1066"/>
      <c r="AU4462" s="1066"/>
      <c r="AV4462" s="1066"/>
      <c r="AW4462" s="1066"/>
      <c r="AX4462" s="1066"/>
      <c r="AY4462" s="1066"/>
      <c r="AZ4462" s="1066"/>
      <c r="BA4462" s="1066"/>
      <c r="BB4462" s="1066"/>
      <c r="BC4462" s="1066"/>
      <c r="BD4462" s="1066"/>
      <c r="BE4462" s="1066"/>
      <c r="BF4462" s="1066"/>
      <c r="BG4462" s="1066"/>
      <c r="BH4462" s="1066"/>
      <c r="BI4462" s="1066"/>
      <c r="BJ4462" s="1066"/>
      <c r="BK4462" s="1066"/>
      <c r="BL4462" s="1066"/>
    </row>
    <row r="4463" spans="1:64">
      <c r="A4463" s="1208"/>
      <c r="B4463" s="1208"/>
      <c r="C4463" s="1208" t="s">
        <v>1529</v>
      </c>
      <c r="D4463" s="1208">
        <v>9.8000000000000004E-2</v>
      </c>
      <c r="E4463" s="1208" t="s">
        <v>36</v>
      </c>
      <c r="F4463" s="1209">
        <f>'Civil-SOR'!$G$303</f>
        <v>550</v>
      </c>
      <c r="G4463" s="1208">
        <v>1</v>
      </c>
      <c r="H4463" s="1208" t="s">
        <v>39</v>
      </c>
      <c r="I4463" s="1209">
        <f t="shared" si="977"/>
        <v>53.9</v>
      </c>
      <c r="J4463" s="1022"/>
      <c r="K4463" s="1022"/>
      <c r="L4463" s="1022"/>
      <c r="M4463" s="1066"/>
      <c r="N4463" s="1066"/>
      <c r="O4463" s="1066"/>
      <c r="P4463" s="1066"/>
      <c r="Q4463" s="1066"/>
      <c r="R4463" s="1066"/>
      <c r="S4463" s="1066"/>
      <c r="T4463" s="1066"/>
      <c r="U4463" s="1066"/>
      <c r="V4463" s="1066"/>
      <c r="W4463" s="1066"/>
      <c r="X4463" s="1066"/>
      <c r="Y4463" s="1066"/>
      <c r="Z4463" s="1066"/>
      <c r="AA4463" s="1066"/>
      <c r="AB4463" s="1066"/>
      <c r="AC4463" s="1066"/>
      <c r="AD4463" s="1066"/>
      <c r="AE4463" s="1066"/>
      <c r="AF4463" s="1066"/>
      <c r="AG4463" s="1066"/>
      <c r="AH4463" s="1066"/>
      <c r="AI4463" s="1066"/>
      <c r="AJ4463" s="1066"/>
      <c r="AK4463" s="1066"/>
      <c r="AL4463" s="1066"/>
      <c r="AM4463" s="1066"/>
      <c r="AN4463" s="1066"/>
      <c r="AO4463" s="1066"/>
      <c r="AP4463" s="1066"/>
      <c r="AQ4463" s="1066"/>
      <c r="AR4463" s="1066"/>
      <c r="AS4463" s="1066"/>
      <c r="AT4463" s="1066"/>
      <c r="AU4463" s="1066"/>
      <c r="AV4463" s="1066"/>
      <c r="AW4463" s="1066"/>
      <c r="AX4463" s="1066"/>
      <c r="AY4463" s="1066"/>
      <c r="AZ4463" s="1066"/>
      <c r="BA4463" s="1066"/>
      <c r="BB4463" s="1066"/>
      <c r="BC4463" s="1066"/>
      <c r="BD4463" s="1066"/>
      <c r="BE4463" s="1066"/>
      <c r="BF4463" s="1066"/>
      <c r="BG4463" s="1066"/>
      <c r="BH4463" s="1066"/>
      <c r="BI4463" s="1066"/>
      <c r="BJ4463" s="1066"/>
      <c r="BK4463" s="1066"/>
      <c r="BL4463" s="1066"/>
    </row>
    <row r="4464" spans="1:64">
      <c r="A4464" s="1208"/>
      <c r="B4464" s="1208"/>
      <c r="C4464" s="1208" t="s">
        <v>1679</v>
      </c>
      <c r="D4464" s="1208">
        <v>0.14000000000000001</v>
      </c>
      <c r="E4464" s="1208" t="s">
        <v>36</v>
      </c>
      <c r="F4464" s="1209">
        <f>'Civil-SOR'!$G$307</f>
        <v>520</v>
      </c>
      <c r="G4464" s="1208">
        <v>1</v>
      </c>
      <c r="H4464" s="1208" t="s">
        <v>39</v>
      </c>
      <c r="I4464" s="1209">
        <f t="shared" si="977"/>
        <v>72.800000000000011</v>
      </c>
      <c r="J4464" s="1022"/>
      <c r="K4464" s="1022"/>
      <c r="L4464" s="1022"/>
      <c r="M4464" s="1066"/>
      <c r="N4464" s="1066"/>
      <c r="O4464" s="1066"/>
      <c r="P4464" s="1066"/>
      <c r="Q4464" s="1066"/>
      <c r="R4464" s="1066"/>
      <c r="S4464" s="1066"/>
      <c r="T4464" s="1066"/>
      <c r="U4464" s="1066"/>
      <c r="V4464" s="1066"/>
      <c r="W4464" s="1066"/>
      <c r="X4464" s="1066"/>
      <c r="Y4464" s="1066"/>
      <c r="Z4464" s="1066"/>
      <c r="AA4464" s="1066"/>
      <c r="AB4464" s="1066"/>
      <c r="AC4464" s="1066"/>
      <c r="AD4464" s="1066"/>
      <c r="AE4464" s="1066"/>
      <c r="AF4464" s="1066"/>
      <c r="AG4464" s="1066"/>
      <c r="AH4464" s="1066"/>
      <c r="AI4464" s="1066"/>
      <c r="AJ4464" s="1066"/>
      <c r="AK4464" s="1066"/>
      <c r="AL4464" s="1066"/>
      <c r="AM4464" s="1066"/>
      <c r="AN4464" s="1066"/>
      <c r="AO4464" s="1066"/>
      <c r="AP4464" s="1066"/>
      <c r="AQ4464" s="1066"/>
      <c r="AR4464" s="1066"/>
      <c r="AS4464" s="1066"/>
      <c r="AT4464" s="1066"/>
      <c r="AU4464" s="1066"/>
      <c r="AV4464" s="1066"/>
      <c r="AW4464" s="1066"/>
      <c r="AX4464" s="1066"/>
      <c r="AY4464" s="1066"/>
      <c r="AZ4464" s="1066"/>
      <c r="BA4464" s="1066"/>
      <c r="BB4464" s="1066"/>
      <c r="BC4464" s="1066"/>
      <c r="BD4464" s="1066"/>
      <c r="BE4464" s="1066"/>
      <c r="BF4464" s="1066"/>
      <c r="BG4464" s="1066"/>
      <c r="BH4464" s="1066"/>
      <c r="BI4464" s="1066"/>
      <c r="BJ4464" s="1066"/>
      <c r="BK4464" s="1066"/>
      <c r="BL4464" s="1066"/>
    </row>
    <row r="4465" spans="1:64">
      <c r="A4465" s="1208"/>
      <c r="B4465" s="1208"/>
      <c r="C4465" s="1208" t="str">
        <f>Input!$C$47</f>
        <v>Add for MA @ 40%</v>
      </c>
      <c r="D4465" s="1208">
        <f>Input!$D$47</f>
        <v>0.4</v>
      </c>
      <c r="E4465" s="1208"/>
      <c r="F4465" s="1794">
        <f>SUM(I4455:I4464)</f>
        <v>1156.1000000000001</v>
      </c>
      <c r="G4465" s="1208"/>
      <c r="H4465" s="1208"/>
      <c r="I4465" s="1209">
        <f t="shared" si="977"/>
        <v>462.44000000000005</v>
      </c>
      <c r="J4465" s="1022"/>
      <c r="K4465" s="1022"/>
      <c r="L4465" s="1022"/>
      <c r="M4465" s="1066"/>
      <c r="N4465" s="1066"/>
      <c r="O4465" s="1066"/>
      <c r="P4465" s="1066"/>
      <c r="Q4465" s="1066"/>
      <c r="R4465" s="1066"/>
      <c r="S4465" s="1066"/>
      <c r="T4465" s="1066"/>
      <c r="U4465" s="1066"/>
      <c r="V4465" s="1066"/>
      <c r="W4465" s="1066"/>
      <c r="X4465" s="1066"/>
      <c r="Y4465" s="1066"/>
      <c r="Z4465" s="1066"/>
      <c r="AA4465" s="1066"/>
      <c r="AB4465" s="1066"/>
      <c r="AC4465" s="1066"/>
      <c r="AD4465" s="1066"/>
      <c r="AE4465" s="1066"/>
      <c r="AF4465" s="1066"/>
      <c r="AG4465" s="1066"/>
      <c r="AH4465" s="1066"/>
      <c r="AI4465" s="1066"/>
      <c r="AJ4465" s="1066"/>
      <c r="AK4465" s="1066"/>
      <c r="AL4465" s="1066"/>
      <c r="AM4465" s="1066"/>
      <c r="AN4465" s="1066"/>
      <c r="AO4465" s="1066"/>
      <c r="AP4465" s="1066"/>
      <c r="AQ4465" s="1066"/>
      <c r="AR4465" s="1066"/>
      <c r="AS4465" s="1066"/>
      <c r="AT4465" s="1066"/>
      <c r="AU4465" s="1066"/>
      <c r="AV4465" s="1066"/>
      <c r="AW4465" s="1066"/>
      <c r="AX4465" s="1066"/>
      <c r="AY4465" s="1066"/>
      <c r="AZ4465" s="1066"/>
      <c r="BA4465" s="1066"/>
      <c r="BB4465" s="1066"/>
      <c r="BC4465" s="1066"/>
      <c r="BD4465" s="1066"/>
      <c r="BE4465" s="1066"/>
      <c r="BF4465" s="1066"/>
      <c r="BG4465" s="1066"/>
      <c r="BH4465" s="1066"/>
      <c r="BI4465" s="1066"/>
      <c r="BJ4465" s="1066"/>
      <c r="BK4465" s="1066"/>
      <c r="BL4465" s="1066"/>
    </row>
    <row r="4466" spans="1:64">
      <c r="A4466" s="1208"/>
      <c r="B4466" s="1208"/>
      <c r="C4466" s="1294" t="s">
        <v>1044</v>
      </c>
      <c r="D4466" s="1208"/>
      <c r="E4466" s="1208"/>
      <c r="F4466" s="1794"/>
      <c r="G4466" s="1208"/>
      <c r="H4466" s="1208"/>
      <c r="I4466" s="1209">
        <f>SUM(I4446:I4465)</f>
        <v>10364.140000000001</v>
      </c>
      <c r="J4466" s="1022"/>
      <c r="K4466" s="1022"/>
      <c r="L4466" s="1022"/>
      <c r="M4466" s="1066"/>
      <c r="N4466" s="1066"/>
      <c r="O4466" s="1066"/>
      <c r="P4466" s="1066"/>
      <c r="Q4466" s="1066"/>
      <c r="R4466" s="1066"/>
      <c r="S4466" s="1066"/>
      <c r="T4466" s="1066"/>
      <c r="U4466" s="1066"/>
      <c r="V4466" s="1066"/>
      <c r="W4466" s="1066"/>
      <c r="X4466" s="1066"/>
      <c r="Y4466" s="1066"/>
      <c r="Z4466" s="1066"/>
      <c r="AA4466" s="1066"/>
      <c r="AB4466" s="1066"/>
      <c r="AC4466" s="1066"/>
      <c r="AD4466" s="1066"/>
      <c r="AE4466" s="1066"/>
      <c r="AF4466" s="1066"/>
      <c r="AG4466" s="1066"/>
      <c r="AH4466" s="1066"/>
      <c r="AI4466" s="1066"/>
      <c r="AJ4466" s="1066"/>
      <c r="AK4466" s="1066"/>
      <c r="AL4466" s="1066"/>
      <c r="AM4466" s="1066"/>
      <c r="AN4466" s="1066"/>
      <c r="AO4466" s="1066"/>
      <c r="AP4466" s="1066"/>
      <c r="AQ4466" s="1066"/>
      <c r="AR4466" s="1066"/>
      <c r="AS4466" s="1066"/>
      <c r="AT4466" s="1066"/>
      <c r="AU4466" s="1066"/>
      <c r="AV4466" s="1066"/>
      <c r="AW4466" s="1066"/>
      <c r="AX4466" s="1066"/>
      <c r="AY4466" s="1066"/>
      <c r="AZ4466" s="1066"/>
      <c r="BA4466" s="1066"/>
      <c r="BB4466" s="1066"/>
      <c r="BC4466" s="1066"/>
      <c r="BD4466" s="1066"/>
      <c r="BE4466" s="1066"/>
      <c r="BF4466" s="1066"/>
      <c r="BG4466" s="1066"/>
      <c r="BH4466" s="1066"/>
      <c r="BI4466" s="1066"/>
      <c r="BJ4466" s="1066"/>
      <c r="BK4466" s="1066"/>
      <c r="BL4466" s="1066"/>
    </row>
    <row r="4467" spans="1:64">
      <c r="A4467" s="1208"/>
      <c r="B4467" s="1208"/>
      <c r="C4467" s="1294" t="s">
        <v>1045</v>
      </c>
      <c r="D4467" s="1208"/>
      <c r="E4467" s="1208"/>
      <c r="F4467" s="1794"/>
      <c r="G4467" s="1208"/>
      <c r="H4467" s="1208"/>
      <c r="I4467" s="1209">
        <f>I4466/10</f>
        <v>1036.4140000000002</v>
      </c>
      <c r="J4467" s="1022"/>
      <c r="K4467" s="1022"/>
      <c r="L4467" s="1022"/>
      <c r="M4467" s="1066"/>
      <c r="N4467" s="1066"/>
      <c r="O4467" s="1066"/>
      <c r="P4467" s="1066"/>
      <c r="Q4467" s="1066"/>
      <c r="R4467" s="1066"/>
      <c r="S4467" s="1066"/>
      <c r="T4467" s="1066"/>
      <c r="U4467" s="1066"/>
      <c r="V4467" s="1066"/>
      <c r="W4467" s="1066"/>
      <c r="X4467" s="1066"/>
      <c r="Y4467" s="1066"/>
      <c r="Z4467" s="1066"/>
      <c r="AA4467" s="1066"/>
      <c r="AB4467" s="1066"/>
      <c r="AC4467" s="1066"/>
      <c r="AD4467" s="1066"/>
      <c r="AE4467" s="1066"/>
      <c r="AF4467" s="1066"/>
      <c r="AG4467" s="1066"/>
      <c r="AH4467" s="1066"/>
      <c r="AI4467" s="1066"/>
      <c r="AJ4467" s="1066"/>
      <c r="AK4467" s="1066"/>
      <c r="AL4467" s="1066"/>
      <c r="AM4467" s="1066"/>
      <c r="AN4467" s="1066"/>
      <c r="AO4467" s="1066"/>
      <c r="AP4467" s="1066"/>
      <c r="AQ4467" s="1066"/>
      <c r="AR4467" s="1066"/>
      <c r="AS4467" s="1066"/>
      <c r="AT4467" s="1066"/>
      <c r="AU4467" s="1066"/>
      <c r="AV4467" s="1066"/>
      <c r="AW4467" s="1066"/>
      <c r="AX4467" s="1066"/>
      <c r="AY4467" s="1066"/>
      <c r="AZ4467" s="1066"/>
      <c r="BA4467" s="1066"/>
      <c r="BB4467" s="1066"/>
      <c r="BC4467" s="1066"/>
      <c r="BD4467" s="1066"/>
      <c r="BE4467" s="1066"/>
      <c r="BF4467" s="1066"/>
      <c r="BG4467" s="1066"/>
      <c r="BH4467" s="1066"/>
      <c r="BI4467" s="1066"/>
      <c r="BJ4467" s="1066"/>
      <c r="BK4467" s="1066"/>
      <c r="BL4467" s="1066"/>
    </row>
    <row r="4468" spans="1:64">
      <c r="A4468" s="1208"/>
      <c r="B4468" s="1208"/>
      <c r="C4468" s="1208" t="str">
        <f>Input!$C$48</f>
        <v>Overheads &amp; Contractors Profit @ 13.615%</v>
      </c>
      <c r="D4468" s="1208">
        <f>Input!$D$48</f>
        <v>0.13614999999999999</v>
      </c>
      <c r="E4468" s="1208"/>
      <c r="F4468" s="1794">
        <f>I4467</f>
        <v>1036.4140000000002</v>
      </c>
      <c r="G4468" s="1208"/>
      <c r="H4468" s="1208"/>
      <c r="I4468" s="1209">
        <f>IF(G4468="",D4468*F4468,(D4468*F4468/G4468))</f>
        <v>141.10776610000002</v>
      </c>
      <c r="J4468" s="1022"/>
      <c r="K4468" s="1022"/>
      <c r="L4468" s="1022"/>
      <c r="M4468" s="1066"/>
      <c r="N4468" s="1066"/>
      <c r="O4468" s="1066"/>
      <c r="P4468" s="1066"/>
      <c r="Q4468" s="1066"/>
      <c r="R4468" s="1066"/>
      <c r="S4468" s="1066"/>
      <c r="T4468" s="1066"/>
      <c r="U4468" s="1066"/>
      <c r="V4468" s="1066"/>
      <c r="W4468" s="1066"/>
      <c r="X4468" s="1066"/>
      <c r="Y4468" s="1066"/>
      <c r="Z4468" s="1066"/>
      <c r="AA4468" s="1066"/>
      <c r="AB4468" s="1066"/>
      <c r="AC4468" s="1066"/>
      <c r="AD4468" s="1066"/>
      <c r="AE4468" s="1066"/>
      <c r="AF4468" s="1066"/>
      <c r="AG4468" s="1066"/>
      <c r="AH4468" s="1066"/>
      <c r="AI4468" s="1066"/>
      <c r="AJ4468" s="1066"/>
      <c r="AK4468" s="1066"/>
      <c r="AL4468" s="1066"/>
      <c r="AM4468" s="1066"/>
      <c r="AN4468" s="1066"/>
      <c r="AO4468" s="1066"/>
      <c r="AP4468" s="1066"/>
      <c r="AQ4468" s="1066"/>
      <c r="AR4468" s="1066"/>
      <c r="AS4468" s="1066"/>
      <c r="AT4468" s="1066"/>
      <c r="AU4468" s="1066"/>
      <c r="AV4468" s="1066"/>
      <c r="AW4468" s="1066"/>
      <c r="AX4468" s="1066"/>
      <c r="AY4468" s="1066"/>
      <c r="AZ4468" s="1066"/>
      <c r="BA4468" s="1066"/>
      <c r="BB4468" s="1066"/>
      <c r="BC4468" s="1066"/>
      <c r="BD4468" s="1066"/>
      <c r="BE4468" s="1066"/>
      <c r="BF4468" s="1066"/>
      <c r="BG4468" s="1066"/>
      <c r="BH4468" s="1066"/>
      <c r="BI4468" s="1066"/>
      <c r="BJ4468" s="1066"/>
      <c r="BK4468" s="1066"/>
      <c r="BL4468" s="1066"/>
    </row>
    <row r="4469" spans="1:64">
      <c r="A4469" s="1208"/>
      <c r="B4469" s="1208"/>
      <c r="C4469" s="1294" t="s">
        <v>1045</v>
      </c>
      <c r="D4469" s="1208"/>
      <c r="E4469" s="1208"/>
      <c r="F4469" s="1794"/>
      <c r="G4469" s="1208"/>
      <c r="H4469" s="1208"/>
      <c r="I4469" s="1209">
        <f>SUM(I4467:I4468)</f>
        <v>1177.5217661000001</v>
      </c>
      <c r="J4469" s="1022"/>
      <c r="K4469" s="1022"/>
      <c r="L4469" s="1022"/>
      <c r="M4469" s="1066"/>
      <c r="N4469" s="1066"/>
      <c r="O4469" s="1066"/>
      <c r="P4469" s="1066"/>
      <c r="Q4469" s="1066"/>
      <c r="R4469" s="1066"/>
      <c r="S4469" s="1066"/>
      <c r="T4469" s="1066"/>
      <c r="U4469" s="1066"/>
      <c r="V4469" s="1066"/>
      <c r="W4469" s="1066"/>
      <c r="X4469" s="1066"/>
      <c r="Y4469" s="1066"/>
      <c r="Z4469" s="1066"/>
      <c r="AA4469" s="1066"/>
      <c r="AB4469" s="1066"/>
      <c r="AC4469" s="1066"/>
      <c r="AD4469" s="1066"/>
      <c r="AE4469" s="1066"/>
      <c r="AF4469" s="1066"/>
      <c r="AG4469" s="1066"/>
      <c r="AH4469" s="1066"/>
      <c r="AI4469" s="1066"/>
      <c r="AJ4469" s="1066"/>
      <c r="AK4469" s="1066"/>
      <c r="AL4469" s="1066"/>
      <c r="AM4469" s="1066"/>
      <c r="AN4469" s="1066"/>
      <c r="AO4469" s="1066"/>
      <c r="AP4469" s="1066"/>
      <c r="AQ4469" s="1066"/>
      <c r="AR4469" s="1066"/>
      <c r="AS4469" s="1066"/>
      <c r="AT4469" s="1066"/>
      <c r="AU4469" s="1066"/>
      <c r="AV4469" s="1066"/>
      <c r="AW4469" s="1066"/>
      <c r="AX4469" s="1066"/>
      <c r="AY4469" s="1066"/>
      <c r="AZ4469" s="1066"/>
      <c r="BA4469" s="1066"/>
      <c r="BB4469" s="1066"/>
      <c r="BC4469" s="1066"/>
      <c r="BD4469" s="1066"/>
      <c r="BE4469" s="1066"/>
      <c r="BF4469" s="1066"/>
      <c r="BG4469" s="1066"/>
      <c r="BH4469" s="1066"/>
      <c r="BI4469" s="1066"/>
      <c r="BJ4469" s="1066"/>
      <c r="BK4469" s="1066"/>
      <c r="BL4469" s="1066"/>
    </row>
    <row r="4470" spans="1:64">
      <c r="A4470" s="1208"/>
      <c r="B4470" s="1208"/>
      <c r="C4470" s="1208"/>
      <c r="D4470" s="1208"/>
      <c r="E4470" s="1208"/>
      <c r="F4470" s="1794"/>
      <c r="G4470" s="1208"/>
      <c r="H4470" s="1391" t="s">
        <v>1511</v>
      </c>
      <c r="I4470" s="1357">
        <f>ROUND(I4469,0)</f>
        <v>1178</v>
      </c>
      <c r="J4470" s="1022"/>
      <c r="K4470" s="1022"/>
      <c r="L4470" s="1022"/>
      <c r="M4470" s="1066"/>
      <c r="N4470" s="1066"/>
      <c r="O4470" s="1066"/>
      <c r="P4470" s="1066"/>
      <c r="Q4470" s="1066"/>
      <c r="R4470" s="1066"/>
      <c r="S4470" s="1066"/>
      <c r="T4470" s="1066"/>
      <c r="U4470" s="1066"/>
      <c r="V4470" s="1066"/>
      <c r="W4470" s="1066"/>
      <c r="X4470" s="1066"/>
      <c r="Y4470" s="1066"/>
      <c r="Z4470" s="1066"/>
      <c r="AA4470" s="1066"/>
      <c r="AB4470" s="1066"/>
      <c r="AC4470" s="1066"/>
      <c r="AD4470" s="1066"/>
      <c r="AE4470" s="1066"/>
      <c r="AF4470" s="1066"/>
      <c r="AG4470" s="1066"/>
      <c r="AH4470" s="1066"/>
      <c r="AI4470" s="1066"/>
      <c r="AJ4470" s="1066"/>
      <c r="AK4470" s="1066"/>
      <c r="AL4470" s="1066"/>
      <c r="AM4470" s="1066"/>
      <c r="AN4470" s="1066"/>
      <c r="AO4470" s="1066"/>
      <c r="AP4470" s="1066"/>
      <c r="AQ4470" s="1066"/>
      <c r="AR4470" s="1066"/>
      <c r="AS4470" s="1066"/>
      <c r="AT4470" s="1066"/>
      <c r="AU4470" s="1066"/>
      <c r="AV4470" s="1066"/>
      <c r="AW4470" s="1066"/>
      <c r="AX4470" s="1066"/>
      <c r="AY4470" s="1066"/>
      <c r="AZ4470" s="1066"/>
      <c r="BA4470" s="1066"/>
      <c r="BB4470" s="1066"/>
      <c r="BC4470" s="1066"/>
      <c r="BD4470" s="1066"/>
      <c r="BE4470" s="1066"/>
      <c r="BF4470" s="1066"/>
      <c r="BG4470" s="1066"/>
      <c r="BH4470" s="1066"/>
      <c r="BI4470" s="1066"/>
      <c r="BJ4470" s="1066"/>
      <c r="BK4470" s="1066"/>
      <c r="BL4470" s="1066"/>
    </row>
    <row r="4471" spans="1:64">
      <c r="A4471" s="1798"/>
      <c r="B4471" s="1200"/>
      <c r="C4471" s="1807"/>
      <c r="D4471" s="1203"/>
      <c r="E4471" s="1199"/>
      <c r="F4471" s="1201"/>
      <c r="G4471" s="1204"/>
      <c r="H4471" s="1199"/>
      <c r="I4471" s="1201"/>
      <c r="J4471" s="1846"/>
      <c r="K4471" s="1846"/>
      <c r="L4471" s="1846"/>
    </row>
    <row r="4472" spans="1:64" ht="92.45" customHeight="1">
      <c r="A4472" s="2013">
        <f>1+A4433</f>
        <v>72</v>
      </c>
      <c r="B4472" s="2013"/>
      <c r="C4472" s="2022" t="s">
        <v>1680</v>
      </c>
      <c r="D4472" s="2022"/>
      <c r="E4472" s="2022"/>
      <c r="F4472" s="2022"/>
      <c r="G4472" s="2022"/>
      <c r="H4472" s="2022"/>
      <c r="I4472" s="1814"/>
      <c r="J4472" s="1846"/>
      <c r="K4472" s="1846"/>
      <c r="L4472" s="1846"/>
    </row>
    <row r="4473" spans="1:64">
      <c r="A4473" s="1798"/>
      <c r="B4473" s="1200"/>
      <c r="C4473" s="1199" t="s">
        <v>1364</v>
      </c>
      <c r="D4473" s="1807"/>
      <c r="E4473" s="1807"/>
      <c r="F4473" s="1794"/>
      <c r="G4473" s="1807"/>
      <c r="H4473" s="1807"/>
      <c r="I4473" s="1209"/>
      <c r="J4473" s="1846"/>
      <c r="K4473" s="1846"/>
      <c r="L4473" s="1846"/>
    </row>
    <row r="4474" spans="1:64">
      <c r="A4474" s="1798"/>
      <c r="B4474" s="1200"/>
      <c r="C4474" s="1795" t="s">
        <v>1395</v>
      </c>
      <c r="D4474" s="1203"/>
      <c r="E4474" s="1199"/>
      <c r="F4474" s="1201"/>
      <c r="G4474" s="1204"/>
      <c r="H4474" s="1379"/>
      <c r="I4474" s="1205"/>
      <c r="J4474" s="1846"/>
      <c r="K4474" s="1846"/>
      <c r="L4474" s="1846"/>
    </row>
    <row r="4475" spans="1:64" ht="25.5">
      <c r="A4475" s="1794"/>
      <c r="B4475" s="1794"/>
      <c r="C4475" s="1807" t="s">
        <v>1681</v>
      </c>
      <c r="D4475" s="1207">
        <v>10.5</v>
      </c>
      <c r="E4475" s="1208" t="s">
        <v>94</v>
      </c>
      <c r="F4475" s="1209">
        <f>'Civil-SOR'!$G$36</f>
        <v>434</v>
      </c>
      <c r="G4475" s="1210">
        <v>1</v>
      </c>
      <c r="H4475" s="1350" t="s">
        <v>94</v>
      </c>
      <c r="I4475" s="1211">
        <f t="shared" ref="I4475:I4479" si="978">IF(G4475="",D4475*F4475,(D4475*F4475/G4475))</f>
        <v>4557</v>
      </c>
      <c r="J4475" s="1137"/>
      <c r="K4475" s="1022"/>
      <c r="L4475" s="1022"/>
      <c r="M4475" s="1066"/>
      <c r="N4475" s="1066"/>
      <c r="O4475" s="1066"/>
      <c r="P4475" s="1066"/>
      <c r="Q4475" s="1066"/>
      <c r="R4475" s="1066"/>
      <c r="S4475" s="1066"/>
      <c r="T4475" s="1066"/>
      <c r="U4475" s="1066"/>
      <c r="V4475" s="1066"/>
      <c r="W4475" s="1066"/>
      <c r="X4475" s="1066"/>
      <c r="Y4475" s="1066"/>
      <c r="Z4475" s="1066"/>
      <c r="AA4475" s="1066"/>
      <c r="AB4475" s="1066"/>
      <c r="AC4475" s="1066"/>
      <c r="AD4475" s="1066"/>
      <c r="AE4475" s="1066"/>
      <c r="AF4475" s="1066"/>
      <c r="AG4475" s="1066"/>
      <c r="AH4475" s="1066"/>
      <c r="AI4475" s="1066"/>
      <c r="AJ4475" s="1066"/>
      <c r="AK4475" s="1066"/>
      <c r="AL4475" s="1066"/>
      <c r="AM4475" s="1066"/>
      <c r="AN4475" s="1066"/>
      <c r="AO4475" s="1066"/>
      <c r="AP4475" s="1066"/>
      <c r="AQ4475" s="1066"/>
      <c r="AR4475" s="1066"/>
      <c r="AS4475" s="1066"/>
      <c r="AT4475" s="1066"/>
      <c r="AU4475" s="1066"/>
      <c r="AV4475" s="1066"/>
      <c r="AW4475" s="1066"/>
      <c r="AX4475" s="1066"/>
      <c r="AY4475" s="1066"/>
      <c r="AZ4475" s="1066"/>
      <c r="BA4475" s="1066"/>
      <c r="BB4475" s="1066"/>
      <c r="BC4475" s="1066"/>
      <c r="BD4475" s="1066"/>
      <c r="BE4475" s="1066"/>
      <c r="BF4475" s="1066"/>
      <c r="BG4475" s="1066"/>
      <c r="BH4475" s="1066"/>
      <c r="BI4475" s="1066"/>
      <c r="BJ4475" s="1066"/>
      <c r="BK4475" s="1066"/>
      <c r="BL4475" s="1066"/>
    </row>
    <row r="4476" spans="1:64" ht="25.5">
      <c r="A4476" s="1794"/>
      <c r="B4476" s="1794"/>
      <c r="C4476" s="1807" t="s">
        <v>1682</v>
      </c>
      <c r="D4476" s="1208">
        <v>47.91</v>
      </c>
      <c r="E4476" s="1208" t="s">
        <v>36</v>
      </c>
      <c r="F4476" s="1209">
        <f>'Civil-SOR'!$G$37</f>
        <v>8</v>
      </c>
      <c r="G4476" s="1210">
        <v>1</v>
      </c>
      <c r="H4476" s="1350" t="s">
        <v>39</v>
      </c>
      <c r="I4476" s="1211">
        <f t="shared" si="978"/>
        <v>383.28</v>
      </c>
      <c r="J4476" s="1137"/>
      <c r="K4476" s="1022"/>
      <c r="L4476" s="1022"/>
      <c r="M4476" s="1066"/>
      <c r="N4476" s="1066"/>
      <c r="O4476" s="1066"/>
      <c r="P4476" s="1066"/>
      <c r="Q4476" s="1066"/>
      <c r="R4476" s="1066"/>
      <c r="S4476" s="1066"/>
      <c r="T4476" s="1066"/>
      <c r="U4476" s="1066"/>
      <c r="V4476" s="1066"/>
      <c r="W4476" s="1066"/>
      <c r="X4476" s="1066"/>
      <c r="Y4476" s="1066"/>
      <c r="Z4476" s="1066"/>
      <c r="AA4476" s="1066"/>
      <c r="AB4476" s="1066"/>
      <c r="AC4476" s="1066"/>
      <c r="AD4476" s="1066"/>
      <c r="AE4476" s="1066"/>
      <c r="AF4476" s="1066"/>
      <c r="AG4476" s="1066"/>
      <c r="AH4476" s="1066"/>
      <c r="AI4476" s="1066"/>
      <c r="AJ4476" s="1066"/>
      <c r="AK4476" s="1066"/>
      <c r="AL4476" s="1066"/>
      <c r="AM4476" s="1066"/>
      <c r="AN4476" s="1066"/>
      <c r="AO4476" s="1066"/>
      <c r="AP4476" s="1066"/>
      <c r="AQ4476" s="1066"/>
      <c r="AR4476" s="1066"/>
      <c r="AS4476" s="1066"/>
      <c r="AT4476" s="1066"/>
      <c r="AU4476" s="1066"/>
      <c r="AV4476" s="1066"/>
      <c r="AW4476" s="1066"/>
      <c r="AX4476" s="1066"/>
      <c r="AY4476" s="1066"/>
      <c r="AZ4476" s="1066"/>
      <c r="BA4476" s="1066"/>
      <c r="BB4476" s="1066"/>
      <c r="BC4476" s="1066"/>
      <c r="BD4476" s="1066"/>
      <c r="BE4476" s="1066"/>
      <c r="BF4476" s="1066"/>
      <c r="BG4476" s="1066"/>
      <c r="BH4476" s="1066"/>
      <c r="BI4476" s="1066"/>
      <c r="BJ4476" s="1066"/>
      <c r="BK4476" s="1066"/>
      <c r="BL4476" s="1066"/>
    </row>
    <row r="4477" spans="1:64" ht="38.25">
      <c r="A4477" s="1794"/>
      <c r="B4477" s="1794"/>
      <c r="C4477" s="1807" t="s">
        <v>1683</v>
      </c>
      <c r="D4477" s="1207">
        <v>43.9</v>
      </c>
      <c r="E4477" s="1208" t="s">
        <v>36</v>
      </c>
      <c r="F4477" s="1209">
        <f>'Civil-SOR'!$G$38</f>
        <v>12</v>
      </c>
      <c r="G4477" s="1210">
        <v>1</v>
      </c>
      <c r="H4477" s="1350" t="s">
        <v>39</v>
      </c>
      <c r="I4477" s="1211">
        <f t="shared" si="978"/>
        <v>526.79999999999995</v>
      </c>
      <c r="J4477" s="1137"/>
      <c r="K4477" s="1022"/>
      <c r="L4477" s="1022"/>
      <c r="M4477" s="1066"/>
      <c r="N4477" s="1066"/>
      <c r="O4477" s="1066"/>
      <c r="P4477" s="1066"/>
      <c r="Q4477" s="1066"/>
      <c r="R4477" s="1066"/>
      <c r="S4477" s="1066"/>
      <c r="T4477" s="1066"/>
      <c r="U4477" s="1066"/>
      <c r="V4477" s="1066"/>
      <c r="W4477" s="1066"/>
      <c r="X4477" s="1066"/>
      <c r="Y4477" s="1066"/>
      <c r="Z4477" s="1066"/>
      <c r="AA4477" s="1066"/>
      <c r="AB4477" s="1066"/>
      <c r="AC4477" s="1066"/>
      <c r="AD4477" s="1066"/>
      <c r="AE4477" s="1066"/>
      <c r="AF4477" s="1066"/>
      <c r="AG4477" s="1066"/>
      <c r="AH4477" s="1066"/>
      <c r="AI4477" s="1066"/>
      <c r="AJ4477" s="1066"/>
      <c r="AK4477" s="1066"/>
      <c r="AL4477" s="1066"/>
      <c r="AM4477" s="1066"/>
      <c r="AN4477" s="1066"/>
      <c r="AO4477" s="1066"/>
      <c r="AP4477" s="1066"/>
      <c r="AQ4477" s="1066"/>
      <c r="AR4477" s="1066"/>
      <c r="AS4477" s="1066"/>
      <c r="AT4477" s="1066"/>
      <c r="AU4477" s="1066"/>
      <c r="AV4477" s="1066"/>
      <c r="AW4477" s="1066"/>
      <c r="AX4477" s="1066"/>
      <c r="AY4477" s="1066"/>
      <c r="AZ4477" s="1066"/>
      <c r="BA4477" s="1066"/>
      <c r="BB4477" s="1066"/>
      <c r="BC4477" s="1066"/>
      <c r="BD4477" s="1066"/>
      <c r="BE4477" s="1066"/>
      <c r="BF4477" s="1066"/>
      <c r="BG4477" s="1066"/>
      <c r="BH4477" s="1066"/>
      <c r="BI4477" s="1066"/>
      <c r="BJ4477" s="1066"/>
      <c r="BK4477" s="1066"/>
      <c r="BL4477" s="1066"/>
    </row>
    <row r="4478" spans="1:64" ht="25.5">
      <c r="A4478" s="1794"/>
      <c r="B4478" s="1794"/>
      <c r="C4478" s="1807" t="s">
        <v>1684</v>
      </c>
      <c r="D4478" s="1207">
        <v>91.82</v>
      </c>
      <c r="E4478" s="1208" t="s">
        <v>36</v>
      </c>
      <c r="F4478" s="1209">
        <f>'Civil-SOR'!$G$40</f>
        <v>4</v>
      </c>
      <c r="G4478" s="1210">
        <v>1</v>
      </c>
      <c r="H4478" s="1350" t="s">
        <v>39</v>
      </c>
      <c r="I4478" s="1211">
        <f t="shared" si="978"/>
        <v>367.28</v>
      </c>
      <c r="J4478" s="1137"/>
      <c r="K4478" s="1022"/>
      <c r="L4478" s="1022"/>
      <c r="M4478" s="1066"/>
      <c r="N4478" s="1066"/>
      <c r="O4478" s="1066"/>
      <c r="P4478" s="1066"/>
      <c r="Q4478" s="1066"/>
      <c r="R4478" s="1066"/>
      <c r="S4478" s="1066"/>
      <c r="T4478" s="1066"/>
      <c r="U4478" s="1066"/>
      <c r="V4478" s="1066"/>
      <c r="W4478" s="1066"/>
      <c r="X4478" s="1066"/>
      <c r="Y4478" s="1066"/>
      <c r="Z4478" s="1066"/>
      <c r="AA4478" s="1066"/>
      <c r="AB4478" s="1066"/>
      <c r="AC4478" s="1066"/>
      <c r="AD4478" s="1066"/>
      <c r="AE4478" s="1066"/>
      <c r="AF4478" s="1066"/>
      <c r="AG4478" s="1066"/>
      <c r="AH4478" s="1066"/>
      <c r="AI4478" s="1066"/>
      <c r="AJ4478" s="1066"/>
      <c r="AK4478" s="1066"/>
      <c r="AL4478" s="1066"/>
      <c r="AM4478" s="1066"/>
      <c r="AN4478" s="1066"/>
      <c r="AO4478" s="1066"/>
      <c r="AP4478" s="1066"/>
      <c r="AQ4478" s="1066"/>
      <c r="AR4478" s="1066"/>
      <c r="AS4478" s="1066"/>
      <c r="AT4478" s="1066"/>
      <c r="AU4478" s="1066"/>
      <c r="AV4478" s="1066"/>
      <c r="AW4478" s="1066"/>
      <c r="AX4478" s="1066"/>
      <c r="AY4478" s="1066"/>
      <c r="AZ4478" s="1066"/>
      <c r="BA4478" s="1066"/>
      <c r="BB4478" s="1066"/>
      <c r="BC4478" s="1066"/>
      <c r="BD4478" s="1066"/>
      <c r="BE4478" s="1066"/>
      <c r="BF4478" s="1066"/>
      <c r="BG4478" s="1066"/>
      <c r="BH4478" s="1066"/>
      <c r="BI4478" s="1066"/>
      <c r="BJ4478" s="1066"/>
      <c r="BK4478" s="1066"/>
      <c r="BL4478" s="1066"/>
    </row>
    <row r="4479" spans="1:64">
      <c r="A4479" s="1794"/>
      <c r="B4479" s="1794"/>
      <c r="C4479" s="1807" t="s">
        <v>1670</v>
      </c>
      <c r="D4479" s="1207">
        <v>91.82</v>
      </c>
      <c r="E4479" s="1208" t="s">
        <v>36</v>
      </c>
      <c r="F4479" s="1209">
        <f>'Civil-SOR'!$G$41</f>
        <v>4</v>
      </c>
      <c r="G4479" s="1210">
        <v>1</v>
      </c>
      <c r="H4479" s="1350" t="s">
        <v>39</v>
      </c>
      <c r="I4479" s="1211">
        <f t="shared" si="978"/>
        <v>367.28</v>
      </c>
      <c r="J4479" s="1137"/>
      <c r="K4479" s="1022"/>
      <c r="L4479" s="1022"/>
      <c r="M4479" s="1066"/>
      <c r="N4479" s="1066"/>
      <c r="O4479" s="1066"/>
      <c r="P4479" s="1066"/>
      <c r="Q4479" s="1066"/>
      <c r="R4479" s="1066"/>
      <c r="S4479" s="1066"/>
      <c r="T4479" s="1066"/>
      <c r="U4479" s="1066"/>
      <c r="V4479" s="1066"/>
      <c r="W4479" s="1066"/>
      <c r="X4479" s="1066"/>
      <c r="Y4479" s="1066"/>
      <c r="Z4479" s="1066"/>
      <c r="AA4479" s="1066"/>
      <c r="AB4479" s="1066"/>
      <c r="AC4479" s="1066"/>
      <c r="AD4479" s="1066"/>
      <c r="AE4479" s="1066"/>
      <c r="AF4479" s="1066"/>
      <c r="AG4479" s="1066"/>
      <c r="AH4479" s="1066"/>
      <c r="AI4479" s="1066"/>
      <c r="AJ4479" s="1066"/>
      <c r="AK4479" s="1066"/>
      <c r="AL4479" s="1066"/>
      <c r="AM4479" s="1066"/>
      <c r="AN4479" s="1066"/>
      <c r="AO4479" s="1066"/>
      <c r="AP4479" s="1066"/>
      <c r="AQ4479" s="1066"/>
      <c r="AR4479" s="1066"/>
      <c r="AS4479" s="1066"/>
      <c r="AT4479" s="1066"/>
      <c r="AU4479" s="1066"/>
      <c r="AV4479" s="1066"/>
      <c r="AW4479" s="1066"/>
      <c r="AX4479" s="1066"/>
      <c r="AY4479" s="1066"/>
      <c r="AZ4479" s="1066"/>
      <c r="BA4479" s="1066"/>
      <c r="BB4479" s="1066"/>
      <c r="BC4479" s="1066"/>
      <c r="BD4479" s="1066"/>
      <c r="BE4479" s="1066"/>
      <c r="BF4479" s="1066"/>
      <c r="BG4479" s="1066"/>
      <c r="BH4479" s="1066"/>
      <c r="BI4479" s="1066"/>
      <c r="BJ4479" s="1066"/>
      <c r="BK4479" s="1066"/>
      <c r="BL4479" s="1066"/>
    </row>
    <row r="4480" spans="1:64">
      <c r="A4480" s="1794"/>
      <c r="B4480" s="1794"/>
      <c r="C4480" s="1795" t="s">
        <v>1298</v>
      </c>
      <c r="D4480" s="1207"/>
      <c r="E4480" s="1208"/>
      <c r="F4480" s="1209"/>
      <c r="G4480" s="1210"/>
      <c r="H4480" s="1350"/>
      <c r="I4480" s="1211"/>
      <c r="J4480" s="1137"/>
      <c r="K4480" s="1022"/>
      <c r="L4480" s="1022"/>
      <c r="M4480" s="1066"/>
      <c r="N4480" s="1066"/>
      <c r="O4480" s="1066"/>
      <c r="P4480" s="1066"/>
      <c r="Q4480" s="1066"/>
      <c r="R4480" s="1066"/>
      <c r="S4480" s="1066"/>
      <c r="T4480" s="1066"/>
      <c r="U4480" s="1066"/>
      <c r="V4480" s="1066"/>
      <c r="W4480" s="1066"/>
      <c r="X4480" s="1066"/>
      <c r="Y4480" s="1066"/>
      <c r="Z4480" s="1066"/>
      <c r="AA4480" s="1066"/>
      <c r="AB4480" s="1066"/>
      <c r="AC4480" s="1066"/>
      <c r="AD4480" s="1066"/>
      <c r="AE4480" s="1066"/>
      <c r="AF4480" s="1066"/>
      <c r="AG4480" s="1066"/>
      <c r="AH4480" s="1066"/>
      <c r="AI4480" s="1066"/>
      <c r="AJ4480" s="1066"/>
      <c r="AK4480" s="1066"/>
      <c r="AL4480" s="1066"/>
      <c r="AM4480" s="1066"/>
      <c r="AN4480" s="1066"/>
      <c r="AO4480" s="1066"/>
      <c r="AP4480" s="1066"/>
      <c r="AQ4480" s="1066"/>
      <c r="AR4480" s="1066"/>
      <c r="AS4480" s="1066"/>
      <c r="AT4480" s="1066"/>
      <c r="AU4480" s="1066"/>
      <c r="AV4480" s="1066"/>
      <c r="AW4480" s="1066"/>
      <c r="AX4480" s="1066"/>
      <c r="AY4480" s="1066"/>
      <c r="AZ4480" s="1066"/>
      <c r="BA4480" s="1066"/>
      <c r="BB4480" s="1066"/>
      <c r="BC4480" s="1066"/>
      <c r="BD4480" s="1066"/>
      <c r="BE4480" s="1066"/>
      <c r="BF4480" s="1066"/>
      <c r="BG4480" s="1066"/>
      <c r="BH4480" s="1066"/>
      <c r="BI4480" s="1066"/>
      <c r="BJ4480" s="1066"/>
      <c r="BK4480" s="1066"/>
      <c r="BL4480" s="1066"/>
    </row>
    <row r="4481" spans="1:64">
      <c r="A4481" s="1794"/>
      <c r="B4481" s="1794"/>
      <c r="C4481" s="1807" t="s">
        <v>1673</v>
      </c>
      <c r="D4481" s="1207"/>
      <c r="E4481" s="1208"/>
      <c r="F4481" s="1209"/>
      <c r="G4481" s="1210"/>
      <c r="H4481" s="1350"/>
      <c r="I4481" s="1211"/>
      <c r="J4481" s="1137"/>
      <c r="K4481" s="1022"/>
      <c r="L4481" s="1022"/>
      <c r="M4481" s="1066"/>
      <c r="N4481" s="1066"/>
      <c r="O4481" s="1066"/>
      <c r="P4481" s="1066"/>
      <c r="Q4481" s="1066"/>
      <c r="R4481" s="1066"/>
      <c r="S4481" s="1066"/>
      <c r="T4481" s="1066"/>
      <c r="U4481" s="1066"/>
      <c r="V4481" s="1066"/>
      <c r="W4481" s="1066"/>
      <c r="X4481" s="1066"/>
      <c r="Y4481" s="1066"/>
      <c r="Z4481" s="1066"/>
      <c r="AA4481" s="1066"/>
      <c r="AB4481" s="1066"/>
      <c r="AC4481" s="1066"/>
      <c r="AD4481" s="1066"/>
      <c r="AE4481" s="1066"/>
      <c r="AF4481" s="1066"/>
      <c r="AG4481" s="1066"/>
      <c r="AH4481" s="1066"/>
      <c r="AI4481" s="1066"/>
      <c r="AJ4481" s="1066"/>
      <c r="AK4481" s="1066"/>
      <c r="AL4481" s="1066"/>
      <c r="AM4481" s="1066"/>
      <c r="AN4481" s="1066"/>
      <c r="AO4481" s="1066"/>
      <c r="AP4481" s="1066"/>
      <c r="AQ4481" s="1066"/>
      <c r="AR4481" s="1066"/>
      <c r="AS4481" s="1066"/>
      <c r="AT4481" s="1066"/>
      <c r="AU4481" s="1066"/>
      <c r="AV4481" s="1066"/>
      <c r="AW4481" s="1066"/>
      <c r="AX4481" s="1066"/>
      <c r="AY4481" s="1066"/>
      <c r="AZ4481" s="1066"/>
      <c r="BA4481" s="1066"/>
      <c r="BB4481" s="1066"/>
      <c r="BC4481" s="1066"/>
      <c r="BD4481" s="1066"/>
      <c r="BE4481" s="1066"/>
      <c r="BF4481" s="1066"/>
      <c r="BG4481" s="1066"/>
      <c r="BH4481" s="1066"/>
      <c r="BI4481" s="1066"/>
      <c r="BJ4481" s="1066"/>
      <c r="BK4481" s="1066"/>
      <c r="BL4481" s="1066"/>
    </row>
    <row r="4482" spans="1:64">
      <c r="A4482" s="1794"/>
      <c r="B4482" s="1794"/>
      <c r="C4482" s="1807" t="s">
        <v>1674</v>
      </c>
      <c r="D4482" s="1207">
        <v>0.84</v>
      </c>
      <c r="E4482" s="1208" t="s">
        <v>36</v>
      </c>
      <c r="F4482" s="1209">
        <f>'Civil-SOR'!$G$300</f>
        <v>550</v>
      </c>
      <c r="G4482" s="1210">
        <v>1</v>
      </c>
      <c r="H4482" s="1350" t="s">
        <v>39</v>
      </c>
      <c r="I4482" s="1211">
        <f t="shared" ref="I4482:I4484" si="979">IF(G4482="",D4482*F4482,(D4482*F4482/G4482))</f>
        <v>462</v>
      </c>
      <c r="J4482" s="1137"/>
      <c r="K4482" s="1022"/>
      <c r="L4482" s="1022"/>
      <c r="M4482" s="1066"/>
      <c r="N4482" s="1066"/>
      <c r="O4482" s="1066"/>
      <c r="P4482" s="1066"/>
      <c r="Q4482" s="1066"/>
      <c r="R4482" s="1066"/>
      <c r="S4482" s="1066"/>
      <c r="T4482" s="1066"/>
      <c r="U4482" s="1066"/>
      <c r="V4482" s="1066"/>
      <c r="W4482" s="1066"/>
      <c r="X4482" s="1066"/>
      <c r="Y4482" s="1066"/>
      <c r="Z4482" s="1066"/>
      <c r="AA4482" s="1066"/>
      <c r="AB4482" s="1066"/>
      <c r="AC4482" s="1066"/>
      <c r="AD4482" s="1066"/>
      <c r="AE4482" s="1066"/>
      <c r="AF4482" s="1066"/>
      <c r="AG4482" s="1066"/>
      <c r="AH4482" s="1066"/>
      <c r="AI4482" s="1066"/>
      <c r="AJ4482" s="1066"/>
      <c r="AK4482" s="1066"/>
      <c r="AL4482" s="1066"/>
      <c r="AM4482" s="1066"/>
      <c r="AN4482" s="1066"/>
      <c r="AO4482" s="1066"/>
      <c r="AP4482" s="1066"/>
      <c r="AQ4482" s="1066"/>
      <c r="AR4482" s="1066"/>
      <c r="AS4482" s="1066"/>
      <c r="AT4482" s="1066"/>
      <c r="AU4482" s="1066"/>
      <c r="AV4482" s="1066"/>
      <c r="AW4482" s="1066"/>
      <c r="AX4482" s="1066"/>
      <c r="AY4482" s="1066"/>
      <c r="AZ4482" s="1066"/>
      <c r="BA4482" s="1066"/>
      <c r="BB4482" s="1066"/>
      <c r="BC4482" s="1066"/>
      <c r="BD4482" s="1066"/>
      <c r="BE4482" s="1066"/>
      <c r="BF4482" s="1066"/>
      <c r="BG4482" s="1066"/>
      <c r="BH4482" s="1066"/>
      <c r="BI4482" s="1066"/>
      <c r="BJ4482" s="1066"/>
      <c r="BK4482" s="1066"/>
      <c r="BL4482" s="1066"/>
    </row>
    <row r="4483" spans="1:64">
      <c r="A4483" s="1794"/>
      <c r="B4483" s="1794"/>
      <c r="C4483" s="1807" t="s">
        <v>1675</v>
      </c>
      <c r="D4483" s="1207">
        <v>0.91</v>
      </c>
      <c r="E4483" s="1208" t="s">
        <v>36</v>
      </c>
      <c r="F4483" s="1209">
        <f>'Civil-SOR'!$G$307</f>
        <v>520</v>
      </c>
      <c r="G4483" s="1210">
        <v>1</v>
      </c>
      <c r="H4483" s="1350" t="s">
        <v>39</v>
      </c>
      <c r="I4483" s="1211">
        <f t="shared" si="979"/>
        <v>473.2</v>
      </c>
      <c r="J4483" s="1137"/>
      <c r="K4483" s="1022"/>
      <c r="L4483" s="1022"/>
      <c r="M4483" s="1066"/>
      <c r="N4483" s="1066"/>
      <c r="O4483" s="1066"/>
      <c r="P4483" s="1066"/>
      <c r="Q4483" s="1066"/>
      <c r="R4483" s="1066"/>
      <c r="S4483" s="1066"/>
      <c r="T4483" s="1066"/>
      <c r="U4483" s="1066"/>
      <c r="V4483" s="1066"/>
      <c r="W4483" s="1066"/>
      <c r="X4483" s="1066"/>
      <c r="Y4483" s="1066"/>
      <c r="Z4483" s="1066"/>
      <c r="AA4483" s="1066"/>
      <c r="AB4483" s="1066"/>
      <c r="AC4483" s="1066"/>
      <c r="AD4483" s="1066"/>
      <c r="AE4483" s="1066"/>
      <c r="AF4483" s="1066"/>
      <c r="AG4483" s="1066"/>
      <c r="AH4483" s="1066"/>
      <c r="AI4483" s="1066"/>
      <c r="AJ4483" s="1066"/>
      <c r="AK4483" s="1066"/>
      <c r="AL4483" s="1066"/>
      <c r="AM4483" s="1066"/>
      <c r="AN4483" s="1066"/>
      <c r="AO4483" s="1066"/>
      <c r="AP4483" s="1066"/>
      <c r="AQ4483" s="1066"/>
      <c r="AR4483" s="1066"/>
      <c r="AS4483" s="1066"/>
      <c r="AT4483" s="1066"/>
      <c r="AU4483" s="1066"/>
      <c r="AV4483" s="1066"/>
      <c r="AW4483" s="1066"/>
      <c r="AX4483" s="1066"/>
      <c r="AY4483" s="1066"/>
      <c r="AZ4483" s="1066"/>
      <c r="BA4483" s="1066"/>
      <c r="BB4483" s="1066"/>
      <c r="BC4483" s="1066"/>
      <c r="BD4483" s="1066"/>
      <c r="BE4483" s="1066"/>
      <c r="BF4483" s="1066"/>
      <c r="BG4483" s="1066"/>
      <c r="BH4483" s="1066"/>
      <c r="BI4483" s="1066"/>
      <c r="BJ4483" s="1066"/>
      <c r="BK4483" s="1066"/>
      <c r="BL4483" s="1066"/>
    </row>
    <row r="4484" spans="1:64">
      <c r="A4484" s="1794"/>
      <c r="B4484" s="1794"/>
      <c r="C4484" s="1807" t="str">
        <f>Input!$C$47</f>
        <v>Add for MA @ 40%</v>
      </c>
      <c r="D4484" s="1207">
        <f>Input!$D$47</f>
        <v>0.4</v>
      </c>
      <c r="E4484" s="1208"/>
      <c r="F4484" s="1209">
        <f>SUM(I4482:I4483)</f>
        <v>935.2</v>
      </c>
      <c r="G4484" s="1210"/>
      <c r="H4484" s="1350"/>
      <c r="I4484" s="1211">
        <f t="shared" si="979"/>
        <v>374.08000000000004</v>
      </c>
      <c r="J4484" s="1137"/>
      <c r="K4484" s="1022"/>
      <c r="L4484" s="1022"/>
      <c r="M4484" s="1066"/>
      <c r="N4484" s="1066"/>
      <c r="O4484" s="1066"/>
      <c r="P4484" s="1066"/>
      <c r="Q4484" s="1066"/>
      <c r="R4484" s="1066"/>
      <c r="S4484" s="1066"/>
      <c r="T4484" s="1066"/>
      <c r="U4484" s="1066"/>
      <c r="V4484" s="1066"/>
      <c r="W4484" s="1066"/>
      <c r="X4484" s="1066"/>
      <c r="Y4484" s="1066"/>
      <c r="Z4484" s="1066"/>
      <c r="AA4484" s="1066"/>
      <c r="AB4484" s="1066"/>
      <c r="AC4484" s="1066"/>
      <c r="AD4484" s="1066"/>
      <c r="AE4484" s="1066"/>
      <c r="AF4484" s="1066"/>
      <c r="AG4484" s="1066"/>
      <c r="AH4484" s="1066"/>
      <c r="AI4484" s="1066"/>
      <c r="AJ4484" s="1066"/>
      <c r="AK4484" s="1066"/>
      <c r="AL4484" s="1066"/>
      <c r="AM4484" s="1066"/>
      <c r="AN4484" s="1066"/>
      <c r="AO4484" s="1066"/>
      <c r="AP4484" s="1066"/>
      <c r="AQ4484" s="1066"/>
      <c r="AR4484" s="1066"/>
      <c r="AS4484" s="1066"/>
      <c r="AT4484" s="1066"/>
      <c r="AU4484" s="1066"/>
      <c r="AV4484" s="1066"/>
      <c r="AW4484" s="1066"/>
      <c r="AX4484" s="1066"/>
      <c r="AY4484" s="1066"/>
      <c r="AZ4484" s="1066"/>
      <c r="BA4484" s="1066"/>
      <c r="BB4484" s="1066"/>
      <c r="BC4484" s="1066"/>
      <c r="BD4484" s="1066"/>
      <c r="BE4484" s="1066"/>
      <c r="BF4484" s="1066"/>
      <c r="BG4484" s="1066"/>
      <c r="BH4484" s="1066"/>
      <c r="BI4484" s="1066"/>
      <c r="BJ4484" s="1066"/>
      <c r="BK4484" s="1066"/>
      <c r="BL4484" s="1066"/>
    </row>
    <row r="4485" spans="1:64">
      <c r="A4485" s="1794"/>
      <c r="B4485" s="1794"/>
      <c r="C4485" s="1795" t="s">
        <v>1044</v>
      </c>
      <c r="D4485" s="1207"/>
      <c r="E4485" s="1208"/>
      <c r="F4485" s="1209"/>
      <c r="G4485" s="1210"/>
      <c r="H4485" s="1350"/>
      <c r="I4485" s="1211">
        <f>SUM(I4475:I4484)</f>
        <v>7510.9199999999992</v>
      </c>
      <c r="J4485" s="1137"/>
      <c r="K4485" s="1022"/>
      <c r="L4485" s="1022"/>
      <c r="M4485" s="1066"/>
      <c r="N4485" s="1066"/>
      <c r="O4485" s="1066"/>
      <c r="P4485" s="1066"/>
      <c r="Q4485" s="1066"/>
      <c r="R4485" s="1066"/>
      <c r="S4485" s="1066"/>
      <c r="T4485" s="1066"/>
      <c r="U4485" s="1066"/>
      <c r="V4485" s="1066"/>
      <c r="W4485" s="1066"/>
      <c r="X4485" s="1066"/>
      <c r="Y4485" s="1066"/>
      <c r="Z4485" s="1066"/>
      <c r="AA4485" s="1066"/>
      <c r="AB4485" s="1066"/>
      <c r="AC4485" s="1066"/>
      <c r="AD4485" s="1066"/>
      <c r="AE4485" s="1066"/>
      <c r="AF4485" s="1066"/>
      <c r="AG4485" s="1066"/>
      <c r="AH4485" s="1066"/>
      <c r="AI4485" s="1066"/>
      <c r="AJ4485" s="1066"/>
      <c r="AK4485" s="1066"/>
      <c r="AL4485" s="1066"/>
      <c r="AM4485" s="1066"/>
      <c r="AN4485" s="1066"/>
      <c r="AO4485" s="1066"/>
      <c r="AP4485" s="1066"/>
      <c r="AQ4485" s="1066"/>
      <c r="AR4485" s="1066"/>
      <c r="AS4485" s="1066"/>
      <c r="AT4485" s="1066"/>
      <c r="AU4485" s="1066"/>
      <c r="AV4485" s="1066"/>
      <c r="AW4485" s="1066"/>
      <c r="AX4485" s="1066"/>
      <c r="AY4485" s="1066"/>
      <c r="AZ4485" s="1066"/>
      <c r="BA4485" s="1066"/>
      <c r="BB4485" s="1066"/>
      <c r="BC4485" s="1066"/>
      <c r="BD4485" s="1066"/>
      <c r="BE4485" s="1066"/>
      <c r="BF4485" s="1066"/>
      <c r="BG4485" s="1066"/>
      <c r="BH4485" s="1066"/>
      <c r="BI4485" s="1066"/>
      <c r="BJ4485" s="1066"/>
      <c r="BK4485" s="1066"/>
      <c r="BL4485" s="1066"/>
    </row>
    <row r="4486" spans="1:64">
      <c r="A4486" s="1794"/>
      <c r="B4486" s="1794"/>
      <c r="C4486" s="1795" t="s">
        <v>1045</v>
      </c>
      <c r="D4486" s="1207"/>
      <c r="E4486" s="1208"/>
      <c r="F4486" s="1209"/>
      <c r="G4486" s="1210"/>
      <c r="H4486" s="1350"/>
      <c r="I4486" s="1211">
        <f>I4485/10</f>
        <v>751.09199999999987</v>
      </c>
      <c r="J4486" s="1137"/>
      <c r="K4486" s="1022"/>
      <c r="L4486" s="1022"/>
      <c r="M4486" s="1066"/>
      <c r="N4486" s="1066"/>
      <c r="O4486" s="1066"/>
      <c r="P4486" s="1066"/>
      <c r="Q4486" s="1066"/>
      <c r="R4486" s="1066"/>
      <c r="S4486" s="1066"/>
      <c r="T4486" s="1066"/>
      <c r="U4486" s="1066"/>
      <c r="V4486" s="1066"/>
      <c r="W4486" s="1066"/>
      <c r="X4486" s="1066"/>
      <c r="Y4486" s="1066"/>
      <c r="Z4486" s="1066"/>
      <c r="AA4486" s="1066"/>
      <c r="AB4486" s="1066"/>
      <c r="AC4486" s="1066"/>
      <c r="AD4486" s="1066"/>
      <c r="AE4486" s="1066"/>
      <c r="AF4486" s="1066"/>
      <c r="AG4486" s="1066"/>
      <c r="AH4486" s="1066"/>
      <c r="AI4486" s="1066"/>
      <c r="AJ4486" s="1066"/>
      <c r="AK4486" s="1066"/>
      <c r="AL4486" s="1066"/>
      <c r="AM4486" s="1066"/>
      <c r="AN4486" s="1066"/>
      <c r="AO4486" s="1066"/>
      <c r="AP4486" s="1066"/>
      <c r="AQ4486" s="1066"/>
      <c r="AR4486" s="1066"/>
      <c r="AS4486" s="1066"/>
      <c r="AT4486" s="1066"/>
      <c r="AU4486" s="1066"/>
      <c r="AV4486" s="1066"/>
      <c r="AW4486" s="1066"/>
      <c r="AX4486" s="1066"/>
      <c r="AY4486" s="1066"/>
      <c r="AZ4486" s="1066"/>
      <c r="BA4486" s="1066"/>
      <c r="BB4486" s="1066"/>
      <c r="BC4486" s="1066"/>
      <c r="BD4486" s="1066"/>
      <c r="BE4486" s="1066"/>
      <c r="BF4486" s="1066"/>
      <c r="BG4486" s="1066"/>
      <c r="BH4486" s="1066"/>
      <c r="BI4486" s="1066"/>
      <c r="BJ4486" s="1066"/>
      <c r="BK4486" s="1066"/>
      <c r="BL4486" s="1066"/>
    </row>
    <row r="4487" spans="1:64">
      <c r="A4487" s="1794"/>
      <c r="B4487" s="1794"/>
      <c r="C4487" s="1807" t="str">
        <f>Input!$C$48</f>
        <v>Overheads &amp; Contractors Profit @ 13.615%</v>
      </c>
      <c r="D4487" s="1385">
        <f>Input!$D$48</f>
        <v>0.13614999999999999</v>
      </c>
      <c r="E4487" s="1208"/>
      <c r="F4487" s="1209">
        <f>I4486</f>
        <v>751.09199999999987</v>
      </c>
      <c r="G4487" s="1210"/>
      <c r="H4487" s="1350"/>
      <c r="I4487" s="1211">
        <f>IF(G4487="",D4487*F4487,(D4487*F4487/G4487))</f>
        <v>102.26117579999998</v>
      </c>
      <c r="J4487" s="1137"/>
      <c r="K4487" s="1022"/>
      <c r="L4487" s="1022"/>
      <c r="M4487" s="1066"/>
      <c r="N4487" s="1066"/>
      <c r="O4487" s="1066"/>
      <c r="P4487" s="1066"/>
      <c r="Q4487" s="1066"/>
      <c r="R4487" s="1066"/>
      <c r="S4487" s="1066"/>
      <c r="T4487" s="1066"/>
      <c r="U4487" s="1066"/>
      <c r="V4487" s="1066"/>
      <c r="W4487" s="1066"/>
      <c r="X4487" s="1066"/>
      <c r="Y4487" s="1066"/>
      <c r="Z4487" s="1066"/>
      <c r="AA4487" s="1066"/>
      <c r="AB4487" s="1066"/>
      <c r="AC4487" s="1066"/>
      <c r="AD4487" s="1066"/>
      <c r="AE4487" s="1066"/>
      <c r="AF4487" s="1066"/>
      <c r="AG4487" s="1066"/>
      <c r="AH4487" s="1066"/>
      <c r="AI4487" s="1066"/>
      <c r="AJ4487" s="1066"/>
      <c r="AK4487" s="1066"/>
      <c r="AL4487" s="1066"/>
      <c r="AM4487" s="1066"/>
      <c r="AN4487" s="1066"/>
      <c r="AO4487" s="1066"/>
      <c r="AP4487" s="1066"/>
      <c r="AQ4487" s="1066"/>
      <c r="AR4487" s="1066"/>
      <c r="AS4487" s="1066"/>
      <c r="AT4487" s="1066"/>
      <c r="AU4487" s="1066"/>
      <c r="AV4487" s="1066"/>
      <c r="AW4487" s="1066"/>
      <c r="AX4487" s="1066"/>
      <c r="AY4487" s="1066"/>
      <c r="AZ4487" s="1066"/>
      <c r="BA4487" s="1066"/>
      <c r="BB4487" s="1066"/>
      <c r="BC4487" s="1066"/>
      <c r="BD4487" s="1066"/>
      <c r="BE4487" s="1066"/>
      <c r="BF4487" s="1066"/>
      <c r="BG4487" s="1066"/>
      <c r="BH4487" s="1066"/>
      <c r="BI4487" s="1066"/>
      <c r="BJ4487" s="1066"/>
      <c r="BK4487" s="1066"/>
      <c r="BL4487" s="1066"/>
    </row>
    <row r="4488" spans="1:64">
      <c r="A4488" s="1319"/>
      <c r="B4488" s="1319"/>
      <c r="C4488" s="1796" t="s">
        <v>1045</v>
      </c>
      <c r="D4488" s="1395"/>
      <c r="E4488" s="1369"/>
      <c r="F4488" s="1396"/>
      <c r="G4488" s="1726"/>
      <c r="H4488" s="1727"/>
      <c r="I4488" s="1372">
        <f>SUM(I4486:I4487)</f>
        <v>853.3531757999998</v>
      </c>
      <c r="J4488" s="1136"/>
      <c r="K4488" s="1005"/>
      <c r="L4488" s="1005"/>
      <c r="M4488" s="1006"/>
      <c r="N4488" s="1006"/>
      <c r="O4488" s="1006"/>
      <c r="P4488" s="1006"/>
      <c r="Q4488" s="1006"/>
      <c r="R4488" s="1006"/>
      <c r="S4488" s="1006"/>
      <c r="T4488" s="1006"/>
      <c r="U4488" s="1006"/>
      <c r="V4488" s="1006"/>
      <c r="W4488" s="1006"/>
      <c r="X4488" s="1006"/>
      <c r="Y4488" s="1006"/>
      <c r="Z4488" s="1006"/>
      <c r="AA4488" s="1006"/>
      <c r="AB4488" s="1006"/>
      <c r="AC4488" s="1006"/>
      <c r="AD4488" s="1006"/>
      <c r="AE4488" s="1006"/>
      <c r="AF4488" s="1006"/>
      <c r="AG4488" s="1006"/>
      <c r="AH4488" s="1006"/>
      <c r="AI4488" s="1006"/>
      <c r="AJ4488" s="1006"/>
      <c r="AK4488" s="1006"/>
      <c r="AL4488" s="1006"/>
      <c r="AM4488" s="1006"/>
      <c r="AN4488" s="1006"/>
      <c r="AO4488" s="1006"/>
      <c r="AP4488" s="1006"/>
      <c r="AQ4488" s="1006"/>
      <c r="AR4488" s="1006"/>
      <c r="AS4488" s="1006"/>
      <c r="AT4488" s="1006"/>
      <c r="AU4488" s="1006"/>
      <c r="AV4488" s="1006"/>
      <c r="AW4488" s="1006"/>
      <c r="AX4488" s="1006"/>
      <c r="AY4488" s="1006"/>
      <c r="AZ4488" s="1006"/>
      <c r="BA4488" s="1006"/>
      <c r="BB4488" s="1006"/>
      <c r="BC4488" s="1006"/>
      <c r="BD4488" s="1006"/>
      <c r="BE4488" s="1006"/>
      <c r="BF4488" s="1006"/>
      <c r="BG4488" s="1006"/>
      <c r="BH4488" s="1006"/>
      <c r="BI4488" s="1006"/>
      <c r="BJ4488" s="1006"/>
      <c r="BK4488" s="1006"/>
      <c r="BL4488" s="1006"/>
    </row>
    <row r="4489" spans="1:64">
      <c r="A4489" s="1797"/>
      <c r="B4489" s="1797"/>
      <c r="C4489" s="1815"/>
      <c r="D4489" s="1214"/>
      <c r="E4489" s="1215"/>
      <c r="F4489" s="1216"/>
      <c r="G4489" s="1217"/>
      <c r="H4489" s="1321" t="s">
        <v>1511</v>
      </c>
      <c r="I4489" s="1285">
        <f>ROUND(I4488,0)</f>
        <v>853</v>
      </c>
      <c r="J4489" s="996"/>
      <c r="K4489" s="996"/>
      <c r="L4489" s="996"/>
      <c r="M4489" s="997"/>
      <c r="N4489" s="997"/>
      <c r="O4489" s="997"/>
      <c r="P4489" s="997"/>
      <c r="Q4489" s="997"/>
      <c r="R4489" s="997"/>
      <c r="S4489" s="997"/>
      <c r="T4489" s="997"/>
      <c r="U4489" s="997"/>
      <c r="V4489" s="997"/>
      <c r="W4489" s="997"/>
      <c r="X4489" s="997"/>
      <c r="Y4489" s="997"/>
      <c r="Z4489" s="997"/>
      <c r="AA4489" s="997"/>
      <c r="AB4489" s="997"/>
      <c r="AC4489" s="997"/>
      <c r="AD4489" s="997"/>
      <c r="AE4489" s="997"/>
      <c r="AF4489" s="997"/>
      <c r="AG4489" s="997"/>
      <c r="AH4489" s="997"/>
      <c r="AI4489" s="997"/>
      <c r="AJ4489" s="997"/>
      <c r="AK4489" s="997"/>
      <c r="AL4489" s="997"/>
      <c r="AM4489" s="997"/>
      <c r="AN4489" s="997"/>
      <c r="AO4489" s="997"/>
      <c r="AP4489" s="997"/>
      <c r="AQ4489" s="997"/>
      <c r="AR4489" s="997"/>
      <c r="AS4489" s="997"/>
      <c r="AT4489" s="997"/>
      <c r="AU4489" s="997"/>
      <c r="AV4489" s="997"/>
      <c r="AW4489" s="997"/>
      <c r="AX4489" s="997"/>
      <c r="AY4489" s="997"/>
      <c r="AZ4489" s="997"/>
      <c r="BA4489" s="997"/>
      <c r="BB4489" s="997"/>
      <c r="BC4489" s="997"/>
      <c r="BD4489" s="997"/>
      <c r="BE4489" s="997"/>
      <c r="BF4489" s="997"/>
      <c r="BG4489" s="997"/>
      <c r="BH4489" s="997"/>
      <c r="BI4489" s="997"/>
      <c r="BJ4489" s="997"/>
      <c r="BK4489" s="997"/>
      <c r="BL4489" s="997"/>
    </row>
    <row r="4490" spans="1:64">
      <c r="A4490" s="1798"/>
      <c r="B4490" s="1200"/>
      <c r="C4490" s="1807"/>
      <c r="D4490" s="1203"/>
      <c r="E4490" s="1199"/>
      <c r="F4490" s="1201"/>
      <c r="G4490" s="1204"/>
      <c r="H4490" s="1199"/>
      <c r="I4490" s="1201"/>
      <c r="J4490" s="1846"/>
      <c r="K4490" s="1846"/>
      <c r="L4490" s="1846"/>
    </row>
    <row r="4491" spans="1:64" ht="47.85" customHeight="1">
      <c r="A4491" s="2013">
        <f>A4472+1</f>
        <v>73</v>
      </c>
      <c r="B4491" s="2013"/>
      <c r="C4491" s="2006" t="s">
        <v>3480</v>
      </c>
      <c r="D4491" s="2006"/>
      <c r="E4491" s="2006"/>
      <c r="F4491" s="2006"/>
      <c r="G4491" s="2006"/>
      <c r="H4491" s="2006"/>
      <c r="I4491" s="1795"/>
      <c r="J4491" s="1846"/>
      <c r="K4491" s="1846"/>
      <c r="L4491" s="1846"/>
    </row>
    <row r="4492" spans="1:64">
      <c r="A4492" s="1798"/>
      <c r="B4492" s="1200"/>
      <c r="C4492" s="1199" t="s">
        <v>1685</v>
      </c>
      <c r="D4492" s="1199">
        <v>1</v>
      </c>
      <c r="E4492" s="1199" t="s">
        <v>39</v>
      </c>
      <c r="F4492" s="1201">
        <f>'Civil-SOR'!G397</f>
        <v>195</v>
      </c>
      <c r="G4492" s="1199">
        <v>1</v>
      </c>
      <c r="H4492" s="1273" t="str">
        <f>IF(E4492="","",IF(E4492="No.","Each",IF(E4492="Nos.","Each",E4492)))</f>
        <v>Each</v>
      </c>
      <c r="I4492" s="1201">
        <f>F4492*D4492</f>
        <v>195</v>
      </c>
      <c r="J4492" s="1846"/>
      <c r="K4492" s="1846"/>
      <c r="L4492" s="1846"/>
    </row>
    <row r="4493" spans="1:64">
      <c r="A4493" s="1798"/>
      <c r="B4493" s="1200"/>
      <c r="C4493" s="1198" t="s">
        <v>1686</v>
      </c>
      <c r="D4493" s="1199"/>
      <c r="E4493" s="1199"/>
      <c r="F4493" s="1200"/>
      <c r="G4493" s="1199"/>
      <c r="H4493" s="1397"/>
      <c r="I4493" s="1230">
        <f>SUM(I4492:I4492)</f>
        <v>195</v>
      </c>
      <c r="J4493" s="1846"/>
      <c r="K4493" s="1846"/>
      <c r="L4493" s="1846"/>
    </row>
    <row r="4494" spans="1:64">
      <c r="A4494" s="1794"/>
      <c r="B4494" s="1794"/>
      <c r="C4494" s="1807" t="str">
        <f>Input!$C$48</f>
        <v>Overheads &amp; Contractors Profit @ 13.615%</v>
      </c>
      <c r="D4494" s="1385">
        <f>Input!$D$48</f>
        <v>0.13614999999999999</v>
      </c>
      <c r="E4494" s="1304"/>
      <c r="F4494" s="1211">
        <f>I4493</f>
        <v>195</v>
      </c>
      <c r="G4494" s="1289"/>
      <c r="H4494" s="1208"/>
      <c r="I4494" s="1211">
        <f>IF(G4494="",D4494*F4494,(D4494*F4494/G4494))</f>
        <v>26.549249999999997</v>
      </c>
      <c r="J4494" s="1022"/>
      <c r="K4494" s="1022"/>
      <c r="L4494" s="1022"/>
      <c r="M4494" s="1066"/>
      <c r="N4494" s="1066"/>
      <c r="O4494" s="1066"/>
      <c r="P4494" s="1066"/>
      <c r="Q4494" s="1066"/>
      <c r="R4494" s="1066"/>
      <c r="S4494" s="1066"/>
      <c r="T4494" s="1066"/>
      <c r="U4494" s="1066"/>
      <c r="V4494" s="1066"/>
      <c r="W4494" s="1066"/>
      <c r="X4494" s="1066"/>
      <c r="Y4494" s="1066"/>
      <c r="Z4494" s="1066"/>
      <c r="AA4494" s="1066"/>
      <c r="AB4494" s="1066"/>
      <c r="AC4494" s="1066"/>
      <c r="AD4494" s="1066"/>
      <c r="AE4494" s="1066"/>
      <c r="AF4494" s="1066"/>
      <c r="AG4494" s="1066"/>
      <c r="AH4494" s="1066"/>
      <c r="AI4494" s="1066"/>
      <c r="AJ4494" s="1066"/>
      <c r="AK4494" s="1066"/>
      <c r="AL4494" s="1066"/>
      <c r="AM4494" s="1066"/>
      <c r="AN4494" s="1066"/>
      <c r="AO4494" s="1066"/>
      <c r="AP4494" s="1066"/>
      <c r="AQ4494" s="1066"/>
      <c r="AR4494" s="1066"/>
      <c r="AS4494" s="1066"/>
      <c r="AT4494" s="1066"/>
      <c r="AU4494" s="1066"/>
      <c r="AV4494" s="1066"/>
      <c r="AW4494" s="1066"/>
      <c r="AX4494" s="1066"/>
      <c r="AY4494" s="1066"/>
      <c r="AZ4494" s="1066"/>
      <c r="BA4494" s="1066"/>
      <c r="BB4494" s="1066"/>
      <c r="BC4494" s="1066"/>
      <c r="BD4494" s="1066"/>
      <c r="BE4494" s="1066"/>
      <c r="BF4494" s="1066"/>
      <c r="BG4494" s="1066"/>
      <c r="BH4494" s="1066"/>
      <c r="BI4494" s="1066"/>
      <c r="BJ4494" s="1066"/>
      <c r="BK4494" s="1066"/>
      <c r="BL4494" s="1066"/>
    </row>
    <row r="4495" spans="1:64">
      <c r="A4495" s="1798"/>
      <c r="B4495" s="1200"/>
      <c r="C4495" s="1807"/>
      <c r="D4495" s="1228"/>
      <c r="E4495" s="1297"/>
      <c r="F4495" s="1223"/>
      <c r="G4495" s="1272"/>
      <c r="H4495" s="1810"/>
      <c r="I4495" s="1219">
        <f>SUM(I4493:I4494)</f>
        <v>221.54925</v>
      </c>
      <c r="J4495" s="1846"/>
      <c r="K4495" s="1846"/>
      <c r="L4495" s="1846"/>
    </row>
    <row r="4496" spans="1:64">
      <c r="A4496" s="1798"/>
      <c r="B4496" s="1200"/>
      <c r="C4496" s="1807"/>
      <c r="D4496" s="1228"/>
      <c r="E4496" s="1297"/>
      <c r="F4496" s="1223"/>
      <c r="G4496" s="1272"/>
      <c r="H4496" s="1810" t="s">
        <v>1065</v>
      </c>
      <c r="I4496" s="1219">
        <f>ROUND(I4495,0)</f>
        <v>222</v>
      </c>
      <c r="J4496" s="1846"/>
      <c r="K4496" s="1846"/>
      <c r="L4496" s="1846"/>
    </row>
    <row r="4497" spans="1:12">
      <c r="A4497" s="1798"/>
      <c r="B4497" s="1200"/>
      <c r="C4497" s="1807"/>
      <c r="D4497" s="1228"/>
      <c r="E4497" s="1297"/>
      <c r="F4497" s="1223"/>
      <c r="G4497" s="1272"/>
      <c r="H4497" s="1810"/>
      <c r="I4497" s="1219"/>
      <c r="J4497" s="1846"/>
      <c r="K4497" s="1846"/>
      <c r="L4497" s="1846"/>
    </row>
    <row r="4498" spans="1:12" ht="25.35" customHeight="1">
      <c r="A4498" s="2013">
        <f>1+A4491</f>
        <v>74</v>
      </c>
      <c r="B4498" s="2013"/>
      <c r="C4498" s="2022" t="s">
        <v>1687</v>
      </c>
      <c r="D4498" s="2022"/>
      <c r="E4498" s="2022"/>
      <c r="F4498" s="2022"/>
      <c r="G4498" s="2022"/>
      <c r="H4498" s="2022"/>
      <c r="I4498" s="2022"/>
      <c r="J4498" s="1846"/>
      <c r="K4498" s="1846"/>
      <c r="L4498" s="1846"/>
    </row>
    <row r="4499" spans="1:12">
      <c r="A4499" s="1798"/>
      <c r="B4499" s="1200"/>
      <c r="C4499" s="1807" t="s">
        <v>1688</v>
      </c>
      <c r="D4499" s="1199">
        <v>1</v>
      </c>
      <c r="E4499" s="1199" t="s">
        <v>39</v>
      </c>
      <c r="F4499" s="1201">
        <v>3498</v>
      </c>
      <c r="G4499" s="1199">
        <v>1</v>
      </c>
      <c r="H4499" s="1273" t="str">
        <f>IF(E4499="","",IF(E4499="No.","Each",IF(E4499="Nos.","Each",E4499)))</f>
        <v>Each</v>
      </c>
      <c r="I4499" s="1201">
        <f>F4499*D4499</f>
        <v>3498</v>
      </c>
      <c r="J4499" s="1846"/>
      <c r="K4499" s="1846"/>
      <c r="L4499" s="1846"/>
    </row>
    <row r="4500" spans="1:12">
      <c r="A4500" s="1798"/>
      <c r="B4500" s="1200"/>
      <c r="C4500" s="1294" t="s">
        <v>1686</v>
      </c>
      <c r="D4500" s="1199"/>
      <c r="E4500" s="1199"/>
      <c r="F4500" s="1200"/>
      <c r="G4500" s="1199"/>
      <c r="H4500" s="1397"/>
      <c r="I4500" s="1230">
        <f>SUM(I4499:I4499)</f>
        <v>3498</v>
      </c>
      <c r="J4500" s="1846"/>
      <c r="K4500" s="1846"/>
      <c r="L4500" s="1846"/>
    </row>
    <row r="4501" spans="1:12">
      <c r="A4501" s="1794"/>
      <c r="B4501" s="1794"/>
      <c r="C4501" s="1807" t="str">
        <f>Input!$C$48</f>
        <v>Overheads &amp; Contractors Profit @ 13.615%</v>
      </c>
      <c r="D4501" s="1385">
        <f>Input!$D$48</f>
        <v>0.13614999999999999</v>
      </c>
      <c r="E4501" s="1304"/>
      <c r="F4501" s="1211">
        <f>I4500</f>
        <v>3498</v>
      </c>
      <c r="G4501" s="1289"/>
      <c r="H4501" s="1208"/>
      <c r="I4501" s="1211">
        <f>IF(G4501="",D4501*F4501,(D4501*F4501/G4501))</f>
        <v>476.2527</v>
      </c>
      <c r="J4501" s="1846"/>
      <c r="K4501" s="1846"/>
      <c r="L4501" s="1846"/>
    </row>
    <row r="4502" spans="1:12">
      <c r="A4502" s="1798"/>
      <c r="B4502" s="1200"/>
      <c r="C4502" s="1807"/>
      <c r="D4502" s="1228"/>
      <c r="E4502" s="1297"/>
      <c r="F4502" s="1223"/>
      <c r="G4502" s="1272"/>
      <c r="H4502" s="1810"/>
      <c r="I4502" s="1219">
        <f>SUM(I4500:I4501)</f>
        <v>3974.2527</v>
      </c>
      <c r="J4502" s="1846"/>
      <c r="K4502" s="1846"/>
      <c r="L4502" s="1846"/>
    </row>
    <row r="4503" spans="1:12">
      <c r="A4503" s="1798"/>
      <c r="B4503" s="1200"/>
      <c r="C4503" s="1807"/>
      <c r="D4503" s="1228"/>
      <c r="E4503" s="1297"/>
      <c r="F4503" s="1223"/>
      <c r="G4503" s="1272"/>
      <c r="H4503" s="1810" t="s">
        <v>1065</v>
      </c>
      <c r="I4503" s="1219">
        <f>ROUND(I4502,0)</f>
        <v>3974</v>
      </c>
      <c r="J4503" s="1846"/>
      <c r="K4503" s="1846"/>
      <c r="L4503" s="1846"/>
    </row>
    <row r="4504" spans="1:12" ht="92.45" customHeight="1">
      <c r="A4504" s="2010">
        <f>A4491+1</f>
        <v>74</v>
      </c>
      <c r="B4504" s="2010"/>
      <c r="C4504" s="2006" t="s">
        <v>3481</v>
      </c>
      <c r="D4504" s="2006"/>
      <c r="E4504" s="2006"/>
      <c r="F4504" s="2006"/>
      <c r="G4504" s="2006"/>
      <c r="H4504" s="2006"/>
      <c r="I4504" s="2006"/>
      <c r="J4504" s="1846"/>
      <c r="K4504" s="1846"/>
      <c r="L4504" s="1846"/>
    </row>
    <row r="4505" spans="1:12">
      <c r="A4505" s="1798"/>
      <c r="B4505" s="1200"/>
      <c r="C4505" s="1199" t="s">
        <v>1689</v>
      </c>
      <c r="D4505" s="1203">
        <v>17.5</v>
      </c>
      <c r="E4505" s="1199" t="s">
        <v>197</v>
      </c>
      <c r="F4505" s="1201">
        <v>6.8</v>
      </c>
      <c r="G4505" s="1199" t="s">
        <v>1690</v>
      </c>
      <c r="H4505" s="1203">
        <f t="shared" ref="H4505:H4507" si="980">F4505*D4505</f>
        <v>119</v>
      </c>
      <c r="I4505" s="1201" t="s">
        <v>1110</v>
      </c>
      <c r="J4505" s="1846"/>
      <c r="K4505" s="1846"/>
      <c r="L4505" s="1846"/>
    </row>
    <row r="4506" spans="1:12">
      <c r="A4506" s="1798"/>
      <c r="B4506" s="1200"/>
      <c r="C4506" s="1199" t="s">
        <v>1691</v>
      </c>
      <c r="D4506" s="1203">
        <v>24.5</v>
      </c>
      <c r="E4506" s="1199" t="s">
        <v>197</v>
      </c>
      <c r="F4506" s="1201">
        <v>3</v>
      </c>
      <c r="G4506" s="1199" t="s">
        <v>1690</v>
      </c>
      <c r="H4506" s="1203">
        <f t="shared" si="980"/>
        <v>73.5</v>
      </c>
      <c r="I4506" s="1201" t="s">
        <v>1110</v>
      </c>
      <c r="J4506" s="1846"/>
      <c r="K4506" s="1846"/>
      <c r="L4506" s="1846"/>
    </row>
    <row r="4507" spans="1:12">
      <c r="A4507" s="1798"/>
      <c r="B4507" s="1200"/>
      <c r="C4507" s="1199" t="s">
        <v>1692</v>
      </c>
      <c r="D4507" s="1199">
        <v>131.25</v>
      </c>
      <c r="E4507" s="1199" t="s">
        <v>197</v>
      </c>
      <c r="F4507" s="1201">
        <v>4.91</v>
      </c>
      <c r="G4507" s="1199" t="s">
        <v>1690</v>
      </c>
      <c r="H4507" s="1203">
        <f t="shared" si="980"/>
        <v>644.4375</v>
      </c>
      <c r="I4507" s="1201" t="s">
        <v>1110</v>
      </c>
      <c r="J4507" s="1846"/>
      <c r="K4507" s="1846"/>
      <c r="L4507" s="1846"/>
    </row>
    <row r="4508" spans="1:12">
      <c r="A4508" s="1798"/>
      <c r="B4508" s="1200"/>
      <c r="C4508" s="1199"/>
      <c r="D4508" s="1199"/>
      <c r="E4508" s="1199"/>
      <c r="F4508" s="1200"/>
      <c r="G4508" s="1199"/>
      <c r="H4508" s="1397">
        <f>SUM(H4505:H4507)</f>
        <v>836.9375</v>
      </c>
      <c r="I4508" s="1230" t="s">
        <v>1110</v>
      </c>
      <c r="J4508" s="1846"/>
      <c r="K4508" s="1846"/>
      <c r="L4508" s="1846"/>
    </row>
    <row r="4509" spans="1:12" ht="25.5">
      <c r="A4509" s="1798"/>
      <c r="B4509" s="1200"/>
      <c r="C4509" s="1398" t="s">
        <v>1693</v>
      </c>
      <c r="D4509" s="1199"/>
      <c r="E4509" s="1199"/>
      <c r="F4509" s="1200"/>
      <c r="G4509" s="1199"/>
      <c r="H4509" s="1397">
        <v>152</v>
      </c>
      <c r="I4509" s="1230" t="s">
        <v>1110</v>
      </c>
      <c r="J4509" s="1846"/>
      <c r="K4509" s="1846"/>
      <c r="L4509" s="1846"/>
    </row>
    <row r="4510" spans="1:12">
      <c r="A4510" s="1798"/>
      <c r="B4510" s="1200"/>
      <c r="C4510" s="1198" t="s">
        <v>1694</v>
      </c>
      <c r="D4510" s="1199"/>
      <c r="E4510" s="1199"/>
      <c r="F4510" s="1200"/>
      <c r="G4510" s="1199"/>
      <c r="H4510" s="1397"/>
      <c r="I4510" s="1201"/>
      <c r="J4510" s="1846"/>
      <c r="K4510" s="1846"/>
      <c r="L4510" s="1846"/>
    </row>
    <row r="4511" spans="1:12">
      <c r="A4511" s="1798"/>
      <c r="B4511" s="1200"/>
      <c r="C4511" s="1199" t="s">
        <v>1695</v>
      </c>
      <c r="D4511" s="1203">
        <f t="shared" ref="D4511:D4513" si="981">H4505</f>
        <v>119</v>
      </c>
      <c r="E4511" s="1199" t="s">
        <v>1110</v>
      </c>
      <c r="F4511" s="1201">
        <f>LEAD!$N$10</f>
        <v>61000</v>
      </c>
      <c r="G4511" s="1199">
        <v>1</v>
      </c>
      <c r="H4511" s="1199" t="s">
        <v>948</v>
      </c>
      <c r="I4511" s="1201">
        <f t="shared" ref="I4511:I4513" si="982">D4511*F4511/1000</f>
        <v>7259</v>
      </c>
      <c r="J4511" s="1846"/>
      <c r="K4511" s="1846"/>
      <c r="L4511" s="1846"/>
    </row>
    <row r="4512" spans="1:12">
      <c r="A4512" s="1798"/>
      <c r="B4512" s="1200"/>
      <c r="C4512" s="1199" t="s">
        <v>1696</v>
      </c>
      <c r="D4512" s="1203">
        <f t="shared" si="981"/>
        <v>73.5</v>
      </c>
      <c r="E4512" s="1199" t="s">
        <v>1110</v>
      </c>
      <c r="F4512" s="1201">
        <f>LEAD!$N$11</f>
        <v>62000</v>
      </c>
      <c r="G4512" s="1199">
        <v>1</v>
      </c>
      <c r="H4512" s="1199" t="s">
        <v>948</v>
      </c>
      <c r="I4512" s="1201">
        <f t="shared" si="982"/>
        <v>4557</v>
      </c>
      <c r="J4512" s="1846"/>
      <c r="K4512" s="1846"/>
      <c r="L4512" s="1846"/>
    </row>
    <row r="4513" spans="1:12">
      <c r="A4513" s="1798"/>
      <c r="B4513" s="1200"/>
      <c r="C4513" s="1199" t="s">
        <v>1697</v>
      </c>
      <c r="D4513" s="1203">
        <f t="shared" si="981"/>
        <v>644.4375</v>
      </c>
      <c r="E4513" s="1199" t="s">
        <v>1110</v>
      </c>
      <c r="F4513" s="1201">
        <f>LEAD!$N$10</f>
        <v>61000</v>
      </c>
      <c r="G4513" s="1199">
        <v>1</v>
      </c>
      <c r="H4513" s="1199" t="s">
        <v>948</v>
      </c>
      <c r="I4513" s="1201">
        <f t="shared" si="982"/>
        <v>39310.6875</v>
      </c>
      <c r="J4513" s="1846"/>
      <c r="K4513" s="1846"/>
      <c r="L4513" s="1846"/>
    </row>
    <row r="4514" spans="1:12">
      <c r="A4514" s="1798"/>
      <c r="B4514" s="1200"/>
      <c r="C4514" s="1199" t="s">
        <v>1698</v>
      </c>
      <c r="D4514" s="1203">
        <f>H4509</f>
        <v>152</v>
      </c>
      <c r="E4514" s="1199" t="s">
        <v>1110</v>
      </c>
      <c r="F4514" s="1399">
        <v>50</v>
      </c>
      <c r="G4514" s="1199">
        <v>1</v>
      </c>
      <c r="H4514" s="1199" t="s">
        <v>1110</v>
      </c>
      <c r="I4514" s="1201">
        <f t="shared" ref="I4514:I4517" si="983">D4514*F4514</f>
        <v>7600</v>
      </c>
      <c r="J4514" s="1846"/>
      <c r="K4514" s="1846"/>
      <c r="L4514" s="1846"/>
    </row>
    <row r="4515" spans="1:12">
      <c r="A4515" s="1798"/>
      <c r="B4515" s="1200"/>
      <c r="C4515" s="1199" t="s">
        <v>1699</v>
      </c>
      <c r="D4515" s="1204">
        <v>6</v>
      </c>
      <c r="E4515" s="1199" t="s">
        <v>36</v>
      </c>
      <c r="F4515" s="1399">
        <v>450</v>
      </c>
      <c r="G4515" s="1199">
        <v>1</v>
      </c>
      <c r="H4515" s="1199" t="s">
        <v>501</v>
      </c>
      <c r="I4515" s="1201">
        <f t="shared" si="983"/>
        <v>2700</v>
      </c>
      <c r="J4515" s="1846"/>
      <c r="K4515" s="1846"/>
      <c r="L4515" s="1846"/>
    </row>
    <row r="4516" spans="1:12">
      <c r="A4516" s="1798"/>
      <c r="B4516" s="1200"/>
      <c r="C4516" s="1199" t="s">
        <v>1700</v>
      </c>
      <c r="D4516" s="1204">
        <v>2</v>
      </c>
      <c r="E4516" s="1199" t="s">
        <v>36</v>
      </c>
      <c r="F4516" s="1399">
        <v>750</v>
      </c>
      <c r="G4516" s="1199">
        <v>1</v>
      </c>
      <c r="H4516" s="1199" t="s">
        <v>501</v>
      </c>
      <c r="I4516" s="1201">
        <f t="shared" si="983"/>
        <v>1500</v>
      </c>
      <c r="J4516" s="1846"/>
      <c r="K4516" s="1846"/>
      <c r="L4516" s="1846"/>
    </row>
    <row r="4517" spans="1:12">
      <c r="A4517" s="1798"/>
      <c r="B4517" s="1200"/>
      <c r="C4517" s="1199" t="s">
        <v>1701</v>
      </c>
      <c r="D4517" s="1204">
        <v>2</v>
      </c>
      <c r="E4517" s="1199" t="s">
        <v>36</v>
      </c>
      <c r="F4517" s="1399">
        <v>450</v>
      </c>
      <c r="G4517" s="1199">
        <v>1</v>
      </c>
      <c r="H4517" s="1199" t="s">
        <v>501</v>
      </c>
      <c r="I4517" s="1201">
        <f t="shared" si="983"/>
        <v>900</v>
      </c>
      <c r="J4517" s="1846"/>
      <c r="K4517" s="1846"/>
      <c r="L4517" s="1846"/>
    </row>
    <row r="4518" spans="1:12">
      <c r="A4518" s="1798"/>
      <c r="B4518" s="1200"/>
      <c r="C4518" s="1199" t="s">
        <v>1702</v>
      </c>
      <c r="D4518" s="1203"/>
      <c r="E4518" s="1199"/>
      <c r="F4518" s="1201"/>
      <c r="G4518" s="1199"/>
      <c r="H4518" s="1199"/>
      <c r="I4518" s="1201">
        <v>1000</v>
      </c>
      <c r="J4518" s="1846"/>
      <c r="K4518" s="1846"/>
      <c r="L4518" s="1846"/>
    </row>
    <row r="4519" spans="1:12">
      <c r="A4519" s="1798"/>
      <c r="B4519" s="1200"/>
      <c r="C4519" s="1199" t="s">
        <v>1703</v>
      </c>
      <c r="D4519" s="1199">
        <v>16.875</v>
      </c>
      <c r="E4519" s="1199" t="s">
        <v>46</v>
      </c>
      <c r="F4519" s="1201">
        <f>(I4123+$I$4127+$I$4128)+($I$4127+$I$4128)*Input!$D$47</f>
        <v>677.11</v>
      </c>
      <c r="G4519" s="1204">
        <v>10</v>
      </c>
      <c r="H4519" s="1199" t="s">
        <v>46</v>
      </c>
      <c r="I4519" s="1201">
        <f t="shared" ref="I4519:I4520" si="984">D4519*F4519/10</f>
        <v>1142.6231250000001</v>
      </c>
      <c r="J4519" s="1846"/>
      <c r="K4519" s="1846"/>
      <c r="L4519" s="1846"/>
    </row>
    <row r="4520" spans="1:12">
      <c r="A4520" s="1798"/>
      <c r="B4520" s="1200"/>
      <c r="C4520" s="1199" t="s">
        <v>1704</v>
      </c>
      <c r="D4520" s="1199">
        <v>16.875</v>
      </c>
      <c r="E4520" s="1199" t="s">
        <v>46</v>
      </c>
      <c r="F4520" s="1201">
        <f>(I4124+$I$4130+$I$4131)+($I$4130+$I$4131)*Input!$D$47</f>
        <v>1143.23</v>
      </c>
      <c r="G4520" s="1204">
        <v>10</v>
      </c>
      <c r="H4520" s="1199" t="s">
        <v>46</v>
      </c>
      <c r="I4520" s="1201">
        <f t="shared" si="984"/>
        <v>1929.2006249999999</v>
      </c>
      <c r="J4520" s="1846"/>
      <c r="K4520" s="1846"/>
      <c r="L4520" s="1846"/>
    </row>
    <row r="4521" spans="1:12">
      <c r="A4521" s="1798"/>
      <c r="B4521" s="1200"/>
      <c r="C4521" s="1199" t="s">
        <v>1519</v>
      </c>
      <c r="D4521" s="1203">
        <f>SUM(D4511:D4514)</f>
        <v>988.9375</v>
      </c>
      <c r="E4521" s="1199" t="s">
        <v>1110</v>
      </c>
      <c r="F4521" s="1201">
        <f>'Civil-SOR'!$G$202</f>
        <v>37</v>
      </c>
      <c r="G4521" s="1204">
        <v>1</v>
      </c>
      <c r="H4521" s="1199" t="s">
        <v>97</v>
      </c>
      <c r="I4521" s="1201">
        <f t="shared" ref="I4521:I4523" si="985">D4521*F4521</f>
        <v>36590.6875</v>
      </c>
      <c r="J4521" s="1846"/>
      <c r="K4521" s="1846"/>
      <c r="L4521" s="1846"/>
    </row>
    <row r="4522" spans="1:12">
      <c r="A4522" s="1798"/>
      <c r="B4522" s="1200"/>
      <c r="C4522" s="1199" t="s">
        <v>1705</v>
      </c>
      <c r="D4522" s="1203">
        <f>D4521</f>
        <v>988.9375</v>
      </c>
      <c r="E4522" s="1199" t="s">
        <v>1110</v>
      </c>
      <c r="F4522" s="1201">
        <f>'Civil-SOR'!$G$203</f>
        <v>6</v>
      </c>
      <c r="G4522" s="1204">
        <v>1</v>
      </c>
      <c r="H4522" s="1199" t="s">
        <v>97</v>
      </c>
      <c r="I4522" s="1201">
        <f t="shared" si="985"/>
        <v>5933.625</v>
      </c>
      <c r="J4522" s="1846"/>
      <c r="K4522" s="1846"/>
      <c r="L4522" s="1846"/>
    </row>
    <row r="4523" spans="1:12">
      <c r="A4523" s="1798"/>
      <c r="B4523" s="1200"/>
      <c r="C4523" s="1807" t="str">
        <f>Input!$C$47</f>
        <v>Add for MA @ 40%</v>
      </c>
      <c r="D4523" s="1203">
        <f>Input!$D$47</f>
        <v>0.4</v>
      </c>
      <c r="E4523" s="1199"/>
      <c r="F4523" s="1201">
        <f>I4521*40%+I4522</f>
        <v>20569.900000000001</v>
      </c>
      <c r="G4523" s="1204"/>
      <c r="H4523" s="1199"/>
      <c r="I4523" s="1201">
        <f t="shared" si="985"/>
        <v>8227.9600000000009</v>
      </c>
      <c r="J4523" s="1846"/>
      <c r="K4523" s="1846"/>
      <c r="L4523" s="1846"/>
    </row>
    <row r="4524" spans="1:12">
      <c r="A4524" s="1798"/>
      <c r="B4524" s="1200"/>
      <c r="C4524" s="1199" t="s">
        <v>1706</v>
      </c>
      <c r="D4524" s="1199">
        <v>4</v>
      </c>
      <c r="E4524" s="1199" t="s">
        <v>36</v>
      </c>
      <c r="F4524" s="1200"/>
      <c r="G4524" s="1204"/>
      <c r="H4524" s="1199" t="s">
        <v>1707</v>
      </c>
      <c r="I4524" s="1201">
        <v>2000</v>
      </c>
      <c r="J4524" s="1846"/>
      <c r="K4524" s="1846"/>
      <c r="L4524" s="1846"/>
    </row>
    <row r="4525" spans="1:12">
      <c r="A4525" s="1798"/>
      <c r="B4525" s="1200"/>
      <c r="C4525" s="1199" t="s">
        <v>1708</v>
      </c>
      <c r="D4525" s="1199"/>
      <c r="E4525" s="1199"/>
      <c r="F4525" s="1200"/>
      <c r="G4525" s="1204"/>
      <c r="H4525" s="1199"/>
      <c r="I4525" s="1201">
        <v>237.53</v>
      </c>
      <c r="J4525" s="1846"/>
      <c r="K4525" s="1846"/>
      <c r="L4525" s="1846"/>
    </row>
    <row r="4526" spans="1:12">
      <c r="A4526" s="1798"/>
      <c r="B4526" s="1200"/>
      <c r="C4526" s="1199"/>
      <c r="D4526" s="1199"/>
      <c r="E4526" s="1199"/>
      <c r="F4526" s="1200"/>
      <c r="G4526" s="1199"/>
      <c r="H4526" s="1199"/>
      <c r="I4526" s="1201">
        <f>SUM(I4511:I4525)</f>
        <v>120888.31375</v>
      </c>
      <c r="J4526" s="1846"/>
      <c r="K4526" s="1846"/>
      <c r="L4526" s="1846"/>
    </row>
    <row r="4527" spans="1:12">
      <c r="A4527" s="1798"/>
      <c r="B4527" s="1200"/>
      <c r="C4527" s="1807" t="str">
        <f>Input!$C$48</f>
        <v>Overheads &amp; Contractors Profit @ 13.615%</v>
      </c>
      <c r="D4527" s="1400">
        <f>Input!$D$48</f>
        <v>0.13614999999999999</v>
      </c>
      <c r="E4527" s="1199"/>
      <c r="F4527" s="1201">
        <f>I4526</f>
        <v>120888.31375</v>
      </c>
      <c r="G4527" s="1199"/>
      <c r="H4527" s="1199"/>
      <c r="I4527" s="1201">
        <f>D4527*F4527</f>
        <v>16458.943917062501</v>
      </c>
      <c r="J4527" s="1846"/>
      <c r="K4527" s="1846"/>
      <c r="L4527" s="1846"/>
    </row>
    <row r="4528" spans="1:12">
      <c r="A4528" s="1798"/>
      <c r="B4528" s="1200"/>
      <c r="C4528" s="1198" t="s">
        <v>1709</v>
      </c>
      <c r="D4528" s="1199"/>
      <c r="E4528" s="1199"/>
      <c r="F4528" s="1200"/>
      <c r="G4528" s="1199"/>
      <c r="H4528" s="1199"/>
      <c r="I4528" s="1201">
        <f>SUM(I4526:I4527)</f>
        <v>137347.25766706251</v>
      </c>
      <c r="J4528" s="1846"/>
      <c r="K4528" s="1846"/>
      <c r="L4528" s="1846"/>
    </row>
    <row r="4529" spans="1:12">
      <c r="A4529" s="1798"/>
      <c r="B4529" s="1200"/>
      <c r="C4529" s="1198" t="s">
        <v>1525</v>
      </c>
      <c r="D4529" s="1199"/>
      <c r="E4529" s="1199"/>
      <c r="F4529" s="1200"/>
      <c r="G4529" s="1199"/>
      <c r="H4529" s="1199"/>
      <c r="I4529" s="1201">
        <f>I4528/33.75</f>
        <v>4069.5483753203707</v>
      </c>
      <c r="J4529" s="1846"/>
      <c r="K4529" s="1846"/>
      <c r="L4529" s="1846"/>
    </row>
    <row r="4530" spans="1:12">
      <c r="A4530" s="1798"/>
      <c r="B4530" s="1200"/>
      <c r="C4530" s="1199"/>
      <c r="D4530" s="1199"/>
      <c r="E4530" s="1199"/>
      <c r="F4530" s="1200"/>
      <c r="G4530" s="1199" t="s">
        <v>1065</v>
      </c>
      <c r="H4530" s="1199"/>
      <c r="I4530" s="1230">
        <f>ROUND(I4529,0)</f>
        <v>4070</v>
      </c>
      <c r="J4530" s="1846"/>
      <c r="K4530" s="1846"/>
      <c r="L4530" s="1846"/>
    </row>
    <row r="4531" spans="1:12">
      <c r="A4531" s="1798"/>
      <c r="B4531" s="1200"/>
      <c r="C4531" s="1199"/>
      <c r="D4531" s="1199"/>
      <c r="E4531" s="1199"/>
      <c r="F4531" s="1200"/>
      <c r="G4531" s="1199"/>
      <c r="H4531" s="1199"/>
      <c r="I4531" s="1201"/>
      <c r="J4531" s="1846"/>
      <c r="K4531" s="1846"/>
      <c r="L4531" s="1846"/>
    </row>
    <row r="4532" spans="1:12" ht="70.150000000000006" customHeight="1">
      <c r="A4532" s="1797">
        <f>A4504+1</f>
        <v>75</v>
      </c>
      <c r="B4532" s="1797"/>
      <c r="C4532" s="2006" t="s">
        <v>3482</v>
      </c>
      <c r="D4532" s="2006"/>
      <c r="E4532" s="2006"/>
      <c r="F4532" s="2006"/>
      <c r="G4532" s="2006"/>
      <c r="H4532" s="2006"/>
      <c r="I4532" s="2006"/>
      <c r="J4532" s="1846"/>
      <c r="K4532" s="1846"/>
      <c r="L4532" s="1846"/>
    </row>
    <row r="4533" spans="1:12">
      <c r="A4533" s="1798"/>
      <c r="B4533" s="1200"/>
      <c r="C4533" s="1199" t="s">
        <v>1689</v>
      </c>
      <c r="D4533" s="1203">
        <v>9</v>
      </c>
      <c r="E4533" s="1199" t="s">
        <v>197</v>
      </c>
      <c r="F4533" s="1201">
        <v>6.8</v>
      </c>
      <c r="G4533" s="1199" t="s">
        <v>1690</v>
      </c>
      <c r="H4533" s="1203">
        <f t="shared" ref="H4533:H4535" si="986">F4533*D4533</f>
        <v>61.199999999999996</v>
      </c>
      <c r="I4533" s="1201" t="s">
        <v>1110</v>
      </c>
      <c r="J4533" s="1846"/>
      <c r="K4533" s="1846"/>
      <c r="L4533" s="1846"/>
    </row>
    <row r="4534" spans="1:12">
      <c r="A4534" s="1798"/>
      <c r="B4534" s="1200"/>
      <c r="C4534" s="1199" t="s">
        <v>1710</v>
      </c>
      <c r="D4534" s="1199">
        <v>6</v>
      </c>
      <c r="E4534" s="1199" t="s">
        <v>197</v>
      </c>
      <c r="F4534" s="1201">
        <v>3.56</v>
      </c>
      <c r="G4534" s="1199" t="s">
        <v>1690</v>
      </c>
      <c r="H4534" s="1203">
        <f t="shared" si="986"/>
        <v>21.36</v>
      </c>
      <c r="I4534" s="1201" t="s">
        <v>1110</v>
      </c>
      <c r="J4534" s="1846"/>
      <c r="K4534" s="1846"/>
      <c r="L4534" s="1846"/>
    </row>
    <row r="4535" spans="1:12">
      <c r="A4535" s="1798"/>
      <c r="B4535" s="1200"/>
      <c r="C4535" s="1199" t="s">
        <v>1711</v>
      </c>
      <c r="D4535" s="1199">
        <v>33</v>
      </c>
      <c r="E4535" s="1199" t="s">
        <v>197</v>
      </c>
      <c r="F4535" s="1201">
        <v>4.91</v>
      </c>
      <c r="G4535" s="1199" t="s">
        <v>1690</v>
      </c>
      <c r="H4535" s="1203">
        <f t="shared" si="986"/>
        <v>162.03</v>
      </c>
      <c r="I4535" s="1201" t="s">
        <v>1110</v>
      </c>
      <c r="J4535" s="1846"/>
      <c r="K4535" s="1846"/>
      <c r="L4535" s="1846"/>
    </row>
    <row r="4536" spans="1:12">
      <c r="A4536" s="1798"/>
      <c r="B4536" s="1200"/>
      <c r="C4536" s="1199"/>
      <c r="D4536" s="1199"/>
      <c r="E4536" s="1199"/>
      <c r="F4536" s="1200"/>
      <c r="G4536" s="1199"/>
      <c r="H4536" s="1397">
        <f>SUM(H4533:H4535)</f>
        <v>244.59</v>
      </c>
      <c r="I4536" s="1201" t="s">
        <v>1110</v>
      </c>
      <c r="J4536" s="1846"/>
      <c r="K4536" s="1846"/>
      <c r="L4536" s="1846"/>
    </row>
    <row r="4537" spans="1:12">
      <c r="A4537" s="1798"/>
      <c r="B4537" s="1200"/>
      <c r="C4537" s="1199" t="s">
        <v>1712</v>
      </c>
      <c r="D4537" s="1199"/>
      <c r="E4537" s="1199"/>
      <c r="F4537" s="1200"/>
      <c r="G4537" s="1199"/>
      <c r="H4537" s="1397">
        <f t="shared" ref="H4537:H4538" si="987">12*2</f>
        <v>24</v>
      </c>
      <c r="I4537" s="1201" t="s">
        <v>1110</v>
      </c>
      <c r="J4537" s="1846"/>
      <c r="K4537" s="1846"/>
      <c r="L4537" s="1846"/>
    </row>
    <row r="4538" spans="1:12">
      <c r="A4538" s="1798"/>
      <c r="B4538" s="1200"/>
      <c r="C4538" s="1199" t="s">
        <v>1713</v>
      </c>
      <c r="D4538" s="1199"/>
      <c r="E4538" s="1199"/>
      <c r="F4538" s="1200"/>
      <c r="G4538" s="1199"/>
      <c r="H4538" s="1397">
        <f t="shared" si="987"/>
        <v>24</v>
      </c>
      <c r="I4538" s="1201" t="s">
        <v>1110</v>
      </c>
      <c r="J4538" s="1846"/>
      <c r="K4538" s="1846"/>
      <c r="L4538" s="1846"/>
    </row>
    <row r="4539" spans="1:12">
      <c r="A4539" s="1798"/>
      <c r="B4539" s="1200"/>
      <c r="C4539" s="1198" t="s">
        <v>1694</v>
      </c>
      <c r="D4539" s="1199"/>
      <c r="E4539" s="1199"/>
      <c r="F4539" s="1200"/>
      <c r="G4539" s="1199"/>
      <c r="H4539" s="1397"/>
      <c r="I4539" s="1201"/>
      <c r="J4539" s="1846"/>
      <c r="K4539" s="1846"/>
      <c r="L4539" s="1846"/>
    </row>
    <row r="4540" spans="1:12">
      <c r="A4540" s="1798"/>
      <c r="B4540" s="1200"/>
      <c r="C4540" s="1199" t="s">
        <v>1695</v>
      </c>
      <c r="D4540" s="1203">
        <f t="shared" ref="D4540:D4542" si="988">H4533</f>
        <v>61.199999999999996</v>
      </c>
      <c r="E4540" s="1199" t="s">
        <v>1110</v>
      </c>
      <c r="F4540" s="1201">
        <f>LEAD!$N$10</f>
        <v>61000</v>
      </c>
      <c r="G4540" s="1204">
        <v>1</v>
      </c>
      <c r="H4540" s="1199" t="s">
        <v>948</v>
      </c>
      <c r="I4540" s="1201">
        <f t="shared" ref="I4540:I4542" si="989">D4540*F4540/1000</f>
        <v>3733.1999999999994</v>
      </c>
      <c r="J4540" s="1846"/>
      <c r="K4540" s="1846"/>
      <c r="L4540" s="1846"/>
    </row>
    <row r="4541" spans="1:12">
      <c r="A4541" s="1798"/>
      <c r="B4541" s="1200"/>
      <c r="C4541" s="1199" t="s">
        <v>1714</v>
      </c>
      <c r="D4541" s="1203">
        <f t="shared" si="988"/>
        <v>21.36</v>
      </c>
      <c r="E4541" s="1199" t="s">
        <v>1110</v>
      </c>
      <c r="F4541" s="1201">
        <f>LEAD!$N$11</f>
        <v>62000</v>
      </c>
      <c r="G4541" s="1204">
        <v>1</v>
      </c>
      <c r="H4541" s="1199" t="s">
        <v>948</v>
      </c>
      <c r="I4541" s="1201">
        <f t="shared" si="989"/>
        <v>1324.32</v>
      </c>
      <c r="J4541" s="1846"/>
      <c r="K4541" s="1846"/>
      <c r="L4541" s="1846"/>
    </row>
    <row r="4542" spans="1:12">
      <c r="A4542" s="1798"/>
      <c r="B4542" s="1200"/>
      <c r="C4542" s="1199" t="s">
        <v>1715</v>
      </c>
      <c r="D4542" s="1203">
        <f t="shared" si="988"/>
        <v>162.03</v>
      </c>
      <c r="E4542" s="1199" t="s">
        <v>1110</v>
      </c>
      <c r="F4542" s="1201">
        <f>LEAD!$N$10</f>
        <v>61000</v>
      </c>
      <c r="G4542" s="1204">
        <v>1</v>
      </c>
      <c r="H4542" s="1199" t="s">
        <v>948</v>
      </c>
      <c r="I4542" s="1201">
        <f t="shared" si="989"/>
        <v>9883.83</v>
      </c>
      <c r="J4542" s="1846"/>
      <c r="K4542" s="1846"/>
      <c r="L4542" s="1846"/>
    </row>
    <row r="4543" spans="1:12">
      <c r="A4543" s="1798"/>
      <c r="B4543" s="1200"/>
      <c r="C4543" s="1199" t="s">
        <v>1698</v>
      </c>
      <c r="D4543" s="1203">
        <f>H4537+H4538</f>
        <v>48</v>
      </c>
      <c r="E4543" s="1199" t="s">
        <v>1110</v>
      </c>
      <c r="F4543" s="1399">
        <v>50</v>
      </c>
      <c r="G4543" s="1204">
        <v>1</v>
      </c>
      <c r="H4543" s="1199" t="s">
        <v>1110</v>
      </c>
      <c r="I4543" s="1201">
        <f t="shared" ref="I4543:I4545" si="990">D4543*F4543</f>
        <v>2400</v>
      </c>
      <c r="J4543" s="1846"/>
      <c r="K4543" s="1846"/>
      <c r="L4543" s="1846"/>
    </row>
    <row r="4544" spans="1:12">
      <c r="A4544" s="1798"/>
      <c r="B4544" s="1200"/>
      <c r="C4544" s="1199" t="s">
        <v>1716</v>
      </c>
      <c r="D4544" s="1204">
        <v>2</v>
      </c>
      <c r="E4544" s="1199" t="s">
        <v>36</v>
      </c>
      <c r="F4544" s="1201">
        <f>'Civil-SOR'!$G$174</f>
        <v>185</v>
      </c>
      <c r="G4544" s="1204">
        <v>1</v>
      </c>
      <c r="H4544" s="1199" t="s">
        <v>501</v>
      </c>
      <c r="I4544" s="1201">
        <f t="shared" si="990"/>
        <v>370</v>
      </c>
      <c r="J4544" s="1846"/>
      <c r="K4544" s="1846"/>
      <c r="L4544" s="1846"/>
    </row>
    <row r="4545" spans="1:12">
      <c r="A4545" s="1798"/>
      <c r="B4545" s="1200"/>
      <c r="C4545" s="1199" t="s">
        <v>1717</v>
      </c>
      <c r="D4545" s="1204">
        <v>3</v>
      </c>
      <c r="E4545" s="1199" t="s">
        <v>36</v>
      </c>
      <c r="F4545" s="1399">
        <v>450</v>
      </c>
      <c r="G4545" s="1204">
        <v>1</v>
      </c>
      <c r="H4545" s="1199" t="s">
        <v>501</v>
      </c>
      <c r="I4545" s="1201">
        <f t="shared" si="990"/>
        <v>1350</v>
      </c>
      <c r="J4545" s="1846"/>
      <c r="K4545" s="1846"/>
      <c r="L4545" s="1846"/>
    </row>
    <row r="4546" spans="1:12">
      <c r="A4546" s="1798"/>
      <c r="B4546" s="1200"/>
      <c r="C4546" s="1199" t="s">
        <v>1718</v>
      </c>
      <c r="D4546" s="1199">
        <v>2.25</v>
      </c>
      <c r="E4546" s="1199" t="s">
        <v>46</v>
      </c>
      <c r="F4546" s="1201">
        <f t="shared" ref="F4546:F4547" si="991">F4519</f>
        <v>677.11</v>
      </c>
      <c r="G4546" s="1204">
        <v>10</v>
      </c>
      <c r="H4546" s="1199" t="s">
        <v>46</v>
      </c>
      <c r="I4546" s="1201">
        <f t="shared" ref="I4546:I4547" si="992">D4546*F4546/10</f>
        <v>152.34975</v>
      </c>
      <c r="J4546" s="1846"/>
      <c r="K4546" s="1846"/>
      <c r="L4546" s="1846"/>
    </row>
    <row r="4547" spans="1:12">
      <c r="A4547" s="1798"/>
      <c r="B4547" s="1200"/>
      <c r="C4547" s="1199" t="s">
        <v>1719</v>
      </c>
      <c r="D4547" s="1199">
        <v>2.25</v>
      </c>
      <c r="E4547" s="1199" t="s">
        <v>46</v>
      </c>
      <c r="F4547" s="1201">
        <f t="shared" si="991"/>
        <v>1143.23</v>
      </c>
      <c r="G4547" s="1204">
        <v>10</v>
      </c>
      <c r="H4547" s="1199" t="s">
        <v>46</v>
      </c>
      <c r="I4547" s="1201">
        <f t="shared" si="992"/>
        <v>257.22674999999998</v>
      </c>
      <c r="J4547" s="1846"/>
      <c r="K4547" s="1846"/>
      <c r="L4547" s="1846"/>
    </row>
    <row r="4548" spans="1:12">
      <c r="A4548" s="1798"/>
      <c r="B4548" s="1200"/>
      <c r="C4548" s="1199" t="s">
        <v>1519</v>
      </c>
      <c r="D4548" s="1203">
        <f>SUM(D4540:D4542)</f>
        <v>244.59</v>
      </c>
      <c r="E4548" s="1199" t="s">
        <v>1110</v>
      </c>
      <c r="F4548" s="1201">
        <f>'Civil-SOR'!$G$202</f>
        <v>37</v>
      </c>
      <c r="G4548" s="1204">
        <v>1</v>
      </c>
      <c r="H4548" s="1199" t="s">
        <v>97</v>
      </c>
      <c r="I4548" s="1201">
        <f t="shared" ref="I4548:I4550" si="993">D4548*F4548</f>
        <v>9049.83</v>
      </c>
      <c r="J4548" s="1846"/>
      <c r="K4548" s="1846"/>
      <c r="L4548" s="1846"/>
    </row>
    <row r="4549" spans="1:12">
      <c r="A4549" s="1798"/>
      <c r="B4549" s="1200"/>
      <c r="C4549" s="1199" t="s">
        <v>1705</v>
      </c>
      <c r="D4549" s="1203">
        <f>D4548</f>
        <v>244.59</v>
      </c>
      <c r="E4549" s="1199" t="s">
        <v>1110</v>
      </c>
      <c r="F4549" s="1201">
        <f>'Civil-SOR'!$G$203</f>
        <v>6</v>
      </c>
      <c r="G4549" s="1204">
        <v>1</v>
      </c>
      <c r="H4549" s="1199" t="s">
        <v>97</v>
      </c>
      <c r="I4549" s="1201">
        <f t="shared" si="993"/>
        <v>1467.54</v>
      </c>
      <c r="J4549" s="1846"/>
      <c r="K4549" s="1846"/>
      <c r="L4549" s="1846"/>
    </row>
    <row r="4550" spans="1:12">
      <c r="A4550" s="1798"/>
      <c r="B4550" s="1200"/>
      <c r="C4550" s="1807" t="str">
        <f>Input!$C$47</f>
        <v>Add for MA @ 40%</v>
      </c>
      <c r="D4550" s="1203">
        <f>Input!$D$47</f>
        <v>0.4</v>
      </c>
      <c r="E4550" s="1199"/>
      <c r="F4550" s="1201">
        <f>I4548*40%+I4549</f>
        <v>5087.4719999999998</v>
      </c>
      <c r="G4550" s="1204"/>
      <c r="H4550" s="1199"/>
      <c r="I4550" s="1201">
        <f t="shared" si="993"/>
        <v>2034.9888000000001</v>
      </c>
      <c r="J4550" s="1846"/>
      <c r="K4550" s="1846"/>
      <c r="L4550" s="1846"/>
    </row>
    <row r="4551" spans="1:12">
      <c r="A4551" s="1798"/>
      <c r="B4551" s="1200"/>
      <c r="C4551" s="1199" t="s">
        <v>1708</v>
      </c>
      <c r="D4551" s="1199"/>
      <c r="E4551" s="1199"/>
      <c r="F4551" s="1200"/>
      <c r="G4551" s="1204"/>
      <c r="H4551" s="1199"/>
      <c r="I4551" s="1201">
        <v>220.11</v>
      </c>
      <c r="J4551" s="1846"/>
      <c r="K4551" s="1846"/>
      <c r="L4551" s="1846"/>
    </row>
    <row r="4552" spans="1:12">
      <c r="A4552" s="1798"/>
      <c r="B4552" s="1200"/>
      <c r="C4552" s="1199"/>
      <c r="D4552" s="1199"/>
      <c r="E4552" s="1199"/>
      <c r="F4552" s="1200"/>
      <c r="G4552" s="1204"/>
      <c r="H4552" s="1199"/>
      <c r="I4552" s="1201">
        <f>SUM(I4540:I4551)</f>
        <v>32243.395300000004</v>
      </c>
      <c r="J4552" s="1846"/>
      <c r="K4552" s="1846"/>
      <c r="L4552" s="1846"/>
    </row>
    <row r="4553" spans="1:12">
      <c r="A4553" s="1798"/>
      <c r="B4553" s="1200"/>
      <c r="C4553" s="1807" t="str">
        <f>Input!$C$48</f>
        <v>Overheads &amp; Contractors Profit @ 13.615%</v>
      </c>
      <c r="D4553" s="1400">
        <f>Input!$D$48</f>
        <v>0.13614999999999999</v>
      </c>
      <c r="E4553" s="1199"/>
      <c r="F4553" s="1201">
        <f>I4552</f>
        <v>32243.395300000004</v>
      </c>
      <c r="G4553" s="1204"/>
      <c r="H4553" s="1199"/>
      <c r="I4553" s="1201">
        <f>D4553*F4553</f>
        <v>4389.938270095</v>
      </c>
      <c r="J4553" s="1846"/>
      <c r="K4553" s="1846"/>
      <c r="L4553" s="1846"/>
    </row>
    <row r="4554" spans="1:12">
      <c r="A4554" s="1798"/>
      <c r="B4554" s="1200"/>
      <c r="C4554" s="1198" t="s">
        <v>1720</v>
      </c>
      <c r="D4554" s="1199"/>
      <c r="E4554" s="1199"/>
      <c r="F4554" s="1200"/>
      <c r="G4554" s="1204"/>
      <c r="H4554" s="1199"/>
      <c r="I4554" s="1201">
        <f>SUM(I4552:I4553)</f>
        <v>36633.333570095005</v>
      </c>
      <c r="J4554" s="1846"/>
      <c r="K4554" s="1846"/>
      <c r="L4554" s="1846"/>
    </row>
    <row r="4555" spans="1:12">
      <c r="A4555" s="1798"/>
      <c r="B4555" s="1200"/>
      <c r="C4555" s="1198" t="s">
        <v>1721</v>
      </c>
      <c r="D4555" s="1199"/>
      <c r="E4555" s="1199"/>
      <c r="F4555" s="1200"/>
      <c r="G4555" s="1204"/>
      <c r="H4555" s="1199"/>
      <c r="I4555" s="1201">
        <f>I4554/4.5</f>
        <v>8140.7407933544455</v>
      </c>
      <c r="J4555" s="1846"/>
      <c r="K4555" s="1846"/>
      <c r="L4555" s="1846"/>
    </row>
    <row r="4556" spans="1:12">
      <c r="A4556" s="1798"/>
      <c r="B4556" s="1200"/>
      <c r="C4556" s="1199"/>
      <c r="D4556" s="1199"/>
      <c r="E4556" s="1199"/>
      <c r="F4556" s="1200"/>
      <c r="G4556" s="1204"/>
      <c r="H4556" s="1199" t="s">
        <v>1065</v>
      </c>
      <c r="I4556" s="1230">
        <f>ROUND(I4555,0)</f>
        <v>8141</v>
      </c>
      <c r="J4556" s="1846"/>
      <c r="K4556" s="1846"/>
      <c r="L4556" s="1846"/>
    </row>
    <row r="4557" spans="1:12">
      <c r="A4557" s="1798"/>
      <c r="B4557" s="1200"/>
      <c r="C4557" s="1807"/>
      <c r="D4557" s="1203"/>
      <c r="E4557" s="1199"/>
      <c r="F4557" s="1201"/>
      <c r="G4557" s="1204"/>
      <c r="H4557" s="1199"/>
      <c r="I4557" s="1201"/>
      <c r="J4557" s="1846"/>
      <c r="K4557" s="1846"/>
      <c r="L4557" s="1846"/>
    </row>
    <row r="4558" spans="1:12" ht="114.95" customHeight="1">
      <c r="A4558" s="2010">
        <f>A4532+1</f>
        <v>76</v>
      </c>
      <c r="B4558" s="2010"/>
      <c r="C4558" s="2006" t="s">
        <v>3483</v>
      </c>
      <c r="D4558" s="2006"/>
      <c r="E4558" s="2006"/>
      <c r="F4558" s="2006"/>
      <c r="G4558" s="2006"/>
      <c r="H4558" s="2006"/>
      <c r="I4558" s="2006"/>
      <c r="J4558" s="1846"/>
      <c r="K4558" s="1846"/>
      <c r="L4558" s="1846"/>
    </row>
    <row r="4559" spans="1:12">
      <c r="A4559" s="1798"/>
      <c r="B4559" s="1200"/>
      <c r="C4559" s="1813" t="s">
        <v>1722</v>
      </c>
      <c r="D4559" s="1352">
        <f>3.74*1.45</f>
        <v>5.423</v>
      </c>
      <c r="E4559" s="1813" t="s">
        <v>46</v>
      </c>
      <c r="F4559" s="1794"/>
      <c r="G4559" s="1813"/>
      <c r="H4559" s="1813"/>
      <c r="I4559" s="1209"/>
      <c r="J4559" s="1846"/>
      <c r="K4559" s="1846"/>
      <c r="L4559" s="1846"/>
    </row>
    <row r="4560" spans="1:12">
      <c r="A4560" s="1798"/>
      <c r="B4560" s="1200"/>
      <c r="C4560" s="1813" t="s">
        <v>1723</v>
      </c>
      <c r="D4560" s="1208">
        <v>5.35</v>
      </c>
      <c r="E4560" s="1813" t="s">
        <v>484</v>
      </c>
      <c r="F4560" s="1209">
        <f>$I$182</f>
        <v>3010.706608</v>
      </c>
      <c r="G4560" s="1352">
        <v>10</v>
      </c>
      <c r="H4560" s="1813" t="s">
        <v>484</v>
      </c>
      <c r="I4560" s="1223">
        <f t="shared" ref="I4560:I4562" si="994">IF(G4560="",D4560*F4560,(D4560*F4560/G4560))</f>
        <v>1610.7280352799999</v>
      </c>
      <c r="J4560" s="1846"/>
      <c r="K4560" s="1846"/>
      <c r="L4560" s="1846"/>
    </row>
    <row r="4561" spans="1:64">
      <c r="A4561" s="1798"/>
      <c r="B4561" s="1200"/>
      <c r="C4561" s="1401" t="s">
        <v>1724</v>
      </c>
      <c r="D4561" s="1203">
        <v>1.34</v>
      </c>
      <c r="E4561" s="1813" t="s">
        <v>484</v>
      </c>
      <c r="F4561" s="1201">
        <f>$I$418</f>
        <v>4707.7235000000001</v>
      </c>
      <c r="G4561" s="1352">
        <v>1</v>
      </c>
      <c r="H4561" s="1813" t="s">
        <v>484</v>
      </c>
      <c r="I4561" s="1223">
        <f t="shared" si="994"/>
        <v>6308.3494900000005</v>
      </c>
      <c r="J4561" s="1846"/>
      <c r="K4561" s="1846"/>
      <c r="L4561" s="1846"/>
    </row>
    <row r="4562" spans="1:64">
      <c r="A4562" s="1798"/>
      <c r="B4562" s="1200"/>
      <c r="C4562" s="1401" t="s">
        <v>1725</v>
      </c>
      <c r="D4562" s="1203">
        <v>1.2</v>
      </c>
      <c r="E4562" s="1402" t="s">
        <v>484</v>
      </c>
      <c r="F4562" s="1201">
        <f>$I$2001</f>
        <v>5873.1034999999993</v>
      </c>
      <c r="G4562" s="1354">
        <v>1</v>
      </c>
      <c r="H4562" s="1402" t="s">
        <v>484</v>
      </c>
      <c r="I4562" s="1205">
        <f t="shared" si="994"/>
        <v>7047.7241999999987</v>
      </c>
      <c r="J4562" s="1846"/>
      <c r="K4562" s="1846"/>
      <c r="L4562" s="1846"/>
    </row>
    <row r="4563" spans="1:64">
      <c r="A4563" s="1798"/>
      <c r="B4563" s="1200"/>
      <c r="C4563" s="1401" t="s">
        <v>1726</v>
      </c>
      <c r="D4563" s="1203">
        <v>239.66</v>
      </c>
      <c r="E4563" s="1199" t="s">
        <v>1110</v>
      </c>
      <c r="F4563" s="1201">
        <f>LEAD!$N$10</f>
        <v>61000</v>
      </c>
      <c r="G4563" s="1352">
        <v>1</v>
      </c>
      <c r="H4563" s="1199" t="s">
        <v>948</v>
      </c>
      <c r="I4563" s="1223">
        <f t="shared" ref="I4563:I4565" si="995">IF(G4563="",D4563*F4563,(D4563*F4563/G4563))/1000</f>
        <v>14619.26</v>
      </c>
      <c r="J4563" s="1846"/>
      <c r="K4563" s="1846"/>
      <c r="L4563" s="1846"/>
    </row>
    <row r="4564" spans="1:64">
      <c r="A4564" s="1798"/>
      <c r="B4564" s="1200"/>
      <c r="C4564" s="1401" t="s">
        <v>1727</v>
      </c>
      <c r="D4564" s="1203">
        <v>154.11000000000001</v>
      </c>
      <c r="E4564" s="1199" t="s">
        <v>1110</v>
      </c>
      <c r="F4564" s="1201">
        <f>LEAD!$N$11</f>
        <v>62000</v>
      </c>
      <c r="G4564" s="1354">
        <v>1</v>
      </c>
      <c r="H4564" s="1199" t="s">
        <v>948</v>
      </c>
      <c r="I4564" s="1223">
        <f t="shared" si="995"/>
        <v>9554.82</v>
      </c>
      <c r="J4564" s="1846"/>
      <c r="K4564" s="1846"/>
      <c r="L4564" s="1846"/>
    </row>
    <row r="4565" spans="1:64">
      <c r="A4565" s="1798"/>
      <c r="B4565" s="1200"/>
      <c r="C4565" s="1401" t="s">
        <v>1728</v>
      </c>
      <c r="D4565" s="1203">
        <v>71</v>
      </c>
      <c r="E4565" s="1199" t="s">
        <v>1110</v>
      </c>
      <c r="F4565" s="1201">
        <f>LEAD!$N$10</f>
        <v>61000</v>
      </c>
      <c r="G4565" s="1352">
        <v>1</v>
      </c>
      <c r="H4565" s="1813" t="s">
        <v>948</v>
      </c>
      <c r="I4565" s="1223">
        <f t="shared" si="995"/>
        <v>4331</v>
      </c>
      <c r="J4565" s="1846"/>
      <c r="K4565" s="1846"/>
      <c r="L4565" s="1846"/>
    </row>
    <row r="4566" spans="1:64">
      <c r="A4566" s="1798"/>
      <c r="B4566" s="1200"/>
      <c r="C4566" s="1199" t="s">
        <v>1519</v>
      </c>
      <c r="D4566" s="1203">
        <f>SUM(D4563:D4565)</f>
        <v>464.77</v>
      </c>
      <c r="E4566" s="1199" t="s">
        <v>1110</v>
      </c>
      <c r="F4566" s="1201">
        <f>'Civil-SOR'!$G$202</f>
        <v>37</v>
      </c>
      <c r="G4566" s="1204">
        <v>1</v>
      </c>
      <c r="H4566" s="1199" t="s">
        <v>97</v>
      </c>
      <c r="I4566" s="1201">
        <f t="shared" ref="I4566:I4568" si="996">D4566*F4566</f>
        <v>17196.489999999998</v>
      </c>
      <c r="J4566" s="1846"/>
      <c r="K4566" s="1846"/>
      <c r="L4566" s="1846"/>
    </row>
    <row r="4567" spans="1:64">
      <c r="A4567" s="1798"/>
      <c r="B4567" s="1200"/>
      <c r="C4567" s="1199" t="s">
        <v>1705</v>
      </c>
      <c r="D4567" s="1203">
        <f>D4566</f>
        <v>464.77</v>
      </c>
      <c r="E4567" s="1199" t="s">
        <v>1110</v>
      </c>
      <c r="F4567" s="1201">
        <f>'Civil-SOR'!$G$203</f>
        <v>6</v>
      </c>
      <c r="G4567" s="1204">
        <v>1</v>
      </c>
      <c r="H4567" s="1199" t="s">
        <v>97</v>
      </c>
      <c r="I4567" s="1201">
        <f t="shared" si="996"/>
        <v>2788.62</v>
      </c>
      <c r="J4567" s="1846"/>
      <c r="K4567" s="1846"/>
      <c r="L4567" s="1846"/>
    </row>
    <row r="4568" spans="1:64">
      <c r="A4568" s="1798"/>
      <c r="B4568" s="1200"/>
      <c r="C4568" s="1807" t="str">
        <f>Input!$C$47</f>
        <v>Add for MA @ 40%</v>
      </c>
      <c r="D4568" s="1203">
        <f>Input!$D$47</f>
        <v>0.4</v>
      </c>
      <c r="E4568" s="1199"/>
      <c r="F4568" s="1201">
        <f>I4566*40%+I4567</f>
        <v>9667.2160000000003</v>
      </c>
      <c r="G4568" s="1204"/>
      <c r="H4568" s="1199"/>
      <c r="I4568" s="1201">
        <f t="shared" si="996"/>
        <v>3866.8864000000003</v>
      </c>
      <c r="J4568" s="1846"/>
      <c r="K4568" s="1846"/>
      <c r="L4568" s="1846"/>
    </row>
    <row r="4569" spans="1:64">
      <c r="A4569" s="1798"/>
      <c r="B4569" s="1200"/>
      <c r="C4569" s="1401" t="s">
        <v>1729</v>
      </c>
      <c r="D4569" s="1203">
        <v>12.7</v>
      </c>
      <c r="E4569" s="1199" t="s">
        <v>46</v>
      </c>
      <c r="F4569" s="1201">
        <f>$I$2488</f>
        <v>274.56</v>
      </c>
      <c r="G4569" s="1352">
        <v>1</v>
      </c>
      <c r="H4569" s="1813" t="s">
        <v>46</v>
      </c>
      <c r="I4569" s="1223">
        <f>IF(G4569="",D4569*F4569,(D4569*F4569/G4569))/10</f>
        <v>348.69119999999998</v>
      </c>
      <c r="J4569" s="1846"/>
      <c r="K4569" s="1846"/>
      <c r="L4569" s="1846"/>
    </row>
    <row r="4570" spans="1:64">
      <c r="A4570" s="1798"/>
      <c r="B4570" s="1200"/>
      <c r="C4570" s="1401" t="s">
        <v>1730</v>
      </c>
      <c r="D4570" s="1203">
        <v>47.7</v>
      </c>
      <c r="E4570" s="1199" t="s">
        <v>197</v>
      </c>
      <c r="F4570" s="1201">
        <f>'WS-SOR'!$G$53*90%</f>
        <v>474.3</v>
      </c>
      <c r="G4570" s="1352">
        <v>1</v>
      </c>
      <c r="H4570" s="1813" t="s">
        <v>197</v>
      </c>
      <c r="I4570" s="1223">
        <f>IF(G4570="",D4570*F4570,(D4570*F4570/G4570))</f>
        <v>22624.11</v>
      </c>
      <c r="J4570" s="1846"/>
      <c r="K4570" s="1846"/>
      <c r="L4570" s="1846"/>
    </row>
    <row r="4571" spans="1:64" ht="38.25">
      <c r="A4571" s="1798"/>
      <c r="B4571" s="1200"/>
      <c r="C4571" s="1807" t="s">
        <v>1731</v>
      </c>
      <c r="D4571" s="1807"/>
      <c r="E4571" s="1807"/>
      <c r="F4571" s="1794"/>
      <c r="G4571" s="1200" t="s">
        <v>1707</v>
      </c>
      <c r="H4571" s="1199"/>
      <c r="I4571" s="1399">
        <v>214.54</v>
      </c>
      <c r="J4571" s="1846"/>
      <c r="K4571" s="1846"/>
      <c r="L4571" s="1846"/>
    </row>
    <row r="4572" spans="1:64">
      <c r="A4572" s="1798"/>
      <c r="B4572" s="1200"/>
      <c r="C4572" s="1401" t="s">
        <v>1732</v>
      </c>
      <c r="D4572" s="1207"/>
      <c r="E4572" s="1350"/>
      <c r="F4572" s="1209"/>
      <c r="G4572" s="1332"/>
      <c r="H4572" s="1403"/>
      <c r="I4572" s="1209">
        <f>SUM(I4560:I4571)</f>
        <v>90511.219325279992</v>
      </c>
      <c r="J4572" s="1846"/>
      <c r="K4572" s="1846"/>
      <c r="L4572" s="1846"/>
    </row>
    <row r="4573" spans="1:64">
      <c r="A4573" s="1798"/>
      <c r="B4573" s="1200"/>
      <c r="C4573" s="1377" t="s">
        <v>1117</v>
      </c>
      <c r="D4573" s="1203"/>
      <c r="E4573" s="1199"/>
      <c r="F4573" s="1201"/>
      <c r="G4573" s="1199"/>
      <c r="H4573" s="1199"/>
      <c r="I4573" s="1201">
        <f>I4572/D4559</f>
        <v>16690.248815283052</v>
      </c>
      <c r="J4573" s="1846"/>
      <c r="K4573" s="1846"/>
      <c r="L4573" s="1846"/>
    </row>
    <row r="4574" spans="1:64">
      <c r="A4574" s="1798"/>
      <c r="B4574" s="1200"/>
      <c r="C4574" s="1199"/>
      <c r="D4574" s="1203"/>
      <c r="E4574" s="1199"/>
      <c r="F4574" s="1201"/>
      <c r="G4574" s="1199"/>
      <c r="H4574" s="1199"/>
      <c r="I4574" s="1230">
        <f>ROUND(I4573,0)</f>
        <v>16690</v>
      </c>
      <c r="J4574" s="1846"/>
      <c r="K4574" s="1846"/>
      <c r="L4574" s="1846"/>
    </row>
    <row r="4575" spans="1:64">
      <c r="A4575" s="1798"/>
      <c r="B4575" s="1200"/>
      <c r="C4575" s="1795" t="s">
        <v>1733</v>
      </c>
      <c r="D4575" s="1203"/>
      <c r="E4575" s="1199"/>
      <c r="F4575" s="1201"/>
      <c r="G4575" s="1204"/>
      <c r="H4575" s="1199"/>
      <c r="I4575" s="1201"/>
      <c r="J4575" s="1823"/>
      <c r="K4575" s="1823"/>
      <c r="L4575" s="1823"/>
      <c r="M4575" s="1037"/>
      <c r="N4575" s="1037"/>
      <c r="O4575" s="1037"/>
      <c r="P4575" s="1037"/>
      <c r="Q4575" s="1037"/>
      <c r="R4575" s="1037"/>
      <c r="S4575" s="1037"/>
      <c r="T4575" s="1037"/>
      <c r="U4575" s="1037"/>
      <c r="V4575" s="1037"/>
      <c r="W4575" s="1037"/>
      <c r="X4575" s="1037"/>
      <c r="Y4575" s="1037"/>
      <c r="Z4575" s="1037"/>
      <c r="AA4575" s="1037"/>
      <c r="AB4575" s="1037"/>
      <c r="AC4575" s="1037"/>
      <c r="AD4575" s="1037"/>
      <c r="AE4575" s="1037"/>
      <c r="AF4575" s="1037"/>
      <c r="AG4575" s="1037"/>
      <c r="AH4575" s="1037"/>
      <c r="AI4575" s="1037"/>
      <c r="AJ4575" s="1037"/>
      <c r="AK4575" s="1037"/>
      <c r="AL4575" s="1037"/>
      <c r="AM4575" s="1037"/>
      <c r="AN4575" s="1037"/>
      <c r="AO4575" s="1037"/>
      <c r="AP4575" s="1037"/>
      <c r="AQ4575" s="1037"/>
      <c r="AR4575" s="1037"/>
      <c r="AS4575" s="1037"/>
      <c r="AT4575" s="1037"/>
      <c r="AU4575" s="1037"/>
      <c r="AV4575" s="1037"/>
      <c r="AW4575" s="1037"/>
      <c r="AX4575" s="1037"/>
      <c r="AY4575" s="1037"/>
      <c r="AZ4575" s="1037"/>
      <c r="BA4575" s="1037"/>
      <c r="BB4575" s="1037"/>
      <c r="BC4575" s="1037"/>
      <c r="BD4575" s="1037"/>
      <c r="BE4575" s="1037"/>
      <c r="BF4575" s="1037"/>
      <c r="BG4575" s="1037"/>
      <c r="BH4575" s="1037"/>
      <c r="BI4575" s="1037"/>
      <c r="BJ4575" s="1037"/>
      <c r="BK4575" s="1037"/>
      <c r="BL4575" s="1037"/>
    </row>
    <row r="4576" spans="1:64" ht="114.95" customHeight="1">
      <c r="A4576" s="2010">
        <f>A4558+1</f>
        <v>77</v>
      </c>
      <c r="B4576" s="2010"/>
      <c r="C4576" s="2022" t="s">
        <v>3484</v>
      </c>
      <c r="D4576" s="2022"/>
      <c r="E4576" s="2022"/>
      <c r="F4576" s="2022"/>
      <c r="G4576" s="2022"/>
      <c r="H4576" s="2022"/>
      <c r="I4576" s="2022"/>
      <c r="J4576" s="1823"/>
      <c r="K4576" s="1823"/>
      <c r="L4576" s="1823"/>
      <c r="M4576" s="1037"/>
      <c r="N4576" s="1037"/>
      <c r="O4576" s="1037"/>
      <c r="P4576" s="1037"/>
      <c r="Q4576" s="1037"/>
      <c r="R4576" s="1037"/>
      <c r="S4576" s="1037"/>
      <c r="T4576" s="1037"/>
      <c r="U4576" s="1037"/>
      <c r="V4576" s="1037"/>
      <c r="W4576" s="1037"/>
      <c r="X4576" s="1037"/>
      <c r="Y4576" s="1037"/>
      <c r="Z4576" s="1037"/>
      <c r="AA4576" s="1037"/>
      <c r="AB4576" s="1037"/>
      <c r="AC4576" s="1037"/>
      <c r="AD4576" s="1037"/>
      <c r="AE4576" s="1037"/>
      <c r="AF4576" s="1037"/>
      <c r="AG4576" s="1037"/>
      <c r="AH4576" s="1037"/>
      <c r="AI4576" s="1037"/>
      <c r="AJ4576" s="1037"/>
      <c r="AK4576" s="1037"/>
      <c r="AL4576" s="1037"/>
      <c r="AM4576" s="1037"/>
      <c r="AN4576" s="1037"/>
      <c r="AO4576" s="1037"/>
      <c r="AP4576" s="1037"/>
      <c r="AQ4576" s="1037"/>
      <c r="AR4576" s="1037"/>
      <c r="AS4576" s="1037"/>
      <c r="AT4576" s="1037"/>
      <c r="AU4576" s="1037"/>
      <c r="AV4576" s="1037"/>
      <c r="AW4576" s="1037"/>
      <c r="AX4576" s="1037"/>
      <c r="AY4576" s="1037"/>
      <c r="AZ4576" s="1037"/>
      <c r="BA4576" s="1037"/>
      <c r="BB4576" s="1037"/>
      <c r="BC4576" s="1037"/>
      <c r="BD4576" s="1037"/>
      <c r="BE4576" s="1037"/>
      <c r="BF4576" s="1037"/>
      <c r="BG4576" s="1037"/>
      <c r="BH4576" s="1037"/>
      <c r="BI4576" s="1037"/>
      <c r="BJ4576" s="1037"/>
      <c r="BK4576" s="1037"/>
      <c r="BL4576" s="1037"/>
    </row>
    <row r="4577" spans="1:64">
      <c r="A4577" s="1798"/>
      <c r="B4577" s="1200"/>
      <c r="C4577" s="1807" t="s">
        <v>1734</v>
      </c>
      <c r="D4577" s="1203"/>
      <c r="E4577" s="1199"/>
      <c r="F4577" s="1201"/>
      <c r="G4577" s="1204"/>
      <c r="H4577" s="1199"/>
      <c r="I4577" s="1201"/>
      <c r="J4577" s="1823"/>
      <c r="K4577" s="1823"/>
      <c r="L4577" s="1823"/>
      <c r="M4577" s="1037"/>
      <c r="N4577" s="1037"/>
      <c r="O4577" s="1037"/>
      <c r="P4577" s="1037"/>
      <c r="Q4577" s="1037"/>
      <c r="R4577" s="1037"/>
      <c r="S4577" s="1037"/>
      <c r="T4577" s="1037"/>
      <c r="U4577" s="1037"/>
      <c r="V4577" s="1037"/>
      <c r="W4577" s="1037"/>
      <c r="X4577" s="1037"/>
      <c r="Y4577" s="1037"/>
      <c r="Z4577" s="1037"/>
      <c r="AA4577" s="1037"/>
      <c r="AB4577" s="1037"/>
      <c r="AC4577" s="1037"/>
      <c r="AD4577" s="1037"/>
      <c r="AE4577" s="1037"/>
      <c r="AF4577" s="1037"/>
      <c r="AG4577" s="1037"/>
      <c r="AH4577" s="1037"/>
      <c r="AI4577" s="1037"/>
      <c r="AJ4577" s="1037"/>
      <c r="AK4577" s="1037"/>
      <c r="AL4577" s="1037"/>
      <c r="AM4577" s="1037"/>
      <c r="AN4577" s="1037"/>
      <c r="AO4577" s="1037"/>
      <c r="AP4577" s="1037"/>
      <c r="AQ4577" s="1037"/>
      <c r="AR4577" s="1037"/>
      <c r="AS4577" s="1037"/>
      <c r="AT4577" s="1037"/>
      <c r="AU4577" s="1037"/>
      <c r="AV4577" s="1037"/>
      <c r="AW4577" s="1037"/>
      <c r="AX4577" s="1037"/>
      <c r="AY4577" s="1037"/>
      <c r="AZ4577" s="1037"/>
      <c r="BA4577" s="1037"/>
      <c r="BB4577" s="1037"/>
      <c r="BC4577" s="1037"/>
      <c r="BD4577" s="1037"/>
      <c r="BE4577" s="1037"/>
      <c r="BF4577" s="1037"/>
      <c r="BG4577" s="1037"/>
      <c r="BH4577" s="1037"/>
      <c r="BI4577" s="1037"/>
      <c r="BJ4577" s="1037"/>
      <c r="BK4577" s="1037"/>
      <c r="BL4577" s="1037"/>
    </row>
    <row r="4578" spans="1:64">
      <c r="A4578" s="1798"/>
      <c r="B4578" s="1200"/>
      <c r="C4578" s="1807" t="s">
        <v>1735</v>
      </c>
      <c r="D4578" s="1203"/>
      <c r="E4578" s="1199"/>
      <c r="F4578" s="1201"/>
      <c r="G4578" s="1204"/>
      <c r="H4578" s="1199"/>
      <c r="I4578" s="1201"/>
      <c r="J4578" s="1823"/>
      <c r="K4578" s="1823"/>
      <c r="L4578" s="1823"/>
      <c r="M4578" s="1037"/>
      <c r="N4578" s="1037"/>
      <c r="O4578" s="1037"/>
      <c r="P4578" s="1037"/>
      <c r="Q4578" s="1037"/>
      <c r="R4578" s="1037"/>
      <c r="S4578" s="1037"/>
      <c r="T4578" s="1037"/>
      <c r="U4578" s="1037"/>
      <c r="V4578" s="1037"/>
      <c r="W4578" s="1037"/>
      <c r="X4578" s="1037"/>
      <c r="Y4578" s="1037"/>
      <c r="Z4578" s="1037"/>
      <c r="AA4578" s="1037"/>
      <c r="AB4578" s="1037"/>
      <c r="AC4578" s="1037"/>
      <c r="AD4578" s="1037"/>
      <c r="AE4578" s="1037"/>
      <c r="AF4578" s="1037"/>
      <c r="AG4578" s="1037"/>
      <c r="AH4578" s="1037"/>
      <c r="AI4578" s="1037"/>
      <c r="AJ4578" s="1037"/>
      <c r="AK4578" s="1037"/>
      <c r="AL4578" s="1037"/>
      <c r="AM4578" s="1037"/>
      <c r="AN4578" s="1037"/>
      <c r="AO4578" s="1037"/>
      <c r="AP4578" s="1037"/>
      <c r="AQ4578" s="1037"/>
      <c r="AR4578" s="1037"/>
      <c r="AS4578" s="1037"/>
      <c r="AT4578" s="1037"/>
      <c r="AU4578" s="1037"/>
      <c r="AV4578" s="1037"/>
      <c r="AW4578" s="1037"/>
      <c r="AX4578" s="1037"/>
      <c r="AY4578" s="1037"/>
      <c r="AZ4578" s="1037"/>
      <c r="BA4578" s="1037"/>
      <c r="BB4578" s="1037"/>
      <c r="BC4578" s="1037"/>
      <c r="BD4578" s="1037"/>
      <c r="BE4578" s="1037"/>
      <c r="BF4578" s="1037"/>
      <c r="BG4578" s="1037"/>
      <c r="BH4578" s="1037"/>
      <c r="BI4578" s="1037"/>
      <c r="BJ4578" s="1037"/>
      <c r="BK4578" s="1037"/>
      <c r="BL4578" s="1037"/>
    </row>
    <row r="4579" spans="1:64">
      <c r="A4579" s="1798"/>
      <c r="B4579" s="1200"/>
      <c r="C4579" s="1807" t="s">
        <v>1736</v>
      </c>
      <c r="D4579" s="1203"/>
      <c r="E4579" s="1199"/>
      <c r="F4579" s="1201"/>
      <c r="G4579" s="1204"/>
      <c r="H4579" s="1199"/>
      <c r="I4579" s="1201"/>
      <c r="J4579" s="1823"/>
      <c r="K4579" s="1823"/>
      <c r="L4579" s="1823"/>
      <c r="M4579" s="1037"/>
      <c r="N4579" s="1037"/>
      <c r="O4579" s="1037"/>
      <c r="P4579" s="1037"/>
      <c r="Q4579" s="1037"/>
      <c r="R4579" s="1037"/>
      <c r="S4579" s="1037"/>
      <c r="T4579" s="1037"/>
      <c r="U4579" s="1037"/>
      <c r="V4579" s="1037"/>
      <c r="W4579" s="1037"/>
      <c r="X4579" s="1037"/>
      <c r="Y4579" s="1037"/>
      <c r="Z4579" s="1037"/>
      <c r="AA4579" s="1037"/>
      <c r="AB4579" s="1037"/>
      <c r="AC4579" s="1037"/>
      <c r="AD4579" s="1037"/>
      <c r="AE4579" s="1037"/>
      <c r="AF4579" s="1037"/>
      <c r="AG4579" s="1037"/>
      <c r="AH4579" s="1037"/>
      <c r="AI4579" s="1037"/>
      <c r="AJ4579" s="1037"/>
      <c r="AK4579" s="1037"/>
      <c r="AL4579" s="1037"/>
      <c r="AM4579" s="1037"/>
      <c r="AN4579" s="1037"/>
      <c r="AO4579" s="1037"/>
      <c r="AP4579" s="1037"/>
      <c r="AQ4579" s="1037"/>
      <c r="AR4579" s="1037"/>
      <c r="AS4579" s="1037"/>
      <c r="AT4579" s="1037"/>
      <c r="AU4579" s="1037"/>
      <c r="AV4579" s="1037"/>
      <c r="AW4579" s="1037"/>
      <c r="AX4579" s="1037"/>
      <c r="AY4579" s="1037"/>
      <c r="AZ4579" s="1037"/>
      <c r="BA4579" s="1037"/>
      <c r="BB4579" s="1037"/>
      <c r="BC4579" s="1037"/>
      <c r="BD4579" s="1037"/>
      <c r="BE4579" s="1037"/>
      <c r="BF4579" s="1037"/>
      <c r="BG4579" s="1037"/>
      <c r="BH4579" s="1037"/>
      <c r="BI4579" s="1037"/>
      <c r="BJ4579" s="1037"/>
      <c r="BK4579" s="1037"/>
      <c r="BL4579" s="1037"/>
    </row>
    <row r="4580" spans="1:64">
      <c r="A4580" s="1798"/>
      <c r="B4580" s="1200"/>
      <c r="C4580" s="1807" t="s">
        <v>1737</v>
      </c>
      <c r="D4580" s="1203" t="s">
        <v>959</v>
      </c>
      <c r="E4580" s="1199" t="s">
        <v>1738</v>
      </c>
      <c r="F4580" s="1201" t="s">
        <v>959</v>
      </c>
      <c r="G4580" s="1204"/>
      <c r="H4580" s="1199"/>
      <c r="I4580" s="1201"/>
      <c r="J4580" s="1823"/>
      <c r="K4580" s="1823"/>
      <c r="L4580" s="1823"/>
      <c r="M4580" s="1037"/>
      <c r="N4580" s="1037"/>
      <c r="O4580" s="1037"/>
      <c r="P4580" s="1037"/>
      <c r="Q4580" s="1037"/>
      <c r="R4580" s="1037"/>
      <c r="S4580" s="1037"/>
      <c r="T4580" s="1037"/>
      <c r="U4580" s="1037"/>
      <c r="V4580" s="1037"/>
      <c r="W4580" s="1037"/>
      <c r="X4580" s="1037"/>
      <c r="Y4580" s="1037"/>
      <c r="Z4580" s="1037"/>
      <c r="AA4580" s="1037"/>
      <c r="AB4580" s="1037"/>
      <c r="AC4580" s="1037"/>
      <c r="AD4580" s="1037"/>
      <c r="AE4580" s="1037"/>
      <c r="AF4580" s="1037"/>
      <c r="AG4580" s="1037"/>
      <c r="AH4580" s="1037"/>
      <c r="AI4580" s="1037"/>
      <c r="AJ4580" s="1037"/>
      <c r="AK4580" s="1037"/>
      <c r="AL4580" s="1037"/>
      <c r="AM4580" s="1037"/>
      <c r="AN4580" s="1037"/>
      <c r="AO4580" s="1037"/>
      <c r="AP4580" s="1037"/>
      <c r="AQ4580" s="1037"/>
      <c r="AR4580" s="1037"/>
      <c r="AS4580" s="1037"/>
      <c r="AT4580" s="1037"/>
      <c r="AU4580" s="1037"/>
      <c r="AV4580" s="1037"/>
      <c r="AW4580" s="1037"/>
      <c r="AX4580" s="1037"/>
      <c r="AY4580" s="1037"/>
      <c r="AZ4580" s="1037"/>
      <c r="BA4580" s="1037"/>
      <c r="BB4580" s="1037"/>
      <c r="BC4580" s="1037"/>
      <c r="BD4580" s="1037"/>
      <c r="BE4580" s="1037"/>
      <c r="BF4580" s="1037"/>
      <c r="BG4580" s="1037"/>
      <c r="BH4580" s="1037"/>
      <c r="BI4580" s="1037"/>
      <c r="BJ4580" s="1037"/>
      <c r="BK4580" s="1037"/>
      <c r="BL4580" s="1037"/>
    </row>
    <row r="4581" spans="1:64">
      <c r="A4581" s="1798"/>
      <c r="B4581" s="1200"/>
      <c r="C4581" s="1807" t="s">
        <v>1739</v>
      </c>
      <c r="D4581" s="1203">
        <v>5</v>
      </c>
      <c r="E4581" s="1199" t="s">
        <v>1738</v>
      </c>
      <c r="F4581" s="1201">
        <f>'Civil-SOR'!G293</f>
        <v>580</v>
      </c>
      <c r="G4581" s="1204">
        <v>1</v>
      </c>
      <c r="H4581" s="1199" t="s">
        <v>39</v>
      </c>
      <c r="I4581" s="1201">
        <f t="shared" ref="I4581:I4593" si="997">IF(G4581="",D4581*F4581,(D4581*F4581/G4581))</f>
        <v>2900</v>
      </c>
      <c r="J4581" s="1823"/>
      <c r="K4581" s="1823"/>
      <c r="L4581" s="1823"/>
      <c r="M4581" s="1037"/>
      <c r="N4581" s="1037"/>
      <c r="O4581" s="1037"/>
      <c r="P4581" s="1037"/>
      <c r="Q4581" s="1037"/>
      <c r="R4581" s="1037"/>
      <c r="S4581" s="1037"/>
      <c r="T4581" s="1037"/>
      <c r="U4581" s="1037"/>
      <c r="V4581" s="1037"/>
      <c r="W4581" s="1037"/>
      <c r="X4581" s="1037"/>
      <c r="Y4581" s="1037"/>
      <c r="Z4581" s="1037"/>
      <c r="AA4581" s="1037"/>
      <c r="AB4581" s="1037"/>
      <c r="AC4581" s="1037"/>
      <c r="AD4581" s="1037"/>
      <c r="AE4581" s="1037"/>
      <c r="AF4581" s="1037"/>
      <c r="AG4581" s="1037"/>
      <c r="AH4581" s="1037"/>
      <c r="AI4581" s="1037"/>
      <c r="AJ4581" s="1037"/>
      <c r="AK4581" s="1037"/>
      <c r="AL4581" s="1037"/>
      <c r="AM4581" s="1037"/>
      <c r="AN4581" s="1037"/>
      <c r="AO4581" s="1037"/>
      <c r="AP4581" s="1037"/>
      <c r="AQ4581" s="1037"/>
      <c r="AR4581" s="1037"/>
      <c r="AS4581" s="1037"/>
      <c r="AT4581" s="1037"/>
      <c r="AU4581" s="1037"/>
      <c r="AV4581" s="1037"/>
      <c r="AW4581" s="1037"/>
      <c r="AX4581" s="1037"/>
      <c r="AY4581" s="1037"/>
      <c r="AZ4581" s="1037"/>
      <c r="BA4581" s="1037"/>
      <c r="BB4581" s="1037"/>
      <c r="BC4581" s="1037"/>
      <c r="BD4581" s="1037"/>
      <c r="BE4581" s="1037"/>
      <c r="BF4581" s="1037"/>
      <c r="BG4581" s="1037"/>
      <c r="BH4581" s="1037"/>
      <c r="BI4581" s="1037"/>
      <c r="BJ4581" s="1037"/>
      <c r="BK4581" s="1037"/>
      <c r="BL4581" s="1037"/>
    </row>
    <row r="4582" spans="1:64">
      <c r="A4582" s="1798"/>
      <c r="B4582" s="1200"/>
      <c r="C4582" s="1807" t="s">
        <v>1740</v>
      </c>
      <c r="D4582" s="1203">
        <v>5</v>
      </c>
      <c r="E4582" s="1199" t="s">
        <v>1738</v>
      </c>
      <c r="F4582" s="1201">
        <f>'Civil-SOR'!G302</f>
        <v>550</v>
      </c>
      <c r="G4582" s="1204">
        <v>1</v>
      </c>
      <c r="H4582" s="1199" t="s">
        <v>39</v>
      </c>
      <c r="I4582" s="1201">
        <f t="shared" si="997"/>
        <v>2750</v>
      </c>
      <c r="J4582" s="1823"/>
      <c r="K4582" s="1823"/>
      <c r="L4582" s="1823"/>
      <c r="M4582" s="1037"/>
      <c r="N4582" s="1037"/>
      <c r="O4582" s="1037"/>
      <c r="P4582" s="1037"/>
      <c r="Q4582" s="1037"/>
      <c r="R4582" s="1037"/>
      <c r="S4582" s="1037"/>
      <c r="T4582" s="1037"/>
      <c r="U4582" s="1037"/>
      <c r="V4582" s="1037"/>
      <c r="W4582" s="1037"/>
      <c r="X4582" s="1037"/>
      <c r="Y4582" s="1037"/>
      <c r="Z4582" s="1037"/>
      <c r="AA4582" s="1037"/>
      <c r="AB4582" s="1037"/>
      <c r="AC4582" s="1037"/>
      <c r="AD4582" s="1037"/>
      <c r="AE4582" s="1037"/>
      <c r="AF4582" s="1037"/>
      <c r="AG4582" s="1037"/>
      <c r="AH4582" s="1037"/>
      <c r="AI4582" s="1037"/>
      <c r="AJ4582" s="1037"/>
      <c r="AK4582" s="1037"/>
      <c r="AL4582" s="1037"/>
      <c r="AM4582" s="1037"/>
      <c r="AN4582" s="1037"/>
      <c r="AO4582" s="1037"/>
      <c r="AP4582" s="1037"/>
      <c r="AQ4582" s="1037"/>
      <c r="AR4582" s="1037"/>
      <c r="AS4582" s="1037"/>
      <c r="AT4582" s="1037"/>
      <c r="AU4582" s="1037"/>
      <c r="AV4582" s="1037"/>
      <c r="AW4582" s="1037"/>
      <c r="AX4582" s="1037"/>
      <c r="AY4582" s="1037"/>
      <c r="AZ4582" s="1037"/>
      <c r="BA4582" s="1037"/>
      <c r="BB4582" s="1037"/>
      <c r="BC4582" s="1037"/>
      <c r="BD4582" s="1037"/>
      <c r="BE4582" s="1037"/>
      <c r="BF4582" s="1037"/>
      <c r="BG4582" s="1037"/>
      <c r="BH4582" s="1037"/>
      <c r="BI4582" s="1037"/>
      <c r="BJ4582" s="1037"/>
      <c r="BK4582" s="1037"/>
      <c r="BL4582" s="1037"/>
    </row>
    <row r="4583" spans="1:64">
      <c r="A4583" s="1798"/>
      <c r="B4583" s="1200"/>
      <c r="C4583" s="1807" t="s">
        <v>1166</v>
      </c>
      <c r="D4583" s="1203">
        <v>150</v>
      </c>
      <c r="E4583" s="1199" t="s">
        <v>1738</v>
      </c>
      <c r="F4583" s="1201">
        <f>'Civil-SOR'!G307</f>
        <v>520</v>
      </c>
      <c r="G4583" s="1204">
        <v>1</v>
      </c>
      <c r="H4583" s="1199" t="s">
        <v>39</v>
      </c>
      <c r="I4583" s="1201">
        <f t="shared" si="997"/>
        <v>78000</v>
      </c>
      <c r="J4583" s="1823"/>
      <c r="K4583" s="1823"/>
      <c r="L4583" s="1823"/>
      <c r="M4583" s="1037"/>
      <c r="N4583" s="1037"/>
      <c r="O4583" s="1037"/>
      <c r="P4583" s="1037"/>
      <c r="Q4583" s="1037"/>
      <c r="R4583" s="1037"/>
      <c r="S4583" s="1037"/>
      <c r="T4583" s="1037"/>
      <c r="U4583" s="1037"/>
      <c r="V4583" s="1037"/>
      <c r="W4583" s="1037"/>
      <c r="X4583" s="1037"/>
      <c r="Y4583" s="1037"/>
      <c r="Z4583" s="1037"/>
      <c r="AA4583" s="1037"/>
      <c r="AB4583" s="1037"/>
      <c r="AC4583" s="1037"/>
      <c r="AD4583" s="1037"/>
      <c r="AE4583" s="1037"/>
      <c r="AF4583" s="1037"/>
      <c r="AG4583" s="1037"/>
      <c r="AH4583" s="1037"/>
      <c r="AI4583" s="1037"/>
      <c r="AJ4583" s="1037"/>
      <c r="AK4583" s="1037"/>
      <c r="AL4583" s="1037"/>
      <c r="AM4583" s="1037"/>
      <c r="AN4583" s="1037"/>
      <c r="AO4583" s="1037"/>
      <c r="AP4583" s="1037"/>
      <c r="AQ4583" s="1037"/>
      <c r="AR4583" s="1037"/>
      <c r="AS4583" s="1037"/>
      <c r="AT4583" s="1037"/>
      <c r="AU4583" s="1037"/>
      <c r="AV4583" s="1037"/>
      <c r="AW4583" s="1037"/>
      <c r="AX4583" s="1037"/>
      <c r="AY4583" s="1037"/>
      <c r="AZ4583" s="1037"/>
      <c r="BA4583" s="1037"/>
      <c r="BB4583" s="1037"/>
      <c r="BC4583" s="1037"/>
      <c r="BD4583" s="1037"/>
      <c r="BE4583" s="1037"/>
      <c r="BF4583" s="1037"/>
      <c r="BG4583" s="1037"/>
      <c r="BH4583" s="1037"/>
      <c r="BI4583" s="1037"/>
      <c r="BJ4583" s="1037"/>
      <c r="BK4583" s="1037"/>
      <c r="BL4583" s="1037"/>
    </row>
    <row r="4584" spans="1:64">
      <c r="A4584" s="1798"/>
      <c r="B4584" s="1200"/>
      <c r="C4584" s="1807" t="s">
        <v>1741</v>
      </c>
      <c r="D4584" s="1203">
        <v>6</v>
      </c>
      <c r="E4584" s="1199" t="s">
        <v>1738</v>
      </c>
      <c r="F4584" s="1201">
        <f>+F4583</f>
        <v>520</v>
      </c>
      <c r="G4584" s="1204">
        <v>1</v>
      </c>
      <c r="H4584" s="1199" t="s">
        <v>39</v>
      </c>
      <c r="I4584" s="1201">
        <f t="shared" si="997"/>
        <v>3120</v>
      </c>
      <c r="J4584" s="1823"/>
      <c r="K4584" s="1823"/>
      <c r="L4584" s="1823"/>
      <c r="M4584" s="1037"/>
      <c r="N4584" s="1037"/>
      <c r="O4584" s="1037"/>
      <c r="P4584" s="1037"/>
      <c r="Q4584" s="1037"/>
      <c r="R4584" s="1037"/>
      <c r="S4584" s="1037"/>
      <c r="T4584" s="1037"/>
      <c r="U4584" s="1037"/>
      <c r="V4584" s="1037"/>
      <c r="W4584" s="1037"/>
      <c r="X4584" s="1037"/>
      <c r="Y4584" s="1037"/>
      <c r="Z4584" s="1037"/>
      <c r="AA4584" s="1037"/>
      <c r="AB4584" s="1037"/>
      <c r="AC4584" s="1037"/>
      <c r="AD4584" s="1037"/>
      <c r="AE4584" s="1037"/>
      <c r="AF4584" s="1037"/>
      <c r="AG4584" s="1037"/>
      <c r="AH4584" s="1037"/>
      <c r="AI4584" s="1037"/>
      <c r="AJ4584" s="1037"/>
      <c r="AK4584" s="1037"/>
      <c r="AL4584" s="1037"/>
      <c r="AM4584" s="1037"/>
      <c r="AN4584" s="1037"/>
      <c r="AO4584" s="1037"/>
      <c r="AP4584" s="1037"/>
      <c r="AQ4584" s="1037"/>
      <c r="AR4584" s="1037"/>
      <c r="AS4584" s="1037"/>
      <c r="AT4584" s="1037"/>
      <c r="AU4584" s="1037"/>
      <c r="AV4584" s="1037"/>
      <c r="AW4584" s="1037"/>
      <c r="AX4584" s="1037"/>
      <c r="AY4584" s="1037"/>
      <c r="AZ4584" s="1037"/>
      <c r="BA4584" s="1037"/>
      <c r="BB4584" s="1037"/>
      <c r="BC4584" s="1037"/>
      <c r="BD4584" s="1037"/>
      <c r="BE4584" s="1037"/>
      <c r="BF4584" s="1037"/>
      <c r="BG4584" s="1037"/>
      <c r="BH4584" s="1037"/>
      <c r="BI4584" s="1037"/>
      <c r="BJ4584" s="1037"/>
      <c r="BK4584" s="1037"/>
      <c r="BL4584" s="1037"/>
    </row>
    <row r="4585" spans="1:64">
      <c r="A4585" s="1798"/>
      <c r="B4585" s="1200"/>
      <c r="C4585" s="1807" t="str">
        <f>Input!C$47</f>
        <v>Add for MA @ 40%</v>
      </c>
      <c r="D4585" s="1404">
        <f>Input!D$47</f>
        <v>0.4</v>
      </c>
      <c r="E4585" s="1199"/>
      <c r="F4585" s="1201">
        <f>+SUM(I4581:I4584)</f>
        <v>86770</v>
      </c>
      <c r="G4585" s="1204"/>
      <c r="H4585" s="1199"/>
      <c r="I4585" s="1201">
        <f t="shared" si="997"/>
        <v>34708</v>
      </c>
      <c r="J4585" s="1823"/>
      <c r="K4585" s="1823"/>
      <c r="L4585" s="1823"/>
      <c r="M4585" s="1037"/>
      <c r="N4585" s="1037"/>
      <c r="O4585" s="1037"/>
      <c r="P4585" s="1037"/>
      <c r="Q4585" s="1037"/>
      <c r="R4585" s="1037"/>
      <c r="S4585" s="1037"/>
      <c r="T4585" s="1037"/>
      <c r="U4585" s="1037"/>
      <c r="V4585" s="1037"/>
      <c r="W4585" s="1037"/>
      <c r="X4585" s="1037"/>
      <c r="Y4585" s="1037"/>
      <c r="Z4585" s="1037"/>
      <c r="AA4585" s="1037"/>
      <c r="AB4585" s="1037"/>
      <c r="AC4585" s="1037"/>
      <c r="AD4585" s="1037"/>
      <c r="AE4585" s="1037"/>
      <c r="AF4585" s="1037"/>
      <c r="AG4585" s="1037"/>
      <c r="AH4585" s="1037"/>
      <c r="AI4585" s="1037"/>
      <c r="AJ4585" s="1037"/>
      <c r="AK4585" s="1037"/>
      <c r="AL4585" s="1037"/>
      <c r="AM4585" s="1037"/>
      <c r="AN4585" s="1037"/>
      <c r="AO4585" s="1037"/>
      <c r="AP4585" s="1037"/>
      <c r="AQ4585" s="1037"/>
      <c r="AR4585" s="1037"/>
      <c r="AS4585" s="1037"/>
      <c r="AT4585" s="1037"/>
      <c r="AU4585" s="1037"/>
      <c r="AV4585" s="1037"/>
      <c r="AW4585" s="1037"/>
      <c r="AX4585" s="1037"/>
      <c r="AY4585" s="1037"/>
      <c r="AZ4585" s="1037"/>
      <c r="BA4585" s="1037"/>
      <c r="BB4585" s="1037"/>
      <c r="BC4585" s="1037"/>
      <c r="BD4585" s="1037"/>
      <c r="BE4585" s="1037"/>
      <c r="BF4585" s="1037"/>
      <c r="BG4585" s="1037"/>
      <c r="BH4585" s="1037"/>
      <c r="BI4585" s="1037"/>
      <c r="BJ4585" s="1037"/>
      <c r="BK4585" s="1037"/>
      <c r="BL4585" s="1037"/>
    </row>
    <row r="4586" spans="1:64">
      <c r="A4586" s="1798"/>
      <c r="B4586" s="1200"/>
      <c r="C4586" s="1807" t="s">
        <v>1742</v>
      </c>
      <c r="D4586" s="1203"/>
      <c r="E4586" s="1199"/>
      <c r="F4586" s="1201"/>
      <c r="G4586" s="1204"/>
      <c r="H4586" s="1199"/>
      <c r="I4586" s="1201">
        <f t="shared" si="997"/>
        <v>0</v>
      </c>
      <c r="J4586" s="1823"/>
      <c r="K4586" s="1823"/>
      <c r="L4586" s="1823"/>
      <c r="M4586" s="1037"/>
      <c r="N4586" s="1037"/>
      <c r="O4586" s="1037"/>
      <c r="P4586" s="1037"/>
      <c r="Q4586" s="1037"/>
      <c r="R4586" s="1037"/>
      <c r="S4586" s="1037"/>
      <c r="T4586" s="1037"/>
      <c r="U4586" s="1037"/>
      <c r="V4586" s="1037"/>
      <c r="W4586" s="1037"/>
      <c r="X4586" s="1037"/>
      <c r="Y4586" s="1037"/>
      <c r="Z4586" s="1037"/>
      <c r="AA4586" s="1037"/>
      <c r="AB4586" s="1037"/>
      <c r="AC4586" s="1037"/>
      <c r="AD4586" s="1037"/>
      <c r="AE4586" s="1037"/>
      <c r="AF4586" s="1037"/>
      <c r="AG4586" s="1037"/>
      <c r="AH4586" s="1037"/>
      <c r="AI4586" s="1037"/>
      <c r="AJ4586" s="1037"/>
      <c r="AK4586" s="1037"/>
      <c r="AL4586" s="1037"/>
      <c r="AM4586" s="1037"/>
      <c r="AN4586" s="1037"/>
      <c r="AO4586" s="1037"/>
      <c r="AP4586" s="1037"/>
      <c r="AQ4586" s="1037"/>
      <c r="AR4586" s="1037"/>
      <c r="AS4586" s="1037"/>
      <c r="AT4586" s="1037"/>
      <c r="AU4586" s="1037"/>
      <c r="AV4586" s="1037"/>
      <c r="AW4586" s="1037"/>
      <c r="AX4586" s="1037"/>
      <c r="AY4586" s="1037"/>
      <c r="AZ4586" s="1037"/>
      <c r="BA4586" s="1037"/>
      <c r="BB4586" s="1037"/>
      <c r="BC4586" s="1037"/>
      <c r="BD4586" s="1037"/>
      <c r="BE4586" s="1037"/>
      <c r="BF4586" s="1037"/>
      <c r="BG4586" s="1037"/>
      <c r="BH4586" s="1037"/>
      <c r="BI4586" s="1037"/>
      <c r="BJ4586" s="1037"/>
      <c r="BK4586" s="1037"/>
      <c r="BL4586" s="1037"/>
    </row>
    <row r="4587" spans="1:64" ht="38.25">
      <c r="A4587" s="1798"/>
      <c r="B4587" s="1200"/>
      <c r="C4587" s="1807" t="s">
        <v>1743</v>
      </c>
      <c r="D4587" s="1203">
        <v>36</v>
      </c>
      <c r="E4587" s="1199" t="s">
        <v>1744</v>
      </c>
      <c r="F4587" s="1201">
        <f>+'Civil-SOR'!$G$330</f>
        <v>192.9</v>
      </c>
      <c r="G4587" s="1204">
        <v>1</v>
      </c>
      <c r="H4587" s="1199" t="s">
        <v>616</v>
      </c>
      <c r="I4587" s="1201">
        <f t="shared" si="997"/>
        <v>6944.4000000000005</v>
      </c>
      <c r="J4587" s="1823"/>
      <c r="K4587" s="1823"/>
      <c r="L4587" s="1823"/>
      <c r="M4587" s="1037"/>
      <c r="N4587" s="1037"/>
      <c r="O4587" s="1037"/>
      <c r="P4587" s="1037"/>
      <c r="Q4587" s="1037"/>
      <c r="R4587" s="1037"/>
      <c r="S4587" s="1037"/>
      <c r="T4587" s="1037"/>
      <c r="U4587" s="1037"/>
      <c r="V4587" s="1037"/>
      <c r="W4587" s="1037"/>
      <c r="X4587" s="1037"/>
      <c r="Y4587" s="1037"/>
      <c r="Z4587" s="1037"/>
      <c r="AA4587" s="1037"/>
      <c r="AB4587" s="1037"/>
      <c r="AC4587" s="1037"/>
      <c r="AD4587" s="1037"/>
      <c r="AE4587" s="1037"/>
      <c r="AF4587" s="1037"/>
      <c r="AG4587" s="1037"/>
      <c r="AH4587" s="1037"/>
      <c r="AI4587" s="1037"/>
      <c r="AJ4587" s="1037"/>
      <c r="AK4587" s="1037"/>
      <c r="AL4587" s="1037"/>
      <c r="AM4587" s="1037"/>
      <c r="AN4587" s="1037"/>
      <c r="AO4587" s="1037"/>
      <c r="AP4587" s="1037"/>
      <c r="AQ4587" s="1037"/>
      <c r="AR4587" s="1037"/>
      <c r="AS4587" s="1037"/>
      <c r="AT4587" s="1037"/>
      <c r="AU4587" s="1037"/>
      <c r="AV4587" s="1037"/>
      <c r="AW4587" s="1037"/>
      <c r="AX4587" s="1037"/>
      <c r="AY4587" s="1037"/>
      <c r="AZ4587" s="1037"/>
      <c r="BA4587" s="1037"/>
      <c r="BB4587" s="1037"/>
      <c r="BC4587" s="1037"/>
      <c r="BD4587" s="1037"/>
      <c r="BE4587" s="1037"/>
      <c r="BF4587" s="1037"/>
      <c r="BG4587" s="1037"/>
      <c r="BH4587" s="1037"/>
      <c r="BI4587" s="1037"/>
      <c r="BJ4587" s="1037"/>
      <c r="BK4587" s="1037"/>
      <c r="BL4587" s="1037"/>
    </row>
    <row r="4588" spans="1:64">
      <c r="A4588" s="1798"/>
      <c r="B4588" s="1200"/>
      <c r="C4588" s="1807" t="s">
        <v>579</v>
      </c>
      <c r="D4588" s="1203">
        <f>+D4587</f>
        <v>36</v>
      </c>
      <c r="E4588" s="1199" t="s">
        <v>1744</v>
      </c>
      <c r="F4588" s="1201">
        <f>+'Civil-SOR'!$J$330</f>
        <v>302.89999999999998</v>
      </c>
      <c r="G4588" s="1204">
        <v>1</v>
      </c>
      <c r="H4588" s="1199" t="s">
        <v>616</v>
      </c>
      <c r="I4588" s="1201">
        <f t="shared" si="997"/>
        <v>10904.4</v>
      </c>
      <c r="J4588" s="1823"/>
      <c r="K4588" s="1823"/>
      <c r="L4588" s="1823"/>
      <c r="M4588" s="1037"/>
      <c r="N4588" s="1037"/>
      <c r="O4588" s="1037"/>
      <c r="P4588" s="1037"/>
      <c r="Q4588" s="1037"/>
      <c r="R4588" s="1037"/>
      <c r="S4588" s="1037"/>
      <c r="T4588" s="1037"/>
      <c r="U4588" s="1037"/>
      <c r="V4588" s="1037"/>
      <c r="W4588" s="1037"/>
      <c r="X4588" s="1037"/>
      <c r="Y4588" s="1037"/>
      <c r="Z4588" s="1037"/>
      <c r="AA4588" s="1037"/>
      <c r="AB4588" s="1037"/>
      <c r="AC4588" s="1037"/>
      <c r="AD4588" s="1037"/>
      <c r="AE4588" s="1037"/>
      <c r="AF4588" s="1037"/>
      <c r="AG4588" s="1037"/>
      <c r="AH4588" s="1037"/>
      <c r="AI4588" s="1037"/>
      <c r="AJ4588" s="1037"/>
      <c r="AK4588" s="1037"/>
      <c r="AL4588" s="1037"/>
      <c r="AM4588" s="1037"/>
      <c r="AN4588" s="1037"/>
      <c r="AO4588" s="1037"/>
      <c r="AP4588" s="1037"/>
      <c r="AQ4588" s="1037"/>
      <c r="AR4588" s="1037"/>
      <c r="AS4588" s="1037"/>
      <c r="AT4588" s="1037"/>
      <c r="AU4588" s="1037"/>
      <c r="AV4588" s="1037"/>
      <c r="AW4588" s="1037"/>
      <c r="AX4588" s="1037"/>
      <c r="AY4588" s="1037"/>
      <c r="AZ4588" s="1037"/>
      <c r="BA4588" s="1037"/>
      <c r="BB4588" s="1037"/>
      <c r="BC4588" s="1037"/>
      <c r="BD4588" s="1037"/>
      <c r="BE4588" s="1037"/>
      <c r="BF4588" s="1037"/>
      <c r="BG4588" s="1037"/>
      <c r="BH4588" s="1037"/>
      <c r="BI4588" s="1037"/>
      <c r="BJ4588" s="1037"/>
      <c r="BK4588" s="1037"/>
      <c r="BL4588" s="1037"/>
    </row>
    <row r="4589" spans="1:64">
      <c r="A4589" s="1798"/>
      <c r="B4589" s="1200"/>
      <c r="C4589" s="1807" t="str">
        <f>Input!C$47</f>
        <v>Add for MA @ 40%</v>
      </c>
      <c r="D4589" s="1404">
        <f>Input!D$47</f>
        <v>0.4</v>
      </c>
      <c r="E4589" s="1199"/>
      <c r="F4589" s="1201">
        <f>I4588</f>
        <v>10904.4</v>
      </c>
      <c r="G4589" s="1204"/>
      <c r="H4589" s="1199"/>
      <c r="I4589" s="1201">
        <f t="shared" si="997"/>
        <v>4361.76</v>
      </c>
      <c r="J4589" s="1823"/>
      <c r="K4589" s="1823"/>
      <c r="L4589" s="1823"/>
      <c r="M4589" s="1037"/>
      <c r="N4589" s="1037"/>
      <c r="O4589" s="1037"/>
      <c r="P4589" s="1037"/>
      <c r="Q4589" s="1037"/>
      <c r="R4589" s="1037"/>
      <c r="S4589" s="1037"/>
      <c r="T4589" s="1037"/>
      <c r="U4589" s="1037"/>
      <c r="V4589" s="1037"/>
      <c r="W4589" s="1037"/>
      <c r="X4589" s="1037"/>
      <c r="Y4589" s="1037"/>
      <c r="Z4589" s="1037"/>
      <c r="AA4589" s="1037"/>
      <c r="AB4589" s="1037"/>
      <c r="AC4589" s="1037"/>
      <c r="AD4589" s="1037"/>
      <c r="AE4589" s="1037"/>
      <c r="AF4589" s="1037"/>
      <c r="AG4589" s="1037"/>
      <c r="AH4589" s="1037"/>
      <c r="AI4589" s="1037"/>
      <c r="AJ4589" s="1037"/>
      <c r="AK4589" s="1037"/>
      <c r="AL4589" s="1037"/>
      <c r="AM4589" s="1037"/>
      <c r="AN4589" s="1037"/>
      <c r="AO4589" s="1037"/>
      <c r="AP4589" s="1037"/>
      <c r="AQ4589" s="1037"/>
      <c r="AR4589" s="1037"/>
      <c r="AS4589" s="1037"/>
      <c r="AT4589" s="1037"/>
      <c r="AU4589" s="1037"/>
      <c r="AV4589" s="1037"/>
      <c r="AW4589" s="1037"/>
      <c r="AX4589" s="1037"/>
      <c r="AY4589" s="1037"/>
      <c r="AZ4589" s="1037"/>
      <c r="BA4589" s="1037"/>
      <c r="BB4589" s="1037"/>
      <c r="BC4589" s="1037"/>
      <c r="BD4589" s="1037"/>
      <c r="BE4589" s="1037"/>
      <c r="BF4589" s="1037"/>
      <c r="BG4589" s="1037"/>
      <c r="BH4589" s="1037"/>
      <c r="BI4589" s="1037"/>
      <c r="BJ4589" s="1037"/>
      <c r="BK4589" s="1037"/>
      <c r="BL4589" s="1037"/>
    </row>
    <row r="4590" spans="1:64">
      <c r="A4590" s="1798"/>
      <c r="B4590" s="1200"/>
      <c r="C4590" s="1807" t="s">
        <v>1745</v>
      </c>
      <c r="D4590" s="1203">
        <v>9</v>
      </c>
      <c r="E4590" s="1199" t="s">
        <v>1744</v>
      </c>
      <c r="F4590" s="1201">
        <f>'Civil-SOR'!G332</f>
        <v>36.5</v>
      </c>
      <c r="G4590" s="1204">
        <v>1</v>
      </c>
      <c r="H4590" s="1199" t="s">
        <v>616</v>
      </c>
      <c r="I4590" s="1201">
        <f t="shared" si="997"/>
        <v>328.5</v>
      </c>
      <c r="J4590" s="1823"/>
      <c r="K4590" s="1823"/>
      <c r="L4590" s="1823"/>
      <c r="M4590" s="1037"/>
      <c r="N4590" s="1037"/>
      <c r="O4590" s="1037"/>
      <c r="P4590" s="1037"/>
      <c r="Q4590" s="1037"/>
      <c r="R4590" s="1037"/>
      <c r="S4590" s="1037"/>
      <c r="T4590" s="1037"/>
      <c r="U4590" s="1037"/>
      <c r="V4590" s="1037"/>
      <c r="W4590" s="1037"/>
      <c r="X4590" s="1037"/>
      <c r="Y4590" s="1037"/>
      <c r="Z4590" s="1037"/>
      <c r="AA4590" s="1037"/>
      <c r="AB4590" s="1037"/>
      <c r="AC4590" s="1037"/>
      <c r="AD4590" s="1037"/>
      <c r="AE4590" s="1037"/>
      <c r="AF4590" s="1037"/>
      <c r="AG4590" s="1037"/>
      <c r="AH4590" s="1037"/>
      <c r="AI4590" s="1037"/>
      <c r="AJ4590" s="1037"/>
      <c r="AK4590" s="1037"/>
      <c r="AL4590" s="1037"/>
      <c r="AM4590" s="1037"/>
      <c r="AN4590" s="1037"/>
      <c r="AO4590" s="1037"/>
      <c r="AP4590" s="1037"/>
      <c r="AQ4590" s="1037"/>
      <c r="AR4590" s="1037"/>
      <c r="AS4590" s="1037"/>
      <c r="AT4590" s="1037"/>
      <c r="AU4590" s="1037"/>
      <c r="AV4590" s="1037"/>
      <c r="AW4590" s="1037"/>
      <c r="AX4590" s="1037"/>
      <c r="AY4590" s="1037"/>
      <c r="AZ4590" s="1037"/>
      <c r="BA4590" s="1037"/>
      <c r="BB4590" s="1037"/>
      <c r="BC4590" s="1037"/>
      <c r="BD4590" s="1037"/>
      <c r="BE4590" s="1037"/>
      <c r="BF4590" s="1037"/>
      <c r="BG4590" s="1037"/>
      <c r="BH4590" s="1037"/>
      <c r="BI4590" s="1037"/>
      <c r="BJ4590" s="1037"/>
      <c r="BK4590" s="1037"/>
      <c r="BL4590" s="1037"/>
    </row>
    <row r="4591" spans="1:64">
      <c r="A4591" s="1798"/>
      <c r="B4591" s="1200"/>
      <c r="C4591" s="1807" t="s">
        <v>579</v>
      </c>
      <c r="D4591" s="1203">
        <f>+D4590</f>
        <v>9</v>
      </c>
      <c r="E4591" s="1199" t="s">
        <v>1744</v>
      </c>
      <c r="F4591" s="1201">
        <f>'Civil-SOR'!J332</f>
        <v>218</v>
      </c>
      <c r="G4591" s="1204">
        <v>1</v>
      </c>
      <c r="H4591" s="1199" t="s">
        <v>616</v>
      </c>
      <c r="I4591" s="1201">
        <f t="shared" si="997"/>
        <v>1962</v>
      </c>
      <c r="J4591" s="1823"/>
      <c r="K4591" s="1823"/>
      <c r="L4591" s="1823"/>
      <c r="M4591" s="1037"/>
      <c r="N4591" s="1037"/>
      <c r="O4591" s="1037"/>
      <c r="P4591" s="1037"/>
      <c r="Q4591" s="1037"/>
      <c r="R4591" s="1037"/>
      <c r="S4591" s="1037"/>
      <c r="T4591" s="1037"/>
      <c r="U4591" s="1037"/>
      <c r="V4591" s="1037"/>
      <c r="W4591" s="1037"/>
      <c r="X4591" s="1037"/>
      <c r="Y4591" s="1037"/>
      <c r="Z4591" s="1037"/>
      <c r="AA4591" s="1037"/>
      <c r="AB4591" s="1037"/>
      <c r="AC4591" s="1037"/>
      <c r="AD4591" s="1037"/>
      <c r="AE4591" s="1037"/>
      <c r="AF4591" s="1037"/>
      <c r="AG4591" s="1037"/>
      <c r="AH4591" s="1037"/>
      <c r="AI4591" s="1037"/>
      <c r="AJ4591" s="1037"/>
      <c r="AK4591" s="1037"/>
      <c r="AL4591" s="1037"/>
      <c r="AM4591" s="1037"/>
      <c r="AN4591" s="1037"/>
      <c r="AO4591" s="1037"/>
      <c r="AP4591" s="1037"/>
      <c r="AQ4591" s="1037"/>
      <c r="AR4591" s="1037"/>
      <c r="AS4591" s="1037"/>
      <c r="AT4591" s="1037"/>
      <c r="AU4591" s="1037"/>
      <c r="AV4591" s="1037"/>
      <c r="AW4591" s="1037"/>
      <c r="AX4591" s="1037"/>
      <c r="AY4591" s="1037"/>
      <c r="AZ4591" s="1037"/>
      <c r="BA4591" s="1037"/>
      <c r="BB4591" s="1037"/>
      <c r="BC4591" s="1037"/>
      <c r="BD4591" s="1037"/>
      <c r="BE4591" s="1037"/>
      <c r="BF4591" s="1037"/>
      <c r="BG4591" s="1037"/>
      <c r="BH4591" s="1037"/>
      <c r="BI4591" s="1037"/>
      <c r="BJ4591" s="1037"/>
      <c r="BK4591" s="1037"/>
      <c r="BL4591" s="1037"/>
    </row>
    <row r="4592" spans="1:64">
      <c r="A4592" s="1798"/>
      <c r="B4592" s="1200"/>
      <c r="C4592" s="1807" t="str">
        <f>Input!C$47</f>
        <v>Add for MA @ 40%</v>
      </c>
      <c r="D4592" s="1404">
        <f>Input!D$47</f>
        <v>0.4</v>
      </c>
      <c r="E4592" s="1199"/>
      <c r="F4592" s="1201">
        <f>I4591</f>
        <v>1962</v>
      </c>
      <c r="G4592" s="1204"/>
      <c r="H4592" s="1199"/>
      <c r="I4592" s="1201">
        <f t="shared" si="997"/>
        <v>784.80000000000007</v>
      </c>
      <c r="J4592" s="1823"/>
      <c r="K4592" s="1823"/>
      <c r="L4592" s="1823"/>
      <c r="M4592" s="1037"/>
      <c r="N4592" s="1037"/>
      <c r="O4592" s="1037"/>
      <c r="P4592" s="1037"/>
      <c r="Q4592" s="1037"/>
      <c r="R4592" s="1037"/>
      <c r="S4592" s="1037"/>
      <c r="T4592" s="1037"/>
      <c r="U4592" s="1037"/>
      <c r="V4592" s="1037"/>
      <c r="W4592" s="1037"/>
      <c r="X4592" s="1037"/>
      <c r="Y4592" s="1037"/>
      <c r="Z4592" s="1037"/>
      <c r="AA4592" s="1037"/>
      <c r="AB4592" s="1037"/>
      <c r="AC4592" s="1037"/>
      <c r="AD4592" s="1037"/>
      <c r="AE4592" s="1037"/>
      <c r="AF4592" s="1037"/>
      <c r="AG4592" s="1037"/>
      <c r="AH4592" s="1037"/>
      <c r="AI4592" s="1037"/>
      <c r="AJ4592" s="1037"/>
      <c r="AK4592" s="1037"/>
      <c r="AL4592" s="1037"/>
      <c r="AM4592" s="1037"/>
      <c r="AN4592" s="1037"/>
      <c r="AO4592" s="1037"/>
      <c r="AP4592" s="1037"/>
      <c r="AQ4592" s="1037"/>
      <c r="AR4592" s="1037"/>
      <c r="AS4592" s="1037"/>
      <c r="AT4592" s="1037"/>
      <c r="AU4592" s="1037"/>
      <c r="AV4592" s="1037"/>
      <c r="AW4592" s="1037"/>
      <c r="AX4592" s="1037"/>
      <c r="AY4592" s="1037"/>
      <c r="AZ4592" s="1037"/>
      <c r="BA4592" s="1037"/>
      <c r="BB4592" s="1037"/>
      <c r="BC4592" s="1037"/>
      <c r="BD4592" s="1037"/>
      <c r="BE4592" s="1037"/>
      <c r="BF4592" s="1037"/>
      <c r="BG4592" s="1037"/>
      <c r="BH4592" s="1037"/>
      <c r="BI4592" s="1037"/>
      <c r="BJ4592" s="1037"/>
      <c r="BK4592" s="1037"/>
      <c r="BL4592" s="1037"/>
    </row>
    <row r="4593" spans="1:64">
      <c r="A4593" s="1798"/>
      <c r="B4593" s="1200"/>
      <c r="C4593" s="1807" t="s">
        <v>1746</v>
      </c>
      <c r="D4593" s="1203">
        <v>5</v>
      </c>
      <c r="E4593" s="1199" t="s">
        <v>1744</v>
      </c>
      <c r="F4593" s="1201">
        <f>+'Civil-SOR'!$G$357</f>
        <v>769</v>
      </c>
      <c r="G4593" s="1204">
        <v>1</v>
      </c>
      <c r="H4593" s="1199" t="s">
        <v>616</v>
      </c>
      <c r="I4593" s="1201">
        <f t="shared" si="997"/>
        <v>3845</v>
      </c>
      <c r="J4593" s="1823"/>
      <c r="K4593" s="1823"/>
      <c r="L4593" s="1823"/>
      <c r="M4593" s="1037"/>
      <c r="N4593" s="1037"/>
      <c r="O4593" s="1037"/>
      <c r="P4593" s="1037"/>
      <c r="Q4593" s="1037"/>
      <c r="R4593" s="1037"/>
      <c r="S4593" s="1037"/>
      <c r="T4593" s="1037"/>
      <c r="U4593" s="1037"/>
      <c r="V4593" s="1037"/>
      <c r="W4593" s="1037"/>
      <c r="X4593" s="1037"/>
      <c r="Y4593" s="1037"/>
      <c r="Z4593" s="1037"/>
      <c r="AA4593" s="1037"/>
      <c r="AB4593" s="1037"/>
      <c r="AC4593" s="1037"/>
      <c r="AD4593" s="1037"/>
      <c r="AE4593" s="1037"/>
      <c r="AF4593" s="1037"/>
      <c r="AG4593" s="1037"/>
      <c r="AH4593" s="1037"/>
      <c r="AI4593" s="1037"/>
      <c r="AJ4593" s="1037"/>
      <c r="AK4593" s="1037"/>
      <c r="AL4593" s="1037"/>
      <c r="AM4593" s="1037"/>
      <c r="AN4593" s="1037"/>
      <c r="AO4593" s="1037"/>
      <c r="AP4593" s="1037"/>
      <c r="AQ4593" s="1037"/>
      <c r="AR4593" s="1037"/>
      <c r="AS4593" s="1037"/>
      <c r="AT4593" s="1037"/>
      <c r="AU4593" s="1037"/>
      <c r="AV4593" s="1037"/>
      <c r="AW4593" s="1037"/>
      <c r="AX4593" s="1037"/>
      <c r="AY4593" s="1037"/>
      <c r="AZ4593" s="1037"/>
      <c r="BA4593" s="1037"/>
      <c r="BB4593" s="1037"/>
      <c r="BC4593" s="1037"/>
      <c r="BD4593" s="1037"/>
      <c r="BE4593" s="1037"/>
      <c r="BF4593" s="1037"/>
      <c r="BG4593" s="1037"/>
      <c r="BH4593" s="1037"/>
      <c r="BI4593" s="1037"/>
      <c r="BJ4593" s="1037"/>
      <c r="BK4593" s="1037"/>
      <c r="BL4593" s="1037"/>
    </row>
    <row r="4594" spans="1:64">
      <c r="A4594" s="1798"/>
      <c r="B4594" s="1200"/>
      <c r="C4594" s="1807" t="s">
        <v>1747</v>
      </c>
      <c r="D4594" s="1203"/>
      <c r="E4594" s="1199"/>
      <c r="F4594" s="1201"/>
      <c r="G4594" s="1204"/>
      <c r="H4594" s="1199"/>
      <c r="I4594" s="1201"/>
      <c r="J4594" s="1823"/>
      <c r="K4594" s="1823"/>
      <c r="L4594" s="1823"/>
      <c r="M4594" s="1037"/>
      <c r="N4594" s="1037"/>
      <c r="O4594" s="1037"/>
      <c r="P4594" s="1037"/>
      <c r="Q4594" s="1037"/>
      <c r="R4594" s="1037"/>
      <c r="S4594" s="1037"/>
      <c r="T4594" s="1037"/>
      <c r="U4594" s="1037"/>
      <c r="V4594" s="1037"/>
      <c r="W4594" s="1037"/>
      <c r="X4594" s="1037"/>
      <c r="Y4594" s="1037"/>
      <c r="Z4594" s="1037"/>
      <c r="AA4594" s="1037"/>
      <c r="AB4594" s="1037"/>
      <c r="AC4594" s="1037"/>
      <c r="AD4594" s="1037"/>
      <c r="AE4594" s="1037"/>
      <c r="AF4594" s="1037"/>
      <c r="AG4594" s="1037"/>
      <c r="AH4594" s="1037"/>
      <c r="AI4594" s="1037"/>
      <c r="AJ4594" s="1037"/>
      <c r="AK4594" s="1037"/>
      <c r="AL4594" s="1037"/>
      <c r="AM4594" s="1037"/>
      <c r="AN4594" s="1037"/>
      <c r="AO4594" s="1037"/>
      <c r="AP4594" s="1037"/>
      <c r="AQ4594" s="1037"/>
      <c r="AR4594" s="1037"/>
      <c r="AS4594" s="1037"/>
      <c r="AT4594" s="1037"/>
      <c r="AU4594" s="1037"/>
      <c r="AV4594" s="1037"/>
      <c r="AW4594" s="1037"/>
      <c r="AX4594" s="1037"/>
      <c r="AY4594" s="1037"/>
      <c r="AZ4594" s="1037"/>
      <c r="BA4594" s="1037"/>
      <c r="BB4594" s="1037"/>
      <c r="BC4594" s="1037"/>
      <c r="BD4594" s="1037"/>
      <c r="BE4594" s="1037"/>
      <c r="BF4594" s="1037"/>
      <c r="BG4594" s="1037"/>
      <c r="BH4594" s="1037"/>
      <c r="BI4594" s="1037"/>
      <c r="BJ4594" s="1037"/>
      <c r="BK4594" s="1037"/>
      <c r="BL4594" s="1037"/>
    </row>
    <row r="4595" spans="1:64" ht="38.25">
      <c r="A4595" s="1798"/>
      <c r="B4595" s="1200"/>
      <c r="C4595" s="1807" t="s">
        <v>1748</v>
      </c>
      <c r="D4595" s="1203"/>
      <c r="E4595" s="1199"/>
      <c r="F4595" s="1201"/>
      <c r="G4595" s="1204"/>
      <c r="H4595" s="1199"/>
      <c r="I4595" s="1201"/>
      <c r="J4595" s="1823"/>
      <c r="K4595" s="1823"/>
      <c r="L4595" s="1823"/>
      <c r="M4595" s="1037"/>
      <c r="N4595" s="1037"/>
      <c r="O4595" s="1037"/>
      <c r="P4595" s="1037"/>
      <c r="Q4595" s="1037"/>
      <c r="R4595" s="1037"/>
      <c r="S4595" s="1037"/>
      <c r="T4595" s="1037"/>
      <c r="U4595" s="1037"/>
      <c r="V4595" s="1037"/>
      <c r="W4595" s="1037"/>
      <c r="X4595" s="1037"/>
      <c r="Y4595" s="1037"/>
      <c r="Z4595" s="1037"/>
      <c r="AA4595" s="1037"/>
      <c r="AB4595" s="1037"/>
      <c r="AC4595" s="1037"/>
      <c r="AD4595" s="1037"/>
      <c r="AE4595" s="1037"/>
      <c r="AF4595" s="1037"/>
      <c r="AG4595" s="1037"/>
      <c r="AH4595" s="1037"/>
      <c r="AI4595" s="1037"/>
      <c r="AJ4595" s="1037"/>
      <c r="AK4595" s="1037"/>
      <c r="AL4595" s="1037"/>
      <c r="AM4595" s="1037"/>
      <c r="AN4595" s="1037"/>
      <c r="AO4595" s="1037"/>
      <c r="AP4595" s="1037"/>
      <c r="AQ4595" s="1037"/>
      <c r="AR4595" s="1037"/>
      <c r="AS4595" s="1037"/>
      <c r="AT4595" s="1037"/>
      <c r="AU4595" s="1037"/>
      <c r="AV4595" s="1037"/>
      <c r="AW4595" s="1037"/>
      <c r="AX4595" s="1037"/>
      <c r="AY4595" s="1037"/>
      <c r="AZ4595" s="1037"/>
      <c r="BA4595" s="1037"/>
      <c r="BB4595" s="1037"/>
      <c r="BC4595" s="1037"/>
      <c r="BD4595" s="1037"/>
      <c r="BE4595" s="1037"/>
      <c r="BF4595" s="1037"/>
      <c r="BG4595" s="1037"/>
      <c r="BH4595" s="1037"/>
      <c r="BI4595" s="1037"/>
      <c r="BJ4595" s="1037"/>
      <c r="BK4595" s="1037"/>
      <c r="BL4595" s="1037"/>
    </row>
    <row r="4596" spans="1:64">
      <c r="A4596" s="1798"/>
      <c r="B4596" s="1200"/>
      <c r="C4596" s="1807" t="s">
        <v>1749</v>
      </c>
      <c r="D4596" s="1203">
        <v>67.5</v>
      </c>
      <c r="E4596" s="1199" t="s">
        <v>75</v>
      </c>
      <c r="F4596" s="1201">
        <f>F16</f>
        <v>1447.96</v>
      </c>
      <c r="G4596" s="1204">
        <v>1</v>
      </c>
      <c r="H4596" s="1199" t="s">
        <v>484</v>
      </c>
      <c r="I4596" s="1201">
        <f t="shared" ref="I4596:I4600" si="998">IF(G4596="",D4596*F4596,(D4596*F4596/G4596))</f>
        <v>97737.3</v>
      </c>
      <c r="J4596" s="1823"/>
      <c r="K4596" s="1823"/>
      <c r="L4596" s="1823"/>
      <c r="M4596" s="1037"/>
      <c r="N4596" s="1037"/>
      <c r="O4596" s="1037"/>
      <c r="P4596" s="1037"/>
      <c r="Q4596" s="1037"/>
      <c r="R4596" s="1037"/>
      <c r="S4596" s="1037"/>
      <c r="T4596" s="1037"/>
      <c r="U4596" s="1037"/>
      <c r="V4596" s="1037"/>
      <c r="W4596" s="1037"/>
      <c r="X4596" s="1037"/>
      <c r="Y4596" s="1037"/>
      <c r="Z4596" s="1037"/>
      <c r="AA4596" s="1037"/>
      <c r="AB4596" s="1037"/>
      <c r="AC4596" s="1037"/>
      <c r="AD4596" s="1037"/>
      <c r="AE4596" s="1037"/>
      <c r="AF4596" s="1037"/>
      <c r="AG4596" s="1037"/>
      <c r="AH4596" s="1037"/>
      <c r="AI4596" s="1037"/>
      <c r="AJ4596" s="1037"/>
      <c r="AK4596" s="1037"/>
      <c r="AL4596" s="1037"/>
      <c r="AM4596" s="1037"/>
      <c r="AN4596" s="1037"/>
      <c r="AO4596" s="1037"/>
      <c r="AP4596" s="1037"/>
      <c r="AQ4596" s="1037"/>
      <c r="AR4596" s="1037"/>
      <c r="AS4596" s="1037"/>
      <c r="AT4596" s="1037"/>
      <c r="AU4596" s="1037"/>
      <c r="AV4596" s="1037"/>
      <c r="AW4596" s="1037"/>
      <c r="AX4596" s="1037"/>
      <c r="AY4596" s="1037"/>
      <c r="AZ4596" s="1037"/>
      <c r="BA4596" s="1037"/>
      <c r="BB4596" s="1037"/>
      <c r="BC4596" s="1037"/>
      <c r="BD4596" s="1037"/>
      <c r="BE4596" s="1037"/>
      <c r="BF4596" s="1037"/>
      <c r="BG4596" s="1037"/>
      <c r="BH4596" s="1037"/>
      <c r="BI4596" s="1037"/>
      <c r="BJ4596" s="1037"/>
      <c r="BK4596" s="1037"/>
      <c r="BL4596" s="1037"/>
    </row>
    <row r="4597" spans="1:64" ht="25.5">
      <c r="A4597" s="1798"/>
      <c r="B4597" s="1200"/>
      <c r="C4597" s="1807" t="s">
        <v>1750</v>
      </c>
      <c r="D4597" s="1203">
        <v>33.75</v>
      </c>
      <c r="E4597" s="1199" t="s">
        <v>75</v>
      </c>
      <c r="F4597" s="1201">
        <f>LEAD!N12</f>
        <v>2253.91</v>
      </c>
      <c r="G4597" s="1204">
        <v>1</v>
      </c>
      <c r="H4597" s="1199" t="s">
        <v>484</v>
      </c>
      <c r="I4597" s="1201">
        <f t="shared" si="998"/>
        <v>76069.462499999994</v>
      </c>
      <c r="J4597" s="1823"/>
      <c r="K4597" s="1823"/>
      <c r="L4597" s="1823"/>
      <c r="M4597" s="1037"/>
      <c r="N4597" s="1037"/>
      <c r="O4597" s="1037"/>
      <c r="P4597" s="1037"/>
      <c r="Q4597" s="1037"/>
      <c r="R4597" s="1037"/>
      <c r="S4597" s="1037"/>
      <c r="T4597" s="1037"/>
      <c r="U4597" s="1037"/>
      <c r="V4597" s="1037"/>
      <c r="W4597" s="1037"/>
      <c r="X4597" s="1037"/>
      <c r="Y4597" s="1037"/>
      <c r="Z4597" s="1037"/>
      <c r="AA4597" s="1037"/>
      <c r="AB4597" s="1037"/>
      <c r="AC4597" s="1037"/>
      <c r="AD4597" s="1037"/>
      <c r="AE4597" s="1037"/>
      <c r="AF4597" s="1037"/>
      <c r="AG4597" s="1037"/>
      <c r="AH4597" s="1037"/>
      <c r="AI4597" s="1037"/>
      <c r="AJ4597" s="1037"/>
      <c r="AK4597" s="1037"/>
      <c r="AL4597" s="1037"/>
      <c r="AM4597" s="1037"/>
      <c r="AN4597" s="1037"/>
      <c r="AO4597" s="1037"/>
      <c r="AP4597" s="1037"/>
      <c r="AQ4597" s="1037"/>
      <c r="AR4597" s="1037"/>
      <c r="AS4597" s="1037"/>
      <c r="AT4597" s="1037"/>
      <c r="AU4597" s="1037"/>
      <c r="AV4597" s="1037"/>
      <c r="AW4597" s="1037"/>
      <c r="AX4597" s="1037"/>
      <c r="AY4597" s="1037"/>
      <c r="AZ4597" s="1037"/>
      <c r="BA4597" s="1037"/>
      <c r="BB4597" s="1037"/>
      <c r="BC4597" s="1037"/>
      <c r="BD4597" s="1037"/>
      <c r="BE4597" s="1037"/>
      <c r="BF4597" s="1037"/>
      <c r="BG4597" s="1037"/>
      <c r="BH4597" s="1037"/>
      <c r="BI4597" s="1037"/>
      <c r="BJ4597" s="1037"/>
      <c r="BK4597" s="1037"/>
      <c r="BL4597" s="1037"/>
    </row>
    <row r="4598" spans="1:64">
      <c r="A4598" s="1798"/>
      <c r="B4598" s="1200"/>
      <c r="C4598" s="1807" t="s">
        <v>1751</v>
      </c>
      <c r="D4598" s="1203">
        <v>26.25</v>
      </c>
      <c r="E4598" s="1199" t="s">
        <v>948</v>
      </c>
      <c r="F4598" s="1201">
        <f>LEAD!N6</f>
        <v>5200</v>
      </c>
      <c r="G4598" s="1204">
        <v>1</v>
      </c>
      <c r="H4598" s="1199" t="s">
        <v>948</v>
      </c>
      <c r="I4598" s="1201">
        <f t="shared" si="998"/>
        <v>136500</v>
      </c>
      <c r="J4598" s="1823"/>
      <c r="K4598" s="1823"/>
      <c r="L4598" s="1823"/>
      <c r="M4598" s="1037"/>
      <c r="N4598" s="1037"/>
      <c r="O4598" s="1037"/>
      <c r="P4598" s="1037"/>
      <c r="Q4598" s="1037"/>
      <c r="R4598" s="1037"/>
      <c r="S4598" s="1037"/>
      <c r="T4598" s="1037"/>
      <c r="U4598" s="1037"/>
      <c r="V4598" s="1037"/>
      <c r="W4598" s="1037"/>
      <c r="X4598" s="1037"/>
      <c r="Y4598" s="1037"/>
      <c r="Z4598" s="1037"/>
      <c r="AA4598" s="1037"/>
      <c r="AB4598" s="1037"/>
      <c r="AC4598" s="1037"/>
      <c r="AD4598" s="1037"/>
      <c r="AE4598" s="1037"/>
      <c r="AF4598" s="1037"/>
      <c r="AG4598" s="1037"/>
      <c r="AH4598" s="1037"/>
      <c r="AI4598" s="1037"/>
      <c r="AJ4598" s="1037"/>
      <c r="AK4598" s="1037"/>
      <c r="AL4598" s="1037"/>
      <c r="AM4598" s="1037"/>
      <c r="AN4598" s="1037"/>
      <c r="AO4598" s="1037"/>
      <c r="AP4598" s="1037"/>
      <c r="AQ4598" s="1037"/>
      <c r="AR4598" s="1037"/>
      <c r="AS4598" s="1037"/>
      <c r="AT4598" s="1037"/>
      <c r="AU4598" s="1037"/>
      <c r="AV4598" s="1037"/>
      <c r="AW4598" s="1037"/>
      <c r="AX4598" s="1037"/>
      <c r="AY4598" s="1037"/>
      <c r="AZ4598" s="1037"/>
      <c r="BA4598" s="1037"/>
      <c r="BB4598" s="1037"/>
      <c r="BC4598" s="1037"/>
      <c r="BD4598" s="1037"/>
      <c r="BE4598" s="1037"/>
      <c r="BF4598" s="1037"/>
      <c r="BG4598" s="1037"/>
      <c r="BH4598" s="1037"/>
      <c r="BI4598" s="1037"/>
      <c r="BJ4598" s="1037"/>
      <c r="BK4598" s="1037"/>
      <c r="BL4598" s="1037"/>
    </row>
    <row r="4599" spans="1:64">
      <c r="A4599" s="1798"/>
      <c r="B4599" s="1200"/>
      <c r="C4599" s="1807" t="s">
        <v>1752</v>
      </c>
      <c r="D4599" s="1203">
        <v>18</v>
      </c>
      <c r="E4599" s="1199" t="s">
        <v>1143</v>
      </c>
      <c r="F4599" s="1223">
        <f>Input!$D$53</f>
        <v>108</v>
      </c>
      <c r="G4599" s="1204">
        <v>1</v>
      </c>
      <c r="H4599" s="1199" t="s">
        <v>1143</v>
      </c>
      <c r="I4599" s="1201">
        <f t="shared" si="998"/>
        <v>1944</v>
      </c>
      <c r="J4599" s="1823"/>
      <c r="K4599" s="1823"/>
      <c r="L4599" s="1823"/>
      <c r="M4599" s="1037"/>
      <c r="N4599" s="1037"/>
      <c r="O4599" s="1037"/>
      <c r="P4599" s="1037"/>
      <c r="Q4599" s="1037"/>
      <c r="R4599" s="1037"/>
      <c r="S4599" s="1037"/>
      <c r="T4599" s="1037"/>
      <c r="U4599" s="1037"/>
      <c r="V4599" s="1037"/>
      <c r="W4599" s="1037"/>
      <c r="X4599" s="1037"/>
      <c r="Y4599" s="1037"/>
      <c r="Z4599" s="1037"/>
      <c r="AA4599" s="1037"/>
      <c r="AB4599" s="1037"/>
      <c r="AC4599" s="1037"/>
      <c r="AD4599" s="1037"/>
      <c r="AE4599" s="1037"/>
      <c r="AF4599" s="1037"/>
      <c r="AG4599" s="1037"/>
      <c r="AH4599" s="1037"/>
      <c r="AI4599" s="1037"/>
      <c r="AJ4599" s="1037"/>
      <c r="AK4599" s="1037"/>
      <c r="AL4599" s="1037"/>
      <c r="AM4599" s="1037"/>
      <c r="AN4599" s="1037"/>
      <c r="AO4599" s="1037"/>
      <c r="AP4599" s="1037"/>
      <c r="AQ4599" s="1037"/>
      <c r="AR4599" s="1037"/>
      <c r="AS4599" s="1037"/>
      <c r="AT4599" s="1037"/>
      <c r="AU4599" s="1037"/>
      <c r="AV4599" s="1037"/>
      <c r="AW4599" s="1037"/>
      <c r="AX4599" s="1037"/>
      <c r="AY4599" s="1037"/>
      <c r="AZ4599" s="1037"/>
      <c r="BA4599" s="1037"/>
      <c r="BB4599" s="1037"/>
      <c r="BC4599" s="1037"/>
      <c r="BD4599" s="1037"/>
      <c r="BE4599" s="1037"/>
      <c r="BF4599" s="1037"/>
      <c r="BG4599" s="1037"/>
      <c r="BH4599" s="1037"/>
      <c r="BI4599" s="1037"/>
      <c r="BJ4599" s="1037"/>
      <c r="BK4599" s="1037"/>
      <c r="BL4599" s="1037"/>
    </row>
    <row r="4600" spans="1:64" ht="51">
      <c r="A4600" s="1798"/>
      <c r="B4600" s="1200"/>
      <c r="C4600" s="1807" t="s">
        <v>1753</v>
      </c>
      <c r="D4600" s="1203">
        <v>1.5</v>
      </c>
      <c r="E4600" s="1199" t="s">
        <v>46</v>
      </c>
      <c r="F4600" s="1201"/>
      <c r="G4600" s="1204">
        <v>1</v>
      </c>
      <c r="H4600" s="1199" t="s">
        <v>46</v>
      </c>
      <c r="I4600" s="1201">
        <f t="shared" si="998"/>
        <v>0</v>
      </c>
      <c r="J4600" s="1823"/>
      <c r="K4600" s="1823"/>
      <c r="L4600" s="1823"/>
      <c r="M4600" s="1037"/>
      <c r="N4600" s="1037"/>
      <c r="O4600" s="1037"/>
      <c r="P4600" s="1037"/>
      <c r="Q4600" s="1037"/>
      <c r="R4600" s="1037"/>
      <c r="S4600" s="1037"/>
      <c r="T4600" s="1037"/>
      <c r="U4600" s="1037"/>
      <c r="V4600" s="1037"/>
      <c r="W4600" s="1037"/>
      <c r="X4600" s="1037"/>
      <c r="Y4600" s="1037"/>
      <c r="Z4600" s="1037"/>
      <c r="AA4600" s="1037"/>
      <c r="AB4600" s="1037"/>
      <c r="AC4600" s="1037"/>
      <c r="AD4600" s="1037"/>
      <c r="AE4600" s="1037"/>
      <c r="AF4600" s="1037"/>
      <c r="AG4600" s="1037"/>
      <c r="AH4600" s="1037"/>
      <c r="AI4600" s="1037"/>
      <c r="AJ4600" s="1037"/>
      <c r="AK4600" s="1037"/>
      <c r="AL4600" s="1037"/>
      <c r="AM4600" s="1037"/>
      <c r="AN4600" s="1037"/>
      <c r="AO4600" s="1037"/>
      <c r="AP4600" s="1037"/>
      <c r="AQ4600" s="1037"/>
      <c r="AR4600" s="1037"/>
      <c r="AS4600" s="1037"/>
      <c r="AT4600" s="1037"/>
      <c r="AU4600" s="1037"/>
      <c r="AV4600" s="1037"/>
      <c r="AW4600" s="1037"/>
      <c r="AX4600" s="1037"/>
      <c r="AY4600" s="1037"/>
      <c r="AZ4600" s="1037"/>
      <c r="BA4600" s="1037"/>
      <c r="BB4600" s="1037"/>
      <c r="BC4600" s="1037"/>
      <c r="BD4600" s="1037"/>
      <c r="BE4600" s="1037"/>
      <c r="BF4600" s="1037"/>
      <c r="BG4600" s="1037"/>
      <c r="BH4600" s="1037"/>
      <c r="BI4600" s="1037"/>
      <c r="BJ4600" s="1037"/>
      <c r="BK4600" s="1037"/>
      <c r="BL4600" s="1037"/>
    </row>
    <row r="4601" spans="1:64">
      <c r="A4601" s="1798"/>
      <c r="B4601" s="1200"/>
      <c r="C4601" s="1807"/>
      <c r="D4601" s="1199"/>
      <c r="E4601" s="1199"/>
      <c r="F4601" s="1201"/>
      <c r="G4601" s="1204"/>
      <c r="H4601" s="1405" t="s">
        <v>1754</v>
      </c>
      <c r="I4601" s="1230">
        <f>SUM(I4581:I4600)</f>
        <v>462859.62249999994</v>
      </c>
      <c r="J4601" s="1823"/>
      <c r="K4601" s="1823"/>
      <c r="L4601" s="1823"/>
      <c r="M4601" s="1037"/>
      <c r="N4601" s="1037"/>
      <c r="O4601" s="1037"/>
      <c r="P4601" s="1037"/>
      <c r="Q4601" s="1037"/>
      <c r="R4601" s="1037"/>
      <c r="S4601" s="1037"/>
      <c r="T4601" s="1037"/>
      <c r="U4601" s="1037"/>
      <c r="V4601" s="1037"/>
      <c r="W4601" s="1037"/>
      <c r="X4601" s="1037"/>
      <c r="Y4601" s="1037"/>
      <c r="Z4601" s="1037"/>
      <c r="AA4601" s="1037"/>
      <c r="AB4601" s="1037"/>
      <c r="AC4601" s="1037"/>
      <c r="AD4601" s="1037"/>
      <c r="AE4601" s="1037"/>
      <c r="AF4601" s="1037"/>
      <c r="AG4601" s="1037"/>
      <c r="AH4601" s="1037"/>
      <c r="AI4601" s="1037"/>
      <c r="AJ4601" s="1037"/>
      <c r="AK4601" s="1037"/>
      <c r="AL4601" s="1037"/>
      <c r="AM4601" s="1037"/>
      <c r="AN4601" s="1037"/>
      <c r="AO4601" s="1037"/>
      <c r="AP4601" s="1037"/>
      <c r="AQ4601" s="1037"/>
      <c r="AR4601" s="1037"/>
      <c r="AS4601" s="1037"/>
      <c r="AT4601" s="1037"/>
      <c r="AU4601" s="1037"/>
      <c r="AV4601" s="1037"/>
      <c r="AW4601" s="1037"/>
      <c r="AX4601" s="1037"/>
      <c r="AY4601" s="1037"/>
      <c r="AZ4601" s="1037"/>
      <c r="BA4601" s="1037"/>
      <c r="BB4601" s="1037"/>
      <c r="BC4601" s="1037"/>
      <c r="BD4601" s="1037"/>
      <c r="BE4601" s="1037"/>
      <c r="BF4601" s="1037"/>
      <c r="BG4601" s="1037"/>
      <c r="BH4601" s="1037"/>
      <c r="BI4601" s="1037"/>
      <c r="BJ4601" s="1037"/>
      <c r="BK4601" s="1037"/>
      <c r="BL4601" s="1037"/>
    </row>
    <row r="4602" spans="1:64">
      <c r="A4602" s="1798"/>
      <c r="B4602" s="1200"/>
      <c r="C4602" s="1807" t="s">
        <v>1755</v>
      </c>
      <c r="D4602" s="1199"/>
      <c r="E4602" s="1199"/>
      <c r="F4602" s="1201"/>
      <c r="G4602" s="1204"/>
      <c r="H4602" s="1203"/>
      <c r="I4602" s="1201">
        <f>ROUND(I4601*0.03,2)</f>
        <v>13885.79</v>
      </c>
      <c r="J4602" s="1823"/>
      <c r="K4602" s="1823"/>
      <c r="L4602" s="1823"/>
      <c r="M4602" s="1037"/>
      <c r="N4602" s="1037"/>
      <c r="O4602" s="1037"/>
      <c r="P4602" s="1037"/>
      <c r="Q4602" s="1037"/>
      <c r="R4602" s="1037"/>
      <c r="S4602" s="1037"/>
      <c r="T4602" s="1037"/>
      <c r="U4602" s="1037"/>
      <c r="V4602" s="1037"/>
      <c r="W4602" s="1037"/>
      <c r="X4602" s="1037"/>
      <c r="Y4602" s="1037"/>
      <c r="Z4602" s="1037"/>
      <c r="AA4602" s="1037"/>
      <c r="AB4602" s="1037"/>
      <c r="AC4602" s="1037"/>
      <c r="AD4602" s="1037"/>
      <c r="AE4602" s="1037"/>
      <c r="AF4602" s="1037"/>
      <c r="AG4602" s="1037"/>
      <c r="AH4602" s="1037"/>
      <c r="AI4602" s="1037"/>
      <c r="AJ4602" s="1037"/>
      <c r="AK4602" s="1037"/>
      <c r="AL4602" s="1037"/>
      <c r="AM4602" s="1037"/>
      <c r="AN4602" s="1037"/>
      <c r="AO4602" s="1037"/>
      <c r="AP4602" s="1037"/>
      <c r="AQ4602" s="1037"/>
      <c r="AR4602" s="1037"/>
      <c r="AS4602" s="1037"/>
      <c r="AT4602" s="1037"/>
      <c r="AU4602" s="1037"/>
      <c r="AV4602" s="1037"/>
      <c r="AW4602" s="1037"/>
      <c r="AX4602" s="1037"/>
      <c r="AY4602" s="1037"/>
      <c r="AZ4602" s="1037"/>
      <c r="BA4602" s="1037"/>
      <c r="BB4602" s="1037"/>
      <c r="BC4602" s="1037"/>
      <c r="BD4602" s="1037"/>
      <c r="BE4602" s="1037"/>
      <c r="BF4602" s="1037"/>
      <c r="BG4602" s="1037"/>
      <c r="BH4602" s="1037"/>
      <c r="BI4602" s="1037"/>
      <c r="BJ4602" s="1037"/>
      <c r="BK4602" s="1037"/>
      <c r="BL4602" s="1037"/>
    </row>
    <row r="4603" spans="1:64">
      <c r="A4603" s="1798"/>
      <c r="B4603" s="1200"/>
      <c r="C4603" s="1807"/>
      <c r="D4603" s="1199"/>
      <c r="E4603" s="1199"/>
      <c r="F4603" s="1201"/>
      <c r="G4603" s="1204"/>
      <c r="H4603" s="1405" t="s">
        <v>1754</v>
      </c>
      <c r="I4603" s="1230">
        <f>SUM(I4601:I4602)</f>
        <v>476745.41249999992</v>
      </c>
      <c r="J4603" s="1823"/>
      <c r="K4603" s="1823"/>
      <c r="L4603" s="1823"/>
      <c r="M4603" s="1037"/>
      <c r="N4603" s="1037"/>
      <c r="O4603" s="1037"/>
      <c r="P4603" s="1037"/>
      <c r="Q4603" s="1037"/>
      <c r="R4603" s="1037"/>
      <c r="S4603" s="1037"/>
      <c r="T4603" s="1037"/>
      <c r="U4603" s="1037"/>
      <c r="V4603" s="1037"/>
      <c r="W4603" s="1037"/>
      <c r="X4603" s="1037"/>
      <c r="Y4603" s="1037"/>
      <c r="Z4603" s="1037"/>
      <c r="AA4603" s="1037"/>
      <c r="AB4603" s="1037"/>
      <c r="AC4603" s="1037"/>
      <c r="AD4603" s="1037"/>
      <c r="AE4603" s="1037"/>
      <c r="AF4603" s="1037"/>
      <c r="AG4603" s="1037"/>
      <c r="AH4603" s="1037"/>
      <c r="AI4603" s="1037"/>
      <c r="AJ4603" s="1037"/>
      <c r="AK4603" s="1037"/>
      <c r="AL4603" s="1037"/>
      <c r="AM4603" s="1037"/>
      <c r="AN4603" s="1037"/>
      <c r="AO4603" s="1037"/>
      <c r="AP4603" s="1037"/>
      <c r="AQ4603" s="1037"/>
      <c r="AR4603" s="1037"/>
      <c r="AS4603" s="1037"/>
      <c r="AT4603" s="1037"/>
      <c r="AU4603" s="1037"/>
      <c r="AV4603" s="1037"/>
      <c r="AW4603" s="1037"/>
      <c r="AX4603" s="1037"/>
      <c r="AY4603" s="1037"/>
      <c r="AZ4603" s="1037"/>
      <c r="BA4603" s="1037"/>
      <c r="BB4603" s="1037"/>
      <c r="BC4603" s="1037"/>
      <c r="BD4603" s="1037"/>
      <c r="BE4603" s="1037"/>
      <c r="BF4603" s="1037"/>
      <c r="BG4603" s="1037"/>
      <c r="BH4603" s="1037"/>
      <c r="BI4603" s="1037"/>
      <c r="BJ4603" s="1037"/>
      <c r="BK4603" s="1037"/>
      <c r="BL4603" s="1037"/>
    </row>
    <row r="4604" spans="1:64">
      <c r="A4604" s="1798"/>
      <c r="B4604" s="1200"/>
      <c r="C4604" s="1807" t="str">
        <f>Input!$C$48</f>
        <v>Overheads &amp; Contractors Profit @ 13.615%</v>
      </c>
      <c r="D4604" s="1400">
        <f>Input!$D$48</f>
        <v>0.13614999999999999</v>
      </c>
      <c r="E4604" s="1199"/>
      <c r="F4604" s="1201">
        <f>I4603</f>
        <v>476745.41249999992</v>
      </c>
      <c r="G4604" s="1204"/>
      <c r="H4604" s="1199"/>
      <c r="I4604" s="1201">
        <f>D4604*F4604</f>
        <v>64908.887911874983</v>
      </c>
      <c r="J4604" s="1823"/>
      <c r="K4604" s="1823"/>
      <c r="L4604" s="1823"/>
      <c r="M4604" s="1037"/>
      <c r="N4604" s="1037"/>
      <c r="O4604" s="1037"/>
      <c r="P4604" s="1037"/>
      <c r="Q4604" s="1037"/>
      <c r="R4604" s="1037"/>
      <c r="S4604" s="1037"/>
      <c r="T4604" s="1037"/>
      <c r="U4604" s="1037"/>
      <c r="V4604" s="1037"/>
      <c r="W4604" s="1037"/>
      <c r="X4604" s="1037"/>
      <c r="Y4604" s="1037"/>
      <c r="Z4604" s="1037"/>
      <c r="AA4604" s="1037"/>
      <c r="AB4604" s="1037"/>
      <c r="AC4604" s="1037"/>
      <c r="AD4604" s="1037"/>
      <c r="AE4604" s="1037"/>
      <c r="AF4604" s="1037"/>
      <c r="AG4604" s="1037"/>
      <c r="AH4604" s="1037"/>
      <c r="AI4604" s="1037"/>
      <c r="AJ4604" s="1037"/>
      <c r="AK4604" s="1037"/>
      <c r="AL4604" s="1037"/>
      <c r="AM4604" s="1037"/>
      <c r="AN4604" s="1037"/>
      <c r="AO4604" s="1037"/>
      <c r="AP4604" s="1037"/>
      <c r="AQ4604" s="1037"/>
      <c r="AR4604" s="1037"/>
      <c r="AS4604" s="1037"/>
      <c r="AT4604" s="1037"/>
      <c r="AU4604" s="1037"/>
      <c r="AV4604" s="1037"/>
      <c r="AW4604" s="1037"/>
      <c r="AX4604" s="1037"/>
      <c r="AY4604" s="1037"/>
      <c r="AZ4604" s="1037"/>
      <c r="BA4604" s="1037"/>
      <c r="BB4604" s="1037"/>
      <c r="BC4604" s="1037"/>
      <c r="BD4604" s="1037"/>
      <c r="BE4604" s="1037"/>
      <c r="BF4604" s="1037"/>
      <c r="BG4604" s="1037"/>
      <c r="BH4604" s="1037"/>
      <c r="BI4604" s="1037"/>
      <c r="BJ4604" s="1037"/>
      <c r="BK4604" s="1037"/>
      <c r="BL4604" s="1037"/>
    </row>
    <row r="4605" spans="1:64">
      <c r="A4605" s="1798"/>
      <c r="B4605" s="1200"/>
      <c r="C4605" s="1807"/>
      <c r="D4605" s="1203" t="s">
        <v>1756</v>
      </c>
      <c r="E4605" s="1199"/>
      <c r="F4605" s="1201"/>
      <c r="G4605" s="1204"/>
      <c r="H4605" s="1199"/>
      <c r="I4605" s="1230">
        <f>SUM(I4603:I4604)</f>
        <v>541654.30041187489</v>
      </c>
      <c r="J4605" s="1823"/>
      <c r="K4605" s="1823"/>
      <c r="L4605" s="1823"/>
      <c r="M4605" s="1037"/>
      <c r="N4605" s="1037"/>
      <c r="O4605" s="1037"/>
      <c r="P4605" s="1037"/>
      <c r="Q4605" s="1037"/>
      <c r="R4605" s="1037"/>
      <c r="S4605" s="1037"/>
      <c r="T4605" s="1037"/>
      <c r="U4605" s="1037"/>
      <c r="V4605" s="1037"/>
      <c r="W4605" s="1037"/>
      <c r="X4605" s="1037"/>
      <c r="Y4605" s="1037"/>
      <c r="Z4605" s="1037"/>
      <c r="AA4605" s="1037"/>
      <c r="AB4605" s="1037"/>
      <c r="AC4605" s="1037"/>
      <c r="AD4605" s="1037"/>
      <c r="AE4605" s="1037"/>
      <c r="AF4605" s="1037"/>
      <c r="AG4605" s="1037"/>
      <c r="AH4605" s="1037"/>
      <c r="AI4605" s="1037"/>
      <c r="AJ4605" s="1037"/>
      <c r="AK4605" s="1037"/>
      <c r="AL4605" s="1037"/>
      <c r="AM4605" s="1037"/>
      <c r="AN4605" s="1037"/>
      <c r="AO4605" s="1037"/>
      <c r="AP4605" s="1037"/>
      <c r="AQ4605" s="1037"/>
      <c r="AR4605" s="1037"/>
      <c r="AS4605" s="1037"/>
      <c r="AT4605" s="1037"/>
      <c r="AU4605" s="1037"/>
      <c r="AV4605" s="1037"/>
      <c r="AW4605" s="1037"/>
      <c r="AX4605" s="1037"/>
      <c r="AY4605" s="1037"/>
      <c r="AZ4605" s="1037"/>
      <c r="BA4605" s="1037"/>
      <c r="BB4605" s="1037"/>
      <c r="BC4605" s="1037"/>
      <c r="BD4605" s="1037"/>
      <c r="BE4605" s="1037"/>
      <c r="BF4605" s="1037"/>
      <c r="BG4605" s="1037"/>
      <c r="BH4605" s="1037"/>
      <c r="BI4605" s="1037"/>
      <c r="BJ4605" s="1037"/>
      <c r="BK4605" s="1037"/>
      <c r="BL4605" s="1037"/>
    </row>
    <row r="4606" spans="1:64">
      <c r="A4606" s="1798"/>
      <c r="B4606" s="1200"/>
      <c r="C4606" s="1807" t="s">
        <v>1757</v>
      </c>
      <c r="D4606" s="1203"/>
      <c r="E4606" s="1199" t="s">
        <v>1758</v>
      </c>
      <c r="F4606" s="1201"/>
      <c r="G4606" s="1204"/>
      <c r="H4606" s="1199"/>
      <c r="I4606" s="1230">
        <f>ROUND(I4605/75,0)</f>
        <v>7222</v>
      </c>
      <c r="J4606" s="1823"/>
      <c r="K4606" s="1823">
        <f>+I4606*0.2</f>
        <v>1444.4</v>
      </c>
      <c r="L4606" s="1823"/>
      <c r="M4606" s="1037"/>
      <c r="N4606" s="1037"/>
      <c r="O4606" s="1037"/>
      <c r="P4606" s="1037"/>
      <c r="Q4606" s="1037"/>
      <c r="R4606" s="1037"/>
      <c r="S4606" s="1037"/>
      <c r="T4606" s="1037"/>
      <c r="U4606" s="1037"/>
      <c r="V4606" s="1037"/>
      <c r="W4606" s="1037"/>
      <c r="X4606" s="1037"/>
      <c r="Y4606" s="1037"/>
      <c r="Z4606" s="1037"/>
      <c r="AA4606" s="1037"/>
      <c r="AB4606" s="1037"/>
      <c r="AC4606" s="1037"/>
      <c r="AD4606" s="1037"/>
      <c r="AE4606" s="1037"/>
      <c r="AF4606" s="1037"/>
      <c r="AG4606" s="1037"/>
      <c r="AH4606" s="1037"/>
      <c r="AI4606" s="1037"/>
      <c r="AJ4606" s="1037"/>
      <c r="AK4606" s="1037"/>
      <c r="AL4606" s="1037"/>
      <c r="AM4606" s="1037"/>
      <c r="AN4606" s="1037"/>
      <c r="AO4606" s="1037"/>
      <c r="AP4606" s="1037"/>
      <c r="AQ4606" s="1037"/>
      <c r="AR4606" s="1037"/>
      <c r="AS4606" s="1037"/>
      <c r="AT4606" s="1037"/>
      <c r="AU4606" s="1037"/>
      <c r="AV4606" s="1037"/>
      <c r="AW4606" s="1037"/>
      <c r="AX4606" s="1037"/>
      <c r="AY4606" s="1037"/>
      <c r="AZ4606" s="1037"/>
      <c r="BA4606" s="1037"/>
      <c r="BB4606" s="1037"/>
      <c r="BC4606" s="1037"/>
      <c r="BD4606" s="1037"/>
      <c r="BE4606" s="1037"/>
      <c r="BF4606" s="1037"/>
      <c r="BG4606" s="1037"/>
      <c r="BH4606" s="1037"/>
      <c r="BI4606" s="1037"/>
      <c r="BJ4606" s="1037"/>
      <c r="BK4606" s="1037"/>
      <c r="BL4606" s="1037"/>
    </row>
    <row r="4607" spans="1:64">
      <c r="A4607" s="1798"/>
      <c r="B4607" s="1200"/>
      <c r="C4607" s="1807"/>
      <c r="D4607" s="1203"/>
      <c r="E4607" s="1199"/>
      <c r="F4607" s="1201"/>
      <c r="G4607" s="1204"/>
      <c r="H4607" s="1199"/>
      <c r="I4607" s="1201"/>
      <c r="J4607" s="1846"/>
      <c r="K4607" s="1846"/>
      <c r="L4607" s="1846"/>
    </row>
    <row r="4608" spans="1:64">
      <c r="A4608" s="1798"/>
      <c r="B4608" s="1200"/>
      <c r="C4608" s="1807"/>
      <c r="D4608" s="1203"/>
      <c r="E4608" s="1199"/>
      <c r="F4608" s="1201"/>
      <c r="G4608" s="1204"/>
      <c r="H4608" s="1199"/>
      <c r="I4608" s="1201"/>
      <c r="J4608" s="1846"/>
      <c r="K4608" s="1846"/>
      <c r="L4608" s="1846"/>
    </row>
    <row r="4609" spans="1:12" ht="25.35" customHeight="1">
      <c r="A4609" s="1808">
        <f>A4378+1</f>
        <v>71</v>
      </c>
      <c r="B4609" s="1808"/>
      <c r="C4609" s="2006" t="s">
        <v>3485</v>
      </c>
      <c r="D4609" s="2006"/>
      <c r="E4609" s="2006"/>
      <c r="F4609" s="2006"/>
      <c r="G4609" s="2006"/>
      <c r="H4609" s="2006"/>
      <c r="I4609" s="2006"/>
      <c r="J4609" s="1846"/>
      <c r="K4609" s="1846"/>
      <c r="L4609" s="1846"/>
    </row>
    <row r="4610" spans="1:12">
      <c r="A4610" s="1798"/>
      <c r="B4610" s="1200"/>
      <c r="C4610" s="1208" t="s">
        <v>1759</v>
      </c>
      <c r="D4610" s="1199">
        <v>1</v>
      </c>
      <c r="E4610" s="1199" t="s">
        <v>197</v>
      </c>
      <c r="F4610" s="1201">
        <v>130</v>
      </c>
      <c r="G4610" s="1199">
        <v>1</v>
      </c>
      <c r="H4610" s="1273" t="str">
        <f>IF(E4610="","",IF(E4610="No.","Each",IF(E4610="Nos.","Each",E4610)))</f>
        <v>RM</v>
      </c>
      <c r="I4610" s="1201">
        <f>F4610*D4610</f>
        <v>130</v>
      </c>
      <c r="J4610" s="1846"/>
      <c r="K4610" s="1846"/>
      <c r="L4610" s="1846"/>
    </row>
    <row r="4611" spans="1:12">
      <c r="A4611" s="1798"/>
      <c r="B4611" s="1200"/>
      <c r="C4611" s="1294" t="s">
        <v>1686</v>
      </c>
      <c r="D4611" s="1199"/>
      <c r="E4611" s="1199"/>
      <c r="F4611" s="1200"/>
      <c r="G4611" s="1199"/>
      <c r="H4611" s="1397"/>
      <c r="I4611" s="1230">
        <f>SUM(I4610:I4610)</f>
        <v>130</v>
      </c>
      <c r="J4611" s="1846"/>
      <c r="K4611" s="1846"/>
      <c r="L4611" s="1846"/>
    </row>
    <row r="4612" spans="1:12">
      <c r="A4612" s="1794"/>
      <c r="B4612" s="1794"/>
      <c r="C4612" s="1807" t="str">
        <f>Input!$C$48</f>
        <v>Overheads &amp; Contractors Profit @ 13.615%</v>
      </c>
      <c r="D4612" s="1385">
        <f>Input!$D$48</f>
        <v>0.13614999999999999</v>
      </c>
      <c r="E4612" s="1304"/>
      <c r="F4612" s="1211">
        <f>I4611</f>
        <v>130</v>
      </c>
      <c r="G4612" s="1289"/>
      <c r="H4612" s="1208"/>
      <c r="I4612" s="1211">
        <f>IF(G4612="",D4612*F4612,(D4612*F4612/G4612))</f>
        <v>17.6995</v>
      </c>
      <c r="J4612" s="1846"/>
      <c r="K4612" s="1846"/>
      <c r="L4612" s="1846"/>
    </row>
    <row r="4613" spans="1:12">
      <c r="A4613" s="1798"/>
      <c r="B4613" s="1200"/>
      <c r="C4613" s="1807"/>
      <c r="D4613" s="1228"/>
      <c r="E4613" s="1297"/>
      <c r="F4613" s="1223"/>
      <c r="G4613" s="1272"/>
      <c r="H4613" s="1810"/>
      <c r="I4613" s="1219">
        <f>SUM(I4611:I4612)</f>
        <v>147.6995</v>
      </c>
      <c r="J4613" s="1846"/>
      <c r="K4613" s="1846"/>
      <c r="L4613" s="1846"/>
    </row>
    <row r="4614" spans="1:12">
      <c r="A4614" s="1798"/>
      <c r="B4614" s="1200"/>
      <c r="C4614" s="1807"/>
      <c r="D4614" s="1228"/>
      <c r="E4614" s="1297"/>
      <c r="F4614" s="1223"/>
      <c r="G4614" s="1272"/>
      <c r="H4614" s="1810" t="s">
        <v>1065</v>
      </c>
      <c r="I4614" s="1219">
        <f>ROUND(I4613,0)</f>
        <v>148</v>
      </c>
      <c r="J4614" s="1846"/>
      <c r="K4614" s="1846"/>
      <c r="L4614" s="1846"/>
    </row>
    <row r="4615" spans="1:12" ht="25.35" customHeight="1">
      <c r="A4615" s="1808">
        <f>A4609+1</f>
        <v>72</v>
      </c>
      <c r="B4615" s="1808"/>
      <c r="C4615" s="2006" t="s">
        <v>3486</v>
      </c>
      <c r="D4615" s="2006"/>
      <c r="E4615" s="2006"/>
      <c r="F4615" s="2006"/>
      <c r="G4615" s="2006"/>
      <c r="H4615" s="2006"/>
      <c r="I4615" s="2006"/>
      <c r="J4615" s="1846"/>
      <c r="K4615" s="1846"/>
      <c r="L4615" s="1846"/>
    </row>
    <row r="4616" spans="1:12">
      <c r="A4616" s="1798"/>
      <c r="B4616" s="1200"/>
      <c r="C4616" s="1208" t="s">
        <v>1759</v>
      </c>
      <c r="D4616" s="1199">
        <v>1</v>
      </c>
      <c r="E4616" s="1199" t="s">
        <v>197</v>
      </c>
      <c r="F4616" s="1201">
        <v>92</v>
      </c>
      <c r="G4616" s="1199">
        <v>1</v>
      </c>
      <c r="H4616" s="1273" t="str">
        <f>IF(E4616="","",IF(E4616="No.","Each",IF(E4616="Nos.","Each",E4616)))</f>
        <v>RM</v>
      </c>
      <c r="I4616" s="1201">
        <f>F4616*D4616</f>
        <v>92</v>
      </c>
      <c r="J4616" s="1846"/>
      <c r="K4616" s="1846"/>
      <c r="L4616" s="1846"/>
    </row>
    <row r="4617" spans="1:12">
      <c r="A4617" s="1798"/>
      <c r="B4617" s="1200"/>
      <c r="C4617" s="1294" t="s">
        <v>1686</v>
      </c>
      <c r="D4617" s="1199"/>
      <c r="E4617" s="1199"/>
      <c r="F4617" s="1200"/>
      <c r="G4617" s="1199"/>
      <c r="H4617" s="1397"/>
      <c r="I4617" s="1230">
        <f>SUM(I4616:I4616)</f>
        <v>92</v>
      </c>
      <c r="J4617" s="1846"/>
      <c r="K4617" s="1846"/>
      <c r="L4617" s="1846"/>
    </row>
    <row r="4618" spans="1:12">
      <c r="A4618" s="1794"/>
      <c r="B4618" s="1794"/>
      <c r="C4618" s="1807" t="str">
        <f>Input!$C$48</f>
        <v>Overheads &amp; Contractors Profit @ 13.615%</v>
      </c>
      <c r="D4618" s="1385">
        <f>Input!$D$48</f>
        <v>0.13614999999999999</v>
      </c>
      <c r="E4618" s="1304"/>
      <c r="F4618" s="1211">
        <f>I4617</f>
        <v>92</v>
      </c>
      <c r="G4618" s="1289"/>
      <c r="H4618" s="1208"/>
      <c r="I4618" s="1211">
        <f>IF(G4618="",D4618*F4618,(D4618*F4618/G4618))</f>
        <v>12.5258</v>
      </c>
      <c r="J4618" s="1846"/>
      <c r="K4618" s="1846"/>
      <c r="L4618" s="1846"/>
    </row>
    <row r="4619" spans="1:12">
      <c r="A4619" s="1798"/>
      <c r="B4619" s="1200"/>
      <c r="C4619" s="1807"/>
      <c r="D4619" s="1228"/>
      <c r="E4619" s="1297"/>
      <c r="F4619" s="1223"/>
      <c r="G4619" s="1272"/>
      <c r="H4619" s="1810"/>
      <c r="I4619" s="1219">
        <f>SUM(I4617:I4618)</f>
        <v>104.5258</v>
      </c>
      <c r="J4619" s="1846"/>
      <c r="K4619" s="1846"/>
      <c r="L4619" s="1846"/>
    </row>
    <row r="4620" spans="1:12">
      <c r="A4620" s="1798"/>
      <c r="B4620" s="1200"/>
      <c r="C4620" s="1807"/>
      <c r="D4620" s="1228"/>
      <c r="E4620" s="1297"/>
      <c r="F4620" s="1223"/>
      <c r="G4620" s="1272"/>
      <c r="H4620" s="1810" t="s">
        <v>1065</v>
      </c>
      <c r="I4620" s="1219">
        <f>ROUND(I4619,0)</f>
        <v>105</v>
      </c>
      <c r="J4620" s="1846"/>
      <c r="K4620" s="1846"/>
      <c r="L4620" s="1846"/>
    </row>
    <row r="4621" spans="1:12">
      <c r="A4621" s="1798"/>
      <c r="B4621" s="1200"/>
      <c r="C4621" s="1807"/>
      <c r="D4621" s="1203"/>
      <c r="E4621" s="1199"/>
      <c r="F4621" s="1201"/>
      <c r="G4621" s="1204"/>
      <c r="H4621" s="1199"/>
      <c r="I4621" s="1201"/>
      <c r="J4621" s="1846"/>
      <c r="K4621" s="1846"/>
      <c r="L4621" s="1846"/>
    </row>
    <row r="4622" spans="1:12">
      <c r="A4622" s="1798"/>
      <c r="B4622" s="1200"/>
      <c r="C4622" s="1807"/>
      <c r="D4622" s="1203"/>
      <c r="E4622" s="1199"/>
      <c r="F4622" s="1201"/>
      <c r="G4622" s="1204"/>
      <c r="H4622" s="1199"/>
      <c r="I4622" s="1201"/>
      <c r="J4622" s="1846"/>
      <c r="K4622" s="1846"/>
      <c r="L4622" s="1846"/>
    </row>
    <row r="4623" spans="1:12" ht="81.400000000000006" customHeight="1">
      <c r="A4623" s="1808">
        <f>A4282+1</f>
        <v>68</v>
      </c>
      <c r="B4623" s="1808"/>
      <c r="C4623" s="2006" t="s">
        <v>3641</v>
      </c>
      <c r="D4623" s="2006"/>
      <c r="E4623" s="2006"/>
      <c r="F4623" s="2006"/>
      <c r="G4623" s="2006"/>
      <c r="H4623" s="2006"/>
      <c r="I4623" s="2006"/>
      <c r="J4623" s="1846"/>
      <c r="K4623" s="1846"/>
      <c r="L4623" s="1846"/>
    </row>
    <row r="4624" spans="1:12">
      <c r="A4624" s="1794"/>
      <c r="B4624" s="1794"/>
      <c r="C4624" s="1807" t="s">
        <v>1760</v>
      </c>
      <c r="D4624" s="1316">
        <v>1</v>
      </c>
      <c r="E4624" s="1308" t="s">
        <v>948</v>
      </c>
      <c r="F4624" s="1211">
        <f>'Civil-SOR'!G46*1000</f>
        <v>75000</v>
      </c>
      <c r="G4624" s="1308">
        <v>1</v>
      </c>
      <c r="H4624" s="1290" t="str">
        <f t="shared" ref="H4624:H4626" si="999">IF(E4624="","",IF(E4624="No.","Each",IF(E4624="Nos.","Each",E4624)))</f>
        <v>MT</v>
      </c>
      <c r="I4624" s="1211">
        <f t="shared" ref="I4624:I4627" si="1000">IF(G4624="",D4624*F4624,(D4624*F4624/G4624))</f>
        <v>75000</v>
      </c>
      <c r="J4624" s="1846"/>
      <c r="K4624" s="1846"/>
      <c r="L4624" s="1846"/>
    </row>
    <row r="4625" spans="1:12">
      <c r="A4625" s="1794"/>
      <c r="B4625" s="1794"/>
      <c r="C4625" s="1208" t="s">
        <v>1761</v>
      </c>
      <c r="D4625" s="1316">
        <f t="shared" ref="D4625:D4626" si="1001">D4624</f>
        <v>1</v>
      </c>
      <c r="E4625" s="1308" t="s">
        <v>948</v>
      </c>
      <c r="F4625" s="1211">
        <f>28*1000</f>
        <v>28000</v>
      </c>
      <c r="G4625" s="1308">
        <v>1</v>
      </c>
      <c r="H4625" s="1290" t="str">
        <f t="shared" si="999"/>
        <v>MT</v>
      </c>
      <c r="I4625" s="1211">
        <f t="shared" si="1000"/>
        <v>28000</v>
      </c>
      <c r="J4625" s="1846"/>
      <c r="K4625" s="1846"/>
      <c r="L4625" s="1846"/>
    </row>
    <row r="4626" spans="1:12">
      <c r="A4626" s="1794"/>
      <c r="B4626" s="1794"/>
      <c r="C4626" s="1208" t="s">
        <v>1762</v>
      </c>
      <c r="D4626" s="1316">
        <f t="shared" si="1001"/>
        <v>1</v>
      </c>
      <c r="E4626" s="1308" t="s">
        <v>948</v>
      </c>
      <c r="F4626" s="1211">
        <f>25*1000</f>
        <v>25000</v>
      </c>
      <c r="G4626" s="1308">
        <v>1</v>
      </c>
      <c r="H4626" s="1290" t="str">
        <f t="shared" si="999"/>
        <v>MT</v>
      </c>
      <c r="I4626" s="1211">
        <f t="shared" si="1000"/>
        <v>25000</v>
      </c>
      <c r="J4626" s="1846"/>
      <c r="K4626" s="1846"/>
      <c r="L4626" s="1846"/>
    </row>
    <row r="4627" spans="1:12">
      <c r="A4627" s="1794"/>
      <c r="B4627" s="1794"/>
      <c r="C4627" s="1807" t="str">
        <f>Input!C$47</f>
        <v>Add for MA @ 40%</v>
      </c>
      <c r="D4627" s="1404">
        <f>Input!D$47</f>
        <v>0.4</v>
      </c>
      <c r="E4627" s="1308"/>
      <c r="F4627" s="1211">
        <f>(I4625+I4626)*40%</f>
        <v>21200</v>
      </c>
      <c r="G4627" s="1208"/>
      <c r="H4627" s="1813"/>
      <c r="I4627" s="1211">
        <f t="shared" si="1000"/>
        <v>8480</v>
      </c>
      <c r="J4627" s="1846"/>
      <c r="K4627" s="1846"/>
      <c r="L4627" s="1846"/>
    </row>
    <row r="4628" spans="1:12">
      <c r="A4628" s="1794"/>
      <c r="B4628" s="1794"/>
      <c r="C4628" s="1294" t="s">
        <v>1356</v>
      </c>
      <c r="D4628" s="1316"/>
      <c r="E4628" s="1390"/>
      <c r="F4628" s="1206"/>
      <c r="G4628" s="1308"/>
      <c r="H4628" s="1391"/>
      <c r="I4628" s="1307">
        <f>SUM(I4624:I4627)</f>
        <v>136480</v>
      </c>
      <c r="J4628" s="1846"/>
      <c r="K4628" s="1846"/>
      <c r="L4628" s="1846"/>
    </row>
    <row r="4629" spans="1:12">
      <c r="A4629" s="1794"/>
      <c r="B4629" s="1794"/>
      <c r="C4629" s="1807" t="str">
        <f>Input!$C$48</f>
        <v>Overheads &amp; Contractors Profit @ 13.615%</v>
      </c>
      <c r="D4629" s="1385">
        <f>Input!$D$48</f>
        <v>0.13614999999999999</v>
      </c>
      <c r="E4629" s="1390"/>
      <c r="F4629" s="1211">
        <f>I4628</f>
        <v>136480</v>
      </c>
      <c r="G4629" s="1308"/>
      <c r="H4629" s="1391"/>
      <c r="I4629" s="1211">
        <f>IF(G4629="",D4629*F4629,(D4629*F4629/G4629))</f>
        <v>18581.752</v>
      </c>
      <c r="J4629" s="1846"/>
      <c r="K4629" s="1846"/>
      <c r="L4629" s="1846"/>
    </row>
    <row r="4630" spans="1:12">
      <c r="A4630" s="1797"/>
      <c r="B4630" s="1797"/>
      <c r="C4630" s="1294"/>
      <c r="D4630" s="1364"/>
      <c r="E4630" s="1349"/>
      <c r="F4630" s="1802"/>
      <c r="G4630" s="1348"/>
      <c r="H4630" s="1799"/>
      <c r="I4630" s="1218">
        <f>SUM(I4628:I4629)</f>
        <v>155061.75200000001</v>
      </c>
      <c r="J4630" s="1846"/>
      <c r="K4630" s="1846"/>
      <c r="L4630" s="1846"/>
    </row>
    <row r="4631" spans="1:12">
      <c r="A4631" s="1797"/>
      <c r="B4631" s="1797"/>
      <c r="C4631" s="1294" t="s">
        <v>1356</v>
      </c>
      <c r="D4631" s="1364"/>
      <c r="E4631" s="1349"/>
      <c r="F4631" s="1802"/>
      <c r="G4631" s="1348"/>
      <c r="H4631" s="1799"/>
      <c r="I4631" s="1218">
        <f>ROUND(I4630,0)</f>
        <v>155062</v>
      </c>
      <c r="J4631" s="1846"/>
      <c r="K4631" s="1846"/>
      <c r="L4631" s="1846"/>
    </row>
    <row r="4632" spans="1:12">
      <c r="A4632" s="1797"/>
      <c r="B4632" s="1797"/>
      <c r="C4632" s="1294" t="s">
        <v>1763</v>
      </c>
      <c r="D4632" s="1364"/>
      <c r="E4632" s="1349"/>
      <c r="F4632" s="1802"/>
      <c r="G4632" s="1348"/>
      <c r="H4632" s="1799"/>
      <c r="I4632" s="1218">
        <f>I4631/1000</f>
        <v>155.06200000000001</v>
      </c>
      <c r="J4632" s="1846"/>
      <c r="K4632" s="1846"/>
      <c r="L4632" s="1846"/>
    </row>
    <row r="4633" spans="1:12">
      <c r="A4633" s="1798"/>
      <c r="B4633" s="1200"/>
      <c r="C4633" s="1807"/>
      <c r="D4633" s="1228"/>
      <c r="E4633" s="1297"/>
      <c r="F4633" s="1223"/>
      <c r="G4633" s="2025" t="s">
        <v>1764</v>
      </c>
      <c r="H4633" s="2025"/>
      <c r="I4633" s="1219">
        <f>ROUND(I4632,0)</f>
        <v>155</v>
      </c>
      <c r="J4633" s="1846"/>
      <c r="K4633" s="1846"/>
      <c r="L4633" s="1846"/>
    </row>
    <row r="4634" spans="1:12">
      <c r="A4634" s="1798"/>
      <c r="B4634" s="1200"/>
      <c r="C4634" s="1208"/>
      <c r="D4634" s="1333"/>
      <c r="E4634" s="1393"/>
      <c r="F4634" s="1339"/>
      <c r="G4634" s="1394"/>
      <c r="H4634" s="1810"/>
      <c r="I4634" s="1219"/>
      <c r="J4634" s="1846"/>
      <c r="K4634" s="1846"/>
      <c r="L4634" s="1846"/>
    </row>
    <row r="4635" spans="1:12" ht="58.9" customHeight="1">
      <c r="A4635" s="2023">
        <f>1+A4623</f>
        <v>69</v>
      </c>
      <c r="B4635" s="2023"/>
      <c r="C4635" s="2022" t="s">
        <v>1765</v>
      </c>
      <c r="D4635" s="2022"/>
      <c r="E4635" s="2022"/>
      <c r="F4635" s="2022"/>
      <c r="G4635" s="2022"/>
      <c r="H4635" s="2022"/>
      <c r="I4635" s="2022"/>
      <c r="J4635" s="1846"/>
      <c r="K4635" s="1846"/>
      <c r="L4635" s="1846"/>
    </row>
    <row r="4636" spans="1:12">
      <c r="A4636" s="1794"/>
      <c r="B4636" s="1794"/>
      <c r="C4636" s="1807" t="s">
        <v>1766</v>
      </c>
      <c r="D4636" s="1316">
        <v>1</v>
      </c>
      <c r="E4636" s="1308" t="s">
        <v>948</v>
      </c>
      <c r="F4636" s="1211">
        <f>LEAD!N10</f>
        <v>61000</v>
      </c>
      <c r="G4636" s="1308">
        <v>1</v>
      </c>
      <c r="H4636" s="1290" t="str">
        <f t="shared" ref="H4636:H4638" si="1002">IF(E4636="","",IF(E4636="No.","Each",IF(E4636="Nos.","Each",E4636)))</f>
        <v>MT</v>
      </c>
      <c r="I4636" s="1211">
        <f t="shared" ref="I4636:I4639" si="1003">IF(G4636="",D4636*F4636,(D4636*F4636/G4636))</f>
        <v>61000</v>
      </c>
      <c r="J4636" s="1846"/>
      <c r="K4636" s="1846"/>
      <c r="L4636" s="1846"/>
    </row>
    <row r="4637" spans="1:12">
      <c r="A4637" s="1794"/>
      <c r="B4637" s="1794"/>
      <c r="C4637" s="1208" t="s">
        <v>1767</v>
      </c>
      <c r="D4637" s="1316">
        <f t="shared" ref="D4637:D4638" si="1004">D4636</f>
        <v>1</v>
      </c>
      <c r="E4637" s="1308" t="s">
        <v>948</v>
      </c>
      <c r="F4637" s="1211">
        <f>'Civil-SOR'!G202*1000</f>
        <v>37000</v>
      </c>
      <c r="G4637" s="1308">
        <v>1</v>
      </c>
      <c r="H4637" s="1290" t="str">
        <f t="shared" si="1002"/>
        <v>MT</v>
      </c>
      <c r="I4637" s="1211">
        <f t="shared" si="1003"/>
        <v>37000</v>
      </c>
      <c r="J4637" s="1846"/>
      <c r="K4637" s="1846"/>
      <c r="L4637" s="1846"/>
    </row>
    <row r="4638" spans="1:12">
      <c r="A4638" s="1794"/>
      <c r="B4638" s="1794"/>
      <c r="C4638" s="1208" t="s">
        <v>1768</v>
      </c>
      <c r="D4638" s="1316">
        <f t="shared" si="1004"/>
        <v>1</v>
      </c>
      <c r="E4638" s="1308" t="s">
        <v>948</v>
      </c>
      <c r="F4638" s="1211">
        <f>'Civil-SOR'!G203*1000</f>
        <v>6000</v>
      </c>
      <c r="G4638" s="1308">
        <v>1</v>
      </c>
      <c r="H4638" s="1290" t="str">
        <f t="shared" si="1002"/>
        <v>MT</v>
      </c>
      <c r="I4638" s="1211">
        <f t="shared" si="1003"/>
        <v>6000</v>
      </c>
      <c r="J4638" s="1846"/>
      <c r="K4638" s="1846"/>
      <c r="L4638" s="1846"/>
    </row>
    <row r="4639" spans="1:12">
      <c r="A4639" s="1794"/>
      <c r="B4639" s="1794"/>
      <c r="C4639" s="1807" t="str">
        <f>Input!C$47</f>
        <v>Add for MA @ 40%</v>
      </c>
      <c r="D4639" s="1404">
        <f>Input!D$47</f>
        <v>0.4</v>
      </c>
      <c r="E4639" s="1308"/>
      <c r="F4639" s="1211">
        <f>(I4637+I4638)*40%</f>
        <v>17200</v>
      </c>
      <c r="G4639" s="1208"/>
      <c r="H4639" s="1813"/>
      <c r="I4639" s="1211">
        <f t="shared" si="1003"/>
        <v>6880</v>
      </c>
      <c r="J4639" s="1846"/>
      <c r="K4639" s="1846"/>
      <c r="L4639" s="1846"/>
    </row>
    <row r="4640" spans="1:12">
      <c r="A4640" s="1794"/>
      <c r="B4640" s="1794"/>
      <c r="C4640" s="1294" t="s">
        <v>1356</v>
      </c>
      <c r="D4640" s="1316"/>
      <c r="E4640" s="1390"/>
      <c r="F4640" s="1206"/>
      <c r="G4640" s="1308"/>
      <c r="H4640" s="1391"/>
      <c r="I4640" s="1307">
        <f>SUM(I4636:I4639)</f>
        <v>110880</v>
      </c>
      <c r="J4640" s="1846"/>
      <c r="K4640" s="1846"/>
      <c r="L4640" s="1846"/>
    </row>
    <row r="4641" spans="1:12">
      <c r="A4641" s="1794"/>
      <c r="B4641" s="1794"/>
      <c r="C4641" s="1807" t="str">
        <f>Input!$C$48</f>
        <v>Overheads &amp; Contractors Profit @ 13.615%</v>
      </c>
      <c r="D4641" s="1385">
        <f>Input!$D$48</f>
        <v>0.13614999999999999</v>
      </c>
      <c r="E4641" s="1390"/>
      <c r="F4641" s="1211">
        <f>I4640</f>
        <v>110880</v>
      </c>
      <c r="G4641" s="1308"/>
      <c r="H4641" s="1391"/>
      <c r="I4641" s="1211">
        <f>IF(G4641="",D4641*F4641,(D4641*F4641/G4641))</f>
        <v>15096.312</v>
      </c>
      <c r="J4641" s="1846"/>
      <c r="K4641" s="1846"/>
      <c r="L4641" s="1846"/>
    </row>
    <row r="4642" spans="1:12">
      <c r="A4642" s="1797"/>
      <c r="B4642" s="1797"/>
      <c r="C4642" s="1294"/>
      <c r="D4642" s="1364"/>
      <c r="E4642" s="1349"/>
      <c r="F4642" s="1802"/>
      <c r="G4642" s="1348"/>
      <c r="H4642" s="1799"/>
      <c r="I4642" s="1218">
        <f>SUM(I4640:I4641)</f>
        <v>125976.31200000001</v>
      </c>
      <c r="J4642" s="1846"/>
      <c r="K4642" s="1846"/>
      <c r="L4642" s="1846"/>
    </row>
    <row r="4643" spans="1:12">
      <c r="A4643" s="1797"/>
      <c r="B4643" s="1797"/>
      <c r="C4643" s="1294" t="s">
        <v>1356</v>
      </c>
      <c r="D4643" s="1364"/>
      <c r="E4643" s="1349"/>
      <c r="F4643" s="1802"/>
      <c r="G4643" s="1348"/>
      <c r="H4643" s="1799"/>
      <c r="I4643" s="1218">
        <f>ROUND(I4642,0)</f>
        <v>125976</v>
      </c>
      <c r="J4643" s="1846"/>
      <c r="K4643" s="1846"/>
      <c r="L4643" s="1846"/>
    </row>
    <row r="4644" spans="1:12">
      <c r="A4644" s="1797"/>
      <c r="B4644" s="1797"/>
      <c r="C4644" s="1294" t="s">
        <v>1356</v>
      </c>
      <c r="D4644" s="1364"/>
      <c r="E4644" s="1349"/>
      <c r="F4644" s="1802"/>
      <c r="G4644" s="1348"/>
      <c r="H4644" s="1799"/>
      <c r="I4644" s="1218">
        <f>ROUND(I4643,0)</f>
        <v>125976</v>
      </c>
      <c r="J4644" s="1846"/>
      <c r="K4644" s="1846"/>
      <c r="L4644" s="1846"/>
    </row>
    <row r="4645" spans="1:12">
      <c r="A4645" s="1797"/>
      <c r="B4645" s="1797"/>
      <c r="C4645" s="1294" t="s">
        <v>1763</v>
      </c>
      <c r="D4645" s="1364"/>
      <c r="E4645" s="1349"/>
      <c r="F4645" s="1802"/>
      <c r="G4645" s="1348"/>
      <c r="H4645" s="1799"/>
      <c r="I4645" s="1218">
        <f>I4644/1000</f>
        <v>125.976</v>
      </c>
      <c r="J4645" s="1846"/>
      <c r="K4645" s="1846"/>
      <c r="L4645" s="1846"/>
    </row>
    <row r="4646" spans="1:12">
      <c r="A4646" s="1798"/>
      <c r="B4646" s="1200"/>
      <c r="C4646" s="1807"/>
      <c r="D4646" s="1228"/>
      <c r="E4646" s="1297"/>
      <c r="F4646" s="1223"/>
      <c r="G4646" s="2025" t="s">
        <v>1764</v>
      </c>
      <c r="H4646" s="2025"/>
      <c r="I4646" s="1219">
        <f>ROUND(I4645,0)</f>
        <v>126</v>
      </c>
      <c r="J4646" s="1846"/>
      <c r="K4646" s="1846"/>
      <c r="L4646" s="1846"/>
    </row>
    <row r="4647" spans="1:12" ht="58.9" customHeight="1">
      <c r="A4647" s="2023">
        <f>1+A4635</f>
        <v>70</v>
      </c>
      <c r="B4647" s="2023"/>
      <c r="C4647" s="2022" t="s">
        <v>1769</v>
      </c>
      <c r="D4647" s="2022"/>
      <c r="E4647" s="2022"/>
      <c r="F4647" s="2022"/>
      <c r="G4647" s="2022"/>
      <c r="H4647" s="2022"/>
      <c r="I4647" s="2022"/>
      <c r="J4647" s="1846"/>
      <c r="K4647" s="1846"/>
      <c r="L4647" s="1846"/>
    </row>
    <row r="4648" spans="1:12">
      <c r="A4648" s="1794"/>
      <c r="B4648" s="1794"/>
      <c r="C4648" s="1807" t="s">
        <v>1770</v>
      </c>
      <c r="D4648" s="1316">
        <v>1</v>
      </c>
      <c r="E4648" s="1308" t="s">
        <v>97</v>
      </c>
      <c r="F4648" s="1211">
        <v>68</v>
      </c>
      <c r="G4648" s="1308">
        <v>1</v>
      </c>
      <c r="H4648" s="1290" t="str">
        <f t="shared" ref="H4648:H4650" si="1005">IF(E4648="","",IF(E4648="No.","Each",IF(E4648="Nos.","Each",E4648)))</f>
        <v>Kg</v>
      </c>
      <c r="I4648" s="1211">
        <f t="shared" ref="I4648:I4651" si="1006">IF(G4648="",D4648*F4648,(D4648*F4648/G4648))</f>
        <v>68</v>
      </c>
      <c r="J4648" s="1846"/>
      <c r="K4648" s="1846"/>
      <c r="L4648" s="1846"/>
    </row>
    <row r="4649" spans="1:12">
      <c r="A4649" s="1794"/>
      <c r="B4649" s="1794"/>
      <c r="C4649" s="1208" t="s">
        <v>1767</v>
      </c>
      <c r="D4649" s="1316">
        <f t="shared" ref="D4649:D4650" si="1007">D4648</f>
        <v>1</v>
      </c>
      <c r="E4649" s="1308" t="s">
        <v>948</v>
      </c>
      <c r="F4649" s="1211">
        <f>'Civil-SOR'!G211*1</f>
        <v>22</v>
      </c>
      <c r="G4649" s="1308">
        <v>1</v>
      </c>
      <c r="H4649" s="1290" t="str">
        <f t="shared" si="1005"/>
        <v>MT</v>
      </c>
      <c r="I4649" s="1211">
        <f t="shared" si="1006"/>
        <v>22</v>
      </c>
      <c r="J4649" s="1846"/>
      <c r="K4649" s="1846"/>
      <c r="L4649" s="1846"/>
    </row>
    <row r="4650" spans="1:12">
      <c r="A4650" s="1794"/>
      <c r="B4650" s="1794"/>
      <c r="C4650" s="1208" t="s">
        <v>1768</v>
      </c>
      <c r="D4650" s="1316">
        <f t="shared" si="1007"/>
        <v>1</v>
      </c>
      <c r="E4650" s="1308" t="s">
        <v>948</v>
      </c>
      <c r="F4650" s="1211">
        <f>'Civil-SOR'!G212*1</f>
        <v>20</v>
      </c>
      <c r="G4650" s="1308">
        <v>1</v>
      </c>
      <c r="H4650" s="1290" t="str">
        <f t="shared" si="1005"/>
        <v>MT</v>
      </c>
      <c r="I4650" s="1211">
        <f t="shared" si="1006"/>
        <v>20</v>
      </c>
      <c r="J4650" s="1846"/>
      <c r="K4650" s="1846"/>
      <c r="L4650" s="1846"/>
    </row>
    <row r="4651" spans="1:12">
      <c r="A4651" s="1794"/>
      <c r="B4651" s="1794"/>
      <c r="C4651" s="1807" t="str">
        <f>Input!C$47</f>
        <v>Add for MA @ 40%</v>
      </c>
      <c r="D4651" s="1404">
        <f>Input!D$47</f>
        <v>0.4</v>
      </c>
      <c r="E4651" s="1308"/>
      <c r="F4651" s="1211">
        <f>(I4649+I4650)*40%</f>
        <v>16.8</v>
      </c>
      <c r="G4651" s="1208"/>
      <c r="H4651" s="1813"/>
      <c r="I4651" s="1211">
        <f t="shared" si="1006"/>
        <v>6.7200000000000006</v>
      </c>
      <c r="J4651" s="1846"/>
      <c r="K4651" s="1846"/>
      <c r="L4651" s="1846"/>
    </row>
    <row r="4652" spans="1:12">
      <c r="A4652" s="1794"/>
      <c r="B4652" s="1794"/>
      <c r="C4652" s="1294" t="s">
        <v>1356</v>
      </c>
      <c r="D4652" s="1316"/>
      <c r="E4652" s="1390"/>
      <c r="F4652" s="1206"/>
      <c r="G4652" s="1308"/>
      <c r="H4652" s="1391"/>
      <c r="I4652" s="1307">
        <f>SUM(I4648:I4651)</f>
        <v>116.72</v>
      </c>
      <c r="J4652" s="1846"/>
      <c r="K4652" s="1846"/>
      <c r="L4652" s="1846"/>
    </row>
    <row r="4653" spans="1:12">
      <c r="A4653" s="1794"/>
      <c r="B4653" s="1794"/>
      <c r="C4653" s="1807" t="str">
        <f>Input!$C$48</f>
        <v>Overheads &amp; Contractors Profit @ 13.615%</v>
      </c>
      <c r="D4653" s="1385">
        <f>Input!$D$48</f>
        <v>0.13614999999999999</v>
      </c>
      <c r="E4653" s="1390"/>
      <c r="F4653" s="1211">
        <f>I4652</f>
        <v>116.72</v>
      </c>
      <c r="G4653" s="1308"/>
      <c r="H4653" s="1391"/>
      <c r="I4653" s="1211">
        <f>IF(G4653="",D4653*F4653,(D4653*F4653/G4653))</f>
        <v>15.891427999999999</v>
      </c>
      <c r="J4653" s="1846"/>
      <c r="K4653" s="1846"/>
      <c r="L4653" s="1846"/>
    </row>
    <row r="4654" spans="1:12">
      <c r="A4654" s="1797"/>
      <c r="B4654" s="1797"/>
      <c r="C4654" s="1294"/>
      <c r="D4654" s="1364"/>
      <c r="E4654" s="1349"/>
      <c r="F4654" s="1802"/>
      <c r="G4654" s="1348"/>
      <c r="H4654" s="1799"/>
      <c r="I4654" s="1218">
        <f>SUM(I4652:I4653)</f>
        <v>132.61142799999999</v>
      </c>
      <c r="J4654" s="1846"/>
      <c r="K4654" s="1846"/>
      <c r="L4654" s="1846"/>
    </row>
    <row r="4655" spans="1:12">
      <c r="A4655" s="1797"/>
      <c r="B4655" s="1797"/>
      <c r="C4655" s="1294" t="s">
        <v>1356</v>
      </c>
      <c r="D4655" s="1364"/>
      <c r="E4655" s="1349"/>
      <c r="F4655" s="1802"/>
      <c r="G4655" s="1348"/>
      <c r="H4655" s="1799"/>
      <c r="I4655" s="1218">
        <f>ROUND(I4654,0)</f>
        <v>133</v>
      </c>
      <c r="J4655" s="1846"/>
      <c r="K4655" s="1846"/>
      <c r="L4655" s="1846"/>
    </row>
    <row r="4656" spans="1:12" ht="81.400000000000006" customHeight="1">
      <c r="A4656" s="2023">
        <f>A4623+1</f>
        <v>69</v>
      </c>
      <c r="B4656" s="2023"/>
      <c r="C4656" s="2006" t="s">
        <v>3487</v>
      </c>
      <c r="D4656" s="2006"/>
      <c r="E4656" s="2006"/>
      <c r="F4656" s="2006"/>
      <c r="G4656" s="2006"/>
      <c r="H4656" s="2006"/>
      <c r="I4656" s="2006"/>
      <c r="J4656" s="1846"/>
      <c r="K4656" s="1846"/>
      <c r="L4656" s="1846"/>
    </row>
    <row r="4657" spans="1:12">
      <c r="A4657" s="1794"/>
      <c r="B4657" s="1794"/>
      <c r="C4657" s="1807" t="s">
        <v>1766</v>
      </c>
      <c r="D4657" s="1316">
        <v>1</v>
      </c>
      <c r="E4657" s="1308" t="s">
        <v>948</v>
      </c>
      <c r="F4657" s="1211">
        <f>LEAD!N10</f>
        <v>61000</v>
      </c>
      <c r="G4657" s="1308">
        <v>1</v>
      </c>
      <c r="H4657" s="1290" t="str">
        <f t="shared" ref="H4657:H4659" si="1008">IF(E4657="","",IF(E4657="No.","Each",IF(E4657="Nos.","Each",E4657)))</f>
        <v>MT</v>
      </c>
      <c r="I4657" s="1211">
        <f t="shared" ref="I4657:I4660" si="1009">IF(G4657="",D4657*F4657,(D4657*F4657/G4657))</f>
        <v>61000</v>
      </c>
      <c r="J4657" s="1846"/>
      <c r="K4657" s="1846"/>
      <c r="L4657" s="1846"/>
    </row>
    <row r="4658" spans="1:12">
      <c r="A4658" s="1794"/>
      <c r="B4658" s="1794"/>
      <c r="C4658" s="1208" t="s">
        <v>1761</v>
      </c>
      <c r="D4658" s="1316">
        <f t="shared" ref="D4658:D4659" si="1010">D4657</f>
        <v>1</v>
      </c>
      <c r="E4658" s="1308" t="s">
        <v>948</v>
      </c>
      <c r="F4658" s="1211">
        <f t="shared" ref="F4658:F4659" si="1011">F4625</f>
        <v>28000</v>
      </c>
      <c r="G4658" s="1308">
        <v>1</v>
      </c>
      <c r="H4658" s="1290" t="str">
        <f t="shared" si="1008"/>
        <v>MT</v>
      </c>
      <c r="I4658" s="1211">
        <f t="shared" si="1009"/>
        <v>28000</v>
      </c>
      <c r="J4658" s="1846"/>
      <c r="K4658" s="1846"/>
      <c r="L4658" s="1846"/>
    </row>
    <row r="4659" spans="1:12">
      <c r="A4659" s="1794"/>
      <c r="B4659" s="1794"/>
      <c r="C4659" s="1208" t="s">
        <v>1762</v>
      </c>
      <c r="D4659" s="1316">
        <f t="shared" si="1010"/>
        <v>1</v>
      </c>
      <c r="E4659" s="1308" t="s">
        <v>948</v>
      </c>
      <c r="F4659" s="1211">
        <f t="shared" si="1011"/>
        <v>25000</v>
      </c>
      <c r="G4659" s="1308">
        <v>1</v>
      </c>
      <c r="H4659" s="1290" t="str">
        <f t="shared" si="1008"/>
        <v>MT</v>
      </c>
      <c r="I4659" s="1211">
        <f t="shared" si="1009"/>
        <v>25000</v>
      </c>
      <c r="J4659" s="1846"/>
      <c r="K4659" s="1846"/>
      <c r="L4659" s="1846"/>
    </row>
    <row r="4660" spans="1:12">
      <c r="A4660" s="1798"/>
      <c r="B4660" s="1200"/>
      <c r="C4660" s="1807" t="str">
        <f>Input!$C$47</f>
        <v>Add for MA @ 40%</v>
      </c>
      <c r="D4660" s="1404">
        <f>Input!$D$47</f>
        <v>0.4</v>
      </c>
      <c r="E4660" s="1394"/>
      <c r="F4660" s="1205">
        <f>(I4658+I4659)*40%</f>
        <v>21200</v>
      </c>
      <c r="G4660" s="1199"/>
      <c r="H4660" s="1336"/>
      <c r="I4660" s="1205">
        <f t="shared" si="1009"/>
        <v>8480</v>
      </c>
      <c r="J4660" s="1846"/>
      <c r="K4660" s="1846"/>
      <c r="L4660" s="1846"/>
    </row>
    <row r="4661" spans="1:12">
      <c r="A4661" s="1798"/>
      <c r="B4661" s="1200"/>
      <c r="C4661" s="1294" t="s">
        <v>1356</v>
      </c>
      <c r="D4661" s="1333"/>
      <c r="E4661" s="1393"/>
      <c r="F4661" s="1339"/>
      <c r="G4661" s="1394"/>
      <c r="H4661" s="1810"/>
      <c r="I4661" s="1219">
        <f>SUM(I4657:I4660)</f>
        <v>122480</v>
      </c>
      <c r="J4661" s="1846"/>
      <c r="K4661" s="1846"/>
      <c r="L4661" s="1846"/>
    </row>
    <row r="4662" spans="1:12">
      <c r="A4662" s="1798"/>
      <c r="B4662" s="1200"/>
      <c r="C4662" s="1807" t="str">
        <f>Input!$C$48</f>
        <v>Overheads &amp; Contractors Profit @ 13.615%</v>
      </c>
      <c r="D4662" s="1400">
        <f>Input!$D$48</f>
        <v>0.13614999999999999</v>
      </c>
      <c r="E4662" s="1393"/>
      <c r="F4662" s="1205">
        <f>I4661</f>
        <v>122480</v>
      </c>
      <c r="G4662" s="1394"/>
      <c r="H4662" s="1810"/>
      <c r="I4662" s="1205">
        <f>IF(G4662="",D4662*F4662,(D4662*F4662/G4662))</f>
        <v>16675.651999999998</v>
      </c>
      <c r="J4662" s="1846"/>
      <c r="K4662" s="1846"/>
      <c r="L4662" s="1846"/>
    </row>
    <row r="4663" spans="1:12">
      <c r="A4663" s="1798"/>
      <c r="B4663" s="1200"/>
      <c r="C4663" s="1294"/>
      <c r="D4663" s="1333"/>
      <c r="E4663" s="1393"/>
      <c r="F4663" s="1339"/>
      <c r="G4663" s="1394"/>
      <c r="H4663" s="1810"/>
      <c r="I4663" s="1219">
        <f>SUM(I4661:I4662)</f>
        <v>139155.652</v>
      </c>
      <c r="J4663" s="1846"/>
      <c r="K4663" s="1846"/>
      <c r="L4663" s="1846"/>
    </row>
    <row r="4664" spans="1:12">
      <c r="A4664" s="1797"/>
      <c r="B4664" s="1797"/>
      <c r="C4664" s="1294" t="s">
        <v>1356</v>
      </c>
      <c r="D4664" s="1364"/>
      <c r="E4664" s="1349"/>
      <c r="F4664" s="1802"/>
      <c r="G4664" s="1348"/>
      <c r="H4664" s="1799"/>
      <c r="I4664" s="1218">
        <f>ROUND(I4663,0)</f>
        <v>139156</v>
      </c>
      <c r="J4664" s="1846"/>
      <c r="K4664" s="1846"/>
      <c r="L4664" s="1846"/>
    </row>
    <row r="4665" spans="1:12">
      <c r="A4665" s="1797"/>
      <c r="B4665" s="1797"/>
      <c r="C4665" s="1294" t="s">
        <v>1763</v>
      </c>
      <c r="D4665" s="1364"/>
      <c r="E4665" s="1349"/>
      <c r="F4665" s="1802"/>
      <c r="G4665" s="1348"/>
      <c r="H4665" s="1799"/>
      <c r="I4665" s="1218">
        <f>I4664/1000</f>
        <v>139.15600000000001</v>
      </c>
      <c r="J4665" s="1846"/>
      <c r="K4665" s="1846"/>
      <c r="L4665" s="1846"/>
    </row>
    <row r="4666" spans="1:12">
      <c r="A4666" s="1797"/>
      <c r="B4666" s="1797"/>
      <c r="C4666" s="1807"/>
      <c r="D4666" s="1281"/>
      <c r="E4666" s="1320"/>
      <c r="F4666" s="1283"/>
      <c r="G4666" s="2014" t="s">
        <v>1764</v>
      </c>
      <c r="H4666" s="2014"/>
      <c r="I4666" s="1218">
        <f>ROUND(I4665,0)</f>
        <v>139</v>
      </c>
      <c r="J4666" s="1846"/>
      <c r="K4666" s="1846"/>
      <c r="L4666" s="1846"/>
    </row>
    <row r="4667" spans="1:12">
      <c r="A4667" s="1798"/>
      <c r="B4667" s="1200"/>
      <c r="C4667" s="1807"/>
      <c r="D4667" s="1203"/>
      <c r="E4667" s="1199"/>
      <c r="F4667" s="1201"/>
      <c r="G4667" s="1204"/>
      <c r="H4667" s="1199"/>
      <c r="I4667" s="1201"/>
      <c r="J4667" s="1846"/>
      <c r="K4667" s="1846"/>
      <c r="L4667" s="1846"/>
    </row>
    <row r="4668" spans="1:12" ht="70.150000000000006" customHeight="1">
      <c r="A4668" s="1808">
        <f>1+A4656</f>
        <v>70</v>
      </c>
      <c r="B4668" s="2024" t="s">
        <v>1771</v>
      </c>
      <c r="C4668" s="2006" t="s">
        <v>3488</v>
      </c>
      <c r="D4668" s="2006"/>
      <c r="E4668" s="2006"/>
      <c r="F4668" s="2006"/>
      <c r="G4668" s="2006"/>
      <c r="H4668" s="2006"/>
      <c r="I4668" s="2006"/>
      <c r="J4668" s="1846"/>
      <c r="K4668" s="1846"/>
      <c r="L4668" s="1846"/>
    </row>
    <row r="4669" spans="1:12">
      <c r="A4669" s="1798"/>
      <c r="B4669" s="2024"/>
      <c r="C4669" s="1807" t="s">
        <v>1069</v>
      </c>
      <c r="D4669" s="1328"/>
      <c r="E4669" s="1303"/>
      <c r="F4669" s="1328"/>
      <c r="G4669" s="1329"/>
      <c r="H4669" s="1270" t="str">
        <f>IF(E4669="","",IF(E4669="No.","Each",IF(E4669="Nos.","Each",E4669)))</f>
        <v/>
      </c>
      <c r="I4669" s="1227"/>
      <c r="J4669" s="1846"/>
      <c r="K4669" s="1846"/>
      <c r="L4669" s="1846"/>
    </row>
    <row r="4670" spans="1:12">
      <c r="A4670" s="1798"/>
      <c r="B4670" s="1406"/>
      <c r="C4670" s="1807" t="s">
        <v>1772</v>
      </c>
      <c r="D4670" s="1277"/>
      <c r="E4670" s="1276"/>
      <c r="F4670" s="1228"/>
      <c r="G4670" s="1278"/>
      <c r="H4670" s="1279"/>
      <c r="I4670" s="1227"/>
      <c r="J4670" s="1846"/>
      <c r="K4670" s="1846"/>
      <c r="L4670" s="1846"/>
    </row>
    <row r="4671" spans="1:12">
      <c r="A4671" s="1798"/>
      <c r="B4671" s="1406"/>
      <c r="C4671" s="1795" t="s">
        <v>1071</v>
      </c>
      <c r="D4671" s="1333"/>
      <c r="E4671" s="1297"/>
      <c r="F4671" s="1333"/>
      <c r="G4671" s="1334"/>
      <c r="H4671" s="1407"/>
      <c r="I4671" s="1408"/>
      <c r="J4671" s="1846"/>
      <c r="K4671" s="1846"/>
      <c r="L4671" s="1846"/>
    </row>
    <row r="4672" spans="1:12">
      <c r="A4672" s="1798"/>
      <c r="B4672" s="1406"/>
      <c r="C4672" s="1807" t="s">
        <v>1737</v>
      </c>
      <c r="D4672" s="1333"/>
      <c r="E4672" s="1297" t="s">
        <v>1738</v>
      </c>
      <c r="F4672" s="1207"/>
      <c r="G4672" s="1334">
        <v>1</v>
      </c>
      <c r="H4672" s="1333" t="s">
        <v>1738</v>
      </c>
      <c r="I4672" s="1227">
        <f t="shared" ref="I4672:I4675" si="1012">IF(G4672="",D4672*F4672,(D4672*F4672/G4672))</f>
        <v>0</v>
      </c>
      <c r="J4672" s="1846"/>
      <c r="K4672" s="1846"/>
      <c r="L4672" s="1846"/>
    </row>
    <row r="4673" spans="1:12">
      <c r="A4673" s="1798"/>
      <c r="B4673" s="1406"/>
      <c r="C4673" s="1807" t="s">
        <v>1773</v>
      </c>
      <c r="D4673" s="1333">
        <v>2.4</v>
      </c>
      <c r="E4673" s="1297" t="s">
        <v>1738</v>
      </c>
      <c r="F4673" s="1223">
        <f>'Civil-SOR'!$G$307</f>
        <v>520</v>
      </c>
      <c r="G4673" s="1207">
        <v>1</v>
      </c>
      <c r="H4673" s="1313" t="s">
        <v>1738</v>
      </c>
      <c r="I4673" s="1227">
        <f t="shared" si="1012"/>
        <v>1248</v>
      </c>
      <c r="J4673" s="1846"/>
      <c r="K4673" s="1846"/>
      <c r="L4673" s="1846"/>
    </row>
    <row r="4674" spans="1:12">
      <c r="A4674" s="1798"/>
      <c r="B4674" s="1406"/>
      <c r="C4674" s="1807" t="s">
        <v>1774</v>
      </c>
      <c r="D4674" s="1333">
        <v>8</v>
      </c>
      <c r="E4674" s="1297" t="s">
        <v>1738</v>
      </c>
      <c r="F4674" s="1223">
        <f>'Civil-SOR'!$G$307</f>
        <v>520</v>
      </c>
      <c r="G4674" s="1207">
        <v>1</v>
      </c>
      <c r="H4674" s="1313" t="s">
        <v>1738</v>
      </c>
      <c r="I4674" s="1227">
        <f t="shared" si="1012"/>
        <v>4160</v>
      </c>
      <c r="J4674" s="1846"/>
      <c r="K4674" s="1846"/>
      <c r="L4674" s="1846"/>
    </row>
    <row r="4675" spans="1:12">
      <c r="A4675" s="1798"/>
      <c r="B4675" s="1406"/>
      <c r="C4675" s="1807" t="str">
        <f>Input!$C$47</f>
        <v>Add for MA @ 40%</v>
      </c>
      <c r="D4675" s="1404">
        <f>Input!$D$47</f>
        <v>0.4</v>
      </c>
      <c r="E4675" s="1319"/>
      <c r="F4675" s="1396">
        <f>SUM(I4673:I4674)</f>
        <v>5408</v>
      </c>
      <c r="G4675" s="1395"/>
      <c r="H4675" s="1409"/>
      <c r="I4675" s="1227">
        <f t="shared" si="1012"/>
        <v>2163.2000000000003</v>
      </c>
      <c r="J4675" s="1846"/>
      <c r="K4675" s="1846"/>
      <c r="L4675" s="1846"/>
    </row>
    <row r="4676" spans="1:12">
      <c r="A4676" s="1798"/>
      <c r="B4676" s="1406"/>
      <c r="C4676" s="1795" t="s">
        <v>1081</v>
      </c>
      <c r="D4676" s="1333"/>
      <c r="E4676" s="1297"/>
      <c r="F4676" s="1333"/>
      <c r="G4676" s="1334"/>
      <c r="H4676" s="1407"/>
      <c r="I4676" s="1408"/>
      <c r="J4676" s="1846"/>
      <c r="K4676" s="1846"/>
      <c r="L4676" s="1846"/>
    </row>
    <row r="4677" spans="1:12">
      <c r="A4677" s="1798"/>
      <c r="B4677" s="1406"/>
      <c r="C4677" s="1807" t="s">
        <v>617</v>
      </c>
      <c r="D4677" s="1333">
        <v>6</v>
      </c>
      <c r="E4677" s="1303" t="s">
        <v>1775</v>
      </c>
      <c r="F4677" s="1223">
        <f>'Civil-SOR'!$G$356</f>
        <v>3475.2</v>
      </c>
      <c r="G4677" s="1334">
        <v>1</v>
      </c>
      <c r="H4677" s="1303" t="s">
        <v>1775</v>
      </c>
      <c r="I4677" s="1227">
        <f t="shared" ref="I4677:I4680" si="1013">IF(G4677="",D4677*F4677,(D4677*F4677/G4677))</f>
        <v>20851.199999999997</v>
      </c>
      <c r="J4677" s="1846"/>
      <c r="K4677" s="1846"/>
      <c r="L4677" s="1846"/>
    </row>
    <row r="4678" spans="1:12">
      <c r="A4678" s="1798"/>
      <c r="B4678" s="1406"/>
      <c r="C4678" s="1807" t="s">
        <v>621</v>
      </c>
      <c r="D4678" s="1333">
        <v>5</v>
      </c>
      <c r="E4678" s="1303" t="s">
        <v>1775</v>
      </c>
      <c r="F4678" s="1223">
        <f>'Civil-SOR'!$G$357</f>
        <v>769</v>
      </c>
      <c r="G4678" s="1334">
        <v>1</v>
      </c>
      <c r="H4678" s="1303" t="s">
        <v>1775</v>
      </c>
      <c r="I4678" s="1227">
        <f t="shared" si="1013"/>
        <v>3845</v>
      </c>
      <c r="J4678" s="1846"/>
      <c r="K4678" s="1846"/>
      <c r="L4678" s="1846"/>
    </row>
    <row r="4679" spans="1:12">
      <c r="A4679" s="1798"/>
      <c r="B4679" s="1406"/>
      <c r="C4679" s="1807" t="s">
        <v>623</v>
      </c>
      <c r="D4679" s="1364">
        <v>12</v>
      </c>
      <c r="E4679" s="1320" t="s">
        <v>1775</v>
      </c>
      <c r="F4679" s="1283">
        <f>'Civil-SOR'!$G$358</f>
        <v>520</v>
      </c>
      <c r="G4679" s="1363">
        <v>1</v>
      </c>
      <c r="H4679" s="1320" t="s">
        <v>1775</v>
      </c>
      <c r="I4679" s="1364">
        <f t="shared" si="1013"/>
        <v>6240</v>
      </c>
      <c r="J4679" s="1846"/>
      <c r="K4679" s="1846"/>
      <c r="L4679" s="1846"/>
    </row>
    <row r="4680" spans="1:12">
      <c r="A4680" s="1798"/>
      <c r="B4680" s="1406"/>
      <c r="C4680" s="1807" t="s">
        <v>624</v>
      </c>
      <c r="D4680" s="1333">
        <v>12</v>
      </c>
      <c r="E4680" s="1303" t="s">
        <v>1775</v>
      </c>
      <c r="F4680" s="1223">
        <f>'Civil-SOR'!$G$359</f>
        <v>520</v>
      </c>
      <c r="G4680" s="1334">
        <v>1</v>
      </c>
      <c r="H4680" s="1303" t="s">
        <v>1775</v>
      </c>
      <c r="I4680" s="1227">
        <f t="shared" si="1013"/>
        <v>6240</v>
      </c>
      <c r="J4680" s="1846"/>
      <c r="K4680" s="1846"/>
      <c r="L4680" s="1846"/>
    </row>
    <row r="4681" spans="1:12">
      <c r="A4681" s="1798"/>
      <c r="B4681" s="1406"/>
      <c r="C4681" s="1795" t="s">
        <v>1776</v>
      </c>
      <c r="D4681" s="1333"/>
      <c r="E4681" s="1303"/>
      <c r="F4681" s="1333"/>
      <c r="G4681" s="1334"/>
      <c r="H4681" s="1303"/>
      <c r="I4681" s="1227"/>
      <c r="J4681" s="1846"/>
      <c r="K4681" s="1846"/>
      <c r="L4681" s="1846"/>
    </row>
    <row r="4682" spans="1:12" ht="51">
      <c r="A4682" s="1798"/>
      <c r="B4682" s="1406"/>
      <c r="C4682" s="1807" t="s">
        <v>1777</v>
      </c>
      <c r="D4682" s="1328"/>
      <c r="E4682" s="1303"/>
      <c r="F4682" s="1328"/>
      <c r="G4682" s="1329"/>
      <c r="H4682" s="1303"/>
      <c r="I4682" s="1227"/>
      <c r="J4682" s="1846"/>
      <c r="K4682" s="1846"/>
      <c r="L4682" s="1846"/>
    </row>
    <row r="4683" spans="1:12" ht="25.5">
      <c r="A4683" s="1798"/>
      <c r="B4683" s="1406"/>
      <c r="C4683" s="1807" t="s">
        <v>1778</v>
      </c>
      <c r="D4683" s="1328">
        <v>237.6</v>
      </c>
      <c r="E4683" s="1303" t="s">
        <v>75</v>
      </c>
      <c r="F4683" s="1410">
        <f>959.32*0.66</f>
        <v>633.15120000000002</v>
      </c>
      <c r="G4683" s="1329">
        <v>1</v>
      </c>
      <c r="H4683" s="1303" t="s">
        <v>75</v>
      </c>
      <c r="I4683" s="1227">
        <f t="shared" ref="I4683:I4684" si="1014">IF(G4683="",D4683*F4683,(D4683*F4683/G4683))</f>
        <v>150436.72511999999</v>
      </c>
      <c r="J4683" s="1846"/>
      <c r="K4683" s="1846"/>
      <c r="L4683" s="1846"/>
    </row>
    <row r="4684" spans="1:12" ht="38.25">
      <c r="A4684" s="1798"/>
      <c r="B4684" s="1406"/>
      <c r="C4684" s="1807" t="s">
        <v>1779</v>
      </c>
      <c r="D4684" s="1328">
        <v>122.4</v>
      </c>
      <c r="E4684" s="1303" t="s">
        <v>75</v>
      </c>
      <c r="F4684" s="1410">
        <f>LEAD!N37*0.34</f>
        <v>368.63140000000004</v>
      </c>
      <c r="G4684" s="1329">
        <v>1</v>
      </c>
      <c r="H4684" s="1303" t="s">
        <v>75</v>
      </c>
      <c r="I4684" s="1227">
        <f t="shared" si="1014"/>
        <v>45120.483360000006</v>
      </c>
      <c r="J4684" s="1846"/>
      <c r="K4684" s="1846"/>
      <c r="L4684" s="1846"/>
    </row>
    <row r="4685" spans="1:12">
      <c r="A4685" s="1798"/>
      <c r="B4685" s="1406"/>
      <c r="C4685" s="1807"/>
      <c r="D4685" s="1333"/>
      <c r="E4685" s="1297"/>
      <c r="F4685" s="1333"/>
      <c r="G4685" s="1334"/>
      <c r="H4685" s="1297"/>
      <c r="I4685" s="1227">
        <f>SUM(I4672:I4684)</f>
        <v>240304.60848</v>
      </c>
      <c r="J4685" s="1846"/>
      <c r="K4685" s="1846"/>
      <c r="L4685" s="1846"/>
    </row>
    <row r="4686" spans="1:12">
      <c r="A4686" s="1798"/>
      <c r="B4686" s="1208"/>
      <c r="C4686" s="1208" t="s">
        <v>1780</v>
      </c>
      <c r="D4686" s="1208"/>
      <c r="E4686" s="1208"/>
      <c r="F4686" s="1208"/>
      <c r="G4686" s="1208"/>
      <c r="H4686" s="1313"/>
      <c r="I4686" s="1411">
        <f>I4685/300</f>
        <v>801.01536160000001</v>
      </c>
      <c r="J4686" s="1846"/>
      <c r="K4686" s="1846"/>
      <c r="L4686" s="1846"/>
    </row>
    <row r="4687" spans="1:12" ht="25.5">
      <c r="A4687" s="1798"/>
      <c r="B4687" s="1357" t="s">
        <v>433</v>
      </c>
      <c r="C4687" s="1807" t="str">
        <f>Input!$C$48</f>
        <v>Overheads &amp; Contractors Profit @ 13.615%</v>
      </c>
      <c r="D4687" s="1400">
        <f>Input!$D$48</f>
        <v>0.13614999999999999</v>
      </c>
      <c r="E4687" s="1398"/>
      <c r="F4687" s="1378">
        <f>I4686</f>
        <v>801.01536160000001</v>
      </c>
      <c r="G4687" s="1412"/>
      <c r="H4687" s="1354"/>
      <c r="I4687" s="1227">
        <f>IF(G4687="",D4687*F4687,(D4687*F4687/G4687))</f>
        <v>109.05824148184</v>
      </c>
      <c r="J4687" s="1846"/>
      <c r="K4687" s="1846"/>
      <c r="L4687" s="1846"/>
    </row>
    <row r="4688" spans="1:12">
      <c r="A4688" s="1798"/>
      <c r="B4688" s="1812"/>
      <c r="C4688" s="1813"/>
      <c r="D4688" s="1207"/>
      <c r="E4688" s="1208"/>
      <c r="F4688" s="1207"/>
      <c r="G4688" s="1207"/>
      <c r="H4688" s="1313" t="s">
        <v>946</v>
      </c>
      <c r="I4688" s="1411">
        <f>SUM(I4686:I4687)</f>
        <v>910.07360308184002</v>
      </c>
      <c r="J4688" s="1846"/>
      <c r="K4688" s="1846"/>
      <c r="L4688" s="1846"/>
    </row>
    <row r="4689" spans="1:12">
      <c r="A4689" s="1798"/>
      <c r="B4689" s="1812"/>
      <c r="C4689" s="1811" t="s">
        <v>1781</v>
      </c>
      <c r="D4689" s="1795"/>
      <c r="E4689" s="1795"/>
      <c r="F4689" s="1795"/>
      <c r="G4689" s="1795"/>
      <c r="H4689" s="1795" t="s">
        <v>1065</v>
      </c>
      <c r="I4689" s="1224">
        <f>ROUND(I4688,0)</f>
        <v>910</v>
      </c>
      <c r="J4689" s="1846"/>
      <c r="K4689" s="1846"/>
      <c r="L4689" s="1846"/>
    </row>
    <row r="4690" spans="1:12" ht="70.150000000000006" customHeight="1">
      <c r="A4690" s="1292"/>
      <c r="B4690" s="1406"/>
      <c r="C4690" s="2006" t="s">
        <v>3488</v>
      </c>
      <c r="D4690" s="2006"/>
      <c r="E4690" s="2006"/>
      <c r="F4690" s="2006"/>
      <c r="G4690" s="2006"/>
      <c r="H4690" s="2006"/>
      <c r="I4690" s="2006"/>
      <c r="J4690" s="1846"/>
      <c r="K4690" s="1846"/>
      <c r="L4690" s="1846"/>
    </row>
    <row r="4691" spans="1:12">
      <c r="A4691" s="1197"/>
      <c r="B4691" s="1406"/>
      <c r="C4691" s="1795" t="s">
        <v>1782</v>
      </c>
      <c r="D4691" s="1332"/>
      <c r="E4691" s="1332"/>
      <c r="F4691" s="1228"/>
      <c r="G4691" s="1272"/>
      <c r="H4691" s="1345"/>
      <c r="I4691" s="1228"/>
      <c r="J4691" s="1846"/>
      <c r="K4691" s="1846"/>
      <c r="L4691" s="1846"/>
    </row>
    <row r="4692" spans="1:12">
      <c r="A4692" s="1197"/>
      <c r="B4692" s="1406"/>
      <c r="C4692" s="1813" t="s">
        <v>1783</v>
      </c>
      <c r="D4692" s="1333"/>
      <c r="E4692" s="1297"/>
      <c r="F4692" s="1333"/>
      <c r="G4692" s="1334"/>
      <c r="H4692" s="1345" t="str">
        <f>IF(E4692="","",IF(E4692="No.","Each",IF(E4692="Nos.","Each",E4692)))</f>
        <v/>
      </c>
      <c r="I4692" s="1228"/>
      <c r="J4692" s="1846"/>
      <c r="K4692" s="1846"/>
      <c r="L4692" s="1846"/>
    </row>
    <row r="4693" spans="1:12">
      <c r="A4693" s="1197"/>
      <c r="B4693" s="1406"/>
      <c r="C4693" s="1795" t="s">
        <v>1784</v>
      </c>
      <c r="D4693" s="1413"/>
      <c r="E4693" s="1414"/>
      <c r="F4693" s="1228"/>
      <c r="G4693" s="1278"/>
      <c r="H4693" s="1279"/>
      <c r="I4693" s="1228"/>
      <c r="J4693" s="1846"/>
      <c r="K4693" s="1846"/>
      <c r="L4693" s="1846"/>
    </row>
    <row r="4694" spans="1:12">
      <c r="A4694" s="1197"/>
      <c r="B4694" s="1406"/>
      <c r="C4694" s="1807" t="s">
        <v>1785</v>
      </c>
      <c r="D4694" s="1333"/>
      <c r="E4694" s="1297"/>
      <c r="F4694" s="1333"/>
      <c r="G4694" s="1334"/>
      <c r="H4694" s="1407"/>
      <c r="I4694" s="1415"/>
      <c r="J4694" s="1846"/>
      <c r="K4694" s="1846"/>
      <c r="L4694" s="1846"/>
    </row>
    <row r="4695" spans="1:12">
      <c r="A4695" s="1197"/>
      <c r="B4695" s="1406"/>
      <c r="C4695" s="1813" t="s">
        <v>1737</v>
      </c>
      <c r="D4695" s="1416">
        <v>0.48</v>
      </c>
      <c r="E4695" s="1297" t="s">
        <v>36</v>
      </c>
      <c r="F4695" s="1333">
        <f>'Civil-SOR'!$G$302</f>
        <v>550</v>
      </c>
      <c r="G4695" s="1334">
        <v>1</v>
      </c>
      <c r="H4695" s="1297" t="s">
        <v>39</v>
      </c>
      <c r="I4695" s="1228">
        <f t="shared" ref="I4695:I4698" si="1015">IF(G4695="",D4695*F4695,(D4695*F4695/G4695))</f>
        <v>264</v>
      </c>
      <c r="J4695" s="1846"/>
      <c r="K4695" s="1846"/>
      <c r="L4695" s="1846"/>
    </row>
    <row r="4696" spans="1:12">
      <c r="A4696" s="1197"/>
      <c r="B4696" s="1406"/>
      <c r="C4696" s="1813" t="s">
        <v>1773</v>
      </c>
      <c r="D4696" s="1416">
        <v>2</v>
      </c>
      <c r="E4696" s="1297" t="s">
        <v>36</v>
      </c>
      <c r="F4696" s="1333">
        <f>'Civil-SOR'!$G$307</f>
        <v>520</v>
      </c>
      <c r="G4696" s="1334">
        <v>1</v>
      </c>
      <c r="H4696" s="1297" t="s">
        <v>39</v>
      </c>
      <c r="I4696" s="1228">
        <f t="shared" si="1015"/>
        <v>1040</v>
      </c>
      <c r="J4696" s="1846"/>
      <c r="K4696" s="1846"/>
      <c r="L4696" s="1846"/>
    </row>
    <row r="4697" spans="1:12">
      <c r="A4697" s="1197"/>
      <c r="B4697" s="1406"/>
      <c r="C4697" s="1813" t="s">
        <v>1786</v>
      </c>
      <c r="D4697" s="1416">
        <v>10</v>
      </c>
      <c r="E4697" s="1297" t="s">
        <v>36</v>
      </c>
      <c r="F4697" s="1333">
        <f>'Civil-SOR'!$G$307</f>
        <v>520</v>
      </c>
      <c r="G4697" s="1334">
        <v>1</v>
      </c>
      <c r="H4697" s="1297" t="s">
        <v>39</v>
      </c>
      <c r="I4697" s="1228">
        <f t="shared" si="1015"/>
        <v>5200</v>
      </c>
      <c r="J4697" s="1846"/>
      <c r="K4697" s="1846"/>
      <c r="L4697" s="1846"/>
    </row>
    <row r="4698" spans="1:12">
      <c r="A4698" s="1197"/>
      <c r="B4698" s="1406"/>
      <c r="C4698" s="1807" t="str">
        <f>Input!$C$47</f>
        <v>Add for MA @ 40%</v>
      </c>
      <c r="D4698" s="1404">
        <f>Input!$D$47</f>
        <v>0.4</v>
      </c>
      <c r="E4698" s="1297"/>
      <c r="F4698" s="1333">
        <f>SUM(I4695:I4697)</f>
        <v>6504</v>
      </c>
      <c r="G4698" s="1334"/>
      <c r="H4698" s="1297"/>
      <c r="I4698" s="1228">
        <f t="shared" si="1015"/>
        <v>2601.6000000000004</v>
      </c>
      <c r="J4698" s="1846"/>
      <c r="K4698" s="1846"/>
      <c r="L4698" s="1846"/>
    </row>
    <row r="4699" spans="1:12">
      <c r="A4699" s="1197"/>
      <c r="B4699" s="1406"/>
      <c r="C4699" s="1807"/>
      <c r="D4699" s="1333"/>
      <c r="E4699" s="1297"/>
      <c r="F4699" s="1333"/>
      <c r="G4699" s="1417" t="s">
        <v>946</v>
      </c>
      <c r="H4699" s="1407"/>
      <c r="I4699" s="1302">
        <f>SUM(I4695:I4698)</f>
        <v>9105.6</v>
      </c>
      <c r="J4699" s="1846"/>
      <c r="K4699" s="1846"/>
      <c r="L4699" s="1846"/>
    </row>
    <row r="4700" spans="1:12">
      <c r="A4700" s="1197"/>
      <c r="B4700" s="1406"/>
      <c r="C4700" s="1795" t="s">
        <v>1787</v>
      </c>
      <c r="D4700" s="1333"/>
      <c r="E4700" s="1297"/>
      <c r="F4700" s="1333"/>
      <c r="G4700" s="1334"/>
      <c r="H4700" s="1297"/>
      <c r="I4700" s="1228"/>
      <c r="J4700" s="1846"/>
      <c r="K4700" s="1846"/>
      <c r="L4700" s="1846"/>
    </row>
    <row r="4701" spans="1:12">
      <c r="A4701" s="1197"/>
      <c r="B4701" s="1406"/>
      <c r="C4701" s="1813" t="s">
        <v>1788</v>
      </c>
      <c r="D4701" s="1352">
        <v>6</v>
      </c>
      <c r="E4701" s="1333" t="s">
        <v>1083</v>
      </c>
      <c r="F4701" s="1333">
        <f>'Civil-SOR'!$G$360</f>
        <v>3962</v>
      </c>
      <c r="G4701" s="1334">
        <v>1</v>
      </c>
      <c r="H4701" s="1297" t="s">
        <v>616</v>
      </c>
      <c r="I4701" s="1228">
        <f t="shared" ref="I4701:I4704" si="1016">IF(G4701="",D4701*F4701,(D4701*F4701/G4701))</f>
        <v>23772</v>
      </c>
      <c r="J4701" s="1846"/>
      <c r="K4701" s="1846"/>
      <c r="L4701" s="1846"/>
    </row>
    <row r="4702" spans="1:12">
      <c r="A4702" s="1197"/>
      <c r="B4702" s="1406"/>
      <c r="C4702" s="1813" t="s">
        <v>624</v>
      </c>
      <c r="D4702" s="1352">
        <v>12</v>
      </c>
      <c r="E4702" s="1297" t="s">
        <v>1083</v>
      </c>
      <c r="F4702" s="1333">
        <f>+'Civil-SOR'!$G$359</f>
        <v>520</v>
      </c>
      <c r="G4702" s="1334">
        <v>1</v>
      </c>
      <c r="H4702" s="1297" t="s">
        <v>616</v>
      </c>
      <c r="I4702" s="1228">
        <f t="shared" si="1016"/>
        <v>6240</v>
      </c>
      <c r="J4702" s="1846"/>
      <c r="K4702" s="1846"/>
      <c r="L4702" s="1846"/>
    </row>
    <row r="4703" spans="1:12">
      <c r="A4703" s="1197"/>
      <c r="B4703" s="1406"/>
      <c r="C4703" s="1813" t="s">
        <v>1789</v>
      </c>
      <c r="D4703" s="1352">
        <v>6</v>
      </c>
      <c r="E4703" s="1297" t="s">
        <v>1083</v>
      </c>
      <c r="F4703" s="1376">
        <f>+'Civil-SOR'!$G$356</f>
        <v>3475.2</v>
      </c>
      <c r="G4703" s="1334">
        <v>1</v>
      </c>
      <c r="H4703" s="1297" t="s">
        <v>616</v>
      </c>
      <c r="I4703" s="1228">
        <f t="shared" si="1016"/>
        <v>20851.199999999997</v>
      </c>
      <c r="J4703" s="1846"/>
      <c r="K4703" s="1846"/>
      <c r="L4703" s="1846"/>
    </row>
    <row r="4704" spans="1:12">
      <c r="A4704" s="1197"/>
      <c r="B4704" s="1406"/>
      <c r="C4704" s="1813" t="s">
        <v>1790</v>
      </c>
      <c r="D4704" s="1416">
        <v>3</v>
      </c>
      <c r="E4704" s="1297" t="s">
        <v>1083</v>
      </c>
      <c r="F4704" s="1333">
        <f>+'Civil-SOR'!$G$357</f>
        <v>769</v>
      </c>
      <c r="G4704" s="1334">
        <v>1</v>
      </c>
      <c r="H4704" s="1297" t="s">
        <v>616</v>
      </c>
      <c r="I4704" s="1228">
        <f t="shared" si="1016"/>
        <v>2307</v>
      </c>
      <c r="J4704" s="1846"/>
      <c r="K4704" s="1846"/>
      <c r="L4704" s="1846"/>
    </row>
    <row r="4705" spans="1:12">
      <c r="A4705" s="1197"/>
      <c r="B4705" s="1406"/>
      <c r="C4705" s="1813"/>
      <c r="D4705" s="1416"/>
      <c r="E4705" s="1297"/>
      <c r="F4705" s="1333"/>
      <c r="G4705" s="1417" t="s">
        <v>946</v>
      </c>
      <c r="H4705" s="1297"/>
      <c r="I4705" s="1228">
        <f>SUM(I4701:I4704)</f>
        <v>53170.2</v>
      </c>
      <c r="J4705" s="1846"/>
      <c r="K4705" s="1846"/>
      <c r="L4705" s="1846"/>
    </row>
    <row r="4706" spans="1:12">
      <c r="A4706" s="1197"/>
      <c r="B4706" s="1406"/>
      <c r="C4706" s="1795" t="s">
        <v>1791</v>
      </c>
      <c r="D4706" s="1333"/>
      <c r="E4706" s="1297"/>
      <c r="F4706" s="1333"/>
      <c r="G4706" s="1334"/>
      <c r="H4706" s="1297"/>
      <c r="I4706" s="1228"/>
      <c r="J4706" s="1846"/>
      <c r="K4706" s="1846"/>
      <c r="L4706" s="1846"/>
    </row>
    <row r="4707" spans="1:12" ht="25.5">
      <c r="A4707" s="1197"/>
      <c r="B4707" s="1406"/>
      <c r="C4707" s="1813" t="s">
        <v>1792</v>
      </c>
      <c r="D4707" s="1416"/>
      <c r="E4707" s="1297"/>
      <c r="F4707" s="1333"/>
      <c r="G4707" s="1417"/>
      <c r="H4707" s="1297"/>
      <c r="I4707" s="1228"/>
      <c r="J4707" s="1846"/>
      <c r="K4707" s="1846"/>
      <c r="L4707" s="1846"/>
    </row>
    <row r="4708" spans="1:12" ht="25.5">
      <c r="A4708" s="1197"/>
      <c r="B4708" s="1406"/>
      <c r="C4708" s="1813" t="s">
        <v>1793</v>
      </c>
      <c r="D4708" s="1352">
        <v>134.4</v>
      </c>
      <c r="E4708" s="1352" t="s">
        <v>75</v>
      </c>
      <c r="F4708" s="1418">
        <f>SUM(LEAD!N31:N35)/5</f>
        <v>1256.9180000000001</v>
      </c>
      <c r="G4708" s="1352">
        <v>1</v>
      </c>
      <c r="H4708" s="1352" t="s">
        <v>75</v>
      </c>
      <c r="I4708" s="1352">
        <f>IF(G4708="",D4708*F4708,(D4708*F4708/G4708))</f>
        <v>168929.77920000002</v>
      </c>
      <c r="J4708" s="1846"/>
      <c r="K4708" s="1846"/>
      <c r="L4708" s="1846"/>
    </row>
    <row r="4709" spans="1:12" ht="25.5">
      <c r="A4709" s="1197"/>
      <c r="B4709" s="1406"/>
      <c r="C4709" s="1813" t="s">
        <v>1794</v>
      </c>
      <c r="D4709" s="1352"/>
      <c r="E4709" s="1352"/>
      <c r="F4709" s="1352"/>
      <c r="G4709" s="1352"/>
      <c r="H4709" s="1352"/>
      <c r="I4709" s="1352"/>
      <c r="J4709" s="1846"/>
      <c r="K4709" s="1846"/>
      <c r="L4709" s="1846"/>
    </row>
    <row r="4710" spans="1:12" ht="38.25">
      <c r="A4710" s="1197"/>
      <c r="B4710" s="1406"/>
      <c r="C4710" s="1813" t="s">
        <v>1795</v>
      </c>
      <c r="D4710" s="1352">
        <v>182.4</v>
      </c>
      <c r="E4710" s="1352" t="s">
        <v>75</v>
      </c>
      <c r="F4710" s="1419">
        <f>SUM(LEAD!N35:N37)/3</f>
        <v>1140.46</v>
      </c>
      <c r="G4710" s="1352">
        <v>1</v>
      </c>
      <c r="H4710" s="1352" t="s">
        <v>75</v>
      </c>
      <c r="I4710" s="1352">
        <f t="shared" ref="I4710:I4711" si="1017">IF(G4710="",D4710*F4710,(D4710*F4710/G4710))</f>
        <v>208019.90400000001</v>
      </c>
      <c r="J4710" s="1846"/>
      <c r="K4710" s="1846"/>
      <c r="L4710" s="1846"/>
    </row>
    <row r="4711" spans="1:12" ht="25.5">
      <c r="A4711" s="1197"/>
      <c r="B4711" s="1406"/>
      <c r="C4711" s="1813" t="s">
        <v>1796</v>
      </c>
      <c r="D4711" s="1352">
        <v>67.2</v>
      </c>
      <c r="E4711" s="1352" t="s">
        <v>75</v>
      </c>
      <c r="F4711" s="1418">
        <f>LEAD!N38</f>
        <v>931.96</v>
      </c>
      <c r="G4711" s="1352">
        <v>1</v>
      </c>
      <c r="H4711" s="1352" t="s">
        <v>75</v>
      </c>
      <c r="I4711" s="1352">
        <f t="shared" si="1017"/>
        <v>62627.712000000007</v>
      </c>
      <c r="J4711" s="1846"/>
      <c r="K4711" s="1846"/>
      <c r="L4711" s="1846"/>
    </row>
    <row r="4712" spans="1:12">
      <c r="A4712" s="1197"/>
      <c r="B4712" s="1406"/>
      <c r="C4712" s="1813"/>
      <c r="D4712" s="1352"/>
      <c r="E4712" s="1807"/>
      <c r="F4712" s="1313"/>
      <c r="G4712" s="1417" t="s">
        <v>946</v>
      </c>
      <c r="H4712" s="1807"/>
      <c r="I4712" s="1231">
        <f>SUM(I4708:I4711)</f>
        <v>439577.39520000003</v>
      </c>
      <c r="J4712" s="1846"/>
      <c r="K4712" s="1846"/>
      <c r="L4712" s="1846"/>
    </row>
    <row r="4713" spans="1:12">
      <c r="A4713" s="1197"/>
      <c r="B4713" s="1406"/>
      <c r="C4713" s="1795"/>
      <c r="D4713" s="1352"/>
      <c r="E4713" s="1807"/>
      <c r="F4713" s="1313"/>
      <c r="G4713" s="1417"/>
      <c r="H4713" s="1807"/>
      <c r="I4713" s="1231"/>
      <c r="J4713" s="1846"/>
      <c r="K4713" s="1846"/>
      <c r="L4713" s="1846"/>
    </row>
    <row r="4714" spans="1:12">
      <c r="A4714" s="1197"/>
      <c r="B4714" s="1406"/>
      <c r="C4714" s="1813" t="s">
        <v>1797</v>
      </c>
      <c r="D4714" s="1352"/>
      <c r="E4714" s="1807"/>
      <c r="F4714" s="1313"/>
      <c r="G4714" s="1417"/>
      <c r="H4714" s="1807"/>
      <c r="I4714" s="1231">
        <f>+I4712</f>
        <v>439577.39520000003</v>
      </c>
      <c r="J4714" s="1846"/>
      <c r="K4714" s="1846"/>
      <c r="L4714" s="1846"/>
    </row>
    <row r="4715" spans="1:12">
      <c r="A4715" s="1197"/>
      <c r="B4715" s="1406"/>
      <c r="C4715" s="1807" t="str">
        <f>+Input!$C$48</f>
        <v>Overheads &amp; Contractors Profit @ 13.615%</v>
      </c>
      <c r="D4715" s="1420">
        <f>+Input!D48</f>
        <v>0.13614999999999999</v>
      </c>
      <c r="E4715" s="1807"/>
      <c r="F4715" s="1313">
        <f>I4714</f>
        <v>439577.39520000003</v>
      </c>
      <c r="G4715" s="1417"/>
      <c r="H4715" s="1807"/>
      <c r="I4715" s="1352">
        <f>IF(G4715="",D4715*F4715,(D4715*F4715/G4715))</f>
        <v>59848.462356479999</v>
      </c>
      <c r="J4715" s="1846"/>
      <c r="K4715" s="1846"/>
      <c r="L4715" s="1846"/>
    </row>
    <row r="4716" spans="1:12">
      <c r="A4716" s="1197"/>
      <c r="B4716" s="1406"/>
      <c r="C4716" s="1208" t="s">
        <v>1798</v>
      </c>
      <c r="D4716" s="1333"/>
      <c r="E4716" s="1297"/>
      <c r="F4716" s="1333"/>
      <c r="G4716" s="1333"/>
      <c r="H4716" s="1297"/>
      <c r="I4716" s="1415">
        <f>SUM(I4714:I4715)</f>
        <v>499425.85755648004</v>
      </c>
      <c r="J4716" s="1846"/>
      <c r="K4716" s="1846"/>
      <c r="L4716" s="1846"/>
    </row>
    <row r="4717" spans="1:12">
      <c r="A4717" s="1197"/>
      <c r="B4717" s="1406"/>
      <c r="C4717" s="1795" t="s">
        <v>1032</v>
      </c>
      <c r="D4717" s="1332"/>
      <c r="E4717" s="1297"/>
      <c r="F4717" s="1333"/>
      <c r="G4717" s="1334"/>
      <c r="H4717" s="1407"/>
      <c r="I4717" s="1415">
        <f>I4716/300</f>
        <v>1664.7528585216</v>
      </c>
      <c r="J4717" s="1846"/>
      <c r="K4717" s="1846"/>
      <c r="L4717" s="1846"/>
    </row>
    <row r="4718" spans="1:12">
      <c r="A4718" s="1197"/>
      <c r="B4718" s="1406"/>
      <c r="C4718" s="1795"/>
      <c r="D4718" s="1333"/>
      <c r="E4718" s="1297"/>
      <c r="F4718" s="1333"/>
      <c r="G4718" s="1334"/>
      <c r="H4718" s="1298" t="s">
        <v>1065</v>
      </c>
      <c r="I4718" s="1417">
        <f>ROUND(I4717,0)</f>
        <v>1665</v>
      </c>
      <c r="J4718" s="1846"/>
      <c r="K4718" s="1846"/>
      <c r="L4718" s="1846"/>
    </row>
    <row r="4719" spans="1:12">
      <c r="A4719" s="1197"/>
      <c r="B4719" s="1406"/>
      <c r="C4719" s="1795"/>
      <c r="D4719" s="1333"/>
      <c r="E4719" s="1297"/>
      <c r="F4719" s="1333"/>
      <c r="G4719" s="1334"/>
      <c r="H4719" s="1298"/>
      <c r="I4719" s="1417"/>
      <c r="J4719" s="1846"/>
      <c r="K4719" s="1846"/>
      <c r="L4719" s="1846"/>
    </row>
    <row r="4720" spans="1:12" ht="70.150000000000006" customHeight="1">
      <c r="A4720" s="1292">
        <f>A4668+1</f>
        <v>71</v>
      </c>
      <c r="B4720" s="1197"/>
      <c r="C4720" s="2022" t="s">
        <v>1799</v>
      </c>
      <c r="D4720" s="2022"/>
      <c r="E4720" s="2022"/>
      <c r="F4720" s="2022"/>
      <c r="G4720" s="2022"/>
      <c r="H4720" s="2022"/>
      <c r="I4720" s="2022"/>
      <c r="J4720" s="1846"/>
      <c r="K4720" s="1846"/>
      <c r="L4720" s="1846"/>
    </row>
    <row r="4721" spans="1:12">
      <c r="A4721" s="1197"/>
      <c r="B4721" s="1197"/>
      <c r="C4721" s="1294" t="s">
        <v>1800</v>
      </c>
      <c r="D4721" s="1406"/>
      <c r="E4721" s="1406"/>
      <c r="F4721" s="1406"/>
      <c r="G4721" s="1406"/>
      <c r="H4721" s="1406"/>
      <c r="I4721" s="1406"/>
      <c r="J4721" s="1846"/>
      <c r="K4721" s="1846"/>
      <c r="L4721" s="1846"/>
    </row>
    <row r="4722" spans="1:12">
      <c r="A4722" s="1197"/>
      <c r="B4722" s="1197"/>
      <c r="C4722" s="1288" t="s">
        <v>1161</v>
      </c>
      <c r="D4722" s="1406"/>
      <c r="E4722" s="1406"/>
      <c r="F4722" s="1406"/>
      <c r="G4722" s="1406"/>
      <c r="H4722" s="1406"/>
      <c r="I4722" s="1406"/>
      <c r="J4722" s="1846"/>
      <c r="K4722" s="1846"/>
      <c r="L4722" s="1846"/>
    </row>
    <row r="4723" spans="1:12">
      <c r="A4723" s="1197"/>
      <c r="B4723" s="1197"/>
      <c r="C4723" s="1306" t="s">
        <v>1139</v>
      </c>
      <c r="D4723" s="1406"/>
      <c r="E4723" s="1406"/>
      <c r="F4723" s="1406"/>
      <c r="G4723" s="1406"/>
      <c r="H4723" s="1406"/>
      <c r="I4723" s="1406"/>
      <c r="J4723" s="1846"/>
      <c r="K4723" s="1846"/>
      <c r="L4723" s="1846"/>
    </row>
    <row r="4724" spans="1:12">
      <c r="A4724" s="1197"/>
      <c r="B4724" s="1197"/>
      <c r="C4724" s="1807" t="s">
        <v>1168</v>
      </c>
      <c r="D4724" s="1333">
        <v>0.8</v>
      </c>
      <c r="E4724" s="1271" t="s">
        <v>484</v>
      </c>
      <c r="F4724" s="1223">
        <f>$F$16</f>
        <v>1447.96</v>
      </c>
      <c r="G4724" s="1334">
        <v>1</v>
      </c>
      <c r="H4724" s="1271" t="str">
        <f t="shared" ref="H4724:H4727" si="1018">IF(E4724="","",IF(E4724="No.","Each",IF(E4724="Nos.","Each",E4724)))</f>
        <v>Cum</v>
      </c>
      <c r="I4724" s="1333">
        <f t="shared" ref="I4724:I4727" si="1019">IF(G4724="",D4724*F4724,(D4724*F4724/G4724))</f>
        <v>1158.3680000000002</v>
      </c>
      <c r="J4724" s="1846"/>
      <c r="K4724" s="1846"/>
      <c r="L4724" s="1846"/>
    </row>
    <row r="4725" spans="1:12">
      <c r="A4725" s="1197"/>
      <c r="B4725" s="1197"/>
      <c r="C4725" s="1807" t="s">
        <v>1163</v>
      </c>
      <c r="D4725" s="1333">
        <f>0.4</f>
        <v>0.4</v>
      </c>
      <c r="E4725" s="1271" t="s">
        <v>484</v>
      </c>
      <c r="F4725" s="1223">
        <f>LEAD!$N$12</f>
        <v>2253.91</v>
      </c>
      <c r="G4725" s="1334">
        <v>1</v>
      </c>
      <c r="H4725" s="1271" t="str">
        <f t="shared" si="1018"/>
        <v>Cum</v>
      </c>
      <c r="I4725" s="1333">
        <f t="shared" si="1019"/>
        <v>901.56399999999996</v>
      </c>
      <c r="J4725" s="1846"/>
      <c r="K4725" s="1846"/>
      <c r="L4725" s="1846"/>
    </row>
    <row r="4726" spans="1:12">
      <c r="A4726" s="1197"/>
      <c r="B4726" s="1197"/>
      <c r="C4726" s="1807" t="s">
        <v>889</v>
      </c>
      <c r="D4726" s="1333">
        <v>350</v>
      </c>
      <c r="E4726" s="1271" t="s">
        <v>1110</v>
      </c>
      <c r="F4726" s="1223">
        <f>LEAD!$N$6</f>
        <v>5200</v>
      </c>
      <c r="G4726" s="1334">
        <v>1000</v>
      </c>
      <c r="H4726" s="1271" t="str">
        <f t="shared" si="1018"/>
        <v>Kgs</v>
      </c>
      <c r="I4726" s="1333">
        <f t="shared" si="1019"/>
        <v>1820</v>
      </c>
      <c r="J4726" s="1846"/>
      <c r="K4726" s="1846"/>
      <c r="L4726" s="1846"/>
    </row>
    <row r="4727" spans="1:12">
      <c r="A4727" s="1197"/>
      <c r="B4727" s="1197"/>
      <c r="C4727" s="1807" t="s">
        <v>1164</v>
      </c>
      <c r="D4727" s="1333">
        <v>1.2</v>
      </c>
      <c r="E4727" s="1271" t="s">
        <v>1124</v>
      </c>
      <c r="F4727" s="1223">
        <f>Input!$D$53</f>
        <v>108</v>
      </c>
      <c r="G4727" s="1334">
        <v>1</v>
      </c>
      <c r="H4727" s="1271" t="str">
        <f t="shared" si="1018"/>
        <v>Kl</v>
      </c>
      <c r="I4727" s="1333">
        <f t="shared" si="1019"/>
        <v>129.6</v>
      </c>
      <c r="J4727" s="1846"/>
      <c r="K4727" s="1846"/>
      <c r="L4727" s="1846"/>
    </row>
    <row r="4728" spans="1:12">
      <c r="A4728" s="1197"/>
      <c r="B4728" s="1197"/>
      <c r="C4728" s="1795" t="s">
        <v>1144</v>
      </c>
      <c r="D4728" s="1333"/>
      <c r="E4728" s="1271"/>
      <c r="F4728" s="1223"/>
      <c r="G4728" s="1334"/>
      <c r="H4728" s="1271"/>
      <c r="I4728" s="1333"/>
      <c r="J4728" s="1846"/>
      <c r="K4728" s="1846"/>
      <c r="L4728" s="1846"/>
    </row>
    <row r="4729" spans="1:12">
      <c r="A4729" s="1197"/>
      <c r="B4729" s="1197"/>
      <c r="C4729" s="1807" t="s">
        <v>1177</v>
      </c>
      <c r="D4729" s="1386">
        <v>0.308</v>
      </c>
      <c r="E4729" s="1297" t="s">
        <v>400</v>
      </c>
      <c r="F4729" s="1205">
        <f>'Civil-SOR'!$G$329</f>
        <v>265.79999999999995</v>
      </c>
      <c r="G4729" s="1272">
        <v>1</v>
      </c>
      <c r="H4729" s="1272" t="str">
        <f t="shared" ref="H4729:H4730" si="1020">IF(E4729="","",IF(E4729="No.","Each",IF(E4729="Nos.","Each",E4729)))</f>
        <v>hour</v>
      </c>
      <c r="I4729" s="1228">
        <f t="shared" ref="I4729:I4733" si="1021">IF(G4729="",D4729*F4729,(D4729*F4729/G4729))</f>
        <v>81.866399999999985</v>
      </c>
      <c r="J4729" s="1846"/>
      <c r="K4729" s="1846"/>
      <c r="L4729" s="1846"/>
    </row>
    <row r="4730" spans="1:12">
      <c r="A4730" s="1197"/>
      <c r="B4730" s="1197"/>
      <c r="C4730" s="1807" t="s">
        <v>579</v>
      </c>
      <c r="D4730" s="1386">
        <v>0.308</v>
      </c>
      <c r="E4730" s="1297" t="s">
        <v>400</v>
      </c>
      <c r="F4730" s="1205">
        <f>'Civil-SOR'!$J$329</f>
        <v>454.8</v>
      </c>
      <c r="G4730" s="1272">
        <v>1</v>
      </c>
      <c r="H4730" s="1272" t="str">
        <f t="shared" si="1020"/>
        <v>hour</v>
      </c>
      <c r="I4730" s="1228">
        <f t="shared" si="1021"/>
        <v>140.07839999999999</v>
      </c>
      <c r="J4730" s="1846"/>
      <c r="K4730" s="1846"/>
      <c r="L4730" s="1846"/>
    </row>
    <row r="4731" spans="1:12">
      <c r="A4731" s="1197"/>
      <c r="B4731" s="1197"/>
      <c r="C4731" s="1807" t="s">
        <v>1178</v>
      </c>
      <c r="D4731" s="1386">
        <v>1</v>
      </c>
      <c r="E4731" s="1332" t="s">
        <v>1083</v>
      </c>
      <c r="F4731" s="1201">
        <f>'Civil-SOR'!$G$332</f>
        <v>36.5</v>
      </c>
      <c r="G4731" s="1278">
        <v>1</v>
      </c>
      <c r="H4731" s="1332" t="s">
        <v>400</v>
      </c>
      <c r="I4731" s="1228">
        <f t="shared" si="1021"/>
        <v>36.5</v>
      </c>
      <c r="J4731" s="1846"/>
      <c r="K4731" s="1846"/>
      <c r="L4731" s="1846"/>
    </row>
    <row r="4732" spans="1:12">
      <c r="A4732" s="1197"/>
      <c r="B4732" s="1197"/>
      <c r="C4732" s="1807" t="s">
        <v>579</v>
      </c>
      <c r="D4732" s="1386">
        <v>1</v>
      </c>
      <c r="E4732" s="1332" t="s">
        <v>1083</v>
      </c>
      <c r="F4732" s="1201">
        <f>'Civil-SOR'!$J$332</f>
        <v>218</v>
      </c>
      <c r="G4732" s="1278">
        <v>1</v>
      </c>
      <c r="H4732" s="1332" t="s">
        <v>400</v>
      </c>
      <c r="I4732" s="1228">
        <f t="shared" si="1021"/>
        <v>218</v>
      </c>
      <c r="J4732" s="1846"/>
      <c r="K4732" s="1846"/>
      <c r="L4732" s="1846"/>
    </row>
    <row r="4733" spans="1:12">
      <c r="A4733" s="1197"/>
      <c r="B4733" s="1197"/>
      <c r="C4733" s="1807" t="str">
        <f>Input!$C$47</f>
        <v>Add for MA @ 40%</v>
      </c>
      <c r="D4733" s="1404">
        <f>Input!$D$47</f>
        <v>0.4</v>
      </c>
      <c r="E4733" s="1297"/>
      <c r="F4733" s="1223">
        <f>I4730+I4732</f>
        <v>358.07839999999999</v>
      </c>
      <c r="G4733" s="1272"/>
      <c r="H4733" s="1272"/>
      <c r="I4733" s="1228">
        <f t="shared" si="1021"/>
        <v>143.23136</v>
      </c>
      <c r="J4733" s="1846"/>
      <c r="K4733" s="1846"/>
      <c r="L4733" s="1846"/>
    </row>
    <row r="4734" spans="1:12">
      <c r="A4734" s="1197"/>
      <c r="B4734" s="1197"/>
      <c r="C4734" s="1795" t="s">
        <v>1146</v>
      </c>
      <c r="D4734" s="1333"/>
      <c r="E4734" s="1271"/>
      <c r="F4734" s="1223"/>
      <c r="G4734" s="1334"/>
      <c r="H4734" s="1271"/>
      <c r="I4734" s="1333"/>
      <c r="J4734" s="1846"/>
      <c r="K4734" s="1846"/>
      <c r="L4734" s="1846"/>
    </row>
    <row r="4735" spans="1:12">
      <c r="A4735" s="1197"/>
      <c r="B4735" s="1197"/>
      <c r="C4735" s="1807" t="s">
        <v>1147</v>
      </c>
      <c r="D4735" s="1421">
        <v>0.1</v>
      </c>
      <c r="E4735" s="1271" t="s">
        <v>36</v>
      </c>
      <c r="F4735" s="1223">
        <f>'Civil-SOR'!$G$293</f>
        <v>580</v>
      </c>
      <c r="G4735" s="1334">
        <v>1</v>
      </c>
      <c r="H4735" s="1271" t="str">
        <f t="shared" ref="H4735:H4736" si="1022">IF(E4735="","",IF(E4735="No.","Each",IF(E4735="Nos.","Each",E4735)))</f>
        <v>Each</v>
      </c>
      <c r="I4735" s="1333">
        <f t="shared" ref="I4735:I4737" si="1023">IF(G4735="",D4735*F4735,(D4735*F4735/G4735))</f>
        <v>58</v>
      </c>
      <c r="J4735" s="1846"/>
      <c r="K4735" s="1846"/>
      <c r="L4735" s="1846"/>
    </row>
    <row r="4736" spans="1:12">
      <c r="A4736" s="1197"/>
      <c r="B4736" s="1197"/>
      <c r="C4736" s="1807" t="s">
        <v>1166</v>
      </c>
      <c r="D4736" s="1421">
        <v>1.39</v>
      </c>
      <c r="E4736" s="1271" t="s">
        <v>36</v>
      </c>
      <c r="F4736" s="1223">
        <f>'Civil-SOR'!$G$307</f>
        <v>520</v>
      </c>
      <c r="G4736" s="1334">
        <v>1</v>
      </c>
      <c r="H4736" s="1271" t="str">
        <f t="shared" si="1022"/>
        <v>Each</v>
      </c>
      <c r="I4736" s="1333">
        <f t="shared" si="1023"/>
        <v>722.8</v>
      </c>
      <c r="J4736" s="1846"/>
      <c r="K4736" s="1846"/>
      <c r="L4736" s="1846"/>
    </row>
    <row r="4737" spans="1:12">
      <c r="A4737" s="1197"/>
      <c r="B4737" s="1197"/>
      <c r="C4737" s="1807" t="str">
        <f>Input!$C$47</f>
        <v>Add for MA @ 40%</v>
      </c>
      <c r="D4737" s="1404">
        <f>Input!$D$47</f>
        <v>0.4</v>
      </c>
      <c r="E4737" s="1271"/>
      <c r="F4737" s="1223">
        <f>I4735+I4736</f>
        <v>780.8</v>
      </c>
      <c r="G4737" s="1272"/>
      <c r="H4737" s="1272"/>
      <c r="I4737" s="1228">
        <f t="shared" si="1023"/>
        <v>312.32</v>
      </c>
      <c r="J4737" s="1846"/>
      <c r="K4737" s="1846"/>
      <c r="L4737" s="1846"/>
    </row>
    <row r="4738" spans="1:12">
      <c r="A4738" s="1197"/>
      <c r="B4738" s="1197"/>
      <c r="C4738" s="1795" t="s">
        <v>1032</v>
      </c>
      <c r="D4738" s="1333"/>
      <c r="E4738" s="1406"/>
      <c r="F4738" s="1333"/>
      <c r="G4738" s="1334"/>
      <c r="H4738" s="1311"/>
      <c r="I4738" s="1415">
        <f>SUM(I4724:I4737)</f>
        <v>5722.32816</v>
      </c>
      <c r="J4738" s="1846"/>
      <c r="K4738" s="1846"/>
      <c r="L4738" s="1846"/>
    </row>
    <row r="4739" spans="1:12">
      <c r="A4739" s="1197"/>
      <c r="B4739" s="1197"/>
      <c r="C4739" s="1795" t="s">
        <v>1217</v>
      </c>
      <c r="D4739" s="1220" t="s">
        <v>1341</v>
      </c>
      <c r="E4739" s="1220"/>
      <c r="F4739" s="1220"/>
      <c r="G4739" s="1220"/>
      <c r="H4739" s="1220"/>
      <c r="I4739" s="1220"/>
      <c r="J4739" s="1846"/>
      <c r="K4739" s="1846"/>
      <c r="L4739" s="1846"/>
    </row>
    <row r="4740" spans="1:12">
      <c r="A4740" s="1197"/>
      <c r="B4740" s="1197"/>
      <c r="C4740" s="1807" t="s">
        <v>1337</v>
      </c>
      <c r="D4740" s="1228">
        <f>I4738</f>
        <v>5722.32816</v>
      </c>
      <c r="E4740" s="1228"/>
      <c r="F4740" s="1228"/>
      <c r="G4740" s="1228"/>
      <c r="H4740" s="1228"/>
      <c r="I4740" s="1228"/>
      <c r="J4740" s="1846"/>
      <c r="K4740" s="1846"/>
      <c r="L4740" s="1846"/>
    </row>
    <row r="4741" spans="1:12">
      <c r="A4741" s="1197"/>
      <c r="B4741" s="1197"/>
      <c r="C4741" s="1807" t="s">
        <v>1182</v>
      </c>
      <c r="D4741" s="1223">
        <f>'Civil-SOR'!$F$258</f>
        <v>72</v>
      </c>
      <c r="E4741" s="1228"/>
      <c r="F4741" s="1228"/>
      <c r="G4741" s="1228"/>
      <c r="H4741" s="1228"/>
      <c r="I4741" s="1228"/>
      <c r="J4741" s="1846"/>
      <c r="K4741" s="1846"/>
      <c r="L4741" s="1846"/>
    </row>
    <row r="4742" spans="1:12">
      <c r="A4742" s="1197"/>
      <c r="B4742" s="1197"/>
      <c r="C4742" s="1807" t="s">
        <v>1269</v>
      </c>
      <c r="D4742" s="1223">
        <f>'Civil-SOR'!$G$258</f>
        <v>392</v>
      </c>
      <c r="E4742" s="1228"/>
      <c r="F4742" s="1333"/>
      <c r="G4742" s="1333"/>
      <c r="H4742" s="1333"/>
      <c r="I4742" s="1333"/>
      <c r="J4742" s="1846"/>
      <c r="K4742" s="1846"/>
      <c r="L4742" s="1846"/>
    </row>
    <row r="4743" spans="1:12">
      <c r="A4743" s="1197"/>
      <c r="B4743" s="1197"/>
      <c r="C4743" s="1807" t="str">
        <f>Input!$C$47</f>
        <v>Add for MA @ 40%</v>
      </c>
      <c r="D4743" s="1223">
        <f>D4742*Input!$D$47</f>
        <v>156.80000000000001</v>
      </c>
      <c r="E4743" s="1228"/>
      <c r="F4743" s="1228"/>
      <c r="G4743" s="1228"/>
      <c r="H4743" s="1228"/>
      <c r="I4743" s="1228"/>
      <c r="J4743" s="1846"/>
      <c r="K4743" s="1846"/>
      <c r="L4743" s="1846"/>
    </row>
    <row r="4744" spans="1:12">
      <c r="A4744" s="1197"/>
      <c r="B4744" s="1197"/>
      <c r="C4744" s="1807" t="s">
        <v>1253</v>
      </c>
      <c r="D4744" s="1223">
        <v>0</v>
      </c>
      <c r="E4744" s="1228"/>
      <c r="F4744" s="1228"/>
      <c r="G4744" s="1228"/>
      <c r="H4744" s="1228"/>
      <c r="I4744" s="1228"/>
      <c r="J4744" s="1846"/>
      <c r="K4744" s="1846"/>
      <c r="L4744" s="1846"/>
    </row>
    <row r="4745" spans="1:12">
      <c r="A4745" s="1197"/>
      <c r="B4745" s="1197"/>
      <c r="C4745" s="1807" t="str">
        <f>Input!$C$47</f>
        <v>Add for MA @ 40%</v>
      </c>
      <c r="D4745" s="1223">
        <f>D4744*Input!$D$47</f>
        <v>0</v>
      </c>
      <c r="E4745" s="1228"/>
      <c r="F4745" s="1228"/>
      <c r="G4745" s="1228"/>
      <c r="H4745" s="1228"/>
      <c r="I4745" s="1228"/>
      <c r="J4745" s="1846"/>
      <c r="K4745" s="1846"/>
      <c r="L4745" s="1846"/>
    </row>
    <row r="4746" spans="1:12">
      <c r="A4746" s="1197"/>
      <c r="B4746" s="1197"/>
      <c r="C4746" s="1795" t="s">
        <v>1032</v>
      </c>
      <c r="D4746" s="1283">
        <f>SUM(D4740:D4745)</f>
        <v>6343.1281600000002</v>
      </c>
      <c r="E4746" s="1302"/>
      <c r="F4746" s="1302"/>
      <c r="G4746" s="1302"/>
      <c r="H4746" s="1302"/>
      <c r="I4746" s="1302"/>
      <c r="J4746" s="1846"/>
      <c r="K4746" s="1846"/>
      <c r="L4746" s="1846"/>
    </row>
    <row r="4747" spans="1:12">
      <c r="A4747" s="1197"/>
      <c r="B4747" s="1197"/>
      <c r="C4747" s="1807" t="s">
        <v>1801</v>
      </c>
      <c r="D4747" s="1223">
        <f>D4746*Input!$D$48</f>
        <v>863.61689898399993</v>
      </c>
      <c r="E4747" s="1228"/>
      <c r="F4747" s="1228"/>
      <c r="G4747" s="1228"/>
      <c r="H4747" s="1228"/>
      <c r="I4747" s="1228"/>
      <c r="J4747" s="1846"/>
      <c r="K4747" s="1846"/>
      <c r="L4747" s="1846"/>
    </row>
    <row r="4748" spans="1:12">
      <c r="A4748" s="1197"/>
      <c r="B4748" s="1197"/>
      <c r="C4748" s="1795" t="s">
        <v>1032</v>
      </c>
      <c r="D4748" s="1228">
        <f>SUM(D4746:D4747)</f>
        <v>7206.745058984</v>
      </c>
      <c r="E4748" s="1228"/>
      <c r="F4748" s="1228"/>
      <c r="G4748" s="1228"/>
      <c r="H4748" s="1228"/>
      <c r="I4748" s="1228"/>
      <c r="J4748" s="1846"/>
      <c r="K4748" s="1846"/>
      <c r="L4748" s="1846"/>
    </row>
    <row r="4749" spans="1:12">
      <c r="A4749" s="1197"/>
      <c r="B4749" s="1197"/>
      <c r="C4749" s="1795" t="s">
        <v>1065</v>
      </c>
      <c r="D4749" s="1221">
        <f>ROUND(D4748,0)</f>
        <v>7207</v>
      </c>
      <c r="E4749" s="1221"/>
      <c r="F4749" s="1221"/>
      <c r="G4749" s="1221"/>
      <c r="H4749" s="1221"/>
      <c r="I4749" s="1221"/>
      <c r="J4749" s="1846"/>
      <c r="K4749" s="1846"/>
      <c r="L4749" s="1846"/>
    </row>
    <row r="4750" spans="1:12">
      <c r="A4750" s="1197"/>
      <c r="B4750" s="1197"/>
      <c r="C4750" s="1795"/>
      <c r="D4750" s="1221"/>
      <c r="E4750" s="1221"/>
      <c r="F4750" s="1221"/>
      <c r="G4750" s="1221"/>
      <c r="H4750" s="1221"/>
      <c r="I4750" s="1221"/>
      <c r="J4750" s="1846"/>
      <c r="K4750" s="1846"/>
      <c r="L4750" s="1846"/>
    </row>
    <row r="4751" spans="1:12" ht="74.650000000000006" customHeight="1">
      <c r="A4751" s="1292"/>
      <c r="B4751" s="1406"/>
      <c r="C4751" s="2022" t="s">
        <v>1802</v>
      </c>
      <c r="D4751" s="2022"/>
      <c r="E4751" s="2022"/>
      <c r="F4751" s="2022"/>
      <c r="G4751" s="2022"/>
      <c r="H4751" s="2022"/>
      <c r="I4751" s="2022"/>
      <c r="J4751" s="1846"/>
      <c r="K4751" s="1846"/>
      <c r="L4751" s="1846"/>
    </row>
    <row r="4752" spans="1:12">
      <c r="A4752" s="1197"/>
      <c r="B4752" s="1406"/>
      <c r="C4752" s="1795" t="s">
        <v>1803</v>
      </c>
      <c r="D4752" s="1332"/>
      <c r="E4752" s="1332"/>
      <c r="F4752" s="1228"/>
      <c r="G4752" s="1272"/>
      <c r="H4752" s="1345"/>
      <c r="I4752" s="1228"/>
      <c r="J4752" s="1846"/>
      <c r="K4752" s="1846"/>
      <c r="L4752" s="1846"/>
    </row>
    <row r="4753" spans="1:12">
      <c r="A4753" s="1197"/>
      <c r="B4753" s="1406"/>
      <c r="C4753" s="1813" t="s">
        <v>1783</v>
      </c>
      <c r="D4753" s="1333"/>
      <c r="E4753" s="1297"/>
      <c r="F4753" s="1333"/>
      <c r="G4753" s="1334"/>
      <c r="H4753" s="1345" t="str">
        <f>IF(E4753="","",IF(E4753="No.","Each",IF(E4753="Nos.","Each",E4753)))</f>
        <v/>
      </c>
      <c r="I4753" s="1228"/>
      <c r="J4753" s="1846"/>
      <c r="K4753" s="1846"/>
      <c r="L4753" s="1846"/>
    </row>
    <row r="4754" spans="1:12">
      <c r="A4754" s="1197"/>
      <c r="B4754" s="1406"/>
      <c r="C4754" s="1795" t="s">
        <v>1804</v>
      </c>
      <c r="D4754" s="1413"/>
      <c r="E4754" s="1414"/>
      <c r="F4754" s="1228"/>
      <c r="G4754" s="1278"/>
      <c r="H4754" s="1279"/>
      <c r="I4754" s="1228"/>
      <c r="J4754" s="1846"/>
      <c r="K4754" s="1846"/>
      <c r="L4754" s="1846"/>
    </row>
    <row r="4755" spans="1:12">
      <c r="A4755" s="1197"/>
      <c r="B4755" s="1406"/>
      <c r="C4755" s="1807" t="s">
        <v>1785</v>
      </c>
      <c r="D4755" s="1333"/>
      <c r="E4755" s="1297"/>
      <c r="F4755" s="1333"/>
      <c r="G4755" s="1334"/>
      <c r="H4755" s="1407"/>
      <c r="I4755" s="1415"/>
      <c r="J4755" s="1846"/>
      <c r="K4755" s="1846"/>
      <c r="L4755" s="1846"/>
    </row>
    <row r="4756" spans="1:12">
      <c r="A4756" s="1197"/>
      <c r="B4756" s="1406"/>
      <c r="C4756" s="1813" t="s">
        <v>1737</v>
      </c>
      <c r="D4756" s="1416">
        <v>0.48</v>
      </c>
      <c r="E4756" s="1297" t="s">
        <v>36</v>
      </c>
      <c r="F4756" s="1333">
        <f>'Civil-SOR'!$G$302</f>
        <v>550</v>
      </c>
      <c r="G4756" s="1334">
        <v>1</v>
      </c>
      <c r="H4756" s="1297" t="s">
        <v>39</v>
      </c>
      <c r="I4756" s="1228">
        <f t="shared" ref="I4756:I4759" si="1024">IF(G4756="",D4756*F4756,(D4756*F4756/G4756))</f>
        <v>264</v>
      </c>
      <c r="J4756" s="1846"/>
      <c r="K4756" s="1846"/>
      <c r="L4756" s="1846"/>
    </row>
    <row r="4757" spans="1:12">
      <c r="A4757" s="1197"/>
      <c r="B4757" s="1406"/>
      <c r="C4757" s="1813" t="s">
        <v>1773</v>
      </c>
      <c r="D4757" s="1416">
        <v>2</v>
      </c>
      <c r="E4757" s="1297" t="s">
        <v>36</v>
      </c>
      <c r="F4757" s="1333">
        <f>'Civil-SOR'!$G$307</f>
        <v>520</v>
      </c>
      <c r="G4757" s="1334">
        <v>1</v>
      </c>
      <c r="H4757" s="1297" t="s">
        <v>39</v>
      </c>
      <c r="I4757" s="1228">
        <f t="shared" si="1024"/>
        <v>1040</v>
      </c>
      <c r="J4757" s="1846"/>
      <c r="K4757" s="1846"/>
      <c r="L4757" s="1846"/>
    </row>
    <row r="4758" spans="1:12">
      <c r="A4758" s="1197"/>
      <c r="B4758" s="1406"/>
      <c r="C4758" s="1813" t="s">
        <v>1786</v>
      </c>
      <c r="D4758" s="1416">
        <v>10</v>
      </c>
      <c r="E4758" s="1297" t="s">
        <v>36</v>
      </c>
      <c r="F4758" s="1333">
        <f>'Civil-SOR'!$G$307</f>
        <v>520</v>
      </c>
      <c r="G4758" s="1334">
        <v>1</v>
      </c>
      <c r="H4758" s="1297" t="s">
        <v>39</v>
      </c>
      <c r="I4758" s="1228">
        <f t="shared" si="1024"/>
        <v>5200</v>
      </c>
      <c r="J4758" s="1846"/>
      <c r="K4758" s="1846"/>
      <c r="L4758" s="1846"/>
    </row>
    <row r="4759" spans="1:12">
      <c r="A4759" s="1197"/>
      <c r="B4759" s="1406"/>
      <c r="C4759" s="1807" t="str">
        <f>Input!$C$47</f>
        <v>Add for MA @ 40%</v>
      </c>
      <c r="D4759" s="1404">
        <f>Input!$D$47</f>
        <v>0.4</v>
      </c>
      <c r="E4759" s="1297"/>
      <c r="F4759" s="1333">
        <f>SUM(I4756:I4758)</f>
        <v>6504</v>
      </c>
      <c r="G4759" s="1334"/>
      <c r="H4759" s="1297"/>
      <c r="I4759" s="1228">
        <f t="shared" si="1024"/>
        <v>2601.6000000000004</v>
      </c>
      <c r="J4759" s="1846"/>
      <c r="K4759" s="1846"/>
      <c r="L4759" s="1846"/>
    </row>
    <row r="4760" spans="1:12">
      <c r="A4760" s="1197"/>
      <c r="B4760" s="1406"/>
      <c r="C4760" s="1807"/>
      <c r="D4760" s="1333"/>
      <c r="E4760" s="1297"/>
      <c r="F4760" s="1333"/>
      <c r="G4760" s="1417" t="s">
        <v>946</v>
      </c>
      <c r="H4760" s="1407"/>
      <c r="I4760" s="1302">
        <f>SUM(I4756:I4759)</f>
        <v>9105.6</v>
      </c>
      <c r="J4760" s="1846"/>
      <c r="K4760" s="1846"/>
      <c r="L4760" s="1846"/>
    </row>
    <row r="4761" spans="1:12">
      <c r="A4761" s="1197"/>
      <c r="B4761" s="1406"/>
      <c r="C4761" s="1795" t="s">
        <v>1787</v>
      </c>
      <c r="D4761" s="1333"/>
      <c r="E4761" s="1297"/>
      <c r="F4761" s="1333"/>
      <c r="G4761" s="1334"/>
      <c r="H4761" s="1297"/>
      <c r="I4761" s="1228"/>
      <c r="J4761" s="1846"/>
      <c r="K4761" s="1846"/>
      <c r="L4761" s="1846"/>
    </row>
    <row r="4762" spans="1:12">
      <c r="A4762" s="1197"/>
      <c r="B4762" s="1406"/>
      <c r="C4762" s="1807" t="s">
        <v>1805</v>
      </c>
      <c r="D4762" s="1352">
        <v>6.6</v>
      </c>
      <c r="E4762" s="1297" t="s">
        <v>1083</v>
      </c>
      <c r="F4762" s="1333">
        <f>'Civil-SOR'!$G$361</f>
        <v>2028</v>
      </c>
      <c r="G4762" s="1334">
        <v>1</v>
      </c>
      <c r="H4762" s="1297" t="s">
        <v>616</v>
      </c>
      <c r="I4762" s="1228">
        <f t="shared" ref="I4762:I4767" si="1025">IF(G4762="",D4762*F4762,(D4762*F4762/G4762))</f>
        <v>13384.8</v>
      </c>
      <c r="J4762" s="1846"/>
      <c r="K4762" s="1846"/>
      <c r="L4762" s="1846"/>
    </row>
    <row r="4763" spans="1:12">
      <c r="A4763" s="1197"/>
      <c r="B4763" s="1406"/>
      <c r="C4763" s="1813" t="s">
        <v>634</v>
      </c>
      <c r="D4763" s="1352">
        <v>6</v>
      </c>
      <c r="E4763" s="1297" t="s">
        <v>1083</v>
      </c>
      <c r="F4763" s="1333">
        <f>'Civil-SOR'!$G$364</f>
        <v>1626</v>
      </c>
      <c r="G4763" s="1334">
        <v>1</v>
      </c>
      <c r="H4763" s="1297" t="s">
        <v>616</v>
      </c>
      <c r="I4763" s="1228">
        <f t="shared" si="1025"/>
        <v>9756</v>
      </c>
      <c r="J4763" s="1846"/>
      <c r="K4763" s="1846"/>
      <c r="L4763" s="1846"/>
    </row>
    <row r="4764" spans="1:12">
      <c r="A4764" s="1197"/>
      <c r="B4764" s="1406"/>
      <c r="C4764" s="1813" t="s">
        <v>1806</v>
      </c>
      <c r="D4764" s="1352">
        <v>6</v>
      </c>
      <c r="E4764" s="1297" t="s">
        <v>1083</v>
      </c>
      <c r="F4764" s="1333">
        <f>'Civil-SOR'!$G$362</f>
        <v>2028</v>
      </c>
      <c r="G4764" s="1334">
        <v>1</v>
      </c>
      <c r="H4764" s="1297" t="s">
        <v>616</v>
      </c>
      <c r="I4764" s="1228">
        <f t="shared" si="1025"/>
        <v>12168</v>
      </c>
      <c r="J4764" s="1846"/>
      <c r="K4764" s="1846"/>
      <c r="L4764" s="1846"/>
    </row>
    <row r="4765" spans="1:12">
      <c r="A4765" s="1197"/>
      <c r="B4765" s="1406"/>
      <c r="C4765" s="1813" t="s">
        <v>1807</v>
      </c>
      <c r="D4765" s="1352">
        <v>6</v>
      </c>
      <c r="E4765" s="1297" t="s">
        <v>1083</v>
      </c>
      <c r="F4765" s="1333">
        <f>'Civil-SOR'!$G$365</f>
        <v>2771</v>
      </c>
      <c r="G4765" s="1334">
        <v>1</v>
      </c>
      <c r="H4765" s="1297" t="s">
        <v>616</v>
      </c>
      <c r="I4765" s="1228">
        <f t="shared" si="1025"/>
        <v>16626</v>
      </c>
      <c r="J4765" s="1846"/>
      <c r="K4765" s="1846"/>
      <c r="L4765" s="1846"/>
    </row>
    <row r="4766" spans="1:12">
      <c r="A4766" s="1197"/>
      <c r="B4766" s="1406"/>
      <c r="C4766" s="1813" t="s">
        <v>1789</v>
      </c>
      <c r="D4766" s="1352">
        <f>6*0.65</f>
        <v>3.9000000000000004</v>
      </c>
      <c r="E4766" s="1297" t="s">
        <v>1083</v>
      </c>
      <c r="F4766" s="1376">
        <f>'Civil-SOR'!$G$356</f>
        <v>3475.2</v>
      </c>
      <c r="G4766" s="1334">
        <v>1</v>
      </c>
      <c r="H4766" s="1297" t="s">
        <v>616</v>
      </c>
      <c r="I4766" s="1228">
        <f t="shared" si="1025"/>
        <v>13553.28</v>
      </c>
      <c r="J4766" s="1846"/>
      <c r="K4766" s="1846"/>
      <c r="L4766" s="1846"/>
    </row>
    <row r="4767" spans="1:12">
      <c r="A4767" s="1197"/>
      <c r="B4767" s="1406"/>
      <c r="C4767" s="1813" t="s">
        <v>1790</v>
      </c>
      <c r="D4767" s="1416">
        <v>3</v>
      </c>
      <c r="E4767" s="1297" t="s">
        <v>1083</v>
      </c>
      <c r="F4767" s="1333">
        <f>'Civil-SOR'!$G$357</f>
        <v>769</v>
      </c>
      <c r="G4767" s="1334">
        <v>1</v>
      </c>
      <c r="H4767" s="1297" t="s">
        <v>616</v>
      </c>
      <c r="I4767" s="1228">
        <f t="shared" si="1025"/>
        <v>2307</v>
      </c>
      <c r="J4767" s="1846"/>
      <c r="K4767" s="1846"/>
      <c r="L4767" s="1846"/>
    </row>
    <row r="4768" spans="1:12">
      <c r="A4768" s="1197"/>
      <c r="B4768" s="1406"/>
      <c r="C4768" s="1813"/>
      <c r="D4768" s="1416"/>
      <c r="E4768" s="1297"/>
      <c r="F4768" s="1333"/>
      <c r="G4768" s="1417" t="s">
        <v>946</v>
      </c>
      <c r="H4768" s="1297"/>
      <c r="I4768" s="1228">
        <f>SUM(I4762:I4767)</f>
        <v>67795.08</v>
      </c>
      <c r="J4768" s="1846"/>
      <c r="K4768" s="1846"/>
      <c r="L4768" s="1846"/>
    </row>
    <row r="4769" spans="1:12">
      <c r="A4769" s="1197"/>
      <c r="B4769" s="1406"/>
      <c r="C4769" s="1795" t="s">
        <v>1791</v>
      </c>
      <c r="D4769" s="1333"/>
      <c r="E4769" s="1297"/>
      <c r="F4769" s="1333"/>
      <c r="G4769" s="1334"/>
      <c r="H4769" s="1297"/>
      <c r="I4769" s="1228"/>
      <c r="J4769" s="1846"/>
      <c r="K4769" s="1846"/>
      <c r="L4769" s="1846"/>
    </row>
    <row r="4770" spans="1:12" ht="25.5">
      <c r="A4770" s="1197"/>
      <c r="B4770" s="1406"/>
      <c r="C4770" s="1813" t="s">
        <v>1808</v>
      </c>
      <c r="D4770" s="1352">
        <v>89.1</v>
      </c>
      <c r="E4770" s="1352" t="s">
        <v>75</v>
      </c>
      <c r="F4770" s="1422">
        <f>1184.74*0.3</f>
        <v>355.42199999999997</v>
      </c>
      <c r="G4770" s="1352">
        <v>1</v>
      </c>
      <c r="H4770" s="1352" t="s">
        <v>75</v>
      </c>
      <c r="I4770" s="1352">
        <f>IF(G4770="",D4770*F4770,(D4770*F4770/G4770))</f>
        <v>31668.100199999993</v>
      </c>
      <c r="J4770" s="1846"/>
      <c r="K4770" s="1846"/>
      <c r="L4770" s="1846"/>
    </row>
    <row r="4771" spans="1:12">
      <c r="A4771" s="1197"/>
      <c r="B4771" s="1406"/>
      <c r="C4771" s="1813" t="s">
        <v>1809</v>
      </c>
      <c r="D4771" s="1352"/>
      <c r="E4771" s="1352"/>
      <c r="F4771" s="1352"/>
      <c r="G4771" s="1352"/>
      <c r="H4771" s="1352"/>
      <c r="I4771" s="1352"/>
      <c r="J4771" s="1846"/>
      <c r="K4771" s="1846"/>
      <c r="L4771" s="1846"/>
    </row>
    <row r="4772" spans="1:12" ht="25.5">
      <c r="A4772" s="1197"/>
      <c r="B4772" s="1406"/>
      <c r="C4772" s="1813" t="s">
        <v>1810</v>
      </c>
      <c r="D4772" s="1352">
        <v>118.8</v>
      </c>
      <c r="E4772" s="1352" t="s">
        <v>75</v>
      </c>
      <c r="F4772" s="1422">
        <f>1074.57*0.4</f>
        <v>429.82799999999997</v>
      </c>
      <c r="G4772" s="1352">
        <v>1</v>
      </c>
      <c r="H4772" s="1352" t="s">
        <v>75</v>
      </c>
      <c r="I4772" s="1352">
        <f>IF(G4772="",D4772*F4772,(D4772*F4772/G4772))</f>
        <v>51063.566399999996</v>
      </c>
      <c r="J4772" s="1846"/>
      <c r="K4772" s="1846"/>
      <c r="L4772" s="1846"/>
    </row>
    <row r="4773" spans="1:12" ht="25.5">
      <c r="A4773" s="1197"/>
      <c r="B4773" s="1406"/>
      <c r="C4773" s="1813" t="s">
        <v>1811</v>
      </c>
      <c r="D4773" s="1352"/>
      <c r="E4773" s="1352"/>
      <c r="F4773" s="1352"/>
      <c r="G4773" s="1352"/>
      <c r="H4773" s="1352"/>
      <c r="I4773" s="1352"/>
      <c r="J4773" s="1846"/>
      <c r="K4773" s="1846"/>
      <c r="L4773" s="1846"/>
    </row>
    <row r="4774" spans="1:12" ht="25.5">
      <c r="A4774" s="1197"/>
      <c r="B4774" s="1406"/>
      <c r="C4774" s="1813" t="s">
        <v>1812</v>
      </c>
      <c r="D4774" s="1352">
        <v>89.1</v>
      </c>
      <c r="E4774" s="1352" t="s">
        <v>75</v>
      </c>
      <c r="F4774" s="1423">
        <f>LEAD!$N$37*0.3</f>
        <v>325.26299999999998</v>
      </c>
      <c r="G4774" s="1352">
        <v>1</v>
      </c>
      <c r="H4774" s="1352" t="s">
        <v>75</v>
      </c>
      <c r="I4774" s="1352">
        <f>IF(G4774="",D4774*F4774,(D4774*F4774/G4774))</f>
        <v>28980.933299999997</v>
      </c>
      <c r="J4774" s="1846"/>
      <c r="K4774" s="1846"/>
      <c r="L4774" s="1846"/>
    </row>
    <row r="4775" spans="1:12">
      <c r="A4775" s="1197"/>
      <c r="B4775" s="1406"/>
      <c r="C4775" s="1813"/>
      <c r="D4775" s="1352"/>
      <c r="E4775" s="1807"/>
      <c r="F4775" s="1418"/>
      <c r="G4775" s="1417" t="s">
        <v>946</v>
      </c>
      <c r="H4775" s="1807"/>
      <c r="I4775" s="1231">
        <f>SUM(I4770:I4774)</f>
        <v>111712.5999</v>
      </c>
      <c r="J4775" s="1846"/>
      <c r="K4775" s="1846"/>
      <c r="L4775" s="1846"/>
    </row>
    <row r="4776" spans="1:12">
      <c r="A4776" s="1197"/>
      <c r="B4776" s="1406"/>
      <c r="C4776" s="1813" t="s">
        <v>1813</v>
      </c>
      <c r="D4776" s="1352"/>
      <c r="E4776" s="1807"/>
      <c r="F4776" s="1313"/>
      <c r="G4776" s="1417"/>
      <c r="H4776" s="1807"/>
      <c r="I4776" s="1231"/>
      <c r="J4776" s="1846"/>
      <c r="K4776" s="1846"/>
      <c r="L4776" s="1846"/>
    </row>
    <row r="4777" spans="1:12">
      <c r="A4777" s="1197"/>
      <c r="B4777" s="1406"/>
      <c r="C4777" s="1813" t="s">
        <v>1814</v>
      </c>
      <c r="D4777" s="1352">
        <f>5/100</f>
        <v>0.05</v>
      </c>
      <c r="E4777" s="1807"/>
      <c r="F4777" s="1352">
        <f>I4775+I4768+I4760</f>
        <v>188613.27989999999</v>
      </c>
      <c r="G4777" s="1417"/>
      <c r="H4777" s="1807"/>
      <c r="I4777" s="1352">
        <f>IF(G4777="",D4777*F4777,(D4777*F4777/G4777))</f>
        <v>9430.6639950000008</v>
      </c>
      <c r="J4777" s="1846"/>
      <c r="K4777" s="1846"/>
      <c r="L4777" s="1846"/>
    </row>
    <row r="4778" spans="1:12">
      <c r="A4778" s="1197"/>
      <c r="B4778" s="1406"/>
      <c r="C4778" s="1795"/>
      <c r="D4778" s="1352"/>
      <c r="E4778" s="1807"/>
      <c r="F4778" s="1313"/>
      <c r="G4778" s="1417"/>
      <c r="H4778" s="1807"/>
      <c r="I4778" s="1231"/>
      <c r="J4778" s="1846"/>
      <c r="K4778" s="1846"/>
      <c r="L4778" s="1846"/>
    </row>
    <row r="4779" spans="1:12">
      <c r="A4779" s="1197"/>
      <c r="B4779" s="1406"/>
      <c r="C4779" s="1813" t="s">
        <v>1797</v>
      </c>
      <c r="D4779" s="1352"/>
      <c r="E4779" s="1807"/>
      <c r="F4779" s="1313"/>
      <c r="G4779" s="1417"/>
      <c r="H4779" s="1807"/>
      <c r="I4779" s="1231">
        <f>I4777+I4775+I4768+I4760</f>
        <v>198043.943895</v>
      </c>
      <c r="J4779" s="1846"/>
      <c r="K4779" s="1846"/>
      <c r="L4779" s="1846"/>
    </row>
    <row r="4780" spans="1:12">
      <c r="A4780" s="1197"/>
      <c r="B4780" s="1406"/>
      <c r="C4780" s="1807" t="s">
        <v>1815</v>
      </c>
      <c r="D4780" s="1352">
        <f>10/100</f>
        <v>0.1</v>
      </c>
      <c r="E4780" s="1807"/>
      <c r="F4780" s="1352">
        <f>I4779</f>
        <v>198043.943895</v>
      </c>
      <c r="G4780" s="1417"/>
      <c r="H4780" s="1807"/>
      <c r="I4780" s="1352">
        <f>IF(G4780="",D4780*F4780,(D4780*F4780/G4780))</f>
        <v>19804.394389500001</v>
      </c>
      <c r="J4780" s="1846"/>
      <c r="K4780" s="1846"/>
      <c r="L4780" s="1846"/>
    </row>
    <row r="4781" spans="1:12">
      <c r="A4781" s="1197"/>
      <c r="B4781" s="1406"/>
      <c r="C4781" s="1208" t="s">
        <v>1816</v>
      </c>
      <c r="D4781" s="1333"/>
      <c r="E4781" s="1297"/>
      <c r="F4781" s="1333"/>
      <c r="G4781" s="1333"/>
      <c r="H4781" s="1297"/>
      <c r="I4781" s="1415">
        <f>SUM(I4779:I4780)</f>
        <v>217848.3382845</v>
      </c>
      <c r="J4781" s="1846"/>
      <c r="K4781" s="1846"/>
      <c r="L4781" s="1846"/>
    </row>
    <row r="4782" spans="1:12">
      <c r="A4782" s="1197"/>
      <c r="B4782" s="1406"/>
      <c r="C4782" s="1795" t="s">
        <v>1032</v>
      </c>
      <c r="D4782" s="1333"/>
      <c r="E4782" s="1297"/>
      <c r="F4782" s="1333"/>
      <c r="G4782" s="1334"/>
      <c r="H4782" s="1407"/>
      <c r="I4782" s="1415">
        <f>I4781/225</f>
        <v>968.21483681999996</v>
      </c>
      <c r="J4782" s="1846"/>
      <c r="K4782" s="1846"/>
      <c r="L4782" s="1846"/>
    </row>
    <row r="4783" spans="1:12">
      <c r="A4783" s="1197"/>
      <c r="B4783" s="1406"/>
      <c r="C4783" s="1795"/>
      <c r="D4783" s="1333"/>
      <c r="E4783" s="1297"/>
      <c r="F4783" s="1333"/>
      <c r="G4783" s="1334"/>
      <c r="H4783" s="1298" t="s">
        <v>1065</v>
      </c>
      <c r="I4783" s="1417">
        <f>ROUND(I4782,0)</f>
        <v>968</v>
      </c>
      <c r="J4783" s="1846"/>
      <c r="K4783" s="1846"/>
      <c r="L4783" s="1846"/>
    </row>
    <row r="4784" spans="1:12" ht="77.650000000000006" customHeight="1">
      <c r="A4784" s="1292">
        <f>A4720+1</f>
        <v>72</v>
      </c>
      <c r="B4784" s="1406"/>
      <c r="C4784" s="2022" t="s">
        <v>1802</v>
      </c>
      <c r="D4784" s="2022"/>
      <c r="E4784" s="2022"/>
      <c r="F4784" s="2022"/>
      <c r="G4784" s="2022"/>
      <c r="H4784" s="2022"/>
      <c r="I4784" s="2022"/>
      <c r="J4784" s="1846"/>
      <c r="K4784" s="1846"/>
      <c r="L4784" s="1846"/>
    </row>
    <row r="4785" spans="1:12">
      <c r="A4785" s="1197"/>
      <c r="B4785" s="1406"/>
      <c r="C4785" s="1795" t="s">
        <v>1803</v>
      </c>
      <c r="D4785" s="1332"/>
      <c r="E4785" s="1332"/>
      <c r="F4785" s="1228"/>
      <c r="G4785" s="1272"/>
      <c r="H4785" s="1345"/>
      <c r="I4785" s="1228"/>
      <c r="J4785" s="1846"/>
      <c r="K4785" s="1846"/>
      <c r="L4785" s="1846"/>
    </row>
    <row r="4786" spans="1:12">
      <c r="A4786" s="1197"/>
      <c r="B4786" s="1406"/>
      <c r="C4786" s="1813" t="s">
        <v>1783</v>
      </c>
      <c r="D4786" s="1333"/>
      <c r="E4786" s="1297"/>
      <c r="F4786" s="1333"/>
      <c r="G4786" s="1334"/>
      <c r="H4786" s="1345" t="str">
        <f>IF(E4786="","",IF(E4786="No.","Each",IF(E4786="Nos.","Each",E4786)))</f>
        <v/>
      </c>
      <c r="I4786" s="1228"/>
      <c r="J4786" s="1846"/>
      <c r="K4786" s="1846"/>
      <c r="L4786" s="1846"/>
    </row>
    <row r="4787" spans="1:12">
      <c r="A4787" s="1197"/>
      <c r="B4787" s="1406"/>
      <c r="C4787" s="1795" t="s">
        <v>1804</v>
      </c>
      <c r="D4787" s="1413"/>
      <c r="E4787" s="1414"/>
      <c r="F4787" s="1228"/>
      <c r="G4787" s="1278"/>
      <c r="H4787" s="1279"/>
      <c r="I4787" s="1228"/>
      <c r="J4787" s="1846"/>
      <c r="K4787" s="1846"/>
      <c r="L4787" s="1846"/>
    </row>
    <row r="4788" spans="1:12">
      <c r="A4788" s="1197"/>
      <c r="B4788" s="1406"/>
      <c r="C4788" s="1807" t="s">
        <v>1785</v>
      </c>
      <c r="D4788" s="1333"/>
      <c r="E4788" s="1297"/>
      <c r="F4788" s="1333"/>
      <c r="G4788" s="1334"/>
      <c r="H4788" s="1407"/>
      <c r="I4788" s="1415"/>
      <c r="J4788" s="1846"/>
      <c r="K4788" s="1846"/>
      <c r="L4788" s="1846"/>
    </row>
    <row r="4789" spans="1:12">
      <c r="A4789" s="1197"/>
      <c r="B4789" s="1406"/>
      <c r="C4789" s="1813" t="s">
        <v>1737</v>
      </c>
      <c r="D4789" s="1416">
        <v>0.48</v>
      </c>
      <c r="E4789" s="1297" t="s">
        <v>36</v>
      </c>
      <c r="F4789" s="1333">
        <f>'Civil-SOR'!$G$302</f>
        <v>550</v>
      </c>
      <c r="G4789" s="1334">
        <v>1</v>
      </c>
      <c r="H4789" s="1297" t="s">
        <v>39</v>
      </c>
      <c r="I4789" s="1228">
        <f t="shared" ref="I4789:I4792" si="1026">IF(G4789="",D4789*F4789,(D4789*F4789/G4789))</f>
        <v>264</v>
      </c>
      <c r="J4789" s="1846"/>
      <c r="K4789" s="1846"/>
      <c r="L4789" s="1846"/>
    </row>
    <row r="4790" spans="1:12">
      <c r="A4790" s="1197"/>
      <c r="B4790" s="1406"/>
      <c r="C4790" s="1813" t="s">
        <v>1773</v>
      </c>
      <c r="D4790" s="1416">
        <v>2</v>
      </c>
      <c r="E4790" s="1297" t="s">
        <v>36</v>
      </c>
      <c r="F4790" s="1333">
        <f>'Civil-SOR'!$G$307</f>
        <v>520</v>
      </c>
      <c r="G4790" s="1334">
        <v>1</v>
      </c>
      <c r="H4790" s="1297" t="s">
        <v>39</v>
      </c>
      <c r="I4790" s="1228">
        <f t="shared" si="1026"/>
        <v>1040</v>
      </c>
      <c r="J4790" s="1846"/>
      <c r="K4790" s="1846"/>
      <c r="L4790" s="1846"/>
    </row>
    <row r="4791" spans="1:12">
      <c r="A4791" s="1197"/>
      <c r="B4791" s="1406"/>
      <c r="C4791" s="1813" t="s">
        <v>1786</v>
      </c>
      <c r="D4791" s="1416">
        <v>10</v>
      </c>
      <c r="E4791" s="1297" t="s">
        <v>36</v>
      </c>
      <c r="F4791" s="1333">
        <f>'Civil-SOR'!$G$307</f>
        <v>520</v>
      </c>
      <c r="G4791" s="1334">
        <v>1</v>
      </c>
      <c r="H4791" s="1297" t="s">
        <v>39</v>
      </c>
      <c r="I4791" s="1228">
        <f t="shared" si="1026"/>
        <v>5200</v>
      </c>
      <c r="J4791" s="1846"/>
      <c r="K4791" s="1846"/>
      <c r="L4791" s="1846"/>
    </row>
    <row r="4792" spans="1:12">
      <c r="A4792" s="1197"/>
      <c r="B4792" s="1406"/>
      <c r="C4792" s="1807" t="str">
        <f>Input!$C$47</f>
        <v>Add for MA @ 40%</v>
      </c>
      <c r="D4792" s="1404">
        <f>Input!$D$47</f>
        <v>0.4</v>
      </c>
      <c r="E4792" s="1297"/>
      <c r="F4792" s="1333">
        <f>SUM(I4789:I4791)</f>
        <v>6504</v>
      </c>
      <c r="G4792" s="1334"/>
      <c r="H4792" s="1297"/>
      <c r="I4792" s="1228">
        <f t="shared" si="1026"/>
        <v>2601.6000000000004</v>
      </c>
      <c r="J4792" s="1846"/>
      <c r="K4792" s="1846"/>
      <c r="L4792" s="1846"/>
    </row>
    <row r="4793" spans="1:12">
      <c r="A4793" s="1197"/>
      <c r="B4793" s="1406"/>
      <c r="C4793" s="1807"/>
      <c r="D4793" s="1333"/>
      <c r="E4793" s="1297"/>
      <c r="F4793" s="1333"/>
      <c r="G4793" s="1417" t="s">
        <v>946</v>
      </c>
      <c r="H4793" s="1407"/>
      <c r="I4793" s="1302">
        <f>SUM(I4789:I4792)</f>
        <v>9105.6</v>
      </c>
      <c r="J4793" s="1846"/>
      <c r="K4793" s="1846"/>
      <c r="L4793" s="1846"/>
    </row>
    <row r="4794" spans="1:12">
      <c r="A4794" s="1197"/>
      <c r="B4794" s="1406"/>
      <c r="C4794" s="1795" t="s">
        <v>1787</v>
      </c>
      <c r="D4794" s="1333"/>
      <c r="E4794" s="1297"/>
      <c r="F4794" s="1333"/>
      <c r="G4794" s="1334"/>
      <c r="H4794" s="1297"/>
      <c r="I4794" s="1228"/>
      <c r="J4794" s="1846"/>
      <c r="K4794" s="1846"/>
      <c r="L4794" s="1846"/>
    </row>
    <row r="4795" spans="1:12">
      <c r="A4795" s="1197"/>
      <c r="B4795" s="1406"/>
      <c r="C4795" s="1807" t="s">
        <v>1805</v>
      </c>
      <c r="D4795" s="1352">
        <v>6.6</v>
      </c>
      <c r="E4795" s="1333" t="s">
        <v>1083</v>
      </c>
      <c r="F4795" s="1333">
        <f>'Civil-SOR'!G361</f>
        <v>2028</v>
      </c>
      <c r="G4795" s="1334">
        <v>1</v>
      </c>
      <c r="H4795" s="1297" t="s">
        <v>616</v>
      </c>
      <c r="I4795" s="1228">
        <f t="shared" ref="I4795:I4800" si="1027">IF(G4795="",D4795*F4795,(D4795*F4795/G4795))</f>
        <v>13384.8</v>
      </c>
      <c r="J4795" s="1846"/>
      <c r="K4795" s="1846"/>
      <c r="L4795" s="1846"/>
    </row>
    <row r="4796" spans="1:12">
      <c r="A4796" s="1197"/>
      <c r="B4796" s="1406"/>
      <c r="C4796" s="1813" t="s">
        <v>634</v>
      </c>
      <c r="D4796" s="1352">
        <v>6</v>
      </c>
      <c r="E4796" s="1297" t="s">
        <v>1083</v>
      </c>
      <c r="F4796" s="1333">
        <f>'Civil-SOR'!G364</f>
        <v>1626</v>
      </c>
      <c r="G4796" s="1334">
        <v>1</v>
      </c>
      <c r="H4796" s="1297" t="s">
        <v>616</v>
      </c>
      <c r="I4796" s="1228">
        <f t="shared" si="1027"/>
        <v>9756</v>
      </c>
      <c r="J4796" s="1846"/>
      <c r="K4796" s="1846"/>
      <c r="L4796" s="1846"/>
    </row>
    <row r="4797" spans="1:12">
      <c r="A4797" s="1197"/>
      <c r="B4797" s="1406"/>
      <c r="C4797" s="1813" t="s">
        <v>1806</v>
      </c>
      <c r="D4797" s="1352">
        <v>6</v>
      </c>
      <c r="E4797" s="1297" t="s">
        <v>1083</v>
      </c>
      <c r="F4797" s="1333">
        <f>'Civil-SOR'!$G$362</f>
        <v>2028</v>
      </c>
      <c r="G4797" s="1334">
        <v>1</v>
      </c>
      <c r="H4797" s="1297" t="s">
        <v>616</v>
      </c>
      <c r="I4797" s="1228">
        <f t="shared" si="1027"/>
        <v>12168</v>
      </c>
      <c r="J4797" s="1846"/>
      <c r="K4797" s="1846"/>
      <c r="L4797" s="1846"/>
    </row>
    <row r="4798" spans="1:12">
      <c r="A4798" s="1197"/>
      <c r="B4798" s="1406"/>
      <c r="C4798" s="1813" t="s">
        <v>1807</v>
      </c>
      <c r="D4798" s="1352">
        <v>6</v>
      </c>
      <c r="E4798" s="1297" t="s">
        <v>1083</v>
      </c>
      <c r="F4798" s="1333">
        <f>'Civil-SOR'!G365</f>
        <v>2771</v>
      </c>
      <c r="G4798" s="1334">
        <v>1</v>
      </c>
      <c r="H4798" s="1297" t="s">
        <v>616</v>
      </c>
      <c r="I4798" s="1228">
        <f t="shared" si="1027"/>
        <v>16626</v>
      </c>
      <c r="J4798" s="1846"/>
      <c r="K4798" s="1846"/>
      <c r="L4798" s="1846"/>
    </row>
    <row r="4799" spans="1:12">
      <c r="A4799" s="1197"/>
      <c r="B4799" s="1406"/>
      <c r="C4799" s="1813" t="s">
        <v>1789</v>
      </c>
      <c r="D4799" s="1352">
        <f>6*0.65</f>
        <v>3.9000000000000004</v>
      </c>
      <c r="E4799" s="1297" t="s">
        <v>1083</v>
      </c>
      <c r="F4799" s="1376">
        <f>+'Civil-SOR'!$G$356</f>
        <v>3475.2</v>
      </c>
      <c r="G4799" s="1334">
        <v>1</v>
      </c>
      <c r="H4799" s="1297" t="s">
        <v>616</v>
      </c>
      <c r="I4799" s="1228">
        <f t="shared" si="1027"/>
        <v>13553.28</v>
      </c>
      <c r="J4799" s="1846"/>
      <c r="K4799" s="1846"/>
      <c r="L4799" s="1846"/>
    </row>
    <row r="4800" spans="1:12">
      <c r="A4800" s="1197"/>
      <c r="B4800" s="1406"/>
      <c r="C4800" s="1813" t="s">
        <v>1790</v>
      </c>
      <c r="D4800" s="1416">
        <v>3</v>
      </c>
      <c r="E4800" s="1297" t="s">
        <v>1083</v>
      </c>
      <c r="F4800" s="1333">
        <f>'Civil-SOR'!G357</f>
        <v>769</v>
      </c>
      <c r="G4800" s="1334">
        <v>1</v>
      </c>
      <c r="H4800" s="1297" t="s">
        <v>616</v>
      </c>
      <c r="I4800" s="1228">
        <f t="shared" si="1027"/>
        <v>2307</v>
      </c>
      <c r="J4800" s="1846"/>
      <c r="K4800" s="1846"/>
      <c r="L4800" s="1846"/>
    </row>
    <row r="4801" spans="1:12">
      <c r="A4801" s="1197"/>
      <c r="B4801" s="1406"/>
      <c r="C4801" s="1813"/>
      <c r="D4801" s="1416"/>
      <c r="E4801" s="1297"/>
      <c r="F4801" s="1333"/>
      <c r="G4801" s="1417" t="s">
        <v>946</v>
      </c>
      <c r="H4801" s="1297"/>
      <c r="I4801" s="1228">
        <f>SUM(I4795:I4800)</f>
        <v>67795.08</v>
      </c>
      <c r="J4801" s="1846"/>
      <c r="K4801" s="1846"/>
      <c r="L4801" s="1846"/>
    </row>
    <row r="4802" spans="1:12">
      <c r="A4802" s="1197"/>
      <c r="B4802" s="1406"/>
      <c r="C4802" s="1795" t="s">
        <v>1791</v>
      </c>
      <c r="D4802" s="1333"/>
      <c r="E4802" s="1297"/>
      <c r="F4802" s="1333"/>
      <c r="G4802" s="1334"/>
      <c r="H4802" s="1297"/>
      <c r="I4802" s="1228"/>
      <c r="J4802" s="1846"/>
      <c r="K4802" s="1846"/>
      <c r="L4802" s="1846"/>
    </row>
    <row r="4803" spans="1:12" ht="25.5">
      <c r="A4803" s="1197"/>
      <c r="B4803" s="1406"/>
      <c r="C4803" s="1813" t="s">
        <v>1808</v>
      </c>
      <c r="D4803" s="1352">
        <v>89.1</v>
      </c>
      <c r="E4803" s="1352" t="s">
        <v>75</v>
      </c>
      <c r="F4803" s="1422">
        <f>1184.74*0.3</f>
        <v>355.42199999999997</v>
      </c>
      <c r="G4803" s="1352">
        <v>1</v>
      </c>
      <c r="H4803" s="1352" t="s">
        <v>75</v>
      </c>
      <c r="I4803" s="1352">
        <f>IF(G4803="",D4803*F4803,(D4803*F4803/G4803))</f>
        <v>31668.100199999993</v>
      </c>
      <c r="J4803" s="1846"/>
      <c r="K4803" s="1846"/>
      <c r="L4803" s="1846"/>
    </row>
    <row r="4804" spans="1:12">
      <c r="A4804" s="1197"/>
      <c r="B4804" s="1406"/>
      <c r="C4804" s="1813" t="s">
        <v>1809</v>
      </c>
      <c r="D4804" s="1352"/>
      <c r="E4804" s="1352"/>
      <c r="F4804" s="1352"/>
      <c r="G4804" s="1352"/>
      <c r="H4804" s="1352"/>
      <c r="I4804" s="1352"/>
      <c r="J4804" s="1846"/>
      <c r="K4804" s="1846"/>
      <c r="L4804" s="1846"/>
    </row>
    <row r="4805" spans="1:12" ht="25.5">
      <c r="A4805" s="1197"/>
      <c r="B4805" s="1406"/>
      <c r="C4805" s="1813" t="s">
        <v>1810</v>
      </c>
      <c r="D4805" s="1352">
        <v>118.8</v>
      </c>
      <c r="E4805" s="1352" t="s">
        <v>75</v>
      </c>
      <c r="F4805" s="1422">
        <f>1074.57*0.4</f>
        <v>429.82799999999997</v>
      </c>
      <c r="G4805" s="1352">
        <v>1</v>
      </c>
      <c r="H4805" s="1352" t="s">
        <v>75</v>
      </c>
      <c r="I4805" s="1352">
        <f>IF(G4805="",D4805*F4805,(D4805*F4805/G4805))</f>
        <v>51063.566399999996</v>
      </c>
      <c r="J4805" s="1846"/>
      <c r="K4805" s="1846"/>
      <c r="L4805" s="1846"/>
    </row>
    <row r="4806" spans="1:12" ht="25.5">
      <c r="A4806" s="1197"/>
      <c r="B4806" s="1406"/>
      <c r="C4806" s="1813" t="s">
        <v>1811</v>
      </c>
      <c r="D4806" s="1352"/>
      <c r="E4806" s="1352"/>
      <c r="F4806" s="1352"/>
      <c r="G4806" s="1352"/>
      <c r="H4806" s="1352"/>
      <c r="I4806" s="1352"/>
      <c r="J4806" s="1846"/>
      <c r="K4806" s="1846"/>
      <c r="L4806" s="1846"/>
    </row>
    <row r="4807" spans="1:12" ht="25.5">
      <c r="A4807" s="1197"/>
      <c r="B4807" s="1406"/>
      <c r="C4807" s="1813" t="s">
        <v>1812</v>
      </c>
      <c r="D4807" s="1352">
        <v>89.1</v>
      </c>
      <c r="E4807" s="1352" t="s">
        <v>75</v>
      </c>
      <c r="F4807" s="1419">
        <v>823.52</v>
      </c>
      <c r="G4807" s="1352">
        <v>1</v>
      </c>
      <c r="H4807" s="1352" t="s">
        <v>75</v>
      </c>
      <c r="I4807" s="1352">
        <f>IF(G4807="",D4807*F4807,(D4807*F4807/G4807))</f>
        <v>73375.631999999998</v>
      </c>
      <c r="J4807" s="1846"/>
      <c r="K4807" s="1846"/>
      <c r="L4807" s="1846"/>
    </row>
    <row r="4808" spans="1:12">
      <c r="A4808" s="1197"/>
      <c r="B4808" s="1406"/>
      <c r="C4808" s="1813"/>
      <c r="D4808" s="1352"/>
      <c r="E4808" s="1807"/>
      <c r="F4808" s="1313"/>
      <c r="G4808" s="1417" t="s">
        <v>946</v>
      </c>
      <c r="H4808" s="1807"/>
      <c r="I4808" s="1231">
        <f>SUM(I4803:I4807)</f>
        <v>156107.29859999998</v>
      </c>
      <c r="J4808" s="1846"/>
      <c r="K4808" s="1846"/>
      <c r="L4808" s="1846"/>
    </row>
    <row r="4809" spans="1:12">
      <c r="A4809" s="1197"/>
      <c r="B4809" s="1406"/>
      <c r="C4809" s="1813" t="s">
        <v>1813</v>
      </c>
      <c r="D4809" s="1352"/>
      <c r="E4809" s="1807"/>
      <c r="F4809" s="1313"/>
      <c r="G4809" s="1417"/>
      <c r="H4809" s="1807"/>
      <c r="I4809" s="1231"/>
      <c r="J4809" s="1846"/>
      <c r="K4809" s="1846"/>
      <c r="L4809" s="1846"/>
    </row>
    <row r="4810" spans="1:12">
      <c r="A4810" s="1197"/>
      <c r="B4810" s="1406"/>
      <c r="C4810" s="1813" t="s">
        <v>1814</v>
      </c>
      <c r="D4810" s="1352">
        <f>5/100</f>
        <v>0.05</v>
      </c>
      <c r="E4810" s="1807"/>
      <c r="F4810" s="1352">
        <f>I4808+I4801+I4793</f>
        <v>233007.9786</v>
      </c>
      <c r="G4810" s="1417"/>
      <c r="H4810" s="1807"/>
      <c r="I4810" s="1352">
        <f>IF(G4810="",D4810*F4810,(D4810*F4810/G4810))</f>
        <v>11650.398930000001</v>
      </c>
      <c r="J4810" s="1846"/>
      <c r="K4810" s="1846"/>
      <c r="L4810" s="1846"/>
    </row>
    <row r="4811" spans="1:12">
      <c r="A4811" s="1197"/>
      <c r="B4811" s="1406"/>
      <c r="C4811" s="1795"/>
      <c r="D4811" s="1352"/>
      <c r="E4811" s="1807"/>
      <c r="F4811" s="1313"/>
      <c r="G4811" s="1417"/>
      <c r="H4811" s="1807"/>
      <c r="I4811" s="1231"/>
      <c r="J4811" s="1846"/>
      <c r="K4811" s="1846"/>
      <c r="L4811" s="1846"/>
    </row>
    <row r="4812" spans="1:12">
      <c r="A4812" s="1197"/>
      <c r="B4812" s="1406"/>
      <c r="C4812" s="1813" t="s">
        <v>1797</v>
      </c>
      <c r="D4812" s="1352"/>
      <c r="E4812" s="1807"/>
      <c r="F4812" s="1313"/>
      <c r="G4812" s="1417"/>
      <c r="H4812" s="1807"/>
      <c r="I4812" s="1231">
        <f>I4810+I4808+I4801+I4793</f>
        <v>244658.37752999997</v>
      </c>
      <c r="J4812" s="1846"/>
      <c r="K4812" s="1846"/>
      <c r="L4812" s="1846"/>
    </row>
    <row r="4813" spans="1:12">
      <c r="A4813" s="1197"/>
      <c r="B4813" s="1406"/>
      <c r="C4813" s="1807" t="s">
        <v>1815</v>
      </c>
      <c r="D4813" s="1352">
        <f>10/100</f>
        <v>0.1</v>
      </c>
      <c r="E4813" s="1807"/>
      <c r="F4813" s="1352">
        <f>I4812</f>
        <v>244658.37752999997</v>
      </c>
      <c r="G4813" s="1417"/>
      <c r="H4813" s="1807"/>
      <c r="I4813" s="1352">
        <f>IF(G4813="",D4813*F4813,(D4813*F4813/G4813))</f>
        <v>24465.837753</v>
      </c>
      <c r="J4813" s="1846"/>
      <c r="K4813" s="1846"/>
      <c r="L4813" s="1846"/>
    </row>
    <row r="4814" spans="1:12">
      <c r="A4814" s="1197"/>
      <c r="B4814" s="1406"/>
      <c r="C4814" s="1208" t="s">
        <v>1816</v>
      </c>
      <c r="D4814" s="1333"/>
      <c r="E4814" s="1297"/>
      <c r="F4814" s="1333"/>
      <c r="G4814" s="1333"/>
      <c r="H4814" s="1297"/>
      <c r="I4814" s="1415">
        <f>SUM(I4812:I4813)</f>
        <v>269124.21528299997</v>
      </c>
      <c r="J4814" s="1846"/>
      <c r="K4814" s="1846"/>
      <c r="L4814" s="1846"/>
    </row>
    <row r="4815" spans="1:12">
      <c r="A4815" s="1197"/>
      <c r="B4815" s="1406"/>
      <c r="C4815" s="1795" t="s">
        <v>1032</v>
      </c>
      <c r="D4815" s="1333"/>
      <c r="E4815" s="1297"/>
      <c r="F4815" s="1333"/>
      <c r="G4815" s="1334"/>
      <c r="H4815" s="1407"/>
      <c r="I4815" s="1415">
        <f>I4814/225</f>
        <v>1196.1076234799998</v>
      </c>
      <c r="J4815" s="1846"/>
      <c r="K4815" s="1846"/>
      <c r="L4815" s="1846"/>
    </row>
    <row r="4816" spans="1:12">
      <c r="A4816" s="1197"/>
      <c r="B4816" s="1406"/>
      <c r="C4816" s="1795"/>
      <c r="D4816" s="1333"/>
      <c r="E4816" s="1297"/>
      <c r="F4816" s="1333"/>
      <c r="G4816" s="1334"/>
      <c r="H4816" s="1298" t="s">
        <v>1065</v>
      </c>
      <c r="I4816" s="1417">
        <f>ROUND(I4815,0)</f>
        <v>1196</v>
      </c>
      <c r="J4816" s="1846"/>
      <c r="K4816" s="1846"/>
      <c r="L4816" s="1846"/>
    </row>
    <row r="4817" spans="1:12" ht="114.95" customHeight="1">
      <c r="A4817" s="1808">
        <f>A4784+1</f>
        <v>73</v>
      </c>
      <c r="B4817" s="1809" t="s">
        <v>1817</v>
      </c>
      <c r="C4817" s="2022" t="s">
        <v>1818</v>
      </c>
      <c r="D4817" s="2022"/>
      <c r="E4817" s="2022"/>
      <c r="F4817" s="2022"/>
      <c r="G4817" s="2022"/>
      <c r="H4817" s="2022"/>
      <c r="I4817" s="2022"/>
      <c r="J4817" s="1846"/>
      <c r="K4817" s="1846"/>
      <c r="L4817" s="1846"/>
    </row>
    <row r="4818" spans="1:12">
      <c r="A4818" s="1798"/>
      <c r="B4818" s="1199"/>
      <c r="C4818" s="1294" t="s">
        <v>1783</v>
      </c>
      <c r="D4818" s="1203"/>
      <c r="E4818" s="1199"/>
      <c r="F4818" s="1203"/>
      <c r="G4818" s="1204"/>
      <c r="H4818" s="1199"/>
      <c r="I4818" s="1203"/>
      <c r="J4818" s="1846"/>
      <c r="K4818" s="1846"/>
      <c r="L4818" s="1846"/>
    </row>
    <row r="4819" spans="1:12">
      <c r="A4819" s="1798"/>
      <c r="B4819" s="1200"/>
      <c r="C4819" s="1807" t="s">
        <v>1734</v>
      </c>
      <c r="D4819" s="1203"/>
      <c r="E4819" s="1199"/>
      <c r="F4819" s="1203"/>
      <c r="G4819" s="1204"/>
      <c r="H4819" s="1199"/>
      <c r="I4819" s="1203"/>
      <c r="J4819" s="1846"/>
      <c r="K4819" s="1846"/>
      <c r="L4819" s="1846"/>
    </row>
    <row r="4820" spans="1:12">
      <c r="A4820" s="1798"/>
      <c r="B4820" s="1200"/>
      <c r="C4820" s="1795" t="s">
        <v>1735</v>
      </c>
      <c r="D4820" s="1203"/>
      <c r="E4820" s="1199"/>
      <c r="F4820" s="1203"/>
      <c r="G4820" s="1204"/>
      <c r="H4820" s="1199"/>
      <c r="I4820" s="1203"/>
      <c r="J4820" s="1846"/>
      <c r="K4820" s="1846"/>
      <c r="L4820" s="1846"/>
    </row>
    <row r="4821" spans="1:12">
      <c r="A4821" s="1798"/>
      <c r="B4821" s="1200"/>
      <c r="C4821" s="1807" t="s">
        <v>3489</v>
      </c>
      <c r="D4821" s="1203"/>
      <c r="E4821" s="1199"/>
      <c r="F4821" s="1203"/>
      <c r="G4821" s="1204"/>
      <c r="H4821" s="1199"/>
      <c r="I4821" s="1227"/>
      <c r="J4821" s="1846"/>
      <c r="K4821" s="1846"/>
      <c r="L4821" s="1846"/>
    </row>
    <row r="4822" spans="1:12">
      <c r="A4822" s="1798"/>
      <c r="B4822" s="1200"/>
      <c r="C4822" s="1807" t="s">
        <v>1737</v>
      </c>
      <c r="D4822" s="1203"/>
      <c r="E4822" s="1199" t="s">
        <v>1738</v>
      </c>
      <c r="F4822" s="1203" t="s">
        <v>959</v>
      </c>
      <c r="G4822" s="1204"/>
      <c r="H4822" s="1199"/>
      <c r="I4822" s="1227"/>
      <c r="J4822" s="1846"/>
      <c r="K4822" s="1846"/>
      <c r="L4822" s="1846"/>
    </row>
    <row r="4823" spans="1:12">
      <c r="A4823" s="1798"/>
      <c r="B4823" s="1200"/>
      <c r="C4823" s="1807" t="s">
        <v>1819</v>
      </c>
      <c r="D4823" s="1203">
        <v>5</v>
      </c>
      <c r="E4823" s="1199" t="s">
        <v>1738</v>
      </c>
      <c r="F4823" s="1203">
        <f>'Civil-SOR'!$G$293</f>
        <v>580</v>
      </c>
      <c r="G4823" s="1199">
        <v>1</v>
      </c>
      <c r="H4823" s="1204" t="s">
        <v>1738</v>
      </c>
      <c r="I4823" s="1203">
        <f t="shared" ref="I4823:I4829" si="1028">ROUND(F4823*D4823/G4823,2)</f>
        <v>2900</v>
      </c>
      <c r="J4823" s="1846"/>
      <c r="K4823" s="1846"/>
      <c r="L4823" s="1846"/>
    </row>
    <row r="4824" spans="1:12">
      <c r="A4824" s="1798"/>
      <c r="B4824" s="1200"/>
      <c r="C4824" s="1807" t="s">
        <v>1740</v>
      </c>
      <c r="D4824" s="1203">
        <v>5</v>
      </c>
      <c r="E4824" s="1199" t="s">
        <v>1738</v>
      </c>
      <c r="F4824" s="1203">
        <f>'Civil-SOR'!$G$302</f>
        <v>550</v>
      </c>
      <c r="G4824" s="1199">
        <v>1</v>
      </c>
      <c r="H4824" s="1204" t="s">
        <v>1738</v>
      </c>
      <c r="I4824" s="1203">
        <f t="shared" si="1028"/>
        <v>2750</v>
      </c>
      <c r="J4824" s="1846"/>
      <c r="K4824" s="1846"/>
      <c r="L4824" s="1846"/>
    </row>
    <row r="4825" spans="1:12">
      <c r="A4825" s="1798"/>
      <c r="B4825" s="1200"/>
      <c r="C4825" s="1807" t="s">
        <v>1166</v>
      </c>
      <c r="D4825" s="1203">
        <v>150</v>
      </c>
      <c r="E4825" s="1199" t="s">
        <v>1738</v>
      </c>
      <c r="F4825" s="1207">
        <f>'Civil-SOR'!$G$307</f>
        <v>520</v>
      </c>
      <c r="G4825" s="1199">
        <v>1</v>
      </c>
      <c r="H4825" s="1204" t="s">
        <v>1738</v>
      </c>
      <c r="I4825" s="1203">
        <f t="shared" si="1028"/>
        <v>78000</v>
      </c>
      <c r="J4825" s="1846"/>
      <c r="K4825" s="1846"/>
      <c r="L4825" s="1846"/>
    </row>
    <row r="4826" spans="1:12">
      <c r="A4826" s="1798"/>
      <c r="B4826" s="1200"/>
      <c r="C4826" s="1807" t="s">
        <v>1741</v>
      </c>
      <c r="D4826" s="1203">
        <v>6</v>
      </c>
      <c r="E4826" s="1199" t="s">
        <v>1738</v>
      </c>
      <c r="F4826" s="1207">
        <f>'Civil-SOR'!$G$307</f>
        <v>520</v>
      </c>
      <c r="G4826" s="1199">
        <v>1</v>
      </c>
      <c r="H4826" s="1204" t="s">
        <v>1738</v>
      </c>
      <c r="I4826" s="1203">
        <f t="shared" si="1028"/>
        <v>3120</v>
      </c>
      <c r="J4826" s="1846"/>
      <c r="K4826" s="1846"/>
      <c r="L4826" s="1846"/>
    </row>
    <row r="4827" spans="1:12">
      <c r="A4827" s="1798"/>
      <c r="B4827" s="1200"/>
      <c r="C4827" s="1807" t="s">
        <v>1820</v>
      </c>
      <c r="D4827" s="1203">
        <v>2</v>
      </c>
      <c r="E4827" s="1199" t="s">
        <v>1738</v>
      </c>
      <c r="F4827" s="1203">
        <v>985</v>
      </c>
      <c r="G4827" s="1199">
        <v>1</v>
      </c>
      <c r="H4827" s="1204" t="s">
        <v>1738</v>
      </c>
      <c r="I4827" s="1203">
        <f t="shared" si="1028"/>
        <v>1970</v>
      </c>
      <c r="J4827" s="1846"/>
      <c r="K4827" s="1846"/>
      <c r="L4827" s="1846"/>
    </row>
    <row r="4828" spans="1:12">
      <c r="A4828" s="1798"/>
      <c r="B4828" s="1200"/>
      <c r="C4828" s="1807" t="s">
        <v>1821</v>
      </c>
      <c r="D4828" s="1203">
        <v>6</v>
      </c>
      <c r="E4828" s="1199" t="s">
        <v>1738</v>
      </c>
      <c r="F4828" s="1207">
        <f>'Civil-SOR'!$G$307</f>
        <v>520</v>
      </c>
      <c r="G4828" s="1199">
        <v>1</v>
      </c>
      <c r="H4828" s="1204" t="s">
        <v>1738</v>
      </c>
      <c r="I4828" s="1203">
        <f t="shared" si="1028"/>
        <v>3120</v>
      </c>
      <c r="J4828" s="1846"/>
      <c r="K4828" s="1846"/>
      <c r="L4828" s="1846"/>
    </row>
    <row r="4829" spans="1:12" ht="38.25">
      <c r="A4829" s="1798"/>
      <c r="B4829" s="1200"/>
      <c r="C4829" s="1807" t="s">
        <v>1822</v>
      </c>
      <c r="D4829" s="1203">
        <v>1</v>
      </c>
      <c r="E4829" s="1199" t="s">
        <v>1738</v>
      </c>
      <c r="F4829" s="1203">
        <f>'Civil-SOR'!$G$289</f>
        <v>575</v>
      </c>
      <c r="G4829" s="1199">
        <v>1</v>
      </c>
      <c r="H4829" s="1204" t="s">
        <v>1738</v>
      </c>
      <c r="I4829" s="1203">
        <f t="shared" si="1028"/>
        <v>575</v>
      </c>
      <c r="J4829" s="1846"/>
      <c r="K4829" s="1846"/>
      <c r="L4829" s="1846"/>
    </row>
    <row r="4830" spans="1:12">
      <c r="A4830" s="1798"/>
      <c r="B4830" s="1200"/>
      <c r="C4830" s="1807" t="str">
        <f>Input!$C$47</f>
        <v>Add for MA @ 40%</v>
      </c>
      <c r="D4830" s="1404">
        <f>Input!$D$47</f>
        <v>0.4</v>
      </c>
      <c r="E4830" s="1199"/>
      <c r="F4830" s="1203">
        <f>SUM(I4823:I4829)</f>
        <v>92435</v>
      </c>
      <c r="G4830" s="1199"/>
      <c r="H4830" s="1204"/>
      <c r="I4830" s="1203">
        <f>ROUND(F4830*D4830,2)</f>
        <v>36974</v>
      </c>
      <c r="J4830" s="1846"/>
      <c r="K4830" s="1846"/>
      <c r="L4830" s="1846"/>
    </row>
    <row r="4831" spans="1:12">
      <c r="A4831" s="1798"/>
      <c r="B4831" s="1200"/>
      <c r="C4831" s="1807" t="s">
        <v>1081</v>
      </c>
      <c r="D4831" s="1203"/>
      <c r="E4831" s="1199"/>
      <c r="F4831" s="1203"/>
      <c r="G4831" s="1199"/>
      <c r="H4831" s="1204"/>
      <c r="I4831" s="1203"/>
      <c r="J4831" s="1846"/>
      <c r="K4831" s="1846"/>
      <c r="L4831" s="1846"/>
    </row>
    <row r="4832" spans="1:12" ht="38.25">
      <c r="A4832" s="1798"/>
      <c r="B4832" s="1200"/>
      <c r="C4832" s="1807" t="s">
        <v>1743</v>
      </c>
      <c r="D4832" s="1203">
        <v>36</v>
      </c>
      <c r="E4832" s="1199" t="s">
        <v>400</v>
      </c>
      <c r="F4832" s="1203">
        <f>'Civil-SOR'!G330</f>
        <v>192.9</v>
      </c>
      <c r="G4832" s="1199">
        <v>1</v>
      </c>
      <c r="H4832" s="1204" t="s">
        <v>400</v>
      </c>
      <c r="I4832" s="1203">
        <f t="shared" ref="I4832:I4833" si="1029">ROUND(F4832*D4832/G4832,2)</f>
        <v>6944.4</v>
      </c>
      <c r="J4832" s="1846"/>
      <c r="K4832" s="1846"/>
      <c r="L4832" s="1846"/>
    </row>
    <row r="4833" spans="1:12">
      <c r="A4833" s="1798"/>
      <c r="B4833" s="1200"/>
      <c r="C4833" s="1807" t="s">
        <v>1823</v>
      </c>
      <c r="D4833" s="1203">
        <v>36</v>
      </c>
      <c r="E4833" s="1199" t="s">
        <v>400</v>
      </c>
      <c r="F4833" s="1203">
        <f>'Civil-SOR'!J330</f>
        <v>302.89999999999998</v>
      </c>
      <c r="G4833" s="1199">
        <v>1</v>
      </c>
      <c r="H4833" s="1204" t="s">
        <v>400</v>
      </c>
      <c r="I4833" s="1203">
        <f t="shared" si="1029"/>
        <v>10904.4</v>
      </c>
      <c r="J4833" s="1846"/>
      <c r="K4833" s="1846"/>
      <c r="L4833" s="1846"/>
    </row>
    <row r="4834" spans="1:12">
      <c r="A4834" s="1798"/>
      <c r="B4834" s="1200"/>
      <c r="C4834" s="1807" t="str">
        <f>Input!$C$47</f>
        <v>Add for MA @ 40%</v>
      </c>
      <c r="D4834" s="1404">
        <f>Input!$D$47</f>
        <v>0.4</v>
      </c>
      <c r="E4834" s="1199"/>
      <c r="F4834" s="1203">
        <f>I4833</f>
        <v>10904.4</v>
      </c>
      <c r="G4834" s="1199"/>
      <c r="H4834" s="1204"/>
      <c r="I4834" s="1203">
        <f>ROUND(F4834*D4834,2)</f>
        <v>4361.76</v>
      </c>
      <c r="J4834" s="1846"/>
      <c r="K4834" s="1846"/>
      <c r="L4834" s="1846"/>
    </row>
    <row r="4835" spans="1:12">
      <c r="A4835" s="1798"/>
      <c r="B4835" s="1200"/>
      <c r="C4835" s="1807" t="s">
        <v>1824</v>
      </c>
      <c r="D4835" s="1203">
        <v>9</v>
      </c>
      <c r="E4835" s="1199" t="s">
        <v>400</v>
      </c>
      <c r="F4835" s="1203">
        <f>'Civil-SOR'!G332</f>
        <v>36.5</v>
      </c>
      <c r="G4835" s="1199">
        <v>1</v>
      </c>
      <c r="H4835" s="1204" t="s">
        <v>400</v>
      </c>
      <c r="I4835" s="1203">
        <f>ROUND(F4835*D4835/G4835,2)</f>
        <v>328.5</v>
      </c>
      <c r="J4835" s="1846"/>
      <c r="K4835" s="1846"/>
      <c r="L4835" s="1846"/>
    </row>
    <row r="4836" spans="1:12">
      <c r="A4836" s="1798"/>
      <c r="B4836" s="1200"/>
      <c r="C4836" s="1807" t="s">
        <v>1823</v>
      </c>
      <c r="D4836" s="1203">
        <v>9</v>
      </c>
      <c r="E4836" s="1199" t="s">
        <v>400</v>
      </c>
      <c r="F4836" s="1203">
        <f>'Civil-SOR'!J332</f>
        <v>218</v>
      </c>
      <c r="G4836" s="1199">
        <v>1</v>
      </c>
      <c r="H4836" s="1204" t="s">
        <v>400</v>
      </c>
      <c r="I4836" s="1203">
        <f t="shared" ref="I4836:I4838" si="1030">ROUND(F4836*D4836,2)</f>
        <v>1962</v>
      </c>
      <c r="J4836" s="1846"/>
      <c r="K4836" s="1846"/>
      <c r="L4836" s="1846"/>
    </row>
    <row r="4837" spans="1:12">
      <c r="A4837" s="1798"/>
      <c r="B4837" s="1200"/>
      <c r="C4837" s="1807" t="str">
        <f>Input!$C$47</f>
        <v>Add for MA @ 40%</v>
      </c>
      <c r="D4837" s="1404">
        <f>Input!$D$47</f>
        <v>0.4</v>
      </c>
      <c r="E4837" s="1199"/>
      <c r="F4837" s="1203">
        <f>I4836</f>
        <v>1962</v>
      </c>
      <c r="G4837" s="1199"/>
      <c r="H4837" s="1204"/>
      <c r="I4837" s="1203">
        <f t="shared" si="1030"/>
        <v>784.8</v>
      </c>
      <c r="J4837" s="1846"/>
      <c r="K4837" s="1846"/>
      <c r="L4837" s="1846"/>
    </row>
    <row r="4838" spans="1:12" ht="25.5">
      <c r="A4838" s="1798"/>
      <c r="B4838" s="1200"/>
      <c r="C4838" s="1807" t="s">
        <v>1825</v>
      </c>
      <c r="D4838" s="1203">
        <v>9</v>
      </c>
      <c r="E4838" s="1199" t="s">
        <v>400</v>
      </c>
      <c r="F4838" s="1203">
        <v>21.7</v>
      </c>
      <c r="G4838" s="1199">
        <v>1</v>
      </c>
      <c r="H4838" s="1204" t="s">
        <v>400</v>
      </c>
      <c r="I4838" s="1203">
        <f t="shared" si="1030"/>
        <v>195.3</v>
      </c>
      <c r="J4838" s="1846"/>
      <c r="K4838" s="1846"/>
      <c r="L4838" s="1846"/>
    </row>
    <row r="4839" spans="1:12">
      <c r="A4839" s="1798"/>
      <c r="B4839" s="1200"/>
      <c r="C4839" s="1807" t="s">
        <v>1823</v>
      </c>
      <c r="D4839" s="1203">
        <v>9</v>
      </c>
      <c r="E4839" s="1199" t="s">
        <v>400</v>
      </c>
      <c r="F4839" s="1203">
        <v>360.4</v>
      </c>
      <c r="G4839" s="1199">
        <v>1</v>
      </c>
      <c r="H4839" s="1204" t="s">
        <v>400</v>
      </c>
      <c r="I4839" s="1203">
        <f>ROUND(F4839*D4839/G4839,2)</f>
        <v>3243.6</v>
      </c>
      <c r="J4839" s="1846"/>
      <c r="K4839" s="1846"/>
      <c r="L4839" s="1846"/>
    </row>
    <row r="4840" spans="1:12">
      <c r="A4840" s="1798"/>
      <c r="B4840" s="1200"/>
      <c r="C4840" s="1807" t="str">
        <f>Input!$C$47</f>
        <v>Add for MA @ 40%</v>
      </c>
      <c r="D4840" s="1404">
        <f>Input!$D$47</f>
        <v>0.4</v>
      </c>
      <c r="E4840" s="1199"/>
      <c r="F4840" s="1203">
        <f>I4839</f>
        <v>3243.6</v>
      </c>
      <c r="G4840" s="1199"/>
      <c r="H4840" s="1204"/>
      <c r="I4840" s="1203">
        <f t="shared" ref="I4840:I4848" si="1031">ROUND(F4840*D4840,2)</f>
        <v>1297.44</v>
      </c>
      <c r="J4840" s="1846"/>
      <c r="K4840" s="1846"/>
      <c r="L4840" s="1846"/>
    </row>
    <row r="4841" spans="1:12">
      <c r="A4841" s="1798"/>
      <c r="B4841" s="1200"/>
      <c r="C4841" s="1807" t="s">
        <v>1826</v>
      </c>
      <c r="D4841" s="1203">
        <v>9</v>
      </c>
      <c r="E4841" s="1199" t="s">
        <v>400</v>
      </c>
      <c r="F4841" s="1203">
        <f>46.8+196.9</f>
        <v>243.7</v>
      </c>
      <c r="G4841" s="1199">
        <v>1</v>
      </c>
      <c r="H4841" s="1204" t="s">
        <v>400</v>
      </c>
      <c r="I4841" s="1203">
        <f t="shared" si="1031"/>
        <v>2193.3000000000002</v>
      </c>
      <c r="J4841" s="1846"/>
      <c r="K4841" s="1846"/>
      <c r="L4841" s="1846"/>
    </row>
    <row r="4842" spans="1:12">
      <c r="A4842" s="1798"/>
      <c r="B4842" s="1200"/>
      <c r="C4842" s="1807" t="s">
        <v>1823</v>
      </c>
      <c r="D4842" s="1203">
        <v>9</v>
      </c>
      <c r="E4842" s="1199" t="s">
        <v>400</v>
      </c>
      <c r="F4842" s="1203">
        <v>189.5</v>
      </c>
      <c r="G4842" s="1199">
        <v>1</v>
      </c>
      <c r="H4842" s="1204" t="s">
        <v>400</v>
      </c>
      <c r="I4842" s="1203">
        <f t="shared" si="1031"/>
        <v>1705.5</v>
      </c>
      <c r="J4842" s="1846"/>
      <c r="K4842" s="1846"/>
      <c r="L4842" s="1846"/>
    </row>
    <row r="4843" spans="1:12">
      <c r="A4843" s="1798"/>
      <c r="B4843" s="1200"/>
      <c r="C4843" s="1807" t="str">
        <f>Input!$C$47</f>
        <v>Add for MA @ 40%</v>
      </c>
      <c r="D4843" s="1404">
        <f>Input!$D$47</f>
        <v>0.4</v>
      </c>
      <c r="E4843" s="1199"/>
      <c r="F4843" s="1203">
        <f>I4842</f>
        <v>1705.5</v>
      </c>
      <c r="G4843" s="1199"/>
      <c r="H4843" s="1204"/>
      <c r="I4843" s="1203">
        <f t="shared" si="1031"/>
        <v>682.2</v>
      </c>
      <c r="J4843" s="1846"/>
      <c r="K4843" s="1846"/>
      <c r="L4843" s="1846"/>
    </row>
    <row r="4844" spans="1:12" ht="25.5">
      <c r="A4844" s="1798"/>
      <c r="B4844" s="1200"/>
      <c r="C4844" s="1807" t="s">
        <v>1827</v>
      </c>
      <c r="D4844" s="1203">
        <v>4</v>
      </c>
      <c r="E4844" s="1199" t="s">
        <v>400</v>
      </c>
      <c r="F4844" s="1424">
        <f>365.5+53.6</f>
        <v>419.1</v>
      </c>
      <c r="G4844" s="1199">
        <v>1</v>
      </c>
      <c r="H4844" s="1204" t="s">
        <v>400</v>
      </c>
      <c r="I4844" s="1203">
        <f t="shared" si="1031"/>
        <v>1676.4</v>
      </c>
      <c r="J4844" s="1846"/>
      <c r="K4844" s="1846"/>
      <c r="L4844" s="1846"/>
    </row>
    <row r="4845" spans="1:12">
      <c r="A4845" s="1798"/>
      <c r="B4845" s="1200"/>
      <c r="C4845" s="1807" t="s">
        <v>1823</v>
      </c>
      <c r="D4845" s="1203">
        <v>4</v>
      </c>
      <c r="E4845" s="1199" t="s">
        <v>400</v>
      </c>
      <c r="F4845" s="1425">
        <v>197.6</v>
      </c>
      <c r="G4845" s="1199">
        <v>1</v>
      </c>
      <c r="H4845" s="1204" t="s">
        <v>400</v>
      </c>
      <c r="I4845" s="1203">
        <f t="shared" si="1031"/>
        <v>790.4</v>
      </c>
      <c r="J4845" s="1846"/>
      <c r="K4845" s="1846"/>
      <c r="L4845" s="1846"/>
    </row>
    <row r="4846" spans="1:12">
      <c r="A4846" s="1798"/>
      <c r="B4846" s="1200"/>
      <c r="C4846" s="1807" t="str">
        <f>Input!$C$47</f>
        <v>Add for MA @ 40%</v>
      </c>
      <c r="D4846" s="1404">
        <f>Input!$D$47</f>
        <v>0.4</v>
      </c>
      <c r="E4846" s="1199"/>
      <c r="F4846" s="1203">
        <f>I4845</f>
        <v>790.4</v>
      </c>
      <c r="G4846" s="1199"/>
      <c r="H4846" s="1204"/>
      <c r="I4846" s="1203">
        <f t="shared" si="1031"/>
        <v>316.16000000000003</v>
      </c>
      <c r="J4846" s="1846"/>
      <c r="K4846" s="1846"/>
      <c r="L4846" s="1846"/>
    </row>
    <row r="4847" spans="1:12">
      <c r="A4847" s="1798"/>
      <c r="B4847" s="1200"/>
      <c r="C4847" s="1807" t="s">
        <v>1828</v>
      </c>
      <c r="D4847" s="1203">
        <v>5</v>
      </c>
      <c r="E4847" s="1199" t="s">
        <v>400</v>
      </c>
      <c r="F4847" s="1328">
        <f>'Civil-SOR'!$G$357</f>
        <v>769</v>
      </c>
      <c r="G4847" s="1199">
        <v>1</v>
      </c>
      <c r="H4847" s="1204" t="s">
        <v>400</v>
      </c>
      <c r="I4847" s="1203">
        <f t="shared" si="1031"/>
        <v>3845</v>
      </c>
      <c r="J4847" s="1846"/>
      <c r="K4847" s="1846"/>
      <c r="L4847" s="1846"/>
    </row>
    <row r="4848" spans="1:12">
      <c r="A4848" s="1798"/>
      <c r="B4848" s="1200"/>
      <c r="C4848" s="1208" t="s">
        <v>1829</v>
      </c>
      <c r="D4848" s="1208">
        <v>2</v>
      </c>
      <c r="E4848" s="1208" t="s">
        <v>400</v>
      </c>
      <c r="F4848" s="1207">
        <v>668.6</v>
      </c>
      <c r="G4848" s="1199">
        <v>1</v>
      </c>
      <c r="H4848" s="1208" t="s">
        <v>400</v>
      </c>
      <c r="I4848" s="1203">
        <f t="shared" si="1031"/>
        <v>1337.2</v>
      </c>
      <c r="J4848" s="1846"/>
      <c r="K4848" s="1846"/>
      <c r="L4848" s="1846"/>
    </row>
    <row r="4849" spans="1:12">
      <c r="A4849" s="1798"/>
      <c r="B4849" s="1200"/>
      <c r="C4849" s="1294" t="s">
        <v>1776</v>
      </c>
      <c r="D4849" s="1203"/>
      <c r="E4849" s="1199"/>
      <c r="F4849" s="1203"/>
      <c r="G4849" s="1199"/>
      <c r="H4849" s="1204"/>
      <c r="I4849" s="1203"/>
      <c r="J4849" s="1846"/>
      <c r="K4849" s="1846"/>
      <c r="L4849" s="1846"/>
    </row>
    <row r="4850" spans="1:12" ht="51">
      <c r="A4850" s="1798"/>
      <c r="B4850" s="1200"/>
      <c r="C4850" s="1807" t="s">
        <v>3490</v>
      </c>
      <c r="D4850" s="1203">
        <v>67.5</v>
      </c>
      <c r="E4850" s="1199" t="s">
        <v>75</v>
      </c>
      <c r="F4850" s="1203">
        <f>(F22+F16)/2</f>
        <v>1417.96</v>
      </c>
      <c r="G4850" s="1199">
        <v>1</v>
      </c>
      <c r="H4850" s="1204" t="s">
        <v>75</v>
      </c>
      <c r="I4850" s="1203">
        <f t="shared" ref="I4850:I4853" si="1032">ROUND(F4850*D4850,2)</f>
        <v>95712.3</v>
      </c>
      <c r="J4850" s="1846"/>
      <c r="K4850" s="1846"/>
      <c r="L4850" s="1846"/>
    </row>
    <row r="4851" spans="1:12" ht="25.5">
      <c r="A4851" s="1798"/>
      <c r="B4851" s="1200"/>
      <c r="C4851" s="1807" t="s">
        <v>1830</v>
      </c>
      <c r="D4851" s="1203">
        <v>33.75</v>
      </c>
      <c r="E4851" s="1199" t="s">
        <v>75</v>
      </c>
      <c r="F4851" s="1203">
        <f>LEAD!N12</f>
        <v>2253.91</v>
      </c>
      <c r="G4851" s="1199">
        <v>1</v>
      </c>
      <c r="H4851" s="1204" t="s">
        <v>75</v>
      </c>
      <c r="I4851" s="1203">
        <f t="shared" si="1032"/>
        <v>76069.460000000006</v>
      </c>
      <c r="J4851" s="1846"/>
      <c r="K4851" s="1846"/>
      <c r="L4851" s="1846"/>
    </row>
    <row r="4852" spans="1:12">
      <c r="A4852" s="1798"/>
      <c r="B4852" s="1200"/>
      <c r="C4852" s="1807" t="s">
        <v>1831</v>
      </c>
      <c r="D4852" s="1203">
        <v>26.25</v>
      </c>
      <c r="E4852" s="1199" t="s">
        <v>1832</v>
      </c>
      <c r="F4852" s="1203">
        <f>LEAD!N6</f>
        <v>5200</v>
      </c>
      <c r="G4852" s="1199">
        <v>1</v>
      </c>
      <c r="H4852" s="1204" t="s">
        <v>1832</v>
      </c>
      <c r="I4852" s="1203">
        <f t="shared" si="1032"/>
        <v>136500</v>
      </c>
      <c r="J4852" s="1846"/>
      <c r="K4852" s="1846"/>
      <c r="L4852" s="1846"/>
    </row>
    <row r="4853" spans="1:12">
      <c r="A4853" s="1798"/>
      <c r="B4853" s="1200"/>
      <c r="C4853" s="1807" t="s">
        <v>1833</v>
      </c>
      <c r="D4853" s="1203">
        <v>412.5</v>
      </c>
      <c r="E4853" s="1199" t="s">
        <v>94</v>
      </c>
      <c r="F4853" s="1203">
        <v>19</v>
      </c>
      <c r="G4853" s="1199">
        <v>1</v>
      </c>
      <c r="H4853" s="1204" t="s">
        <v>94</v>
      </c>
      <c r="I4853" s="1203">
        <f t="shared" si="1032"/>
        <v>7837.5</v>
      </c>
      <c r="J4853" s="1846"/>
      <c r="K4853" s="1846"/>
      <c r="L4853" s="1846"/>
    </row>
    <row r="4854" spans="1:12" ht="51">
      <c r="A4854" s="1798"/>
      <c r="B4854" s="1200"/>
      <c r="C4854" s="1807" t="s">
        <v>1834</v>
      </c>
      <c r="D4854" s="1203"/>
      <c r="E4854" s="1199"/>
      <c r="F4854" s="1203"/>
      <c r="G4854" s="1199"/>
      <c r="H4854" s="1204"/>
      <c r="I4854" s="1203"/>
      <c r="J4854" s="1846"/>
      <c r="K4854" s="1846"/>
      <c r="L4854" s="1846"/>
    </row>
    <row r="4855" spans="1:12" ht="25.5">
      <c r="A4855" s="1798"/>
      <c r="B4855" s="1200"/>
      <c r="C4855" s="1795" t="s">
        <v>1835</v>
      </c>
      <c r="D4855" s="1203">
        <v>0.1176</v>
      </c>
      <c r="E4855" s="1199" t="s">
        <v>1832</v>
      </c>
      <c r="F4855" s="1203">
        <f>+LEAD!$N$9</f>
        <v>60000</v>
      </c>
      <c r="G4855" s="1199">
        <v>1</v>
      </c>
      <c r="H4855" s="1204" t="s">
        <v>948</v>
      </c>
      <c r="I4855" s="1203">
        <f t="shared" ref="I4855:I4861" si="1033">ROUND(F4855*D4855,2)</f>
        <v>7056</v>
      </c>
      <c r="J4855" s="1846"/>
      <c r="K4855" s="1846"/>
      <c r="L4855" s="1846"/>
    </row>
    <row r="4856" spans="1:12" ht="25.5">
      <c r="A4856" s="1798"/>
      <c r="B4856" s="1200"/>
      <c r="C4856" s="1807" t="s">
        <v>1836</v>
      </c>
      <c r="D4856" s="1203">
        <v>19</v>
      </c>
      <c r="E4856" s="1199" t="s">
        <v>1837</v>
      </c>
      <c r="F4856" s="1203">
        <v>123</v>
      </c>
      <c r="G4856" s="1199">
        <v>1</v>
      </c>
      <c r="H4856" s="1204" t="s">
        <v>1837</v>
      </c>
      <c r="I4856" s="1203">
        <f t="shared" si="1033"/>
        <v>2337</v>
      </c>
      <c r="J4856" s="1846"/>
      <c r="K4856" s="1846"/>
      <c r="L4856" s="1846"/>
    </row>
    <row r="4857" spans="1:12" ht="25.5">
      <c r="A4857" s="1798"/>
      <c r="B4857" s="1200"/>
      <c r="C4857" s="1807" t="s">
        <v>1838</v>
      </c>
      <c r="D4857" s="1203">
        <v>90</v>
      </c>
      <c r="E4857" s="1199" t="s">
        <v>1839</v>
      </c>
      <c r="F4857" s="1203">
        <v>9</v>
      </c>
      <c r="G4857" s="1199">
        <v>1</v>
      </c>
      <c r="H4857" s="1204" t="s">
        <v>1839</v>
      </c>
      <c r="I4857" s="1203">
        <f t="shared" si="1033"/>
        <v>810</v>
      </c>
      <c r="J4857" s="1846"/>
      <c r="K4857" s="1846"/>
      <c r="L4857" s="1846"/>
    </row>
    <row r="4858" spans="1:12" ht="38.25">
      <c r="A4858" s="1798"/>
      <c r="B4858" s="1200"/>
      <c r="C4858" s="1807" t="s">
        <v>1840</v>
      </c>
      <c r="D4858" s="1203">
        <v>483</v>
      </c>
      <c r="E4858" s="1199" t="s">
        <v>39</v>
      </c>
      <c r="F4858" s="1203">
        <v>0.6</v>
      </c>
      <c r="G4858" s="1199">
        <v>1</v>
      </c>
      <c r="H4858" s="1204" t="s">
        <v>39</v>
      </c>
      <c r="I4858" s="1203">
        <f t="shared" si="1033"/>
        <v>289.8</v>
      </c>
      <c r="J4858" s="1846"/>
      <c r="K4858" s="1846"/>
      <c r="L4858" s="1846"/>
    </row>
    <row r="4859" spans="1:12" ht="25.5">
      <c r="A4859" s="1798"/>
      <c r="B4859" s="1200"/>
      <c r="C4859" s="1807" t="s">
        <v>1841</v>
      </c>
      <c r="D4859" s="1203">
        <v>122</v>
      </c>
      <c r="E4859" s="1199" t="s">
        <v>1837</v>
      </c>
      <c r="F4859" s="1203">
        <v>205</v>
      </c>
      <c r="G4859" s="1199">
        <v>1</v>
      </c>
      <c r="H4859" s="1204" t="s">
        <v>1837</v>
      </c>
      <c r="I4859" s="1203">
        <f t="shared" si="1033"/>
        <v>25010</v>
      </c>
      <c r="J4859" s="1846"/>
      <c r="K4859" s="1846"/>
      <c r="L4859" s="1846"/>
    </row>
    <row r="4860" spans="1:12">
      <c r="A4860" s="1798"/>
      <c r="B4860" s="1200"/>
      <c r="C4860" s="1807" t="s">
        <v>1842</v>
      </c>
      <c r="D4860" s="1203">
        <v>18</v>
      </c>
      <c r="E4860" s="1199" t="s">
        <v>1143</v>
      </c>
      <c r="F4860" s="1228">
        <f>+Input!$D$53</f>
        <v>108</v>
      </c>
      <c r="G4860" s="1199">
        <v>1</v>
      </c>
      <c r="H4860" s="1204" t="s">
        <v>1143</v>
      </c>
      <c r="I4860" s="1203">
        <f t="shared" si="1033"/>
        <v>1944</v>
      </c>
      <c r="J4860" s="1846"/>
      <c r="K4860" s="1846"/>
      <c r="L4860" s="1846"/>
    </row>
    <row r="4861" spans="1:12" ht="25.5">
      <c r="A4861" s="1798"/>
      <c r="B4861" s="1200"/>
      <c r="C4861" s="1807" t="s">
        <v>1843</v>
      </c>
      <c r="D4861" s="1203">
        <v>3</v>
      </c>
      <c r="E4861" s="1199" t="s">
        <v>94</v>
      </c>
      <c r="F4861" s="1203">
        <v>915</v>
      </c>
      <c r="G4861" s="1199">
        <v>1</v>
      </c>
      <c r="H4861" s="1204" t="s">
        <v>94</v>
      </c>
      <c r="I4861" s="1203">
        <f t="shared" si="1033"/>
        <v>2745</v>
      </c>
      <c r="J4861" s="1846"/>
      <c r="K4861" s="1846"/>
      <c r="L4861" s="1846"/>
    </row>
    <row r="4862" spans="1:12">
      <c r="A4862" s="1798"/>
      <c r="B4862" s="1200"/>
      <c r="C4862" s="1795"/>
      <c r="D4862" s="1203"/>
      <c r="E4862" s="1199"/>
      <c r="F4862" s="1203"/>
      <c r="G4862" s="1199"/>
      <c r="H4862" s="1229" t="s">
        <v>1844</v>
      </c>
      <c r="I4862" s="1203">
        <f>SUM(I4823:I4861)</f>
        <v>528288.41999999993</v>
      </c>
      <c r="J4862" s="1846"/>
      <c r="K4862" s="1846"/>
      <c r="L4862" s="1846"/>
    </row>
    <row r="4863" spans="1:12">
      <c r="A4863" s="1798"/>
      <c r="B4863" s="1200"/>
      <c r="C4863" s="1807" t="s">
        <v>1845</v>
      </c>
      <c r="D4863" s="1203">
        <v>0.03</v>
      </c>
      <c r="E4863" s="1199"/>
      <c r="F4863" s="1426">
        <f>I4862</f>
        <v>528288.41999999993</v>
      </c>
      <c r="G4863" s="1199"/>
      <c r="H4863" s="1204"/>
      <c r="I4863" s="1203">
        <f>ROUND(F4863*D4863,2)</f>
        <v>15848.65</v>
      </c>
      <c r="J4863" s="1846"/>
      <c r="K4863" s="1846"/>
      <c r="L4863" s="1846"/>
    </row>
    <row r="4864" spans="1:12">
      <c r="A4864" s="1798"/>
      <c r="B4864" s="1200"/>
      <c r="C4864" s="1807"/>
      <c r="D4864" s="1203"/>
      <c r="E4864" s="1199"/>
      <c r="F4864" s="1203"/>
      <c r="G4864" s="1199"/>
      <c r="H4864" s="1204"/>
      <c r="I4864" s="1203">
        <f>SUM(I4862:I4863)</f>
        <v>544137.06999999995</v>
      </c>
      <c r="J4864" s="1846"/>
      <c r="K4864" s="1846"/>
      <c r="L4864" s="1846"/>
    </row>
    <row r="4865" spans="1:12">
      <c r="A4865" s="1798"/>
      <c r="B4865" s="1200"/>
      <c r="C4865" s="1807" t="str">
        <f>Input!$C$48</f>
        <v>Overheads &amp; Contractors Profit @ 13.615%</v>
      </c>
      <c r="D4865" s="1385">
        <f>Input!$D$48</f>
        <v>0.13614999999999999</v>
      </c>
      <c r="E4865" s="1199"/>
      <c r="F4865" s="1426">
        <f>I4864</f>
        <v>544137.06999999995</v>
      </c>
      <c r="G4865" s="1199"/>
      <c r="H4865" s="1204"/>
      <c r="I4865" s="1203">
        <f>ROUND(F4865*D4865,2)</f>
        <v>74084.259999999995</v>
      </c>
      <c r="J4865" s="1846"/>
      <c r="K4865" s="1846"/>
      <c r="L4865" s="1846"/>
    </row>
    <row r="4866" spans="1:12">
      <c r="A4866" s="1798"/>
      <c r="B4866" s="1200"/>
      <c r="C4866" s="1795" t="s">
        <v>1846</v>
      </c>
      <c r="D4866" s="1203"/>
      <c r="E4866" s="1199"/>
      <c r="F4866" s="1203"/>
      <c r="G4866" s="1199"/>
      <c r="H4866" s="1204"/>
      <c r="I4866" s="1203">
        <f>SUM(I4864:I4865)</f>
        <v>618221.32999999996</v>
      </c>
      <c r="J4866" s="1846"/>
      <c r="K4866" s="1846"/>
      <c r="L4866" s="1846"/>
    </row>
    <row r="4867" spans="1:12">
      <c r="A4867" s="1798"/>
      <c r="B4867" s="1200"/>
      <c r="C4867" s="1795" t="s">
        <v>1847</v>
      </c>
      <c r="D4867" s="1203"/>
      <c r="E4867" s="1199"/>
      <c r="F4867" s="1203"/>
      <c r="G4867" s="1199"/>
      <c r="H4867" s="1204"/>
      <c r="I4867" s="1397">
        <f>I4866/75</f>
        <v>8242.9510666666665</v>
      </c>
      <c r="J4867" s="1846"/>
      <c r="K4867" s="1846"/>
      <c r="L4867" s="1846"/>
    </row>
    <row r="4868" spans="1:12">
      <c r="A4868" s="1798"/>
      <c r="B4868" s="1200"/>
      <c r="C4868" s="1208"/>
      <c r="D4868" s="1397"/>
      <c r="E4868" s="1198"/>
      <c r="F4868" s="1397"/>
      <c r="G4868" s="1199"/>
      <c r="H4868" s="1795" t="s">
        <v>1065</v>
      </c>
      <c r="I4868" s="1229">
        <f>ROUND(I4867,0)</f>
        <v>8243</v>
      </c>
      <c r="J4868" s="1846"/>
      <c r="K4868" s="1846"/>
      <c r="L4868" s="1846"/>
    </row>
    <row r="4869" spans="1:12" ht="80.650000000000006" customHeight="1">
      <c r="A4869" s="2013">
        <f>A4656+1</f>
        <v>70</v>
      </c>
      <c r="B4869" s="2013"/>
      <c r="C4869" s="2006" t="s">
        <v>3491</v>
      </c>
      <c r="D4869" s="2006"/>
      <c r="E4869" s="2006"/>
      <c r="F4869" s="2006"/>
      <c r="G4869" s="2006"/>
      <c r="H4869" s="2006"/>
      <c r="I4869" s="1814"/>
      <c r="J4869" s="1846"/>
      <c r="K4869" s="1846"/>
      <c r="L4869" s="1846"/>
    </row>
    <row r="4870" spans="1:12">
      <c r="A4870" s="1794"/>
      <c r="B4870" s="1794"/>
      <c r="C4870" s="1807" t="s">
        <v>1766</v>
      </c>
      <c r="D4870" s="1316">
        <v>1</v>
      </c>
      <c r="E4870" s="1308" t="s">
        <v>948</v>
      </c>
      <c r="F4870" s="1211">
        <f>LEAD!N10</f>
        <v>61000</v>
      </c>
      <c r="G4870" s="1308">
        <v>1</v>
      </c>
      <c r="H4870" s="1290" t="str">
        <f t="shared" ref="H4870:H4872" si="1034">IF(E4870="","",IF(E4870="No.","Each",IF(E4870="Nos.","Each",E4870)))</f>
        <v>MT</v>
      </c>
      <c r="I4870" s="1211">
        <f t="shared" ref="I4870:I4873" si="1035">IF(G4870="",D4870*F4870,(D4870*F4870/G4870))</f>
        <v>61000</v>
      </c>
      <c r="J4870" s="1846"/>
      <c r="K4870" s="1846"/>
      <c r="L4870" s="1846"/>
    </row>
    <row r="4871" spans="1:12">
      <c r="A4871" s="1794"/>
      <c r="B4871" s="1794"/>
      <c r="C4871" s="1208" t="s">
        <v>1767</v>
      </c>
      <c r="D4871" s="1316">
        <f t="shared" ref="D4871:D4872" si="1036">D4870</f>
        <v>1</v>
      </c>
      <c r="E4871" s="1308" t="s">
        <v>948</v>
      </c>
      <c r="F4871" s="1211">
        <v>37000</v>
      </c>
      <c r="G4871" s="1308">
        <v>1</v>
      </c>
      <c r="H4871" s="1290" t="str">
        <f t="shared" si="1034"/>
        <v>MT</v>
      </c>
      <c r="I4871" s="1211">
        <f t="shared" si="1035"/>
        <v>37000</v>
      </c>
      <c r="J4871" s="1846"/>
      <c r="K4871" s="1846"/>
      <c r="L4871" s="1846"/>
    </row>
    <row r="4872" spans="1:12">
      <c r="A4872" s="1794"/>
      <c r="B4872" s="1794"/>
      <c r="C4872" s="1208" t="s">
        <v>1768</v>
      </c>
      <c r="D4872" s="1316">
        <f t="shared" si="1036"/>
        <v>1</v>
      </c>
      <c r="E4872" s="1308" t="s">
        <v>948</v>
      </c>
      <c r="F4872" s="1211">
        <v>6000</v>
      </c>
      <c r="G4872" s="1308">
        <v>1</v>
      </c>
      <c r="H4872" s="1290" t="str">
        <f t="shared" si="1034"/>
        <v>MT</v>
      </c>
      <c r="I4872" s="1211">
        <f t="shared" si="1035"/>
        <v>6000</v>
      </c>
      <c r="J4872" s="1846"/>
      <c r="K4872" s="1846"/>
      <c r="L4872" s="1846"/>
    </row>
    <row r="4873" spans="1:12">
      <c r="A4873" s="1794"/>
      <c r="B4873" s="1794"/>
      <c r="C4873" s="1807" t="str">
        <f>Input!C$47</f>
        <v>Add for MA @ 40%</v>
      </c>
      <c r="D4873" s="1404">
        <f>Input!D$47</f>
        <v>0.4</v>
      </c>
      <c r="E4873" s="1308"/>
      <c r="F4873" s="1211">
        <f>I4871*40%+I4872</f>
        <v>20800</v>
      </c>
      <c r="G4873" s="1208"/>
      <c r="H4873" s="1813"/>
      <c r="I4873" s="1211">
        <f t="shared" si="1035"/>
        <v>8320</v>
      </c>
      <c r="J4873" s="1846"/>
      <c r="K4873" s="1846"/>
      <c r="L4873" s="1846"/>
    </row>
    <row r="4874" spans="1:12">
      <c r="A4874" s="1794"/>
      <c r="B4874" s="1794"/>
      <c r="C4874" s="1294" t="s">
        <v>1356</v>
      </c>
      <c r="D4874" s="1316"/>
      <c r="E4874" s="1390"/>
      <c r="F4874" s="1206"/>
      <c r="G4874" s="1308"/>
      <c r="H4874" s="1391"/>
      <c r="I4874" s="1307">
        <f>SUM(I4870:I4873)</f>
        <v>112320</v>
      </c>
      <c r="J4874" s="1846"/>
      <c r="K4874" s="1846"/>
      <c r="L4874" s="1846"/>
    </row>
    <row r="4875" spans="1:12">
      <c r="A4875" s="1794"/>
      <c r="B4875" s="1794"/>
      <c r="C4875" s="1807" t="str">
        <f>Input!$C$48</f>
        <v>Overheads &amp; Contractors Profit @ 13.615%</v>
      </c>
      <c r="D4875" s="1385">
        <f>Input!$D$48</f>
        <v>0.13614999999999999</v>
      </c>
      <c r="E4875" s="1390"/>
      <c r="F4875" s="1211">
        <f>I4874</f>
        <v>112320</v>
      </c>
      <c r="G4875" s="1308"/>
      <c r="H4875" s="1391"/>
      <c r="I4875" s="1211">
        <f>IF(G4875="",D4875*F4875,(D4875*F4875/G4875))</f>
        <v>15292.367999999999</v>
      </c>
      <c r="J4875" s="1846"/>
      <c r="K4875" s="1846"/>
      <c r="L4875" s="1846"/>
    </row>
    <row r="4876" spans="1:12">
      <c r="A4876" s="1798"/>
      <c r="B4876" s="1200"/>
      <c r="C4876" s="1294"/>
      <c r="D4876" s="1333"/>
      <c r="E4876" s="1393"/>
      <c r="F4876" s="1339"/>
      <c r="G4876" s="1394"/>
      <c r="H4876" s="1810"/>
      <c r="I4876" s="1219">
        <f>SUM(I4874:I4875)</f>
        <v>127612.368</v>
      </c>
      <c r="J4876" s="1846"/>
      <c r="K4876" s="1846"/>
      <c r="L4876" s="1846"/>
    </row>
    <row r="4877" spans="1:12">
      <c r="A4877" s="1797"/>
      <c r="B4877" s="1797"/>
      <c r="C4877" s="1294" t="s">
        <v>1356</v>
      </c>
      <c r="D4877" s="1364"/>
      <c r="E4877" s="1349"/>
      <c r="F4877" s="1802"/>
      <c r="G4877" s="1348"/>
      <c r="H4877" s="1799" t="s">
        <v>1065</v>
      </c>
      <c r="I4877" s="1218">
        <f>ROUND(I4876,0)</f>
        <v>127612</v>
      </c>
      <c r="J4877" s="1846"/>
      <c r="K4877" s="1846"/>
      <c r="L4877" s="1846"/>
    </row>
    <row r="4878" spans="1:12">
      <c r="A4878" s="1797"/>
      <c r="B4878" s="1797"/>
      <c r="C4878" s="1294" t="s">
        <v>1763</v>
      </c>
      <c r="D4878" s="1364"/>
      <c r="E4878" s="1349"/>
      <c r="F4878" s="1802"/>
      <c r="G4878" s="1348"/>
      <c r="H4878" s="1799"/>
      <c r="I4878" s="1218">
        <f>I4877/1000</f>
        <v>127.61199999999999</v>
      </c>
      <c r="J4878" s="1846"/>
      <c r="K4878" s="1846"/>
      <c r="L4878" s="1846"/>
    </row>
    <row r="4879" spans="1:12">
      <c r="A4879" s="1797"/>
      <c r="B4879" s="1797"/>
      <c r="C4879" s="1807"/>
      <c r="D4879" s="1281"/>
      <c r="E4879" s="1320"/>
      <c r="F4879" s="1283"/>
      <c r="G4879" s="2014" t="s">
        <v>1764</v>
      </c>
      <c r="H4879" s="2014"/>
      <c r="I4879" s="1218">
        <f>ROUND(I4878,0)</f>
        <v>128</v>
      </c>
      <c r="J4879" s="1846"/>
      <c r="K4879" s="1846"/>
      <c r="L4879" s="1846"/>
    </row>
    <row r="4880" spans="1:12">
      <c r="A4880" s="1798"/>
      <c r="B4880" s="1200"/>
      <c r="C4880" s="1807"/>
      <c r="D4880" s="1203"/>
      <c r="E4880" s="1199"/>
      <c r="F4880" s="1201"/>
      <c r="G4880" s="1204"/>
      <c r="H4880" s="1199"/>
      <c r="I4880" s="1201"/>
      <c r="J4880" s="1846"/>
      <c r="K4880" s="1846"/>
      <c r="L4880" s="1846"/>
    </row>
    <row r="4881" spans="1:12" ht="36.6" customHeight="1">
      <c r="A4881" s="2018">
        <f>A4668+1</f>
        <v>71</v>
      </c>
      <c r="B4881" s="2018"/>
      <c r="C4881" s="2019" t="s">
        <v>1848</v>
      </c>
      <c r="D4881" s="2019"/>
      <c r="E4881" s="2019"/>
      <c r="F4881" s="2019"/>
      <c r="G4881" s="2019"/>
      <c r="H4881" s="2019"/>
      <c r="I4881" s="1427"/>
      <c r="J4881" s="1846"/>
      <c r="K4881" s="1846"/>
      <c r="L4881" s="1846"/>
    </row>
    <row r="4882" spans="1:12">
      <c r="A4882" s="1428"/>
      <c r="B4882" s="1428"/>
      <c r="C4882" s="1429" t="s">
        <v>1849</v>
      </c>
      <c r="D4882" s="1236"/>
      <c r="E4882" s="1236"/>
      <c r="F4882" s="1236"/>
      <c r="G4882" s="1236"/>
      <c r="H4882" s="1236"/>
      <c r="I4882" s="1252">
        <v>475</v>
      </c>
      <c r="J4882" s="1846"/>
      <c r="K4882" s="1846"/>
      <c r="L4882" s="1846"/>
    </row>
    <row r="4883" spans="1:12">
      <c r="A4883" s="1428"/>
      <c r="B4883" s="1428"/>
      <c r="C4883" s="1805" t="s">
        <v>1850</v>
      </c>
      <c r="D4883" s="1236"/>
      <c r="E4883" s="1236"/>
      <c r="F4883" s="1236"/>
      <c r="G4883" s="1236"/>
      <c r="H4883" s="1429"/>
      <c r="I4883" s="1252">
        <f>+I4882</f>
        <v>475</v>
      </c>
      <c r="J4883" s="1846"/>
      <c r="K4883" s="1846"/>
      <c r="L4883" s="1846"/>
    </row>
    <row r="4884" spans="1:12">
      <c r="A4884" s="1803"/>
      <c r="B4884" s="1237"/>
      <c r="C4884" s="1804"/>
      <c r="D4884" s="1239"/>
      <c r="E4884" s="1236"/>
      <c r="F4884" s="1238"/>
      <c r="G4884" s="1240"/>
      <c r="H4884" s="1236"/>
      <c r="I4884" s="1238"/>
      <c r="J4884" s="1846"/>
      <c r="K4884" s="1846"/>
      <c r="L4884" s="1846"/>
    </row>
    <row r="4885" spans="1:12" ht="25.35" customHeight="1">
      <c r="A4885" s="2018">
        <f>1+A4881</f>
        <v>72</v>
      </c>
      <c r="B4885" s="2018"/>
      <c r="C4885" s="2020" t="s">
        <v>1851</v>
      </c>
      <c r="D4885" s="2020"/>
      <c r="E4885" s="2020"/>
      <c r="F4885" s="2020"/>
      <c r="G4885" s="2020"/>
      <c r="H4885" s="2020"/>
      <c r="I4885" s="1427"/>
      <c r="J4885" s="1846"/>
      <c r="K4885" s="1846"/>
      <c r="L4885" s="1846"/>
    </row>
    <row r="4886" spans="1:12" ht="25.5">
      <c r="A4886" s="1428"/>
      <c r="B4886" s="1428"/>
      <c r="C4886" s="1430" t="s">
        <v>1852</v>
      </c>
      <c r="D4886" s="1431">
        <v>1</v>
      </c>
      <c r="E4886" s="1432" t="s">
        <v>46</v>
      </c>
      <c r="F4886" s="1247">
        <v>22</v>
      </c>
      <c r="G4886" s="1432">
        <v>1</v>
      </c>
      <c r="H4886" s="1433" t="str">
        <f>IF(E4886="","",IF(E4886="No.","Each",IF(E4886="Nos.","Each",E4886)))</f>
        <v>Sqm</v>
      </c>
      <c r="I4886" s="1247">
        <f t="shared" ref="I4886:I4887" si="1037">IF(G4886="",D4886*F4886,(D4886*F4886/G4886))</f>
        <v>22</v>
      </c>
      <c r="J4886" s="1846"/>
      <c r="K4886" s="1846"/>
      <c r="L4886" s="1846"/>
    </row>
    <row r="4887" spans="1:12">
      <c r="A4887" s="1428"/>
      <c r="B4887" s="1428"/>
      <c r="C4887" s="1804" t="str">
        <f>Input!$C$48</f>
        <v>Overheads &amp; Contractors Profit @ 13.615%</v>
      </c>
      <c r="D4887" s="1434">
        <f>Input!$D$48</f>
        <v>0.13614999999999999</v>
      </c>
      <c r="E4887" s="1435"/>
      <c r="F4887" s="1247">
        <f>I4886</f>
        <v>22</v>
      </c>
      <c r="G4887" s="1432"/>
      <c r="H4887" s="1436"/>
      <c r="I4887" s="1247">
        <f t="shared" si="1037"/>
        <v>2.9952999999999999</v>
      </c>
      <c r="J4887" s="1846"/>
      <c r="K4887" s="1846"/>
      <c r="L4887" s="1846"/>
    </row>
    <row r="4888" spans="1:12">
      <c r="A4888" s="1803"/>
      <c r="B4888" s="1237"/>
      <c r="C4888" s="1235"/>
      <c r="D4888" s="1437"/>
      <c r="E4888" s="1438"/>
      <c r="F4888" s="1439"/>
      <c r="G4888" s="1440"/>
      <c r="H4888" s="1441"/>
      <c r="I4888" s="1261">
        <f>SUM(I4886:I4887)</f>
        <v>24.9953</v>
      </c>
      <c r="J4888" s="1846"/>
      <c r="K4888" s="1846"/>
      <c r="L4888" s="1846"/>
    </row>
    <row r="4889" spans="1:12" ht="25.5">
      <c r="A4889" s="1442"/>
      <c r="B4889" s="1442"/>
      <c r="C4889" s="1443" t="s">
        <v>1853</v>
      </c>
      <c r="D4889" s="1431">
        <v>1</v>
      </c>
      <c r="E4889" s="1432" t="s">
        <v>46</v>
      </c>
      <c r="F4889" s="1444">
        <v>113</v>
      </c>
      <c r="G4889" s="1432">
        <v>1</v>
      </c>
      <c r="H4889" s="1433" t="str">
        <f>IF(E4889="","",IF(E4889="No.","Each",IF(E4889="Nos.","Each",E4889)))</f>
        <v>Sqm</v>
      </c>
      <c r="I4889" s="1247">
        <f t="shared" ref="I4889:I4890" si="1038">IF(G4889="",D4889*F4889,(D4889*F4889/G4889))</f>
        <v>113</v>
      </c>
      <c r="J4889" s="1846"/>
      <c r="K4889" s="1846"/>
      <c r="L4889" s="1846"/>
    </row>
    <row r="4890" spans="1:12">
      <c r="A4890" s="1428"/>
      <c r="B4890" s="1428"/>
      <c r="C4890" s="1804" t="str">
        <f>Input!C$47</f>
        <v>Add for MA @ 40%</v>
      </c>
      <c r="D4890" s="1445">
        <f>Input!D$47</f>
        <v>0.4</v>
      </c>
      <c r="E4890" s="1432"/>
      <c r="F4890" s="1247">
        <f>I4889</f>
        <v>113</v>
      </c>
      <c r="G4890" s="1244"/>
      <c r="H4890" s="1446"/>
      <c r="I4890" s="1247">
        <f t="shared" si="1038"/>
        <v>45.2</v>
      </c>
      <c r="J4890" s="1846"/>
      <c r="K4890" s="1846"/>
      <c r="L4890" s="1846"/>
    </row>
    <row r="4891" spans="1:12">
      <c r="A4891" s="1442"/>
      <c r="B4891" s="1442"/>
      <c r="C4891" s="1805" t="s">
        <v>1045</v>
      </c>
      <c r="D4891" s="1447"/>
      <c r="E4891" s="1448"/>
      <c r="F4891" s="1254"/>
      <c r="G4891" s="1449"/>
      <c r="H4891" s="1806"/>
      <c r="I4891" s="1259">
        <f>SUM(I4888:I4890)</f>
        <v>183.19529999999997</v>
      </c>
      <c r="J4891" s="1846"/>
      <c r="K4891" s="1846"/>
      <c r="L4891" s="1846"/>
    </row>
    <row r="4892" spans="1:12">
      <c r="A4892" s="1442"/>
      <c r="B4892" s="1442"/>
      <c r="C4892" s="1804"/>
      <c r="D4892" s="1450"/>
      <c r="E4892" s="1451"/>
      <c r="F4892" s="1452"/>
      <c r="G4892" s="2021"/>
      <c r="H4892" s="2021"/>
      <c r="I4892" s="1259">
        <f>ROUND(I4891,0)</f>
        <v>183</v>
      </c>
      <c r="J4892" s="1846"/>
      <c r="K4892" s="1846"/>
      <c r="L4892" s="1846"/>
    </row>
    <row r="4893" spans="1:12" ht="47.85" customHeight="1">
      <c r="A4893" s="2013">
        <f>1+A4885</f>
        <v>73</v>
      </c>
      <c r="B4893" s="2013"/>
      <c r="C4893" s="2006" t="s">
        <v>3492</v>
      </c>
      <c r="D4893" s="2006"/>
      <c r="E4893" s="2006"/>
      <c r="F4893" s="2006"/>
      <c r="G4893" s="2006"/>
      <c r="H4893" s="2006"/>
      <c r="I4893" s="2006"/>
      <c r="J4893" s="1846"/>
      <c r="K4893" s="1846"/>
      <c r="L4893" s="1846"/>
    </row>
    <row r="4894" spans="1:12">
      <c r="A4894" s="1798"/>
      <c r="B4894" s="1798"/>
      <c r="C4894" s="1795" t="s">
        <v>1854</v>
      </c>
      <c r="D4894" s="1795"/>
      <c r="E4894" s="1795"/>
      <c r="F4894" s="1795"/>
      <c r="G4894" s="1795"/>
      <c r="H4894" s="1795"/>
      <c r="I4894" s="1814"/>
      <c r="J4894" s="1846"/>
      <c r="K4894" s="1846"/>
      <c r="L4894" s="1846"/>
    </row>
    <row r="4895" spans="1:12" ht="25.5">
      <c r="A4895" s="1794"/>
      <c r="B4895" s="1794"/>
      <c r="C4895" s="1807" t="s">
        <v>1855</v>
      </c>
      <c r="D4895" s="1316">
        <v>1</v>
      </c>
      <c r="E4895" s="1297" t="s">
        <v>197</v>
      </c>
      <c r="F4895" s="1313">
        <v>136</v>
      </c>
      <c r="G4895" s="1308">
        <v>1</v>
      </c>
      <c r="H4895" s="1290" t="str">
        <f>IF(E4895="","",IF(E4895="No.","Each",IF(E4895="Nos.","Each",E4895)))</f>
        <v>RM</v>
      </c>
      <c r="I4895" s="1211">
        <f t="shared" ref="I4895:I4896" si="1039">IF(G4895="",D4895*F4895,(D4895*F4895/G4895))</f>
        <v>136</v>
      </c>
      <c r="J4895" s="1846"/>
      <c r="K4895" s="1846"/>
      <c r="L4895" s="1846"/>
    </row>
    <row r="4896" spans="1:12">
      <c r="A4896" s="1794"/>
      <c r="B4896" s="1794"/>
      <c r="C4896" s="1807" t="str">
        <f>Input!$C$48</f>
        <v>Overheads &amp; Contractors Profit @ 13.615%</v>
      </c>
      <c r="D4896" s="1385">
        <f>Input!$D$48</f>
        <v>0.13614999999999999</v>
      </c>
      <c r="E4896" s="1390"/>
      <c r="F4896" s="1211">
        <f>I4895</f>
        <v>136</v>
      </c>
      <c r="G4896" s="1308"/>
      <c r="H4896" s="1391"/>
      <c r="I4896" s="1211">
        <f t="shared" si="1039"/>
        <v>18.516399999999997</v>
      </c>
      <c r="J4896" s="1846"/>
      <c r="K4896" s="1846"/>
      <c r="L4896" s="1846"/>
    </row>
    <row r="4897" spans="1:12">
      <c r="A4897" s="1798"/>
      <c r="B4897" s="1200"/>
      <c r="C4897" s="1294"/>
      <c r="D4897" s="1333"/>
      <c r="E4897" s="1393"/>
      <c r="F4897" s="1339"/>
      <c r="G4897" s="1394"/>
      <c r="H4897" s="1810"/>
      <c r="I4897" s="1219">
        <f>SUM(I4895:I4896)</f>
        <v>154.5164</v>
      </c>
      <c r="J4897" s="1846"/>
      <c r="K4897" s="1846"/>
      <c r="L4897" s="1846"/>
    </row>
    <row r="4898" spans="1:12">
      <c r="A4898" s="1798"/>
      <c r="B4898" s="1200"/>
      <c r="C4898" s="1807"/>
      <c r="D4898" s="1203"/>
      <c r="E4898" s="1199"/>
      <c r="F4898" s="1201"/>
      <c r="G4898" s="1204"/>
      <c r="H4898" s="1298" t="s">
        <v>1065</v>
      </c>
      <c r="I4898" s="1417">
        <f>ROUND(I4897,0)</f>
        <v>155</v>
      </c>
      <c r="J4898" s="1846"/>
      <c r="K4898" s="1846"/>
      <c r="L4898" s="1846"/>
    </row>
    <row r="4899" spans="1:12">
      <c r="A4899" s="1798"/>
      <c r="B4899" s="1200"/>
      <c r="C4899" s="1807"/>
      <c r="D4899" s="1203"/>
      <c r="E4899" s="1199"/>
      <c r="F4899" s="1201"/>
      <c r="G4899" s="1204"/>
      <c r="H4899" s="1199"/>
      <c r="I4899" s="1201"/>
      <c r="J4899" s="1846"/>
      <c r="K4899" s="1846"/>
      <c r="L4899" s="1846"/>
    </row>
    <row r="4900" spans="1:12" ht="25.35" customHeight="1">
      <c r="A4900" s="2013">
        <f>1+A4893</f>
        <v>74</v>
      </c>
      <c r="B4900" s="2013"/>
      <c r="C4900" s="2006" t="s">
        <v>3493</v>
      </c>
      <c r="D4900" s="2006"/>
      <c r="E4900" s="2006"/>
      <c r="F4900" s="2006"/>
      <c r="G4900" s="2006"/>
      <c r="H4900" s="2006"/>
      <c r="I4900" s="2006"/>
      <c r="J4900" s="1846"/>
      <c r="K4900" s="1846"/>
      <c r="L4900" s="1846"/>
    </row>
    <row r="4901" spans="1:12">
      <c r="A4901" s="1798"/>
      <c r="B4901" s="1798"/>
      <c r="C4901" s="1795" t="s">
        <v>1854</v>
      </c>
      <c r="D4901" s="1795"/>
      <c r="E4901" s="1795"/>
      <c r="F4901" s="1795"/>
      <c r="G4901" s="1795"/>
      <c r="H4901" s="1795"/>
      <c r="I4901" s="1814"/>
      <c r="J4901" s="1846"/>
      <c r="K4901" s="1846"/>
      <c r="L4901" s="1846"/>
    </row>
    <row r="4902" spans="1:12" ht="25.5">
      <c r="A4902" s="1794"/>
      <c r="B4902" s="1794"/>
      <c r="C4902" s="1807" t="s">
        <v>1856</v>
      </c>
      <c r="D4902" s="1316">
        <v>1</v>
      </c>
      <c r="E4902" s="1297" t="s">
        <v>197</v>
      </c>
      <c r="F4902" s="1313">
        <v>116</v>
      </c>
      <c r="G4902" s="1308">
        <v>1</v>
      </c>
      <c r="H4902" s="1290" t="str">
        <f>IF(E4902="","",IF(E4902="No.","Each",IF(E4902="Nos.","Each",E4902)))</f>
        <v>RM</v>
      </c>
      <c r="I4902" s="1211">
        <f t="shared" ref="I4902:I4903" si="1040">IF(G4902="",D4902*F4902,(D4902*F4902/G4902))</f>
        <v>116</v>
      </c>
      <c r="J4902" s="1846"/>
      <c r="K4902" s="1846"/>
      <c r="L4902" s="1846"/>
    </row>
    <row r="4903" spans="1:12">
      <c r="A4903" s="1794"/>
      <c r="B4903" s="1794"/>
      <c r="C4903" s="1807" t="str">
        <f>Input!$C$48</f>
        <v>Overheads &amp; Contractors Profit @ 13.615%</v>
      </c>
      <c r="D4903" s="1385">
        <f>Input!$D$48</f>
        <v>0.13614999999999999</v>
      </c>
      <c r="E4903" s="1390"/>
      <c r="F4903" s="1211">
        <f>I4902</f>
        <v>116</v>
      </c>
      <c r="G4903" s="1308"/>
      <c r="H4903" s="1391"/>
      <c r="I4903" s="1211">
        <f t="shared" si="1040"/>
        <v>15.793399999999998</v>
      </c>
      <c r="J4903" s="1846"/>
      <c r="K4903" s="1846"/>
      <c r="L4903" s="1846"/>
    </row>
    <row r="4904" spans="1:12">
      <c r="A4904" s="1798"/>
      <c r="B4904" s="1200"/>
      <c r="C4904" s="1294"/>
      <c r="D4904" s="1333"/>
      <c r="E4904" s="1393"/>
      <c r="F4904" s="1339"/>
      <c r="G4904" s="1394"/>
      <c r="H4904" s="1810"/>
      <c r="I4904" s="1219">
        <f>SUM(I4902:I4903)</f>
        <v>131.79339999999999</v>
      </c>
      <c r="J4904" s="1846"/>
      <c r="K4904" s="1846"/>
      <c r="L4904" s="1846"/>
    </row>
    <row r="4905" spans="1:12">
      <c r="A4905" s="1798"/>
      <c r="B4905" s="1200"/>
      <c r="C4905" s="1807"/>
      <c r="D4905" s="1203"/>
      <c r="E4905" s="1199"/>
      <c r="F4905" s="1201"/>
      <c r="G4905" s="1204"/>
      <c r="H4905" s="1298" t="s">
        <v>1065</v>
      </c>
      <c r="I4905" s="1417">
        <f>ROUND(I4904,0)</f>
        <v>132</v>
      </c>
      <c r="J4905" s="1846"/>
      <c r="K4905" s="1846"/>
      <c r="L4905" s="1846"/>
    </row>
    <row r="4906" spans="1:12">
      <c r="A4906" s="1798"/>
      <c r="B4906" s="1200"/>
      <c r="C4906" s="1807"/>
      <c r="D4906" s="1203"/>
      <c r="E4906" s="1199"/>
      <c r="F4906" s="1201"/>
      <c r="G4906" s="1204"/>
      <c r="H4906" s="1199"/>
      <c r="I4906" s="1201"/>
      <c r="J4906" s="1846"/>
      <c r="K4906" s="1846"/>
      <c r="L4906" s="1846"/>
    </row>
    <row r="4907" spans="1:12" ht="25.35" customHeight="1">
      <c r="A4907" s="2013">
        <f>1+A4900</f>
        <v>75</v>
      </c>
      <c r="B4907" s="2013"/>
      <c r="C4907" s="2006" t="s">
        <v>1857</v>
      </c>
      <c r="D4907" s="2006"/>
      <c r="E4907" s="2006"/>
      <c r="F4907" s="2006"/>
      <c r="G4907" s="2006"/>
      <c r="H4907" s="2006"/>
      <c r="I4907" s="2006"/>
      <c r="J4907" s="1846"/>
      <c r="K4907" s="1846"/>
      <c r="L4907" s="1846"/>
    </row>
    <row r="4908" spans="1:12">
      <c r="A4908" s="1794"/>
      <c r="B4908" s="1794"/>
      <c r="C4908" s="1332" t="s">
        <v>1858</v>
      </c>
      <c r="D4908" s="1316">
        <v>1</v>
      </c>
      <c r="E4908" s="1297" t="s">
        <v>1412</v>
      </c>
      <c r="F4908" s="1209">
        <v>4</v>
      </c>
      <c r="G4908" s="1308">
        <v>1</v>
      </c>
      <c r="H4908" s="1290" t="str">
        <f>IF(E4908="","",IF(E4908="No.","Each",IF(E4908="Nos.","Each",E4908)))</f>
        <v>SQM</v>
      </c>
      <c r="I4908" s="1211">
        <f t="shared" ref="I4908:I4909" si="1041">IF(G4908="",D4908*F4908,(D4908*F4908/G4908))</f>
        <v>4</v>
      </c>
      <c r="J4908" s="1846"/>
      <c r="K4908" s="1846"/>
      <c r="L4908" s="1846"/>
    </row>
    <row r="4909" spans="1:12">
      <c r="A4909" s="1794"/>
      <c r="B4909" s="1794"/>
      <c r="C4909" s="1807" t="str">
        <f>Input!$C$48</f>
        <v>Overheads &amp; Contractors Profit @ 13.615%</v>
      </c>
      <c r="D4909" s="1385">
        <f>Input!$D$48</f>
        <v>0.13614999999999999</v>
      </c>
      <c r="E4909" s="1390"/>
      <c r="F4909" s="1211">
        <f>I4908</f>
        <v>4</v>
      </c>
      <c r="G4909" s="1308"/>
      <c r="H4909" s="1391"/>
      <c r="I4909" s="1211">
        <f t="shared" si="1041"/>
        <v>0.54459999999999997</v>
      </c>
      <c r="J4909" s="1846"/>
      <c r="K4909" s="1846"/>
      <c r="L4909" s="1846"/>
    </row>
    <row r="4910" spans="1:12">
      <c r="A4910" s="1798"/>
      <c r="B4910" s="1200"/>
      <c r="C4910" s="1294"/>
      <c r="D4910" s="1333"/>
      <c r="E4910" s="1393"/>
      <c r="F4910" s="1339"/>
      <c r="G4910" s="1394"/>
      <c r="H4910" s="1810"/>
      <c r="I4910" s="1219">
        <f>SUM(I4908:I4909)</f>
        <v>4.5446</v>
      </c>
      <c r="J4910" s="1846"/>
      <c r="K4910" s="1846"/>
      <c r="L4910" s="1846"/>
    </row>
    <row r="4911" spans="1:12">
      <c r="A4911" s="1798"/>
      <c r="B4911" s="1200"/>
      <c r="C4911" s="1807"/>
      <c r="D4911" s="1203"/>
      <c r="E4911" s="1199"/>
      <c r="F4911" s="1201"/>
      <c r="G4911" s="1204"/>
      <c r="H4911" s="1298" t="s">
        <v>1065</v>
      </c>
      <c r="I4911" s="1453">
        <f>ROUND(I4910,2)</f>
        <v>4.54</v>
      </c>
      <c r="J4911" s="1846"/>
      <c r="K4911" s="1846"/>
      <c r="L4911" s="1846"/>
    </row>
    <row r="4912" spans="1:12">
      <c r="A4912" s="1798"/>
      <c r="B4912" s="1200"/>
      <c r="C4912" s="1807"/>
      <c r="D4912" s="1203"/>
      <c r="E4912" s="1199"/>
      <c r="F4912" s="1201"/>
      <c r="G4912" s="1204"/>
      <c r="H4912" s="1199"/>
      <c r="I4912" s="1201"/>
      <c r="J4912" s="1846"/>
      <c r="K4912" s="1846"/>
      <c r="L4912" s="1846"/>
    </row>
    <row r="4913" spans="1:12" ht="47.85" customHeight="1">
      <c r="A4913" s="2015">
        <f>1+A4907</f>
        <v>76</v>
      </c>
      <c r="B4913" s="2015"/>
      <c r="C4913" s="2016" t="s">
        <v>1859</v>
      </c>
      <c r="D4913" s="2016"/>
      <c r="E4913" s="2016"/>
      <c r="F4913" s="2016"/>
      <c r="G4913" s="2016"/>
      <c r="H4913" s="2016"/>
      <c r="I4913" s="1454"/>
      <c r="J4913" s="1846"/>
      <c r="K4913" s="1846"/>
      <c r="L4913" s="1846"/>
    </row>
    <row r="4914" spans="1:12">
      <c r="A4914" s="1800"/>
      <c r="B4914" s="1800"/>
      <c r="C4914" s="1801" t="s">
        <v>1854</v>
      </c>
      <c r="D4914" s="1801"/>
      <c r="E4914" s="1801"/>
      <c r="F4914" s="1801"/>
      <c r="G4914" s="1801"/>
      <c r="H4914" s="1801"/>
      <c r="I4914" s="1454"/>
      <c r="J4914" s="1846"/>
      <c r="K4914" s="1846"/>
      <c r="L4914" s="1846"/>
    </row>
    <row r="4915" spans="1:12">
      <c r="A4915" s="1455"/>
      <c r="B4915" s="1455"/>
      <c r="C4915" s="1208" t="s">
        <v>1590</v>
      </c>
      <c r="D4915" s="1456">
        <v>1</v>
      </c>
      <c r="E4915" s="1457" t="s">
        <v>197</v>
      </c>
      <c r="F4915" s="1207">
        <v>437</v>
      </c>
      <c r="G4915" s="1458">
        <v>1</v>
      </c>
      <c r="H4915" s="1459" t="str">
        <f>IF(E4915="","",IF(E4915="No.","Each",IF(E4915="Nos.","Each",E4915)))</f>
        <v>RM</v>
      </c>
      <c r="I4915" s="1460">
        <f t="shared" ref="I4915:I4916" si="1042">IF(G4915="",D4915*F4915,(D4915*F4915/G4915))</f>
        <v>437</v>
      </c>
      <c r="J4915" s="1846"/>
      <c r="K4915" s="1846"/>
      <c r="L4915" s="1846"/>
    </row>
    <row r="4916" spans="1:12">
      <c r="A4916" s="1455"/>
      <c r="B4916" s="1455"/>
      <c r="C4916" s="1461" t="str">
        <f>Input!$C$48</f>
        <v>Overheads &amp; Contractors Profit @ 13.615%</v>
      </c>
      <c r="D4916" s="1462">
        <f>Input!$D$48</f>
        <v>0.13614999999999999</v>
      </c>
      <c r="E4916" s="1463"/>
      <c r="F4916" s="1460">
        <f>I4915</f>
        <v>437</v>
      </c>
      <c r="G4916" s="1458"/>
      <c r="H4916" s="1464"/>
      <c r="I4916" s="1460">
        <f t="shared" si="1042"/>
        <v>59.497549999999997</v>
      </c>
      <c r="J4916" s="1846"/>
      <c r="K4916" s="1846"/>
      <c r="L4916" s="1846"/>
    </row>
    <row r="4917" spans="1:12">
      <c r="A4917" s="1800"/>
      <c r="B4917" s="1465"/>
      <c r="C4917" s="1466"/>
      <c r="D4917" s="1467"/>
      <c r="E4917" s="1468"/>
      <c r="F4917" s="1469"/>
      <c r="G4917" s="1470"/>
      <c r="H4917" s="1471"/>
      <c r="I4917" s="1472">
        <f>SUM(I4915:I4916)</f>
        <v>496.49754999999999</v>
      </c>
      <c r="J4917" s="1846"/>
      <c r="K4917" s="1846"/>
      <c r="L4917" s="1846"/>
    </row>
    <row r="4918" spans="1:12">
      <c r="A4918" s="1800"/>
      <c r="B4918" s="1465"/>
      <c r="C4918" s="1461"/>
      <c r="D4918" s="1473"/>
      <c r="E4918" s="1474"/>
      <c r="F4918" s="1475"/>
      <c r="G4918" s="1476"/>
      <c r="H4918" s="1477" t="s">
        <v>1065</v>
      </c>
      <c r="I4918" s="1478">
        <f>ROUND(I4917,0)</f>
        <v>496</v>
      </c>
      <c r="J4918" s="1846"/>
      <c r="K4918" s="1846"/>
      <c r="L4918" s="1846"/>
    </row>
    <row r="4919" spans="1:12">
      <c r="A4919" s="1798"/>
      <c r="B4919" s="1200"/>
      <c r="C4919" s="1807"/>
      <c r="D4919" s="1203"/>
      <c r="E4919" s="1199"/>
      <c r="F4919" s="1201"/>
      <c r="G4919" s="1204"/>
      <c r="H4919" s="1199"/>
      <c r="I4919" s="1201"/>
      <c r="J4919" s="1846"/>
      <c r="K4919" s="1846"/>
      <c r="L4919" s="1846"/>
    </row>
    <row r="4920" spans="1:12" ht="47.85" customHeight="1">
      <c r="A4920" s="2017">
        <f>+A4576+1</f>
        <v>78</v>
      </c>
      <c r="B4920" s="2017"/>
      <c r="C4920" s="2011" t="s">
        <v>3494</v>
      </c>
      <c r="D4920" s="2011"/>
      <c r="E4920" s="2011"/>
      <c r="F4920" s="2011"/>
      <c r="G4920" s="2011"/>
      <c r="H4920" s="2011"/>
      <c r="I4920" s="2011"/>
      <c r="J4920" s="1846"/>
      <c r="K4920" s="1846"/>
      <c r="L4920" s="1846"/>
    </row>
    <row r="4921" spans="1:12">
      <c r="A4921" s="1197"/>
      <c r="B4921" s="1197"/>
      <c r="C4921" s="1795" t="s">
        <v>1860</v>
      </c>
      <c r="D4921" s="1352">
        <v>1</v>
      </c>
      <c r="E4921" s="1199" t="s">
        <v>94</v>
      </c>
      <c r="F4921" s="1424">
        <v>1800</v>
      </c>
      <c r="G4921" s="1272">
        <v>1</v>
      </c>
      <c r="H4921" s="1273" t="str">
        <f>IF(E4921="","",IF(E4921="No.","Each",IF(E4921="Nos.","Each",E4921)))</f>
        <v>sqm</v>
      </c>
      <c r="I4921" s="1227">
        <f t="shared" ref="I4921:I4922" si="1043">IF(G4921="",D4921*F4921,(D4921*F4921/G4921))</f>
        <v>1800</v>
      </c>
      <c r="J4921" s="1846"/>
      <c r="K4921" s="1846"/>
      <c r="L4921" s="1846"/>
    </row>
    <row r="4922" spans="1:12">
      <c r="A4922" s="1794"/>
      <c r="B4922" s="1794"/>
      <c r="C4922" s="1807" t="str">
        <f>Input!$C$48</f>
        <v>Overheads &amp; Contractors Profit @ 13.615%</v>
      </c>
      <c r="D4922" s="1385">
        <f>Input!$D$48</f>
        <v>0.13614999999999999</v>
      </c>
      <c r="E4922" s="1304"/>
      <c r="F4922" s="1211">
        <f>+I4921</f>
        <v>1800</v>
      </c>
      <c r="G4922" s="1289"/>
      <c r="H4922" s="1208"/>
      <c r="I4922" s="1211">
        <f t="shared" si="1043"/>
        <v>245.07</v>
      </c>
      <c r="J4922" s="1846"/>
      <c r="K4922" s="1846"/>
      <c r="L4922" s="1846"/>
    </row>
    <row r="4923" spans="1:12">
      <c r="A4923" s="1798"/>
      <c r="B4923" s="1200"/>
      <c r="C4923" s="1807"/>
      <c r="D4923" s="1228"/>
      <c r="E4923" s="1297"/>
      <c r="F4923" s="1223"/>
      <c r="G4923" s="1272"/>
      <c r="H4923" s="1810"/>
      <c r="I4923" s="1219">
        <f>SUM(I4921:I4922)</f>
        <v>2045.07</v>
      </c>
      <c r="J4923" s="1846"/>
      <c r="K4923" s="1846"/>
      <c r="L4923" s="1846"/>
    </row>
    <row r="4924" spans="1:12">
      <c r="A4924" s="1798"/>
      <c r="B4924" s="1200"/>
      <c r="C4924" s="1807"/>
      <c r="D4924" s="1228"/>
      <c r="E4924" s="1297"/>
      <c r="F4924" s="1223"/>
      <c r="G4924" s="1272"/>
      <c r="H4924" s="1810" t="s">
        <v>1065</v>
      </c>
      <c r="I4924" s="1219">
        <f>ROUND(I4923,0)</f>
        <v>2045</v>
      </c>
      <c r="J4924" s="1846"/>
      <c r="K4924" s="1846"/>
      <c r="L4924" s="1846"/>
    </row>
    <row r="4925" spans="1:12">
      <c r="A4925" s="1798"/>
      <c r="B4925" s="1200"/>
      <c r="C4925" s="1807"/>
      <c r="D4925" s="1203"/>
      <c r="E4925" s="1199"/>
      <c r="F4925" s="1201"/>
      <c r="G4925" s="1204"/>
      <c r="H4925" s="1199"/>
      <c r="I4925" s="1201"/>
      <c r="J4925" s="1846"/>
      <c r="K4925" s="1846"/>
      <c r="L4925" s="1846"/>
    </row>
    <row r="4926" spans="1:12" ht="36.6" customHeight="1">
      <c r="A4926" s="2017">
        <f>1+A4920</f>
        <v>79</v>
      </c>
      <c r="B4926" s="2017"/>
      <c r="C4926" s="2011" t="s">
        <v>3495</v>
      </c>
      <c r="D4926" s="2011"/>
      <c r="E4926" s="2011"/>
      <c r="F4926" s="2011"/>
      <c r="G4926" s="2011"/>
      <c r="H4926" s="2011"/>
      <c r="I4926" s="2011"/>
      <c r="J4926" s="1846"/>
      <c r="K4926" s="1846"/>
      <c r="L4926" s="1846"/>
    </row>
    <row r="4927" spans="1:12">
      <c r="A4927" s="1197"/>
      <c r="B4927" s="1197"/>
      <c r="C4927" s="1479" t="s">
        <v>1861</v>
      </c>
      <c r="D4927" s="1352">
        <v>1</v>
      </c>
      <c r="E4927" s="1807" t="s">
        <v>197</v>
      </c>
      <c r="F4927" s="1480">
        <v>600</v>
      </c>
      <c r="G4927" s="1352">
        <v>1</v>
      </c>
      <c r="H4927" s="1807" t="str">
        <f>E4927</f>
        <v>RM</v>
      </c>
      <c r="I4927" s="1481">
        <f>IF(G4927="",D4927*F4927,(D4927*F4927/G4927))</f>
        <v>600</v>
      </c>
      <c r="J4927" s="1846"/>
      <c r="K4927" s="1846"/>
      <c r="L4927" s="1846"/>
    </row>
    <row r="4928" spans="1:12">
      <c r="A4928" s="1197"/>
      <c r="B4928" s="1197"/>
      <c r="C4928" s="1814"/>
      <c r="D4928" s="1228"/>
      <c r="E4928" s="1271"/>
      <c r="F4928" s="1228"/>
      <c r="G4928" s="1272"/>
      <c r="H4928" s="1271"/>
      <c r="I4928" s="1203"/>
      <c r="J4928" s="1846"/>
      <c r="K4928" s="1846"/>
      <c r="L4928" s="1846"/>
    </row>
    <row r="4929" spans="1:12" ht="103.7" customHeight="1">
      <c r="A4929" s="2010">
        <f>1+A4926</f>
        <v>80</v>
      </c>
      <c r="B4929" s="2010"/>
      <c r="C4929" s="2011" t="s">
        <v>3496</v>
      </c>
      <c r="D4929" s="2011"/>
      <c r="E4929" s="2011"/>
      <c r="F4929" s="2011"/>
      <c r="G4929" s="2011"/>
      <c r="H4929" s="2011"/>
      <c r="I4929" s="2011"/>
      <c r="J4929" s="1846"/>
      <c r="K4929" s="1846"/>
      <c r="L4929" s="1846"/>
    </row>
    <row r="4930" spans="1:12" ht="12.75" customHeight="1">
      <c r="A4930" s="1798"/>
      <c r="B4930" s="1798"/>
      <c r="C4930" s="2012" t="s">
        <v>1534</v>
      </c>
      <c r="D4930" s="2012"/>
      <c r="E4930" s="1350"/>
      <c r="F4930" s="1228"/>
      <c r="G4930" s="1207"/>
      <c r="H4930" s="1350"/>
      <c r="I4930" s="1227"/>
      <c r="J4930" s="1846"/>
      <c r="K4930" s="1846"/>
      <c r="L4930" s="1846"/>
    </row>
    <row r="4931" spans="1:12">
      <c r="A4931" s="1798"/>
      <c r="B4931" s="1798"/>
      <c r="C4931" s="1807" t="s">
        <v>1535</v>
      </c>
      <c r="D4931" s="1807"/>
      <c r="E4931" s="1807"/>
      <c r="F4931" s="1807"/>
      <c r="G4931" s="1807"/>
      <c r="H4931" s="1807"/>
      <c r="I4931" s="1807"/>
      <c r="J4931" s="1846"/>
      <c r="K4931" s="1846"/>
      <c r="L4931" s="1846"/>
    </row>
    <row r="4932" spans="1:12">
      <c r="A4932" s="1798"/>
      <c r="B4932" s="1798" t="s">
        <v>294</v>
      </c>
      <c r="C4932" s="1795" t="s">
        <v>1862</v>
      </c>
      <c r="D4932" s="1807"/>
      <c r="E4932" s="1807"/>
      <c r="F4932" s="1807"/>
      <c r="G4932" s="1807"/>
      <c r="H4932" s="1807"/>
      <c r="I4932" s="1807"/>
      <c r="J4932" s="1846"/>
      <c r="K4932" s="1846"/>
      <c r="L4932" s="1846"/>
    </row>
    <row r="4933" spans="1:12">
      <c r="A4933" s="1798"/>
      <c r="B4933" s="1798"/>
      <c r="C4933" s="1807" t="s">
        <v>1862</v>
      </c>
      <c r="D4933" s="1482">
        <v>23</v>
      </c>
      <c r="E4933" s="1807" t="s">
        <v>1110</v>
      </c>
      <c r="F4933" s="1209">
        <f>+'Civil-SOR'!$G$57</f>
        <v>41</v>
      </c>
      <c r="G4933" s="1317">
        <v>1</v>
      </c>
      <c r="H4933" s="1807" t="s">
        <v>97</v>
      </c>
      <c r="I4933" s="1281">
        <f t="shared" ref="I4933:I4938" si="1044">IF(G4933="",D4933*F4933,(D4933*F4933/G4933))</f>
        <v>943</v>
      </c>
      <c r="J4933" s="1846"/>
      <c r="K4933" s="1846"/>
      <c r="L4933" s="1846"/>
    </row>
    <row r="4934" spans="1:12">
      <c r="A4934" s="1798"/>
      <c r="B4934" s="1798"/>
      <c r="C4934" s="1807" t="s">
        <v>1529</v>
      </c>
      <c r="D4934" s="1351">
        <v>0.27300000000000002</v>
      </c>
      <c r="E4934" s="1807" t="s">
        <v>36</v>
      </c>
      <c r="F4934" s="1209">
        <f>'Civil-SOR'!$G$296</f>
        <v>665</v>
      </c>
      <c r="G4934" s="1352">
        <v>1</v>
      </c>
      <c r="H4934" s="1807" t="s">
        <v>501</v>
      </c>
      <c r="I4934" s="1281">
        <f t="shared" si="1044"/>
        <v>181.54500000000002</v>
      </c>
      <c r="J4934" s="1846"/>
      <c r="K4934" s="1846"/>
      <c r="L4934" s="1846"/>
    </row>
    <row r="4935" spans="1:12">
      <c r="A4935" s="1798"/>
      <c r="B4935" s="1798"/>
      <c r="C4935" s="1807" t="s">
        <v>1530</v>
      </c>
      <c r="D4935" s="1351">
        <v>0.63700000000000001</v>
      </c>
      <c r="E4935" s="1807" t="s">
        <v>36</v>
      </c>
      <c r="F4935" s="1209">
        <f>'Civil-SOR'!$G$303</f>
        <v>550</v>
      </c>
      <c r="G4935" s="1352">
        <v>1</v>
      </c>
      <c r="H4935" s="1807" t="s">
        <v>501</v>
      </c>
      <c r="I4935" s="1281">
        <f t="shared" si="1044"/>
        <v>350.35</v>
      </c>
      <c r="J4935" s="1846"/>
      <c r="K4935" s="1846"/>
      <c r="L4935" s="1846"/>
    </row>
    <row r="4936" spans="1:12">
      <c r="A4936" s="1798"/>
      <c r="B4936" s="1798"/>
      <c r="C4936" s="1807" t="s">
        <v>1537</v>
      </c>
      <c r="D4936" s="1313">
        <v>0.91</v>
      </c>
      <c r="E4936" s="1807" t="s">
        <v>36</v>
      </c>
      <c r="F4936" s="1223">
        <f>'Civil-SOR'!$G$307</f>
        <v>520</v>
      </c>
      <c r="G4936" s="1352">
        <v>1</v>
      </c>
      <c r="H4936" s="1807" t="s">
        <v>501</v>
      </c>
      <c r="I4936" s="1281">
        <f t="shared" si="1044"/>
        <v>473.2</v>
      </c>
      <c r="J4936" s="1846"/>
      <c r="K4936" s="1846"/>
      <c r="L4936" s="1846"/>
    </row>
    <row r="4937" spans="1:12">
      <c r="A4937" s="1798"/>
      <c r="B4937" s="1798"/>
      <c r="C4937" s="1807" t="str">
        <f>Input!$C$47</f>
        <v>Add for MA @ 40%</v>
      </c>
      <c r="D4937" s="1207">
        <f>Input!$D$47</f>
        <v>0.4</v>
      </c>
      <c r="E4937" s="1807"/>
      <c r="F4937" s="1483">
        <f>SUM(I4934:I4936)</f>
        <v>1005.095</v>
      </c>
      <c r="G4937" s="1807"/>
      <c r="H4937" s="1807"/>
      <c r="I4937" s="1281">
        <f t="shared" si="1044"/>
        <v>402.03800000000001</v>
      </c>
      <c r="J4937" s="1846"/>
      <c r="K4937" s="1846"/>
      <c r="L4937" s="1846"/>
    </row>
    <row r="4938" spans="1:12" ht="25.5">
      <c r="A4938" s="1798"/>
      <c r="B4938" s="1798"/>
      <c r="C4938" s="1807" t="s">
        <v>1538</v>
      </c>
      <c r="D4938" s="1354">
        <v>0.01</v>
      </c>
      <c r="E4938" s="1202"/>
      <c r="F4938" s="1203">
        <f>SUM(I4933:I4937)</f>
        <v>2350.1329999999998</v>
      </c>
      <c r="G4938" s="1202"/>
      <c r="H4938" s="1202"/>
      <c r="I4938" s="1227">
        <f t="shared" si="1044"/>
        <v>23.501329999999999</v>
      </c>
      <c r="J4938" s="1846"/>
      <c r="K4938" s="1846"/>
      <c r="L4938" s="1846"/>
    </row>
    <row r="4939" spans="1:12">
      <c r="A4939" s="1798"/>
      <c r="B4939" s="1798"/>
      <c r="C4939" s="1807"/>
      <c r="D4939" s="1354"/>
      <c r="E4939" s="1202"/>
      <c r="F4939" s="1203"/>
      <c r="G4939" s="1202"/>
      <c r="H4939" s="1202"/>
      <c r="I4939" s="1481">
        <f>SUM(I4933:I4938)</f>
        <v>2373.6343299999999</v>
      </c>
      <c r="J4939" s="1846"/>
      <c r="K4939" s="1846"/>
      <c r="L4939" s="1846"/>
    </row>
    <row r="4940" spans="1:12">
      <c r="A4940" s="1798"/>
      <c r="B4940" s="1798" t="s">
        <v>297</v>
      </c>
      <c r="C4940" s="1795" t="s">
        <v>1863</v>
      </c>
      <c r="D4940" s="1354"/>
      <c r="E4940" s="1202"/>
      <c r="F4940" s="1203"/>
      <c r="G4940" s="1202"/>
      <c r="H4940" s="1202"/>
      <c r="I4940" s="1481"/>
      <c r="J4940" s="1846"/>
      <c r="K4940" s="1846"/>
      <c r="L4940" s="1846"/>
    </row>
    <row r="4941" spans="1:12">
      <c r="A4941" s="1798"/>
      <c r="B4941" s="1798"/>
      <c r="C4941" s="1807" t="s">
        <v>1864</v>
      </c>
      <c r="D4941" s="1228">
        <v>1</v>
      </c>
      <c r="E4941" s="1271" t="s">
        <v>97</v>
      </c>
      <c r="F4941" s="1223">
        <f>+'Civil-SOR'!$G$55</f>
        <v>173</v>
      </c>
      <c r="G4941" s="1272">
        <v>1</v>
      </c>
      <c r="H4941" s="1273" t="str">
        <f t="shared" ref="H4941:H4943" si="1045">IF(E4941="","",IF(E4941="No.","Each",IF(E4941="Nos.","Each",E4941)))</f>
        <v>Kg</v>
      </c>
      <c r="I4941" s="1227">
        <f t="shared" ref="I4941:I4945" si="1046">IF(G4941="",D4941*F4941,(D4941*F4941/G4941))</f>
        <v>173</v>
      </c>
      <c r="J4941" s="1846"/>
      <c r="K4941" s="1846"/>
      <c r="L4941" s="1846"/>
    </row>
    <row r="4942" spans="1:12">
      <c r="A4942" s="1798"/>
      <c r="B4942" s="1798"/>
      <c r="C4942" s="1807" t="s">
        <v>1529</v>
      </c>
      <c r="D4942" s="1228">
        <v>0.21</v>
      </c>
      <c r="E4942" s="1271" t="s">
        <v>36</v>
      </c>
      <c r="F4942" s="1209">
        <f>'Civil-SOR'!$G$296</f>
        <v>665</v>
      </c>
      <c r="G4942" s="1272">
        <v>1</v>
      </c>
      <c r="H4942" s="1273" t="str">
        <f t="shared" si="1045"/>
        <v>Each</v>
      </c>
      <c r="I4942" s="1227">
        <f t="shared" si="1046"/>
        <v>139.65</v>
      </c>
      <c r="J4942" s="1846"/>
      <c r="K4942" s="1846"/>
      <c r="L4942" s="1846"/>
    </row>
    <row r="4943" spans="1:12">
      <c r="A4943" s="1798"/>
      <c r="B4943" s="1798"/>
      <c r="C4943" s="1807" t="s">
        <v>1530</v>
      </c>
      <c r="D4943" s="1228">
        <v>0.49</v>
      </c>
      <c r="E4943" s="1271" t="s">
        <v>36</v>
      </c>
      <c r="F4943" s="1209">
        <f>'Civil-SOR'!$G$303</f>
        <v>550</v>
      </c>
      <c r="G4943" s="1272">
        <v>1</v>
      </c>
      <c r="H4943" s="1273" t="str">
        <f t="shared" si="1045"/>
        <v>Each</v>
      </c>
      <c r="I4943" s="1227">
        <f t="shared" si="1046"/>
        <v>269.5</v>
      </c>
      <c r="J4943" s="1846"/>
      <c r="K4943" s="1846"/>
      <c r="L4943" s="1846"/>
    </row>
    <row r="4944" spans="1:12">
      <c r="A4944" s="1798"/>
      <c r="B4944" s="1798"/>
      <c r="C4944" s="1807" t="str">
        <f>Input!$C$47</f>
        <v>Add for MA @ 40%</v>
      </c>
      <c r="D4944" s="1207">
        <f>Input!$D$47</f>
        <v>0.4</v>
      </c>
      <c r="E4944" s="1807"/>
      <c r="F4944" s="1483">
        <f>SUM(I4942:I4943)</f>
        <v>409.15</v>
      </c>
      <c r="G4944" s="1807"/>
      <c r="H4944" s="1807"/>
      <c r="I4944" s="1281">
        <f t="shared" si="1046"/>
        <v>163.66</v>
      </c>
      <c r="J4944" s="1846"/>
      <c r="K4944" s="1846"/>
      <c r="L4944" s="1846"/>
    </row>
    <row r="4945" spans="1:12" ht="25.5">
      <c r="A4945" s="1798"/>
      <c r="B4945" s="1798"/>
      <c r="C4945" s="1807" t="s">
        <v>1561</v>
      </c>
      <c r="D4945" s="1354">
        <v>0.01</v>
      </c>
      <c r="E4945" s="1202"/>
      <c r="F4945" s="1483">
        <f>SUM(I4941:I4944)</f>
        <v>745.81</v>
      </c>
      <c r="G4945" s="1202"/>
      <c r="H4945" s="1202"/>
      <c r="I4945" s="1227">
        <f t="shared" si="1046"/>
        <v>7.4581</v>
      </c>
      <c r="J4945" s="1846"/>
      <c r="K4945" s="1846"/>
      <c r="L4945" s="1846"/>
    </row>
    <row r="4946" spans="1:12">
      <c r="A4946" s="1798"/>
      <c r="B4946" s="1798"/>
      <c r="C4946" s="1807"/>
      <c r="D4946" s="1354"/>
      <c r="E4946" s="1202"/>
      <c r="F4946" s="1203"/>
      <c r="G4946" s="1202"/>
      <c r="H4946" s="1202"/>
      <c r="I4946" s="1481">
        <f>SUM(I4941:I4945)</f>
        <v>753.26809999999989</v>
      </c>
      <c r="J4946" s="1846"/>
      <c r="K4946" s="1846"/>
      <c r="L4946" s="1846"/>
    </row>
    <row r="4947" spans="1:12">
      <c r="A4947" s="1798"/>
      <c r="B4947" s="1798" t="s">
        <v>430</v>
      </c>
      <c r="C4947" s="1795" t="s">
        <v>1865</v>
      </c>
      <c r="D4947" s="1354"/>
      <c r="E4947" s="1202"/>
      <c r="F4947" s="1203"/>
      <c r="G4947" s="1202"/>
      <c r="H4947" s="1202"/>
      <c r="I4947" s="1481"/>
      <c r="J4947" s="1846"/>
      <c r="K4947" s="1846"/>
      <c r="L4947" s="1846"/>
    </row>
    <row r="4948" spans="1:12">
      <c r="A4948" s="1798"/>
      <c r="B4948" s="1798"/>
      <c r="C4948" s="1807" t="s">
        <v>1866</v>
      </c>
      <c r="D4948" s="1228">
        <v>1.35</v>
      </c>
      <c r="E4948" s="1271" t="s">
        <v>138</v>
      </c>
      <c r="F4948" s="1484">
        <v>661</v>
      </c>
      <c r="G4948" s="1272">
        <v>1</v>
      </c>
      <c r="H4948" s="1273" t="str">
        <f t="shared" ref="H4948:H4950" si="1047">IF(E4948="","",IF(E4948="No.","Each",IF(E4948="Nos.","Each",E4948)))</f>
        <v>Ltr</v>
      </c>
      <c r="I4948" s="1227">
        <f t="shared" ref="I4948:I4952" si="1048">IF(G4948="",D4948*F4948,(D4948*F4948/G4948))</f>
        <v>892.35</v>
      </c>
      <c r="J4948" s="1846"/>
      <c r="K4948" s="1846"/>
      <c r="L4948" s="1846"/>
    </row>
    <row r="4949" spans="1:12">
      <c r="A4949" s="1798"/>
      <c r="B4949" s="1798"/>
      <c r="C4949" s="1807" t="s">
        <v>1557</v>
      </c>
      <c r="D4949" s="1228">
        <v>0.36</v>
      </c>
      <c r="E4949" s="1271" t="s">
        <v>36</v>
      </c>
      <c r="F4949" s="1209">
        <f>'Civil-SOR'!$G$296</f>
        <v>665</v>
      </c>
      <c r="G4949" s="1272">
        <v>1</v>
      </c>
      <c r="H4949" s="1273" t="str">
        <f t="shared" si="1047"/>
        <v>Each</v>
      </c>
      <c r="I4949" s="1227">
        <f t="shared" si="1048"/>
        <v>239.39999999999998</v>
      </c>
      <c r="J4949" s="1846"/>
      <c r="K4949" s="1846"/>
      <c r="L4949" s="1846"/>
    </row>
    <row r="4950" spans="1:12">
      <c r="A4950" s="1798"/>
      <c r="B4950" s="1798"/>
      <c r="C4950" s="1807" t="s">
        <v>1558</v>
      </c>
      <c r="D4950" s="1228">
        <v>0.84</v>
      </c>
      <c r="E4950" s="1271" t="s">
        <v>36</v>
      </c>
      <c r="F4950" s="1209">
        <f>'Civil-SOR'!$G$303</f>
        <v>550</v>
      </c>
      <c r="G4950" s="1272">
        <v>1</v>
      </c>
      <c r="H4950" s="1273" t="str">
        <f t="shared" si="1047"/>
        <v>Each</v>
      </c>
      <c r="I4950" s="1227">
        <f t="shared" si="1048"/>
        <v>462</v>
      </c>
      <c r="J4950" s="1846"/>
      <c r="K4950" s="1846"/>
      <c r="L4950" s="1846"/>
    </row>
    <row r="4951" spans="1:12">
      <c r="A4951" s="1798"/>
      <c r="B4951" s="1798"/>
      <c r="C4951" s="1807" t="str">
        <f>Input!$C$47</f>
        <v>Add for MA @ 40%</v>
      </c>
      <c r="D4951" s="1207">
        <f>Input!$D$47</f>
        <v>0.4</v>
      </c>
      <c r="E4951" s="1276"/>
      <c r="F4951" s="1483">
        <f>SUM(I4949:I4950)</f>
        <v>701.4</v>
      </c>
      <c r="G4951" s="1278"/>
      <c r="H4951" s="1279"/>
      <c r="I4951" s="1227">
        <f t="shared" si="1048"/>
        <v>280.56</v>
      </c>
      <c r="J4951" s="1846"/>
      <c r="K4951" s="1846"/>
      <c r="L4951" s="1846"/>
    </row>
    <row r="4952" spans="1:12" ht="25.5">
      <c r="A4952" s="1798"/>
      <c r="B4952" s="1798"/>
      <c r="C4952" s="1807" t="s">
        <v>1561</v>
      </c>
      <c r="D4952" s="1354">
        <v>0.01</v>
      </c>
      <c r="E4952" s="1202"/>
      <c r="F4952" s="1483">
        <f>SUM(I4948:I4951)</f>
        <v>1874.31</v>
      </c>
      <c r="G4952" s="1202"/>
      <c r="H4952" s="1202"/>
      <c r="I4952" s="1227">
        <f t="shared" si="1048"/>
        <v>18.743099999999998</v>
      </c>
      <c r="J4952" s="1846"/>
      <c r="K4952" s="1846"/>
      <c r="L4952" s="1846"/>
    </row>
    <row r="4953" spans="1:12">
      <c r="A4953" s="1798"/>
      <c r="B4953" s="1798"/>
      <c r="C4953" s="1807"/>
      <c r="D4953" s="1354"/>
      <c r="E4953" s="1202"/>
      <c r="F4953" s="1203"/>
      <c r="G4953" s="1202"/>
      <c r="H4953" s="1202"/>
      <c r="I4953" s="1481">
        <f>SUM(I4948:I4952)</f>
        <v>1893.0530999999999</v>
      </c>
      <c r="J4953" s="1846"/>
      <c r="K4953" s="1846"/>
      <c r="L4953" s="1846"/>
    </row>
    <row r="4954" spans="1:12">
      <c r="A4954" s="1798"/>
      <c r="B4954" s="1798"/>
      <c r="C4954" s="1807" t="s">
        <v>1867</v>
      </c>
      <c r="D4954" s="1354"/>
      <c r="E4954" s="1202"/>
      <c r="F4954" s="1203"/>
      <c r="G4954" s="1202"/>
      <c r="H4954" s="1202"/>
      <c r="I4954" s="1481">
        <f>I4939+I4946+I4953</f>
        <v>5019.9555299999993</v>
      </c>
      <c r="J4954" s="1846"/>
      <c r="K4954" s="1846"/>
      <c r="L4954" s="1846"/>
    </row>
    <row r="4955" spans="1:12">
      <c r="A4955" s="1798"/>
      <c r="B4955" s="1798"/>
      <c r="C4955" s="1807" t="str">
        <f>Input!$C$48</f>
        <v>Overheads &amp; Contractors Profit @ 13.615%</v>
      </c>
      <c r="D4955" s="1385">
        <f>Input!$D$48</f>
        <v>0.13614999999999999</v>
      </c>
      <c r="E4955" s="1297"/>
      <c r="F4955" s="1228">
        <f>I4954</f>
        <v>5019.9555299999993</v>
      </c>
      <c r="G4955" s="1272"/>
      <c r="H4955" s="1199"/>
      <c r="I4955" s="1227">
        <f>IF(G4955="",D4955*F4955,(D4955*F4955/G4955))</f>
        <v>683.46694540949989</v>
      </c>
      <c r="J4955" s="1846"/>
      <c r="K4955" s="1846"/>
      <c r="L4955" s="1846"/>
    </row>
    <row r="4956" spans="1:12">
      <c r="A4956" s="1798"/>
      <c r="B4956" s="1798"/>
      <c r="C4956" s="1795" t="s">
        <v>1044</v>
      </c>
      <c r="D4956" s="1807"/>
      <c r="E4956" s="1807"/>
      <c r="F4956" s="1807"/>
      <c r="G4956" s="1807"/>
      <c r="H4956" s="1807"/>
      <c r="I4956" s="1313">
        <f>SUM(I4954:I4955)</f>
        <v>5703.4224754094994</v>
      </c>
      <c r="J4956" s="1846"/>
      <c r="K4956" s="1846"/>
      <c r="L4956" s="1846"/>
    </row>
    <row r="4957" spans="1:12">
      <c r="A4957" s="1798"/>
      <c r="B4957" s="1798"/>
      <c r="C4957" s="1795" t="s">
        <v>1045</v>
      </c>
      <c r="D4957" s="1807"/>
      <c r="E4957" s="1807"/>
      <c r="F4957" s="1807"/>
      <c r="G4957" s="1807"/>
      <c r="H4957" s="1807"/>
      <c r="I4957" s="1313">
        <f>I4956/10</f>
        <v>570.34224754094998</v>
      </c>
      <c r="J4957" s="1846"/>
      <c r="K4957" s="1846"/>
      <c r="L4957" s="1846"/>
    </row>
    <row r="4958" spans="1:12">
      <c r="A4958" s="1798"/>
      <c r="B4958" s="1798"/>
      <c r="C4958" s="1199"/>
      <c r="D4958" s="1807"/>
      <c r="E4958" s="1807"/>
      <c r="F4958" s="1807"/>
      <c r="G4958" s="1807"/>
      <c r="H4958" s="1299" t="s">
        <v>1065</v>
      </c>
      <c r="I4958" s="1485">
        <f>ROUND(I4957,0)</f>
        <v>570</v>
      </c>
      <c r="J4958" s="1846"/>
      <c r="K4958" s="1846"/>
      <c r="L4958" s="1846"/>
    </row>
    <row r="4959" spans="1:12">
      <c r="A4959" s="1798"/>
      <c r="B4959" s="1200"/>
      <c r="C4959" s="1807"/>
      <c r="D4959" s="1203"/>
      <c r="E4959" s="1199"/>
      <c r="F4959" s="1201"/>
      <c r="G4959" s="1204"/>
      <c r="H4959" s="1199"/>
      <c r="I4959" s="1201"/>
      <c r="J4959" s="1846"/>
      <c r="K4959" s="1846"/>
      <c r="L4959" s="1846"/>
    </row>
    <row r="4960" spans="1:12" ht="58.9" customHeight="1">
      <c r="A4960" s="2013">
        <f>1+A4929</f>
        <v>81</v>
      </c>
      <c r="B4960" s="2013"/>
      <c r="C4960" s="2006" t="s">
        <v>3491</v>
      </c>
      <c r="D4960" s="2006"/>
      <c r="E4960" s="2006"/>
      <c r="F4960" s="2006"/>
      <c r="G4960" s="2006"/>
      <c r="H4960" s="2006"/>
      <c r="I4960" s="1814"/>
      <c r="J4960" s="1846"/>
      <c r="K4960" s="1846"/>
      <c r="L4960" s="1846"/>
    </row>
    <row r="4961" spans="1:64">
      <c r="A4961" s="1794"/>
      <c r="B4961" s="1794"/>
      <c r="C4961" s="1807" t="s">
        <v>1766</v>
      </c>
      <c r="D4961" s="1316">
        <v>1</v>
      </c>
      <c r="E4961" s="1308" t="s">
        <v>948</v>
      </c>
      <c r="F4961" s="1211">
        <f>LEAD!N10</f>
        <v>61000</v>
      </c>
      <c r="G4961" s="1308">
        <v>1</v>
      </c>
      <c r="H4961" s="1290" t="str">
        <f t="shared" ref="H4961:H4963" si="1049">IF(E4961="","",IF(E4961="No.","Each",IF(E4961="Nos.","Each",E4961)))</f>
        <v>MT</v>
      </c>
      <c r="I4961" s="1211">
        <f t="shared" ref="I4961:I4964" si="1050">IF(G4961="",D4961*F4961,(D4961*F4961/G4961))</f>
        <v>61000</v>
      </c>
      <c r="J4961" s="1022"/>
      <c r="K4961" s="1022"/>
      <c r="L4961" s="1022"/>
      <c r="M4961" s="1066"/>
      <c r="N4961" s="1066"/>
      <c r="O4961" s="1066"/>
      <c r="P4961" s="1066"/>
      <c r="Q4961" s="1066"/>
      <c r="R4961" s="1066"/>
      <c r="S4961" s="1066"/>
      <c r="T4961" s="1066"/>
      <c r="U4961" s="1066"/>
      <c r="V4961" s="1066"/>
      <c r="W4961" s="1066"/>
      <c r="X4961" s="1066"/>
      <c r="Y4961" s="1066"/>
      <c r="Z4961" s="1066"/>
      <c r="AA4961" s="1066"/>
      <c r="AB4961" s="1066"/>
      <c r="AC4961" s="1066"/>
      <c r="AD4961" s="1066"/>
      <c r="AE4961" s="1066"/>
      <c r="AF4961" s="1066"/>
      <c r="AG4961" s="1066"/>
      <c r="AH4961" s="1066"/>
      <c r="AI4961" s="1066"/>
      <c r="AJ4961" s="1066"/>
      <c r="AK4961" s="1066"/>
      <c r="AL4961" s="1066"/>
      <c r="AM4961" s="1066"/>
      <c r="AN4961" s="1066"/>
      <c r="AO4961" s="1066"/>
      <c r="AP4961" s="1066"/>
      <c r="AQ4961" s="1066"/>
      <c r="AR4961" s="1066"/>
      <c r="AS4961" s="1066"/>
      <c r="AT4961" s="1066"/>
      <c r="AU4961" s="1066"/>
      <c r="AV4961" s="1066"/>
      <c r="AW4961" s="1066"/>
      <c r="AX4961" s="1066"/>
      <c r="AY4961" s="1066"/>
      <c r="AZ4961" s="1066"/>
      <c r="BA4961" s="1066"/>
      <c r="BB4961" s="1066"/>
      <c r="BC4961" s="1066"/>
      <c r="BD4961" s="1066"/>
      <c r="BE4961" s="1066"/>
      <c r="BF4961" s="1066"/>
      <c r="BG4961" s="1066"/>
      <c r="BH4961" s="1066"/>
      <c r="BI4961" s="1066"/>
      <c r="BJ4961" s="1066"/>
      <c r="BK4961" s="1066"/>
      <c r="BL4961" s="1066"/>
    </row>
    <row r="4962" spans="1:64">
      <c r="A4962" s="1794"/>
      <c r="B4962" s="1794"/>
      <c r="C4962" s="1208" t="s">
        <v>1767</v>
      </c>
      <c r="D4962" s="1316">
        <f t="shared" ref="D4962:D4963" si="1051">D4961</f>
        <v>1</v>
      </c>
      <c r="E4962" s="1308" t="s">
        <v>948</v>
      </c>
      <c r="F4962" s="1211">
        <v>37000</v>
      </c>
      <c r="G4962" s="1308">
        <v>1</v>
      </c>
      <c r="H4962" s="1290" t="str">
        <f t="shared" si="1049"/>
        <v>MT</v>
      </c>
      <c r="I4962" s="1211">
        <f t="shared" si="1050"/>
        <v>37000</v>
      </c>
      <c r="J4962" s="1022"/>
      <c r="K4962" s="1022"/>
      <c r="L4962" s="1022"/>
      <c r="M4962" s="1066"/>
      <c r="N4962" s="1066"/>
      <c r="O4962" s="1066"/>
      <c r="P4962" s="1066"/>
      <c r="Q4962" s="1066"/>
      <c r="R4962" s="1066"/>
      <c r="S4962" s="1066"/>
      <c r="T4962" s="1066"/>
      <c r="U4962" s="1066"/>
      <c r="V4962" s="1066"/>
      <c r="W4962" s="1066"/>
      <c r="X4962" s="1066"/>
      <c r="Y4962" s="1066"/>
      <c r="Z4962" s="1066"/>
      <c r="AA4962" s="1066"/>
      <c r="AB4962" s="1066"/>
      <c r="AC4962" s="1066"/>
      <c r="AD4962" s="1066"/>
      <c r="AE4962" s="1066"/>
      <c r="AF4962" s="1066"/>
      <c r="AG4962" s="1066"/>
      <c r="AH4962" s="1066"/>
      <c r="AI4962" s="1066"/>
      <c r="AJ4962" s="1066"/>
      <c r="AK4962" s="1066"/>
      <c r="AL4962" s="1066"/>
      <c r="AM4962" s="1066"/>
      <c r="AN4962" s="1066"/>
      <c r="AO4962" s="1066"/>
      <c r="AP4962" s="1066"/>
      <c r="AQ4962" s="1066"/>
      <c r="AR4962" s="1066"/>
      <c r="AS4962" s="1066"/>
      <c r="AT4962" s="1066"/>
      <c r="AU4962" s="1066"/>
      <c r="AV4962" s="1066"/>
      <c r="AW4962" s="1066"/>
      <c r="AX4962" s="1066"/>
      <c r="AY4962" s="1066"/>
      <c r="AZ4962" s="1066"/>
      <c r="BA4962" s="1066"/>
      <c r="BB4962" s="1066"/>
      <c r="BC4962" s="1066"/>
      <c r="BD4962" s="1066"/>
      <c r="BE4962" s="1066"/>
      <c r="BF4962" s="1066"/>
      <c r="BG4962" s="1066"/>
      <c r="BH4962" s="1066"/>
      <c r="BI4962" s="1066"/>
      <c r="BJ4962" s="1066"/>
      <c r="BK4962" s="1066"/>
      <c r="BL4962" s="1066"/>
    </row>
    <row r="4963" spans="1:64">
      <c r="A4963" s="1794"/>
      <c r="B4963" s="1794"/>
      <c r="C4963" s="1208" t="s">
        <v>1768</v>
      </c>
      <c r="D4963" s="1316">
        <f t="shared" si="1051"/>
        <v>1</v>
      </c>
      <c r="E4963" s="1308" t="s">
        <v>948</v>
      </c>
      <c r="F4963" s="1211">
        <v>6000</v>
      </c>
      <c r="G4963" s="1308"/>
      <c r="H4963" s="1290" t="str">
        <f t="shared" si="1049"/>
        <v>MT</v>
      </c>
      <c r="I4963" s="1211">
        <f t="shared" si="1050"/>
        <v>6000</v>
      </c>
      <c r="J4963" s="1022"/>
      <c r="K4963" s="1022"/>
      <c r="L4963" s="1022"/>
      <c r="M4963" s="1066"/>
      <c r="N4963" s="1066"/>
      <c r="O4963" s="1066"/>
      <c r="P4963" s="1066"/>
      <c r="Q4963" s="1066"/>
      <c r="R4963" s="1066"/>
      <c r="S4963" s="1066"/>
      <c r="T4963" s="1066"/>
      <c r="U4963" s="1066"/>
      <c r="V4963" s="1066"/>
      <c r="W4963" s="1066"/>
      <c r="X4963" s="1066"/>
      <c r="Y4963" s="1066"/>
      <c r="Z4963" s="1066"/>
      <c r="AA4963" s="1066"/>
      <c r="AB4963" s="1066"/>
      <c r="AC4963" s="1066"/>
      <c r="AD4963" s="1066"/>
      <c r="AE4963" s="1066"/>
      <c r="AF4963" s="1066"/>
      <c r="AG4963" s="1066"/>
      <c r="AH4963" s="1066"/>
      <c r="AI4963" s="1066"/>
      <c r="AJ4963" s="1066"/>
      <c r="AK4963" s="1066"/>
      <c r="AL4963" s="1066"/>
      <c r="AM4963" s="1066"/>
      <c r="AN4963" s="1066"/>
      <c r="AO4963" s="1066"/>
      <c r="AP4963" s="1066"/>
      <c r="AQ4963" s="1066"/>
      <c r="AR4963" s="1066"/>
      <c r="AS4963" s="1066"/>
      <c r="AT4963" s="1066"/>
      <c r="AU4963" s="1066"/>
      <c r="AV4963" s="1066"/>
      <c r="AW4963" s="1066"/>
      <c r="AX4963" s="1066"/>
      <c r="AY4963" s="1066"/>
      <c r="AZ4963" s="1066"/>
      <c r="BA4963" s="1066"/>
      <c r="BB4963" s="1066"/>
      <c r="BC4963" s="1066"/>
      <c r="BD4963" s="1066"/>
      <c r="BE4963" s="1066"/>
      <c r="BF4963" s="1066"/>
      <c r="BG4963" s="1066"/>
      <c r="BH4963" s="1066"/>
      <c r="BI4963" s="1066"/>
      <c r="BJ4963" s="1066"/>
      <c r="BK4963" s="1066"/>
      <c r="BL4963" s="1066"/>
    </row>
    <row r="4964" spans="1:64">
      <c r="A4964" s="1794"/>
      <c r="B4964" s="1794"/>
      <c r="C4964" s="1807" t="str">
        <f>Input!C$47</f>
        <v>Add for MA @ 40%</v>
      </c>
      <c r="D4964" s="1404">
        <f>Input!D$47</f>
        <v>0.4</v>
      </c>
      <c r="E4964" s="1308"/>
      <c r="F4964" s="1211">
        <f>I4962*40%+I4963</f>
        <v>20800</v>
      </c>
      <c r="G4964" s="1208"/>
      <c r="H4964" s="1813"/>
      <c r="I4964" s="1211">
        <f t="shared" si="1050"/>
        <v>8320</v>
      </c>
      <c r="J4964" s="1022"/>
      <c r="K4964" s="1022"/>
      <c r="L4964" s="1022"/>
      <c r="M4964" s="1066"/>
      <c r="N4964" s="1066"/>
      <c r="O4964" s="1066"/>
      <c r="P4964" s="1066"/>
      <c r="Q4964" s="1066"/>
      <c r="R4964" s="1066"/>
      <c r="S4964" s="1066"/>
      <c r="T4964" s="1066"/>
      <c r="U4964" s="1066"/>
      <c r="V4964" s="1066"/>
      <c r="W4964" s="1066"/>
      <c r="X4964" s="1066"/>
      <c r="Y4964" s="1066"/>
      <c r="Z4964" s="1066"/>
      <c r="AA4964" s="1066"/>
      <c r="AB4964" s="1066"/>
      <c r="AC4964" s="1066"/>
      <c r="AD4964" s="1066"/>
      <c r="AE4964" s="1066"/>
      <c r="AF4964" s="1066"/>
      <c r="AG4964" s="1066"/>
      <c r="AH4964" s="1066"/>
      <c r="AI4964" s="1066"/>
      <c r="AJ4964" s="1066"/>
      <c r="AK4964" s="1066"/>
      <c r="AL4964" s="1066"/>
      <c r="AM4964" s="1066"/>
      <c r="AN4964" s="1066"/>
      <c r="AO4964" s="1066"/>
      <c r="AP4964" s="1066"/>
      <c r="AQ4964" s="1066"/>
      <c r="AR4964" s="1066"/>
      <c r="AS4964" s="1066"/>
      <c r="AT4964" s="1066"/>
      <c r="AU4964" s="1066"/>
      <c r="AV4964" s="1066"/>
      <c r="AW4964" s="1066"/>
      <c r="AX4964" s="1066"/>
      <c r="AY4964" s="1066"/>
      <c r="AZ4964" s="1066"/>
      <c r="BA4964" s="1066"/>
      <c r="BB4964" s="1066"/>
      <c r="BC4964" s="1066"/>
      <c r="BD4964" s="1066"/>
      <c r="BE4964" s="1066"/>
      <c r="BF4964" s="1066"/>
      <c r="BG4964" s="1066"/>
      <c r="BH4964" s="1066"/>
      <c r="BI4964" s="1066"/>
      <c r="BJ4964" s="1066"/>
      <c r="BK4964" s="1066"/>
      <c r="BL4964" s="1066"/>
    </row>
    <row r="4965" spans="1:64">
      <c r="A4965" s="1794"/>
      <c r="B4965" s="1794"/>
      <c r="C4965" s="1294" t="s">
        <v>1356</v>
      </c>
      <c r="D4965" s="1316"/>
      <c r="E4965" s="1390"/>
      <c r="F4965" s="1206"/>
      <c r="G4965" s="1308"/>
      <c r="H4965" s="1391"/>
      <c r="I4965" s="1307">
        <f>SUM(I4961:I4964)</f>
        <v>112320</v>
      </c>
      <c r="J4965" s="1022"/>
      <c r="K4965" s="1022"/>
      <c r="L4965" s="1022"/>
      <c r="M4965" s="1066"/>
      <c r="N4965" s="1066"/>
      <c r="O4965" s="1066"/>
      <c r="P4965" s="1066"/>
      <c r="Q4965" s="1066"/>
      <c r="R4965" s="1066"/>
      <c r="S4965" s="1066"/>
      <c r="T4965" s="1066"/>
      <c r="U4965" s="1066"/>
      <c r="V4965" s="1066"/>
      <c r="W4965" s="1066"/>
      <c r="X4965" s="1066"/>
      <c r="Y4965" s="1066"/>
      <c r="Z4965" s="1066"/>
      <c r="AA4965" s="1066"/>
      <c r="AB4965" s="1066"/>
      <c r="AC4965" s="1066"/>
      <c r="AD4965" s="1066"/>
      <c r="AE4965" s="1066"/>
      <c r="AF4965" s="1066"/>
      <c r="AG4965" s="1066"/>
      <c r="AH4965" s="1066"/>
      <c r="AI4965" s="1066"/>
      <c r="AJ4965" s="1066"/>
      <c r="AK4965" s="1066"/>
      <c r="AL4965" s="1066"/>
      <c r="AM4965" s="1066"/>
      <c r="AN4965" s="1066"/>
      <c r="AO4965" s="1066"/>
      <c r="AP4965" s="1066"/>
      <c r="AQ4965" s="1066"/>
      <c r="AR4965" s="1066"/>
      <c r="AS4965" s="1066"/>
      <c r="AT4965" s="1066"/>
      <c r="AU4965" s="1066"/>
      <c r="AV4965" s="1066"/>
      <c r="AW4965" s="1066"/>
      <c r="AX4965" s="1066"/>
      <c r="AY4965" s="1066"/>
      <c r="AZ4965" s="1066"/>
      <c r="BA4965" s="1066"/>
      <c r="BB4965" s="1066"/>
      <c r="BC4965" s="1066"/>
      <c r="BD4965" s="1066"/>
      <c r="BE4965" s="1066"/>
      <c r="BF4965" s="1066"/>
      <c r="BG4965" s="1066"/>
      <c r="BH4965" s="1066"/>
      <c r="BI4965" s="1066"/>
      <c r="BJ4965" s="1066"/>
      <c r="BK4965" s="1066"/>
      <c r="BL4965" s="1066"/>
    </row>
    <row r="4966" spans="1:64">
      <c r="A4966" s="1794"/>
      <c r="B4966" s="1794"/>
      <c r="C4966" s="1807" t="str">
        <f>Input!$C$48</f>
        <v>Overheads &amp; Contractors Profit @ 13.615%</v>
      </c>
      <c r="D4966" s="1385">
        <f>Input!$D$48</f>
        <v>0.13614999999999999</v>
      </c>
      <c r="E4966" s="1390"/>
      <c r="F4966" s="1211">
        <f>I4965</f>
        <v>112320</v>
      </c>
      <c r="G4966" s="1308"/>
      <c r="H4966" s="1391"/>
      <c r="I4966" s="1211">
        <f>IF(G4966="",D4966*F4966,(D4966*F4966/G4966))</f>
        <v>15292.367999999999</v>
      </c>
      <c r="J4966" s="1022"/>
      <c r="K4966" s="1022"/>
      <c r="L4966" s="1022"/>
      <c r="M4966" s="1066"/>
      <c r="N4966" s="1066"/>
      <c r="O4966" s="1066"/>
      <c r="P4966" s="1066"/>
      <c r="Q4966" s="1066"/>
      <c r="R4966" s="1066"/>
      <c r="S4966" s="1066"/>
      <c r="T4966" s="1066"/>
      <c r="U4966" s="1066"/>
      <c r="V4966" s="1066"/>
      <c r="W4966" s="1066"/>
      <c r="X4966" s="1066"/>
      <c r="Y4966" s="1066"/>
      <c r="Z4966" s="1066"/>
      <c r="AA4966" s="1066"/>
      <c r="AB4966" s="1066"/>
      <c r="AC4966" s="1066"/>
      <c r="AD4966" s="1066"/>
      <c r="AE4966" s="1066"/>
      <c r="AF4966" s="1066"/>
      <c r="AG4966" s="1066"/>
      <c r="AH4966" s="1066"/>
      <c r="AI4966" s="1066"/>
      <c r="AJ4966" s="1066"/>
      <c r="AK4966" s="1066"/>
      <c r="AL4966" s="1066"/>
      <c r="AM4966" s="1066"/>
      <c r="AN4966" s="1066"/>
      <c r="AO4966" s="1066"/>
      <c r="AP4966" s="1066"/>
      <c r="AQ4966" s="1066"/>
      <c r="AR4966" s="1066"/>
      <c r="AS4966" s="1066"/>
      <c r="AT4966" s="1066"/>
      <c r="AU4966" s="1066"/>
      <c r="AV4966" s="1066"/>
      <c r="AW4966" s="1066"/>
      <c r="AX4966" s="1066"/>
      <c r="AY4966" s="1066"/>
      <c r="AZ4966" s="1066"/>
      <c r="BA4966" s="1066"/>
      <c r="BB4966" s="1066"/>
      <c r="BC4966" s="1066"/>
      <c r="BD4966" s="1066"/>
      <c r="BE4966" s="1066"/>
      <c r="BF4966" s="1066"/>
      <c r="BG4966" s="1066"/>
      <c r="BH4966" s="1066"/>
      <c r="BI4966" s="1066"/>
      <c r="BJ4966" s="1066"/>
      <c r="BK4966" s="1066"/>
      <c r="BL4966" s="1066"/>
    </row>
    <row r="4967" spans="1:64">
      <c r="A4967" s="1798"/>
      <c r="B4967" s="1200"/>
      <c r="C4967" s="1198"/>
      <c r="D4967" s="1333"/>
      <c r="E4967" s="1393"/>
      <c r="F4967" s="1339"/>
      <c r="G4967" s="1394"/>
      <c r="H4967" s="1810"/>
      <c r="I4967" s="1219">
        <f>SUM(I4965:I4966)</f>
        <v>127612.368</v>
      </c>
      <c r="J4967" s="1846"/>
      <c r="K4967" s="1846"/>
      <c r="L4967" s="1846"/>
    </row>
    <row r="4968" spans="1:64">
      <c r="A4968" s="1797"/>
      <c r="B4968" s="1797"/>
      <c r="C4968" s="1384" t="s">
        <v>1356</v>
      </c>
      <c r="D4968" s="1364"/>
      <c r="E4968" s="1349"/>
      <c r="F4968" s="1802"/>
      <c r="G4968" s="1348"/>
      <c r="H4968" s="1799" t="s">
        <v>1065</v>
      </c>
      <c r="I4968" s="1218">
        <f>ROUND(I4967,0)</f>
        <v>127612</v>
      </c>
      <c r="J4968" s="996"/>
      <c r="K4968" s="996"/>
      <c r="L4968" s="996"/>
      <c r="M4968" s="997"/>
      <c r="N4968" s="997"/>
      <c r="O4968" s="997"/>
      <c r="P4968" s="997"/>
      <c r="Q4968" s="997"/>
      <c r="R4968" s="997"/>
      <c r="S4968" s="997"/>
      <c r="T4968" s="997"/>
      <c r="U4968" s="997"/>
      <c r="V4968" s="997"/>
      <c r="W4968" s="997"/>
      <c r="X4968" s="997"/>
      <c r="Y4968" s="997"/>
      <c r="Z4968" s="997"/>
      <c r="AA4968" s="997"/>
      <c r="AB4968" s="997"/>
      <c r="AC4968" s="997"/>
      <c r="AD4968" s="997"/>
      <c r="AE4968" s="997"/>
      <c r="AF4968" s="997"/>
      <c r="AG4968" s="997"/>
      <c r="AH4968" s="997"/>
      <c r="AI4968" s="997"/>
      <c r="AJ4968" s="997"/>
      <c r="AK4968" s="997"/>
      <c r="AL4968" s="997"/>
      <c r="AM4968" s="997"/>
      <c r="AN4968" s="997"/>
      <c r="AO4968" s="997"/>
      <c r="AP4968" s="997"/>
      <c r="AQ4968" s="997"/>
      <c r="AR4968" s="997"/>
      <c r="AS4968" s="997"/>
      <c r="AT4968" s="997"/>
      <c r="AU4968" s="997"/>
      <c r="AV4968" s="997"/>
      <c r="AW4968" s="997"/>
      <c r="AX4968" s="997"/>
      <c r="AY4968" s="997"/>
      <c r="AZ4968" s="997"/>
      <c r="BA4968" s="997"/>
      <c r="BB4968" s="997"/>
      <c r="BC4968" s="997"/>
      <c r="BD4968" s="997"/>
      <c r="BE4968" s="997"/>
      <c r="BF4968" s="997"/>
      <c r="BG4968" s="997"/>
      <c r="BH4968" s="997"/>
      <c r="BI4968" s="997"/>
      <c r="BJ4968" s="997"/>
      <c r="BK4968" s="997"/>
      <c r="BL4968" s="997"/>
    </row>
    <row r="4969" spans="1:64">
      <c r="A4969" s="1797"/>
      <c r="B4969" s="1797"/>
      <c r="C4969" s="1384" t="s">
        <v>1763</v>
      </c>
      <c r="D4969" s="1364"/>
      <c r="E4969" s="1349"/>
      <c r="F4969" s="1802"/>
      <c r="G4969" s="1348"/>
      <c r="H4969" s="1799"/>
      <c r="I4969" s="1218">
        <f>I4968/1000</f>
        <v>127.61199999999999</v>
      </c>
      <c r="J4969" s="996"/>
      <c r="K4969" s="996"/>
      <c r="L4969" s="996"/>
      <c r="M4969" s="997"/>
      <c r="N4969" s="997"/>
      <c r="O4969" s="997"/>
      <c r="P4969" s="997"/>
      <c r="Q4969" s="997"/>
      <c r="R4969" s="997"/>
      <c r="S4969" s="997"/>
      <c r="T4969" s="997"/>
      <c r="U4969" s="997"/>
      <c r="V4969" s="997"/>
      <c r="W4969" s="997"/>
      <c r="X4969" s="997"/>
      <c r="Y4969" s="997"/>
      <c r="Z4969" s="997"/>
      <c r="AA4969" s="997"/>
      <c r="AB4969" s="997"/>
      <c r="AC4969" s="997"/>
      <c r="AD4969" s="997"/>
      <c r="AE4969" s="997"/>
      <c r="AF4969" s="997"/>
      <c r="AG4969" s="997"/>
      <c r="AH4969" s="997"/>
      <c r="AI4969" s="997"/>
      <c r="AJ4969" s="997"/>
      <c r="AK4969" s="997"/>
      <c r="AL4969" s="997"/>
      <c r="AM4969" s="997"/>
      <c r="AN4969" s="997"/>
      <c r="AO4969" s="997"/>
      <c r="AP4969" s="997"/>
      <c r="AQ4969" s="997"/>
      <c r="AR4969" s="997"/>
      <c r="AS4969" s="997"/>
      <c r="AT4969" s="997"/>
      <c r="AU4969" s="997"/>
      <c r="AV4969" s="997"/>
      <c r="AW4969" s="997"/>
      <c r="AX4969" s="997"/>
      <c r="AY4969" s="997"/>
      <c r="AZ4969" s="997"/>
      <c r="BA4969" s="997"/>
      <c r="BB4969" s="997"/>
      <c r="BC4969" s="997"/>
      <c r="BD4969" s="997"/>
      <c r="BE4969" s="997"/>
      <c r="BF4969" s="997"/>
      <c r="BG4969" s="997"/>
      <c r="BH4969" s="997"/>
      <c r="BI4969" s="997"/>
      <c r="BJ4969" s="997"/>
      <c r="BK4969" s="997"/>
      <c r="BL4969" s="997"/>
    </row>
    <row r="4970" spans="1:64">
      <c r="A4970" s="1797"/>
      <c r="B4970" s="1797"/>
      <c r="C4970" s="1815"/>
      <c r="D4970" s="1281"/>
      <c r="E4970" s="1320"/>
      <c r="F4970" s="1283"/>
      <c r="G4970" s="2014" t="s">
        <v>1764</v>
      </c>
      <c r="H4970" s="2014"/>
      <c r="I4970" s="1218">
        <f>ROUND(I4969,0)</f>
        <v>128</v>
      </c>
      <c r="J4970" s="996"/>
      <c r="K4970" s="996"/>
      <c r="L4970" s="996"/>
      <c r="M4970" s="997"/>
      <c r="N4970" s="997"/>
      <c r="O4970" s="997"/>
      <c r="P4970" s="997"/>
      <c r="Q4970" s="997"/>
      <c r="R4970" s="997"/>
      <c r="S4970" s="997"/>
      <c r="T4970" s="997"/>
      <c r="U4970" s="997"/>
      <c r="V4970" s="997"/>
      <c r="W4970" s="997"/>
      <c r="X4970" s="997"/>
      <c r="Y4970" s="997"/>
      <c r="Z4970" s="997"/>
      <c r="AA4970" s="997"/>
      <c r="AB4970" s="997"/>
      <c r="AC4970" s="997"/>
      <c r="AD4970" s="997"/>
      <c r="AE4970" s="997"/>
      <c r="AF4970" s="997"/>
      <c r="AG4970" s="997"/>
      <c r="AH4970" s="997"/>
      <c r="AI4970" s="997"/>
      <c r="AJ4970" s="997"/>
      <c r="AK4970" s="997"/>
      <c r="AL4970" s="997"/>
      <c r="AM4970" s="997"/>
      <c r="AN4970" s="997"/>
      <c r="AO4970" s="997"/>
      <c r="AP4970" s="997"/>
      <c r="AQ4970" s="997"/>
      <c r="AR4970" s="997"/>
      <c r="AS4970" s="997"/>
      <c r="AT4970" s="997"/>
      <c r="AU4970" s="997"/>
      <c r="AV4970" s="997"/>
      <c r="AW4970" s="997"/>
      <c r="AX4970" s="997"/>
      <c r="AY4970" s="997"/>
      <c r="AZ4970" s="997"/>
      <c r="BA4970" s="997"/>
      <c r="BB4970" s="997"/>
      <c r="BC4970" s="997"/>
      <c r="BD4970" s="997"/>
      <c r="BE4970" s="997"/>
      <c r="BF4970" s="997"/>
      <c r="BG4970" s="997"/>
      <c r="BH4970" s="997"/>
      <c r="BI4970" s="997"/>
      <c r="BJ4970" s="997"/>
      <c r="BK4970" s="997"/>
      <c r="BL4970" s="997"/>
    </row>
    <row r="4971" spans="1:64">
      <c r="A4971" s="1798"/>
      <c r="B4971" s="1200"/>
      <c r="C4971" s="1807"/>
      <c r="D4971" s="1203"/>
      <c r="E4971" s="1199"/>
      <c r="F4971" s="1201"/>
      <c r="G4971" s="1204"/>
      <c r="H4971" s="1199"/>
      <c r="I4971" s="1201"/>
      <c r="J4971" s="1846"/>
      <c r="K4971" s="1846"/>
      <c r="L4971" s="1846"/>
    </row>
    <row r="4972" spans="1:64" ht="58.9" customHeight="1">
      <c r="A4972" s="2005">
        <f>1+A4960</f>
        <v>82</v>
      </c>
      <c r="B4972" s="2005"/>
      <c r="C4972" s="2006" t="s">
        <v>3497</v>
      </c>
      <c r="D4972" s="2006"/>
      <c r="E4972" s="2006"/>
      <c r="F4972" s="2006"/>
      <c r="G4972" s="2006"/>
      <c r="H4972" s="2006"/>
      <c r="I4972" s="1814"/>
      <c r="J4972" s="1022"/>
      <c r="K4972" s="1022"/>
      <c r="L4972" s="1022"/>
    </row>
    <row r="4973" spans="1:64">
      <c r="A4973" s="1794"/>
      <c r="B4973" s="1332"/>
      <c r="C4973" s="1795" t="s">
        <v>1868</v>
      </c>
      <c r="D4973" s="1231">
        <v>10</v>
      </c>
      <c r="E4973" s="1795" t="s">
        <v>197</v>
      </c>
      <c r="F4973" s="1794"/>
      <c r="G4973" s="1807"/>
      <c r="H4973" s="1807"/>
      <c r="I4973" s="1209"/>
      <c r="J4973" s="1022"/>
      <c r="K4973" s="1022"/>
      <c r="L4973" s="1022"/>
    </row>
    <row r="4974" spans="1:64">
      <c r="A4974" s="1794"/>
      <c r="B4974" s="1332"/>
      <c r="C4974" s="1807" t="s">
        <v>1869</v>
      </c>
      <c r="D4974" s="1203">
        <f>1*10</f>
        <v>10</v>
      </c>
      <c r="E4974" s="1199" t="s">
        <v>197</v>
      </c>
      <c r="F4974" s="1201"/>
      <c r="G4974" s="1204"/>
      <c r="H4974" s="1199"/>
      <c r="I4974" s="1205"/>
      <c r="J4974" s="1022"/>
      <c r="K4974" s="1022"/>
      <c r="L4974" s="1022"/>
    </row>
    <row r="4975" spans="1:64">
      <c r="A4975" s="1794"/>
      <c r="B4975" s="1332"/>
      <c r="C4975" s="1807" t="s">
        <v>1870</v>
      </c>
      <c r="D4975" s="1203">
        <f>9*0.3</f>
        <v>2.6999999999999997</v>
      </c>
      <c r="E4975" s="1199" t="s">
        <v>197</v>
      </c>
      <c r="F4975" s="1201"/>
      <c r="G4975" s="1204"/>
      <c r="H4975" s="1199"/>
      <c r="I4975" s="1205"/>
      <c r="J4975" s="1022"/>
      <c r="K4975" s="1022"/>
      <c r="L4975" s="1022"/>
    </row>
    <row r="4976" spans="1:64">
      <c r="A4976" s="1794"/>
      <c r="B4976" s="1332"/>
      <c r="C4976" s="1813" t="s">
        <v>1871</v>
      </c>
      <c r="D4976" s="1333">
        <f>ROUND(10*2.39,2)</f>
        <v>23.9</v>
      </c>
      <c r="E4976" s="1271" t="s">
        <v>1110</v>
      </c>
      <c r="F4976" s="1223"/>
      <c r="G4976" s="1334"/>
      <c r="H4976" s="1271"/>
      <c r="I4976" s="1205"/>
      <c r="J4976" s="1022"/>
      <c r="K4976" s="1022"/>
      <c r="L4976" s="1022"/>
    </row>
    <row r="4977" spans="1:12">
      <c r="A4977" s="1794"/>
      <c r="B4977" s="1332"/>
      <c r="C4977" s="1813" t="s">
        <v>1872</v>
      </c>
      <c r="D4977" s="1333">
        <f>ROUND(2.7*0.89,2)</f>
        <v>2.4</v>
      </c>
      <c r="E4977" s="1271" t="s">
        <v>1110</v>
      </c>
      <c r="F4977" s="1201"/>
      <c r="G4977" s="1204"/>
      <c r="H4977" s="1199"/>
      <c r="I4977" s="1205"/>
      <c r="J4977" s="1022"/>
      <c r="K4977" s="1022"/>
      <c r="L4977" s="1022"/>
    </row>
    <row r="4978" spans="1:12">
      <c r="A4978" s="1794"/>
      <c r="B4978" s="1208"/>
      <c r="C4978" s="1807" t="s">
        <v>1504</v>
      </c>
      <c r="D4978" s="1316">
        <f>ROUND(SUM(D4976:D4977),2)</f>
        <v>26.3</v>
      </c>
      <c r="E4978" s="1288" t="s">
        <v>1110</v>
      </c>
      <c r="F4978" s="1211">
        <f>'Civil-SOR'!$G$47</f>
        <v>434</v>
      </c>
      <c r="G4978" s="1318">
        <v>1</v>
      </c>
      <c r="H4978" s="1288" t="s">
        <v>97</v>
      </c>
      <c r="I4978" s="1211">
        <f t="shared" ref="I4978:I4981" si="1052">IF(G4978="",D4978*F4978,(D4978*F4978/G4978))</f>
        <v>11414.2</v>
      </c>
      <c r="J4978" s="1846"/>
      <c r="K4978" s="1846"/>
      <c r="L4978" s="1846"/>
    </row>
    <row r="4979" spans="1:12">
      <c r="A4979" s="1794"/>
      <c r="B4979" s="1208"/>
      <c r="C4979" s="1807" t="s">
        <v>1505</v>
      </c>
      <c r="D4979" s="1316">
        <f>D4978</f>
        <v>26.3</v>
      </c>
      <c r="E4979" s="1288" t="s">
        <v>1110</v>
      </c>
      <c r="F4979" s="1211">
        <f>'Civil-SOR'!$G$204</f>
        <v>188</v>
      </c>
      <c r="G4979" s="1318">
        <v>1</v>
      </c>
      <c r="H4979" s="1288" t="s">
        <v>97</v>
      </c>
      <c r="I4979" s="1211">
        <f t="shared" si="1052"/>
        <v>4944.4000000000005</v>
      </c>
      <c r="J4979" s="996"/>
      <c r="K4979" s="996"/>
      <c r="L4979" s="996"/>
    </row>
    <row r="4980" spans="1:12">
      <c r="A4980" s="1794"/>
      <c r="B4980" s="1208"/>
      <c r="C4980" s="1807" t="s">
        <v>1873</v>
      </c>
      <c r="D4980" s="1316">
        <f>9*0.1</f>
        <v>0.9</v>
      </c>
      <c r="E4980" s="1288" t="s">
        <v>197</v>
      </c>
      <c r="F4980" s="1211">
        <f>'Civil-SOR'!$G$348</f>
        <v>136</v>
      </c>
      <c r="G4980" s="1318">
        <v>1</v>
      </c>
      <c r="H4980" s="1288" t="s">
        <v>197</v>
      </c>
      <c r="I4980" s="1211">
        <f t="shared" si="1052"/>
        <v>122.4</v>
      </c>
      <c r="J4980" s="996"/>
      <c r="K4980" s="996"/>
      <c r="L4980" s="996"/>
    </row>
    <row r="4981" spans="1:12">
      <c r="A4981" s="1794"/>
      <c r="B4981" s="1208"/>
      <c r="C4981" s="1807" t="s">
        <v>1507</v>
      </c>
      <c r="D4981" s="1210">
        <v>9</v>
      </c>
      <c r="E4981" s="1813" t="s">
        <v>36</v>
      </c>
      <c r="F4981" s="1209">
        <f>'Civil-SOR'!$G$379</f>
        <v>100</v>
      </c>
      <c r="G4981" s="1210">
        <v>1</v>
      </c>
      <c r="H4981" s="1208" t="s">
        <v>501</v>
      </c>
      <c r="I4981" s="1211">
        <f t="shared" si="1052"/>
        <v>900</v>
      </c>
      <c r="J4981" s="996"/>
      <c r="K4981" s="996"/>
      <c r="L4981" s="996"/>
    </row>
    <row r="4982" spans="1:12">
      <c r="A4982" s="1794"/>
      <c r="B4982" s="1332"/>
      <c r="C4982" s="1199"/>
      <c r="D4982" s="1203"/>
      <c r="E4982" s="1199"/>
      <c r="F4982" s="1201"/>
      <c r="G4982" s="1204"/>
      <c r="H4982" s="1199"/>
      <c r="I4982" s="1230">
        <f>SUM(I4978:I4981)</f>
        <v>17381.000000000004</v>
      </c>
      <c r="J4982" s="1022"/>
      <c r="K4982" s="1022"/>
      <c r="L4982" s="1022"/>
    </row>
    <row r="4983" spans="1:12">
      <c r="A4983" s="1794"/>
      <c r="B4983" s="1332"/>
      <c r="C4983" s="1807" t="s">
        <v>1288</v>
      </c>
      <c r="D4983" s="1203"/>
      <c r="E4983" s="1199"/>
      <c r="F4983" s="1201"/>
      <c r="G4983" s="1204"/>
      <c r="H4983" s="1199"/>
      <c r="I4983" s="1230">
        <f>I4982/D4973</f>
        <v>1738.1000000000004</v>
      </c>
      <c r="J4983" s="1022"/>
      <c r="K4983" s="1022"/>
      <c r="L4983" s="1022"/>
    </row>
    <row r="4984" spans="1:12">
      <c r="A4984" s="1794"/>
      <c r="B4984" s="1332"/>
      <c r="C4984" s="1336" t="str">
        <f>Input!$C$48</f>
        <v>Overheads &amp; Contractors Profit @ 13.615%</v>
      </c>
      <c r="D4984" s="1337">
        <f>Input!$D$48</f>
        <v>0.13614999999999999</v>
      </c>
      <c r="E4984" s="1199"/>
      <c r="F4984" s="1201">
        <f>+I4983</f>
        <v>1738.1000000000004</v>
      </c>
      <c r="G4984" s="1204"/>
      <c r="H4984" s="1198"/>
      <c r="I4984" s="1205">
        <f>IF(G4984="",D4984*F4984,(D4984*F4984/G4984))</f>
        <v>236.64231500000002</v>
      </c>
      <c r="J4984" s="1022"/>
      <c r="K4984" s="1022"/>
      <c r="L4984" s="1022"/>
    </row>
    <row r="4985" spans="1:12">
      <c r="A4985" s="1794"/>
      <c r="B4985" s="1332"/>
      <c r="C4985" s="1335"/>
      <c r="D4985" s="1203"/>
      <c r="E4985" s="1199"/>
      <c r="F4985" s="1201"/>
      <c r="G4985" s="1204"/>
      <c r="H4985" s="1198"/>
      <c r="I4985" s="1230">
        <f>SUM(I4983:I4984)</f>
        <v>1974.7423150000004</v>
      </c>
      <c r="J4985" s="1022"/>
      <c r="K4985" s="1022"/>
      <c r="L4985" s="1022"/>
    </row>
    <row r="4986" spans="1:12">
      <c r="A4986" s="1794"/>
      <c r="B4986" s="1332"/>
      <c r="C4986" s="1335"/>
      <c r="D4986" s="1203"/>
      <c r="E4986" s="1199"/>
      <c r="F4986" s="1201"/>
      <c r="G4986" s="1204"/>
      <c r="H4986" s="1198" t="s">
        <v>1511</v>
      </c>
      <c r="I4986" s="1219">
        <f>ROUND(I4985,0)</f>
        <v>1975</v>
      </c>
      <c r="J4986" s="1022"/>
      <c r="K4986" s="1022"/>
      <c r="L4986" s="1022"/>
    </row>
    <row r="4987" spans="1:12" ht="70.150000000000006" customHeight="1">
      <c r="A4987" s="2007">
        <f>1+A4972</f>
        <v>83</v>
      </c>
      <c r="B4987" s="2007"/>
      <c r="C4987" s="2008" t="s">
        <v>3498</v>
      </c>
      <c r="D4987" s="2008"/>
      <c r="E4987" s="2008"/>
      <c r="F4987" s="2008"/>
      <c r="G4987" s="2008"/>
      <c r="H4987" s="2008"/>
      <c r="I4987" s="2008"/>
      <c r="J4987" s="1022"/>
      <c r="K4987" s="1022"/>
      <c r="L4987" s="1022"/>
    </row>
    <row r="4988" spans="1:12">
      <c r="A4988" s="1794"/>
      <c r="B4988" s="1486"/>
      <c r="C4988" s="1795" t="s">
        <v>1874</v>
      </c>
      <c r="D4988" s="1203"/>
      <c r="E4988" s="1199"/>
      <c r="F4988" s="1203"/>
      <c r="G4988" s="1204"/>
      <c r="H4988" s="1199"/>
      <c r="I4988" s="1203"/>
      <c r="J4988" s="1022"/>
      <c r="K4988" s="1022"/>
      <c r="L4988" s="1022"/>
    </row>
    <row r="4989" spans="1:12">
      <c r="A4989" s="1794"/>
      <c r="B4989" s="1486"/>
      <c r="C4989" s="1795" t="s">
        <v>1875</v>
      </c>
      <c r="D4989" s="1794"/>
      <c r="E4989" s="1487"/>
      <c r="F4989" s="1794"/>
      <c r="G4989" s="1487"/>
      <c r="H4989" s="1487"/>
      <c r="I4989" s="1203"/>
      <c r="J4989" s="1022"/>
      <c r="K4989" s="1022"/>
      <c r="L4989" s="1022"/>
    </row>
    <row r="4990" spans="1:12">
      <c r="A4990" s="1794"/>
      <c r="B4990" s="1486"/>
      <c r="C4990" s="1807" t="s">
        <v>1876</v>
      </c>
      <c r="D4990" s="1794"/>
      <c r="E4990" s="1487"/>
      <c r="F4990" s="1209">
        <v>30</v>
      </c>
      <c r="G4990" s="1488">
        <v>3</v>
      </c>
      <c r="H4990" s="1489">
        <f>+F4990*G4990</f>
        <v>90</v>
      </c>
      <c r="I4990" s="1203" t="s">
        <v>94</v>
      </c>
      <c r="J4990" s="1022"/>
      <c r="K4990" s="1022"/>
      <c r="L4990" s="1022"/>
    </row>
    <row r="4991" spans="1:12">
      <c r="A4991" s="1794"/>
      <c r="B4991" s="1486"/>
      <c r="C4991" s="1795" t="s">
        <v>1877</v>
      </c>
      <c r="D4991" s="1208"/>
      <c r="E4991" s="1487"/>
      <c r="F4991" s="1794"/>
      <c r="G4991" s="1487"/>
      <c r="H4991" s="1487"/>
      <c r="I4991" s="1203"/>
      <c r="J4991" s="1022"/>
      <c r="K4991" s="1022"/>
      <c r="L4991" s="1022"/>
    </row>
    <row r="4992" spans="1:12">
      <c r="A4992" s="1794"/>
      <c r="B4992" s="1486"/>
      <c r="C4992" s="1807" t="s">
        <v>1737</v>
      </c>
      <c r="D4992" s="1490"/>
      <c r="E4992" s="1491" t="s">
        <v>1738</v>
      </c>
      <c r="F4992" s="1492"/>
      <c r="G4992" s="1493">
        <v>1</v>
      </c>
      <c r="H4992" s="1491" t="s">
        <v>1738</v>
      </c>
      <c r="I4992" s="1203">
        <f t="shared" ref="I4992:I4994" si="1053">IF(G4992="",D4992*F4992,(D4992*F4992/G4992))</f>
        <v>0</v>
      </c>
      <c r="J4992" s="1022"/>
      <c r="K4992" s="1022"/>
      <c r="L4992" s="1022"/>
    </row>
    <row r="4993" spans="1:12">
      <c r="A4993" s="1794"/>
      <c r="B4993" s="1486"/>
      <c r="C4993" s="1807" t="s">
        <v>1878</v>
      </c>
      <c r="D4993" s="1490">
        <v>0.4</v>
      </c>
      <c r="E4993" s="1491" t="s">
        <v>1738</v>
      </c>
      <c r="F4993" s="1203">
        <v>615</v>
      </c>
      <c r="G4993" s="1493">
        <v>1</v>
      </c>
      <c r="H4993" s="1491" t="s">
        <v>1738</v>
      </c>
      <c r="I4993" s="1203">
        <f t="shared" si="1053"/>
        <v>246</v>
      </c>
      <c r="J4993" s="1022"/>
      <c r="K4993" s="1022"/>
      <c r="L4993" s="1022"/>
    </row>
    <row r="4994" spans="1:12">
      <c r="A4994" s="1794"/>
      <c r="B4994" s="1486"/>
      <c r="C4994" s="1807" t="s">
        <v>1537</v>
      </c>
      <c r="D4994" s="1490">
        <v>2.62</v>
      </c>
      <c r="E4994" s="1491" t="s">
        <v>1738</v>
      </c>
      <c r="F4994" s="1333">
        <f>+'Civil-SOR'!$G$307</f>
        <v>520</v>
      </c>
      <c r="G4994" s="1493">
        <v>1</v>
      </c>
      <c r="H4994" s="1491" t="s">
        <v>1738</v>
      </c>
      <c r="I4994" s="1203">
        <f t="shared" si="1053"/>
        <v>1362.4</v>
      </c>
      <c r="J4994" s="1022"/>
      <c r="K4994" s="1022"/>
      <c r="L4994" s="1022"/>
    </row>
    <row r="4995" spans="1:12">
      <c r="A4995" s="1794"/>
      <c r="B4995" s="1486"/>
      <c r="C4995" s="1807" t="str">
        <f>Input!C$47</f>
        <v>Add for MA @ 40%</v>
      </c>
      <c r="D4995" s="1404">
        <f>Input!D$47</f>
        <v>0.4</v>
      </c>
      <c r="E4995" s="1491"/>
      <c r="F4995" s="1492">
        <f>+SUM(I4992:I4994)</f>
        <v>1608.4</v>
      </c>
      <c r="G4995" s="1493"/>
      <c r="H4995" s="1491"/>
      <c r="I4995" s="1203">
        <f>+D4995*F4995</f>
        <v>643.36000000000013</v>
      </c>
      <c r="J4995" s="1022"/>
      <c r="K4995" s="1022"/>
      <c r="L4995" s="1022"/>
    </row>
    <row r="4996" spans="1:12">
      <c r="A4996" s="1794"/>
      <c r="B4996" s="1486"/>
      <c r="C4996" s="1795" t="s">
        <v>1879</v>
      </c>
      <c r="D4996" s="1494"/>
      <c r="E4996" s="1487"/>
      <c r="F4996" s="1794"/>
      <c r="G4996" s="1495"/>
      <c r="H4996" s="1487"/>
      <c r="I4996" s="1203"/>
      <c r="J4996" s="1022"/>
      <c r="K4996" s="1022"/>
      <c r="L4996" s="1022"/>
    </row>
    <row r="4997" spans="1:12" ht="38.25">
      <c r="A4997" s="1794"/>
      <c r="B4997" s="1486"/>
      <c r="C4997" s="1807" t="s">
        <v>1880</v>
      </c>
      <c r="D4997" s="1496">
        <f>41.25*4.4</f>
        <v>181.50000000000003</v>
      </c>
      <c r="E4997" s="1497" t="s">
        <v>675</v>
      </c>
      <c r="F4997" s="1353">
        <f>+LEAD!N10/1000</f>
        <v>61</v>
      </c>
      <c r="G4997" s="1498">
        <v>1</v>
      </c>
      <c r="H4997" s="1497" t="s">
        <v>675</v>
      </c>
      <c r="I4997" s="1203">
        <f t="shared" ref="I4997:I4999" si="1054">IF(G4997="",D4997*F4997,(D4997*F4997/G4997))</f>
        <v>11071.500000000002</v>
      </c>
      <c r="J4997" s="1022"/>
      <c r="K4997" s="1022"/>
      <c r="L4997" s="1022"/>
    </row>
    <row r="4998" spans="1:12" ht="25.5">
      <c r="A4998" s="1794"/>
      <c r="B4998" s="1486"/>
      <c r="C4998" s="1807" t="s">
        <v>1881</v>
      </c>
      <c r="D4998" s="1496">
        <f>3*30*2.8</f>
        <v>251.99999999999997</v>
      </c>
      <c r="E4998" s="1497" t="s">
        <v>675</v>
      </c>
      <c r="F4998" s="1353">
        <f>+F4997</f>
        <v>61</v>
      </c>
      <c r="G4998" s="1498">
        <v>1</v>
      </c>
      <c r="H4998" s="1497" t="s">
        <v>675</v>
      </c>
      <c r="I4998" s="1203">
        <f t="shared" si="1054"/>
        <v>15371.999999999998</v>
      </c>
      <c r="J4998" s="1022"/>
      <c r="K4998" s="1022"/>
      <c r="L4998" s="1022"/>
    </row>
    <row r="4999" spans="1:12" ht="38.25">
      <c r="A4999" s="1794"/>
      <c r="B4999" s="1499"/>
      <c r="C4999" s="1807" t="s">
        <v>1882</v>
      </c>
      <c r="D4999" s="1496">
        <f>+H4990*1.05</f>
        <v>94.5</v>
      </c>
      <c r="E4999" s="1497" t="s">
        <v>46</v>
      </c>
      <c r="F4999" s="1353">
        <v>581</v>
      </c>
      <c r="G4999" s="1498">
        <v>1</v>
      </c>
      <c r="H4999" s="1497" t="s">
        <v>46</v>
      </c>
      <c r="I4999" s="1203">
        <f t="shared" si="1054"/>
        <v>54904.5</v>
      </c>
      <c r="J4999" s="1022"/>
      <c r="K4999" s="1022"/>
      <c r="L4999" s="1022"/>
    </row>
    <row r="5000" spans="1:12" ht="51">
      <c r="A5000" s="1794"/>
      <c r="B5000" s="1486"/>
      <c r="C5000" s="1807" t="s">
        <v>1883</v>
      </c>
      <c r="D5000" s="1500">
        <v>2.5000000000000001E-2</v>
      </c>
      <c r="E5000" s="1491"/>
      <c r="F5000" s="1486">
        <f>ROUNDUP(SUM(I4997:I4999),2)</f>
        <v>81348</v>
      </c>
      <c r="G5000" s="1493"/>
      <c r="H5000" s="1491"/>
      <c r="I5000" s="1203">
        <f>+D5000*F5000</f>
        <v>2033.7</v>
      </c>
      <c r="J5000" s="1022"/>
      <c r="K5000" s="1022"/>
      <c r="L5000" s="1022"/>
    </row>
    <row r="5001" spans="1:12">
      <c r="A5001" s="1794"/>
      <c r="B5001" s="1486"/>
      <c r="C5001" s="1795" t="s">
        <v>1884</v>
      </c>
      <c r="D5001" s="1490"/>
      <c r="E5001" s="1491"/>
      <c r="F5001" s="1794"/>
      <c r="G5001" s="1493"/>
      <c r="H5001" s="1491"/>
      <c r="I5001" s="1203"/>
      <c r="J5001" s="1022"/>
      <c r="K5001" s="1022"/>
      <c r="L5001" s="1022"/>
    </row>
    <row r="5002" spans="1:12" ht="38.25">
      <c r="A5002" s="1794"/>
      <c r="B5002" s="1486"/>
      <c r="C5002" s="1807" t="s">
        <v>1885</v>
      </c>
      <c r="D5002" s="1496">
        <f>3.96/1.8*3.6</f>
        <v>7.919999999999999</v>
      </c>
      <c r="E5002" s="1497" t="s">
        <v>94</v>
      </c>
      <c r="F5002" s="1501">
        <f>I4134/10</f>
        <v>182.03399999999999</v>
      </c>
      <c r="G5002" s="1498">
        <v>1</v>
      </c>
      <c r="H5002" s="1497" t="s">
        <v>94</v>
      </c>
      <c r="I5002" s="1203">
        <f>IF(G5002="",D5002*F5002,(D5002*F5002/G5002))</f>
        <v>1441.7092799999998</v>
      </c>
      <c r="J5002" s="1022"/>
      <c r="K5002" s="1022"/>
      <c r="L5002" s="1022"/>
    </row>
    <row r="5003" spans="1:12">
      <c r="A5003" s="1794"/>
      <c r="B5003" s="1486"/>
      <c r="C5003" s="1388" t="s">
        <v>1886</v>
      </c>
      <c r="D5003" s="1337">
        <f>Input!$D$48</f>
        <v>0.13614999999999999</v>
      </c>
      <c r="E5003" s="1502"/>
      <c r="F5003" s="1503">
        <f>+SUM(I4992:I5002)</f>
        <v>87075.169280000002</v>
      </c>
      <c r="G5003" s="1204"/>
      <c r="H5003" s="1199"/>
      <c r="I5003" s="1203">
        <f>+D5003*F5003</f>
        <v>11855.284297471999</v>
      </c>
      <c r="J5003" s="1022"/>
      <c r="K5003" s="1022"/>
      <c r="L5003" s="1022"/>
    </row>
    <row r="5004" spans="1:12">
      <c r="A5004" s="1794"/>
      <c r="B5004" s="1486"/>
      <c r="C5004" s="1807" t="s">
        <v>1887</v>
      </c>
      <c r="D5004" s="1794"/>
      <c r="E5004" s="1487"/>
      <c r="F5004" s="1794"/>
      <c r="G5004" s="1204"/>
      <c r="H5004" s="1199"/>
      <c r="I5004" s="1203">
        <f>+SUM(I4992:I5003)</f>
        <v>98930.453577471999</v>
      </c>
      <c r="J5004" s="1022"/>
      <c r="K5004" s="1022"/>
      <c r="L5004" s="1022"/>
    </row>
    <row r="5005" spans="1:12">
      <c r="A5005" s="1794"/>
      <c r="B5005" s="1486"/>
      <c r="C5005" s="1795" t="s">
        <v>1888</v>
      </c>
      <c r="D5005" s="1794"/>
      <c r="E5005" s="1487"/>
      <c r="F5005" s="1794"/>
      <c r="G5005" s="1204"/>
      <c r="H5005" s="1199"/>
      <c r="I5005" s="1397">
        <f>+ROUND(I5004/30,2)</f>
        <v>3297.68</v>
      </c>
      <c r="J5005" s="1022"/>
      <c r="K5005" s="1022"/>
      <c r="L5005" s="1022"/>
    </row>
    <row r="5006" spans="1:12">
      <c r="A5006" s="1794"/>
      <c r="B5006" s="1486"/>
      <c r="C5006" s="1795" t="s">
        <v>1889</v>
      </c>
      <c r="D5006" s="1794"/>
      <c r="E5006" s="1487"/>
      <c r="F5006" s="1203"/>
      <c r="G5006" s="1204"/>
      <c r="H5006" s="1199" t="s">
        <v>1511</v>
      </c>
      <c r="I5006" s="1504">
        <f>+ROUND(I5005,2)</f>
        <v>3297.68</v>
      </c>
      <c r="J5006" s="1022"/>
      <c r="K5006" s="1022"/>
      <c r="L5006" s="1022"/>
    </row>
    <row r="5007" spans="1:12">
      <c r="A5007" s="1794"/>
      <c r="B5007" s="1486"/>
      <c r="C5007" s="1335" t="s">
        <v>1890</v>
      </c>
      <c r="D5007" s="1505"/>
      <c r="E5007" s="1506"/>
      <c r="F5007" s="1505"/>
      <c r="G5007" s="1506"/>
      <c r="H5007" s="1199"/>
      <c r="I5007" s="1405">
        <f>I5004/90</f>
        <v>1099.227261971911</v>
      </c>
      <c r="J5007" s="1022"/>
      <c r="K5007" s="1022"/>
      <c r="L5007" s="1022"/>
    </row>
    <row r="5008" spans="1:12">
      <c r="A5008" s="1798"/>
      <c r="B5008" s="1200"/>
      <c r="C5008" s="1807"/>
      <c r="D5008" s="1203"/>
      <c r="E5008" s="1199"/>
      <c r="F5008" s="1201"/>
      <c r="G5008" s="1204"/>
      <c r="H5008" s="1199"/>
      <c r="I5008" s="1201"/>
      <c r="J5008" s="1022"/>
      <c r="K5008" s="1022"/>
      <c r="L5008" s="1022"/>
    </row>
    <row r="5009" spans="1:12" ht="58.9" customHeight="1">
      <c r="A5009" s="1206">
        <f>1+A4987</f>
        <v>84</v>
      </c>
      <c r="B5009" s="1206"/>
      <c r="C5009" s="2006" t="s">
        <v>3499</v>
      </c>
      <c r="D5009" s="2006"/>
      <c r="E5009" s="2006"/>
      <c r="F5009" s="2006"/>
      <c r="G5009" s="2006"/>
      <c r="H5009" s="2006"/>
      <c r="I5009" s="2006"/>
      <c r="J5009" s="1022"/>
      <c r="K5009" s="1022"/>
      <c r="L5009" s="1022"/>
    </row>
    <row r="5010" spans="1:12">
      <c r="A5010" s="1206"/>
      <c r="B5010" s="1206"/>
      <c r="C5010" s="1807" t="s">
        <v>1069</v>
      </c>
      <c r="D5010" s="1328"/>
      <c r="E5010" s="1303"/>
      <c r="F5010" s="1328"/>
      <c r="G5010" s="1329"/>
      <c r="H5010" s="1270" t="str">
        <f>IF(E5010="","",IF(E5010="No.","Each",IF(E5010="Nos.","Each",E5010)))</f>
        <v/>
      </c>
      <c r="I5010" s="1227"/>
      <c r="J5010" s="1022"/>
      <c r="K5010" s="1022"/>
      <c r="L5010" s="1022"/>
    </row>
    <row r="5011" spans="1:12">
      <c r="A5011" s="1206"/>
      <c r="B5011" s="1206"/>
      <c r="C5011" s="1807" t="s">
        <v>1891</v>
      </c>
      <c r="D5011" s="1277"/>
      <c r="E5011" s="1276"/>
      <c r="F5011" s="1228"/>
      <c r="G5011" s="1278"/>
      <c r="H5011" s="1279"/>
      <c r="I5011" s="1227"/>
      <c r="J5011" s="1022"/>
      <c r="K5011" s="1022"/>
      <c r="L5011" s="1022"/>
    </row>
    <row r="5012" spans="1:12">
      <c r="A5012" s="1206"/>
      <c r="B5012" s="1206"/>
      <c r="C5012" s="1807" t="s">
        <v>1071</v>
      </c>
      <c r="D5012" s="1333"/>
      <c r="E5012" s="1297"/>
      <c r="F5012" s="1333"/>
      <c r="G5012" s="1334"/>
      <c r="H5012" s="1407"/>
      <c r="I5012" s="1408"/>
      <c r="J5012" s="1022"/>
      <c r="K5012" s="1022"/>
      <c r="L5012" s="1022"/>
    </row>
    <row r="5013" spans="1:12">
      <c r="A5013" s="1206"/>
      <c r="B5013" s="1206"/>
      <c r="C5013" s="1807" t="s">
        <v>1737</v>
      </c>
      <c r="D5013" s="1333">
        <v>0.02</v>
      </c>
      <c r="E5013" s="1297" t="s">
        <v>36</v>
      </c>
      <c r="F5013" s="1333">
        <f>+'Civil-SOR'!$G$304</f>
        <v>550</v>
      </c>
      <c r="G5013" s="1334">
        <v>1</v>
      </c>
      <c r="H5013" s="1297" t="s">
        <v>39</v>
      </c>
      <c r="I5013" s="1227">
        <f t="shared" ref="I5013:I5015" si="1055">IF(G5013="",D5013*F5013,(D5013*F5013/G5013))</f>
        <v>11</v>
      </c>
      <c r="J5013" s="1022"/>
      <c r="K5013" s="1022"/>
      <c r="L5013" s="1022"/>
    </row>
    <row r="5014" spans="1:12">
      <c r="A5014" s="1206"/>
      <c r="B5014" s="1206"/>
      <c r="C5014" s="1807" t="s">
        <v>1072</v>
      </c>
      <c r="D5014" s="1333">
        <v>0.5</v>
      </c>
      <c r="E5014" s="1297" t="s">
        <v>36</v>
      </c>
      <c r="F5014" s="1333">
        <f>+'Civil-SOR'!$G$307</f>
        <v>520</v>
      </c>
      <c r="G5014" s="1334">
        <v>1</v>
      </c>
      <c r="H5014" s="1297" t="s">
        <v>39</v>
      </c>
      <c r="I5014" s="1227">
        <f t="shared" si="1055"/>
        <v>260</v>
      </c>
      <c r="J5014" s="1022"/>
      <c r="K5014" s="1022"/>
      <c r="L5014" s="1022"/>
    </row>
    <row r="5015" spans="1:12">
      <c r="A5015" s="1206"/>
      <c r="B5015" s="1206"/>
      <c r="C5015" s="1807" t="str">
        <f>Input!C$47</f>
        <v>Add for MA @ 40%</v>
      </c>
      <c r="D5015" s="1404">
        <f>Input!D$47</f>
        <v>0.4</v>
      </c>
      <c r="E5015" s="1297"/>
      <c r="F5015" s="1333">
        <f>SUM(I5013:I5014)</f>
        <v>271</v>
      </c>
      <c r="G5015" s="1334"/>
      <c r="H5015" s="1297"/>
      <c r="I5015" s="1227">
        <f t="shared" si="1055"/>
        <v>108.4</v>
      </c>
      <c r="J5015" s="1022"/>
      <c r="K5015" s="1022"/>
      <c r="L5015" s="1022"/>
    </row>
    <row r="5016" spans="1:12">
      <c r="A5016" s="1206"/>
      <c r="B5016" s="1206"/>
      <c r="C5016" s="1807" t="s">
        <v>1081</v>
      </c>
      <c r="D5016" s="1333"/>
      <c r="E5016" s="1297"/>
      <c r="F5016" s="1333"/>
      <c r="G5016" s="1334"/>
      <c r="H5016" s="1297"/>
      <c r="I5016" s="1227"/>
      <c r="J5016" s="1022"/>
      <c r="K5016" s="1022"/>
      <c r="L5016" s="1022"/>
    </row>
    <row r="5017" spans="1:12">
      <c r="A5017" s="1206"/>
      <c r="B5017" s="1206"/>
      <c r="C5017" s="1807" t="s">
        <v>1892</v>
      </c>
      <c r="D5017" s="1328">
        <v>0.5</v>
      </c>
      <c r="E5017" s="1303" t="s">
        <v>1083</v>
      </c>
      <c r="F5017" s="1328">
        <f>+'Civil-SOR'!$G$355</f>
        <v>1934</v>
      </c>
      <c r="G5017" s="1329">
        <v>1</v>
      </c>
      <c r="H5017" s="1303" t="s">
        <v>616</v>
      </c>
      <c r="I5017" s="1227">
        <f t="shared" ref="I5017:I5020" si="1056">IF(G5017="",D5017*F5017,(D5017*F5017/G5017))</f>
        <v>967</v>
      </c>
      <c r="J5017" s="1022"/>
      <c r="K5017" s="1022"/>
      <c r="L5017" s="1022"/>
    </row>
    <row r="5018" spans="1:12">
      <c r="A5018" s="1206"/>
      <c r="B5018" s="1206"/>
      <c r="C5018" s="1807" t="s">
        <v>1893</v>
      </c>
      <c r="D5018" s="1328">
        <v>1</v>
      </c>
      <c r="E5018" s="1303" t="s">
        <v>1083</v>
      </c>
      <c r="F5018" s="1328">
        <f>+'Civil-SOR'!$G$360</f>
        <v>3962</v>
      </c>
      <c r="G5018" s="1329">
        <v>1</v>
      </c>
      <c r="H5018" s="1303" t="s">
        <v>616</v>
      </c>
      <c r="I5018" s="1227">
        <f t="shared" si="1056"/>
        <v>3962</v>
      </c>
      <c r="J5018" s="1022"/>
      <c r="K5018" s="1022"/>
      <c r="L5018" s="1022"/>
    </row>
    <row r="5019" spans="1:12">
      <c r="A5019" s="1206"/>
      <c r="B5019" s="1206"/>
      <c r="C5019" s="1807" t="s">
        <v>1894</v>
      </c>
      <c r="D5019" s="1328">
        <v>4</v>
      </c>
      <c r="E5019" s="1303" t="s">
        <v>1083</v>
      </c>
      <c r="F5019" s="1328">
        <f>+'Civil-SOR'!$G$357</f>
        <v>769</v>
      </c>
      <c r="G5019" s="1329">
        <v>1</v>
      </c>
      <c r="H5019" s="1303" t="s">
        <v>616</v>
      </c>
      <c r="I5019" s="1227">
        <f t="shared" si="1056"/>
        <v>3076</v>
      </c>
      <c r="J5019" s="1022"/>
      <c r="K5019" s="1022"/>
      <c r="L5019" s="1022"/>
    </row>
    <row r="5020" spans="1:12">
      <c r="A5020" s="1206"/>
      <c r="B5020" s="1206"/>
      <c r="C5020" s="1807" t="s">
        <v>1895</v>
      </c>
      <c r="D5020" s="1328">
        <v>1</v>
      </c>
      <c r="E5020" s="1303" t="s">
        <v>1083</v>
      </c>
      <c r="F5020" s="1328">
        <f>+'Civil-SOR'!$G$356</f>
        <v>3475.2</v>
      </c>
      <c r="G5020" s="1329">
        <v>1</v>
      </c>
      <c r="H5020" s="1303" t="s">
        <v>616</v>
      </c>
      <c r="I5020" s="1227">
        <f t="shared" si="1056"/>
        <v>3475.2</v>
      </c>
      <c r="J5020" s="1022"/>
      <c r="K5020" s="1022"/>
      <c r="L5020" s="1022"/>
    </row>
    <row r="5021" spans="1:12">
      <c r="A5021" s="1206"/>
      <c r="B5021" s="1206"/>
      <c r="C5021" s="1807" t="s">
        <v>1896</v>
      </c>
      <c r="D5021" s="1333"/>
      <c r="E5021" s="1297"/>
      <c r="F5021" s="1328"/>
      <c r="G5021" s="1329"/>
      <c r="H5021" s="1303"/>
      <c r="I5021" s="1227"/>
      <c r="J5021" s="1022"/>
      <c r="K5021" s="1022"/>
      <c r="L5021" s="1022"/>
    </row>
    <row r="5022" spans="1:12">
      <c r="A5022" s="1206"/>
      <c r="B5022" s="1206"/>
      <c r="C5022" s="1807" t="s">
        <v>1897</v>
      </c>
      <c r="D5022" s="1333">
        <v>24</v>
      </c>
      <c r="E5022" s="1297" t="s">
        <v>1898</v>
      </c>
      <c r="F5022" s="1328">
        <f>+Input!$D$53</f>
        <v>108</v>
      </c>
      <c r="G5022" s="1329">
        <v>1</v>
      </c>
      <c r="H5022" s="1303" t="s">
        <v>1898</v>
      </c>
      <c r="I5022" s="1227">
        <f>IF(G5022="",D5022*F5022,(D5022*F5022/G5022))</f>
        <v>2592</v>
      </c>
      <c r="J5022" s="1022"/>
      <c r="K5022" s="1022"/>
      <c r="L5022" s="1022"/>
    </row>
    <row r="5023" spans="1:12">
      <c r="A5023" s="1206"/>
      <c r="B5023" s="1206"/>
      <c r="C5023" s="1807"/>
      <c r="D5023" s="1333"/>
      <c r="E5023" s="1297"/>
      <c r="F5023" s="1333"/>
      <c r="G5023" s="1333"/>
      <c r="H5023" s="1297"/>
      <c r="I5023" s="1227">
        <f>SUM(I5013:I5022)</f>
        <v>14451.599999999999</v>
      </c>
      <c r="J5023" s="1022"/>
      <c r="K5023" s="1022"/>
      <c r="L5023" s="1022"/>
    </row>
    <row r="5024" spans="1:12">
      <c r="A5024" s="1206"/>
      <c r="B5024" s="1206"/>
      <c r="C5024" s="1388" t="s">
        <v>1886</v>
      </c>
      <c r="D5024" s="1337">
        <f>Input!$D$48</f>
        <v>0.13614999999999999</v>
      </c>
      <c r="E5024" s="1303"/>
      <c r="F5024" s="1328">
        <f>SUM(I5023:I5023)</f>
        <v>14451.599999999999</v>
      </c>
      <c r="G5024" s="1334"/>
      <c r="H5024" s="1407"/>
      <c r="I5024" s="1227">
        <f>IF(G5024="",D5024*F5024,(D5024*F5024/G5024))</f>
        <v>1967.5853399999996</v>
      </c>
      <c r="J5024" s="1022"/>
      <c r="K5024" s="1022"/>
      <c r="L5024" s="1022"/>
    </row>
    <row r="5025" spans="1:12">
      <c r="A5025" s="1206"/>
      <c r="B5025" s="1206"/>
      <c r="C5025" s="1807" t="s">
        <v>1899</v>
      </c>
      <c r="D5025" s="1333"/>
      <c r="E5025" s="1297"/>
      <c r="F5025" s="1333"/>
      <c r="G5025" s="1334"/>
      <c r="H5025" s="1407"/>
      <c r="I5025" s="1328">
        <f>SUM(I5023:I5024)</f>
        <v>16419.185339999996</v>
      </c>
      <c r="J5025" s="1022"/>
      <c r="K5025" s="1022"/>
      <c r="L5025" s="1022"/>
    </row>
    <row r="5026" spans="1:12">
      <c r="A5026" s="1206"/>
      <c r="B5026" s="1206"/>
      <c r="C5026" s="1795" t="s">
        <v>1900</v>
      </c>
      <c r="D5026" s="1333"/>
      <c r="E5026" s="1297"/>
      <c r="F5026" s="1333"/>
      <c r="G5026" s="1334"/>
      <c r="H5026" s="1407"/>
      <c r="I5026" s="1408">
        <f>I5025/100</f>
        <v>164.19185339999996</v>
      </c>
      <c r="J5026" s="1022"/>
      <c r="K5026" s="1022"/>
      <c r="L5026" s="1022"/>
    </row>
    <row r="5027" spans="1:12">
      <c r="A5027" s="1206"/>
      <c r="B5027" s="1206"/>
      <c r="C5027" s="1795" t="s">
        <v>1901</v>
      </c>
      <c r="D5027" s="1333"/>
      <c r="E5027" s="1297"/>
      <c r="F5027" s="1333"/>
      <c r="G5027" s="1334"/>
      <c r="H5027" s="1199"/>
      <c r="I5027" s="1203">
        <f>SUM(I5026:I5026)</f>
        <v>164.19185339999996</v>
      </c>
      <c r="J5027" s="1022"/>
      <c r="K5027" s="1022"/>
      <c r="L5027" s="1022"/>
    </row>
    <row r="5028" spans="1:12">
      <c r="A5028" s="1206"/>
      <c r="B5028" s="1206"/>
      <c r="C5028" s="1795"/>
      <c r="D5028" s="1333"/>
      <c r="E5028" s="1297"/>
      <c r="F5028" s="1333"/>
      <c r="G5028" s="1334"/>
      <c r="H5028" s="1298" t="s">
        <v>1065</v>
      </c>
      <c r="I5028" s="1504">
        <f>+ROUND(I5027,0)</f>
        <v>164</v>
      </c>
      <c r="J5028" s="1022"/>
      <c r="K5028" s="1022"/>
      <c r="L5028" s="1022"/>
    </row>
    <row r="5029" spans="1:12">
      <c r="A5029" s="1206"/>
      <c r="B5029" s="1206"/>
      <c r="C5029" s="1795"/>
      <c r="D5029" s="1333"/>
      <c r="E5029" s="1297"/>
      <c r="F5029" s="1333"/>
      <c r="G5029" s="1334"/>
      <c r="H5029" s="1334"/>
      <c r="I5029" s="1334"/>
      <c r="J5029" s="1022"/>
      <c r="K5029" s="1022"/>
      <c r="L5029" s="1022"/>
    </row>
    <row r="5030" spans="1:12" ht="47.85" customHeight="1">
      <c r="A5030" s="1507">
        <f>1+A5009</f>
        <v>85</v>
      </c>
      <c r="B5030" s="1507"/>
      <c r="C5030" s="2009" t="s">
        <v>3500</v>
      </c>
      <c r="D5030" s="2009"/>
      <c r="E5030" s="2009"/>
      <c r="F5030" s="2009"/>
      <c r="G5030" s="2009"/>
      <c r="H5030" s="2009"/>
      <c r="I5030" s="2009"/>
      <c r="J5030" s="1508"/>
      <c r="K5030" s="1508"/>
      <c r="L5030" s="1508"/>
    </row>
    <row r="5031" spans="1:12">
      <c r="A5031" s="1509"/>
      <c r="B5031" s="1509"/>
      <c r="C5031" s="1510" t="s">
        <v>1069</v>
      </c>
      <c r="D5031" s="1511"/>
      <c r="E5031" s="1512"/>
      <c r="F5031" s="1511"/>
      <c r="G5031" s="1513"/>
      <c r="H5031" s="1514" t="str">
        <f>IF(E5031="","",IF(E5031="No.","Each",IF(E5031="Nos.","Each",E5031)))</f>
        <v/>
      </c>
      <c r="I5031" s="1515"/>
      <c r="J5031" s="1516"/>
      <c r="K5031" s="1516"/>
      <c r="L5031" s="1516"/>
    </row>
    <row r="5032" spans="1:12">
      <c r="A5032" s="1509"/>
      <c r="B5032" s="1509"/>
      <c r="C5032" s="1510" t="s">
        <v>1891</v>
      </c>
      <c r="D5032" s="1517"/>
      <c r="E5032" s="1518"/>
      <c r="F5032" s="1519"/>
      <c r="G5032" s="1520"/>
      <c r="H5032" s="1521"/>
      <c r="I5032" s="1515"/>
      <c r="J5032" s="1516"/>
      <c r="K5032" s="1516"/>
      <c r="L5032" s="1516"/>
    </row>
    <row r="5033" spans="1:12">
      <c r="A5033" s="1509"/>
      <c r="B5033" s="1509"/>
      <c r="C5033" s="1510" t="s">
        <v>1071</v>
      </c>
      <c r="D5033" s="1522"/>
      <c r="E5033" s="1523"/>
      <c r="F5033" s="1522"/>
      <c r="G5033" s="1524"/>
      <c r="H5033" s="1525"/>
      <c r="I5033" s="1526"/>
      <c r="J5033" s="1516"/>
      <c r="K5033" s="1516"/>
      <c r="L5033" s="1516"/>
    </row>
    <row r="5034" spans="1:12">
      <c r="A5034" s="1509"/>
      <c r="B5034" s="1509"/>
      <c r="C5034" s="1510" t="s">
        <v>1737</v>
      </c>
      <c r="D5034" s="1522">
        <v>0.04</v>
      </c>
      <c r="E5034" s="1523" t="s">
        <v>36</v>
      </c>
      <c r="F5034" s="1522">
        <f>+'Civil-SOR'!$G$304</f>
        <v>550</v>
      </c>
      <c r="G5034" s="1524">
        <v>1</v>
      </c>
      <c r="H5034" s="1523" t="s">
        <v>39</v>
      </c>
      <c r="I5034" s="1515">
        <f t="shared" ref="I5034:I5036" si="1057">IF(G5034="",D5034*F5034,(D5034*F5034/G5034))</f>
        <v>22</v>
      </c>
      <c r="J5034" s="1516"/>
      <c r="K5034" s="1516"/>
      <c r="L5034" s="1516"/>
    </row>
    <row r="5035" spans="1:12">
      <c r="A5035" s="1509"/>
      <c r="B5035" s="1509"/>
      <c r="C5035" s="1510" t="s">
        <v>1072</v>
      </c>
      <c r="D5035" s="1522">
        <v>1</v>
      </c>
      <c r="E5035" s="1523" t="s">
        <v>36</v>
      </c>
      <c r="F5035" s="1522">
        <f>+'Civil-SOR'!$G$307</f>
        <v>520</v>
      </c>
      <c r="G5035" s="1524">
        <v>1</v>
      </c>
      <c r="H5035" s="1523" t="s">
        <v>39</v>
      </c>
      <c r="I5035" s="1515">
        <f t="shared" si="1057"/>
        <v>520</v>
      </c>
      <c r="J5035" s="1516"/>
      <c r="K5035" s="1516"/>
      <c r="L5035" s="1516"/>
    </row>
    <row r="5036" spans="1:12">
      <c r="A5036" s="1509"/>
      <c r="B5036" s="1509"/>
      <c r="C5036" s="1510" t="str">
        <f>Input!C$47</f>
        <v>Add for MA @ 40%</v>
      </c>
      <c r="D5036" s="1527">
        <f>Input!D$47</f>
        <v>0.4</v>
      </c>
      <c r="E5036" s="1523"/>
      <c r="F5036" s="1522">
        <f>SUM(I5034:I5035)</f>
        <v>542</v>
      </c>
      <c r="G5036" s="1524"/>
      <c r="H5036" s="1523"/>
      <c r="I5036" s="1515">
        <f t="shared" si="1057"/>
        <v>216.8</v>
      </c>
      <c r="J5036" s="1516"/>
      <c r="K5036" s="1516"/>
      <c r="L5036" s="1516"/>
    </row>
    <row r="5037" spans="1:12">
      <c r="A5037" s="1509"/>
      <c r="B5037" s="1509"/>
      <c r="C5037" s="1510" t="s">
        <v>1081</v>
      </c>
      <c r="D5037" s="1522"/>
      <c r="E5037" s="1523"/>
      <c r="F5037" s="1522"/>
      <c r="G5037" s="1524"/>
      <c r="H5037" s="1523"/>
      <c r="I5037" s="1515"/>
      <c r="J5037" s="1516"/>
      <c r="K5037" s="1516"/>
      <c r="L5037" s="1516"/>
    </row>
    <row r="5038" spans="1:12" ht="25.5">
      <c r="A5038" s="1509"/>
      <c r="B5038" s="1509"/>
      <c r="C5038" s="1528" t="s">
        <v>1902</v>
      </c>
      <c r="D5038" s="1511">
        <v>1.67</v>
      </c>
      <c r="E5038" s="1512" t="s">
        <v>1083</v>
      </c>
      <c r="F5038" s="1529">
        <f>'Civil-SOR'!$G$333</f>
        <v>3185.7</v>
      </c>
      <c r="G5038" s="1513">
        <v>1</v>
      </c>
      <c r="H5038" s="1512" t="s">
        <v>616</v>
      </c>
      <c r="I5038" s="1515">
        <f>IF(G5038="",D5038*F5038,(D5038*F5038/G5038))</f>
        <v>5320.1189999999997</v>
      </c>
      <c r="J5038" s="1516"/>
      <c r="K5038" s="1516"/>
      <c r="L5038" s="1516"/>
    </row>
    <row r="5039" spans="1:12" ht="25.5">
      <c r="A5039" s="1509"/>
      <c r="B5039" s="1509"/>
      <c r="C5039" s="1528" t="s">
        <v>1903</v>
      </c>
      <c r="D5039" s="1511" t="s">
        <v>1904</v>
      </c>
      <c r="E5039" s="1512" t="s">
        <v>1905</v>
      </c>
      <c r="F5039" s="1522">
        <v>9</v>
      </c>
      <c r="G5039" s="1513">
        <v>1</v>
      </c>
      <c r="H5039" s="1512" t="s">
        <v>1905</v>
      </c>
      <c r="I5039" s="1515">
        <f>160*8*5</f>
        <v>6400</v>
      </c>
      <c r="J5039" s="1516"/>
      <c r="K5039" s="1516"/>
      <c r="L5039" s="1516"/>
    </row>
    <row r="5040" spans="1:12">
      <c r="A5040" s="1509"/>
      <c r="B5040" s="1509"/>
      <c r="C5040" s="1510" t="s">
        <v>1906</v>
      </c>
      <c r="D5040" s="1511">
        <v>0.5</v>
      </c>
      <c r="E5040" s="1512" t="s">
        <v>1083</v>
      </c>
      <c r="F5040" s="1511">
        <f>+'Civil-SOR'!$G$355</f>
        <v>1934</v>
      </c>
      <c r="G5040" s="1513">
        <v>1</v>
      </c>
      <c r="H5040" s="1512" t="s">
        <v>616</v>
      </c>
      <c r="I5040" s="1515">
        <f t="shared" ref="I5040:I5043" si="1058">IF(G5040="",D5040*F5040,(D5040*F5040/G5040))</f>
        <v>967</v>
      </c>
      <c r="J5040" s="1516"/>
      <c r="K5040" s="1516"/>
      <c r="L5040" s="1516"/>
    </row>
    <row r="5041" spans="1:12">
      <c r="A5041" s="1509"/>
      <c r="B5041" s="1509"/>
      <c r="C5041" s="1510" t="s">
        <v>1893</v>
      </c>
      <c r="D5041" s="1511">
        <v>1</v>
      </c>
      <c r="E5041" s="1512" t="s">
        <v>1083</v>
      </c>
      <c r="F5041" s="1511">
        <f>+'Civil-SOR'!$G$360</f>
        <v>3962</v>
      </c>
      <c r="G5041" s="1513">
        <v>1</v>
      </c>
      <c r="H5041" s="1512" t="s">
        <v>616</v>
      </c>
      <c r="I5041" s="1515">
        <f t="shared" si="1058"/>
        <v>3962</v>
      </c>
      <c r="J5041" s="1516"/>
      <c r="K5041" s="1516"/>
      <c r="L5041" s="1516"/>
    </row>
    <row r="5042" spans="1:12">
      <c r="A5042" s="1509"/>
      <c r="B5042" s="1509"/>
      <c r="C5042" s="1510" t="s">
        <v>1894</v>
      </c>
      <c r="D5042" s="1511">
        <v>4</v>
      </c>
      <c r="E5042" s="1512" t="s">
        <v>1083</v>
      </c>
      <c r="F5042" s="1511">
        <f>+'Civil-SOR'!$G$357</f>
        <v>769</v>
      </c>
      <c r="G5042" s="1513">
        <v>1</v>
      </c>
      <c r="H5042" s="1512" t="s">
        <v>616</v>
      </c>
      <c r="I5042" s="1515">
        <f t="shared" si="1058"/>
        <v>3076</v>
      </c>
      <c r="J5042" s="1516"/>
      <c r="K5042" s="1516"/>
      <c r="L5042" s="1516"/>
    </row>
    <row r="5043" spans="1:12">
      <c r="A5043" s="1509"/>
      <c r="B5043" s="1509"/>
      <c r="C5043" s="1510" t="s">
        <v>1895</v>
      </c>
      <c r="D5043" s="1511">
        <v>1</v>
      </c>
      <c r="E5043" s="1512" t="s">
        <v>1083</v>
      </c>
      <c r="F5043" s="1511">
        <f>+'Civil-SOR'!$G$356</f>
        <v>3475.2</v>
      </c>
      <c r="G5043" s="1513">
        <v>1</v>
      </c>
      <c r="H5043" s="1512" t="s">
        <v>616</v>
      </c>
      <c r="I5043" s="1515">
        <f t="shared" si="1058"/>
        <v>3475.2</v>
      </c>
      <c r="J5043" s="1516"/>
      <c r="K5043" s="1516"/>
      <c r="L5043" s="1516"/>
    </row>
    <row r="5044" spans="1:12">
      <c r="A5044" s="1509"/>
      <c r="B5044" s="1509"/>
      <c r="C5044" s="1510" t="s">
        <v>1896</v>
      </c>
      <c r="D5044" s="1522"/>
      <c r="E5044" s="1523"/>
      <c r="F5044" s="1511"/>
      <c r="G5044" s="1513"/>
      <c r="H5044" s="1512"/>
      <c r="I5044" s="1515"/>
      <c r="J5044" s="1516"/>
      <c r="K5044" s="1516"/>
      <c r="L5044" s="1516"/>
    </row>
    <row r="5045" spans="1:12">
      <c r="A5045" s="1509"/>
      <c r="B5045" s="1509"/>
      <c r="C5045" s="1510" t="s">
        <v>1897</v>
      </c>
      <c r="D5045" s="1522">
        <v>24</v>
      </c>
      <c r="E5045" s="1523" t="s">
        <v>1898</v>
      </c>
      <c r="F5045" s="1511">
        <f>+Input!$D$53</f>
        <v>108</v>
      </c>
      <c r="G5045" s="1513">
        <v>1</v>
      </c>
      <c r="H5045" s="1512" t="s">
        <v>1898</v>
      </c>
      <c r="I5045" s="1515">
        <f t="shared" ref="I5045:I5046" si="1059">IF(G5045="",D5045*F5045,(D5045*F5045/G5045))</f>
        <v>2592</v>
      </c>
      <c r="J5045" s="1516"/>
      <c r="K5045" s="1516"/>
      <c r="L5045" s="1516"/>
    </row>
    <row r="5046" spans="1:12" ht="25.5">
      <c r="A5046" s="1509"/>
      <c r="B5046" s="1509"/>
      <c r="C5046" s="1510" t="s">
        <v>1907</v>
      </c>
      <c r="D5046" s="1522">
        <v>100</v>
      </c>
      <c r="E5046" s="1523" t="s">
        <v>484</v>
      </c>
      <c r="F5046" s="1511">
        <v>72</v>
      </c>
      <c r="G5046" s="1513">
        <v>1</v>
      </c>
      <c r="H5046" s="1512" t="s">
        <v>1898</v>
      </c>
      <c r="I5046" s="1515">
        <f t="shared" si="1059"/>
        <v>7200</v>
      </c>
      <c r="J5046" s="1516"/>
      <c r="K5046" s="1516"/>
      <c r="L5046" s="1516"/>
    </row>
    <row r="5047" spans="1:12">
      <c r="A5047" s="1509"/>
      <c r="B5047" s="1509"/>
      <c r="C5047" s="1510"/>
      <c r="D5047" s="1522"/>
      <c r="E5047" s="1523"/>
      <c r="F5047" s="1522"/>
      <c r="G5047" s="1522"/>
      <c r="H5047" s="1523"/>
      <c r="I5047" s="1515">
        <f>SUM(I5034:I5046)</f>
        <v>33751.119000000006</v>
      </c>
      <c r="J5047" s="1516"/>
      <c r="K5047" s="1516"/>
      <c r="L5047" s="1516"/>
    </row>
    <row r="5048" spans="1:12">
      <c r="A5048" s="1509"/>
      <c r="B5048" s="1509"/>
      <c r="C5048" s="1530" t="s">
        <v>1886</v>
      </c>
      <c r="D5048" s="1531">
        <f>Input!$D$48</f>
        <v>0.13614999999999999</v>
      </c>
      <c r="E5048" s="1512"/>
      <c r="F5048" s="1511">
        <f>SUM(I5047:I5047)</f>
        <v>33751.119000000006</v>
      </c>
      <c r="G5048" s="1524"/>
      <c r="H5048" s="1525"/>
      <c r="I5048" s="1515">
        <f>IF(G5048="",D5048*F5048,(D5048*F5048/G5048))</f>
        <v>4595.2148518500007</v>
      </c>
      <c r="J5048" s="1516"/>
      <c r="K5048" s="1516"/>
      <c r="L5048" s="1516"/>
    </row>
    <row r="5049" spans="1:12">
      <c r="A5049" s="1509"/>
      <c r="B5049" s="1509"/>
      <c r="C5049" s="1510" t="s">
        <v>1899</v>
      </c>
      <c r="D5049" s="1522"/>
      <c r="E5049" s="1523"/>
      <c r="F5049" s="1522"/>
      <c r="G5049" s="1524"/>
      <c r="H5049" s="1525"/>
      <c r="I5049" s="1511">
        <f>SUM(I5047:I5048)</f>
        <v>38346.33385185001</v>
      </c>
      <c r="J5049" s="1516"/>
      <c r="K5049" s="1516"/>
      <c r="L5049" s="1516"/>
    </row>
    <row r="5050" spans="1:12">
      <c r="A5050" s="1509"/>
      <c r="B5050" s="1509"/>
      <c r="C5050" s="1532" t="s">
        <v>1900</v>
      </c>
      <c r="D5050" s="1522"/>
      <c r="E5050" s="1523"/>
      <c r="F5050" s="1522"/>
      <c r="G5050" s="1524"/>
      <c r="H5050" s="1525"/>
      <c r="I5050" s="1526">
        <f>I5049/100</f>
        <v>383.46333851850011</v>
      </c>
      <c r="J5050" s="1516"/>
      <c r="K5050" s="1516"/>
      <c r="L5050" s="1516"/>
    </row>
    <row r="5051" spans="1:12">
      <c r="A5051" s="1509"/>
      <c r="B5051" s="1509"/>
      <c r="C5051" s="1532" t="s">
        <v>1901</v>
      </c>
      <c r="D5051" s="1522"/>
      <c r="E5051" s="1523"/>
      <c r="F5051" s="1522"/>
      <c r="G5051" s="1524"/>
      <c r="H5051" s="1533"/>
      <c r="I5051" s="1534">
        <f>SUM(I5050:I5050)</f>
        <v>383.46333851850011</v>
      </c>
      <c r="J5051" s="1516"/>
      <c r="K5051" s="1516"/>
      <c r="L5051" s="1516"/>
    </row>
    <row r="5052" spans="1:12">
      <c r="A5052" s="1509"/>
      <c r="B5052" s="1509"/>
      <c r="C5052" s="1532"/>
      <c r="D5052" s="1522"/>
      <c r="E5052" s="1523"/>
      <c r="F5052" s="1522"/>
      <c r="G5052" s="1524"/>
      <c r="H5052" s="1535" t="s">
        <v>1065</v>
      </c>
      <c r="I5052" s="1536">
        <f>+ROUND(I5051,0)</f>
        <v>383</v>
      </c>
      <c r="J5052" s="1516"/>
      <c r="K5052" s="1516"/>
      <c r="L5052" s="1516"/>
    </row>
    <row r="5053" spans="1:12">
      <c r="A5053" s="1537"/>
      <c r="B5053" s="1538"/>
      <c r="C5053" s="1539"/>
      <c r="D5053" s="1540"/>
      <c r="E5053" s="1541"/>
      <c r="F5053" s="1542"/>
      <c r="G5053" s="1543"/>
      <c r="H5053" s="1541"/>
      <c r="I5053" s="1542"/>
      <c r="J5053" s="1516"/>
      <c r="K5053" s="1516"/>
      <c r="L5053" s="1516"/>
    </row>
    <row r="5054" spans="1:12">
      <c r="J5054" s="1516"/>
      <c r="K5054" s="1516"/>
      <c r="L5054" s="1516"/>
    </row>
  </sheetData>
  <sheetProtection selectLockedCells="1" selectUnlockedCells="1"/>
  <mergeCells count="389">
    <mergeCell ref="C85:E85"/>
    <mergeCell ref="C94:G94"/>
    <mergeCell ref="C130:G130"/>
    <mergeCell ref="C459:I459"/>
    <mergeCell ref="C174:E174"/>
    <mergeCell ref="C186:H186"/>
    <mergeCell ref="C195:H195"/>
    <mergeCell ref="A1:I1"/>
    <mergeCell ref="A2:I2"/>
    <mergeCell ref="A3:B4"/>
    <mergeCell ref="C3:C4"/>
    <mergeCell ref="C11:F11"/>
    <mergeCell ref="C16:E16"/>
    <mergeCell ref="A139:B139"/>
    <mergeCell ref="C139:G139"/>
    <mergeCell ref="C34:G34"/>
    <mergeCell ref="C36:E36"/>
    <mergeCell ref="C43:G43"/>
    <mergeCell ref="C45:E45"/>
    <mergeCell ref="C58:E58"/>
    <mergeCell ref="C18:F18"/>
    <mergeCell ref="C22:E22"/>
    <mergeCell ref="A23:I23"/>
    <mergeCell ref="A24:B24"/>
    <mergeCell ref="D24:E24"/>
    <mergeCell ref="G24:H24"/>
    <mergeCell ref="C26:I26"/>
    <mergeCell ref="C68:E68"/>
    <mergeCell ref="C103:E103"/>
    <mergeCell ref="A313:B313"/>
    <mergeCell ref="C313:H313"/>
    <mergeCell ref="C197:E197"/>
    <mergeCell ref="A326:B326"/>
    <mergeCell ref="C326:H326"/>
    <mergeCell ref="A263:B263"/>
    <mergeCell ref="C263:H263"/>
    <mergeCell ref="C264:G264"/>
    <mergeCell ref="A288:B288"/>
    <mergeCell ref="C288:H288"/>
    <mergeCell ref="C289:G289"/>
    <mergeCell ref="C213:H213"/>
    <mergeCell ref="C215:E215"/>
    <mergeCell ref="C231:H231"/>
    <mergeCell ref="C233:F233"/>
    <mergeCell ref="C245:H245"/>
    <mergeCell ref="C247:G247"/>
    <mergeCell ref="A308:B308"/>
    <mergeCell ref="C308:H308"/>
    <mergeCell ref="A319:B319"/>
    <mergeCell ref="C319:I319"/>
    <mergeCell ref="C148:H148"/>
    <mergeCell ref="C172:H172"/>
    <mergeCell ref="A402:B402"/>
    <mergeCell ref="C402:H402"/>
    <mergeCell ref="A423:B423"/>
    <mergeCell ref="C423:H423"/>
    <mergeCell ref="A441:B441"/>
    <mergeCell ref="C441:H441"/>
    <mergeCell ref="A340:B340"/>
    <mergeCell ref="C340:H340"/>
    <mergeCell ref="A360:B360"/>
    <mergeCell ref="C360:H360"/>
    <mergeCell ref="A381:B381"/>
    <mergeCell ref="C381:H381"/>
    <mergeCell ref="C561:D561"/>
    <mergeCell ref="C571:D571"/>
    <mergeCell ref="C581:D581"/>
    <mergeCell ref="C590:D590"/>
    <mergeCell ref="C600:D600"/>
    <mergeCell ref="C610:D610"/>
    <mergeCell ref="A459:B459"/>
    <mergeCell ref="C479:I479"/>
    <mergeCell ref="C502:G502"/>
    <mergeCell ref="C551:D551"/>
    <mergeCell ref="C500:I500"/>
    <mergeCell ref="I690:I691"/>
    <mergeCell ref="D717:D719"/>
    <mergeCell ref="E717:E719"/>
    <mergeCell ref="F717:F719"/>
    <mergeCell ref="G717:G719"/>
    <mergeCell ref="H717:H719"/>
    <mergeCell ref="I717:I719"/>
    <mergeCell ref="C620:D620"/>
    <mergeCell ref="C629:D629"/>
    <mergeCell ref="C639:D639"/>
    <mergeCell ref="C654:I654"/>
    <mergeCell ref="C656:G656"/>
    <mergeCell ref="D690:D691"/>
    <mergeCell ref="E690:E691"/>
    <mergeCell ref="F690:F691"/>
    <mergeCell ref="G690:G691"/>
    <mergeCell ref="H690:H691"/>
    <mergeCell ref="D779:D780"/>
    <mergeCell ref="E779:E780"/>
    <mergeCell ref="F779:F780"/>
    <mergeCell ref="G779:G780"/>
    <mergeCell ref="H779:H780"/>
    <mergeCell ref="I779:I780"/>
    <mergeCell ref="C743:I743"/>
    <mergeCell ref="C745:G745"/>
    <mergeCell ref="D766:D767"/>
    <mergeCell ref="E766:E767"/>
    <mergeCell ref="F766:F767"/>
    <mergeCell ref="G766:G767"/>
    <mergeCell ref="H766:H767"/>
    <mergeCell ref="I766:I767"/>
    <mergeCell ref="D807:D808"/>
    <mergeCell ref="E807:E808"/>
    <mergeCell ref="F807:F808"/>
    <mergeCell ref="G807:G808"/>
    <mergeCell ref="H807:H808"/>
    <mergeCell ref="I807:I808"/>
    <mergeCell ref="D794:D795"/>
    <mergeCell ref="E794:E795"/>
    <mergeCell ref="F794:F795"/>
    <mergeCell ref="G794:G795"/>
    <mergeCell ref="H794:H795"/>
    <mergeCell ref="I794:I795"/>
    <mergeCell ref="D837:D838"/>
    <mergeCell ref="E837:E838"/>
    <mergeCell ref="F837:F838"/>
    <mergeCell ref="G837:G838"/>
    <mergeCell ref="H837:H838"/>
    <mergeCell ref="I837:I838"/>
    <mergeCell ref="D822:D823"/>
    <mergeCell ref="E822:E823"/>
    <mergeCell ref="F822:F823"/>
    <mergeCell ref="G822:G823"/>
    <mergeCell ref="H822:H823"/>
    <mergeCell ref="I822:I823"/>
    <mergeCell ref="I869:I870"/>
    <mergeCell ref="D881:D882"/>
    <mergeCell ref="E881:E882"/>
    <mergeCell ref="F881:F882"/>
    <mergeCell ref="G881:G882"/>
    <mergeCell ref="H881:H882"/>
    <mergeCell ref="I881:I882"/>
    <mergeCell ref="D855:D856"/>
    <mergeCell ref="D869:D870"/>
    <mergeCell ref="E869:E870"/>
    <mergeCell ref="F869:F870"/>
    <mergeCell ref="G869:G870"/>
    <mergeCell ref="H869:H870"/>
    <mergeCell ref="C1287:E1287"/>
    <mergeCell ref="C1315:E1315"/>
    <mergeCell ref="C1333:F1333"/>
    <mergeCell ref="C1360:F1360"/>
    <mergeCell ref="C1406:I1406"/>
    <mergeCell ref="C1517:E1517"/>
    <mergeCell ref="C1020:H1020"/>
    <mergeCell ref="C1201:E1201"/>
    <mergeCell ref="C1215:E1215"/>
    <mergeCell ref="C1229:E1229"/>
    <mergeCell ref="C1243:E1243"/>
    <mergeCell ref="C1257:E1257"/>
    <mergeCell ref="I1600:I1601"/>
    <mergeCell ref="C1649:I1649"/>
    <mergeCell ref="C1684:I1684"/>
    <mergeCell ref="C1699:I1699"/>
    <mergeCell ref="C1703:I1703"/>
    <mergeCell ref="C1617:I1617"/>
    <mergeCell ref="C1730:I1730"/>
    <mergeCell ref="C1764:I1764"/>
    <mergeCell ref="C1560:F1560"/>
    <mergeCell ref="D1600:D1601"/>
    <mergeCell ref="E1600:E1601"/>
    <mergeCell ref="F1600:F1601"/>
    <mergeCell ref="G1600:G1601"/>
    <mergeCell ref="H1600:H1601"/>
    <mergeCell ref="C1808:E1808"/>
    <mergeCell ref="A1839:B1839"/>
    <mergeCell ref="C1839:H1839"/>
    <mergeCell ref="A1880:B1880"/>
    <mergeCell ref="C1880:H1880"/>
    <mergeCell ref="C1896:E1896"/>
    <mergeCell ref="C1943:I1943"/>
    <mergeCell ref="C1708:H1708"/>
    <mergeCell ref="A1730:B1730"/>
    <mergeCell ref="A1764:B1764"/>
    <mergeCell ref="A1792:B1792"/>
    <mergeCell ref="C1792:H1792"/>
    <mergeCell ref="C2122:H2122"/>
    <mergeCell ref="C2196:I2196"/>
    <mergeCell ref="C2262:H2262"/>
    <mergeCell ref="C2293:H2293"/>
    <mergeCell ref="C2324:H2324"/>
    <mergeCell ref="C2367:I2367"/>
    <mergeCell ref="A1915:B1915"/>
    <mergeCell ref="C1915:H1915"/>
    <mergeCell ref="C1985:H1985"/>
    <mergeCell ref="C2036:H2036"/>
    <mergeCell ref="C2080:H2080"/>
    <mergeCell ref="C2006:H2006"/>
    <mergeCell ref="C2624:H2624"/>
    <mergeCell ref="C2651:H2651"/>
    <mergeCell ref="C2678:H2678"/>
    <mergeCell ref="C2715:H2715"/>
    <mergeCell ref="C2741:I2741"/>
    <mergeCell ref="C2767:H2767"/>
    <mergeCell ref="C2794:I2794"/>
    <mergeCell ref="C2411:H2411"/>
    <mergeCell ref="C2444:H2444"/>
    <mergeCell ref="C2476:H2476"/>
    <mergeCell ref="C2509:H2509"/>
    <mergeCell ref="C2544:H2544"/>
    <mergeCell ref="C2577:H2577"/>
    <mergeCell ref="C2943:I2943"/>
    <mergeCell ref="C2950:I2950"/>
    <mergeCell ref="C2956:I2956"/>
    <mergeCell ref="C2965:H2965"/>
    <mergeCell ref="C2992:H2992"/>
    <mergeCell ref="C3029:I3029"/>
    <mergeCell ref="C2821:H2821"/>
    <mergeCell ref="C2858:I2858"/>
    <mergeCell ref="C2896:I2896"/>
    <mergeCell ref="C2930:I2930"/>
    <mergeCell ref="C2937:I2937"/>
    <mergeCell ref="C3318:H3318"/>
    <mergeCell ref="C3398:H3398"/>
    <mergeCell ref="C3424:H3424"/>
    <mergeCell ref="C3450:H3450"/>
    <mergeCell ref="C3502:H3502"/>
    <mergeCell ref="C3476:I3476"/>
    <mergeCell ref="C3069:I3069"/>
    <mergeCell ref="C3096:H3096"/>
    <mergeCell ref="C3131:H3131"/>
    <mergeCell ref="C3168:I3168"/>
    <mergeCell ref="C3204:H3204"/>
    <mergeCell ref="C3261:H3261"/>
    <mergeCell ref="A3727:B3727"/>
    <mergeCell ref="C3727:H3727"/>
    <mergeCell ref="A3763:B3763"/>
    <mergeCell ref="C3763:H3763"/>
    <mergeCell ref="A3808:B3808"/>
    <mergeCell ref="C3808:H3808"/>
    <mergeCell ref="C3539:H3539"/>
    <mergeCell ref="C3566:H3566"/>
    <mergeCell ref="C3577:H3577"/>
    <mergeCell ref="C3616:H3616"/>
    <mergeCell ref="C3653:H3653"/>
    <mergeCell ref="C3691:H3691"/>
    <mergeCell ref="C3827:I3827"/>
    <mergeCell ref="C3845:I3845"/>
    <mergeCell ref="A3852:B3852"/>
    <mergeCell ref="C3852:I3852"/>
    <mergeCell ref="C3863:I3863"/>
    <mergeCell ref="A3873:B3873"/>
    <mergeCell ref="C3873:H3873"/>
    <mergeCell ref="C3936:D3936"/>
    <mergeCell ref="A3953:B3953"/>
    <mergeCell ref="C3953:H3953"/>
    <mergeCell ref="C3897:H3897"/>
    <mergeCell ref="C3914:I3914"/>
    <mergeCell ref="A3920:B3920"/>
    <mergeCell ref="C3921:D3921"/>
    <mergeCell ref="A3935:B3935"/>
    <mergeCell ref="C3935:H3935"/>
    <mergeCell ref="C3920:I3920"/>
    <mergeCell ref="C3970:I3970"/>
    <mergeCell ref="C4016:E4016"/>
    <mergeCell ref="A4033:B4033"/>
    <mergeCell ref="C4033:H4033"/>
    <mergeCell ref="C4074:I4074"/>
    <mergeCell ref="A4246:B4246"/>
    <mergeCell ref="C4246:H4246"/>
    <mergeCell ref="A4252:B4252"/>
    <mergeCell ref="C4252:I4252"/>
    <mergeCell ref="A4001:B4001"/>
    <mergeCell ref="C4001:H4001"/>
    <mergeCell ref="A4015:B4015"/>
    <mergeCell ref="C4015:H4015"/>
    <mergeCell ref="A3970:B3970"/>
    <mergeCell ref="A3984:B3984"/>
    <mergeCell ref="C3984:H3984"/>
    <mergeCell ref="C4157:H4157"/>
    <mergeCell ref="C4173:H4173"/>
    <mergeCell ref="C4174:D4174"/>
    <mergeCell ref="C4190:H4190"/>
    <mergeCell ref="C4191:D4191"/>
    <mergeCell ref="C4141:I4141"/>
    <mergeCell ref="C4034:D4034"/>
    <mergeCell ref="C4055:H4055"/>
    <mergeCell ref="C4087:H4087"/>
    <mergeCell ref="C4103:H4103"/>
    <mergeCell ref="C4119:H4119"/>
    <mergeCell ref="A4259:B4259"/>
    <mergeCell ref="C4259:H4259"/>
    <mergeCell ref="A4225:B4225"/>
    <mergeCell ref="C4225:H4225"/>
    <mergeCell ref="A4231:B4231"/>
    <mergeCell ref="C4231:H4231"/>
    <mergeCell ref="A4240:B4240"/>
    <mergeCell ref="C4240:H4240"/>
    <mergeCell ref="A4207:B4207"/>
    <mergeCell ref="C4207:H4207"/>
    <mergeCell ref="A4213:B4213"/>
    <mergeCell ref="C4213:H4213"/>
    <mergeCell ref="A4219:B4219"/>
    <mergeCell ref="C4219:H4219"/>
    <mergeCell ref="C4253:I4253"/>
    <mergeCell ref="A4282:B4282"/>
    <mergeCell ref="C4282:H4282"/>
    <mergeCell ref="C4283:E4283"/>
    <mergeCell ref="A4311:B4311"/>
    <mergeCell ref="C4314:F4314"/>
    <mergeCell ref="C4260:H4260"/>
    <mergeCell ref="A4266:B4266"/>
    <mergeCell ref="C4266:H4266"/>
    <mergeCell ref="C4267:H4267"/>
    <mergeCell ref="C4273:H4273"/>
    <mergeCell ref="C4277:I4277"/>
    <mergeCell ref="C4311:I4311"/>
    <mergeCell ref="C4379:E4379"/>
    <mergeCell ref="A4407:B4407"/>
    <mergeCell ref="C4407:H4407"/>
    <mergeCell ref="A4433:B4433"/>
    <mergeCell ref="C4433:H4433"/>
    <mergeCell ref="A4443:B4443"/>
    <mergeCell ref="C4443:H4443"/>
    <mergeCell ref="A4346:B4346"/>
    <mergeCell ref="C4346:H4346"/>
    <mergeCell ref="C4347:E4347"/>
    <mergeCell ref="C4349:D4349"/>
    <mergeCell ref="A4378:B4378"/>
    <mergeCell ref="C4378:I4378"/>
    <mergeCell ref="A4504:B4504"/>
    <mergeCell ref="C4504:I4504"/>
    <mergeCell ref="C4532:I4532"/>
    <mergeCell ref="A4558:B4558"/>
    <mergeCell ref="C4558:I4558"/>
    <mergeCell ref="A4576:B4576"/>
    <mergeCell ref="C4576:I4576"/>
    <mergeCell ref="A4472:B4472"/>
    <mergeCell ref="C4472:H4472"/>
    <mergeCell ref="A4491:B4491"/>
    <mergeCell ref="C4491:H4491"/>
    <mergeCell ref="A4498:B4498"/>
    <mergeCell ref="C4498:I4498"/>
    <mergeCell ref="A4647:B4647"/>
    <mergeCell ref="C4647:I4647"/>
    <mergeCell ref="A4656:B4656"/>
    <mergeCell ref="C4656:I4656"/>
    <mergeCell ref="G4666:H4666"/>
    <mergeCell ref="B4668:B4669"/>
    <mergeCell ref="C4668:I4668"/>
    <mergeCell ref="C4609:I4609"/>
    <mergeCell ref="C4615:I4615"/>
    <mergeCell ref="C4623:I4623"/>
    <mergeCell ref="G4633:H4633"/>
    <mergeCell ref="A4635:B4635"/>
    <mergeCell ref="C4635:I4635"/>
    <mergeCell ref="G4646:H4646"/>
    <mergeCell ref="G4879:H4879"/>
    <mergeCell ref="A4881:B4881"/>
    <mergeCell ref="C4881:H4881"/>
    <mergeCell ref="A4885:B4885"/>
    <mergeCell ref="C4885:H4885"/>
    <mergeCell ref="G4892:H4892"/>
    <mergeCell ref="C4690:I4690"/>
    <mergeCell ref="C4720:I4720"/>
    <mergeCell ref="C4751:I4751"/>
    <mergeCell ref="C4784:I4784"/>
    <mergeCell ref="C4817:I4817"/>
    <mergeCell ref="A4869:B4869"/>
    <mergeCell ref="C4869:H4869"/>
    <mergeCell ref="A4913:B4913"/>
    <mergeCell ref="C4913:H4913"/>
    <mergeCell ref="A4920:B4920"/>
    <mergeCell ref="C4920:I4920"/>
    <mergeCell ref="A4926:B4926"/>
    <mergeCell ref="C4926:I4926"/>
    <mergeCell ref="A4893:B4893"/>
    <mergeCell ref="C4893:I4893"/>
    <mergeCell ref="A4900:B4900"/>
    <mergeCell ref="C4900:I4900"/>
    <mergeCell ref="A4907:B4907"/>
    <mergeCell ref="C4907:I4907"/>
    <mergeCell ref="A4972:B4972"/>
    <mergeCell ref="C4972:H4972"/>
    <mergeCell ref="A4987:B4987"/>
    <mergeCell ref="C4987:I4987"/>
    <mergeCell ref="C5009:I5009"/>
    <mergeCell ref="C5030:I5030"/>
    <mergeCell ref="A4929:B4929"/>
    <mergeCell ref="C4929:I4929"/>
    <mergeCell ref="C4930:D4930"/>
    <mergeCell ref="A4960:B4960"/>
    <mergeCell ref="C4960:H4960"/>
    <mergeCell ref="G4970:H4970"/>
  </mergeCells>
  <pageMargins left="0.59055118110236227" right="0.19685039370078741" top="0.51181102362204722" bottom="0.59055118110236227" header="0.51181102362204722" footer="0.39"/>
  <pageSetup paperSize="9" scale="85" firstPageNumber="0" orientation="portrait" horizontalDpi="300" verticalDpi="300" r:id="rId1"/>
  <headerFooter alignWithMargins="0">
    <oddFooter>Page &amp;P</oddFooter>
  </headerFooter>
  <rowBreaks count="3" manualBreakCount="3">
    <brk id="401" max="8" man="1"/>
    <brk id="458" max="8" man="1"/>
    <brk id="2991" max="8" man="1"/>
  </rowBreaks>
</worksheet>
</file>

<file path=xl/worksheets/sheet7.xml><?xml version="1.0" encoding="utf-8"?>
<worksheet xmlns="http://schemas.openxmlformats.org/spreadsheetml/2006/main" xmlns:r="http://schemas.openxmlformats.org/officeDocument/2006/relationships">
  <sheetPr>
    <tabColor indexed="29"/>
  </sheetPr>
  <dimension ref="A1:BL1324"/>
  <sheetViews>
    <sheetView view="pageBreakPreview" zoomScaleSheetLayoutView="100" workbookViewId="0">
      <pane ySplit="1" topLeftCell="A1304" activePane="bottomLeft" state="frozen"/>
      <selection pane="bottomLeft" activeCell="C1321" sqref="C1321"/>
    </sheetView>
  </sheetViews>
  <sheetFormatPr defaultColWidth="8.42578125" defaultRowHeight="12.75"/>
  <cols>
    <col min="1" max="1" width="2.140625" style="1678" customWidth="1"/>
    <col min="2" max="2" width="2.5703125" style="1681" customWidth="1"/>
    <col min="3" max="3" width="42.7109375" style="1610" customWidth="1"/>
    <col min="4" max="4" width="11.85546875" style="1126" customWidth="1"/>
    <col min="5" max="5" width="4.5703125" style="1678" customWidth="1"/>
    <col min="6" max="6" width="9.85546875" style="1126" customWidth="1"/>
    <col min="7" max="7" width="5.85546875" style="1678" customWidth="1"/>
    <col min="8" max="8" width="6.5703125" style="1678" customWidth="1"/>
    <col min="9" max="9" width="12.85546875" style="1545" customWidth="1"/>
    <col min="10" max="10" width="6.85546875" style="1678" customWidth="1"/>
    <col min="11" max="11" width="17.7109375" style="1678" customWidth="1"/>
    <col min="12" max="12" width="8.85546875" style="1678" customWidth="1"/>
    <col min="13" max="13" width="14.5703125" style="1678" customWidth="1"/>
    <col min="14" max="19" width="8.85546875" style="1678" customWidth="1"/>
    <col min="20" max="16384" width="8.42578125" style="1678"/>
  </cols>
  <sheetData>
    <row r="1" spans="1:64" ht="12.75" customHeight="1">
      <c r="A1" s="2058" t="s">
        <v>1908</v>
      </c>
      <c r="B1" s="2058"/>
      <c r="C1" s="2058"/>
      <c r="D1" s="2058"/>
      <c r="E1" s="2058"/>
      <c r="F1" s="2058"/>
      <c r="G1" s="2058"/>
      <c r="H1" s="2058"/>
      <c r="I1" s="2058"/>
      <c r="K1" s="993" t="e">
        <f>#REF!</f>
        <v>#REF!</v>
      </c>
      <c r="L1" s="1678">
        <v>375000000</v>
      </c>
      <c r="M1" s="993" t="e">
        <f>+L1-K1</f>
        <v>#REF!</v>
      </c>
    </row>
    <row r="2" spans="1:64" ht="16.149999999999999" customHeight="1">
      <c r="A2" s="2070" t="s">
        <v>24</v>
      </c>
      <c r="B2" s="2070"/>
      <c r="C2" s="2070"/>
      <c r="D2" s="2070"/>
      <c r="E2" s="2070"/>
      <c r="F2" s="2070"/>
      <c r="G2" s="2070"/>
      <c r="H2" s="2070"/>
      <c r="I2" s="2070"/>
    </row>
    <row r="3" spans="1:64" ht="14.65" customHeight="1">
      <c r="A3" s="1007"/>
      <c r="B3" s="1083"/>
      <c r="C3" s="1184"/>
      <c r="D3" s="1000"/>
      <c r="E3" s="1668"/>
      <c r="F3" s="1546"/>
      <c r="G3" s="1007"/>
      <c r="H3" s="1057"/>
      <c r="I3" s="1093"/>
    </row>
    <row r="4" spans="1:64" ht="24" customHeight="1">
      <c r="A4" s="1677"/>
      <c r="B4" s="1666" t="s">
        <v>294</v>
      </c>
      <c r="C4" s="1083" t="s">
        <v>1909</v>
      </c>
      <c r="D4" s="1083"/>
      <c r="E4" s="1668"/>
      <c r="F4" s="1546"/>
      <c r="G4" s="1007"/>
      <c r="H4" s="1057"/>
      <c r="I4" s="1093"/>
    </row>
    <row r="5" spans="1:64" ht="24" customHeight="1">
      <c r="A5" s="1677"/>
      <c r="B5" s="1666"/>
      <c r="C5" s="1667" t="s">
        <v>1910</v>
      </c>
      <c r="D5" s="1034">
        <v>5.31</v>
      </c>
      <c r="E5" s="1069" t="s">
        <v>36</v>
      </c>
      <c r="F5" s="1034">
        <f>'Civil-SOR'!$G$291</f>
        <v>685</v>
      </c>
      <c r="G5" s="1045">
        <v>1</v>
      </c>
      <c r="H5" s="1069" t="str">
        <f t="shared" ref="H5:H7" si="0">IF(E5="","",IF(E5="No.","Each",IF(E5="Nos.","Each",E5)))</f>
        <v>Each</v>
      </c>
      <c r="I5" s="1030">
        <f t="shared" ref="I5:I7" si="1">IF(G5="",D5*F5,(D5*F5/G5))</f>
        <v>3637.35</v>
      </c>
    </row>
    <row r="6" spans="1:64" ht="24" customHeight="1">
      <c r="A6" s="1677"/>
      <c r="B6" s="1666"/>
      <c r="C6" s="1184" t="s">
        <v>1911</v>
      </c>
      <c r="D6" s="1034">
        <v>12.39</v>
      </c>
      <c r="E6" s="1069" t="s">
        <v>36</v>
      </c>
      <c r="F6" s="1034">
        <f>'Civil-SOR'!$G$300</f>
        <v>550</v>
      </c>
      <c r="G6" s="1045">
        <v>1</v>
      </c>
      <c r="H6" s="1069" t="str">
        <f t="shared" si="0"/>
        <v>Each</v>
      </c>
      <c r="I6" s="1030">
        <f t="shared" si="1"/>
        <v>6814.5</v>
      </c>
    </row>
    <row r="7" spans="1:64" ht="24" customHeight="1">
      <c r="A7" s="1677"/>
      <c r="B7" s="1666"/>
      <c r="C7" s="1184" t="s">
        <v>1326</v>
      </c>
      <c r="D7" s="1034">
        <v>8.8000000000000007</v>
      </c>
      <c r="E7" s="1069" t="s">
        <v>36</v>
      </c>
      <c r="F7" s="1034">
        <f>'Civil-SOR'!$G$307</f>
        <v>520</v>
      </c>
      <c r="G7" s="1045">
        <v>1</v>
      </c>
      <c r="H7" s="1069" t="str">
        <f t="shared" si="0"/>
        <v>Each</v>
      </c>
      <c r="I7" s="1030">
        <f t="shared" si="1"/>
        <v>4576</v>
      </c>
    </row>
    <row r="8" spans="1:64" ht="24" customHeight="1">
      <c r="A8" s="996"/>
      <c r="B8" s="1665"/>
      <c r="C8" s="1183" t="s">
        <v>1912</v>
      </c>
      <c r="D8" s="1089"/>
      <c r="E8" s="1086"/>
      <c r="F8" s="1547"/>
      <c r="G8" s="2075" t="s">
        <v>1096</v>
      </c>
      <c r="H8" s="2075"/>
      <c r="I8" s="1663">
        <f>SUM(I5:I7)</f>
        <v>15027.85</v>
      </c>
      <c r="J8" s="997"/>
      <c r="K8" s="997"/>
      <c r="L8" s="997"/>
      <c r="M8" s="997"/>
      <c r="N8" s="997"/>
      <c r="O8" s="997"/>
      <c r="P8" s="997"/>
      <c r="Q8" s="997"/>
      <c r="R8" s="997"/>
      <c r="S8" s="997"/>
      <c r="T8" s="997"/>
      <c r="U8" s="997"/>
      <c r="V8" s="997"/>
      <c r="W8" s="997"/>
      <c r="X8" s="997"/>
      <c r="Y8" s="997"/>
      <c r="Z8" s="997"/>
      <c r="AA8" s="997"/>
      <c r="AB8" s="997"/>
      <c r="AC8" s="997"/>
      <c r="AD8" s="997"/>
      <c r="AE8" s="997"/>
      <c r="AF8" s="997"/>
      <c r="AG8" s="997"/>
      <c r="AH8" s="997"/>
      <c r="AI8" s="997"/>
      <c r="AJ8" s="997"/>
      <c r="AK8" s="997"/>
      <c r="AL8" s="997"/>
      <c r="AM8" s="997"/>
      <c r="AN8" s="997"/>
      <c r="AO8" s="997"/>
      <c r="AP8" s="997"/>
      <c r="AQ8" s="997"/>
      <c r="AR8" s="997"/>
      <c r="AS8" s="997"/>
      <c r="AT8" s="997"/>
      <c r="AU8" s="997"/>
      <c r="AV8" s="997"/>
      <c r="AW8" s="997"/>
      <c r="AX8" s="997"/>
      <c r="AY8" s="997"/>
      <c r="AZ8" s="997"/>
      <c r="BA8" s="997"/>
      <c r="BB8" s="997"/>
      <c r="BC8" s="997"/>
      <c r="BD8" s="997"/>
      <c r="BE8" s="997"/>
      <c r="BF8" s="997"/>
      <c r="BG8" s="997"/>
      <c r="BH8" s="997"/>
      <c r="BI8" s="997"/>
      <c r="BJ8" s="997"/>
      <c r="BK8" s="997"/>
      <c r="BL8" s="997"/>
    </row>
    <row r="9" spans="1:64" ht="15.75" customHeight="1">
      <c r="A9" s="1677"/>
      <c r="B9" s="1666"/>
      <c r="C9" s="1184"/>
      <c r="D9" s="1000"/>
      <c r="E9" s="1668"/>
      <c r="F9" s="1546"/>
      <c r="G9" s="1007"/>
      <c r="H9" s="1057"/>
      <c r="I9" s="1093"/>
    </row>
    <row r="10" spans="1:64" s="1003" customFormat="1" ht="29.45" customHeight="1">
      <c r="A10" s="1002"/>
      <c r="B10" s="1666" t="s">
        <v>297</v>
      </c>
      <c r="C10" s="2060" t="s">
        <v>1913</v>
      </c>
      <c r="D10" s="2060"/>
      <c r="E10" s="2060"/>
      <c r="F10" s="2060"/>
      <c r="G10" s="2060"/>
      <c r="H10" s="2060"/>
      <c r="I10" s="2060"/>
    </row>
    <row r="11" spans="1:64" s="1066" customFormat="1" ht="18" customHeight="1">
      <c r="A11" s="1022"/>
      <c r="B11" s="1654"/>
      <c r="C11" s="1667" t="s">
        <v>1910</v>
      </c>
      <c r="D11" s="1138">
        <v>9.9000000000000005E-2</v>
      </c>
      <c r="E11" s="1022" t="s">
        <v>36</v>
      </c>
      <c r="F11" s="1137">
        <f>'Civil-SOR'!$G$291</f>
        <v>685</v>
      </c>
      <c r="G11" s="1022"/>
      <c r="H11" s="1022" t="s">
        <v>501</v>
      </c>
      <c r="I11" s="1062">
        <f t="shared" ref="I11:I17" si="2">IF(G11="",D11*F11,(D11*F11/G11))</f>
        <v>67.814999999999998</v>
      </c>
    </row>
    <row r="12" spans="1:64" s="1066" customFormat="1" ht="18" customHeight="1">
      <c r="A12" s="1022"/>
      <c r="B12" s="1654"/>
      <c r="C12" s="1667" t="s">
        <v>1911</v>
      </c>
      <c r="D12" s="1138">
        <v>0.19800000000000001</v>
      </c>
      <c r="E12" s="1022" t="s">
        <v>36</v>
      </c>
      <c r="F12" s="1137">
        <f>'Civil-SOR'!$G$302</f>
        <v>550</v>
      </c>
      <c r="G12" s="1022"/>
      <c r="H12" s="1022" t="s">
        <v>501</v>
      </c>
      <c r="I12" s="1062">
        <f t="shared" si="2"/>
        <v>108.9</v>
      </c>
    </row>
    <row r="13" spans="1:64" s="1066" customFormat="1" ht="30.6" customHeight="1">
      <c r="A13" s="1022"/>
      <c r="B13" s="1654"/>
      <c r="C13" s="1667" t="s">
        <v>1914</v>
      </c>
      <c r="D13" s="1138">
        <v>9.9000000000000005E-2</v>
      </c>
      <c r="E13" s="1022" t="s">
        <v>36</v>
      </c>
      <c r="F13" s="1137">
        <f>'Civil-SOR'!$G$291</f>
        <v>685</v>
      </c>
      <c r="G13" s="1022"/>
      <c r="H13" s="1022" t="s">
        <v>501</v>
      </c>
      <c r="I13" s="1062">
        <f t="shared" si="2"/>
        <v>67.814999999999998</v>
      </c>
    </row>
    <row r="14" spans="1:64" s="1066" customFormat="1" ht="18" customHeight="1">
      <c r="A14" s="1022"/>
      <c r="B14" s="1654"/>
      <c r="C14" s="1667" t="s">
        <v>1915</v>
      </c>
      <c r="D14" s="1138">
        <v>9.9000000000000005E-2</v>
      </c>
      <c r="E14" s="1022" t="s">
        <v>36</v>
      </c>
      <c r="F14" s="1137">
        <f>'Civil-SOR'!$G$291</f>
        <v>685</v>
      </c>
      <c r="G14" s="1022"/>
      <c r="H14" s="1022" t="s">
        <v>501</v>
      </c>
      <c r="I14" s="1062">
        <f t="shared" si="2"/>
        <v>67.814999999999998</v>
      </c>
    </row>
    <row r="15" spans="1:64" s="1066" customFormat="1" ht="18" customHeight="1">
      <c r="A15" s="1022"/>
      <c r="B15" s="1654"/>
      <c r="C15" s="1667" t="s">
        <v>1354</v>
      </c>
      <c r="D15" s="1138">
        <v>0.29699999999999999</v>
      </c>
      <c r="E15" s="1022" t="s">
        <v>36</v>
      </c>
      <c r="F15" s="1137">
        <f>'Civil-SOR'!$G$307</f>
        <v>520</v>
      </c>
      <c r="G15" s="1022"/>
      <c r="H15" s="1022" t="s">
        <v>501</v>
      </c>
      <c r="I15" s="1062">
        <f t="shared" si="2"/>
        <v>154.44</v>
      </c>
    </row>
    <row r="16" spans="1:64" s="1066" customFormat="1" ht="18" customHeight="1">
      <c r="A16" s="1022"/>
      <c r="B16" s="1654"/>
      <c r="C16" s="1667" t="s">
        <v>1916</v>
      </c>
      <c r="D16" s="1138">
        <v>9.9000000000000005E-2</v>
      </c>
      <c r="E16" s="1022" t="s">
        <v>36</v>
      </c>
      <c r="F16" s="1137">
        <f>'Civil-SOR'!$G$292</f>
        <v>685</v>
      </c>
      <c r="G16" s="1022"/>
      <c r="H16" s="1022" t="s">
        <v>501</v>
      </c>
      <c r="I16" s="1062">
        <f t="shared" si="2"/>
        <v>67.814999999999998</v>
      </c>
    </row>
    <row r="17" spans="1:64" s="1066" customFormat="1" ht="18" customHeight="1">
      <c r="A17" s="1022"/>
      <c r="B17" s="1654"/>
      <c r="C17" s="1667" t="str">
        <f>Input!$C$47</f>
        <v>Add for MA @ 40%</v>
      </c>
      <c r="D17" s="1137">
        <f>Input!$D$47</f>
        <v>0.4</v>
      </c>
      <c r="E17" s="1022"/>
      <c r="F17" s="1137">
        <f>SUM(I11:I16)</f>
        <v>534.6</v>
      </c>
      <c r="G17" s="1022"/>
      <c r="H17" s="1022"/>
      <c r="I17" s="1062">
        <f t="shared" si="2"/>
        <v>213.84000000000003</v>
      </c>
    </row>
    <row r="18" spans="1:64" s="1066" customFormat="1" ht="15.95" customHeight="1">
      <c r="A18" s="1022"/>
      <c r="B18" s="1654"/>
      <c r="C18" s="1662" t="s">
        <v>1917</v>
      </c>
      <c r="D18" s="1076"/>
      <c r="E18" s="1022"/>
      <c r="F18" s="1137"/>
      <c r="G18" s="1022"/>
      <c r="H18" s="1022"/>
      <c r="I18" s="1672"/>
    </row>
    <row r="19" spans="1:64" s="1066" customFormat="1" ht="28.9" customHeight="1">
      <c r="A19" s="1022"/>
      <c r="B19" s="1654"/>
      <c r="C19" s="1667" t="s">
        <v>1918</v>
      </c>
      <c r="D19" s="1138">
        <v>0.79300000000000004</v>
      </c>
      <c r="E19" s="1022" t="s">
        <v>1919</v>
      </c>
      <c r="F19" s="1137">
        <f>'Civil-SOR'!$G$194</f>
        <v>146</v>
      </c>
      <c r="G19" s="1022">
        <v>1</v>
      </c>
      <c r="H19" s="1022" t="s">
        <v>616</v>
      </c>
      <c r="I19" s="1062">
        <f t="shared" ref="I19:I20" si="3">IF(G19="",D19*F19,(D19*F19/G19))</f>
        <v>115.77800000000001</v>
      </c>
    </row>
    <row r="20" spans="1:64" s="1066" customFormat="1" ht="20.45" customHeight="1">
      <c r="A20" s="1022"/>
      <c r="B20" s="1654"/>
      <c r="C20" s="1667" t="s">
        <v>1920</v>
      </c>
      <c r="D20" s="1138">
        <v>0.79300000000000004</v>
      </c>
      <c r="E20" s="1022" t="s">
        <v>1919</v>
      </c>
      <c r="F20" s="1137">
        <f>'Civil-SOR'!$G$195</f>
        <v>137</v>
      </c>
      <c r="G20" s="1022">
        <v>1</v>
      </c>
      <c r="H20" s="1022" t="s">
        <v>616</v>
      </c>
      <c r="I20" s="1062">
        <f t="shared" si="3"/>
        <v>108.64100000000001</v>
      </c>
    </row>
    <row r="21" spans="1:64" s="1066" customFormat="1" ht="15.95" customHeight="1">
      <c r="A21" s="1022"/>
      <c r="B21" s="1654"/>
      <c r="C21" s="1667"/>
      <c r="D21" s="1138"/>
      <c r="E21" s="1022"/>
      <c r="F21" s="1137"/>
      <c r="G21" s="1022"/>
      <c r="H21" s="1022"/>
      <c r="I21" s="1672">
        <f>SUM(I11:I20)</f>
        <v>972.85900000000004</v>
      </c>
    </row>
    <row r="22" spans="1:64" s="1066" customFormat="1" ht="18" customHeight="1">
      <c r="A22" s="1022"/>
      <c r="B22" s="1654"/>
      <c r="C22" s="1667" t="s">
        <v>1921</v>
      </c>
      <c r="D22" s="1137">
        <v>0.01</v>
      </c>
      <c r="E22" s="1022"/>
      <c r="F22" s="1137">
        <f>I21</f>
        <v>972.85900000000004</v>
      </c>
      <c r="G22" s="1022"/>
      <c r="H22" s="1022"/>
      <c r="I22" s="1062">
        <f>IF(G22="",D22*F22,(D22*F22/G22))</f>
        <v>9.7285900000000005</v>
      </c>
    </row>
    <row r="23" spans="1:64" ht="26.45" customHeight="1">
      <c r="A23" s="996"/>
      <c r="B23" s="1665"/>
      <c r="C23" s="1183" t="s">
        <v>1922</v>
      </c>
      <c r="D23" s="1171"/>
      <c r="E23" s="1181"/>
      <c r="F23" s="1171"/>
      <c r="G23" s="2075" t="s">
        <v>1096</v>
      </c>
      <c r="H23" s="2075"/>
      <c r="I23" s="1664">
        <f>SUM(I21:I22)</f>
        <v>982.58759000000009</v>
      </c>
      <c r="J23" s="997"/>
      <c r="K23" s="997"/>
      <c r="L23" s="997"/>
      <c r="M23" s="997"/>
      <c r="N23" s="997"/>
      <c r="O23" s="997"/>
      <c r="P23" s="997"/>
      <c r="Q23" s="997"/>
      <c r="R23" s="997"/>
      <c r="S23" s="997"/>
      <c r="T23" s="997"/>
      <c r="U23" s="997"/>
      <c r="V23" s="997"/>
      <c r="W23" s="997"/>
      <c r="X23" s="997"/>
      <c r="Y23" s="997"/>
      <c r="Z23" s="997"/>
      <c r="AA23" s="997"/>
      <c r="AB23" s="997"/>
      <c r="AC23" s="997"/>
      <c r="AD23" s="997"/>
      <c r="AE23" s="997"/>
      <c r="AF23" s="997"/>
      <c r="AG23" s="997"/>
      <c r="AH23" s="997"/>
      <c r="AI23" s="997"/>
      <c r="AJ23" s="997"/>
      <c r="AK23" s="997"/>
      <c r="AL23" s="997"/>
      <c r="AM23" s="997"/>
      <c r="AN23" s="997"/>
      <c r="AO23" s="997"/>
      <c r="AP23" s="997"/>
      <c r="AQ23" s="997"/>
      <c r="AR23" s="997"/>
      <c r="AS23" s="997"/>
      <c r="AT23" s="997"/>
      <c r="AU23" s="997"/>
      <c r="AV23" s="997"/>
      <c r="AW23" s="997"/>
      <c r="AX23" s="997"/>
      <c r="AY23" s="997"/>
      <c r="AZ23" s="997"/>
      <c r="BA23" s="997"/>
      <c r="BB23" s="997"/>
      <c r="BC23" s="997"/>
      <c r="BD23" s="997"/>
      <c r="BE23" s="997"/>
      <c r="BF23" s="997"/>
      <c r="BG23" s="997"/>
      <c r="BH23" s="997"/>
      <c r="BI23" s="997"/>
      <c r="BJ23" s="997"/>
      <c r="BK23" s="997"/>
      <c r="BL23" s="997"/>
    </row>
    <row r="24" spans="1:64" s="1003" customFormat="1" ht="14.65" customHeight="1">
      <c r="A24" s="1002"/>
      <c r="B24" s="1666"/>
      <c r="C24" s="1184"/>
      <c r="D24" s="1034"/>
      <c r="E24" s="1069"/>
      <c r="F24" s="1034"/>
      <c r="G24" s="1045"/>
      <c r="H24" s="1069"/>
      <c r="I24" s="1030"/>
    </row>
    <row r="25" spans="1:64" s="1066" customFormat="1" ht="25.15" customHeight="1">
      <c r="A25" s="1022"/>
      <c r="B25" s="1654" t="s">
        <v>430</v>
      </c>
      <c r="C25" s="2036" t="s">
        <v>1923</v>
      </c>
      <c r="D25" s="2036"/>
      <c r="E25" s="2036"/>
      <c r="F25" s="2036"/>
      <c r="G25" s="2036"/>
      <c r="H25" s="2036"/>
      <c r="I25" s="2036"/>
    </row>
    <row r="26" spans="1:64" s="1066" customFormat="1" ht="19.149999999999999" customHeight="1">
      <c r="A26" s="1022"/>
      <c r="B26" s="1654"/>
      <c r="C26" s="1667" t="s">
        <v>1910</v>
      </c>
      <c r="D26" s="1138">
        <v>9.6000000000000002E-2</v>
      </c>
      <c r="E26" s="1022" t="s">
        <v>36</v>
      </c>
      <c r="F26" s="1137">
        <f>'Civil-SOR'!$G$291</f>
        <v>685</v>
      </c>
      <c r="G26" s="1022"/>
      <c r="H26" s="1022" t="s">
        <v>501</v>
      </c>
      <c r="I26" s="1062">
        <f t="shared" ref="I26:I32" si="4">IF(G26="",D26*F26,(D26*F26/G26))</f>
        <v>65.760000000000005</v>
      </c>
      <c r="J26" s="1291"/>
    </row>
    <row r="27" spans="1:64" s="1066" customFormat="1" ht="19.149999999999999" customHeight="1">
      <c r="A27" s="1022"/>
      <c r="B27" s="1654"/>
      <c r="C27" s="1667" t="s">
        <v>1911</v>
      </c>
      <c r="D27" s="1138">
        <v>0.28899999999999998</v>
      </c>
      <c r="E27" s="1022" t="s">
        <v>36</v>
      </c>
      <c r="F27" s="1137">
        <f>'Civil-SOR'!$G$300</f>
        <v>550</v>
      </c>
      <c r="G27" s="1022"/>
      <c r="H27" s="1022" t="s">
        <v>501</v>
      </c>
      <c r="I27" s="1062">
        <f t="shared" si="4"/>
        <v>158.94999999999999</v>
      </c>
      <c r="J27" s="1291"/>
    </row>
    <row r="28" spans="1:64" s="1066" customFormat="1" ht="19.149999999999999" customHeight="1">
      <c r="A28" s="1022"/>
      <c r="B28" s="1654"/>
      <c r="C28" s="1667" t="s">
        <v>1914</v>
      </c>
      <c r="D28" s="1138">
        <v>9.6000000000000002E-2</v>
      </c>
      <c r="E28" s="1022" t="s">
        <v>36</v>
      </c>
      <c r="F28" s="1137">
        <f>'Civil-SOR'!$G$291</f>
        <v>685</v>
      </c>
      <c r="G28" s="1022"/>
      <c r="H28" s="1022" t="s">
        <v>501</v>
      </c>
      <c r="I28" s="1062">
        <f t="shared" si="4"/>
        <v>65.760000000000005</v>
      </c>
      <c r="J28" s="1291"/>
    </row>
    <row r="29" spans="1:64" s="1066" customFormat="1" ht="19.149999999999999" customHeight="1">
      <c r="A29" s="1022"/>
      <c r="B29" s="1654"/>
      <c r="C29" s="1667" t="s">
        <v>1915</v>
      </c>
      <c r="D29" s="1138">
        <v>9.6000000000000002E-2</v>
      </c>
      <c r="E29" s="1022" t="s">
        <v>36</v>
      </c>
      <c r="F29" s="1137">
        <f>'Civil-SOR'!$G$291</f>
        <v>685</v>
      </c>
      <c r="G29" s="1022"/>
      <c r="H29" s="1022" t="s">
        <v>501</v>
      </c>
      <c r="I29" s="1062">
        <f t="shared" si="4"/>
        <v>65.760000000000005</v>
      </c>
      <c r="J29" s="1291"/>
    </row>
    <row r="30" spans="1:64" s="1066" customFormat="1" ht="19.149999999999999" customHeight="1">
      <c r="A30" s="1022"/>
      <c r="B30" s="1654"/>
      <c r="C30" s="1667" t="s">
        <v>1354</v>
      </c>
      <c r="D30" s="1138">
        <v>0.28899999999999998</v>
      </c>
      <c r="E30" s="1022" t="s">
        <v>36</v>
      </c>
      <c r="F30" s="1137">
        <f>'Civil-SOR'!$G$307</f>
        <v>520</v>
      </c>
      <c r="G30" s="1022"/>
      <c r="H30" s="1022" t="s">
        <v>501</v>
      </c>
      <c r="I30" s="1062">
        <f t="shared" si="4"/>
        <v>150.28</v>
      </c>
      <c r="J30" s="1291"/>
    </row>
    <row r="31" spans="1:64" s="1066" customFormat="1" ht="19.149999999999999" customHeight="1">
      <c r="A31" s="1022"/>
      <c r="B31" s="1654"/>
      <c r="C31" s="1667" t="s">
        <v>1916</v>
      </c>
      <c r="D31" s="1138">
        <v>9.6000000000000002E-2</v>
      </c>
      <c r="E31" s="1022" t="s">
        <v>36</v>
      </c>
      <c r="F31" s="1137">
        <f>'Civil-SOR'!$G$292</f>
        <v>685</v>
      </c>
      <c r="G31" s="1022"/>
      <c r="H31" s="1022" t="s">
        <v>501</v>
      </c>
      <c r="I31" s="1062">
        <f t="shared" si="4"/>
        <v>65.760000000000005</v>
      </c>
      <c r="J31" s="1291"/>
    </row>
    <row r="32" spans="1:64" s="1066" customFormat="1" ht="19.149999999999999" customHeight="1">
      <c r="A32" s="1022"/>
      <c r="B32" s="1654"/>
      <c r="C32" s="1667" t="str">
        <f>Input!$C$47</f>
        <v>Add for MA @ 40%</v>
      </c>
      <c r="D32" s="1137">
        <f>Input!$D$47</f>
        <v>0.4</v>
      </c>
      <c r="E32" s="1022"/>
      <c r="F32" s="1137">
        <f>SUM(I26:I31)</f>
        <v>572.27</v>
      </c>
      <c r="G32" s="1022"/>
      <c r="H32" s="1022"/>
      <c r="I32" s="1062">
        <f t="shared" si="4"/>
        <v>228.90800000000002</v>
      </c>
      <c r="J32" s="1291"/>
    </row>
    <row r="33" spans="1:10" s="1066" customFormat="1" ht="14.45" customHeight="1">
      <c r="A33" s="1022"/>
      <c r="B33" s="1654"/>
      <c r="C33" s="1662" t="s">
        <v>1924</v>
      </c>
      <c r="D33" s="1076"/>
      <c r="E33" s="1022"/>
      <c r="F33" s="1137"/>
      <c r="G33" s="1022"/>
      <c r="H33" s="1022"/>
      <c r="I33" s="1672"/>
      <c r="J33" s="1291"/>
    </row>
    <row r="34" spans="1:10" s="1066" customFormat="1" ht="15.95" customHeight="1">
      <c r="A34" s="1022"/>
      <c r="B34" s="1654"/>
      <c r="C34" s="1667" t="s">
        <v>1918</v>
      </c>
      <c r="D34" s="1138">
        <v>0.77100000000000002</v>
      </c>
      <c r="E34" s="1022" t="s">
        <v>1919</v>
      </c>
      <c r="F34" s="1137">
        <f>'Civil-SOR'!$G$194</f>
        <v>146</v>
      </c>
      <c r="G34" s="1022">
        <v>1</v>
      </c>
      <c r="H34" s="1022" t="s">
        <v>616</v>
      </c>
      <c r="I34" s="1062">
        <f t="shared" ref="I34:I35" si="5">IF(G34="",D34*F34,(D34*F34/G34))</f>
        <v>112.566</v>
      </c>
      <c r="J34" s="1291"/>
    </row>
    <row r="35" spans="1:10" s="1066" customFormat="1" ht="22.15" customHeight="1">
      <c r="A35" s="1022"/>
      <c r="B35" s="1654"/>
      <c r="C35" s="1667" t="s">
        <v>1925</v>
      </c>
      <c r="D35" s="1138">
        <v>0.77100000000000002</v>
      </c>
      <c r="E35" s="1022" t="s">
        <v>1919</v>
      </c>
      <c r="F35" s="1137">
        <f>'Civil-SOR'!$G$195</f>
        <v>137</v>
      </c>
      <c r="G35" s="1022">
        <v>1</v>
      </c>
      <c r="H35" s="1022" t="s">
        <v>616</v>
      </c>
      <c r="I35" s="1062">
        <f t="shared" si="5"/>
        <v>105.62700000000001</v>
      </c>
      <c r="J35" s="1291"/>
    </row>
    <row r="36" spans="1:10" s="1066" customFormat="1" ht="18.600000000000001" customHeight="1">
      <c r="A36" s="1022"/>
      <c r="B36" s="1654"/>
      <c r="C36" s="1667"/>
      <c r="D36" s="1138"/>
      <c r="E36" s="1022"/>
      <c r="F36" s="1137"/>
      <c r="G36" s="1022"/>
      <c r="H36" s="1022"/>
      <c r="I36" s="1672">
        <f>SUM(I26:I35)</f>
        <v>1019.3710000000001</v>
      </c>
      <c r="J36" s="1291"/>
    </row>
    <row r="37" spans="1:10" s="1066" customFormat="1" ht="21.6" customHeight="1">
      <c r="A37" s="1022"/>
      <c r="B37" s="1654"/>
      <c r="C37" s="1667" t="s">
        <v>1921</v>
      </c>
      <c r="D37" s="1137">
        <v>0.01</v>
      </c>
      <c r="E37" s="1022"/>
      <c r="F37" s="1137">
        <f>I36</f>
        <v>1019.3710000000001</v>
      </c>
      <c r="G37" s="1022"/>
      <c r="H37" s="1022"/>
      <c r="I37" s="1062">
        <f>IF(G37="",D37*F37,(D37*F37/G37))</f>
        <v>10.193710000000001</v>
      </c>
      <c r="J37" s="1291"/>
    </row>
    <row r="38" spans="1:10" s="1006" customFormat="1" ht="33" customHeight="1">
      <c r="A38" s="1005"/>
      <c r="B38" s="1656"/>
      <c r="C38" s="1088" t="s">
        <v>1922</v>
      </c>
      <c r="D38" s="1548"/>
      <c r="E38" s="1549"/>
      <c r="F38" s="1548"/>
      <c r="G38" s="2075" t="s">
        <v>1096</v>
      </c>
      <c r="H38" s="2075"/>
      <c r="I38" s="1141">
        <f>SUM(I36:I37)</f>
        <v>1029.5647100000001</v>
      </c>
    </row>
    <row r="39" spans="1:10" s="1066" customFormat="1" ht="14.65" customHeight="1">
      <c r="A39" s="1022"/>
      <c r="B39" s="1654"/>
      <c r="C39" s="1667"/>
      <c r="D39" s="1060"/>
      <c r="E39" s="1178"/>
      <c r="F39" s="1060"/>
      <c r="G39" s="1063"/>
      <c r="H39" s="1178"/>
      <c r="I39" s="1062"/>
    </row>
    <row r="40" spans="1:10" s="1066" customFormat="1" ht="25.15" customHeight="1">
      <c r="A40" s="1022"/>
      <c r="B40" s="1654" t="s">
        <v>433</v>
      </c>
      <c r="C40" s="2036" t="s">
        <v>1926</v>
      </c>
      <c r="D40" s="2036"/>
      <c r="E40" s="2036"/>
      <c r="F40" s="2036"/>
      <c r="G40" s="2036"/>
      <c r="H40" s="2036"/>
      <c r="I40" s="2036"/>
    </row>
    <row r="41" spans="1:10" s="1066" customFormat="1" ht="16.149999999999999" customHeight="1">
      <c r="A41" s="1022"/>
      <c r="B41" s="1654"/>
      <c r="C41" s="1667" t="s">
        <v>1910</v>
      </c>
      <c r="D41" s="1138">
        <v>0.434</v>
      </c>
      <c r="E41" s="1022" t="s">
        <v>36</v>
      </c>
      <c r="F41" s="1137">
        <f>'Civil-SOR'!$G$291</f>
        <v>685</v>
      </c>
      <c r="G41" s="1022"/>
      <c r="H41" s="1022" t="s">
        <v>501</v>
      </c>
      <c r="I41" s="1062">
        <f t="shared" ref="I41:I47" si="6">IF(G41="",D41*F41,(D41*F41/G41))</f>
        <v>297.29000000000002</v>
      </c>
    </row>
    <row r="42" spans="1:10" s="1066" customFormat="1" ht="14.45" customHeight="1">
      <c r="A42" s="1022"/>
      <c r="B42" s="1654"/>
      <c r="C42" s="1667" t="s">
        <v>1911</v>
      </c>
      <c r="D42" s="1138">
        <v>0.434</v>
      </c>
      <c r="E42" s="1022" t="s">
        <v>36</v>
      </c>
      <c r="F42" s="1137">
        <f>'Civil-SOR'!$G$300</f>
        <v>550</v>
      </c>
      <c r="G42" s="1022"/>
      <c r="H42" s="1022" t="s">
        <v>501</v>
      </c>
      <c r="I42" s="1062">
        <f t="shared" si="6"/>
        <v>238.7</v>
      </c>
    </row>
    <row r="43" spans="1:10" s="1066" customFormat="1" ht="15.6" customHeight="1">
      <c r="A43" s="1022"/>
      <c r="B43" s="1654"/>
      <c r="C43" s="1667" t="s">
        <v>1914</v>
      </c>
      <c r="D43" s="1138">
        <v>4.2999999999999997E-2</v>
      </c>
      <c r="E43" s="1022" t="s">
        <v>36</v>
      </c>
      <c r="F43" s="1137">
        <f>'Civil-SOR'!$G$291</f>
        <v>685</v>
      </c>
      <c r="G43" s="1022"/>
      <c r="H43" s="1022" t="s">
        <v>501</v>
      </c>
      <c r="I43" s="1062">
        <f t="shared" si="6"/>
        <v>29.454999999999998</v>
      </c>
    </row>
    <row r="44" spans="1:10" s="1066" customFormat="1" ht="19.899999999999999" customHeight="1">
      <c r="A44" s="1022"/>
      <c r="B44" s="1654"/>
      <c r="C44" s="1667" t="s">
        <v>1915</v>
      </c>
      <c r="D44" s="1138">
        <v>5.8000000000000003E-2</v>
      </c>
      <c r="E44" s="1022" t="s">
        <v>36</v>
      </c>
      <c r="F44" s="1137">
        <f>'Civil-SOR'!$G$291</f>
        <v>685</v>
      </c>
      <c r="G44" s="1022"/>
      <c r="H44" s="1022" t="s">
        <v>501</v>
      </c>
      <c r="I44" s="1062">
        <f t="shared" si="6"/>
        <v>39.730000000000004</v>
      </c>
    </row>
    <row r="45" spans="1:10" s="1066" customFormat="1" ht="16.149999999999999" customHeight="1">
      <c r="A45" s="1022"/>
      <c r="B45" s="1654"/>
      <c r="C45" s="1667" t="s">
        <v>1354</v>
      </c>
      <c r="D45" s="1138">
        <v>0.14499999999999999</v>
      </c>
      <c r="E45" s="1022" t="s">
        <v>36</v>
      </c>
      <c r="F45" s="1137">
        <f>'Civil-SOR'!$G$307</f>
        <v>520</v>
      </c>
      <c r="G45" s="1022"/>
      <c r="H45" s="1022" t="s">
        <v>501</v>
      </c>
      <c r="I45" s="1062">
        <f t="shared" si="6"/>
        <v>75.399999999999991</v>
      </c>
    </row>
    <row r="46" spans="1:10" s="1066" customFormat="1" ht="16.149999999999999" customHeight="1">
      <c r="A46" s="1022"/>
      <c r="B46" s="1654"/>
      <c r="C46" s="1667" t="s">
        <v>1916</v>
      </c>
      <c r="D46" s="1138">
        <v>7.1999999999999995E-2</v>
      </c>
      <c r="E46" s="1022" t="s">
        <v>36</v>
      </c>
      <c r="F46" s="1137">
        <f>'Civil-SOR'!$G$292</f>
        <v>685</v>
      </c>
      <c r="G46" s="1022"/>
      <c r="H46" s="1022" t="s">
        <v>501</v>
      </c>
      <c r="I46" s="1062">
        <f t="shared" si="6"/>
        <v>49.319999999999993</v>
      </c>
    </row>
    <row r="47" spans="1:10" s="1066" customFormat="1" ht="15" customHeight="1">
      <c r="A47" s="1022"/>
      <c r="B47" s="1654"/>
      <c r="C47" s="1667" t="str">
        <f>Input!$C$47</f>
        <v>Add for MA @ 40%</v>
      </c>
      <c r="D47" s="1137">
        <f>Input!$D$47</f>
        <v>0.4</v>
      </c>
      <c r="E47" s="1022"/>
      <c r="F47" s="1137">
        <f>SUM(I41:I46)</f>
        <v>729.89499999999998</v>
      </c>
      <c r="G47" s="1022"/>
      <c r="H47" s="1022"/>
      <c r="I47" s="1062">
        <f t="shared" si="6"/>
        <v>291.95800000000003</v>
      </c>
    </row>
    <row r="48" spans="1:10" s="1066" customFormat="1" ht="15.95" customHeight="1">
      <c r="A48" s="1022"/>
      <c r="B48" s="1654"/>
      <c r="C48" s="1662" t="s">
        <v>1924</v>
      </c>
      <c r="D48" s="1076"/>
      <c r="E48" s="1022"/>
      <c r="F48" s="1137"/>
      <c r="G48" s="1022"/>
      <c r="H48" s="1022"/>
      <c r="I48" s="1672"/>
    </row>
    <row r="49" spans="1:9" s="1066" customFormat="1" ht="18" customHeight="1">
      <c r="A49" s="1022"/>
      <c r="B49" s="1654"/>
      <c r="C49" s="1667" t="s">
        <v>1918</v>
      </c>
      <c r="D49" s="1138">
        <v>0.34699999999999998</v>
      </c>
      <c r="E49" s="1022" t="s">
        <v>1919</v>
      </c>
      <c r="F49" s="1137">
        <f>'Civil-SOR'!$G$194</f>
        <v>146</v>
      </c>
      <c r="G49" s="1022">
        <v>1</v>
      </c>
      <c r="H49" s="1022" t="s">
        <v>616</v>
      </c>
      <c r="I49" s="1062">
        <f t="shared" ref="I49:I50" si="7">IF(G49="",D49*F49,(D49*F49/G49))</f>
        <v>50.661999999999999</v>
      </c>
    </row>
    <row r="50" spans="1:9" s="1066" customFormat="1" ht="18" customHeight="1">
      <c r="A50" s="1022"/>
      <c r="B50" s="1654"/>
      <c r="C50" s="1667" t="s">
        <v>1925</v>
      </c>
      <c r="D50" s="1138">
        <v>0.46300000000000002</v>
      </c>
      <c r="E50" s="1022" t="s">
        <v>1919</v>
      </c>
      <c r="F50" s="1137">
        <f>'Civil-SOR'!$G$195</f>
        <v>137</v>
      </c>
      <c r="G50" s="1022">
        <v>1</v>
      </c>
      <c r="H50" s="1022" t="s">
        <v>616</v>
      </c>
      <c r="I50" s="1062">
        <f t="shared" si="7"/>
        <v>63.431000000000004</v>
      </c>
    </row>
    <row r="51" spans="1:9" s="1066" customFormat="1" ht="15.95" customHeight="1">
      <c r="A51" s="1022"/>
      <c r="B51" s="1654"/>
      <c r="C51" s="1667"/>
      <c r="D51" s="1138"/>
      <c r="E51" s="1022"/>
      <c r="F51" s="1137"/>
      <c r="G51" s="1022"/>
      <c r="H51" s="1022"/>
      <c r="I51" s="1672">
        <f>SUM(I41:I50)</f>
        <v>1135.9460000000001</v>
      </c>
    </row>
    <row r="52" spans="1:9" s="1066" customFormat="1" ht="16.899999999999999" customHeight="1">
      <c r="A52" s="1022"/>
      <c r="B52" s="1654"/>
      <c r="C52" s="1667" t="s">
        <v>1921</v>
      </c>
      <c r="D52" s="1137">
        <v>0.01</v>
      </c>
      <c r="E52" s="1022"/>
      <c r="F52" s="1137">
        <f>I51</f>
        <v>1135.9460000000001</v>
      </c>
      <c r="G52" s="1022"/>
      <c r="H52" s="1022"/>
      <c r="I52" s="1062">
        <f>IF(G52="",D52*F52,(D52*F52/G52))</f>
        <v>11.359460000000002</v>
      </c>
    </row>
    <row r="53" spans="1:9" s="1006" customFormat="1" ht="21" customHeight="1">
      <c r="A53" s="1005"/>
      <c r="B53" s="1656"/>
      <c r="C53" s="1088" t="s">
        <v>1922</v>
      </c>
      <c r="D53" s="1548"/>
      <c r="E53" s="1549"/>
      <c r="F53" s="1548"/>
      <c r="G53" s="2075" t="s">
        <v>1096</v>
      </c>
      <c r="H53" s="2075"/>
      <c r="I53" s="1141">
        <f>SUM(I51:I52)</f>
        <v>1147.30546</v>
      </c>
    </row>
    <row r="54" spans="1:9" s="1066" customFormat="1" ht="14.65" customHeight="1">
      <c r="A54" s="1022"/>
      <c r="B54" s="1654"/>
      <c r="C54" s="1667"/>
      <c r="D54" s="1060"/>
      <c r="E54" s="1178"/>
      <c r="F54" s="1060"/>
      <c r="G54" s="1063"/>
      <c r="H54" s="1178"/>
      <c r="I54" s="1062"/>
    </row>
    <row r="55" spans="1:9" s="1066" customFormat="1" ht="19.149999999999999" customHeight="1">
      <c r="A55" s="1022"/>
      <c r="B55" s="1654" t="s">
        <v>436</v>
      </c>
      <c r="C55" s="2036" t="s">
        <v>1927</v>
      </c>
      <c r="D55" s="2036"/>
      <c r="E55" s="2036"/>
      <c r="F55" s="2036"/>
      <c r="G55" s="2036"/>
      <c r="H55" s="2036"/>
      <c r="I55" s="2036"/>
    </row>
    <row r="56" spans="1:9" s="1066" customFormat="1" ht="19.899999999999999" customHeight="1">
      <c r="A56" s="1671"/>
      <c r="B56" s="1078"/>
      <c r="C56" s="1667" t="s">
        <v>1910</v>
      </c>
      <c r="D56" s="1138">
        <v>0.1</v>
      </c>
      <c r="E56" s="1022" t="s">
        <v>36</v>
      </c>
      <c r="F56" s="1137">
        <f>'Civil-SOR'!$G$291</f>
        <v>685</v>
      </c>
      <c r="G56" s="1022"/>
      <c r="H56" s="1022" t="s">
        <v>501</v>
      </c>
      <c r="I56" s="1062">
        <f t="shared" ref="I56:I62" si="8">IF(G56="",D56*F56,(D56*F56/G56))</f>
        <v>68.5</v>
      </c>
    </row>
    <row r="57" spans="1:9" s="1066" customFormat="1" ht="19.899999999999999" customHeight="1">
      <c r="A57" s="1671"/>
      <c r="B57" s="1078"/>
      <c r="C57" s="1667" t="s">
        <v>1911</v>
      </c>
      <c r="D57" s="1138">
        <v>0.3</v>
      </c>
      <c r="E57" s="1022" t="s">
        <v>36</v>
      </c>
      <c r="F57" s="1137">
        <f>'Civil-SOR'!$G$300</f>
        <v>550</v>
      </c>
      <c r="G57" s="1022"/>
      <c r="H57" s="1022" t="s">
        <v>501</v>
      </c>
      <c r="I57" s="1062">
        <f t="shared" si="8"/>
        <v>165</v>
      </c>
    </row>
    <row r="58" spans="1:9" s="1066" customFormat="1" ht="18.600000000000001" customHeight="1">
      <c r="A58" s="1671"/>
      <c r="B58" s="1078"/>
      <c r="C58" s="1667" t="s">
        <v>1914</v>
      </c>
      <c r="D58" s="1138">
        <v>0.1</v>
      </c>
      <c r="E58" s="1022" t="s">
        <v>36</v>
      </c>
      <c r="F58" s="1137">
        <f>'Civil-SOR'!$G$291</f>
        <v>685</v>
      </c>
      <c r="G58" s="1022"/>
      <c r="H58" s="1022" t="s">
        <v>501</v>
      </c>
      <c r="I58" s="1062">
        <f t="shared" si="8"/>
        <v>68.5</v>
      </c>
    </row>
    <row r="59" spans="1:9" s="1066" customFormat="1" ht="18.600000000000001" customHeight="1">
      <c r="A59" s="1671"/>
      <c r="B59" s="1078"/>
      <c r="C59" s="1667" t="s">
        <v>1915</v>
      </c>
      <c r="D59" s="1138">
        <v>0.1</v>
      </c>
      <c r="E59" s="1022" t="s">
        <v>36</v>
      </c>
      <c r="F59" s="1137">
        <f>'Civil-SOR'!$G$291</f>
        <v>685</v>
      </c>
      <c r="G59" s="1022"/>
      <c r="H59" s="1022" t="s">
        <v>501</v>
      </c>
      <c r="I59" s="1062">
        <f t="shared" si="8"/>
        <v>68.5</v>
      </c>
    </row>
    <row r="60" spans="1:9" s="1066" customFormat="1" ht="19.899999999999999" customHeight="1">
      <c r="A60" s="1671"/>
      <c r="B60" s="1078"/>
      <c r="C60" s="1667" t="s">
        <v>1354</v>
      </c>
      <c r="D60" s="1138">
        <v>0.3</v>
      </c>
      <c r="E60" s="1022" t="s">
        <v>36</v>
      </c>
      <c r="F60" s="1137">
        <f>'Civil-SOR'!$G$307</f>
        <v>520</v>
      </c>
      <c r="G60" s="1022"/>
      <c r="H60" s="1022" t="s">
        <v>501</v>
      </c>
      <c r="I60" s="1062">
        <f t="shared" si="8"/>
        <v>156</v>
      </c>
    </row>
    <row r="61" spans="1:9" s="1066" customFormat="1" ht="19.899999999999999" customHeight="1">
      <c r="A61" s="1671"/>
      <c r="B61" s="1078"/>
      <c r="C61" s="1667" t="s">
        <v>1916</v>
      </c>
      <c r="D61" s="1138">
        <v>0.1</v>
      </c>
      <c r="E61" s="1022" t="s">
        <v>36</v>
      </c>
      <c r="F61" s="1137">
        <f>'Civil-SOR'!$G$292</f>
        <v>685</v>
      </c>
      <c r="G61" s="1022"/>
      <c r="H61" s="1022" t="s">
        <v>501</v>
      </c>
      <c r="I61" s="1062">
        <f t="shared" si="8"/>
        <v>68.5</v>
      </c>
    </row>
    <row r="62" spans="1:9" s="1066" customFormat="1" ht="19.899999999999999" customHeight="1">
      <c r="A62" s="1671"/>
      <c r="B62" s="1078"/>
      <c r="C62" s="1667" t="str">
        <f>Input!$C$47</f>
        <v>Add for MA @ 40%</v>
      </c>
      <c r="D62" s="1137">
        <f>Input!$D$47</f>
        <v>0.4</v>
      </c>
      <c r="E62" s="1022"/>
      <c r="F62" s="1137">
        <f>SUM(I56:I61)</f>
        <v>595</v>
      </c>
      <c r="G62" s="1022"/>
      <c r="H62" s="1022"/>
      <c r="I62" s="1062">
        <f t="shared" si="8"/>
        <v>238</v>
      </c>
    </row>
    <row r="63" spans="1:9" s="1066" customFormat="1" ht="19.899999999999999" customHeight="1">
      <c r="A63" s="1671"/>
      <c r="B63" s="1078"/>
      <c r="C63" s="1662" t="s">
        <v>1924</v>
      </c>
      <c r="D63" s="1076"/>
      <c r="E63" s="1022"/>
      <c r="F63" s="1137"/>
      <c r="G63" s="1022"/>
      <c r="H63" s="1022"/>
      <c r="I63" s="1672"/>
    </row>
    <row r="64" spans="1:9" s="1066" customFormat="1" ht="26.45" customHeight="1">
      <c r="A64" s="1671"/>
      <c r="B64" s="1078"/>
      <c r="C64" s="1667" t="s">
        <v>1918</v>
      </c>
      <c r="D64" s="1138">
        <v>0.8</v>
      </c>
      <c r="E64" s="1022" t="s">
        <v>1919</v>
      </c>
      <c r="F64" s="1137">
        <f>'Civil-SOR'!$G$194</f>
        <v>146</v>
      </c>
      <c r="G64" s="1022">
        <v>1</v>
      </c>
      <c r="H64" s="1022" t="s">
        <v>616</v>
      </c>
      <c r="I64" s="1062">
        <f t="shared" ref="I64:I65" si="9">IF(G64="",D64*F64,(D64*F64/G64))</f>
        <v>116.80000000000001</v>
      </c>
    </row>
    <row r="65" spans="1:9" s="1066" customFormat="1" ht="19.899999999999999" customHeight="1">
      <c r="A65" s="1671"/>
      <c r="B65" s="1078"/>
      <c r="C65" s="1667" t="s">
        <v>1925</v>
      </c>
      <c r="D65" s="1138">
        <v>0.8</v>
      </c>
      <c r="E65" s="1022" t="s">
        <v>1919</v>
      </c>
      <c r="F65" s="1137">
        <f>'Civil-SOR'!$G$195</f>
        <v>137</v>
      </c>
      <c r="G65" s="1022">
        <v>1</v>
      </c>
      <c r="H65" s="1022" t="s">
        <v>616</v>
      </c>
      <c r="I65" s="1062">
        <f t="shared" si="9"/>
        <v>109.60000000000001</v>
      </c>
    </row>
    <row r="66" spans="1:9" s="1066" customFormat="1" ht="21.6" customHeight="1">
      <c r="A66" s="1671"/>
      <c r="B66" s="1078"/>
      <c r="C66" s="1667"/>
      <c r="D66" s="1138"/>
      <c r="E66" s="1022"/>
      <c r="F66" s="1137"/>
      <c r="G66" s="1022"/>
      <c r="H66" s="1022"/>
      <c r="I66" s="1672">
        <f>SUM(I56:I65)</f>
        <v>1059.3999999999999</v>
      </c>
    </row>
    <row r="67" spans="1:9" s="1066" customFormat="1" ht="16.899999999999999" customHeight="1">
      <c r="A67" s="1671"/>
      <c r="B67" s="1078"/>
      <c r="C67" s="1667" t="s">
        <v>1921</v>
      </c>
      <c r="D67" s="1137">
        <v>0.01</v>
      </c>
      <c r="E67" s="1022"/>
      <c r="F67" s="1137">
        <f>I66</f>
        <v>1059.3999999999999</v>
      </c>
      <c r="G67" s="1022"/>
      <c r="H67" s="1022"/>
      <c r="I67" s="1062">
        <f>IF(G67="",D67*F67,(D67*F67/G67))</f>
        <v>10.593999999999999</v>
      </c>
    </row>
    <row r="68" spans="1:9" s="1006" customFormat="1" ht="24" customHeight="1">
      <c r="A68" s="1655"/>
      <c r="B68" s="1550"/>
      <c r="C68" s="1088" t="s">
        <v>1922</v>
      </c>
      <c r="D68" s="1548"/>
      <c r="E68" s="1549"/>
      <c r="F68" s="1548"/>
      <c r="G68" s="1551"/>
      <c r="H68" s="1549"/>
      <c r="I68" s="1141">
        <f>SUM(I66:I67)</f>
        <v>1069.9939999999999</v>
      </c>
    </row>
    <row r="69" spans="1:9" s="1066" customFormat="1" ht="14.65" customHeight="1">
      <c r="A69" s="1671"/>
      <c r="B69" s="1078"/>
      <c r="C69" s="1667"/>
      <c r="D69" s="1060"/>
      <c r="E69" s="1178"/>
      <c r="F69" s="1060"/>
      <c r="G69" s="1063"/>
      <c r="H69" s="1178"/>
      <c r="I69" s="1062"/>
    </row>
    <row r="70" spans="1:9" s="1066" customFormat="1" ht="55.9" customHeight="1">
      <c r="A70" s="1671">
        <f>A24+1</f>
        <v>1</v>
      </c>
      <c r="B70" s="1078"/>
      <c r="C70" s="2036" t="s">
        <v>3501</v>
      </c>
      <c r="D70" s="2036"/>
      <c r="E70" s="2036"/>
      <c r="F70" s="2036"/>
      <c r="G70" s="2036"/>
      <c r="H70" s="2036"/>
      <c r="I70" s="1022"/>
    </row>
    <row r="71" spans="1:9" s="1066" customFormat="1" ht="18.600000000000001" customHeight="1">
      <c r="A71" s="1671"/>
      <c r="B71" s="1078"/>
      <c r="C71" s="1662" t="s">
        <v>1928</v>
      </c>
      <c r="D71" s="1667"/>
      <c r="E71" s="1667"/>
      <c r="F71" s="1667"/>
      <c r="G71" s="2111">
        <f>0.535*0.435</f>
        <v>0.23272500000000002</v>
      </c>
      <c r="H71" s="2111"/>
      <c r="I71" s="1658" t="s">
        <v>46</v>
      </c>
    </row>
    <row r="72" spans="1:9" s="1066" customFormat="1" ht="15" customHeight="1">
      <c r="A72" s="1671"/>
      <c r="B72" s="1078"/>
      <c r="C72" s="1667" t="s">
        <v>1929</v>
      </c>
      <c r="D72" s="1022">
        <f>4*(0.535+0.435)+4*0.1+2*0.38</f>
        <v>5.04</v>
      </c>
      <c r="E72" s="1022" t="s">
        <v>197</v>
      </c>
      <c r="F72" s="1022" t="s">
        <v>1930</v>
      </c>
      <c r="G72" s="2091">
        <f>5.04*1</f>
        <v>5.04</v>
      </c>
      <c r="H72" s="2091"/>
      <c r="I72" s="1671" t="s">
        <v>1110</v>
      </c>
    </row>
    <row r="73" spans="1:9" s="1066" customFormat="1" ht="15" customHeight="1">
      <c r="A73" s="1671"/>
      <c r="B73" s="1078"/>
      <c r="C73" s="1667" t="s">
        <v>1931</v>
      </c>
      <c r="D73" s="1022">
        <f t="shared" ref="D73:D75" si="10">$G$72</f>
        <v>5.04</v>
      </c>
      <c r="E73" s="1022" t="s">
        <v>1110</v>
      </c>
      <c r="F73" s="1137">
        <f>LEAD!$N$11</f>
        <v>62000</v>
      </c>
      <c r="G73" s="1022">
        <v>1000</v>
      </c>
      <c r="H73" s="1022" t="s">
        <v>1110</v>
      </c>
      <c r="I73" s="1062">
        <f t="shared" ref="I73:I76" si="11">IF(G73="",D73*F73,(D73*F73/G73))</f>
        <v>312.48</v>
      </c>
    </row>
    <row r="74" spans="1:9" s="1066" customFormat="1" ht="18" customHeight="1">
      <c r="A74" s="1671"/>
      <c r="B74" s="1078"/>
      <c r="C74" s="1667" t="s">
        <v>1932</v>
      </c>
      <c r="D74" s="1022">
        <f t="shared" si="10"/>
        <v>5.04</v>
      </c>
      <c r="E74" s="1022" t="s">
        <v>1110</v>
      </c>
      <c r="F74" s="1137">
        <f>'Civil-SOR'!$G$202</f>
        <v>37</v>
      </c>
      <c r="G74" s="1022">
        <v>1</v>
      </c>
      <c r="H74" s="1022" t="s">
        <v>97</v>
      </c>
      <c r="I74" s="1062">
        <f t="shared" si="11"/>
        <v>186.48</v>
      </c>
    </row>
    <row r="75" spans="1:9" s="1066" customFormat="1" ht="15.6" customHeight="1">
      <c r="A75" s="1671"/>
      <c r="B75" s="1078"/>
      <c r="C75" s="1667" t="s">
        <v>1933</v>
      </c>
      <c r="D75" s="1022">
        <f t="shared" si="10"/>
        <v>5.04</v>
      </c>
      <c r="E75" s="1022" t="s">
        <v>1110</v>
      </c>
      <c r="F75" s="1137">
        <f>'Civil-SOR'!$G$203</f>
        <v>6</v>
      </c>
      <c r="G75" s="1022">
        <v>1</v>
      </c>
      <c r="H75" s="1022" t="s">
        <v>97</v>
      </c>
      <c r="I75" s="1062">
        <f t="shared" si="11"/>
        <v>30.240000000000002</v>
      </c>
    </row>
    <row r="76" spans="1:9" s="1066" customFormat="1" ht="15.95" customHeight="1">
      <c r="A76" s="1671"/>
      <c r="B76" s="1078"/>
      <c r="C76" s="1667" t="str">
        <f>Input!$C$47</f>
        <v>Add for MA @ 40%</v>
      </c>
      <c r="D76" s="1137">
        <f>Input!$D$47</f>
        <v>0.4</v>
      </c>
      <c r="E76" s="1137"/>
      <c r="F76" s="1137">
        <f>I74*40%+I75</f>
        <v>104.83199999999999</v>
      </c>
      <c r="G76" s="1138"/>
      <c r="H76" s="1137"/>
      <c r="I76" s="1062">
        <f t="shared" si="11"/>
        <v>41.9328</v>
      </c>
    </row>
    <row r="77" spans="1:9" s="1066" customFormat="1" ht="14.45" customHeight="1">
      <c r="A77" s="1671"/>
      <c r="B77" s="1078"/>
      <c r="C77" s="1662" t="s">
        <v>1934</v>
      </c>
      <c r="D77" s="1022"/>
      <c r="E77" s="1022"/>
      <c r="F77" s="1022"/>
      <c r="G77" s="1022"/>
      <c r="H77" s="1022"/>
      <c r="I77" s="1062">
        <f>SUM(I73:I76)</f>
        <v>571.13280000000009</v>
      </c>
    </row>
    <row r="78" spans="1:9" s="1066" customFormat="1" ht="20.45" customHeight="1">
      <c r="A78" s="1671"/>
      <c r="B78" s="1078"/>
      <c r="C78" s="1662" t="s">
        <v>1117</v>
      </c>
      <c r="D78" s="1022"/>
      <c r="E78" s="1022"/>
      <c r="F78" s="1022"/>
      <c r="G78" s="1022"/>
      <c r="H78" s="1022"/>
      <c r="I78" s="1065">
        <f>I77/G71</f>
        <v>2454.1102159200777</v>
      </c>
    </row>
    <row r="79" spans="1:9" s="1066" customFormat="1" ht="15" customHeight="1">
      <c r="A79" s="1671"/>
      <c r="B79" s="1078"/>
      <c r="C79" s="1662" t="s">
        <v>1117</v>
      </c>
      <c r="D79" s="1022"/>
      <c r="E79" s="1022"/>
      <c r="F79" s="1022"/>
      <c r="G79" s="2075" t="s">
        <v>1096</v>
      </c>
      <c r="H79" s="2075"/>
      <c r="I79" s="1163">
        <f>ROUND(I78,0)</f>
        <v>2454</v>
      </c>
    </row>
    <row r="80" spans="1:9" s="1066" customFormat="1" ht="5.45" customHeight="1">
      <c r="A80" s="1671"/>
      <c r="B80" s="1078"/>
      <c r="C80" s="1667"/>
      <c r="D80" s="1060"/>
      <c r="E80" s="1178"/>
      <c r="F80" s="1060"/>
      <c r="G80" s="1063"/>
      <c r="H80" s="1178"/>
      <c r="I80" s="1062"/>
    </row>
    <row r="81" spans="1:10" s="1066" customFormat="1" ht="67.900000000000006" customHeight="1">
      <c r="A81" s="1671">
        <v>2</v>
      </c>
      <c r="B81" s="1078"/>
      <c r="C81" s="2036" t="s">
        <v>3502</v>
      </c>
      <c r="D81" s="2036"/>
      <c r="E81" s="2036"/>
      <c r="F81" s="2036"/>
      <c r="G81" s="2036"/>
      <c r="H81" s="2036"/>
      <c r="I81" s="1078"/>
    </row>
    <row r="82" spans="1:10" s="1066" customFormat="1" ht="83.25" customHeight="1">
      <c r="A82" s="1671"/>
      <c r="B82" s="1078"/>
      <c r="C82" s="2037" t="s">
        <v>3503</v>
      </c>
      <c r="D82" s="2037"/>
      <c r="E82" s="2037"/>
      <c r="F82" s="2037"/>
      <c r="G82" s="2037"/>
      <c r="H82" s="2037"/>
      <c r="I82" s="1022"/>
    </row>
    <row r="83" spans="1:10" s="1066" customFormat="1" ht="15" customHeight="1">
      <c r="A83" s="1671"/>
      <c r="B83" s="1078"/>
      <c r="C83" s="1662" t="s">
        <v>1935</v>
      </c>
      <c r="D83" s="1552" t="s">
        <v>1936</v>
      </c>
      <c r="E83" s="2071" t="s">
        <v>1937</v>
      </c>
      <c r="F83" s="2071"/>
      <c r="G83" s="1553">
        <f>3*2.6</f>
        <v>7.8000000000000007</v>
      </c>
      <c r="H83" s="1553" t="s">
        <v>94</v>
      </c>
      <c r="I83" s="1022"/>
    </row>
    <row r="84" spans="1:10" s="1066" customFormat="1" ht="13.9" customHeight="1">
      <c r="A84" s="1671"/>
      <c r="B84" s="1078"/>
      <c r="C84" s="1667" t="s">
        <v>575</v>
      </c>
      <c r="D84" s="2077" t="s">
        <v>1938</v>
      </c>
      <c r="E84" s="2077"/>
      <c r="F84" s="2077"/>
      <c r="G84" s="1022"/>
      <c r="H84" s="1022"/>
      <c r="I84" s="1672"/>
    </row>
    <row r="85" spans="1:10" s="1066" customFormat="1" ht="13.9" customHeight="1">
      <c r="A85" s="1671"/>
      <c r="B85" s="1078"/>
      <c r="C85" s="1667"/>
      <c r="D85" s="2077" t="s">
        <v>1939</v>
      </c>
      <c r="E85" s="2077"/>
      <c r="F85" s="2077"/>
      <c r="G85" s="1554">
        <f>ROUND(15.4*0.15*0.1,4)</f>
        <v>0.23100000000000001</v>
      </c>
      <c r="H85" s="1078" t="s">
        <v>484</v>
      </c>
      <c r="I85" s="1672"/>
    </row>
    <row r="86" spans="1:10" s="1066" customFormat="1" ht="13.9" customHeight="1">
      <c r="A86" s="1671"/>
      <c r="B86" s="1078"/>
      <c r="C86" s="2103" t="s">
        <v>1940</v>
      </c>
      <c r="D86" s="2077" t="s">
        <v>1941</v>
      </c>
      <c r="E86" s="2077"/>
      <c r="F86" s="2077"/>
      <c r="G86" s="1022"/>
      <c r="H86" s="1022"/>
      <c r="I86" s="1672"/>
    </row>
    <row r="87" spans="1:10" s="1066" customFormat="1" ht="13.9" customHeight="1">
      <c r="A87" s="1671"/>
      <c r="B87" s="1078"/>
      <c r="C87" s="2103"/>
      <c r="D87" s="2077" t="s">
        <v>1942</v>
      </c>
      <c r="E87" s="2077"/>
      <c r="F87" s="2077"/>
      <c r="G87" s="1194">
        <f>ROUND(3.9*0.15*0.1,4)</f>
        <v>5.8500000000000003E-2</v>
      </c>
      <c r="H87" s="1022" t="s">
        <v>484</v>
      </c>
      <c r="I87" s="1672"/>
    </row>
    <row r="88" spans="1:10" s="1066" customFormat="1" ht="13.9" customHeight="1">
      <c r="A88" s="1671"/>
      <c r="B88" s="1078"/>
      <c r="C88" s="1667" t="s">
        <v>1943</v>
      </c>
      <c r="D88" s="2077" t="s">
        <v>1944</v>
      </c>
      <c r="E88" s="2077"/>
      <c r="F88" s="2077"/>
      <c r="G88" s="1022"/>
      <c r="H88" s="1022"/>
      <c r="I88" s="1672"/>
    </row>
    <row r="89" spans="1:10" s="1066" customFormat="1" ht="13.9" customHeight="1">
      <c r="A89" s="1671"/>
      <c r="B89" s="1078"/>
      <c r="C89" s="1667"/>
      <c r="D89" s="2077" t="s">
        <v>1945</v>
      </c>
      <c r="E89" s="2077"/>
      <c r="F89" s="2077"/>
      <c r="G89" s="1194">
        <f>ROUND(8*0.12*0.035,4)</f>
        <v>3.3599999999999998E-2</v>
      </c>
      <c r="H89" s="1022" t="s">
        <v>484</v>
      </c>
      <c r="I89" s="1672"/>
    </row>
    <row r="90" spans="1:10" s="1066" customFormat="1" ht="13.9" customHeight="1">
      <c r="A90" s="1671"/>
      <c r="B90" s="1078"/>
      <c r="C90" s="1667" t="s">
        <v>1946</v>
      </c>
      <c r="D90" s="2077" t="s">
        <v>1947</v>
      </c>
      <c r="E90" s="2077"/>
      <c r="F90" s="2077"/>
      <c r="G90" s="1022"/>
      <c r="H90" s="1022"/>
      <c r="I90" s="1672"/>
    </row>
    <row r="91" spans="1:10" s="1066" customFormat="1" ht="13.9" customHeight="1">
      <c r="A91" s="1671"/>
      <c r="B91" s="1078"/>
      <c r="C91" s="1667"/>
      <c r="D91" s="2077" t="s">
        <v>1948</v>
      </c>
      <c r="E91" s="2077"/>
      <c r="F91" s="2077"/>
      <c r="G91" s="1194">
        <f>ROUND(3.2*0.12*0.035,4)</f>
        <v>1.34E-2</v>
      </c>
      <c r="H91" s="1022" t="s">
        <v>484</v>
      </c>
      <c r="I91" s="1672"/>
    </row>
    <row r="92" spans="1:10" s="1066" customFormat="1" ht="13.9" customHeight="1">
      <c r="A92" s="1671"/>
      <c r="B92" s="1078"/>
      <c r="C92" s="1667" t="s">
        <v>1949</v>
      </c>
      <c r="D92" s="2077" t="s">
        <v>1950</v>
      </c>
      <c r="E92" s="2077"/>
      <c r="F92" s="2077"/>
      <c r="G92" s="1022"/>
      <c r="H92" s="1022"/>
      <c r="I92" s="1672"/>
    </row>
    <row r="93" spans="1:10" s="1066" customFormat="1" ht="13.9" customHeight="1">
      <c r="A93" s="1671"/>
      <c r="B93" s="1078"/>
      <c r="C93" s="1667"/>
      <c r="D93" s="2077" t="s">
        <v>1951</v>
      </c>
      <c r="E93" s="2077"/>
      <c r="F93" s="2077"/>
      <c r="G93" s="1194">
        <f>ROUND(1.6*0.15*0.035,4)</f>
        <v>8.3999999999999995E-3</v>
      </c>
      <c r="H93" s="1022" t="s">
        <v>484</v>
      </c>
      <c r="I93" s="1672"/>
    </row>
    <row r="94" spans="1:10" s="1066" customFormat="1" ht="13.9" customHeight="1">
      <c r="A94" s="1671"/>
      <c r="B94" s="1078"/>
      <c r="C94" s="1667"/>
      <c r="D94" s="2099"/>
      <c r="E94" s="2099"/>
      <c r="F94" s="2099"/>
      <c r="G94" s="1555">
        <f>SUM(G87:G93)</f>
        <v>0.1139</v>
      </c>
      <c r="H94" s="1078" t="s">
        <v>484</v>
      </c>
      <c r="I94" s="1672"/>
    </row>
    <row r="95" spans="1:10" s="1066" customFormat="1" ht="15" customHeight="1">
      <c r="A95" s="1671"/>
      <c r="B95" s="1078"/>
      <c r="C95" s="1667" t="s">
        <v>1952</v>
      </c>
      <c r="D95" s="2077" t="s">
        <v>1953</v>
      </c>
      <c r="E95" s="2077"/>
      <c r="F95" s="2077"/>
      <c r="G95" s="1137">
        <f>0.5*0.4*2+0.4*0.75*2</f>
        <v>1</v>
      </c>
      <c r="H95" s="1022" t="s">
        <v>46</v>
      </c>
      <c r="I95" s="1672"/>
      <c r="J95" s="1291"/>
    </row>
    <row r="96" spans="1:10" s="1066" customFormat="1" ht="15" customHeight="1">
      <c r="A96" s="1671"/>
      <c r="B96" s="1078"/>
      <c r="C96" s="1667" t="s">
        <v>1954</v>
      </c>
      <c r="D96" s="2077" t="s">
        <v>1955</v>
      </c>
      <c r="E96" s="2077"/>
      <c r="F96" s="2077"/>
      <c r="G96" s="1137">
        <f>1.1*0.5*2+0.7*0.5*2</f>
        <v>1.8</v>
      </c>
      <c r="H96" s="1022" t="s">
        <v>46</v>
      </c>
      <c r="I96" s="1672"/>
    </row>
    <row r="97" spans="1:9" s="1066" customFormat="1" ht="13.9" customHeight="1">
      <c r="A97" s="1671"/>
      <c r="B97" s="1078"/>
      <c r="C97" s="1667" t="s">
        <v>1956</v>
      </c>
      <c r="D97" s="2077" t="s">
        <v>1957</v>
      </c>
      <c r="E97" s="2077"/>
      <c r="F97" s="2077"/>
      <c r="G97" s="1556">
        <f>(2*0.56*1.61)</f>
        <v>1.8032000000000004</v>
      </c>
      <c r="H97" s="1078" t="s">
        <v>46</v>
      </c>
      <c r="I97" s="1672"/>
    </row>
    <row r="98" spans="1:9" s="1066" customFormat="1" ht="13.9" customHeight="1">
      <c r="A98" s="1671"/>
      <c r="B98" s="1078"/>
      <c r="C98" s="1124" t="s">
        <v>1958</v>
      </c>
      <c r="D98" s="2077"/>
      <c r="E98" s="2077"/>
      <c r="F98" s="2077"/>
      <c r="G98" s="1556"/>
      <c r="H98" s="1078"/>
      <c r="I98" s="1672"/>
    </row>
    <row r="99" spans="1:9" s="1066" customFormat="1" ht="13.9" customHeight="1">
      <c r="A99" s="1671"/>
      <c r="B99" s="1078"/>
      <c r="C99" s="1667" t="s">
        <v>1959</v>
      </c>
      <c r="D99" s="2077" t="s">
        <v>1960</v>
      </c>
      <c r="E99" s="2077"/>
      <c r="F99" s="2077"/>
      <c r="G99" s="1137">
        <f>2*2*(0.4+0.5)+2*2*(0.75+0.4)</f>
        <v>8.1999999999999993</v>
      </c>
      <c r="H99" s="1022" t="s">
        <v>197</v>
      </c>
      <c r="I99" s="1672"/>
    </row>
    <row r="100" spans="1:9" s="1066" customFormat="1" ht="13.9" customHeight="1">
      <c r="A100" s="1671"/>
      <c r="B100" s="1078"/>
      <c r="C100" s="1667" t="s">
        <v>1961</v>
      </c>
      <c r="D100" s="2077" t="s">
        <v>1962</v>
      </c>
      <c r="E100" s="2077"/>
      <c r="F100" s="2077"/>
      <c r="G100" s="1137">
        <f>4*1.6+4*1.2</f>
        <v>11.2</v>
      </c>
      <c r="H100" s="1022" t="s">
        <v>197</v>
      </c>
      <c r="I100" s="1672"/>
    </row>
    <row r="101" spans="1:9" s="1066" customFormat="1" ht="13.9" customHeight="1">
      <c r="A101" s="1671"/>
      <c r="B101" s="1078"/>
      <c r="C101" s="1667" t="s">
        <v>1963</v>
      </c>
      <c r="D101" s="2077" t="s">
        <v>1964</v>
      </c>
      <c r="E101" s="2077"/>
      <c r="F101" s="2077"/>
      <c r="G101" s="1137">
        <f>2*2*(0.56+1.61)</f>
        <v>8.68</v>
      </c>
      <c r="H101" s="1022" t="s">
        <v>197</v>
      </c>
      <c r="I101" s="1672"/>
    </row>
    <row r="102" spans="1:9" s="1066" customFormat="1" ht="14.45" customHeight="1">
      <c r="A102" s="1671"/>
      <c r="B102" s="1078"/>
      <c r="C102" s="1124" t="s">
        <v>1965</v>
      </c>
      <c r="D102" s="1137"/>
      <c r="E102" s="1137"/>
      <c r="F102" s="1137"/>
      <c r="G102" s="1556">
        <f>SUM(G99:G101)</f>
        <v>28.08</v>
      </c>
      <c r="H102" s="1078" t="s">
        <v>197</v>
      </c>
      <c r="I102" s="1672"/>
    </row>
    <row r="103" spans="1:9" s="1066" customFormat="1" ht="13.9" customHeight="1">
      <c r="A103" s="1671"/>
      <c r="B103" s="1078"/>
      <c r="C103" s="1667" t="s">
        <v>1966</v>
      </c>
      <c r="D103" s="1194">
        <f>G85</f>
        <v>0.23100000000000001</v>
      </c>
      <c r="E103" s="1022" t="s">
        <v>484</v>
      </c>
      <c r="F103" s="1137">
        <f>'Civil-SOR'!$G$30</f>
        <v>150940</v>
      </c>
      <c r="G103" s="1022">
        <v>1</v>
      </c>
      <c r="H103" s="1022" t="s">
        <v>484</v>
      </c>
      <c r="I103" s="1062">
        <f t="shared" ref="I103:I119" si="12">IF(G103="",D103*F103,(D103*F103/G103))</f>
        <v>34867.14</v>
      </c>
    </row>
    <row r="104" spans="1:9" s="1066" customFormat="1" ht="13.9" customHeight="1">
      <c r="A104" s="1671"/>
      <c r="B104" s="1078"/>
      <c r="C104" s="1667" t="s">
        <v>1967</v>
      </c>
      <c r="D104" s="1194">
        <f>G94</f>
        <v>0.1139</v>
      </c>
      <c r="E104" s="1022" t="s">
        <v>484</v>
      </c>
      <c r="F104" s="1137">
        <f>'Civil-SOR'!$G$29</f>
        <v>141792</v>
      </c>
      <c r="G104" s="1022">
        <v>1</v>
      </c>
      <c r="H104" s="1022" t="s">
        <v>484</v>
      </c>
      <c r="I104" s="1062">
        <f t="shared" si="12"/>
        <v>16150.1088</v>
      </c>
    </row>
    <row r="105" spans="1:9" s="1066" customFormat="1" ht="13.9" customHeight="1">
      <c r="A105" s="1671"/>
      <c r="B105" s="1078"/>
      <c r="C105" s="1667" t="s">
        <v>1968</v>
      </c>
      <c r="D105" s="1137">
        <f>G95+G96</f>
        <v>2.8</v>
      </c>
      <c r="E105" s="1022" t="s">
        <v>46</v>
      </c>
      <c r="F105" s="1137">
        <f>'Civil-SOR'!$G$52</f>
        <v>1569</v>
      </c>
      <c r="G105" s="1022">
        <v>1</v>
      </c>
      <c r="H105" s="1022" t="s">
        <v>46</v>
      </c>
      <c r="I105" s="1062">
        <f t="shared" si="12"/>
        <v>4393.2</v>
      </c>
    </row>
    <row r="106" spans="1:9" s="1066" customFormat="1" ht="13.9" customHeight="1">
      <c r="A106" s="1671"/>
      <c r="B106" s="1078"/>
      <c r="C106" s="1667" t="s">
        <v>1969</v>
      </c>
      <c r="D106" s="1137">
        <f>G96</f>
        <v>1.8</v>
      </c>
      <c r="E106" s="1022" t="s">
        <v>46</v>
      </c>
      <c r="F106" s="1137">
        <f>'Civil-SOR'!$G$50</f>
        <v>1194</v>
      </c>
      <c r="G106" s="1022">
        <v>1</v>
      </c>
      <c r="H106" s="1022" t="s">
        <v>46</v>
      </c>
      <c r="I106" s="1062">
        <f t="shared" si="12"/>
        <v>2149.2000000000003</v>
      </c>
    </row>
    <row r="107" spans="1:9" s="1066" customFormat="1" ht="13.9" customHeight="1">
      <c r="A107" s="1671"/>
      <c r="B107" s="1078"/>
      <c r="C107" s="1667" t="s">
        <v>1970</v>
      </c>
      <c r="D107" s="1137">
        <f>G102</f>
        <v>28.08</v>
      </c>
      <c r="E107" s="1022" t="s">
        <v>197</v>
      </c>
      <c r="F107" s="1137">
        <f>'Civil-SOR'!$G$382</f>
        <v>26</v>
      </c>
      <c r="G107" s="1022">
        <v>1</v>
      </c>
      <c r="H107" s="1022" t="s">
        <v>197</v>
      </c>
      <c r="I107" s="1062">
        <f t="shared" si="12"/>
        <v>730.07999999999993</v>
      </c>
    </row>
    <row r="108" spans="1:9" s="1066" customFormat="1" ht="13.9" customHeight="1">
      <c r="A108" s="1671"/>
      <c r="B108" s="1078"/>
      <c r="C108" s="1667" t="s">
        <v>1971</v>
      </c>
      <c r="D108" s="1076">
        <v>8</v>
      </c>
      <c r="E108" s="1022" t="s">
        <v>955</v>
      </c>
      <c r="F108" s="1137">
        <f>'Civil-SOR'!$G$384</f>
        <v>600</v>
      </c>
      <c r="G108" s="1022"/>
      <c r="H108" s="1022" t="s">
        <v>501</v>
      </c>
      <c r="I108" s="1062">
        <f t="shared" si="12"/>
        <v>4800</v>
      </c>
    </row>
    <row r="109" spans="1:9" s="1066" customFormat="1" ht="13.9" customHeight="1">
      <c r="A109" s="1671"/>
      <c r="B109" s="1078"/>
      <c r="C109" s="1667" t="s">
        <v>1972</v>
      </c>
      <c r="D109" s="1076">
        <v>2</v>
      </c>
      <c r="E109" s="1022" t="s">
        <v>955</v>
      </c>
      <c r="F109" s="1137">
        <f>'Civil-SOR'!$G$168</f>
        <v>1683</v>
      </c>
      <c r="G109" s="1022"/>
      <c r="H109" s="1022" t="s">
        <v>501</v>
      </c>
      <c r="I109" s="1062">
        <f t="shared" si="12"/>
        <v>3366</v>
      </c>
    </row>
    <row r="110" spans="1:9" s="1066" customFormat="1" ht="13.9" customHeight="1">
      <c r="A110" s="1671"/>
      <c r="B110" s="1078"/>
      <c r="C110" s="1667" t="s">
        <v>1973</v>
      </c>
      <c r="D110" s="1076">
        <v>1</v>
      </c>
      <c r="E110" s="1022" t="s">
        <v>1509</v>
      </c>
      <c r="F110" s="1137">
        <f>'Civil-SOR'!$G$170</f>
        <v>3622</v>
      </c>
      <c r="G110" s="1022"/>
      <c r="H110" s="1022" t="s">
        <v>501</v>
      </c>
      <c r="I110" s="1062">
        <f t="shared" si="12"/>
        <v>3622</v>
      </c>
    </row>
    <row r="111" spans="1:9" s="1066" customFormat="1" ht="13.9" customHeight="1">
      <c r="A111" s="1671"/>
      <c r="B111" s="1078"/>
      <c r="C111" s="1667" t="s">
        <v>1974</v>
      </c>
      <c r="D111" s="1076">
        <v>3</v>
      </c>
      <c r="E111" s="1022" t="s">
        <v>955</v>
      </c>
      <c r="F111" s="1137">
        <f>'Civil-SOR'!$G$151</f>
        <v>358</v>
      </c>
      <c r="G111" s="1022"/>
      <c r="H111" s="1022" t="s">
        <v>501</v>
      </c>
      <c r="I111" s="1062">
        <f t="shared" si="12"/>
        <v>1074</v>
      </c>
    </row>
    <row r="112" spans="1:9" s="1066" customFormat="1" ht="13.9" customHeight="1">
      <c r="A112" s="1671"/>
      <c r="B112" s="1078"/>
      <c r="C112" s="1667" t="s">
        <v>1975</v>
      </c>
      <c r="D112" s="1076">
        <v>2</v>
      </c>
      <c r="E112" s="1022" t="s">
        <v>955</v>
      </c>
      <c r="F112" s="1137">
        <f>'Civil-SOR'!$G$176</f>
        <v>205</v>
      </c>
      <c r="G112" s="1022"/>
      <c r="H112" s="1022" t="s">
        <v>501</v>
      </c>
      <c r="I112" s="1062">
        <f t="shared" si="12"/>
        <v>410</v>
      </c>
    </row>
    <row r="113" spans="1:9" s="1066" customFormat="1" ht="13.9" customHeight="1">
      <c r="A113" s="1671"/>
      <c r="B113" s="1078"/>
      <c r="C113" s="1667" t="s">
        <v>1976</v>
      </c>
      <c r="D113" s="1076">
        <v>6</v>
      </c>
      <c r="E113" s="1022" t="s">
        <v>955</v>
      </c>
      <c r="F113" s="1137">
        <f>'Civil-SOR'!$G$385</f>
        <v>37</v>
      </c>
      <c r="G113" s="1022"/>
      <c r="H113" s="1022" t="s">
        <v>501</v>
      </c>
      <c r="I113" s="1062">
        <f t="shared" si="12"/>
        <v>222</v>
      </c>
    </row>
    <row r="114" spans="1:9" s="1066" customFormat="1" ht="13.9" customHeight="1">
      <c r="A114" s="1671"/>
      <c r="B114" s="1078"/>
      <c r="C114" s="1667" t="s">
        <v>453</v>
      </c>
      <c r="D114" s="1194">
        <f>D103+D104</f>
        <v>0.34489999999999998</v>
      </c>
      <c r="E114" s="1022" t="s">
        <v>484</v>
      </c>
      <c r="F114" s="1137">
        <f>$I$8</f>
        <v>15027.85</v>
      </c>
      <c r="G114" s="1022">
        <v>1</v>
      </c>
      <c r="H114" s="1022" t="s">
        <v>484</v>
      </c>
      <c r="I114" s="1062">
        <f t="shared" si="12"/>
        <v>5183.1054649999996</v>
      </c>
    </row>
    <row r="115" spans="1:9" s="1066" customFormat="1" ht="13.9" customHeight="1">
      <c r="A115" s="1671"/>
      <c r="B115" s="1078"/>
      <c r="C115" s="1667" t="str">
        <f>Input!$C$47</f>
        <v>Add for MA @ 40%</v>
      </c>
      <c r="D115" s="1137">
        <f>Input!$D$47</f>
        <v>0.4</v>
      </c>
      <c r="E115" s="1022"/>
      <c r="F115" s="1137">
        <f>I114</f>
        <v>5183.1054649999996</v>
      </c>
      <c r="G115" s="1022"/>
      <c r="H115" s="1022"/>
      <c r="I115" s="1062">
        <f t="shared" si="12"/>
        <v>2073.2421859999999</v>
      </c>
    </row>
    <row r="116" spans="1:9" s="1066" customFormat="1" ht="13.9" customHeight="1">
      <c r="A116" s="1671"/>
      <c r="B116" s="1078"/>
      <c r="C116" s="1667" t="s">
        <v>1977</v>
      </c>
      <c r="D116" s="1137">
        <f>G95+G96</f>
        <v>2.8</v>
      </c>
      <c r="E116" s="1022" t="s">
        <v>46</v>
      </c>
      <c r="F116" s="1137">
        <f>'Civil-SOR'!$G$207</f>
        <v>410</v>
      </c>
      <c r="G116" s="1022">
        <v>1</v>
      </c>
      <c r="H116" s="1022" t="s">
        <v>46</v>
      </c>
      <c r="I116" s="1062">
        <f t="shared" si="12"/>
        <v>1148</v>
      </c>
    </row>
    <row r="117" spans="1:9" s="1066" customFormat="1" ht="13.9" customHeight="1">
      <c r="A117" s="1671"/>
      <c r="B117" s="1078"/>
      <c r="C117" s="1667" t="str">
        <f>Input!$C$47</f>
        <v>Add for MA @ 40%</v>
      </c>
      <c r="D117" s="1137">
        <f>Input!$D$47</f>
        <v>0.4</v>
      </c>
      <c r="E117" s="1022"/>
      <c r="F117" s="1137">
        <f>I116</f>
        <v>1148</v>
      </c>
      <c r="G117" s="1022"/>
      <c r="H117" s="1022"/>
      <c r="I117" s="1062">
        <f t="shared" si="12"/>
        <v>459.20000000000005</v>
      </c>
    </row>
    <row r="118" spans="1:9" s="1066" customFormat="1" ht="21.6" customHeight="1">
      <c r="A118" s="1671"/>
      <c r="B118" s="1078"/>
      <c r="C118" s="1667" t="s">
        <v>1978</v>
      </c>
      <c r="D118" s="1137">
        <f>D106</f>
        <v>1.8</v>
      </c>
      <c r="E118" s="1022" t="s">
        <v>46</v>
      </c>
      <c r="F118" s="1137">
        <f>'Civil-SOR'!$G$205</f>
        <v>1369</v>
      </c>
      <c r="G118" s="1022">
        <v>1</v>
      </c>
      <c r="H118" s="1022" t="s">
        <v>46</v>
      </c>
      <c r="I118" s="1062">
        <f t="shared" si="12"/>
        <v>2464.2000000000003</v>
      </c>
    </row>
    <row r="119" spans="1:9" s="1066" customFormat="1" ht="13.9" customHeight="1">
      <c r="A119" s="1671"/>
      <c r="B119" s="1078"/>
      <c r="C119" s="1667" t="str">
        <f>Input!$C$47</f>
        <v>Add for MA @ 40%</v>
      </c>
      <c r="D119" s="1137">
        <f>Input!$D$47</f>
        <v>0.4</v>
      </c>
      <c r="E119" s="1022"/>
      <c r="F119" s="1137">
        <f>I118</f>
        <v>2464.2000000000003</v>
      </c>
      <c r="G119" s="1022"/>
      <c r="H119" s="1022"/>
      <c r="I119" s="1062">
        <f t="shared" si="12"/>
        <v>985.68000000000018</v>
      </c>
    </row>
    <row r="120" spans="1:9" s="1066" customFormat="1" ht="13.9" customHeight="1">
      <c r="A120" s="1671"/>
      <c r="B120" s="1078"/>
      <c r="C120" s="1667" t="s">
        <v>1979</v>
      </c>
      <c r="D120" s="1137"/>
      <c r="E120" s="1022"/>
      <c r="F120" s="1137"/>
      <c r="G120" s="1022"/>
      <c r="H120" s="1022"/>
      <c r="I120" s="1672"/>
    </row>
    <row r="121" spans="1:9" s="1066" customFormat="1" ht="13.9" customHeight="1">
      <c r="A121" s="1671"/>
      <c r="B121" s="1078"/>
      <c r="C121" s="1662" t="s">
        <v>1980</v>
      </c>
      <c r="D121" s="1137"/>
      <c r="E121" s="1022"/>
      <c r="F121" s="1137"/>
      <c r="G121" s="1022"/>
      <c r="H121" s="1022"/>
      <c r="I121" s="1035">
        <f>SUM(I103:I120)</f>
        <v>84097.156450999988</v>
      </c>
    </row>
    <row r="122" spans="1:9" s="1066" customFormat="1" ht="13.9" customHeight="1">
      <c r="A122" s="1671"/>
      <c r="B122" s="1078"/>
      <c r="C122" s="1662" t="s">
        <v>1721</v>
      </c>
      <c r="D122" s="1137"/>
      <c r="E122" s="1022"/>
      <c r="F122" s="1137"/>
      <c r="G122" s="1022"/>
      <c r="H122" s="1022"/>
      <c r="I122" s="1672">
        <f>I121/G83</f>
        <v>10781.686724487177</v>
      </c>
    </row>
    <row r="123" spans="1:9" s="1066" customFormat="1" ht="13.9" customHeight="1">
      <c r="A123" s="1671"/>
      <c r="B123" s="1078"/>
      <c r="C123" s="1667" t="str">
        <f>Input!$C$48</f>
        <v>Overheads &amp; Contractors Profit @ 13.615%</v>
      </c>
      <c r="D123" s="1557">
        <f>Input!$D$48</f>
        <v>0.13614999999999999</v>
      </c>
      <c r="E123" s="1022"/>
      <c r="F123" s="1137">
        <f>I122</f>
        <v>10781.686724487177</v>
      </c>
      <c r="G123" s="1022"/>
      <c r="H123" s="1022"/>
      <c r="I123" s="1062">
        <f>IF(G123="",D123*F123,(D123*F123/G123))</f>
        <v>1467.926647538929</v>
      </c>
    </row>
    <row r="124" spans="1:9" s="1066" customFormat="1" ht="13.9" customHeight="1">
      <c r="A124" s="1671"/>
      <c r="B124" s="1078"/>
      <c r="C124" s="1667"/>
      <c r="D124" s="1137"/>
      <c r="E124" s="1022"/>
      <c r="F124" s="1137"/>
      <c r="G124" s="1022"/>
      <c r="H124" s="1022"/>
      <c r="I124" s="1672">
        <f>SUM(I122:I123)</f>
        <v>12249.613372026106</v>
      </c>
    </row>
    <row r="125" spans="1:9" s="1006" customFormat="1" ht="18" customHeight="1">
      <c r="A125" s="1655"/>
      <c r="B125" s="1550"/>
      <c r="C125" s="1110" t="s">
        <v>575</v>
      </c>
      <c r="D125" s="1136"/>
      <c r="E125" s="1005"/>
      <c r="F125" s="1136"/>
      <c r="G125" s="2075" t="s">
        <v>1096</v>
      </c>
      <c r="H125" s="2075"/>
      <c r="I125" s="1134">
        <f>ROUND(I124,0)</f>
        <v>12250</v>
      </c>
    </row>
    <row r="126" spans="1:9" s="1066" customFormat="1" ht="9.6" customHeight="1">
      <c r="A126" s="1671"/>
      <c r="B126" s="1078"/>
      <c r="C126" s="1667"/>
      <c r="D126" s="1139"/>
      <c r="E126" s="1058"/>
      <c r="F126" s="1041"/>
      <c r="G126" s="1676"/>
      <c r="H126" s="1670"/>
      <c r="I126" s="1672"/>
    </row>
    <row r="127" spans="1:9" s="1066" customFormat="1" ht="78" customHeight="1">
      <c r="A127" s="2091">
        <v>1</v>
      </c>
      <c r="B127" s="2091"/>
      <c r="C127" s="2036" t="s">
        <v>3504</v>
      </c>
      <c r="D127" s="2036"/>
      <c r="E127" s="2036"/>
      <c r="F127" s="2036"/>
      <c r="G127" s="2036"/>
      <c r="H127" s="2036"/>
      <c r="I127" s="1078"/>
    </row>
    <row r="128" spans="1:9" s="1066" customFormat="1" ht="131.44999999999999" customHeight="1">
      <c r="A128" s="1671"/>
      <c r="B128" s="1654"/>
      <c r="C128" s="2037" t="s">
        <v>3505</v>
      </c>
      <c r="D128" s="2037"/>
      <c r="E128" s="2037"/>
      <c r="F128" s="2037"/>
      <c r="G128" s="2037"/>
      <c r="H128" s="2037"/>
      <c r="I128" s="1022"/>
    </row>
    <row r="129" spans="1:10" s="1066" customFormat="1" ht="15.95" customHeight="1">
      <c r="A129" s="1671"/>
      <c r="B129" s="1654"/>
      <c r="C129" s="1662" t="s">
        <v>1981</v>
      </c>
      <c r="D129" s="1022"/>
      <c r="E129" s="1022"/>
      <c r="F129" s="1022"/>
      <c r="G129" s="1022"/>
      <c r="H129" s="1022"/>
      <c r="I129" s="1671"/>
    </row>
    <row r="130" spans="1:10" s="1066" customFormat="1" ht="12.6" customHeight="1">
      <c r="A130" s="1671"/>
      <c r="B130" s="1654"/>
      <c r="C130" s="1667"/>
      <c r="D130" s="1657" t="s">
        <v>1982</v>
      </c>
      <c r="E130" s="2070" t="s">
        <v>1983</v>
      </c>
      <c r="F130" s="2070"/>
      <c r="G130" s="1022"/>
      <c r="H130" s="1556">
        <f>2*2.6</f>
        <v>5.2</v>
      </c>
      <c r="I130" s="1553" t="s">
        <v>94</v>
      </c>
    </row>
    <row r="131" spans="1:10" s="1066" customFormat="1" ht="12.6" customHeight="1">
      <c r="A131" s="1671"/>
      <c r="B131" s="1654"/>
      <c r="C131" s="1662" t="s">
        <v>1935</v>
      </c>
      <c r="D131" s="1137"/>
      <c r="E131" s="1022"/>
      <c r="F131" s="1137"/>
      <c r="G131" s="1022"/>
      <c r="H131" s="1022"/>
      <c r="I131" s="1659"/>
    </row>
    <row r="132" spans="1:10" s="1066" customFormat="1" ht="15.95" customHeight="1">
      <c r="A132" s="1671"/>
      <c r="B132" s="1654"/>
      <c r="C132" s="1667" t="s">
        <v>1984</v>
      </c>
      <c r="D132" s="1137" t="s">
        <v>1985</v>
      </c>
      <c r="E132" s="1022"/>
      <c r="F132" s="1137"/>
      <c r="G132" s="1022"/>
      <c r="H132" s="1022"/>
      <c r="I132" s="1659"/>
    </row>
    <row r="133" spans="1:10" s="1066" customFormat="1" ht="13.9" customHeight="1">
      <c r="A133" s="1671"/>
      <c r="B133" s="1654"/>
      <c r="C133" s="1667"/>
      <c r="D133" s="2077" t="s">
        <v>1986</v>
      </c>
      <c r="E133" s="2077"/>
      <c r="F133" s="2077"/>
      <c r="G133" s="2105">
        <f>ROUND(5.22*0.1*0.065,5)</f>
        <v>3.3930000000000002E-2</v>
      </c>
      <c r="H133" s="2105"/>
      <c r="I133" s="1659" t="s">
        <v>75</v>
      </c>
    </row>
    <row r="134" spans="1:10" s="1066" customFormat="1" ht="13.15" customHeight="1">
      <c r="A134" s="1671"/>
      <c r="B134" s="1654"/>
      <c r="C134" s="1667" t="s">
        <v>1987</v>
      </c>
      <c r="D134" s="2077" t="s">
        <v>1988</v>
      </c>
      <c r="E134" s="2077"/>
      <c r="F134" s="2077"/>
      <c r="G134" s="1022"/>
      <c r="H134" s="1022"/>
      <c r="I134" s="1659"/>
    </row>
    <row r="135" spans="1:10" s="1066" customFormat="1" ht="15" customHeight="1">
      <c r="A135" s="1671"/>
      <c r="B135" s="1654"/>
      <c r="C135" s="1667"/>
      <c r="D135" s="2077" t="s">
        <v>1989</v>
      </c>
      <c r="E135" s="2077"/>
      <c r="F135" s="2077"/>
      <c r="G135" s="2105">
        <f>ROUND(4.5*0.1*0.065,5)</f>
        <v>2.9250000000000002E-2</v>
      </c>
      <c r="H135" s="2105"/>
      <c r="I135" s="1659" t="s">
        <v>75</v>
      </c>
    </row>
    <row r="136" spans="1:10" s="1066" customFormat="1" ht="12" customHeight="1">
      <c r="A136" s="1671"/>
      <c r="B136" s="1654"/>
      <c r="C136" s="1667"/>
      <c r="D136" s="1137"/>
      <c r="E136" s="1022"/>
      <c r="F136" s="1137"/>
      <c r="G136" s="2104">
        <f>SUM(G133:G135)</f>
        <v>6.318E-2</v>
      </c>
      <c r="H136" s="2104"/>
      <c r="I136" s="1553" t="s">
        <v>75</v>
      </c>
    </row>
    <row r="137" spans="1:10" s="1066" customFormat="1" ht="15" customHeight="1">
      <c r="A137" s="1671"/>
      <c r="B137" s="1654"/>
      <c r="C137" s="1667" t="s">
        <v>1990</v>
      </c>
      <c r="D137" s="2077" t="s">
        <v>1991</v>
      </c>
      <c r="E137" s="2077"/>
      <c r="F137" s="2077"/>
      <c r="G137" s="2076">
        <f>ROUND(2*1*0.5,2)</f>
        <v>1</v>
      </c>
      <c r="H137" s="2076"/>
      <c r="I137" s="1553" t="s">
        <v>94</v>
      </c>
    </row>
    <row r="138" spans="1:10" s="1066" customFormat="1" ht="15" customHeight="1">
      <c r="A138" s="1671"/>
      <c r="B138" s="1654"/>
      <c r="C138" s="1667" t="s">
        <v>1992</v>
      </c>
      <c r="D138" s="2077" t="s">
        <v>1993</v>
      </c>
      <c r="E138" s="2077"/>
      <c r="F138" s="2077"/>
      <c r="G138" s="2076">
        <f>ROUND(2*2*(1+0.5),2)</f>
        <v>6</v>
      </c>
      <c r="H138" s="2076"/>
      <c r="I138" s="1553" t="s">
        <v>197</v>
      </c>
    </row>
    <row r="139" spans="1:10" s="1066" customFormat="1" ht="15" customHeight="1">
      <c r="A139" s="1671"/>
      <c r="B139" s="1654"/>
      <c r="C139" s="1667" t="s">
        <v>1994</v>
      </c>
      <c r="D139" s="2077" t="s">
        <v>1995</v>
      </c>
      <c r="E139" s="2077"/>
      <c r="F139" s="2077"/>
      <c r="G139" s="2107">
        <f>ROUND(2*0.95*2.05,3)</f>
        <v>3.895</v>
      </c>
      <c r="H139" s="2107"/>
      <c r="I139" s="1553" t="s">
        <v>94</v>
      </c>
    </row>
    <row r="140" spans="1:10" s="1066" customFormat="1" ht="15.6" customHeight="1">
      <c r="A140" s="1671"/>
      <c r="B140" s="1654"/>
      <c r="C140" s="1667" t="s">
        <v>1996</v>
      </c>
      <c r="D140" s="2108" t="s">
        <v>1997</v>
      </c>
      <c r="E140" s="2108"/>
      <c r="F140" s="2108"/>
      <c r="G140" s="2098">
        <f>ROUND(2*2*0.785,3)</f>
        <v>3.14</v>
      </c>
      <c r="H140" s="2098"/>
      <c r="I140" s="1553" t="s">
        <v>1110</v>
      </c>
    </row>
    <row r="141" spans="1:10" s="1066" customFormat="1" ht="15.95" customHeight="1">
      <c r="A141" s="1671"/>
      <c r="B141" s="1654"/>
      <c r="C141" s="1662" t="s">
        <v>1965</v>
      </c>
      <c r="D141" s="1137"/>
      <c r="E141" s="1022"/>
      <c r="F141" s="1137"/>
      <c r="G141" s="1022"/>
      <c r="H141" s="1022"/>
      <c r="I141" s="1672"/>
    </row>
    <row r="142" spans="1:10" s="1066" customFormat="1" ht="16.149999999999999" customHeight="1">
      <c r="A142" s="1671"/>
      <c r="B142" s="1654"/>
      <c r="C142" s="1667" t="s">
        <v>1966</v>
      </c>
      <c r="D142" s="1557">
        <f>G133</f>
        <v>3.3930000000000002E-2</v>
      </c>
      <c r="E142" s="1022" t="s">
        <v>75</v>
      </c>
      <c r="F142" s="1137">
        <f>'Civil-SOR'!G30</f>
        <v>150940</v>
      </c>
      <c r="G142" s="1022">
        <v>1</v>
      </c>
      <c r="H142" s="1022" t="s">
        <v>75</v>
      </c>
      <c r="I142" s="1062">
        <f t="shared" ref="I142:I161" si="13">IF(G142="",D142*F142,(D142*F142/G142))</f>
        <v>5121.3942000000006</v>
      </c>
      <c r="J142" s="1291"/>
    </row>
    <row r="143" spans="1:10" s="1066" customFormat="1" ht="16.149999999999999" customHeight="1">
      <c r="A143" s="1671"/>
      <c r="B143" s="1654"/>
      <c r="C143" s="1667" t="s">
        <v>1967</v>
      </c>
      <c r="D143" s="1557">
        <f>G135</f>
        <v>2.9250000000000002E-2</v>
      </c>
      <c r="E143" s="1022" t="s">
        <v>75</v>
      </c>
      <c r="F143" s="1137">
        <f>'Civil-SOR'!G29</f>
        <v>141792</v>
      </c>
      <c r="G143" s="1022">
        <v>1</v>
      </c>
      <c r="H143" s="1022" t="s">
        <v>75</v>
      </c>
      <c r="I143" s="1062">
        <f t="shared" si="13"/>
        <v>4147.4160000000002</v>
      </c>
      <c r="J143" s="1291"/>
    </row>
    <row r="144" spans="1:10" s="1066" customFormat="1" ht="25.5">
      <c r="A144" s="1671"/>
      <c r="B144" s="1654"/>
      <c r="C144" s="1667" t="s">
        <v>1998</v>
      </c>
      <c r="D144" s="1137">
        <f t="shared" ref="D144:D146" si="14">G137</f>
        <v>1</v>
      </c>
      <c r="E144" s="1022" t="s">
        <v>94</v>
      </c>
      <c r="F144" s="1137">
        <f>'Civil-SOR'!$G$51</f>
        <v>336</v>
      </c>
      <c r="G144" s="1022">
        <v>1</v>
      </c>
      <c r="H144" s="1022" t="s">
        <v>94</v>
      </c>
      <c r="I144" s="1062">
        <f t="shared" si="13"/>
        <v>336</v>
      </c>
      <c r="J144" s="1291"/>
    </row>
    <row r="145" spans="1:10" s="1066" customFormat="1" ht="25.5">
      <c r="A145" s="1671"/>
      <c r="B145" s="1654"/>
      <c r="C145" s="1667" t="s">
        <v>1999</v>
      </c>
      <c r="D145" s="1137">
        <f t="shared" si="14"/>
        <v>6</v>
      </c>
      <c r="E145" s="1022" t="s">
        <v>197</v>
      </c>
      <c r="F145" s="1137">
        <f>'Civil-SOR'!$G$382</f>
        <v>26</v>
      </c>
      <c r="G145" s="1022">
        <v>1</v>
      </c>
      <c r="H145" s="1022" t="s">
        <v>197</v>
      </c>
      <c r="I145" s="1062">
        <f t="shared" si="13"/>
        <v>156</v>
      </c>
      <c r="J145" s="1291"/>
    </row>
    <row r="146" spans="1:10" s="1066" customFormat="1" ht="25.5">
      <c r="A146" s="1671"/>
      <c r="B146" s="1654"/>
      <c r="C146" s="1667" t="s">
        <v>2000</v>
      </c>
      <c r="D146" s="1138">
        <f t="shared" si="14"/>
        <v>3.895</v>
      </c>
      <c r="E146" s="1022" t="s">
        <v>94</v>
      </c>
      <c r="F146" s="1137">
        <f>'Civil-SOR'!$G$115</f>
        <v>1509</v>
      </c>
      <c r="G146" s="1022">
        <v>1</v>
      </c>
      <c r="H146" s="1022" t="s">
        <v>94</v>
      </c>
      <c r="I146" s="1062">
        <f t="shared" si="13"/>
        <v>5877.5550000000003</v>
      </c>
      <c r="J146" s="1291"/>
    </row>
    <row r="147" spans="1:10" s="1066" customFormat="1" ht="25.5">
      <c r="A147" s="1671"/>
      <c r="B147" s="1654"/>
      <c r="C147" s="1667" t="s">
        <v>2001</v>
      </c>
      <c r="D147" s="1076">
        <v>6</v>
      </c>
      <c r="E147" s="1022" t="s">
        <v>36</v>
      </c>
      <c r="F147" s="1137">
        <f>'Civil-SOR'!$G$385</f>
        <v>37</v>
      </c>
      <c r="G147" s="1022"/>
      <c r="H147" s="1022" t="s">
        <v>501</v>
      </c>
      <c r="I147" s="1062">
        <f t="shared" si="13"/>
        <v>222</v>
      </c>
      <c r="J147" s="1291"/>
    </row>
    <row r="148" spans="1:10" s="1066" customFormat="1" ht="25.5">
      <c r="A148" s="1671"/>
      <c r="B148" s="1654"/>
      <c r="C148" s="1667" t="s">
        <v>2002</v>
      </c>
      <c r="D148" s="1076">
        <v>2</v>
      </c>
      <c r="E148" s="1022" t="s">
        <v>36</v>
      </c>
      <c r="F148" s="1137">
        <f>'Civil-SOR'!$G$151</f>
        <v>358</v>
      </c>
      <c r="G148" s="1022"/>
      <c r="H148" s="1022" t="s">
        <v>501</v>
      </c>
      <c r="I148" s="1062">
        <f t="shared" si="13"/>
        <v>716</v>
      </c>
      <c r="J148" s="1291"/>
    </row>
    <row r="149" spans="1:10" s="1066" customFormat="1" ht="25.5">
      <c r="A149" s="1671"/>
      <c r="B149" s="1654"/>
      <c r="C149" s="1667" t="s">
        <v>2003</v>
      </c>
      <c r="D149" s="1076">
        <v>1</v>
      </c>
      <c r="E149" s="1022" t="s">
        <v>39</v>
      </c>
      <c r="F149" s="1137">
        <f>'Civil-SOR'!$G$150</f>
        <v>268</v>
      </c>
      <c r="G149" s="1022"/>
      <c r="H149" s="1022" t="s">
        <v>501</v>
      </c>
      <c r="I149" s="1062">
        <f t="shared" si="13"/>
        <v>268</v>
      </c>
      <c r="J149" s="1291"/>
    </row>
    <row r="150" spans="1:10" s="1066" customFormat="1" ht="25.5">
      <c r="A150" s="1671"/>
      <c r="B150" s="1654"/>
      <c r="C150" s="1667" t="s">
        <v>2004</v>
      </c>
      <c r="D150" s="1076">
        <v>6</v>
      </c>
      <c r="E150" s="1022" t="s">
        <v>36</v>
      </c>
      <c r="F150" s="1137">
        <f>'Civil-SOR'!$G$158</f>
        <v>396</v>
      </c>
      <c r="G150" s="1022"/>
      <c r="H150" s="1022" t="s">
        <v>501</v>
      </c>
      <c r="I150" s="1062">
        <f t="shared" si="13"/>
        <v>2376</v>
      </c>
      <c r="J150" s="1291"/>
    </row>
    <row r="151" spans="1:10" s="1066" customFormat="1" ht="25.5">
      <c r="A151" s="1671"/>
      <c r="B151" s="1654"/>
      <c r="C151" s="1667" t="s">
        <v>2005</v>
      </c>
      <c r="D151" s="1076">
        <v>1</v>
      </c>
      <c r="E151" s="1022" t="s">
        <v>39</v>
      </c>
      <c r="F151" s="1137">
        <f>'Civil-SOR'!$G$169</f>
        <v>1321</v>
      </c>
      <c r="G151" s="1022"/>
      <c r="H151" s="1022" t="s">
        <v>501</v>
      </c>
      <c r="I151" s="1062">
        <f t="shared" si="13"/>
        <v>1321</v>
      </c>
      <c r="J151" s="1291"/>
    </row>
    <row r="152" spans="1:10" s="1066" customFormat="1" ht="25.5">
      <c r="A152" s="1671"/>
      <c r="B152" s="1654"/>
      <c r="C152" s="1667" t="s">
        <v>2006</v>
      </c>
      <c r="D152" s="1076">
        <v>2</v>
      </c>
      <c r="E152" s="1022" t="s">
        <v>36</v>
      </c>
      <c r="F152" s="1137">
        <f>'Civil-SOR'!$G$167</f>
        <v>346</v>
      </c>
      <c r="G152" s="1022"/>
      <c r="H152" s="1022" t="s">
        <v>501</v>
      </c>
      <c r="I152" s="1062">
        <f t="shared" si="13"/>
        <v>692</v>
      </c>
      <c r="J152" s="1291"/>
    </row>
    <row r="153" spans="1:10" s="1066" customFormat="1" ht="25.5">
      <c r="A153" s="1671"/>
      <c r="B153" s="1654"/>
      <c r="C153" s="1667" t="s">
        <v>2007</v>
      </c>
      <c r="D153" s="1076">
        <v>2</v>
      </c>
      <c r="E153" s="1022" t="s">
        <v>36</v>
      </c>
      <c r="F153" s="1137">
        <f>'Civil-SOR'!$G$176</f>
        <v>205</v>
      </c>
      <c r="G153" s="1022"/>
      <c r="H153" s="1022" t="s">
        <v>501</v>
      </c>
      <c r="I153" s="1062">
        <f t="shared" si="13"/>
        <v>410</v>
      </c>
      <c r="J153" s="1291"/>
    </row>
    <row r="154" spans="1:10" s="1066" customFormat="1" ht="25.5">
      <c r="A154" s="1671"/>
      <c r="B154" s="1654"/>
      <c r="C154" s="1667" t="s">
        <v>2008</v>
      </c>
      <c r="D154" s="1076">
        <v>2</v>
      </c>
      <c r="E154" s="1022" t="s">
        <v>36</v>
      </c>
      <c r="F154" s="1137">
        <f>'Civil-SOR'!$G$386</f>
        <v>12</v>
      </c>
      <c r="G154" s="1022"/>
      <c r="H154" s="1022" t="s">
        <v>501</v>
      </c>
      <c r="I154" s="1062">
        <f t="shared" si="13"/>
        <v>24</v>
      </c>
      <c r="J154" s="1291"/>
    </row>
    <row r="155" spans="1:10" s="1066" customFormat="1">
      <c r="A155" s="1671"/>
      <c r="B155" s="1654"/>
      <c r="C155" s="1667" t="s">
        <v>2009</v>
      </c>
      <c r="D155" s="1137">
        <f>G140</f>
        <v>3.14</v>
      </c>
      <c r="E155" s="1022" t="s">
        <v>1110</v>
      </c>
      <c r="F155" s="1137">
        <f>LEAD!$N$10</f>
        <v>61000</v>
      </c>
      <c r="G155" s="1022">
        <v>1000</v>
      </c>
      <c r="H155" s="1022" t="s">
        <v>1110</v>
      </c>
      <c r="I155" s="1062">
        <f t="shared" si="13"/>
        <v>191.54</v>
      </c>
      <c r="J155" s="1291"/>
    </row>
    <row r="156" spans="1:10" s="1066" customFormat="1">
      <c r="A156" s="1671"/>
      <c r="B156" s="1654"/>
      <c r="C156" s="1667" t="s">
        <v>2010</v>
      </c>
      <c r="D156" s="1557">
        <f>G136</f>
        <v>6.318E-2</v>
      </c>
      <c r="E156" s="1022" t="s">
        <v>75</v>
      </c>
      <c r="F156" s="1137">
        <f>$I$8</f>
        <v>15027.85</v>
      </c>
      <c r="G156" s="1022">
        <v>1</v>
      </c>
      <c r="H156" s="1022" t="s">
        <v>75</v>
      </c>
      <c r="I156" s="1062">
        <f t="shared" si="13"/>
        <v>949.459563</v>
      </c>
      <c r="J156" s="1291"/>
    </row>
    <row r="157" spans="1:10" s="1066" customFormat="1">
      <c r="A157" s="1671"/>
      <c r="B157" s="1654"/>
      <c r="C157" s="1667" t="str">
        <f>Input!$C$47</f>
        <v>Add for MA @ 40%</v>
      </c>
      <c r="D157" s="1137">
        <f>Input!$D$47</f>
        <v>0.4</v>
      </c>
      <c r="E157" s="1022"/>
      <c r="F157" s="1137">
        <f>I156</f>
        <v>949.459563</v>
      </c>
      <c r="G157" s="1022"/>
      <c r="H157" s="1022"/>
      <c r="I157" s="1062">
        <f t="shared" si="13"/>
        <v>379.78382520000002</v>
      </c>
      <c r="J157" s="1291"/>
    </row>
    <row r="158" spans="1:10" s="1066" customFormat="1" ht="38.25">
      <c r="A158" s="1671"/>
      <c r="B158" s="1654"/>
      <c r="C158" s="1670" t="s">
        <v>2011</v>
      </c>
      <c r="D158" s="1138">
        <f>G139</f>
        <v>3.895</v>
      </c>
      <c r="E158" s="1022" t="s">
        <v>94</v>
      </c>
      <c r="F158" s="1137">
        <f>'Civil-SOR'!$G$206</f>
        <v>550</v>
      </c>
      <c r="G158" s="1022">
        <v>1</v>
      </c>
      <c r="H158" s="1022" t="s">
        <v>94</v>
      </c>
      <c r="I158" s="1062">
        <f t="shared" si="13"/>
        <v>2142.25</v>
      </c>
      <c r="J158" s="1291"/>
    </row>
    <row r="159" spans="1:10" s="1066" customFormat="1" ht="14.45" customHeight="1">
      <c r="A159" s="1671"/>
      <c r="B159" s="1654"/>
      <c r="C159" s="1667" t="str">
        <f>Input!$C$47</f>
        <v>Add for MA @ 40%</v>
      </c>
      <c r="D159" s="1137">
        <f>Input!$D$47</f>
        <v>0.4</v>
      </c>
      <c r="E159" s="1022"/>
      <c r="F159" s="1137">
        <f>I158</f>
        <v>2142.25</v>
      </c>
      <c r="G159" s="1022"/>
      <c r="H159" s="1022"/>
      <c r="I159" s="1062">
        <f t="shared" si="13"/>
        <v>856.90000000000009</v>
      </c>
      <c r="J159" s="1291"/>
    </row>
    <row r="160" spans="1:10" s="1066" customFormat="1" ht="13.15" customHeight="1">
      <c r="A160" s="1671"/>
      <c r="B160" s="1654"/>
      <c r="C160" s="1667" t="s">
        <v>2012</v>
      </c>
      <c r="D160" s="1137">
        <f>G137</f>
        <v>1</v>
      </c>
      <c r="E160" s="1022" t="s">
        <v>94</v>
      </c>
      <c r="F160" s="1137">
        <f>'Civil-SOR'!$G$207</f>
        <v>410</v>
      </c>
      <c r="G160" s="1022">
        <v>1</v>
      </c>
      <c r="H160" s="1022" t="s">
        <v>94</v>
      </c>
      <c r="I160" s="1062">
        <f t="shared" si="13"/>
        <v>410</v>
      </c>
      <c r="J160" s="1291"/>
    </row>
    <row r="161" spans="1:11" s="1066" customFormat="1" ht="13.9" customHeight="1">
      <c r="A161" s="1671"/>
      <c r="B161" s="1654"/>
      <c r="C161" s="1667" t="str">
        <f>Input!$C$47</f>
        <v>Add for MA @ 40%</v>
      </c>
      <c r="D161" s="1137">
        <f>Input!$D$47</f>
        <v>0.4</v>
      </c>
      <c r="E161" s="1022"/>
      <c r="F161" s="1137">
        <f>I160</f>
        <v>410</v>
      </c>
      <c r="G161" s="1022"/>
      <c r="H161" s="1022"/>
      <c r="I161" s="1062">
        <f t="shared" si="13"/>
        <v>164</v>
      </c>
      <c r="J161" s="1291"/>
    </row>
    <row r="162" spans="1:11" s="1066" customFormat="1" ht="13.15" customHeight="1">
      <c r="A162" s="1671"/>
      <c r="B162" s="1654"/>
      <c r="C162" s="1667" t="s">
        <v>2013</v>
      </c>
      <c r="D162" s="1137"/>
      <c r="E162" s="1022"/>
      <c r="F162" s="1137"/>
      <c r="G162" s="1022"/>
      <c r="H162" s="1022"/>
      <c r="I162" s="1672"/>
      <c r="J162" s="1291"/>
    </row>
    <row r="163" spans="1:11" s="1066" customFormat="1" ht="14.45" customHeight="1">
      <c r="A163" s="1671"/>
      <c r="B163" s="1654"/>
      <c r="C163" s="1662" t="s">
        <v>2014</v>
      </c>
      <c r="D163" s="1137"/>
      <c r="E163" s="1022"/>
      <c r="F163" s="1137"/>
      <c r="G163" s="1022"/>
      <c r="H163" s="1022"/>
      <c r="I163" s="1035">
        <f>SUM(I142:I162)</f>
        <v>26761.298588200003</v>
      </c>
      <c r="J163" s="1291"/>
    </row>
    <row r="164" spans="1:11" s="1066" customFormat="1" ht="14.45" customHeight="1">
      <c r="A164" s="1671"/>
      <c r="B164" s="1654"/>
      <c r="C164" s="1667" t="str">
        <f>Input!$C$48</f>
        <v>Overheads &amp; Contractors Profit @ 13.615%</v>
      </c>
      <c r="D164" s="1557">
        <f>Input!$D$48</f>
        <v>0.13614999999999999</v>
      </c>
      <c r="E164" s="1022"/>
      <c r="F164" s="1137">
        <f>I163</f>
        <v>26761.298588200003</v>
      </c>
      <c r="G164" s="1022"/>
      <c r="H164" s="1022"/>
      <c r="I164" s="1062">
        <f>IF(G164="",D164*F164,(D164*F164/G164))</f>
        <v>3643.5508027834303</v>
      </c>
      <c r="J164" s="1291"/>
    </row>
    <row r="165" spans="1:11" s="1066" customFormat="1" ht="13.9" customHeight="1">
      <c r="A165" s="1671"/>
      <c r="B165" s="1654"/>
      <c r="C165" s="1667"/>
      <c r="D165" s="1137"/>
      <c r="E165" s="1022"/>
      <c r="F165" s="1137"/>
      <c r="G165" s="1022"/>
      <c r="H165" s="1022"/>
      <c r="I165" s="1672">
        <f>SUM(I163:I164)</f>
        <v>30404.849390983432</v>
      </c>
      <c r="J165" s="1291"/>
    </row>
    <row r="166" spans="1:11" s="1066" customFormat="1" ht="14.45" customHeight="1">
      <c r="A166" s="1671"/>
      <c r="B166" s="1654"/>
      <c r="C166" s="1662" t="s">
        <v>1525</v>
      </c>
      <c r="D166" s="1137"/>
      <c r="E166" s="1022"/>
      <c r="F166" s="1137"/>
      <c r="G166" s="1022"/>
      <c r="H166" s="1022"/>
      <c r="I166" s="1672">
        <f>I165/H130</f>
        <v>5847.0864213429677</v>
      </c>
      <c r="J166" s="1291"/>
    </row>
    <row r="167" spans="1:11" s="1066" customFormat="1" ht="14.45" customHeight="1">
      <c r="A167" s="1671"/>
      <c r="B167" s="1654"/>
      <c r="C167" s="1667"/>
      <c r="D167" s="1137"/>
      <c r="E167" s="1022"/>
      <c r="F167" s="1137"/>
      <c r="G167" s="2075" t="s">
        <v>1096</v>
      </c>
      <c r="H167" s="2075"/>
      <c r="I167" s="1040">
        <f>ROUND(I166,0)</f>
        <v>5847</v>
      </c>
      <c r="J167" s="1291"/>
    </row>
    <row r="168" spans="1:11" s="1066" customFormat="1" ht="14.65" customHeight="1">
      <c r="A168" s="1671"/>
      <c r="B168" s="1654"/>
      <c r="C168" s="1667"/>
      <c r="D168" s="1060"/>
      <c r="E168" s="1178"/>
      <c r="F168" s="1060"/>
      <c r="G168" s="1063"/>
      <c r="H168" s="1178"/>
      <c r="I168" s="1062"/>
    </row>
    <row r="169" spans="1:11" s="1066" customFormat="1" ht="86.45" customHeight="1">
      <c r="A169" s="1671">
        <f>A127+1</f>
        <v>2</v>
      </c>
      <c r="B169" s="1654"/>
      <c r="C169" s="2036" t="s">
        <v>3506</v>
      </c>
      <c r="D169" s="2036"/>
      <c r="E169" s="2036"/>
      <c r="F169" s="2036"/>
      <c r="G169" s="2036"/>
      <c r="H169" s="2036"/>
      <c r="I169" s="1078"/>
    </row>
    <row r="170" spans="1:11" s="1066" customFormat="1" ht="120" customHeight="1">
      <c r="A170" s="1671"/>
      <c r="B170" s="1654"/>
      <c r="C170" s="2037" t="s">
        <v>3507</v>
      </c>
      <c r="D170" s="2037"/>
      <c r="E170" s="2037"/>
      <c r="F170" s="2037"/>
      <c r="G170" s="2037"/>
      <c r="H170" s="2037"/>
      <c r="I170" s="1022"/>
    </row>
    <row r="171" spans="1:11" s="1066" customFormat="1" ht="14.65" customHeight="1">
      <c r="A171" s="1671"/>
      <c r="B171" s="1654"/>
      <c r="C171" s="1662" t="s">
        <v>1981</v>
      </c>
      <c r="D171" s="2091"/>
      <c r="E171" s="2091"/>
      <c r="F171" s="2091"/>
      <c r="G171" s="1022"/>
      <c r="H171" s="1022"/>
      <c r="I171" s="1671"/>
      <c r="K171" s="1066">
        <f>2*2.41</f>
        <v>4.82</v>
      </c>
    </row>
    <row r="172" spans="1:11" s="1066" customFormat="1" ht="13.9" customHeight="1">
      <c r="A172" s="1671"/>
      <c r="B172" s="1654"/>
      <c r="C172" s="1662" t="s">
        <v>1935</v>
      </c>
      <c r="D172" s="1556" t="s">
        <v>1982</v>
      </c>
      <c r="E172" s="2070" t="s">
        <v>1983</v>
      </c>
      <c r="F172" s="2070"/>
      <c r="G172" s="1022"/>
      <c r="H172" s="1556">
        <f>2*2.6</f>
        <v>5.2</v>
      </c>
      <c r="I172" s="1553" t="s">
        <v>94</v>
      </c>
      <c r="K172" s="1558">
        <f>2*2.61</f>
        <v>5.22</v>
      </c>
    </row>
    <row r="173" spans="1:11" s="1066" customFormat="1" ht="14.25" customHeight="1">
      <c r="A173" s="1671"/>
      <c r="B173" s="1654"/>
      <c r="C173" s="1667" t="s">
        <v>1984</v>
      </c>
      <c r="D173" s="2077" t="s">
        <v>1985</v>
      </c>
      <c r="E173" s="2077"/>
      <c r="F173" s="2077"/>
      <c r="G173" s="1022"/>
      <c r="H173" s="1022"/>
      <c r="I173" s="1672"/>
      <c r="K173" s="1066">
        <f>4.82*0.1*0.065</f>
        <v>3.1330000000000004E-2</v>
      </c>
    </row>
    <row r="174" spans="1:11" s="1066" customFormat="1" ht="18" customHeight="1">
      <c r="A174" s="1671"/>
      <c r="B174" s="1654"/>
      <c r="C174" s="1667"/>
      <c r="D174" s="2077" t="s">
        <v>2015</v>
      </c>
      <c r="E174" s="2077"/>
      <c r="F174" s="2077"/>
      <c r="G174" s="2104">
        <f>ROUND(5.22*0.1*0.065,5)</f>
        <v>3.3930000000000002E-2</v>
      </c>
      <c r="H174" s="2104"/>
      <c r="I174" s="1659" t="s">
        <v>75</v>
      </c>
    </row>
    <row r="175" spans="1:11" s="1066" customFormat="1" ht="14.45" customHeight="1">
      <c r="A175" s="1671"/>
      <c r="B175" s="1654"/>
      <c r="C175" s="1667" t="s">
        <v>1987</v>
      </c>
      <c r="D175" s="2077" t="s">
        <v>1988</v>
      </c>
      <c r="E175" s="2077"/>
      <c r="F175" s="2077"/>
      <c r="G175" s="2107"/>
      <c r="H175" s="2107"/>
      <c r="I175" s="1659"/>
    </row>
    <row r="176" spans="1:11" s="1066" customFormat="1" ht="14.45" customHeight="1">
      <c r="A176" s="1671"/>
      <c r="B176" s="1654"/>
      <c r="C176" s="1667"/>
      <c r="D176" s="2077" t="s">
        <v>2016</v>
      </c>
      <c r="E176" s="2077"/>
      <c r="F176" s="2077"/>
      <c r="G176" s="2104">
        <f>ROUND(4.5*0.1*0.065,5)</f>
        <v>2.9250000000000002E-2</v>
      </c>
      <c r="H176" s="2104"/>
      <c r="I176" s="1659" t="s">
        <v>75</v>
      </c>
      <c r="K176" s="1066">
        <f>4.5*0.1*0.065</f>
        <v>2.9250000000000002E-2</v>
      </c>
    </row>
    <row r="177" spans="1:10" s="1066" customFormat="1" ht="12.6" customHeight="1">
      <c r="A177" s="1671"/>
      <c r="B177" s="1654"/>
      <c r="C177" s="1667"/>
      <c r="D177" s="2077"/>
      <c r="E177" s="2077"/>
      <c r="F177" s="2077"/>
      <c r="G177" s="2110">
        <f>+SUM(G174:G176)</f>
        <v>6.318E-2</v>
      </c>
      <c r="H177" s="2110"/>
      <c r="I177" s="1659" t="s">
        <v>75</v>
      </c>
    </row>
    <row r="178" spans="1:10" s="1066" customFormat="1" ht="13.9" customHeight="1">
      <c r="A178" s="1671"/>
      <c r="B178" s="1654"/>
      <c r="C178" s="1667" t="s">
        <v>1990</v>
      </c>
      <c r="D178" s="2077" t="s">
        <v>2017</v>
      </c>
      <c r="E178" s="2077"/>
      <c r="F178" s="2077"/>
      <c r="G178" s="2076">
        <f>ROUND(2*1*0.5,2)</f>
        <v>1</v>
      </c>
      <c r="H178" s="2076"/>
      <c r="I178" s="1553" t="s">
        <v>94</v>
      </c>
    </row>
    <row r="179" spans="1:10" s="1066" customFormat="1" ht="13.9" customHeight="1">
      <c r="A179" s="1671"/>
      <c r="B179" s="1654"/>
      <c r="C179" s="1667" t="s">
        <v>1992</v>
      </c>
      <c r="D179" s="2077" t="s">
        <v>2018</v>
      </c>
      <c r="E179" s="2077"/>
      <c r="F179" s="2077"/>
      <c r="G179" s="2076">
        <f>ROUND(2*2*(1+0.5),2)</f>
        <v>6</v>
      </c>
      <c r="H179" s="2076"/>
      <c r="I179" s="1553" t="s">
        <v>197</v>
      </c>
    </row>
    <row r="180" spans="1:10" s="1066" customFormat="1" ht="13.9" customHeight="1">
      <c r="A180" s="1671"/>
      <c r="B180" s="1654"/>
      <c r="C180" s="1667" t="s">
        <v>1994</v>
      </c>
      <c r="D180" s="2077" t="s">
        <v>2019</v>
      </c>
      <c r="E180" s="2077"/>
      <c r="F180" s="2077"/>
      <c r="G180" s="2107">
        <f>ROUND(2*0.95*2.05,3)</f>
        <v>3.895</v>
      </c>
      <c r="H180" s="2107"/>
      <c r="I180" s="1553" t="s">
        <v>94</v>
      </c>
    </row>
    <row r="181" spans="1:10" s="1066" customFormat="1" ht="13.9" customHeight="1">
      <c r="A181" s="1671"/>
      <c r="B181" s="1654"/>
      <c r="C181" s="1667" t="s">
        <v>1996</v>
      </c>
      <c r="D181" s="2108" t="s">
        <v>2020</v>
      </c>
      <c r="E181" s="2108"/>
      <c r="F181" s="2108"/>
      <c r="G181" s="2098">
        <f>ROUND(2*2*0.785,3)</f>
        <v>3.14</v>
      </c>
      <c r="H181" s="2098"/>
      <c r="I181" s="1553" t="s">
        <v>1110</v>
      </c>
    </row>
    <row r="182" spans="1:10" s="1066" customFormat="1" ht="15.95" customHeight="1">
      <c r="A182" s="1671"/>
      <c r="B182" s="1654"/>
      <c r="C182" s="1662" t="s">
        <v>1965</v>
      </c>
      <c r="D182" s="1137"/>
      <c r="E182" s="1022"/>
      <c r="F182" s="1137"/>
      <c r="G182" s="1022"/>
      <c r="H182" s="1022"/>
      <c r="I182" s="1672"/>
    </row>
    <row r="183" spans="1:10" s="1066" customFormat="1">
      <c r="A183" s="1671"/>
      <c r="B183" s="1654"/>
      <c r="C183" s="1667" t="s">
        <v>1966</v>
      </c>
      <c r="D183" s="1557">
        <f>G174</f>
        <v>3.3930000000000002E-2</v>
      </c>
      <c r="E183" s="1022" t="s">
        <v>75</v>
      </c>
      <c r="F183" s="1137">
        <f>'Civil-SOR'!$G$26</f>
        <v>91479</v>
      </c>
      <c r="G183" s="1022">
        <v>1</v>
      </c>
      <c r="H183" s="1022" t="s">
        <v>75</v>
      </c>
      <c r="I183" s="1062">
        <f t="shared" ref="I183:I202" si="15">IF(G183="",D183*F183,(D183*F183/G183))</f>
        <v>3103.88247</v>
      </c>
      <c r="J183" s="1291"/>
    </row>
    <row r="184" spans="1:10" s="1066" customFormat="1">
      <c r="A184" s="1671"/>
      <c r="B184" s="1654"/>
      <c r="C184" s="1667" t="s">
        <v>1967</v>
      </c>
      <c r="D184" s="1557">
        <f>G176</f>
        <v>2.9250000000000002E-2</v>
      </c>
      <c r="E184" s="1022" t="s">
        <v>75</v>
      </c>
      <c r="F184" s="1137">
        <f>'Civil-SOR'!$G$25</f>
        <v>82331</v>
      </c>
      <c r="G184" s="1022">
        <v>1</v>
      </c>
      <c r="H184" s="1022" t="s">
        <v>75</v>
      </c>
      <c r="I184" s="1062">
        <f t="shared" si="15"/>
        <v>2408.1817500000002</v>
      </c>
      <c r="J184" s="1291"/>
    </row>
    <row r="185" spans="1:10" s="1066" customFormat="1" ht="25.5">
      <c r="A185" s="1671"/>
      <c r="B185" s="1654"/>
      <c r="C185" s="1667" t="s">
        <v>1998</v>
      </c>
      <c r="D185" s="1138">
        <f t="shared" ref="D185:D187" si="16">G178</f>
        <v>1</v>
      </c>
      <c r="E185" s="1022" t="s">
        <v>94</v>
      </c>
      <c r="F185" s="1137">
        <f>'Civil-SOR'!$G$51</f>
        <v>336</v>
      </c>
      <c r="G185" s="1022">
        <v>1</v>
      </c>
      <c r="H185" s="1022" t="s">
        <v>94</v>
      </c>
      <c r="I185" s="1062">
        <f t="shared" si="15"/>
        <v>336</v>
      </c>
      <c r="J185" s="1291"/>
    </row>
    <row r="186" spans="1:10" s="1066" customFormat="1" ht="25.5">
      <c r="A186" s="1671"/>
      <c r="B186" s="1654"/>
      <c r="C186" s="1667" t="s">
        <v>1999</v>
      </c>
      <c r="D186" s="1137">
        <f t="shared" si="16"/>
        <v>6</v>
      </c>
      <c r="E186" s="1022" t="s">
        <v>197</v>
      </c>
      <c r="F186" s="1137">
        <f>'Civil-SOR'!$G$382</f>
        <v>26</v>
      </c>
      <c r="G186" s="1022">
        <v>1</v>
      </c>
      <c r="H186" s="1022" t="s">
        <v>197</v>
      </c>
      <c r="I186" s="1062">
        <f t="shared" si="15"/>
        <v>156</v>
      </c>
      <c r="J186" s="1291"/>
    </row>
    <row r="187" spans="1:10" s="1066" customFormat="1" ht="25.5">
      <c r="A187" s="1671"/>
      <c r="B187" s="1654"/>
      <c r="C187" s="1667" t="s">
        <v>2000</v>
      </c>
      <c r="D187" s="1138">
        <f t="shared" si="16"/>
        <v>3.895</v>
      </c>
      <c r="E187" s="1022" t="s">
        <v>94</v>
      </c>
      <c r="F187" s="1137">
        <f>'Civil-SOR'!$G$115</f>
        <v>1509</v>
      </c>
      <c r="G187" s="1022">
        <v>1</v>
      </c>
      <c r="H187" s="1022" t="s">
        <v>94</v>
      </c>
      <c r="I187" s="1062">
        <f t="shared" si="15"/>
        <v>5877.5550000000003</v>
      </c>
      <c r="J187" s="1291"/>
    </row>
    <row r="188" spans="1:10" s="1066" customFormat="1" ht="25.5">
      <c r="A188" s="1671"/>
      <c r="B188" s="1654"/>
      <c r="C188" s="1667" t="s">
        <v>2001</v>
      </c>
      <c r="D188" s="1076">
        <v>6</v>
      </c>
      <c r="E188" s="1022" t="s">
        <v>36</v>
      </c>
      <c r="F188" s="1137">
        <f>'Civil-SOR'!$G$385</f>
        <v>37</v>
      </c>
      <c r="G188" s="1022"/>
      <c r="H188" s="1022" t="s">
        <v>501</v>
      </c>
      <c r="I188" s="1062">
        <f t="shared" si="15"/>
        <v>222</v>
      </c>
      <c r="J188" s="1291"/>
    </row>
    <row r="189" spans="1:10" s="1066" customFormat="1" ht="25.5">
      <c r="A189" s="1671"/>
      <c r="B189" s="1654"/>
      <c r="C189" s="1667" t="s">
        <v>2002</v>
      </c>
      <c r="D189" s="1076">
        <v>2</v>
      </c>
      <c r="E189" s="1022" t="s">
        <v>36</v>
      </c>
      <c r="F189" s="1137">
        <f>'Civil-SOR'!$G$151</f>
        <v>358</v>
      </c>
      <c r="G189" s="1022"/>
      <c r="H189" s="1022" t="s">
        <v>501</v>
      </c>
      <c r="I189" s="1062">
        <f t="shared" si="15"/>
        <v>716</v>
      </c>
      <c r="J189" s="1291"/>
    </row>
    <row r="190" spans="1:10" s="1066" customFormat="1" ht="25.5">
      <c r="A190" s="1671"/>
      <c r="B190" s="1654"/>
      <c r="C190" s="1667" t="s">
        <v>2003</v>
      </c>
      <c r="D190" s="1076">
        <v>1</v>
      </c>
      <c r="E190" s="1022" t="s">
        <v>39</v>
      </c>
      <c r="F190" s="1137">
        <f>'Civil-SOR'!$G$150</f>
        <v>268</v>
      </c>
      <c r="G190" s="1022"/>
      <c r="H190" s="1022" t="s">
        <v>501</v>
      </c>
      <c r="I190" s="1062">
        <f t="shared" si="15"/>
        <v>268</v>
      </c>
      <c r="J190" s="1291"/>
    </row>
    <row r="191" spans="1:10" s="1066" customFormat="1" ht="25.5">
      <c r="A191" s="1671"/>
      <c r="B191" s="1654"/>
      <c r="C191" s="1667" t="s">
        <v>2004</v>
      </c>
      <c r="D191" s="1076">
        <v>6</v>
      </c>
      <c r="E191" s="1022" t="s">
        <v>36</v>
      </c>
      <c r="F191" s="1137">
        <f>'Civil-SOR'!$G$158</f>
        <v>396</v>
      </c>
      <c r="G191" s="1022"/>
      <c r="H191" s="1022" t="s">
        <v>501</v>
      </c>
      <c r="I191" s="1062">
        <f t="shared" si="15"/>
        <v>2376</v>
      </c>
      <c r="J191" s="1291"/>
    </row>
    <row r="192" spans="1:10" s="1066" customFormat="1" ht="25.5">
      <c r="A192" s="1671"/>
      <c r="B192" s="1654"/>
      <c r="C192" s="1667" t="s">
        <v>2005</v>
      </c>
      <c r="D192" s="1076">
        <v>1</v>
      </c>
      <c r="E192" s="1022" t="s">
        <v>39</v>
      </c>
      <c r="F192" s="1137">
        <f>'Civil-SOR'!$G$169</f>
        <v>1321</v>
      </c>
      <c r="G192" s="1022"/>
      <c r="H192" s="1022" t="s">
        <v>501</v>
      </c>
      <c r="I192" s="1062">
        <f t="shared" si="15"/>
        <v>1321</v>
      </c>
      <c r="J192" s="1291"/>
    </row>
    <row r="193" spans="1:10" s="1066" customFormat="1" ht="25.5">
      <c r="A193" s="1671"/>
      <c r="B193" s="1654"/>
      <c r="C193" s="1667" t="s">
        <v>2006</v>
      </c>
      <c r="D193" s="1076">
        <v>2</v>
      </c>
      <c r="E193" s="1022" t="s">
        <v>36</v>
      </c>
      <c r="F193" s="1137">
        <f>'Civil-SOR'!$G$167</f>
        <v>346</v>
      </c>
      <c r="G193" s="1022"/>
      <c r="H193" s="1022" t="s">
        <v>501</v>
      </c>
      <c r="I193" s="1062">
        <f t="shared" si="15"/>
        <v>692</v>
      </c>
      <c r="J193" s="1291"/>
    </row>
    <row r="194" spans="1:10" s="1066" customFormat="1" ht="25.5">
      <c r="A194" s="1671"/>
      <c r="B194" s="1654"/>
      <c r="C194" s="1667" t="s">
        <v>2007</v>
      </c>
      <c r="D194" s="1076">
        <v>2</v>
      </c>
      <c r="E194" s="1022" t="s">
        <v>36</v>
      </c>
      <c r="F194" s="1137">
        <f>'Civil-SOR'!$G$176</f>
        <v>205</v>
      </c>
      <c r="G194" s="1022"/>
      <c r="H194" s="1022" t="s">
        <v>501</v>
      </c>
      <c r="I194" s="1062">
        <f t="shared" si="15"/>
        <v>410</v>
      </c>
      <c r="J194" s="1291"/>
    </row>
    <row r="195" spans="1:10" s="1066" customFormat="1" ht="25.5">
      <c r="A195" s="1671"/>
      <c r="B195" s="1654"/>
      <c r="C195" s="1667" t="s">
        <v>2008</v>
      </c>
      <c r="D195" s="1076">
        <v>2</v>
      </c>
      <c r="E195" s="1022" t="s">
        <v>36</v>
      </c>
      <c r="F195" s="1137">
        <f>'Civil-SOR'!$G$386</f>
        <v>12</v>
      </c>
      <c r="G195" s="1022"/>
      <c r="H195" s="1022" t="s">
        <v>501</v>
      </c>
      <c r="I195" s="1062">
        <f t="shared" si="15"/>
        <v>24</v>
      </c>
      <c r="J195" s="1291"/>
    </row>
    <row r="196" spans="1:10" s="1066" customFormat="1">
      <c r="A196" s="1671"/>
      <c r="B196" s="1654"/>
      <c r="C196" s="1667" t="s">
        <v>2009</v>
      </c>
      <c r="D196" s="1137">
        <f>G181</f>
        <v>3.14</v>
      </c>
      <c r="E196" s="1022" t="s">
        <v>1110</v>
      </c>
      <c r="F196" s="1137">
        <f>LEAD!$N$10</f>
        <v>61000</v>
      </c>
      <c r="G196" s="1022">
        <v>1000</v>
      </c>
      <c r="H196" s="1022" t="s">
        <v>1110</v>
      </c>
      <c r="I196" s="1062">
        <f t="shared" si="15"/>
        <v>191.54</v>
      </c>
      <c r="J196" s="1291"/>
    </row>
    <row r="197" spans="1:10" s="1066" customFormat="1">
      <c r="A197" s="1671"/>
      <c r="B197" s="1654"/>
      <c r="C197" s="1667" t="s">
        <v>2010</v>
      </c>
      <c r="D197" s="1557">
        <f>G177</f>
        <v>6.318E-2</v>
      </c>
      <c r="E197" s="1022" t="s">
        <v>75</v>
      </c>
      <c r="F197" s="1137">
        <f>$I$8</f>
        <v>15027.85</v>
      </c>
      <c r="G197" s="1022">
        <v>1</v>
      </c>
      <c r="H197" s="1022" t="s">
        <v>75</v>
      </c>
      <c r="I197" s="1062">
        <f t="shared" si="15"/>
        <v>949.459563</v>
      </c>
      <c r="J197" s="1291"/>
    </row>
    <row r="198" spans="1:10" s="1066" customFormat="1">
      <c r="A198" s="1671"/>
      <c r="B198" s="1654"/>
      <c r="C198" s="1667" t="str">
        <f>Input!$C$47</f>
        <v>Add for MA @ 40%</v>
      </c>
      <c r="D198" s="1137">
        <f>Input!$D$47</f>
        <v>0.4</v>
      </c>
      <c r="E198" s="1022"/>
      <c r="F198" s="1137">
        <f>I197</f>
        <v>949.459563</v>
      </c>
      <c r="G198" s="1022"/>
      <c r="H198" s="1022"/>
      <c r="I198" s="1062">
        <f t="shared" si="15"/>
        <v>379.78382520000002</v>
      </c>
      <c r="J198" s="1291"/>
    </row>
    <row r="199" spans="1:10" s="1066" customFormat="1" ht="38.25">
      <c r="A199" s="1671"/>
      <c r="B199" s="1654"/>
      <c r="C199" s="1670" t="s">
        <v>2011</v>
      </c>
      <c r="D199" s="1138">
        <f>G180</f>
        <v>3.895</v>
      </c>
      <c r="E199" s="1022" t="s">
        <v>94</v>
      </c>
      <c r="F199" s="1137">
        <f>'Civil-SOR'!$G$206</f>
        <v>550</v>
      </c>
      <c r="G199" s="1022">
        <v>1</v>
      </c>
      <c r="H199" s="1022" t="s">
        <v>94</v>
      </c>
      <c r="I199" s="1062">
        <f t="shared" si="15"/>
        <v>2142.25</v>
      </c>
      <c r="J199" s="1291"/>
    </row>
    <row r="200" spans="1:10" s="1066" customFormat="1">
      <c r="A200" s="1671"/>
      <c r="B200" s="1654"/>
      <c r="C200" s="1667" t="str">
        <f>Input!$C$47</f>
        <v>Add for MA @ 40%</v>
      </c>
      <c r="D200" s="1137">
        <f>Input!$D$47</f>
        <v>0.4</v>
      </c>
      <c r="E200" s="1022"/>
      <c r="F200" s="1137">
        <f>I199</f>
        <v>2142.25</v>
      </c>
      <c r="G200" s="1022"/>
      <c r="H200" s="1022"/>
      <c r="I200" s="1062">
        <f t="shared" si="15"/>
        <v>856.90000000000009</v>
      </c>
      <c r="J200" s="1291"/>
    </row>
    <row r="201" spans="1:10" s="1066" customFormat="1">
      <c r="A201" s="1671"/>
      <c r="B201" s="1654"/>
      <c r="C201" s="1667" t="s">
        <v>2012</v>
      </c>
      <c r="D201" s="1137">
        <f>G178</f>
        <v>1</v>
      </c>
      <c r="E201" s="1022" t="s">
        <v>94</v>
      </c>
      <c r="F201" s="1137">
        <f>'Civil-SOR'!$G$207</f>
        <v>410</v>
      </c>
      <c r="G201" s="1022">
        <v>1</v>
      </c>
      <c r="H201" s="1022" t="s">
        <v>94</v>
      </c>
      <c r="I201" s="1062">
        <f t="shared" si="15"/>
        <v>410</v>
      </c>
      <c r="J201" s="1291"/>
    </row>
    <row r="202" spans="1:10" s="1066" customFormat="1" ht="15" customHeight="1">
      <c r="A202" s="1671"/>
      <c r="B202" s="1654"/>
      <c r="C202" s="1667" t="str">
        <f>Input!$C$47</f>
        <v>Add for MA @ 40%</v>
      </c>
      <c r="D202" s="1137">
        <f>Input!$D$47</f>
        <v>0.4</v>
      </c>
      <c r="E202" s="1022"/>
      <c r="F202" s="1137">
        <f>I201</f>
        <v>410</v>
      </c>
      <c r="G202" s="1022"/>
      <c r="H202" s="1022"/>
      <c r="I202" s="1062">
        <f t="shared" si="15"/>
        <v>164</v>
      </c>
      <c r="J202" s="1291"/>
    </row>
    <row r="203" spans="1:10" s="1066" customFormat="1" ht="15.95" customHeight="1">
      <c r="A203" s="1671"/>
      <c r="B203" s="1654"/>
      <c r="C203" s="1667" t="s">
        <v>2013</v>
      </c>
      <c r="D203" s="1137"/>
      <c r="E203" s="1022"/>
      <c r="F203" s="1137"/>
      <c r="G203" s="1022"/>
      <c r="H203" s="1022"/>
      <c r="I203" s="1672"/>
      <c r="J203" s="1291"/>
    </row>
    <row r="204" spans="1:10" s="1066" customFormat="1" ht="15.95" customHeight="1">
      <c r="A204" s="1671"/>
      <c r="B204" s="1654"/>
      <c r="C204" s="1662" t="s">
        <v>2014</v>
      </c>
      <c r="D204" s="1137"/>
      <c r="E204" s="1022"/>
      <c r="F204" s="1137"/>
      <c r="G204" s="1022"/>
      <c r="H204" s="1022"/>
      <c r="I204" s="1035">
        <f>SUM(I183:I203)</f>
        <v>23004.552608200003</v>
      </c>
      <c r="J204" s="1291"/>
    </row>
    <row r="205" spans="1:10" s="1066" customFormat="1" ht="14.45" customHeight="1">
      <c r="A205" s="1671"/>
      <c r="B205" s="1654"/>
      <c r="C205" s="1667" t="str">
        <f>Input!$C$48</f>
        <v>Overheads &amp; Contractors Profit @ 13.615%</v>
      </c>
      <c r="D205" s="1557">
        <f>Input!$D$48</f>
        <v>0.13614999999999999</v>
      </c>
      <c r="E205" s="1022"/>
      <c r="F205" s="1137">
        <f>I204</f>
        <v>23004.552608200003</v>
      </c>
      <c r="G205" s="1022"/>
      <c r="H205" s="1022"/>
      <c r="I205" s="1062">
        <f>IF(G205="",D205*F205,(D205*F205/G205))</f>
        <v>3132.0698376064302</v>
      </c>
      <c r="J205" s="1291"/>
    </row>
    <row r="206" spans="1:10" s="1066" customFormat="1" ht="15.95" customHeight="1">
      <c r="A206" s="1671"/>
      <c r="B206" s="1654"/>
      <c r="C206" s="1667"/>
      <c r="D206" s="1137"/>
      <c r="E206" s="1022"/>
      <c r="F206" s="1137"/>
      <c r="G206" s="1022"/>
      <c r="H206" s="1022"/>
      <c r="I206" s="1672">
        <f>SUM(I204:I205)</f>
        <v>26136.622445806432</v>
      </c>
      <c r="J206" s="1291"/>
    </row>
    <row r="207" spans="1:10" s="1066" customFormat="1" ht="15.95" customHeight="1">
      <c r="A207" s="1671"/>
      <c r="B207" s="1654"/>
      <c r="C207" s="1662" t="s">
        <v>1525</v>
      </c>
      <c r="D207" s="1137"/>
      <c r="E207" s="1022"/>
      <c r="F207" s="1137"/>
      <c r="G207" s="1022"/>
      <c r="H207" s="1022"/>
      <c r="I207" s="1672">
        <f>I206/H172</f>
        <v>5026.2735472704671</v>
      </c>
      <c r="J207" s="1291"/>
    </row>
    <row r="208" spans="1:10" s="1066" customFormat="1" ht="15" customHeight="1">
      <c r="A208" s="1671"/>
      <c r="B208" s="1654"/>
      <c r="C208" s="1667"/>
      <c r="D208" s="1137"/>
      <c r="E208" s="1022"/>
      <c r="F208" s="1137"/>
      <c r="G208" s="2075" t="s">
        <v>1096</v>
      </c>
      <c r="H208" s="2075"/>
      <c r="I208" s="1040">
        <f>ROUND(I207,0)</f>
        <v>5026</v>
      </c>
      <c r="J208" s="1291"/>
    </row>
    <row r="209" spans="1:9" s="1066" customFormat="1" ht="11.45" customHeight="1">
      <c r="A209" s="1671"/>
      <c r="B209" s="1654"/>
      <c r="C209" s="1667"/>
      <c r="D209" s="1060"/>
      <c r="E209" s="1178"/>
      <c r="F209" s="1060"/>
      <c r="G209" s="1063"/>
      <c r="H209" s="1178"/>
      <c r="I209" s="1062"/>
    </row>
    <row r="210" spans="1:9" s="1066" customFormat="1" ht="89.45" customHeight="1">
      <c r="A210" s="1671">
        <f>A169+1</f>
        <v>3</v>
      </c>
      <c r="B210" s="1654"/>
      <c r="C210" s="2036" t="s">
        <v>3508</v>
      </c>
      <c r="D210" s="2036"/>
      <c r="E210" s="2036"/>
      <c r="F210" s="2036"/>
      <c r="G210" s="2036"/>
      <c r="H210" s="2036"/>
      <c r="I210" s="1662"/>
    </row>
    <row r="211" spans="1:9" s="1066" customFormat="1" ht="110.45" customHeight="1">
      <c r="A211" s="1671"/>
      <c r="B211" s="1654"/>
      <c r="C211" s="2037" t="s">
        <v>3509</v>
      </c>
      <c r="D211" s="2037"/>
      <c r="E211" s="2037"/>
      <c r="F211" s="2037"/>
      <c r="G211" s="2037"/>
      <c r="H211" s="2037"/>
      <c r="I211" s="1667"/>
    </row>
    <row r="212" spans="1:9" s="1066" customFormat="1" ht="14.65" customHeight="1">
      <c r="A212" s="1671"/>
      <c r="B212" s="1654"/>
      <c r="C212" s="1662" t="s">
        <v>1981</v>
      </c>
      <c r="D212" s="2091"/>
      <c r="E212" s="2091"/>
      <c r="F212" s="2091"/>
      <c r="G212" s="2091"/>
      <c r="H212" s="2091"/>
      <c r="I212" s="1671"/>
    </row>
    <row r="213" spans="1:9" s="1066" customFormat="1" ht="16.899999999999999" customHeight="1">
      <c r="A213" s="1671"/>
      <c r="B213" s="1654"/>
      <c r="C213" s="1667"/>
      <c r="D213" s="1657" t="s">
        <v>1982</v>
      </c>
      <c r="E213" s="2045" t="s">
        <v>2021</v>
      </c>
      <c r="F213" s="2045"/>
      <c r="G213" s="2076">
        <f>1.8*2.6</f>
        <v>4.6800000000000006</v>
      </c>
      <c r="H213" s="2076"/>
      <c r="I213" s="1553" t="s">
        <v>94</v>
      </c>
    </row>
    <row r="214" spans="1:9" s="1066" customFormat="1" ht="13.9" customHeight="1">
      <c r="A214" s="1671"/>
      <c r="B214" s="1654"/>
      <c r="C214" s="1662" t="s">
        <v>1935</v>
      </c>
      <c r="D214" s="2099"/>
      <c r="E214" s="2099"/>
      <c r="F214" s="2099"/>
      <c r="G214" s="2091"/>
      <c r="H214" s="2091"/>
      <c r="I214" s="1672"/>
    </row>
    <row r="215" spans="1:9" s="1066" customFormat="1" ht="12.75" customHeight="1">
      <c r="A215" s="1671"/>
      <c r="B215" s="1654"/>
      <c r="C215" s="1667" t="s">
        <v>1984</v>
      </c>
      <c r="D215" s="2077" t="s">
        <v>1985</v>
      </c>
      <c r="E215" s="2077"/>
      <c r="F215" s="2077"/>
      <c r="G215" s="2091"/>
      <c r="H215" s="2091"/>
      <c r="I215" s="1672"/>
    </row>
    <row r="216" spans="1:9" s="1066" customFormat="1" ht="15" customHeight="1">
      <c r="A216" s="1671"/>
      <c r="B216" s="1654"/>
      <c r="C216" s="1667"/>
      <c r="D216" s="2077" t="s">
        <v>2022</v>
      </c>
      <c r="E216" s="2077"/>
      <c r="F216" s="2077"/>
      <c r="G216" s="2105">
        <f>ROUND(5.22*0.1*0.065,5)</f>
        <v>3.3930000000000002E-2</v>
      </c>
      <c r="H216" s="2105"/>
      <c r="I216" s="1659" t="s">
        <v>75</v>
      </c>
    </row>
    <row r="217" spans="1:9" s="1066" customFormat="1" ht="15" customHeight="1">
      <c r="A217" s="1671"/>
      <c r="B217" s="1654"/>
      <c r="C217" s="1667" t="s">
        <v>1987</v>
      </c>
      <c r="D217" s="2077" t="s">
        <v>2023</v>
      </c>
      <c r="E217" s="2077"/>
      <c r="F217" s="2077"/>
      <c r="G217" s="2106"/>
      <c r="H217" s="2106"/>
      <c r="I217" s="1659"/>
    </row>
    <row r="218" spans="1:9" s="1066" customFormat="1" ht="15" customHeight="1">
      <c r="A218" s="1671"/>
      <c r="B218" s="1654"/>
      <c r="C218" s="1667"/>
      <c r="D218" s="2077" t="s">
        <v>2024</v>
      </c>
      <c r="E218" s="2077"/>
      <c r="F218" s="2077"/>
      <c r="G218" s="2105">
        <f>ROUND(4.1*0.1*0.065,5)</f>
        <v>2.665E-2</v>
      </c>
      <c r="H218" s="2105"/>
      <c r="I218" s="1659" t="s">
        <v>75</v>
      </c>
    </row>
    <row r="219" spans="1:9" s="1066" customFormat="1" ht="13.9" customHeight="1">
      <c r="A219" s="1671"/>
      <c r="B219" s="1654"/>
      <c r="C219" s="1667"/>
      <c r="D219" s="2099"/>
      <c r="E219" s="2099"/>
      <c r="F219" s="2099"/>
      <c r="G219" s="2105">
        <f>SUM(G216:G218)</f>
        <v>6.0580000000000002E-2</v>
      </c>
      <c r="H219" s="2105"/>
      <c r="I219" s="1553" t="s">
        <v>75</v>
      </c>
    </row>
    <row r="220" spans="1:9" s="1066" customFormat="1" ht="16.149999999999999" customHeight="1">
      <c r="A220" s="1671"/>
      <c r="B220" s="1654"/>
      <c r="C220" s="1667" t="s">
        <v>1990</v>
      </c>
      <c r="D220" s="2077" t="s">
        <v>2025</v>
      </c>
      <c r="E220" s="2077"/>
      <c r="F220" s="2077"/>
      <c r="G220" s="2076">
        <f>1.8*0.5</f>
        <v>0.9</v>
      </c>
      <c r="H220" s="2076"/>
      <c r="I220" s="1553" t="s">
        <v>94</v>
      </c>
    </row>
    <row r="221" spans="1:9" s="1066" customFormat="1" ht="16.149999999999999" customHeight="1">
      <c r="A221" s="1671"/>
      <c r="B221" s="1654"/>
      <c r="C221" s="1667" t="s">
        <v>1992</v>
      </c>
      <c r="D221" s="2077" t="s">
        <v>2026</v>
      </c>
      <c r="E221" s="2077"/>
      <c r="F221" s="2077"/>
      <c r="G221" s="2076">
        <f>ROUND(2*2*(0.9+0.5),2)</f>
        <v>5.6</v>
      </c>
      <c r="H221" s="2076"/>
      <c r="I221" s="1553" t="s">
        <v>197</v>
      </c>
    </row>
    <row r="222" spans="1:9" s="1066" customFormat="1" ht="16.149999999999999" customHeight="1">
      <c r="A222" s="1671"/>
      <c r="B222" s="1654"/>
      <c r="C222" s="1667" t="s">
        <v>2027</v>
      </c>
      <c r="D222" s="2077" t="s">
        <v>2028</v>
      </c>
      <c r="E222" s="2077"/>
      <c r="F222" s="2077"/>
      <c r="G222" s="2107">
        <f>ROUND(2*0.85*2.05,3)</f>
        <v>3.4849999999999999</v>
      </c>
      <c r="H222" s="2107"/>
      <c r="I222" s="1553" t="s">
        <v>94</v>
      </c>
    </row>
    <row r="223" spans="1:9" s="1066" customFormat="1" ht="16.149999999999999" customHeight="1">
      <c r="A223" s="1671"/>
      <c r="B223" s="1654"/>
      <c r="C223" s="1667" t="s">
        <v>1996</v>
      </c>
      <c r="D223" s="2108" t="s">
        <v>2029</v>
      </c>
      <c r="E223" s="2108"/>
      <c r="F223" s="2108"/>
      <c r="G223" s="2098">
        <f>ROUND(2*1.8*0.785,3)</f>
        <v>2.8260000000000001</v>
      </c>
      <c r="H223" s="2098"/>
      <c r="I223" s="1553" t="s">
        <v>1110</v>
      </c>
    </row>
    <row r="224" spans="1:9" s="1066" customFormat="1" ht="13.9" customHeight="1">
      <c r="A224" s="1671"/>
      <c r="B224" s="1654"/>
      <c r="C224" s="1662" t="s">
        <v>1965</v>
      </c>
      <c r="D224" s="2099"/>
      <c r="E224" s="2099"/>
      <c r="F224" s="2099"/>
      <c r="G224" s="2091"/>
      <c r="H224" s="2091"/>
      <c r="I224" s="1672"/>
    </row>
    <row r="225" spans="1:10" s="1066" customFormat="1" ht="13.15" customHeight="1">
      <c r="A225" s="1671"/>
      <c r="B225" s="1654"/>
      <c r="C225" s="1667" t="s">
        <v>2030</v>
      </c>
      <c r="D225" s="1557">
        <v>3.3930000000000002E-2</v>
      </c>
      <c r="E225" s="1022" t="s">
        <v>75</v>
      </c>
      <c r="F225" s="1137">
        <f>'Civil-SOR'!$G$26</f>
        <v>91479</v>
      </c>
      <c r="G225" s="1022">
        <v>1</v>
      </c>
      <c r="H225" s="1022" t="s">
        <v>75</v>
      </c>
      <c r="I225" s="1062">
        <f t="shared" ref="I225:I243" si="17">IF(G225="",D225*F225,(D225*F225/G225))</f>
        <v>3103.88247</v>
      </c>
      <c r="J225" s="1291"/>
    </row>
    <row r="226" spans="1:10" s="1066" customFormat="1" ht="13.15" customHeight="1">
      <c r="A226" s="1671"/>
      <c r="B226" s="1654"/>
      <c r="C226" s="1667" t="s">
        <v>2031</v>
      </c>
      <c r="D226" s="1557">
        <v>2.665E-2</v>
      </c>
      <c r="E226" s="1022" t="s">
        <v>75</v>
      </c>
      <c r="F226" s="1137">
        <f>'Civil-SOR'!$G$25</f>
        <v>82331</v>
      </c>
      <c r="G226" s="1022">
        <v>1</v>
      </c>
      <c r="H226" s="1022" t="s">
        <v>75</v>
      </c>
      <c r="I226" s="1062">
        <f t="shared" si="17"/>
        <v>2194.1211499999999</v>
      </c>
      <c r="J226" s="1291"/>
    </row>
    <row r="227" spans="1:10" s="1066" customFormat="1" ht="13.15" customHeight="1">
      <c r="A227" s="1671"/>
      <c r="B227" s="1654"/>
      <c r="C227" s="1667" t="s">
        <v>1998</v>
      </c>
      <c r="D227" s="1137">
        <f t="shared" ref="D227:D229" si="18">G220</f>
        <v>0.9</v>
      </c>
      <c r="E227" s="1022" t="s">
        <v>94</v>
      </c>
      <c r="F227" s="1137">
        <f>'Civil-SOR'!$G$51</f>
        <v>336</v>
      </c>
      <c r="G227" s="1022">
        <v>1</v>
      </c>
      <c r="H227" s="1022" t="s">
        <v>94</v>
      </c>
      <c r="I227" s="1062">
        <f t="shared" si="17"/>
        <v>302.40000000000003</v>
      </c>
      <c r="J227" s="1291"/>
    </row>
    <row r="228" spans="1:10" s="1066" customFormat="1" ht="15.75" customHeight="1">
      <c r="A228" s="1671"/>
      <c r="B228" s="1654"/>
      <c r="C228" s="1667" t="s">
        <v>1999</v>
      </c>
      <c r="D228" s="1137">
        <f t="shared" si="18"/>
        <v>5.6</v>
      </c>
      <c r="E228" s="1022" t="s">
        <v>197</v>
      </c>
      <c r="F228" s="1137">
        <f>'Civil-SOR'!$G$382</f>
        <v>26</v>
      </c>
      <c r="G228" s="1022">
        <v>1</v>
      </c>
      <c r="H228" s="1022" t="s">
        <v>2032</v>
      </c>
      <c r="I228" s="1062">
        <f t="shared" si="17"/>
        <v>145.6</v>
      </c>
      <c r="J228" s="1291"/>
    </row>
    <row r="229" spans="1:10" s="1066" customFormat="1" ht="12.75" customHeight="1">
      <c r="A229" s="1671"/>
      <c r="B229" s="1654"/>
      <c r="C229" s="1667" t="s">
        <v>2033</v>
      </c>
      <c r="D229" s="1138">
        <f t="shared" si="18"/>
        <v>3.4849999999999999</v>
      </c>
      <c r="E229" s="1022" t="s">
        <v>94</v>
      </c>
      <c r="F229" s="1137">
        <f>'Civil-SOR'!$G$114</f>
        <v>1334</v>
      </c>
      <c r="G229" s="1022">
        <v>1</v>
      </c>
      <c r="H229" s="1022" t="s">
        <v>94</v>
      </c>
      <c r="I229" s="1062">
        <f t="shared" si="17"/>
        <v>4648.99</v>
      </c>
      <c r="J229" s="1291"/>
    </row>
    <row r="230" spans="1:10" s="1066" customFormat="1" ht="15.95" customHeight="1">
      <c r="A230" s="1671"/>
      <c r="B230" s="1654"/>
      <c r="C230" s="1667" t="s">
        <v>2034</v>
      </c>
      <c r="D230" s="1076">
        <v>6</v>
      </c>
      <c r="E230" s="1022" t="s">
        <v>36</v>
      </c>
      <c r="F230" s="1137">
        <f>'Civil-SOR'!$G$385</f>
        <v>37</v>
      </c>
      <c r="G230" s="1022"/>
      <c r="H230" s="1022" t="s">
        <v>501</v>
      </c>
      <c r="I230" s="1062">
        <f t="shared" si="17"/>
        <v>222</v>
      </c>
      <c r="J230" s="1291"/>
    </row>
    <row r="231" spans="1:10" s="1066" customFormat="1" ht="13.15" customHeight="1">
      <c r="A231" s="1671"/>
      <c r="B231" s="1654"/>
      <c r="C231" s="1667" t="s">
        <v>2035</v>
      </c>
      <c r="D231" s="1076">
        <v>2</v>
      </c>
      <c r="E231" s="1022" t="s">
        <v>36</v>
      </c>
      <c r="F231" s="1137">
        <f>'Civil-SOR'!$G$153</f>
        <v>90</v>
      </c>
      <c r="G231" s="1022"/>
      <c r="H231" s="1022" t="s">
        <v>501</v>
      </c>
      <c r="I231" s="1062">
        <f t="shared" si="17"/>
        <v>180</v>
      </c>
      <c r="J231" s="1291"/>
    </row>
    <row r="232" spans="1:10" s="1066" customFormat="1" ht="26.45" customHeight="1">
      <c r="A232" s="1671"/>
      <c r="B232" s="1654"/>
      <c r="C232" s="1667" t="s">
        <v>2036</v>
      </c>
      <c r="D232" s="1076">
        <v>6</v>
      </c>
      <c r="E232" s="1022" t="s">
        <v>36</v>
      </c>
      <c r="F232" s="1137">
        <f>'Civil-SOR'!$G$159</f>
        <v>106</v>
      </c>
      <c r="G232" s="1022"/>
      <c r="H232" s="1022" t="s">
        <v>501</v>
      </c>
      <c r="I232" s="1062">
        <f t="shared" si="17"/>
        <v>636</v>
      </c>
      <c r="J232" s="1291"/>
    </row>
    <row r="233" spans="1:10" s="1066" customFormat="1" ht="16.149999999999999" customHeight="1">
      <c r="A233" s="1671"/>
      <c r="B233" s="1654"/>
      <c r="C233" s="1667" t="s">
        <v>2037</v>
      </c>
      <c r="D233" s="1076">
        <v>1</v>
      </c>
      <c r="E233" s="1022" t="s">
        <v>39</v>
      </c>
      <c r="F233" s="1137">
        <f>'Civil-SOR'!$G$172</f>
        <v>239</v>
      </c>
      <c r="G233" s="1022"/>
      <c r="H233" s="1022" t="s">
        <v>501</v>
      </c>
      <c r="I233" s="1062">
        <f t="shared" si="17"/>
        <v>239</v>
      </c>
      <c r="J233" s="1291"/>
    </row>
    <row r="234" spans="1:10" s="1066" customFormat="1" ht="16.149999999999999" customHeight="1">
      <c r="A234" s="1671"/>
      <c r="B234" s="1654"/>
      <c r="C234" s="1667" t="s">
        <v>2038</v>
      </c>
      <c r="D234" s="1076">
        <v>2</v>
      </c>
      <c r="E234" s="1022" t="s">
        <v>36</v>
      </c>
      <c r="F234" s="1137">
        <f>'Civil-SOR'!$G$164</f>
        <v>100</v>
      </c>
      <c r="G234" s="1022"/>
      <c r="H234" s="1022" t="s">
        <v>501</v>
      </c>
      <c r="I234" s="1062">
        <f t="shared" si="17"/>
        <v>200</v>
      </c>
      <c r="J234" s="1291"/>
    </row>
    <row r="235" spans="1:10" s="1066" customFormat="1" ht="12.75" customHeight="1">
      <c r="A235" s="1671"/>
      <c r="B235" s="1654"/>
      <c r="C235" s="1667" t="s">
        <v>2039</v>
      </c>
      <c r="D235" s="1076">
        <v>2</v>
      </c>
      <c r="E235" s="1022" t="s">
        <v>36</v>
      </c>
      <c r="F235" s="1137">
        <f>'Civil-SOR'!$G$178</f>
        <v>66</v>
      </c>
      <c r="G235" s="1022"/>
      <c r="H235" s="1022" t="s">
        <v>501</v>
      </c>
      <c r="I235" s="1062">
        <f t="shared" si="17"/>
        <v>132</v>
      </c>
      <c r="J235" s="1291"/>
    </row>
    <row r="236" spans="1:10" s="1066" customFormat="1" ht="15.95" customHeight="1">
      <c r="A236" s="1671"/>
      <c r="B236" s="1654"/>
      <c r="C236" s="1667" t="s">
        <v>2040</v>
      </c>
      <c r="D236" s="1076">
        <v>2</v>
      </c>
      <c r="E236" s="1022" t="s">
        <v>36</v>
      </c>
      <c r="F236" s="1137">
        <f>'Civil-SOR'!$G$386</f>
        <v>12</v>
      </c>
      <c r="G236" s="1022"/>
      <c r="H236" s="1022" t="s">
        <v>501</v>
      </c>
      <c r="I236" s="1062">
        <f t="shared" si="17"/>
        <v>24</v>
      </c>
      <c r="J236" s="1291"/>
    </row>
    <row r="237" spans="1:10" s="1066" customFormat="1" ht="15.95" customHeight="1">
      <c r="A237" s="1671"/>
      <c r="B237" s="1654"/>
      <c r="C237" s="1667" t="s">
        <v>2009</v>
      </c>
      <c r="D237" s="1138">
        <f>G223</f>
        <v>2.8260000000000001</v>
      </c>
      <c r="E237" s="1022" t="s">
        <v>1110</v>
      </c>
      <c r="F237" s="1137">
        <f>LEAD!$N$10</f>
        <v>61000</v>
      </c>
      <c r="G237" s="1022">
        <v>1000</v>
      </c>
      <c r="H237" s="1022" t="s">
        <v>1110</v>
      </c>
      <c r="I237" s="1062">
        <f t="shared" si="17"/>
        <v>172.386</v>
      </c>
      <c r="J237" s="1291"/>
    </row>
    <row r="238" spans="1:10" s="1066" customFormat="1" ht="15.95" customHeight="1">
      <c r="A238" s="1671"/>
      <c r="B238" s="1654"/>
      <c r="C238" s="1667" t="s">
        <v>2010</v>
      </c>
      <c r="D238" s="1557">
        <f>G219</f>
        <v>6.0580000000000002E-2</v>
      </c>
      <c r="E238" s="1022" t="s">
        <v>75</v>
      </c>
      <c r="F238" s="1137">
        <f>$I$8</f>
        <v>15027.85</v>
      </c>
      <c r="G238" s="1022">
        <v>1</v>
      </c>
      <c r="H238" s="1022" t="s">
        <v>75</v>
      </c>
      <c r="I238" s="1062">
        <f t="shared" si="17"/>
        <v>910.38715300000001</v>
      </c>
      <c r="J238" s="1291"/>
    </row>
    <row r="239" spans="1:10" s="1066" customFormat="1" ht="15.95" customHeight="1">
      <c r="A239" s="1671"/>
      <c r="B239" s="1654"/>
      <c r="C239" s="1667" t="str">
        <f>Input!$C$47</f>
        <v>Add for MA @ 40%</v>
      </c>
      <c r="D239" s="1137">
        <f>Input!$D$47</f>
        <v>0.4</v>
      </c>
      <c r="E239" s="1022"/>
      <c r="F239" s="1137">
        <f>I238</f>
        <v>910.38715300000001</v>
      </c>
      <c r="G239" s="1022"/>
      <c r="H239" s="1022"/>
      <c r="I239" s="1062">
        <f t="shared" si="17"/>
        <v>364.15486120000003</v>
      </c>
      <c r="J239" s="1291"/>
    </row>
    <row r="240" spans="1:10" s="1066" customFormat="1" ht="25.5" customHeight="1">
      <c r="A240" s="1671"/>
      <c r="B240" s="1654"/>
      <c r="C240" s="1670" t="s">
        <v>2011</v>
      </c>
      <c r="D240" s="1138">
        <f>G222</f>
        <v>3.4849999999999999</v>
      </c>
      <c r="E240" s="1022" t="s">
        <v>94</v>
      </c>
      <c r="F240" s="1137">
        <f>'Civil-SOR'!$G$206</f>
        <v>550</v>
      </c>
      <c r="G240" s="1022">
        <v>1</v>
      </c>
      <c r="H240" s="1022" t="s">
        <v>94</v>
      </c>
      <c r="I240" s="1062">
        <f t="shared" si="17"/>
        <v>1916.75</v>
      </c>
      <c r="J240" s="1291"/>
    </row>
    <row r="241" spans="1:10" s="1066" customFormat="1" ht="15.95" customHeight="1">
      <c r="A241" s="1671"/>
      <c r="B241" s="1654"/>
      <c r="C241" s="1667" t="str">
        <f>Input!$C$47</f>
        <v>Add for MA @ 40%</v>
      </c>
      <c r="D241" s="1137">
        <f>Input!$D$47</f>
        <v>0.4</v>
      </c>
      <c r="E241" s="1022"/>
      <c r="F241" s="1137">
        <f>I240</f>
        <v>1916.75</v>
      </c>
      <c r="G241" s="1022"/>
      <c r="H241" s="1022"/>
      <c r="I241" s="1062">
        <f t="shared" si="17"/>
        <v>766.7</v>
      </c>
      <c r="J241" s="1291"/>
    </row>
    <row r="242" spans="1:10" s="1066" customFormat="1" ht="15.95" customHeight="1">
      <c r="A242" s="1671"/>
      <c r="B242" s="1654"/>
      <c r="C242" s="1667" t="s">
        <v>2012</v>
      </c>
      <c r="D242" s="1137">
        <f>G220</f>
        <v>0.9</v>
      </c>
      <c r="E242" s="1022" t="s">
        <v>94</v>
      </c>
      <c r="F242" s="1137">
        <f>'Civil-SOR'!$G$207</f>
        <v>410</v>
      </c>
      <c r="G242" s="1022">
        <v>1</v>
      </c>
      <c r="H242" s="1022" t="s">
        <v>94</v>
      </c>
      <c r="I242" s="1062">
        <f t="shared" si="17"/>
        <v>369</v>
      </c>
      <c r="J242" s="1291"/>
    </row>
    <row r="243" spans="1:10" s="1066" customFormat="1" ht="15.95" customHeight="1">
      <c r="A243" s="1671"/>
      <c r="B243" s="1654"/>
      <c r="C243" s="1667" t="str">
        <f>Input!$C$47</f>
        <v>Add for MA @ 40%</v>
      </c>
      <c r="D243" s="1137">
        <f>Input!$D$47</f>
        <v>0.4</v>
      </c>
      <c r="E243" s="1022"/>
      <c r="F243" s="1137">
        <f>I242</f>
        <v>369</v>
      </c>
      <c r="G243" s="1022"/>
      <c r="H243" s="1022"/>
      <c r="I243" s="1062">
        <f t="shared" si="17"/>
        <v>147.6</v>
      </c>
      <c r="J243" s="1291"/>
    </row>
    <row r="244" spans="1:10" s="1066" customFormat="1" ht="15.95" customHeight="1">
      <c r="A244" s="1671"/>
      <c r="B244" s="1654"/>
      <c r="C244" s="1667" t="s">
        <v>2013</v>
      </c>
      <c r="D244" s="1137"/>
      <c r="E244" s="1022"/>
      <c r="F244" s="1137"/>
      <c r="G244" s="1022"/>
      <c r="H244" s="1022"/>
      <c r="I244" s="1672"/>
      <c r="J244" s="1291"/>
    </row>
    <row r="245" spans="1:10" s="1066" customFormat="1" ht="15.95" customHeight="1">
      <c r="A245" s="1671"/>
      <c r="B245" s="1654"/>
      <c r="C245" s="1667" t="s">
        <v>2041</v>
      </c>
      <c r="D245" s="1137"/>
      <c r="E245" s="1022"/>
      <c r="F245" s="1137"/>
      <c r="G245" s="1022"/>
      <c r="H245" s="1022"/>
      <c r="I245" s="1035">
        <f>SUM(I225:I244)</f>
        <v>16674.971634199999</v>
      </c>
      <c r="J245" s="1291"/>
    </row>
    <row r="246" spans="1:10" s="1066" customFormat="1" ht="12.95" customHeight="1">
      <c r="A246" s="1671"/>
      <c r="B246" s="1654"/>
      <c r="C246" s="1667" t="str">
        <f>Input!$C$48</f>
        <v>Overheads &amp; Contractors Profit @ 13.615%</v>
      </c>
      <c r="D246" s="1557">
        <f>Input!$D$48</f>
        <v>0.13614999999999999</v>
      </c>
      <c r="E246" s="1022"/>
      <c r="F246" s="1137">
        <f>I245</f>
        <v>16674.971634199999</v>
      </c>
      <c r="G246" s="1022"/>
      <c r="H246" s="1022"/>
      <c r="I246" s="1062">
        <f>IF(G246="",D246*F246,(D246*F246/G246))</f>
        <v>2270.2973879963297</v>
      </c>
      <c r="J246" s="1291"/>
    </row>
    <row r="247" spans="1:10" s="1066" customFormat="1" ht="15.95" customHeight="1">
      <c r="A247" s="1671"/>
      <c r="B247" s="1654"/>
      <c r="C247" s="1667"/>
      <c r="D247" s="1137"/>
      <c r="E247" s="1022"/>
      <c r="F247" s="1137"/>
      <c r="G247" s="1022"/>
      <c r="H247" s="1022"/>
      <c r="I247" s="1672">
        <f>SUM(I245:I246)</f>
        <v>18945.269022196328</v>
      </c>
      <c r="J247" s="1291"/>
    </row>
    <row r="248" spans="1:10" s="1066" customFormat="1" ht="15.95" customHeight="1">
      <c r="A248" s="1671"/>
      <c r="B248" s="1654"/>
      <c r="C248" s="1662" t="s">
        <v>1525</v>
      </c>
      <c r="D248" s="1137"/>
      <c r="E248" s="1022"/>
      <c r="F248" s="1137"/>
      <c r="G248" s="1022"/>
      <c r="H248" s="1022"/>
      <c r="I248" s="1672">
        <f>I247/G213</f>
        <v>4048.1344064522063</v>
      </c>
      <c r="J248" s="1291"/>
    </row>
    <row r="249" spans="1:10" s="1066" customFormat="1" ht="13.5" customHeight="1">
      <c r="A249" s="1671"/>
      <c r="B249" s="1671"/>
      <c r="C249" s="1667"/>
      <c r="D249" s="1137"/>
      <c r="E249" s="1022"/>
      <c r="F249" s="1137"/>
      <c r="G249" s="2075" t="s">
        <v>1096</v>
      </c>
      <c r="H249" s="2075"/>
      <c r="I249" s="1040">
        <f>ROUND(I248,0)</f>
        <v>4048</v>
      </c>
    </row>
    <row r="250" spans="1:10" s="1066" customFormat="1" ht="14.65" customHeight="1">
      <c r="A250" s="1671"/>
      <c r="B250" s="1654"/>
      <c r="C250" s="1022"/>
      <c r="D250" s="1022"/>
      <c r="E250" s="1022"/>
      <c r="F250" s="1022"/>
      <c r="G250" s="1022"/>
      <c r="H250" s="1022"/>
      <c r="I250" s="1671"/>
    </row>
    <row r="251" spans="1:10" s="1066" customFormat="1" ht="76.900000000000006" customHeight="1">
      <c r="A251" s="1671">
        <f>1+A169</f>
        <v>3</v>
      </c>
      <c r="B251" s="1654"/>
      <c r="C251" s="2036" t="s">
        <v>3510</v>
      </c>
      <c r="D251" s="2036"/>
      <c r="E251" s="2036"/>
      <c r="F251" s="2036"/>
      <c r="G251" s="2036"/>
      <c r="H251" s="2036"/>
      <c r="I251" s="1662"/>
    </row>
    <row r="252" spans="1:10" s="1066" customFormat="1" ht="125.25" customHeight="1">
      <c r="A252" s="1671"/>
      <c r="B252" s="1654"/>
      <c r="C252" s="2037" t="s">
        <v>3511</v>
      </c>
      <c r="D252" s="2037"/>
      <c r="E252" s="2037"/>
      <c r="F252" s="2037"/>
      <c r="G252" s="2037"/>
      <c r="H252" s="2037"/>
      <c r="I252" s="1667"/>
    </row>
    <row r="253" spans="1:10" s="1066" customFormat="1" ht="13.9" customHeight="1">
      <c r="A253" s="1671"/>
      <c r="B253" s="1654"/>
      <c r="C253" s="1662" t="s">
        <v>1981</v>
      </c>
      <c r="D253" s="2091"/>
      <c r="E253" s="2091"/>
      <c r="F253" s="2091"/>
      <c r="G253" s="1022"/>
      <c r="H253" s="1022"/>
      <c r="I253" s="1671"/>
    </row>
    <row r="254" spans="1:10" s="1066" customFormat="1" ht="15" customHeight="1">
      <c r="A254" s="1671"/>
      <c r="B254" s="1654"/>
      <c r="C254" s="1667"/>
      <c r="D254" s="1657" t="s">
        <v>1982</v>
      </c>
      <c r="E254" s="2045" t="s">
        <v>2042</v>
      </c>
      <c r="F254" s="2045"/>
      <c r="G254" s="1022"/>
      <c r="H254" s="1556">
        <f>1.5*2.6</f>
        <v>3.9000000000000004</v>
      </c>
      <c r="I254" s="1553" t="s">
        <v>94</v>
      </c>
    </row>
    <row r="255" spans="1:10" s="1066" customFormat="1" ht="13.9" customHeight="1">
      <c r="A255" s="1671"/>
      <c r="B255" s="1654"/>
      <c r="C255" s="1662" t="s">
        <v>1935</v>
      </c>
      <c r="D255" s="2099"/>
      <c r="E255" s="2099"/>
      <c r="F255" s="2099"/>
      <c r="G255" s="1022"/>
      <c r="H255" s="1022"/>
      <c r="I255" s="1672"/>
    </row>
    <row r="256" spans="1:10" s="1066" customFormat="1" ht="13.9" customHeight="1">
      <c r="A256" s="1671"/>
      <c r="B256" s="1654"/>
      <c r="C256" s="1667" t="s">
        <v>1984</v>
      </c>
      <c r="D256" s="2077" t="s">
        <v>1985</v>
      </c>
      <c r="E256" s="2077"/>
      <c r="F256" s="2077"/>
      <c r="G256" s="1022"/>
      <c r="H256" s="1022"/>
      <c r="I256" s="1672"/>
    </row>
    <row r="257" spans="1:9" s="1066" customFormat="1" ht="13.9" customHeight="1">
      <c r="A257" s="1671"/>
      <c r="B257" s="1654"/>
      <c r="C257" s="1667"/>
      <c r="D257" s="2077" t="s">
        <v>2043</v>
      </c>
      <c r="E257" s="2077"/>
      <c r="F257" s="2077"/>
      <c r="G257" s="2105">
        <f>ROUND(5.22*0.1*0.065,5)</f>
        <v>3.3930000000000002E-2</v>
      </c>
      <c r="H257" s="2105"/>
      <c r="I257" s="1659" t="s">
        <v>75</v>
      </c>
    </row>
    <row r="258" spans="1:9" s="1066" customFormat="1" ht="13.9" customHeight="1">
      <c r="A258" s="1671"/>
      <c r="B258" s="1654"/>
      <c r="C258" s="1667" t="s">
        <v>1987</v>
      </c>
      <c r="D258" s="2077" t="s">
        <v>2044</v>
      </c>
      <c r="E258" s="2077"/>
      <c r="F258" s="2077"/>
      <c r="G258" s="2106"/>
      <c r="H258" s="2106"/>
      <c r="I258" s="1659"/>
    </row>
    <row r="259" spans="1:9" s="1066" customFormat="1" ht="13.9" customHeight="1">
      <c r="A259" s="1671"/>
      <c r="B259" s="1654"/>
      <c r="C259" s="1667"/>
      <c r="D259" s="2077" t="s">
        <v>2045</v>
      </c>
      <c r="E259" s="2077"/>
      <c r="F259" s="2077"/>
      <c r="G259" s="2105">
        <f>ROUND(3.5*0.1*0.065,5)</f>
        <v>2.2749999999999999E-2</v>
      </c>
      <c r="H259" s="2105"/>
      <c r="I259" s="1659" t="s">
        <v>75</v>
      </c>
    </row>
    <row r="260" spans="1:9" s="1066" customFormat="1" ht="13.9" customHeight="1">
      <c r="A260" s="1671"/>
      <c r="B260" s="1654"/>
      <c r="C260" s="1667"/>
      <c r="D260" s="2077"/>
      <c r="E260" s="2077"/>
      <c r="F260" s="2077"/>
      <c r="G260" s="2105">
        <f>SUM(G257:G259)</f>
        <v>5.6680000000000001E-2</v>
      </c>
      <c r="H260" s="2105"/>
      <c r="I260" s="1659" t="s">
        <v>75</v>
      </c>
    </row>
    <row r="261" spans="1:9" s="1066" customFormat="1" ht="16.899999999999999" customHeight="1">
      <c r="A261" s="1671"/>
      <c r="B261" s="1654"/>
      <c r="C261" s="1667" t="s">
        <v>1990</v>
      </c>
      <c r="D261" s="2077" t="s">
        <v>2046</v>
      </c>
      <c r="E261" s="2077"/>
      <c r="F261" s="2077"/>
      <c r="G261" s="2076">
        <f>ROUND(2*0.75*0.5,2)</f>
        <v>0.75</v>
      </c>
      <c r="H261" s="2076"/>
      <c r="I261" s="1553" t="s">
        <v>94</v>
      </c>
    </row>
    <row r="262" spans="1:9" s="1066" customFormat="1" ht="16.899999999999999" customHeight="1">
      <c r="A262" s="1671"/>
      <c r="B262" s="1654"/>
      <c r="C262" s="1667" t="s">
        <v>1992</v>
      </c>
      <c r="D262" s="2077" t="s">
        <v>2047</v>
      </c>
      <c r="E262" s="2077"/>
      <c r="F262" s="2077"/>
      <c r="G262" s="2076">
        <f>ROUND(2*2*(0.75+0.5),2)</f>
        <v>5</v>
      </c>
      <c r="H262" s="2076"/>
      <c r="I262" s="1553" t="s">
        <v>197</v>
      </c>
    </row>
    <row r="263" spans="1:9" s="1066" customFormat="1" ht="16.899999999999999" customHeight="1">
      <c r="A263" s="1671"/>
      <c r="B263" s="1654"/>
      <c r="C263" s="1667" t="s">
        <v>2027</v>
      </c>
      <c r="D263" s="2077" t="s">
        <v>2048</v>
      </c>
      <c r="E263" s="2077"/>
      <c r="F263" s="2077"/>
      <c r="G263" s="2107">
        <f>ROUND(2*0.7*2.05,3)</f>
        <v>2.87</v>
      </c>
      <c r="H263" s="2107"/>
      <c r="I263" s="1553" t="s">
        <v>94</v>
      </c>
    </row>
    <row r="264" spans="1:9" s="1066" customFormat="1" ht="16.899999999999999" customHeight="1">
      <c r="A264" s="1671"/>
      <c r="B264" s="1654"/>
      <c r="C264" s="1667" t="s">
        <v>1996</v>
      </c>
      <c r="D264" s="2108" t="s">
        <v>2049</v>
      </c>
      <c r="E264" s="2108"/>
      <c r="F264" s="2108"/>
      <c r="G264" s="2098">
        <f>ROUND(2*1.5*0.785,3)</f>
        <v>2.355</v>
      </c>
      <c r="H264" s="2098"/>
      <c r="I264" s="1553" t="s">
        <v>1110</v>
      </c>
    </row>
    <row r="265" spans="1:9" s="1066" customFormat="1" ht="15.95" customHeight="1">
      <c r="A265" s="1671"/>
      <c r="B265" s="1654"/>
      <c r="C265" s="1662" t="s">
        <v>1965</v>
      </c>
      <c r="D265" s="1137"/>
      <c r="E265" s="1022"/>
      <c r="F265" s="1022"/>
      <c r="G265" s="1137"/>
      <c r="H265" s="1022"/>
      <c r="I265" s="1672"/>
    </row>
    <row r="266" spans="1:9" s="1066" customFormat="1" ht="12.75" customHeight="1">
      <c r="A266" s="1671"/>
      <c r="B266" s="1654"/>
      <c r="C266" s="1667" t="s">
        <v>2050</v>
      </c>
      <c r="D266" s="1557">
        <f>G257</f>
        <v>3.3930000000000002E-2</v>
      </c>
      <c r="E266" s="1022" t="s">
        <v>75</v>
      </c>
      <c r="F266" s="1137">
        <f>'Civil-SOR'!$G$26</f>
        <v>91479</v>
      </c>
      <c r="G266" s="1022">
        <v>1</v>
      </c>
      <c r="H266" s="1022" t="s">
        <v>75</v>
      </c>
      <c r="I266" s="1062">
        <f t="shared" ref="I266:I284" si="19">IF(G266="",D266*F266,(D266*F266/G266))</f>
        <v>3103.88247</v>
      </c>
    </row>
    <row r="267" spans="1:9" s="1066" customFormat="1" ht="12.75" customHeight="1">
      <c r="A267" s="1671"/>
      <c r="B267" s="1654"/>
      <c r="C267" s="1667" t="s">
        <v>2031</v>
      </c>
      <c r="D267" s="1557">
        <f>G259</f>
        <v>2.2749999999999999E-2</v>
      </c>
      <c r="E267" s="1022" t="s">
        <v>75</v>
      </c>
      <c r="F267" s="1137">
        <f>'Civil-SOR'!$G$25</f>
        <v>82331</v>
      </c>
      <c r="G267" s="1022">
        <v>1</v>
      </c>
      <c r="H267" s="1022" t="s">
        <v>75</v>
      </c>
      <c r="I267" s="1062">
        <f t="shared" si="19"/>
        <v>1873.03025</v>
      </c>
    </row>
    <row r="268" spans="1:9" s="1066" customFormat="1" ht="25.5">
      <c r="A268" s="1671"/>
      <c r="B268" s="1654"/>
      <c r="C268" s="1667" t="s">
        <v>1998</v>
      </c>
      <c r="D268" s="1137">
        <f t="shared" ref="D268:D270" si="20">G261</f>
        <v>0.75</v>
      </c>
      <c r="E268" s="1022" t="s">
        <v>94</v>
      </c>
      <c r="F268" s="1137">
        <f>'Civil-SOR'!$G$51</f>
        <v>336</v>
      </c>
      <c r="G268" s="1022">
        <v>1</v>
      </c>
      <c r="H268" s="1022" t="s">
        <v>94</v>
      </c>
      <c r="I268" s="1062">
        <f t="shared" si="19"/>
        <v>252</v>
      </c>
    </row>
    <row r="269" spans="1:9" s="1066" customFormat="1">
      <c r="A269" s="1671"/>
      <c r="B269" s="1654"/>
      <c r="C269" s="1667" t="s">
        <v>2051</v>
      </c>
      <c r="D269" s="1137">
        <f t="shared" si="20"/>
        <v>5</v>
      </c>
      <c r="E269" s="1022" t="s">
        <v>197</v>
      </c>
      <c r="F269" s="1137">
        <f>'Civil-SOR'!$G$382</f>
        <v>26</v>
      </c>
      <c r="G269" s="1022">
        <v>1</v>
      </c>
      <c r="H269" s="1022" t="s">
        <v>2032</v>
      </c>
      <c r="I269" s="1062">
        <f t="shared" si="19"/>
        <v>130</v>
      </c>
    </row>
    <row r="270" spans="1:9" s="1066" customFormat="1">
      <c r="A270" s="1671"/>
      <c r="B270" s="1654"/>
      <c r="C270" s="1667" t="s">
        <v>2052</v>
      </c>
      <c r="D270" s="1137">
        <f t="shared" si="20"/>
        <v>2.87</v>
      </c>
      <c r="E270" s="1022" t="s">
        <v>94</v>
      </c>
      <c r="F270" s="1137">
        <f>'Civil-SOR'!$G$114</f>
        <v>1334</v>
      </c>
      <c r="G270" s="1022">
        <v>1</v>
      </c>
      <c r="H270" s="1022" t="s">
        <v>94</v>
      </c>
      <c r="I270" s="1062">
        <f t="shared" si="19"/>
        <v>3828.58</v>
      </c>
    </row>
    <row r="271" spans="1:9" s="1066" customFormat="1" ht="25.5">
      <c r="A271" s="1671"/>
      <c r="B271" s="1654"/>
      <c r="C271" s="1667" t="s">
        <v>2053</v>
      </c>
      <c r="D271" s="1076">
        <v>6</v>
      </c>
      <c r="E271" s="1022" t="s">
        <v>36</v>
      </c>
      <c r="F271" s="1137">
        <f>'Civil-SOR'!$G$385</f>
        <v>37</v>
      </c>
      <c r="G271" s="1022"/>
      <c r="H271" s="1022" t="s">
        <v>501</v>
      </c>
      <c r="I271" s="1062">
        <f t="shared" si="19"/>
        <v>222</v>
      </c>
    </row>
    <row r="272" spans="1:9" s="1066" customFormat="1" ht="25.5">
      <c r="A272" s="1671"/>
      <c r="B272" s="1654"/>
      <c r="C272" s="1667" t="s">
        <v>2035</v>
      </c>
      <c r="D272" s="1076">
        <v>2</v>
      </c>
      <c r="E272" s="1022" t="s">
        <v>36</v>
      </c>
      <c r="F272" s="1137">
        <f>'Civil-SOR'!$G$153</f>
        <v>90</v>
      </c>
      <c r="G272" s="1022"/>
      <c r="H272" s="1022" t="s">
        <v>501</v>
      </c>
      <c r="I272" s="1062">
        <f t="shared" si="19"/>
        <v>180</v>
      </c>
    </row>
    <row r="273" spans="1:9" s="1066" customFormat="1" ht="25.5">
      <c r="A273" s="1671"/>
      <c r="B273" s="1654"/>
      <c r="C273" s="1667" t="s">
        <v>2036</v>
      </c>
      <c r="D273" s="1076">
        <v>6</v>
      </c>
      <c r="E273" s="1022" t="s">
        <v>36</v>
      </c>
      <c r="F273" s="1137">
        <f>'Civil-SOR'!$G$159</f>
        <v>106</v>
      </c>
      <c r="G273" s="1022"/>
      <c r="H273" s="1022" t="s">
        <v>501</v>
      </c>
      <c r="I273" s="1062">
        <f t="shared" si="19"/>
        <v>636</v>
      </c>
    </row>
    <row r="274" spans="1:9" s="1066" customFormat="1" ht="25.5">
      <c r="A274" s="1671"/>
      <c r="B274" s="1654"/>
      <c r="C274" s="1667" t="s">
        <v>2037</v>
      </c>
      <c r="D274" s="1076">
        <v>1</v>
      </c>
      <c r="E274" s="1022" t="s">
        <v>39</v>
      </c>
      <c r="F274" s="1137">
        <f>'Civil-SOR'!$G$172</f>
        <v>239</v>
      </c>
      <c r="G274" s="1022"/>
      <c r="H274" s="1022" t="s">
        <v>501</v>
      </c>
      <c r="I274" s="1062">
        <f t="shared" si="19"/>
        <v>239</v>
      </c>
    </row>
    <row r="275" spans="1:9" s="1066" customFormat="1" ht="25.5">
      <c r="A275" s="1671"/>
      <c r="B275" s="1654"/>
      <c r="C275" s="1667" t="s">
        <v>2038</v>
      </c>
      <c r="D275" s="1076">
        <v>2</v>
      </c>
      <c r="E275" s="1022" t="s">
        <v>36</v>
      </c>
      <c r="F275" s="1137">
        <f>'Civil-SOR'!$G$164</f>
        <v>100</v>
      </c>
      <c r="G275" s="1022"/>
      <c r="H275" s="1022" t="s">
        <v>501</v>
      </c>
      <c r="I275" s="1062">
        <f t="shared" si="19"/>
        <v>200</v>
      </c>
    </row>
    <row r="276" spans="1:9" s="1066" customFormat="1" ht="25.5">
      <c r="A276" s="1671"/>
      <c r="B276" s="1654"/>
      <c r="C276" s="1667" t="s">
        <v>2039</v>
      </c>
      <c r="D276" s="1076">
        <v>2</v>
      </c>
      <c r="E276" s="1022" t="s">
        <v>36</v>
      </c>
      <c r="F276" s="1137">
        <f>'Civil-SOR'!$G$178</f>
        <v>66</v>
      </c>
      <c r="G276" s="1022"/>
      <c r="H276" s="1022" t="s">
        <v>501</v>
      </c>
      <c r="I276" s="1062">
        <f t="shared" si="19"/>
        <v>132</v>
      </c>
    </row>
    <row r="277" spans="1:9" s="1066" customFormat="1" ht="25.5">
      <c r="A277" s="1671"/>
      <c r="B277" s="1654"/>
      <c r="C277" s="1667" t="s">
        <v>2040</v>
      </c>
      <c r="D277" s="1076">
        <v>2</v>
      </c>
      <c r="E277" s="1022" t="s">
        <v>36</v>
      </c>
      <c r="F277" s="1137">
        <f>'Civil-SOR'!$G$386</f>
        <v>12</v>
      </c>
      <c r="G277" s="1022"/>
      <c r="H277" s="1022" t="s">
        <v>501</v>
      </c>
      <c r="I277" s="1062">
        <f t="shared" si="19"/>
        <v>24</v>
      </c>
    </row>
    <row r="278" spans="1:9" s="1066" customFormat="1">
      <c r="A278" s="1671"/>
      <c r="B278" s="1654"/>
      <c r="C278" s="1667" t="s">
        <v>2009</v>
      </c>
      <c r="D278" s="1138">
        <f>G264</f>
        <v>2.355</v>
      </c>
      <c r="E278" s="1022" t="s">
        <v>1110</v>
      </c>
      <c r="F278" s="1137">
        <f>LEAD!$N$10</f>
        <v>61000</v>
      </c>
      <c r="G278" s="1022">
        <v>1000</v>
      </c>
      <c r="H278" s="1022" t="s">
        <v>1110</v>
      </c>
      <c r="I278" s="1062">
        <f t="shared" si="19"/>
        <v>143.655</v>
      </c>
    </row>
    <row r="279" spans="1:9" s="1066" customFormat="1">
      <c r="A279" s="1671"/>
      <c r="B279" s="1654"/>
      <c r="C279" s="1667" t="s">
        <v>2010</v>
      </c>
      <c r="D279" s="1673">
        <f>G260</f>
        <v>5.6680000000000001E-2</v>
      </c>
      <c r="E279" s="1022" t="s">
        <v>75</v>
      </c>
      <c r="F279" s="1137">
        <f>$I$8</f>
        <v>15027.85</v>
      </c>
      <c r="G279" s="1022">
        <v>1</v>
      </c>
      <c r="H279" s="1022" t="s">
        <v>75</v>
      </c>
      <c r="I279" s="1062">
        <f t="shared" si="19"/>
        <v>851.77853800000003</v>
      </c>
    </row>
    <row r="280" spans="1:9" s="1066" customFormat="1">
      <c r="A280" s="1671"/>
      <c r="B280" s="1654"/>
      <c r="C280" s="1667" t="str">
        <f>Input!$C$47</f>
        <v>Add for MA @ 40%</v>
      </c>
      <c r="D280" s="1137">
        <f>Input!$D$47</f>
        <v>0.4</v>
      </c>
      <c r="E280" s="1022"/>
      <c r="F280" s="1137">
        <f>I279</f>
        <v>851.77853800000003</v>
      </c>
      <c r="G280" s="1022"/>
      <c r="H280" s="1022"/>
      <c r="I280" s="1062">
        <f t="shared" si="19"/>
        <v>340.71141520000003</v>
      </c>
    </row>
    <row r="281" spans="1:9" s="1066" customFormat="1" ht="38.25">
      <c r="A281" s="1671"/>
      <c r="B281" s="1654"/>
      <c r="C281" s="1670" t="s">
        <v>2011</v>
      </c>
      <c r="D281" s="1137">
        <f>G263</f>
        <v>2.87</v>
      </c>
      <c r="E281" s="1022" t="s">
        <v>94</v>
      </c>
      <c r="F281" s="1137">
        <f>'Civil-SOR'!$G$206</f>
        <v>550</v>
      </c>
      <c r="G281" s="1022">
        <v>1</v>
      </c>
      <c r="H281" s="1022" t="s">
        <v>94</v>
      </c>
      <c r="I281" s="1062">
        <f t="shared" si="19"/>
        <v>1578.5</v>
      </c>
    </row>
    <row r="282" spans="1:9" s="1066" customFormat="1" ht="15.95" customHeight="1">
      <c r="A282" s="1671"/>
      <c r="B282" s="1654"/>
      <c r="C282" s="1667" t="str">
        <f>Input!$C$47</f>
        <v>Add for MA @ 40%</v>
      </c>
      <c r="D282" s="1137">
        <f>Input!$D$47</f>
        <v>0.4</v>
      </c>
      <c r="E282" s="1022"/>
      <c r="F282" s="1137">
        <f>I281</f>
        <v>1578.5</v>
      </c>
      <c r="G282" s="1022"/>
      <c r="H282" s="1022"/>
      <c r="I282" s="1062">
        <f t="shared" si="19"/>
        <v>631.40000000000009</v>
      </c>
    </row>
    <row r="283" spans="1:9" s="1066" customFormat="1" ht="15.95" customHeight="1">
      <c r="A283" s="1671"/>
      <c r="B283" s="1654"/>
      <c r="C283" s="1667" t="s">
        <v>2054</v>
      </c>
      <c r="D283" s="1137">
        <f>G261</f>
        <v>0.75</v>
      </c>
      <c r="E283" s="1022" t="s">
        <v>94</v>
      </c>
      <c r="F283" s="1137">
        <f>'Civil-SOR'!$G$207</f>
        <v>410</v>
      </c>
      <c r="G283" s="1022">
        <v>1</v>
      </c>
      <c r="H283" s="1022" t="s">
        <v>94</v>
      </c>
      <c r="I283" s="1062">
        <f t="shared" si="19"/>
        <v>307.5</v>
      </c>
    </row>
    <row r="284" spans="1:9" s="1066" customFormat="1" ht="15.95" customHeight="1">
      <c r="A284" s="1671"/>
      <c r="B284" s="1654"/>
      <c r="C284" s="1667" t="str">
        <f>Input!$C$47</f>
        <v>Add for MA @ 40%</v>
      </c>
      <c r="D284" s="1137">
        <f>Input!$D$47</f>
        <v>0.4</v>
      </c>
      <c r="E284" s="1022"/>
      <c r="F284" s="1137">
        <f>I283</f>
        <v>307.5</v>
      </c>
      <c r="G284" s="1022"/>
      <c r="H284" s="1022"/>
      <c r="I284" s="1062">
        <f t="shared" si="19"/>
        <v>123</v>
      </c>
    </row>
    <row r="285" spans="1:9" s="1066" customFormat="1" ht="15.95" customHeight="1">
      <c r="A285" s="1671"/>
      <c r="B285" s="1654"/>
      <c r="C285" s="1667" t="s">
        <v>2013</v>
      </c>
      <c r="D285" s="1137"/>
      <c r="E285" s="1022"/>
      <c r="F285" s="1137"/>
      <c r="G285" s="1022"/>
      <c r="H285" s="1022"/>
      <c r="I285" s="1672"/>
    </row>
    <row r="286" spans="1:9" s="1066" customFormat="1" ht="15.95" customHeight="1">
      <c r="A286" s="1671"/>
      <c r="B286" s="1654"/>
      <c r="C286" s="1667" t="s">
        <v>2055</v>
      </c>
      <c r="D286" s="1137"/>
      <c r="E286" s="1022"/>
      <c r="F286" s="1137"/>
      <c r="G286" s="1022"/>
      <c r="H286" s="1022"/>
      <c r="I286" s="1035">
        <f>SUM(I266:I285)</f>
        <v>14797.0376732</v>
      </c>
    </row>
    <row r="287" spans="1:9" s="1066" customFormat="1" ht="12.75" customHeight="1">
      <c r="A287" s="1671"/>
      <c r="B287" s="1654"/>
      <c r="C287" s="1667" t="str">
        <f>Input!$C$48</f>
        <v>Overheads &amp; Contractors Profit @ 13.615%</v>
      </c>
      <c r="D287" s="1557">
        <f>Input!$D$48</f>
        <v>0.13614999999999999</v>
      </c>
      <c r="E287" s="1022"/>
      <c r="F287" s="1137">
        <f>I286</f>
        <v>14797.0376732</v>
      </c>
      <c r="G287" s="1022"/>
      <c r="H287" s="1022"/>
      <c r="I287" s="1062">
        <f>IF(G287="",D287*F287,(D287*F287/G287))</f>
        <v>2014.6166792061799</v>
      </c>
    </row>
    <row r="288" spans="1:9" s="1066" customFormat="1" ht="15.95" customHeight="1">
      <c r="A288" s="1671"/>
      <c r="B288" s="1654"/>
      <c r="C288" s="1667"/>
      <c r="D288" s="1137"/>
      <c r="E288" s="1022"/>
      <c r="F288" s="1137"/>
      <c r="G288" s="1022"/>
      <c r="H288" s="1022"/>
      <c r="I288" s="1672">
        <f>SUM(I286:I287)</f>
        <v>16811.654352406182</v>
      </c>
    </row>
    <row r="289" spans="1:16" s="1066" customFormat="1" ht="15.95" customHeight="1">
      <c r="A289" s="1671"/>
      <c r="B289" s="1654"/>
      <c r="C289" s="1662" t="s">
        <v>1525</v>
      </c>
      <c r="D289" s="1137"/>
      <c r="E289" s="1022"/>
      <c r="F289" s="1137"/>
      <c r="G289" s="1022"/>
      <c r="H289" s="1022"/>
      <c r="I289" s="1672">
        <f>I288/H254</f>
        <v>4310.680603181072</v>
      </c>
    </row>
    <row r="290" spans="1:16" s="1066" customFormat="1" ht="13.5" customHeight="1">
      <c r="A290" s="1671"/>
      <c r="B290" s="1654"/>
      <c r="C290" s="1667"/>
      <c r="D290" s="1137"/>
      <c r="E290" s="1022"/>
      <c r="F290" s="1137"/>
      <c r="G290" s="2075" t="s">
        <v>1096</v>
      </c>
      <c r="H290" s="2075"/>
      <c r="I290" s="1040">
        <f>ROUND(I289,0)</f>
        <v>4311</v>
      </c>
    </row>
    <row r="291" spans="1:16" s="1066" customFormat="1" ht="14.65" customHeight="1">
      <c r="A291" s="1671"/>
      <c r="B291" s="1654"/>
      <c r="C291" s="1667"/>
      <c r="D291" s="1137"/>
      <c r="E291" s="1022"/>
      <c r="F291" s="1137"/>
      <c r="G291" s="1022"/>
      <c r="H291" s="1654"/>
      <c r="I291" s="1040"/>
    </row>
    <row r="292" spans="1:16" s="1066" customFormat="1" ht="75.599999999999994" customHeight="1">
      <c r="A292" s="1671">
        <f>A251+1</f>
        <v>4</v>
      </c>
      <c r="B292" s="1654"/>
      <c r="C292" s="2036" t="s">
        <v>3512</v>
      </c>
      <c r="D292" s="2036"/>
      <c r="E292" s="2036"/>
      <c r="F292" s="2036"/>
      <c r="G292" s="2036"/>
      <c r="H292" s="2036"/>
      <c r="I292" s="1662"/>
    </row>
    <row r="293" spans="1:16" s="1066" customFormat="1" ht="120.6" customHeight="1">
      <c r="A293" s="1671"/>
      <c r="B293" s="1654"/>
      <c r="C293" s="2037" t="s">
        <v>3513</v>
      </c>
      <c r="D293" s="2037"/>
      <c r="E293" s="2037"/>
      <c r="F293" s="2037"/>
      <c r="G293" s="2037"/>
      <c r="H293" s="2037"/>
      <c r="I293" s="1667"/>
      <c r="K293" s="2109"/>
      <c r="L293" s="2109"/>
      <c r="M293" s="2109"/>
      <c r="N293" s="2109"/>
      <c r="O293" s="2109"/>
      <c r="P293" s="2109"/>
    </row>
    <row r="294" spans="1:16" s="1066" customFormat="1" ht="13.9" customHeight="1">
      <c r="A294" s="1671"/>
      <c r="B294" s="1654"/>
      <c r="C294" s="1662" t="s">
        <v>1981</v>
      </c>
      <c r="D294" s="2091"/>
      <c r="E294" s="2091"/>
      <c r="F294" s="2091"/>
      <c r="G294" s="1022"/>
      <c r="H294" s="1022"/>
      <c r="I294" s="1671"/>
    </row>
    <row r="295" spans="1:16" s="1066" customFormat="1" ht="13.15" customHeight="1">
      <c r="A295" s="1671"/>
      <c r="B295" s="1654"/>
      <c r="C295" s="1667"/>
      <c r="D295" s="1657" t="s">
        <v>1982</v>
      </c>
      <c r="E295" s="2045" t="s">
        <v>2056</v>
      </c>
      <c r="F295" s="2045"/>
      <c r="G295" s="1022"/>
      <c r="H295" s="1556">
        <f>1.5*2.4</f>
        <v>3.5999999999999996</v>
      </c>
      <c r="I295" s="1553" t="s">
        <v>94</v>
      </c>
    </row>
    <row r="296" spans="1:16" s="1066" customFormat="1" ht="14.25" customHeight="1">
      <c r="A296" s="1671"/>
      <c r="B296" s="1654"/>
      <c r="C296" s="1662" t="s">
        <v>1935</v>
      </c>
      <c r="D296" s="2099"/>
      <c r="E296" s="2099"/>
      <c r="F296" s="2099"/>
      <c r="G296" s="1022"/>
      <c r="H296" s="1022"/>
      <c r="I296" s="1672"/>
    </row>
    <row r="297" spans="1:16" s="1066" customFormat="1" ht="13.15" customHeight="1">
      <c r="A297" s="1671"/>
      <c r="B297" s="1654"/>
      <c r="C297" s="1667" t="s">
        <v>1984</v>
      </c>
      <c r="D297" s="2077" t="s">
        <v>2057</v>
      </c>
      <c r="E297" s="2077"/>
      <c r="F297" s="2077"/>
      <c r="G297" s="1022"/>
      <c r="H297" s="1022"/>
      <c r="I297" s="1672"/>
    </row>
    <row r="298" spans="1:16" s="1066" customFormat="1" ht="13.15" customHeight="1">
      <c r="A298" s="1671"/>
      <c r="B298" s="1654"/>
      <c r="C298" s="1667"/>
      <c r="D298" s="2077" t="s">
        <v>2058</v>
      </c>
      <c r="E298" s="2077"/>
      <c r="F298" s="2077"/>
      <c r="G298" s="2105">
        <f>ROUND(4.82*0.1*0.065,5)</f>
        <v>3.1329999999999997E-2</v>
      </c>
      <c r="H298" s="2105"/>
      <c r="I298" s="1659" t="s">
        <v>75</v>
      </c>
    </row>
    <row r="299" spans="1:16" s="1066" customFormat="1" ht="13.15" customHeight="1">
      <c r="A299" s="1671"/>
      <c r="B299" s="1654"/>
      <c r="C299" s="1667" t="s">
        <v>1987</v>
      </c>
      <c r="D299" s="2077" t="s">
        <v>2059</v>
      </c>
      <c r="E299" s="2077"/>
      <c r="F299" s="2077"/>
      <c r="G299" s="2106"/>
      <c r="H299" s="2106"/>
      <c r="I299" s="1659"/>
    </row>
    <row r="300" spans="1:16" s="1066" customFormat="1" ht="13.15" customHeight="1">
      <c r="A300" s="1671"/>
      <c r="B300" s="1654"/>
      <c r="C300" s="1667"/>
      <c r="D300" s="2077" t="s">
        <v>2060</v>
      </c>
      <c r="E300" s="2077"/>
      <c r="F300" s="2077"/>
      <c r="G300" s="2105">
        <f>ROUND(3.5*0.1*0.065,5)</f>
        <v>2.2749999999999999E-2</v>
      </c>
      <c r="H300" s="2105"/>
      <c r="I300" s="1659" t="s">
        <v>75</v>
      </c>
    </row>
    <row r="301" spans="1:16" s="1066" customFormat="1" ht="13.9" customHeight="1">
      <c r="A301" s="1671"/>
      <c r="B301" s="1654"/>
      <c r="C301" s="1667"/>
      <c r="D301" s="2077"/>
      <c r="E301" s="2077"/>
      <c r="F301" s="2077"/>
      <c r="G301" s="2104">
        <f>SUM(G298:G300)</f>
        <v>5.4079999999999996E-2</v>
      </c>
      <c r="H301" s="2104"/>
      <c r="I301" s="1553" t="s">
        <v>75</v>
      </c>
    </row>
    <row r="302" spans="1:16" s="1066" customFormat="1" ht="15.6" customHeight="1">
      <c r="A302" s="1671"/>
      <c r="B302" s="1654"/>
      <c r="C302" s="1667" t="s">
        <v>1990</v>
      </c>
      <c r="D302" s="2077" t="s">
        <v>2061</v>
      </c>
      <c r="E302" s="2077"/>
      <c r="F302" s="2077"/>
      <c r="G302" s="2076">
        <f>ROUND(2*0.75*0.3,2)</f>
        <v>0.45</v>
      </c>
      <c r="H302" s="2076"/>
      <c r="I302" s="1553" t="s">
        <v>94</v>
      </c>
    </row>
    <row r="303" spans="1:16" s="1066" customFormat="1" ht="15.6" customHeight="1">
      <c r="A303" s="1671"/>
      <c r="B303" s="1654"/>
      <c r="C303" s="1667" t="s">
        <v>1992</v>
      </c>
      <c r="D303" s="2077" t="s">
        <v>2062</v>
      </c>
      <c r="E303" s="2077"/>
      <c r="F303" s="2077"/>
      <c r="G303" s="2076">
        <f>ROUND(2*2*(0.75+0.3),2)</f>
        <v>4.2</v>
      </c>
      <c r="H303" s="2076"/>
      <c r="I303" s="1553" t="s">
        <v>197</v>
      </c>
    </row>
    <row r="304" spans="1:16" s="1066" customFormat="1" ht="15.6" customHeight="1">
      <c r="A304" s="1671"/>
      <c r="B304" s="1654"/>
      <c r="C304" s="1667" t="s">
        <v>2027</v>
      </c>
      <c r="D304" s="2077" t="s">
        <v>2063</v>
      </c>
      <c r="E304" s="2077"/>
      <c r="F304" s="2077"/>
      <c r="G304" s="2107">
        <f>ROUND(2*0.7*2.05,3)</f>
        <v>2.87</v>
      </c>
      <c r="H304" s="2107"/>
      <c r="I304" s="1553" t="s">
        <v>94</v>
      </c>
    </row>
    <row r="305" spans="1:9" s="1066" customFormat="1" ht="15.6" customHeight="1">
      <c r="A305" s="1671"/>
      <c r="B305" s="1654"/>
      <c r="C305" s="1667" t="s">
        <v>1996</v>
      </c>
      <c r="D305" s="2108" t="s">
        <v>2064</v>
      </c>
      <c r="E305" s="2108"/>
      <c r="F305" s="2108"/>
      <c r="G305" s="2098">
        <f>ROUND(2*1.5*0.785,3)</f>
        <v>2.355</v>
      </c>
      <c r="H305" s="2098"/>
      <c r="I305" s="1553" t="s">
        <v>1110</v>
      </c>
    </row>
    <row r="306" spans="1:9" s="1066" customFormat="1" ht="15.95" customHeight="1">
      <c r="A306" s="1671"/>
      <c r="B306" s="1654"/>
      <c r="C306" s="1662" t="s">
        <v>1965</v>
      </c>
      <c r="D306" s="1137"/>
      <c r="E306" s="1022"/>
      <c r="F306" s="1137"/>
      <c r="G306" s="1022"/>
      <c r="H306" s="1022"/>
      <c r="I306" s="1672"/>
    </row>
    <row r="307" spans="1:9" s="1066" customFormat="1" ht="15.6" customHeight="1">
      <c r="A307" s="1671"/>
      <c r="B307" s="1654"/>
      <c r="C307" s="1667" t="s">
        <v>2050</v>
      </c>
      <c r="D307" s="1557">
        <f>G298</f>
        <v>3.1329999999999997E-2</v>
      </c>
      <c r="E307" s="1022" t="s">
        <v>75</v>
      </c>
      <c r="F307" s="1137">
        <f>'Civil-SOR'!$G$26</f>
        <v>91479</v>
      </c>
      <c r="G307" s="1022">
        <v>1</v>
      </c>
      <c r="H307" s="1022" t="s">
        <v>75</v>
      </c>
      <c r="I307" s="1062">
        <f t="shared" ref="I307:I325" si="21">IF(G307="",D307*F307,(D307*F307/G307))</f>
        <v>2866.0370699999999</v>
      </c>
    </row>
    <row r="308" spans="1:9" s="1066" customFormat="1" ht="15.6" customHeight="1">
      <c r="A308" s="1671"/>
      <c r="B308" s="1654"/>
      <c r="C308" s="1667" t="s">
        <v>2031</v>
      </c>
      <c r="D308" s="1557">
        <f>G300</f>
        <v>2.2749999999999999E-2</v>
      </c>
      <c r="E308" s="1022" t="s">
        <v>75</v>
      </c>
      <c r="F308" s="1137">
        <f>'Civil-SOR'!$G$25</f>
        <v>82331</v>
      </c>
      <c r="G308" s="1022">
        <v>1</v>
      </c>
      <c r="H308" s="1022" t="s">
        <v>75</v>
      </c>
      <c r="I308" s="1062">
        <f t="shared" si="21"/>
        <v>1873.03025</v>
      </c>
    </row>
    <row r="309" spans="1:9" s="1066" customFormat="1" ht="15.6" customHeight="1">
      <c r="A309" s="1671"/>
      <c r="B309" s="1654"/>
      <c r="C309" s="1667" t="s">
        <v>1998</v>
      </c>
      <c r="D309" s="1137">
        <f t="shared" ref="D309:D311" si="22">G302</f>
        <v>0.45</v>
      </c>
      <c r="E309" s="1022" t="s">
        <v>94</v>
      </c>
      <c r="F309" s="1137">
        <f>'Civil-SOR'!$G$51</f>
        <v>336</v>
      </c>
      <c r="G309" s="1022">
        <v>1</v>
      </c>
      <c r="H309" s="1022" t="s">
        <v>94</v>
      </c>
      <c r="I309" s="1062">
        <f t="shared" si="21"/>
        <v>151.20000000000002</v>
      </c>
    </row>
    <row r="310" spans="1:9" s="1066" customFormat="1" ht="15.6" customHeight="1">
      <c r="A310" s="1671"/>
      <c r="B310" s="1654"/>
      <c r="C310" s="1667" t="s">
        <v>1999</v>
      </c>
      <c r="D310" s="1137">
        <f t="shared" si="22"/>
        <v>4.2</v>
      </c>
      <c r="E310" s="1022" t="s">
        <v>197</v>
      </c>
      <c r="F310" s="1137">
        <f>'Civil-SOR'!$G$382</f>
        <v>26</v>
      </c>
      <c r="G310" s="1022">
        <v>1</v>
      </c>
      <c r="H310" s="1022" t="s">
        <v>2032</v>
      </c>
      <c r="I310" s="1062">
        <f t="shared" si="21"/>
        <v>109.2</v>
      </c>
    </row>
    <row r="311" spans="1:9" s="1066" customFormat="1" ht="15.6" customHeight="1">
      <c r="A311" s="1671"/>
      <c r="B311" s="1654"/>
      <c r="C311" s="1667" t="s">
        <v>2033</v>
      </c>
      <c r="D311" s="1137">
        <f t="shared" si="22"/>
        <v>2.87</v>
      </c>
      <c r="E311" s="1022" t="s">
        <v>94</v>
      </c>
      <c r="F311" s="1137">
        <f>'Civil-SOR'!$G$114</f>
        <v>1334</v>
      </c>
      <c r="G311" s="1022">
        <v>1</v>
      </c>
      <c r="H311" s="1022" t="s">
        <v>94</v>
      </c>
      <c r="I311" s="1062">
        <f t="shared" si="21"/>
        <v>3828.58</v>
      </c>
    </row>
    <row r="312" spans="1:9" s="1066" customFormat="1" ht="15.6" customHeight="1">
      <c r="A312" s="1671"/>
      <c r="B312" s="1654"/>
      <c r="C312" s="1667" t="s">
        <v>2034</v>
      </c>
      <c r="D312" s="1076">
        <v>6</v>
      </c>
      <c r="E312" s="1022" t="s">
        <v>36</v>
      </c>
      <c r="F312" s="1137">
        <f>'Civil-SOR'!$G$385</f>
        <v>37</v>
      </c>
      <c r="G312" s="1022"/>
      <c r="H312" s="1022" t="s">
        <v>501</v>
      </c>
      <c r="I312" s="1062">
        <f t="shared" si="21"/>
        <v>222</v>
      </c>
    </row>
    <row r="313" spans="1:9" s="1066" customFormat="1" ht="15.6" customHeight="1">
      <c r="A313" s="1671"/>
      <c r="B313" s="1654"/>
      <c r="C313" s="1667" t="s">
        <v>2035</v>
      </c>
      <c r="D313" s="1076">
        <v>2</v>
      </c>
      <c r="E313" s="1022" t="s">
        <v>36</v>
      </c>
      <c r="F313" s="1137">
        <f>'Civil-SOR'!$G$153</f>
        <v>90</v>
      </c>
      <c r="G313" s="1022"/>
      <c r="H313" s="1022" t="s">
        <v>501</v>
      </c>
      <c r="I313" s="1062">
        <f t="shared" si="21"/>
        <v>180</v>
      </c>
    </row>
    <row r="314" spans="1:9" s="1066" customFormat="1" ht="15.6" customHeight="1">
      <c r="A314" s="1671"/>
      <c r="B314" s="1654"/>
      <c r="C314" s="1667" t="s">
        <v>2036</v>
      </c>
      <c r="D314" s="1076">
        <v>6</v>
      </c>
      <c r="E314" s="1022" t="s">
        <v>36</v>
      </c>
      <c r="F314" s="1137">
        <f>'Civil-SOR'!$G$159</f>
        <v>106</v>
      </c>
      <c r="G314" s="1022"/>
      <c r="H314" s="1022" t="s">
        <v>501</v>
      </c>
      <c r="I314" s="1062">
        <f t="shared" si="21"/>
        <v>636</v>
      </c>
    </row>
    <row r="315" spans="1:9" s="1066" customFormat="1" ht="15.6" customHeight="1">
      <c r="A315" s="1671"/>
      <c r="B315" s="1654"/>
      <c r="C315" s="1667" t="s">
        <v>2037</v>
      </c>
      <c r="D315" s="1076">
        <v>1</v>
      </c>
      <c r="E315" s="1022" t="s">
        <v>39</v>
      </c>
      <c r="F315" s="1137">
        <f>'Civil-SOR'!$G$172</f>
        <v>239</v>
      </c>
      <c r="G315" s="1022"/>
      <c r="H315" s="1022" t="s">
        <v>501</v>
      </c>
      <c r="I315" s="1062">
        <f t="shared" si="21"/>
        <v>239</v>
      </c>
    </row>
    <row r="316" spans="1:9" s="1066" customFormat="1" ht="15.6" customHeight="1">
      <c r="A316" s="1671"/>
      <c r="B316" s="1654"/>
      <c r="C316" s="1667" t="s">
        <v>2038</v>
      </c>
      <c r="D316" s="1076">
        <v>2</v>
      </c>
      <c r="E316" s="1022" t="s">
        <v>36</v>
      </c>
      <c r="F316" s="1137">
        <f>'Civil-SOR'!$G$164</f>
        <v>100</v>
      </c>
      <c r="G316" s="1022"/>
      <c r="H316" s="1022" t="s">
        <v>501</v>
      </c>
      <c r="I316" s="1062">
        <f t="shared" si="21"/>
        <v>200</v>
      </c>
    </row>
    <row r="317" spans="1:9" s="1066" customFormat="1" ht="15.6" customHeight="1">
      <c r="A317" s="1671"/>
      <c r="B317" s="1654"/>
      <c r="C317" s="1667" t="s">
        <v>2039</v>
      </c>
      <c r="D317" s="1076">
        <v>2</v>
      </c>
      <c r="E317" s="1022" t="s">
        <v>36</v>
      </c>
      <c r="F317" s="1137">
        <f>'Civil-SOR'!$G$178</f>
        <v>66</v>
      </c>
      <c r="G317" s="1022"/>
      <c r="H317" s="1022" t="s">
        <v>501</v>
      </c>
      <c r="I317" s="1062">
        <f t="shared" si="21"/>
        <v>132</v>
      </c>
    </row>
    <row r="318" spans="1:9" s="1066" customFormat="1" ht="15.6" customHeight="1">
      <c r="A318" s="1671"/>
      <c r="B318" s="1654"/>
      <c r="C318" s="1667" t="s">
        <v>2040</v>
      </c>
      <c r="D318" s="1076">
        <v>2</v>
      </c>
      <c r="E318" s="1022" t="s">
        <v>36</v>
      </c>
      <c r="F318" s="1137">
        <f>'Civil-SOR'!$G$386</f>
        <v>12</v>
      </c>
      <c r="G318" s="1022"/>
      <c r="H318" s="1022" t="s">
        <v>501</v>
      </c>
      <c r="I318" s="1062">
        <f t="shared" si="21"/>
        <v>24</v>
      </c>
    </row>
    <row r="319" spans="1:9" s="1066" customFormat="1" ht="14.45" customHeight="1">
      <c r="A319" s="1671"/>
      <c r="B319" s="1654"/>
      <c r="C319" s="1667" t="s">
        <v>2009</v>
      </c>
      <c r="D319" s="1138">
        <f>G305</f>
        <v>2.355</v>
      </c>
      <c r="E319" s="1022" t="s">
        <v>1110</v>
      </c>
      <c r="F319" s="1137">
        <f>LEAD!$N$10</f>
        <v>61000</v>
      </c>
      <c r="G319" s="1022">
        <v>1000</v>
      </c>
      <c r="H319" s="1022" t="s">
        <v>1110</v>
      </c>
      <c r="I319" s="1062">
        <f t="shared" si="21"/>
        <v>143.655</v>
      </c>
    </row>
    <row r="320" spans="1:9" s="1066" customFormat="1" ht="14.45" customHeight="1">
      <c r="A320" s="1671"/>
      <c r="B320" s="1654"/>
      <c r="C320" s="1667" t="s">
        <v>2010</v>
      </c>
      <c r="D320" s="1673">
        <f>G301</f>
        <v>5.4079999999999996E-2</v>
      </c>
      <c r="E320" s="1022" t="s">
        <v>75</v>
      </c>
      <c r="F320" s="1137">
        <f>$I$8</f>
        <v>15027.85</v>
      </c>
      <c r="G320" s="1022">
        <v>1</v>
      </c>
      <c r="H320" s="1022" t="s">
        <v>75</v>
      </c>
      <c r="I320" s="1062">
        <f t="shared" si="21"/>
        <v>812.70612799999992</v>
      </c>
    </row>
    <row r="321" spans="1:9" s="1066" customFormat="1" ht="14.45" customHeight="1">
      <c r="A321" s="1671"/>
      <c r="B321" s="1654"/>
      <c r="C321" s="1667" t="str">
        <f>Input!$C$47</f>
        <v>Add for MA @ 40%</v>
      </c>
      <c r="D321" s="1137">
        <f>Input!$D$47</f>
        <v>0.4</v>
      </c>
      <c r="E321" s="1022"/>
      <c r="F321" s="1137">
        <f>I320</f>
        <v>812.70612799999992</v>
      </c>
      <c r="G321" s="1022"/>
      <c r="H321" s="1022"/>
      <c r="I321" s="1062">
        <f t="shared" si="21"/>
        <v>325.08245119999998</v>
      </c>
    </row>
    <row r="322" spans="1:9" s="1066" customFormat="1" ht="28.9" customHeight="1">
      <c r="A322" s="1671"/>
      <c r="B322" s="1654"/>
      <c r="C322" s="1670" t="s">
        <v>2011</v>
      </c>
      <c r="D322" s="1137">
        <f>G304</f>
        <v>2.87</v>
      </c>
      <c r="E322" s="1022" t="s">
        <v>94</v>
      </c>
      <c r="F322" s="1137">
        <f>'Civil-SOR'!$G$206</f>
        <v>550</v>
      </c>
      <c r="G322" s="1022">
        <v>1</v>
      </c>
      <c r="H322" s="1022" t="s">
        <v>94</v>
      </c>
      <c r="I322" s="1062">
        <f t="shared" si="21"/>
        <v>1578.5</v>
      </c>
    </row>
    <row r="323" spans="1:9" s="1066" customFormat="1" ht="14.45" customHeight="1">
      <c r="A323" s="1671"/>
      <c r="B323" s="1654"/>
      <c r="C323" s="1667" t="str">
        <f>Input!$C$47</f>
        <v>Add for MA @ 40%</v>
      </c>
      <c r="D323" s="1137">
        <f>Input!$D$47</f>
        <v>0.4</v>
      </c>
      <c r="E323" s="1022"/>
      <c r="F323" s="1137">
        <f>I322</f>
        <v>1578.5</v>
      </c>
      <c r="G323" s="1022"/>
      <c r="H323" s="1022"/>
      <c r="I323" s="1062">
        <f t="shared" si="21"/>
        <v>631.40000000000009</v>
      </c>
    </row>
    <row r="324" spans="1:9" s="1066" customFormat="1" ht="14.45" customHeight="1">
      <c r="A324" s="1671"/>
      <c r="B324" s="1654"/>
      <c r="C324" s="1667" t="s">
        <v>2054</v>
      </c>
      <c r="D324" s="1137">
        <f>G302</f>
        <v>0.45</v>
      </c>
      <c r="E324" s="1022" t="s">
        <v>94</v>
      </c>
      <c r="F324" s="1137">
        <f>'Civil-SOR'!$G$207</f>
        <v>410</v>
      </c>
      <c r="G324" s="1022">
        <v>1</v>
      </c>
      <c r="H324" s="1022" t="s">
        <v>94</v>
      </c>
      <c r="I324" s="1062">
        <f t="shared" si="21"/>
        <v>184.5</v>
      </c>
    </row>
    <row r="325" spans="1:9" s="1066" customFormat="1" ht="14.45" customHeight="1">
      <c r="A325" s="1671"/>
      <c r="B325" s="1654"/>
      <c r="C325" s="1667" t="str">
        <f>Input!$C$47</f>
        <v>Add for MA @ 40%</v>
      </c>
      <c r="D325" s="1137">
        <f>Input!$D$47</f>
        <v>0.4</v>
      </c>
      <c r="E325" s="1022"/>
      <c r="F325" s="1137">
        <f>I324</f>
        <v>184.5</v>
      </c>
      <c r="G325" s="1022"/>
      <c r="H325" s="1022"/>
      <c r="I325" s="1062">
        <f t="shared" si="21"/>
        <v>73.8</v>
      </c>
    </row>
    <row r="326" spans="1:9" s="1066" customFormat="1" ht="14.45" customHeight="1">
      <c r="A326" s="1671"/>
      <c r="B326" s="1654"/>
      <c r="C326" s="1667" t="s">
        <v>2013</v>
      </c>
      <c r="D326" s="1137"/>
      <c r="E326" s="1022"/>
      <c r="F326" s="1137"/>
      <c r="G326" s="1022"/>
      <c r="H326" s="1022"/>
      <c r="I326" s="1672"/>
    </row>
    <row r="327" spans="1:9" s="1066" customFormat="1" ht="14.45" customHeight="1">
      <c r="A327" s="1671"/>
      <c r="B327" s="1654"/>
      <c r="C327" s="1667" t="s">
        <v>2055</v>
      </c>
      <c r="D327" s="1137"/>
      <c r="E327" s="1022"/>
      <c r="F327" s="1137"/>
      <c r="G327" s="1022"/>
      <c r="H327" s="1022"/>
      <c r="I327" s="1035">
        <f>SUM(I307:I326)</f>
        <v>14210.690899199999</v>
      </c>
    </row>
    <row r="328" spans="1:9" s="1066" customFormat="1" ht="14.45" customHeight="1">
      <c r="A328" s="1671"/>
      <c r="B328" s="1654"/>
      <c r="C328" s="1667" t="str">
        <f>Input!$C$48</f>
        <v>Overheads &amp; Contractors Profit @ 13.615%</v>
      </c>
      <c r="D328" s="1557">
        <f>Input!$D$48</f>
        <v>0.13614999999999999</v>
      </c>
      <c r="E328" s="1022"/>
      <c r="F328" s="1137">
        <f>I327</f>
        <v>14210.690899199999</v>
      </c>
      <c r="G328" s="1022"/>
      <c r="H328" s="1022"/>
      <c r="I328" s="1062">
        <f>IF(G328="",D328*F328,(D328*F328/G328))</f>
        <v>1934.7855659260797</v>
      </c>
    </row>
    <row r="329" spans="1:9" s="1066" customFormat="1" ht="15.95" customHeight="1">
      <c r="A329" s="1671"/>
      <c r="B329" s="1654"/>
      <c r="C329" s="1667"/>
      <c r="D329" s="1137"/>
      <c r="E329" s="1022"/>
      <c r="F329" s="1137"/>
      <c r="G329" s="1022"/>
      <c r="H329" s="1022"/>
      <c r="I329" s="1672">
        <f>SUM(I327:I328)</f>
        <v>16145.476465126079</v>
      </c>
    </row>
    <row r="330" spans="1:9" s="1066" customFormat="1" ht="15.95" customHeight="1">
      <c r="A330" s="1671"/>
      <c r="B330" s="1654"/>
      <c r="C330" s="1662" t="s">
        <v>1525</v>
      </c>
      <c r="D330" s="1137"/>
      <c r="E330" s="1022"/>
      <c r="F330" s="1137"/>
      <c r="G330" s="1022"/>
      <c r="H330" s="1022"/>
      <c r="I330" s="1672">
        <f>I329/H295</f>
        <v>4484.8545736461338</v>
      </c>
    </row>
    <row r="331" spans="1:9" s="1066" customFormat="1" ht="15" customHeight="1">
      <c r="A331" s="1671"/>
      <c r="B331" s="1654"/>
      <c r="C331" s="1667"/>
      <c r="D331" s="1137"/>
      <c r="E331" s="1022"/>
      <c r="F331" s="1137"/>
      <c r="G331" s="2075" t="s">
        <v>1096</v>
      </c>
      <c r="H331" s="2075"/>
      <c r="I331" s="1040">
        <f>ROUND(I330,0)</f>
        <v>4485</v>
      </c>
    </row>
    <row r="332" spans="1:9" s="1066" customFormat="1" ht="14.65" customHeight="1">
      <c r="A332" s="1671"/>
      <c r="B332" s="1654"/>
      <c r="C332" s="1667"/>
      <c r="D332" s="1137"/>
      <c r="E332" s="1022"/>
      <c r="F332" s="1137"/>
      <c r="G332" s="1022"/>
      <c r="H332" s="1654"/>
      <c r="I332" s="1040"/>
    </row>
    <row r="333" spans="1:9" s="1066" customFormat="1" ht="75.599999999999994" customHeight="1">
      <c r="A333" s="1671">
        <f>1+A251</f>
        <v>4</v>
      </c>
      <c r="B333" s="1654"/>
      <c r="C333" s="2036" t="s">
        <v>3512</v>
      </c>
      <c r="D333" s="2036"/>
      <c r="E333" s="2036"/>
      <c r="F333" s="2036"/>
      <c r="G333" s="2036"/>
      <c r="H333" s="2036"/>
      <c r="I333" s="1662"/>
    </row>
    <row r="334" spans="1:9" s="1066" customFormat="1" ht="123.6" customHeight="1">
      <c r="A334" s="1671"/>
      <c r="B334" s="1654"/>
      <c r="C334" s="2037" t="s">
        <v>3514</v>
      </c>
      <c r="D334" s="2037"/>
      <c r="E334" s="2037"/>
      <c r="F334" s="2037"/>
      <c r="G334" s="2037"/>
      <c r="H334" s="2037"/>
      <c r="I334" s="1667"/>
    </row>
    <row r="335" spans="1:9" s="1066" customFormat="1" ht="15.95" customHeight="1">
      <c r="A335" s="1671"/>
      <c r="B335" s="1654"/>
      <c r="C335" s="1662" t="s">
        <v>1981</v>
      </c>
      <c r="D335" s="1022"/>
      <c r="E335" s="1022"/>
      <c r="F335" s="1022"/>
      <c r="G335" s="1022"/>
      <c r="H335" s="1022"/>
      <c r="I335" s="1671"/>
    </row>
    <row r="336" spans="1:9" s="1066" customFormat="1" ht="13.15" customHeight="1">
      <c r="A336" s="1671"/>
      <c r="B336" s="1654"/>
      <c r="C336" s="1667"/>
      <c r="D336" s="1556" t="s">
        <v>1982</v>
      </c>
      <c r="E336" s="2070" t="s">
        <v>2065</v>
      </c>
      <c r="F336" s="2070"/>
      <c r="G336" s="1022"/>
      <c r="H336" s="1556">
        <f>1.2*2.6</f>
        <v>3.12</v>
      </c>
      <c r="I336" s="1035" t="s">
        <v>94</v>
      </c>
    </row>
    <row r="337" spans="1:9" s="1066" customFormat="1" ht="13.9" customHeight="1">
      <c r="A337" s="1671"/>
      <c r="B337" s="1654"/>
      <c r="C337" s="1662" t="s">
        <v>1935</v>
      </c>
      <c r="D337" s="2099"/>
      <c r="E337" s="2099"/>
      <c r="F337" s="2099"/>
      <c r="G337" s="1022"/>
      <c r="H337" s="1022"/>
      <c r="I337" s="1672"/>
    </row>
    <row r="338" spans="1:9" s="1066" customFormat="1" ht="13.9" customHeight="1">
      <c r="A338" s="1671"/>
      <c r="B338" s="1654"/>
      <c r="C338" s="1667" t="s">
        <v>1984</v>
      </c>
      <c r="D338" s="2077" t="s">
        <v>1985</v>
      </c>
      <c r="E338" s="2077"/>
      <c r="F338" s="2077"/>
      <c r="G338" s="1022"/>
      <c r="H338" s="1022"/>
      <c r="I338" s="1672"/>
    </row>
    <row r="339" spans="1:9" s="1066" customFormat="1" ht="13.15" customHeight="1">
      <c r="A339" s="1671"/>
      <c r="B339" s="1654"/>
      <c r="C339" s="1667"/>
      <c r="D339" s="2077" t="s">
        <v>2043</v>
      </c>
      <c r="E339" s="2077"/>
      <c r="F339" s="2077"/>
      <c r="G339" s="2105">
        <f>ROUND(5.22*0.1*0.065,5)</f>
        <v>3.3930000000000002E-2</v>
      </c>
      <c r="H339" s="2105"/>
      <c r="I339" s="1659" t="s">
        <v>75</v>
      </c>
    </row>
    <row r="340" spans="1:9" s="1066" customFormat="1" ht="16.149999999999999" customHeight="1">
      <c r="A340" s="1671"/>
      <c r="B340" s="1654"/>
      <c r="C340" s="1667" t="s">
        <v>1987</v>
      </c>
      <c r="D340" s="2077" t="s">
        <v>2066</v>
      </c>
      <c r="E340" s="2077"/>
      <c r="F340" s="2077"/>
      <c r="G340" s="1676"/>
      <c r="H340" s="1676"/>
      <c r="I340" s="1659"/>
    </row>
    <row r="341" spans="1:9" s="1066" customFormat="1" ht="16.149999999999999" customHeight="1">
      <c r="A341" s="1671"/>
      <c r="B341" s="1654"/>
      <c r="C341" s="1667"/>
      <c r="D341" s="2077" t="s">
        <v>2067</v>
      </c>
      <c r="E341" s="2077"/>
      <c r="F341" s="2077"/>
      <c r="G341" s="2105">
        <f>ROUND(2.9*0.1*0.065,5)</f>
        <v>1.8849999999999999E-2</v>
      </c>
      <c r="H341" s="2105"/>
      <c r="I341" s="1659" t="s">
        <v>75</v>
      </c>
    </row>
    <row r="342" spans="1:9" s="1066" customFormat="1" ht="13.15" customHeight="1">
      <c r="A342" s="1671"/>
      <c r="B342" s="1654"/>
      <c r="C342" s="1667"/>
      <c r="D342" s="1659"/>
      <c r="E342" s="1670"/>
      <c r="F342" s="1659"/>
      <c r="G342" s="2104">
        <f>SUM(G339:G341)</f>
        <v>5.2780000000000001E-2</v>
      </c>
      <c r="H342" s="2104"/>
      <c r="I342" s="1553" t="s">
        <v>75</v>
      </c>
    </row>
    <row r="343" spans="1:9" s="1066" customFormat="1" ht="16.149999999999999" customHeight="1">
      <c r="A343" s="1671"/>
      <c r="B343" s="1654"/>
      <c r="C343" s="1667" t="s">
        <v>1990</v>
      </c>
      <c r="D343" s="2077" t="s">
        <v>2068</v>
      </c>
      <c r="E343" s="2077"/>
      <c r="F343" s="2077"/>
      <c r="G343" s="2076">
        <f>ROUND(2*(0.6*0.5),2)</f>
        <v>0.6</v>
      </c>
      <c r="H343" s="2076"/>
      <c r="I343" s="1553" t="s">
        <v>94</v>
      </c>
    </row>
    <row r="344" spans="1:9" s="1066" customFormat="1" ht="16.149999999999999" customHeight="1">
      <c r="A344" s="1671"/>
      <c r="B344" s="1654"/>
      <c r="C344" s="1667" t="s">
        <v>1992</v>
      </c>
      <c r="D344" s="2077" t="s">
        <v>2069</v>
      </c>
      <c r="E344" s="2077"/>
      <c r="F344" s="2077"/>
      <c r="G344" s="2076">
        <f>ROUND(2*2*(0.6+0.5),2)</f>
        <v>4.4000000000000004</v>
      </c>
      <c r="H344" s="2076"/>
      <c r="I344" s="1553" t="s">
        <v>197</v>
      </c>
    </row>
    <row r="345" spans="1:9" s="1066" customFormat="1" ht="16.149999999999999" customHeight="1">
      <c r="A345" s="1671"/>
      <c r="B345" s="1654"/>
      <c r="C345" s="1667" t="s">
        <v>2027</v>
      </c>
      <c r="D345" s="2077" t="s">
        <v>2070</v>
      </c>
      <c r="E345" s="2077"/>
      <c r="F345" s="2077"/>
      <c r="G345" s="2107">
        <f>ROUND(2*0.55*2.05,3)</f>
        <v>2.2549999999999999</v>
      </c>
      <c r="H345" s="2107"/>
      <c r="I345" s="1553" t="s">
        <v>94</v>
      </c>
    </row>
    <row r="346" spans="1:9" s="1066" customFormat="1" ht="16.149999999999999" customHeight="1">
      <c r="A346" s="1671"/>
      <c r="B346" s="1654"/>
      <c r="C346" s="1667" t="s">
        <v>1996</v>
      </c>
      <c r="D346" s="2108" t="s">
        <v>2071</v>
      </c>
      <c r="E346" s="2108"/>
      <c r="F346" s="2108"/>
      <c r="G346" s="2098">
        <f>ROUND(2*1.2*0.785,3)</f>
        <v>1.8839999999999999</v>
      </c>
      <c r="H346" s="2098"/>
      <c r="I346" s="1553" t="s">
        <v>1110</v>
      </c>
    </row>
    <row r="347" spans="1:9" s="1066" customFormat="1" ht="15.95" customHeight="1">
      <c r="A347" s="1671"/>
      <c r="B347" s="1654"/>
      <c r="C347" s="1662" t="s">
        <v>1965</v>
      </c>
      <c r="D347" s="1137"/>
      <c r="E347" s="1022"/>
      <c r="F347" s="1137"/>
      <c r="G347" s="1022"/>
      <c r="H347" s="1022"/>
      <c r="I347" s="1672"/>
    </row>
    <row r="348" spans="1:9" s="1066" customFormat="1" ht="12.75" customHeight="1">
      <c r="A348" s="1671"/>
      <c r="B348" s="1654"/>
      <c r="C348" s="1667" t="s">
        <v>2050</v>
      </c>
      <c r="D348" s="1557">
        <f>G339</f>
        <v>3.3930000000000002E-2</v>
      </c>
      <c r="E348" s="1022" t="s">
        <v>75</v>
      </c>
      <c r="F348" s="1137">
        <f>'Civil-SOR'!$G$26</f>
        <v>91479</v>
      </c>
      <c r="G348" s="1022">
        <v>1</v>
      </c>
      <c r="H348" s="1022" t="s">
        <v>75</v>
      </c>
      <c r="I348" s="1062">
        <f t="shared" ref="I348:I366" si="23">IF(G348="",D348*F348,(D348*F348/G348))</f>
        <v>3103.88247</v>
      </c>
    </row>
    <row r="349" spans="1:9" s="1066" customFormat="1" ht="12.75" customHeight="1">
      <c r="A349" s="1671"/>
      <c r="B349" s="1654"/>
      <c r="C349" s="1667" t="s">
        <v>2031</v>
      </c>
      <c r="D349" s="1557">
        <f>G341</f>
        <v>1.8849999999999999E-2</v>
      </c>
      <c r="E349" s="1022" t="s">
        <v>75</v>
      </c>
      <c r="F349" s="1137">
        <f>'Civil-SOR'!$G$25</f>
        <v>82331</v>
      </c>
      <c r="G349" s="1022">
        <v>1</v>
      </c>
      <c r="H349" s="1022" t="s">
        <v>75</v>
      </c>
      <c r="I349" s="1062">
        <f t="shared" si="23"/>
        <v>1551.9393499999999</v>
      </c>
    </row>
    <row r="350" spans="1:9" s="1066" customFormat="1" ht="25.5">
      <c r="A350" s="1671"/>
      <c r="B350" s="1654"/>
      <c r="C350" s="1667" t="s">
        <v>1998</v>
      </c>
      <c r="D350" s="1137">
        <f t="shared" ref="D350:D352" si="24">G343</f>
        <v>0.6</v>
      </c>
      <c r="E350" s="1022" t="s">
        <v>94</v>
      </c>
      <c r="F350" s="1137">
        <f>'Civil-SOR'!$G$51</f>
        <v>336</v>
      </c>
      <c r="G350" s="1022">
        <v>1</v>
      </c>
      <c r="H350" s="1022" t="s">
        <v>94</v>
      </c>
      <c r="I350" s="1062">
        <f t="shared" si="23"/>
        <v>201.6</v>
      </c>
    </row>
    <row r="351" spans="1:9" s="1066" customFormat="1" ht="25.5">
      <c r="A351" s="1671"/>
      <c r="B351" s="1654"/>
      <c r="C351" s="1667" t="s">
        <v>1999</v>
      </c>
      <c r="D351" s="1137">
        <f t="shared" si="24"/>
        <v>4.4000000000000004</v>
      </c>
      <c r="E351" s="1022" t="s">
        <v>197</v>
      </c>
      <c r="F351" s="1137">
        <f>'Civil-SOR'!$G$382</f>
        <v>26</v>
      </c>
      <c r="G351" s="1022">
        <v>1</v>
      </c>
      <c r="H351" s="1022" t="s">
        <v>2032</v>
      </c>
      <c r="I351" s="1062">
        <f t="shared" si="23"/>
        <v>114.4</v>
      </c>
    </row>
    <row r="352" spans="1:9" s="1066" customFormat="1" ht="25.5">
      <c r="A352" s="1671"/>
      <c r="B352" s="1654"/>
      <c r="C352" s="1667" t="s">
        <v>2033</v>
      </c>
      <c r="D352" s="1138">
        <f t="shared" si="24"/>
        <v>2.2549999999999999</v>
      </c>
      <c r="E352" s="1022" t="s">
        <v>94</v>
      </c>
      <c r="F352" s="1137">
        <f>'Civil-SOR'!$G$114</f>
        <v>1334</v>
      </c>
      <c r="G352" s="1022">
        <v>1</v>
      </c>
      <c r="H352" s="1022" t="s">
        <v>94</v>
      </c>
      <c r="I352" s="1062">
        <f t="shared" si="23"/>
        <v>3008.17</v>
      </c>
    </row>
    <row r="353" spans="1:9" s="1066" customFormat="1" ht="25.5">
      <c r="A353" s="1671"/>
      <c r="B353" s="1654"/>
      <c r="C353" s="1667" t="s">
        <v>2034</v>
      </c>
      <c r="D353" s="1076">
        <v>6</v>
      </c>
      <c r="E353" s="1022" t="s">
        <v>36</v>
      </c>
      <c r="F353" s="1137">
        <f>'Civil-SOR'!$G$385</f>
        <v>37</v>
      </c>
      <c r="G353" s="1022"/>
      <c r="H353" s="1022" t="s">
        <v>501</v>
      </c>
      <c r="I353" s="1062">
        <f t="shared" si="23"/>
        <v>222</v>
      </c>
    </row>
    <row r="354" spans="1:9" s="1066" customFormat="1" ht="25.5">
      <c r="A354" s="1671"/>
      <c r="B354" s="1654"/>
      <c r="C354" s="1667" t="s">
        <v>2035</v>
      </c>
      <c r="D354" s="1076">
        <v>2</v>
      </c>
      <c r="E354" s="1022" t="s">
        <v>36</v>
      </c>
      <c r="F354" s="1137">
        <f>'Civil-SOR'!$G$153</f>
        <v>90</v>
      </c>
      <c r="G354" s="1022"/>
      <c r="H354" s="1022" t="s">
        <v>501</v>
      </c>
      <c r="I354" s="1062">
        <f t="shared" si="23"/>
        <v>180</v>
      </c>
    </row>
    <row r="355" spans="1:9" s="1066" customFormat="1" ht="25.5">
      <c r="A355" s="1671"/>
      <c r="B355" s="1654"/>
      <c r="C355" s="1667" t="s">
        <v>2036</v>
      </c>
      <c r="D355" s="1076">
        <v>6</v>
      </c>
      <c r="E355" s="1022" t="s">
        <v>36</v>
      </c>
      <c r="F355" s="1137">
        <f>'Civil-SOR'!$G$159</f>
        <v>106</v>
      </c>
      <c r="G355" s="1022"/>
      <c r="H355" s="1022" t="s">
        <v>501</v>
      </c>
      <c r="I355" s="1062">
        <f t="shared" si="23"/>
        <v>636</v>
      </c>
    </row>
    <row r="356" spans="1:9" s="1066" customFormat="1" ht="25.5">
      <c r="A356" s="1671"/>
      <c r="B356" s="1654"/>
      <c r="C356" s="1667" t="s">
        <v>2037</v>
      </c>
      <c r="D356" s="1076">
        <v>1</v>
      </c>
      <c r="E356" s="1022" t="s">
        <v>39</v>
      </c>
      <c r="F356" s="1137">
        <f>'Civil-SOR'!$G$172</f>
        <v>239</v>
      </c>
      <c r="G356" s="1022"/>
      <c r="H356" s="1022" t="s">
        <v>501</v>
      </c>
      <c r="I356" s="1062">
        <f t="shared" si="23"/>
        <v>239</v>
      </c>
    </row>
    <row r="357" spans="1:9" s="1066" customFormat="1" ht="25.5">
      <c r="A357" s="1671"/>
      <c r="B357" s="1654"/>
      <c r="C357" s="1667" t="s">
        <v>2038</v>
      </c>
      <c r="D357" s="1076">
        <v>2</v>
      </c>
      <c r="E357" s="1022" t="s">
        <v>36</v>
      </c>
      <c r="F357" s="1137">
        <f>'Civil-SOR'!$G$164</f>
        <v>100</v>
      </c>
      <c r="G357" s="1022"/>
      <c r="H357" s="1022" t="s">
        <v>501</v>
      </c>
      <c r="I357" s="1062">
        <f t="shared" si="23"/>
        <v>200</v>
      </c>
    </row>
    <row r="358" spans="1:9" s="1066" customFormat="1" ht="25.5">
      <c r="A358" s="1671"/>
      <c r="B358" s="1654"/>
      <c r="C358" s="1667" t="s">
        <v>2039</v>
      </c>
      <c r="D358" s="1076">
        <v>2</v>
      </c>
      <c r="E358" s="1022" t="s">
        <v>36</v>
      </c>
      <c r="F358" s="1137">
        <f>'Civil-SOR'!$G$178</f>
        <v>66</v>
      </c>
      <c r="G358" s="1022"/>
      <c r="H358" s="1022" t="s">
        <v>501</v>
      </c>
      <c r="I358" s="1062">
        <f t="shared" si="23"/>
        <v>132</v>
      </c>
    </row>
    <row r="359" spans="1:9" s="1066" customFormat="1" ht="25.5">
      <c r="A359" s="1671"/>
      <c r="B359" s="1654"/>
      <c r="C359" s="1667" t="s">
        <v>2040</v>
      </c>
      <c r="D359" s="1076">
        <v>2</v>
      </c>
      <c r="E359" s="1022" t="s">
        <v>36</v>
      </c>
      <c r="F359" s="1137">
        <f>'Civil-SOR'!$G$386</f>
        <v>12</v>
      </c>
      <c r="G359" s="1022"/>
      <c r="H359" s="1022" t="s">
        <v>501</v>
      </c>
      <c r="I359" s="1062">
        <f t="shared" si="23"/>
        <v>24</v>
      </c>
    </row>
    <row r="360" spans="1:9" s="1066" customFormat="1" ht="15" customHeight="1">
      <c r="A360" s="1671"/>
      <c r="B360" s="1654"/>
      <c r="C360" s="1667" t="s">
        <v>2009</v>
      </c>
      <c r="D360" s="1138">
        <f>G346</f>
        <v>1.8839999999999999</v>
      </c>
      <c r="E360" s="1022" t="s">
        <v>1110</v>
      </c>
      <c r="F360" s="1137">
        <f>LEAD!$N$10</f>
        <v>61000</v>
      </c>
      <c r="G360" s="1022">
        <v>1000</v>
      </c>
      <c r="H360" s="1022" t="s">
        <v>1110</v>
      </c>
      <c r="I360" s="1062">
        <f t="shared" si="23"/>
        <v>114.92400000000001</v>
      </c>
    </row>
    <row r="361" spans="1:9" s="1066" customFormat="1" ht="15.95" customHeight="1">
      <c r="A361" s="1671"/>
      <c r="B361" s="1654"/>
      <c r="C361" s="1667" t="s">
        <v>2010</v>
      </c>
      <c r="D361" s="1196">
        <f>G342</f>
        <v>5.2780000000000001E-2</v>
      </c>
      <c r="E361" s="1022" t="s">
        <v>75</v>
      </c>
      <c r="F361" s="1137">
        <f>$I$8</f>
        <v>15027.85</v>
      </c>
      <c r="G361" s="1022">
        <v>1</v>
      </c>
      <c r="H361" s="1022" t="s">
        <v>75</v>
      </c>
      <c r="I361" s="1062">
        <f t="shared" si="23"/>
        <v>793.16992300000004</v>
      </c>
    </row>
    <row r="362" spans="1:9" s="1066" customFormat="1" ht="15.95" customHeight="1">
      <c r="A362" s="1671"/>
      <c r="B362" s="1654"/>
      <c r="C362" s="1667" t="str">
        <f>Input!$C$47</f>
        <v>Add for MA @ 40%</v>
      </c>
      <c r="D362" s="1137">
        <f>Input!$D$47</f>
        <v>0.4</v>
      </c>
      <c r="E362" s="1022"/>
      <c r="F362" s="1137">
        <f>I361</f>
        <v>793.16992300000004</v>
      </c>
      <c r="G362" s="1022"/>
      <c r="H362" s="1022"/>
      <c r="I362" s="1062">
        <f t="shared" si="23"/>
        <v>317.26796920000004</v>
      </c>
    </row>
    <row r="363" spans="1:9" s="1066" customFormat="1" ht="27" customHeight="1">
      <c r="A363" s="1671"/>
      <c r="B363" s="1654"/>
      <c r="C363" s="1667" t="s">
        <v>2072</v>
      </c>
      <c r="D363" s="1138">
        <f>G345</f>
        <v>2.2549999999999999</v>
      </c>
      <c r="E363" s="1022" t="s">
        <v>94</v>
      </c>
      <c r="F363" s="1137">
        <f>'Civil-SOR'!$G$206</f>
        <v>550</v>
      </c>
      <c r="G363" s="1022">
        <v>1</v>
      </c>
      <c r="H363" s="1022" t="s">
        <v>94</v>
      </c>
      <c r="I363" s="1062">
        <f t="shared" si="23"/>
        <v>1240.25</v>
      </c>
    </row>
    <row r="364" spans="1:9" s="1066" customFormat="1" ht="15.95" customHeight="1">
      <c r="A364" s="1671"/>
      <c r="B364" s="1654"/>
      <c r="C364" s="1667" t="str">
        <f>Input!$C$47</f>
        <v>Add for MA @ 40%</v>
      </c>
      <c r="D364" s="1137">
        <f>Input!$D$47</f>
        <v>0.4</v>
      </c>
      <c r="E364" s="1022"/>
      <c r="F364" s="1137">
        <f>I363</f>
        <v>1240.25</v>
      </c>
      <c r="G364" s="1022"/>
      <c r="H364" s="1022"/>
      <c r="I364" s="1062">
        <f t="shared" si="23"/>
        <v>496.1</v>
      </c>
    </row>
    <row r="365" spans="1:9" s="1066" customFormat="1" ht="15.95" customHeight="1">
      <c r="A365" s="1671"/>
      <c r="B365" s="1654"/>
      <c r="C365" s="1667" t="s">
        <v>2054</v>
      </c>
      <c r="D365" s="1137">
        <f>G343</f>
        <v>0.6</v>
      </c>
      <c r="E365" s="1022" t="s">
        <v>94</v>
      </c>
      <c r="F365" s="1137">
        <f>'Civil-SOR'!$G$207</f>
        <v>410</v>
      </c>
      <c r="G365" s="1022">
        <v>1</v>
      </c>
      <c r="H365" s="1022" t="s">
        <v>94</v>
      </c>
      <c r="I365" s="1062">
        <f t="shared" si="23"/>
        <v>246</v>
      </c>
    </row>
    <row r="366" spans="1:9" s="1066" customFormat="1" ht="15.95" customHeight="1">
      <c r="A366" s="1671"/>
      <c r="B366" s="1654"/>
      <c r="C366" s="1667" t="str">
        <f>Input!$C$47</f>
        <v>Add for MA @ 40%</v>
      </c>
      <c r="D366" s="1137">
        <f>Input!$D$47</f>
        <v>0.4</v>
      </c>
      <c r="E366" s="1022"/>
      <c r="F366" s="1137">
        <f>I365</f>
        <v>246</v>
      </c>
      <c r="G366" s="1022"/>
      <c r="H366" s="1022"/>
      <c r="I366" s="1062">
        <f t="shared" si="23"/>
        <v>98.4</v>
      </c>
    </row>
    <row r="367" spans="1:9" s="1066" customFormat="1" ht="15.95" customHeight="1">
      <c r="A367" s="1671"/>
      <c r="B367" s="1654"/>
      <c r="C367" s="1667" t="s">
        <v>2013</v>
      </c>
      <c r="D367" s="1137"/>
      <c r="E367" s="1022"/>
      <c r="F367" s="1137"/>
      <c r="G367" s="1022"/>
      <c r="H367" s="1022"/>
      <c r="I367" s="1672"/>
    </row>
    <row r="368" spans="1:9" s="1066" customFormat="1" ht="15.95" customHeight="1">
      <c r="A368" s="1671"/>
      <c r="B368" s="1654"/>
      <c r="C368" s="1667" t="s">
        <v>2073</v>
      </c>
      <c r="D368" s="1137"/>
      <c r="E368" s="1022"/>
      <c r="F368" s="1137"/>
      <c r="G368" s="1022"/>
      <c r="H368" s="1022"/>
      <c r="I368" s="1035">
        <f>SUM(I348:I367)</f>
        <v>12919.1037122</v>
      </c>
    </row>
    <row r="369" spans="1:9" s="1066" customFormat="1" ht="12.75" customHeight="1">
      <c r="A369" s="1671"/>
      <c r="B369" s="1654"/>
      <c r="C369" s="1667" t="str">
        <f>Input!$C$48</f>
        <v>Overheads &amp; Contractors Profit @ 13.615%</v>
      </c>
      <c r="D369" s="1557">
        <f>Input!$D$48</f>
        <v>0.13614999999999999</v>
      </c>
      <c r="E369" s="1022"/>
      <c r="F369" s="1137">
        <f>I368</f>
        <v>12919.1037122</v>
      </c>
      <c r="G369" s="1022"/>
      <c r="H369" s="1022"/>
      <c r="I369" s="1062">
        <f>IF(G369="",D369*F369,(D369*F369/G369))</f>
        <v>1758.9359704160299</v>
      </c>
    </row>
    <row r="370" spans="1:9" s="1066" customFormat="1" ht="15.95" customHeight="1">
      <c r="A370" s="1671"/>
      <c r="B370" s="1654"/>
      <c r="C370" s="1667"/>
      <c r="D370" s="1137"/>
      <c r="E370" s="1022"/>
      <c r="F370" s="1137"/>
      <c r="G370" s="1022"/>
      <c r="H370" s="1022"/>
      <c r="I370" s="1672">
        <f>SUM(I368:I369)</f>
        <v>14678.03968261603</v>
      </c>
    </row>
    <row r="371" spans="1:9" s="1066" customFormat="1" ht="15.95" customHeight="1">
      <c r="A371" s="1671"/>
      <c r="B371" s="1654"/>
      <c r="C371" s="1662" t="s">
        <v>1525</v>
      </c>
      <c r="D371" s="1137"/>
      <c r="E371" s="1022"/>
      <c r="F371" s="1137"/>
      <c r="G371" s="1022"/>
      <c r="H371" s="1022"/>
      <c r="I371" s="1672">
        <f>I370/H336</f>
        <v>4704.4998982743682</v>
      </c>
    </row>
    <row r="372" spans="1:9" s="1066" customFormat="1" ht="13.5" customHeight="1">
      <c r="A372" s="1671"/>
      <c r="B372" s="1654"/>
      <c r="C372" s="1667"/>
      <c r="D372" s="1137"/>
      <c r="E372" s="1022"/>
      <c r="F372" s="1137"/>
      <c r="G372" s="2075" t="s">
        <v>1096</v>
      </c>
      <c r="H372" s="2075"/>
      <c r="I372" s="1040">
        <f>ROUND(I371,0)</f>
        <v>4704</v>
      </c>
    </row>
    <row r="373" spans="1:9" s="1066" customFormat="1" ht="14.65" customHeight="1">
      <c r="A373" s="1671"/>
      <c r="B373" s="1654"/>
      <c r="C373" s="1667"/>
      <c r="D373" s="1137"/>
      <c r="E373" s="1022"/>
      <c r="F373" s="1137"/>
      <c r="G373" s="1022"/>
      <c r="H373" s="1654"/>
      <c r="I373" s="1040"/>
    </row>
    <row r="374" spans="1:9" s="1066" customFormat="1" ht="93" customHeight="1">
      <c r="A374" s="1671">
        <f>1+A333</f>
        <v>5</v>
      </c>
      <c r="B374" s="1654"/>
      <c r="C374" s="2036" t="s">
        <v>3515</v>
      </c>
      <c r="D374" s="2036"/>
      <c r="E374" s="2036"/>
      <c r="F374" s="2036"/>
      <c r="G374" s="2036"/>
      <c r="H374" s="2036"/>
      <c r="I374" s="2036"/>
    </row>
    <row r="375" spans="1:9" s="1066" customFormat="1" ht="117" customHeight="1">
      <c r="A375" s="1671"/>
      <c r="B375" s="1654"/>
      <c r="C375" s="2037" t="s">
        <v>3516</v>
      </c>
      <c r="D375" s="2037"/>
      <c r="E375" s="2037"/>
      <c r="F375" s="2037"/>
      <c r="G375" s="2037"/>
      <c r="H375" s="2037"/>
      <c r="I375" s="2037"/>
    </row>
    <row r="376" spans="1:9" s="1066" customFormat="1" ht="15.95" customHeight="1">
      <c r="A376" s="1671"/>
      <c r="B376" s="1654"/>
      <c r="C376" s="1662" t="s">
        <v>1981</v>
      </c>
      <c r="D376" s="1022"/>
      <c r="E376" s="1022"/>
      <c r="F376" s="1022"/>
      <c r="G376" s="1022"/>
      <c r="H376" s="1022"/>
      <c r="I376" s="1671"/>
    </row>
    <row r="377" spans="1:9" s="1066" customFormat="1" ht="16.899999999999999" customHeight="1">
      <c r="A377" s="1671"/>
      <c r="B377" s="1654"/>
      <c r="C377" s="1667"/>
      <c r="D377" s="1657" t="s">
        <v>1982</v>
      </c>
      <c r="E377" s="2045" t="s">
        <v>2074</v>
      </c>
      <c r="F377" s="2045"/>
      <c r="G377" s="1022"/>
      <c r="H377" s="1556">
        <f>1*2.6</f>
        <v>2.6</v>
      </c>
      <c r="I377" s="1553" t="s">
        <v>94</v>
      </c>
    </row>
    <row r="378" spans="1:9" s="1066" customFormat="1" ht="13.9" customHeight="1">
      <c r="A378" s="1671"/>
      <c r="B378" s="1654"/>
      <c r="C378" s="1662" t="s">
        <v>1935</v>
      </c>
      <c r="D378" s="2099"/>
      <c r="E378" s="2099"/>
      <c r="F378" s="2099"/>
      <c r="G378" s="1022"/>
      <c r="H378" s="1022"/>
      <c r="I378" s="1672"/>
    </row>
    <row r="379" spans="1:9" s="1066" customFormat="1" ht="15" customHeight="1">
      <c r="A379" s="1671"/>
      <c r="B379" s="1654"/>
      <c r="C379" s="1667" t="s">
        <v>1984</v>
      </c>
      <c r="D379" s="2077" t="s">
        <v>1985</v>
      </c>
      <c r="E379" s="2077"/>
      <c r="F379" s="2077"/>
      <c r="G379" s="1022"/>
      <c r="H379" s="1022"/>
      <c r="I379" s="1672"/>
    </row>
    <row r="380" spans="1:9" s="1066" customFormat="1" ht="15" customHeight="1">
      <c r="A380" s="1671"/>
      <c r="B380" s="1654"/>
      <c r="C380" s="1667"/>
      <c r="D380" s="2077" t="s">
        <v>2022</v>
      </c>
      <c r="E380" s="2077"/>
      <c r="F380" s="2077"/>
      <c r="G380" s="2105">
        <f>ROUND(5.22*0.1*0.065,5)</f>
        <v>3.3930000000000002E-2</v>
      </c>
      <c r="H380" s="2105"/>
      <c r="I380" s="1659" t="s">
        <v>75</v>
      </c>
    </row>
    <row r="381" spans="1:9" s="1066" customFormat="1" ht="15" customHeight="1">
      <c r="A381" s="1671"/>
      <c r="B381" s="1654"/>
      <c r="C381" s="1667" t="s">
        <v>1987</v>
      </c>
      <c r="D381" s="2077" t="s">
        <v>2075</v>
      </c>
      <c r="E381" s="2077"/>
      <c r="F381" s="2077"/>
      <c r="G381" s="2106"/>
      <c r="H381" s="2106"/>
      <c r="I381" s="1659"/>
    </row>
    <row r="382" spans="1:9" s="1066" customFormat="1" ht="15" customHeight="1">
      <c r="A382" s="1671"/>
      <c r="B382" s="1654"/>
      <c r="C382" s="1667"/>
      <c r="D382" s="2077" t="s">
        <v>2076</v>
      </c>
      <c r="E382" s="2077"/>
      <c r="F382" s="2077"/>
      <c r="G382" s="2105">
        <f>ROUND(2*0.1*0.065,5)</f>
        <v>1.2999999999999999E-2</v>
      </c>
      <c r="H382" s="2105"/>
      <c r="I382" s="1659" t="s">
        <v>75</v>
      </c>
    </row>
    <row r="383" spans="1:9" s="1066" customFormat="1" ht="15" customHeight="1">
      <c r="A383" s="1671"/>
      <c r="B383" s="1654"/>
      <c r="C383" s="1667"/>
      <c r="D383" s="2077"/>
      <c r="E383" s="2077"/>
      <c r="F383" s="2077"/>
      <c r="G383" s="2104">
        <f>SUM(G380:G382)</f>
        <v>4.6929999999999999E-2</v>
      </c>
      <c r="H383" s="2104"/>
      <c r="I383" s="1553" t="s">
        <v>75</v>
      </c>
    </row>
    <row r="384" spans="1:9" s="1066" customFormat="1" ht="15" customHeight="1">
      <c r="A384" s="1671"/>
      <c r="B384" s="1654"/>
      <c r="C384" s="1667" t="s">
        <v>1990</v>
      </c>
      <c r="D384" s="2077" t="s">
        <v>2077</v>
      </c>
      <c r="E384" s="2077"/>
      <c r="F384" s="2077"/>
      <c r="G384" s="2076">
        <f>ROUND(1*0.5,2)</f>
        <v>0.5</v>
      </c>
      <c r="H384" s="2076"/>
      <c r="I384" s="1553" t="s">
        <v>94</v>
      </c>
    </row>
    <row r="385" spans="1:9" s="1066" customFormat="1" ht="15" customHeight="1">
      <c r="A385" s="1671"/>
      <c r="B385" s="1654"/>
      <c r="C385" s="1667" t="s">
        <v>1992</v>
      </c>
      <c r="D385" s="2077" t="s">
        <v>2078</v>
      </c>
      <c r="E385" s="2077"/>
      <c r="F385" s="2077"/>
      <c r="G385" s="2076">
        <f>2*(1+0.5)</f>
        <v>3</v>
      </c>
      <c r="H385" s="2076"/>
      <c r="I385" s="1553" t="s">
        <v>197</v>
      </c>
    </row>
    <row r="386" spans="1:9" s="1066" customFormat="1" ht="15" customHeight="1">
      <c r="A386" s="1671"/>
      <c r="B386" s="1654"/>
      <c r="C386" s="1667" t="s">
        <v>2027</v>
      </c>
      <c r="D386" s="2077" t="s">
        <v>2079</v>
      </c>
      <c r="E386" s="2077"/>
      <c r="F386" s="2077"/>
      <c r="G386" s="2107">
        <f>ROUND(0.9*2.05,3)</f>
        <v>1.845</v>
      </c>
      <c r="H386" s="2107"/>
      <c r="I386" s="1553" t="s">
        <v>94</v>
      </c>
    </row>
    <row r="387" spans="1:9" s="1066" customFormat="1" ht="15" customHeight="1">
      <c r="A387" s="1671"/>
      <c r="B387" s="1654"/>
      <c r="C387" s="1667" t="s">
        <v>1996</v>
      </c>
      <c r="D387" s="2108" t="s">
        <v>2080</v>
      </c>
      <c r="E387" s="2108"/>
      <c r="F387" s="2108"/>
      <c r="G387" s="2098">
        <f>ROUND(2*1*0.785,3)</f>
        <v>1.57</v>
      </c>
      <c r="H387" s="2098"/>
      <c r="I387" s="1553" t="s">
        <v>1110</v>
      </c>
    </row>
    <row r="388" spans="1:9" s="1066" customFormat="1" ht="15.95" customHeight="1">
      <c r="A388" s="1671"/>
      <c r="B388" s="1654"/>
      <c r="C388" s="1662" t="s">
        <v>1965</v>
      </c>
      <c r="D388" s="1137"/>
      <c r="E388" s="1022"/>
      <c r="F388" s="1137"/>
      <c r="G388" s="1022"/>
      <c r="H388" s="1022"/>
      <c r="I388" s="1672"/>
    </row>
    <row r="389" spans="1:9" s="1066" customFormat="1" ht="14.45" customHeight="1">
      <c r="A389" s="1671"/>
      <c r="B389" s="1654"/>
      <c r="C389" s="1667" t="s">
        <v>2030</v>
      </c>
      <c r="D389" s="1557">
        <f>G380</f>
        <v>3.3930000000000002E-2</v>
      </c>
      <c r="E389" s="1022" t="s">
        <v>75</v>
      </c>
      <c r="F389" s="1137">
        <f>'Civil-SOR'!$G$26</f>
        <v>91479</v>
      </c>
      <c r="G389" s="1022">
        <v>1</v>
      </c>
      <c r="H389" s="1022" t="s">
        <v>75</v>
      </c>
      <c r="I389" s="1062">
        <f t="shared" ref="I389:I407" si="25">IF(G389="",D389*F389,(D389*F389/G389))</f>
        <v>3103.88247</v>
      </c>
    </row>
    <row r="390" spans="1:9" s="1066" customFormat="1" ht="14.45" customHeight="1">
      <c r="A390" s="1671"/>
      <c r="B390" s="1654"/>
      <c r="C390" s="1667" t="s">
        <v>2031</v>
      </c>
      <c r="D390" s="1194">
        <f>G382</f>
        <v>1.2999999999999999E-2</v>
      </c>
      <c r="E390" s="1022" t="s">
        <v>75</v>
      </c>
      <c r="F390" s="1137">
        <f>'Civil-SOR'!$G$25</f>
        <v>82331</v>
      </c>
      <c r="G390" s="1022">
        <v>1</v>
      </c>
      <c r="H390" s="1022" t="s">
        <v>75</v>
      </c>
      <c r="I390" s="1062">
        <f t="shared" si="25"/>
        <v>1070.3029999999999</v>
      </c>
    </row>
    <row r="391" spans="1:9" s="1066" customFormat="1" ht="25.5">
      <c r="A391" s="1671"/>
      <c r="B391" s="1654"/>
      <c r="C391" s="1667" t="s">
        <v>1998</v>
      </c>
      <c r="D391" s="1137">
        <f t="shared" ref="D391:D393" si="26">G384</f>
        <v>0.5</v>
      </c>
      <c r="E391" s="1022" t="s">
        <v>94</v>
      </c>
      <c r="F391" s="1137">
        <f>'Civil-SOR'!$G$51</f>
        <v>336</v>
      </c>
      <c r="G391" s="1022">
        <v>1</v>
      </c>
      <c r="H391" s="1022" t="s">
        <v>94</v>
      </c>
      <c r="I391" s="1062">
        <f t="shared" si="25"/>
        <v>168</v>
      </c>
    </row>
    <row r="392" spans="1:9" s="1066" customFormat="1" ht="25.5">
      <c r="A392" s="1671"/>
      <c r="B392" s="1654"/>
      <c r="C392" s="1667" t="s">
        <v>1999</v>
      </c>
      <c r="D392" s="1137">
        <f t="shared" si="26"/>
        <v>3</v>
      </c>
      <c r="E392" s="1022" t="s">
        <v>197</v>
      </c>
      <c r="F392" s="1137">
        <f>'Civil-SOR'!$G$382</f>
        <v>26</v>
      </c>
      <c r="G392" s="1022">
        <v>1</v>
      </c>
      <c r="H392" s="1022" t="s">
        <v>2032</v>
      </c>
      <c r="I392" s="1062">
        <f t="shared" si="25"/>
        <v>78</v>
      </c>
    </row>
    <row r="393" spans="1:9" s="1066" customFormat="1" ht="25.5">
      <c r="A393" s="1671"/>
      <c r="B393" s="1654"/>
      <c r="C393" s="1667" t="s">
        <v>2033</v>
      </c>
      <c r="D393" s="1138">
        <f t="shared" si="26"/>
        <v>1.845</v>
      </c>
      <c r="E393" s="1022" t="s">
        <v>94</v>
      </c>
      <c r="F393" s="1137">
        <f>'Civil-SOR'!$G$114</f>
        <v>1334</v>
      </c>
      <c r="G393" s="1022">
        <v>1</v>
      </c>
      <c r="H393" s="1022" t="s">
        <v>94</v>
      </c>
      <c r="I393" s="1062">
        <f t="shared" si="25"/>
        <v>2461.23</v>
      </c>
    </row>
    <row r="394" spans="1:9" s="1066" customFormat="1" ht="25.5">
      <c r="A394" s="1671"/>
      <c r="B394" s="1654"/>
      <c r="C394" s="1667" t="s">
        <v>2034</v>
      </c>
      <c r="D394" s="1076">
        <v>6</v>
      </c>
      <c r="E394" s="1022" t="s">
        <v>36</v>
      </c>
      <c r="F394" s="1137">
        <f>'Civil-SOR'!$G$385</f>
        <v>37</v>
      </c>
      <c r="G394" s="1022"/>
      <c r="H394" s="1022" t="s">
        <v>501</v>
      </c>
      <c r="I394" s="1062">
        <f t="shared" si="25"/>
        <v>222</v>
      </c>
    </row>
    <row r="395" spans="1:9" s="1066" customFormat="1" ht="25.5">
      <c r="A395" s="1671"/>
      <c r="B395" s="1654"/>
      <c r="C395" s="1667" t="s">
        <v>2035</v>
      </c>
      <c r="D395" s="1076">
        <v>1</v>
      </c>
      <c r="E395" s="1022" t="s">
        <v>39</v>
      </c>
      <c r="F395" s="1137">
        <f>'Civil-SOR'!$G$153</f>
        <v>90</v>
      </c>
      <c r="G395" s="1022"/>
      <c r="H395" s="1022" t="s">
        <v>501</v>
      </c>
      <c r="I395" s="1062">
        <f t="shared" si="25"/>
        <v>90</v>
      </c>
    </row>
    <row r="396" spans="1:9" s="1066" customFormat="1" ht="25.5">
      <c r="A396" s="1671"/>
      <c r="B396" s="1654"/>
      <c r="C396" s="1667" t="s">
        <v>2036</v>
      </c>
      <c r="D396" s="1076">
        <v>3</v>
      </c>
      <c r="E396" s="1022" t="s">
        <v>36</v>
      </c>
      <c r="F396" s="1137">
        <f>'Civil-SOR'!$G$159</f>
        <v>106</v>
      </c>
      <c r="G396" s="1022"/>
      <c r="H396" s="1022" t="s">
        <v>501</v>
      </c>
      <c r="I396" s="1062">
        <f t="shared" si="25"/>
        <v>318</v>
      </c>
    </row>
    <row r="397" spans="1:9" s="1066" customFormat="1" ht="25.5">
      <c r="A397" s="1671"/>
      <c r="B397" s="1654"/>
      <c r="C397" s="1667" t="s">
        <v>2037</v>
      </c>
      <c r="D397" s="1076">
        <v>1</v>
      </c>
      <c r="E397" s="1022" t="s">
        <v>39</v>
      </c>
      <c r="F397" s="1137">
        <f>'Civil-SOR'!$G$172</f>
        <v>239</v>
      </c>
      <c r="G397" s="1022"/>
      <c r="H397" s="1022" t="s">
        <v>501</v>
      </c>
      <c r="I397" s="1062">
        <f t="shared" si="25"/>
        <v>239</v>
      </c>
    </row>
    <row r="398" spans="1:9" s="1066" customFormat="1" ht="25.5">
      <c r="A398" s="1671"/>
      <c r="B398" s="1654"/>
      <c r="C398" s="1667" t="s">
        <v>2038</v>
      </c>
      <c r="D398" s="1076">
        <v>2</v>
      </c>
      <c r="E398" s="1022" t="s">
        <v>36</v>
      </c>
      <c r="F398" s="1137">
        <f>'Civil-SOR'!$G$164</f>
        <v>100</v>
      </c>
      <c r="G398" s="1022"/>
      <c r="H398" s="1022" t="s">
        <v>501</v>
      </c>
      <c r="I398" s="1062">
        <f t="shared" si="25"/>
        <v>200</v>
      </c>
    </row>
    <row r="399" spans="1:9" s="1066" customFormat="1" ht="25.5">
      <c r="A399" s="1671"/>
      <c r="B399" s="1654"/>
      <c r="C399" s="1667" t="s">
        <v>2039</v>
      </c>
      <c r="D399" s="1076">
        <v>1</v>
      </c>
      <c r="E399" s="1022" t="s">
        <v>39</v>
      </c>
      <c r="F399" s="1137">
        <f>'Civil-SOR'!$G$178</f>
        <v>66</v>
      </c>
      <c r="G399" s="1022"/>
      <c r="H399" s="1022" t="s">
        <v>501</v>
      </c>
      <c r="I399" s="1062">
        <f t="shared" si="25"/>
        <v>66</v>
      </c>
    </row>
    <row r="400" spans="1:9" s="1066" customFormat="1" ht="25.5">
      <c r="A400" s="1671"/>
      <c r="B400" s="1654"/>
      <c r="C400" s="1667" t="s">
        <v>2040</v>
      </c>
      <c r="D400" s="1076">
        <v>1</v>
      </c>
      <c r="E400" s="1022" t="s">
        <v>39</v>
      </c>
      <c r="F400" s="1137">
        <f>'Civil-SOR'!$G$386</f>
        <v>12</v>
      </c>
      <c r="G400" s="1022"/>
      <c r="H400" s="1022" t="s">
        <v>501</v>
      </c>
      <c r="I400" s="1062">
        <f t="shared" si="25"/>
        <v>12</v>
      </c>
    </row>
    <row r="401" spans="1:9" s="1066" customFormat="1">
      <c r="A401" s="1671"/>
      <c r="B401" s="1654"/>
      <c r="C401" s="1667" t="s">
        <v>2009</v>
      </c>
      <c r="D401" s="1137">
        <f>G387</f>
        <v>1.57</v>
      </c>
      <c r="E401" s="1022" t="s">
        <v>1110</v>
      </c>
      <c r="F401" s="1137">
        <f>LEAD!$N$10</f>
        <v>61000</v>
      </c>
      <c r="G401" s="1022">
        <v>1000</v>
      </c>
      <c r="H401" s="1022" t="s">
        <v>1110</v>
      </c>
      <c r="I401" s="1062">
        <f t="shared" si="25"/>
        <v>95.77</v>
      </c>
    </row>
    <row r="402" spans="1:9" s="1066" customFormat="1">
      <c r="A402" s="1671"/>
      <c r="B402" s="1654"/>
      <c r="C402" s="1667" t="s">
        <v>2010</v>
      </c>
      <c r="D402" s="1196">
        <f>G383</f>
        <v>4.6929999999999999E-2</v>
      </c>
      <c r="E402" s="1022" t="s">
        <v>75</v>
      </c>
      <c r="F402" s="1137">
        <f>$I$8</f>
        <v>15027.85</v>
      </c>
      <c r="G402" s="1022">
        <v>1</v>
      </c>
      <c r="H402" s="1022" t="s">
        <v>75</v>
      </c>
      <c r="I402" s="1062">
        <f t="shared" si="25"/>
        <v>705.2570005</v>
      </c>
    </row>
    <row r="403" spans="1:9" s="1066" customFormat="1">
      <c r="A403" s="1671"/>
      <c r="B403" s="1654"/>
      <c r="C403" s="1667" t="str">
        <f>Input!$C$47</f>
        <v>Add for MA @ 40%</v>
      </c>
      <c r="D403" s="1137">
        <f>Input!$D$47</f>
        <v>0.4</v>
      </c>
      <c r="E403" s="1022"/>
      <c r="F403" s="1137">
        <f>I402</f>
        <v>705.2570005</v>
      </c>
      <c r="G403" s="1022"/>
      <c r="H403" s="1022"/>
      <c r="I403" s="1062">
        <f t="shared" si="25"/>
        <v>282.10280019999999</v>
      </c>
    </row>
    <row r="404" spans="1:9" s="1066" customFormat="1" ht="38.25">
      <c r="A404" s="1671"/>
      <c r="B404" s="1654"/>
      <c r="C404" s="1667" t="s">
        <v>2072</v>
      </c>
      <c r="D404" s="1138">
        <f>G386</f>
        <v>1.845</v>
      </c>
      <c r="E404" s="1022" t="s">
        <v>94</v>
      </c>
      <c r="F404" s="1137">
        <f>'Civil-SOR'!$G$206</f>
        <v>550</v>
      </c>
      <c r="G404" s="1022">
        <v>1</v>
      </c>
      <c r="H404" s="1022" t="s">
        <v>94</v>
      </c>
      <c r="I404" s="1062">
        <f t="shared" si="25"/>
        <v>1014.75</v>
      </c>
    </row>
    <row r="405" spans="1:9" s="1066" customFormat="1" ht="16.149999999999999" customHeight="1">
      <c r="A405" s="1671"/>
      <c r="B405" s="1654"/>
      <c r="C405" s="1667" t="str">
        <f>Input!$C$47</f>
        <v>Add for MA @ 40%</v>
      </c>
      <c r="D405" s="1137">
        <f>Input!$D$47</f>
        <v>0.4</v>
      </c>
      <c r="E405" s="1022"/>
      <c r="F405" s="1137">
        <f>I404</f>
        <v>1014.75</v>
      </c>
      <c r="G405" s="1022"/>
      <c r="H405" s="1022"/>
      <c r="I405" s="1062">
        <f t="shared" si="25"/>
        <v>405.90000000000003</v>
      </c>
    </row>
    <row r="406" spans="1:9" s="1066" customFormat="1" ht="16.149999999999999" customHeight="1">
      <c r="A406" s="1671"/>
      <c r="B406" s="1654"/>
      <c r="C406" s="1667" t="s">
        <v>2054</v>
      </c>
      <c r="D406" s="1137">
        <f>G384</f>
        <v>0.5</v>
      </c>
      <c r="E406" s="1022" t="s">
        <v>94</v>
      </c>
      <c r="F406" s="1137">
        <f>'Civil-SOR'!$G$207</f>
        <v>410</v>
      </c>
      <c r="G406" s="1022">
        <v>1</v>
      </c>
      <c r="H406" s="1022" t="s">
        <v>94</v>
      </c>
      <c r="I406" s="1062">
        <f t="shared" si="25"/>
        <v>205</v>
      </c>
    </row>
    <row r="407" spans="1:9" s="1066" customFormat="1" ht="16.149999999999999" customHeight="1">
      <c r="A407" s="1671"/>
      <c r="B407" s="1654"/>
      <c r="C407" s="1667" t="str">
        <f>Input!$C$47</f>
        <v>Add for MA @ 40%</v>
      </c>
      <c r="D407" s="1137">
        <f>Input!$D$47</f>
        <v>0.4</v>
      </c>
      <c r="E407" s="1022"/>
      <c r="F407" s="1137">
        <f>I406</f>
        <v>205</v>
      </c>
      <c r="G407" s="1022"/>
      <c r="H407" s="1022"/>
      <c r="I407" s="1062">
        <f t="shared" si="25"/>
        <v>82</v>
      </c>
    </row>
    <row r="408" spans="1:9" s="1066" customFormat="1" ht="13.15" customHeight="1">
      <c r="A408" s="1671"/>
      <c r="B408" s="1654"/>
      <c r="C408" s="1667" t="s">
        <v>2013</v>
      </c>
      <c r="D408" s="1137"/>
      <c r="E408" s="1022"/>
      <c r="F408" s="1137"/>
      <c r="G408" s="1022"/>
      <c r="H408" s="1022"/>
      <c r="I408" s="1672"/>
    </row>
    <row r="409" spans="1:9" s="1066" customFormat="1" ht="16.149999999999999" customHeight="1">
      <c r="A409" s="1671"/>
      <c r="B409" s="1654"/>
      <c r="C409" s="1662" t="s">
        <v>2081</v>
      </c>
      <c r="D409" s="1137"/>
      <c r="E409" s="1022"/>
      <c r="F409" s="1137"/>
      <c r="G409" s="1022"/>
      <c r="H409" s="1022"/>
      <c r="I409" s="1672">
        <f>SUM(I389:I408)</f>
        <v>10819.1952707</v>
      </c>
    </row>
    <row r="410" spans="1:9" s="1066" customFormat="1" ht="16.149999999999999" customHeight="1">
      <c r="A410" s="1671" t="s">
        <v>575</v>
      </c>
      <c r="B410" s="1654"/>
      <c r="C410" s="1667" t="str">
        <f>Input!$C$48</f>
        <v>Overheads &amp; Contractors Profit @ 13.615%</v>
      </c>
      <c r="D410" s="1557">
        <f>Input!$D$48</f>
        <v>0.13614999999999999</v>
      </c>
      <c r="E410" s="1022"/>
      <c r="F410" s="1137">
        <f>I409</f>
        <v>10819.1952707</v>
      </c>
      <c r="G410" s="1022"/>
      <c r="H410" s="1022"/>
      <c r="I410" s="1062">
        <f>IF(G410="",D410*F410,(D410*F410/G410))</f>
        <v>1473.0334361058049</v>
      </c>
    </row>
    <row r="411" spans="1:9" s="1066" customFormat="1" ht="15.95" customHeight="1">
      <c r="A411" s="1671"/>
      <c r="B411" s="1654"/>
      <c r="C411" s="1667"/>
      <c r="D411" s="1137"/>
      <c r="E411" s="1022"/>
      <c r="F411" s="1137"/>
      <c r="G411" s="1022"/>
      <c r="H411" s="1022"/>
      <c r="I411" s="1672">
        <f>SUM(I409:I410)</f>
        <v>12292.228706805805</v>
      </c>
    </row>
    <row r="412" spans="1:9" s="1066" customFormat="1" ht="15.95" customHeight="1">
      <c r="A412" s="1671"/>
      <c r="B412" s="1654"/>
      <c r="C412" s="1662" t="s">
        <v>1525</v>
      </c>
      <c r="D412" s="1137"/>
      <c r="E412" s="1022"/>
      <c r="F412" s="1137"/>
      <c r="G412" s="1022"/>
      <c r="H412" s="1022"/>
      <c r="I412" s="1672">
        <f>I411/H377</f>
        <v>4727.7802718483863</v>
      </c>
    </row>
    <row r="413" spans="1:9" s="1066" customFormat="1" ht="13.5" customHeight="1">
      <c r="A413" s="1671"/>
      <c r="B413" s="1654"/>
      <c r="C413" s="1667"/>
      <c r="D413" s="1137"/>
      <c r="E413" s="1022"/>
      <c r="F413" s="1137"/>
      <c r="G413" s="2075" t="s">
        <v>1096</v>
      </c>
      <c r="H413" s="2075"/>
      <c r="I413" s="1040">
        <f>ROUND(I412,0)</f>
        <v>4728</v>
      </c>
    </row>
    <row r="414" spans="1:9" s="1066" customFormat="1" ht="14.65" customHeight="1">
      <c r="A414" s="1671"/>
      <c r="B414" s="1654"/>
      <c r="C414" s="1667"/>
      <c r="D414" s="1137"/>
      <c r="E414" s="1022"/>
      <c r="F414" s="1137"/>
      <c r="G414" s="1022"/>
      <c r="H414" s="1022"/>
      <c r="I414" s="1040"/>
    </row>
    <row r="415" spans="1:9" s="1066" customFormat="1" ht="101.45" customHeight="1">
      <c r="A415" s="2091">
        <f>A374+1</f>
        <v>6</v>
      </c>
      <c r="B415" s="2091"/>
      <c r="C415" s="2036" t="s">
        <v>3517</v>
      </c>
      <c r="D415" s="2036"/>
      <c r="E415" s="2036"/>
      <c r="F415" s="2036"/>
      <c r="G415" s="2036"/>
      <c r="H415" s="2036"/>
      <c r="I415" s="1662"/>
    </row>
    <row r="416" spans="1:9" s="1066" customFormat="1" ht="96.6" customHeight="1">
      <c r="A416" s="1671"/>
      <c r="B416" s="1654"/>
      <c r="C416" s="2037" t="s">
        <v>3518</v>
      </c>
      <c r="D416" s="2037"/>
      <c r="E416" s="2037"/>
      <c r="F416" s="2037"/>
      <c r="G416" s="2037"/>
      <c r="H416" s="2037"/>
      <c r="I416" s="1662"/>
    </row>
    <row r="417" spans="1:9" s="1066" customFormat="1" ht="15.95" customHeight="1">
      <c r="A417" s="1671"/>
      <c r="B417" s="1654"/>
      <c r="C417" s="1662" t="s">
        <v>1981</v>
      </c>
      <c r="D417" s="1022"/>
      <c r="E417" s="1022"/>
      <c r="F417" s="1022"/>
      <c r="G417" s="1022"/>
      <c r="H417" s="1022"/>
      <c r="I417" s="1671"/>
    </row>
    <row r="418" spans="1:9" s="1066" customFormat="1" ht="15.6" customHeight="1">
      <c r="A418" s="1671"/>
      <c r="B418" s="1654"/>
      <c r="C418" s="1667"/>
      <c r="D418" s="1657" t="s">
        <v>1982</v>
      </c>
      <c r="E418" s="2045" t="s">
        <v>2082</v>
      </c>
      <c r="F418" s="2045"/>
      <c r="G418" s="2076">
        <f>0.9*2.6</f>
        <v>2.3400000000000003</v>
      </c>
      <c r="H418" s="2076"/>
      <c r="I418" s="1553" t="s">
        <v>94</v>
      </c>
    </row>
    <row r="419" spans="1:9" s="1066" customFormat="1" ht="13.9" customHeight="1">
      <c r="A419" s="1671"/>
      <c r="B419" s="1654"/>
      <c r="C419" s="1662" t="s">
        <v>1935</v>
      </c>
      <c r="D419" s="2099"/>
      <c r="E419" s="2099"/>
      <c r="F419" s="2099"/>
      <c r="G419" s="2091"/>
      <c r="H419" s="2091"/>
      <c r="I419" s="1659"/>
    </row>
    <row r="420" spans="1:9" s="1066" customFormat="1" ht="13.9" customHeight="1">
      <c r="A420" s="1671"/>
      <c r="B420" s="1654"/>
      <c r="C420" s="1667" t="s">
        <v>1984</v>
      </c>
      <c r="D420" s="2077" t="s">
        <v>1985</v>
      </c>
      <c r="E420" s="2077"/>
      <c r="F420" s="2077"/>
      <c r="G420" s="2091"/>
      <c r="H420" s="2091"/>
      <c r="I420" s="1659"/>
    </row>
    <row r="421" spans="1:9" s="1066" customFormat="1" ht="14.45" customHeight="1">
      <c r="A421" s="1671"/>
      <c r="B421" s="1654"/>
      <c r="C421" s="1667"/>
      <c r="D421" s="2077" t="s">
        <v>2043</v>
      </c>
      <c r="E421" s="2077"/>
      <c r="F421" s="2077"/>
      <c r="G421" s="2105">
        <f>ROUND(5.22*0.1*0.065,5)</f>
        <v>3.3930000000000002E-2</v>
      </c>
      <c r="H421" s="2105"/>
      <c r="I421" s="1659" t="s">
        <v>75</v>
      </c>
    </row>
    <row r="422" spans="1:9" s="1066" customFormat="1" ht="13.9" customHeight="1">
      <c r="A422" s="1671"/>
      <c r="B422" s="1654"/>
      <c r="C422" s="1667" t="s">
        <v>1987</v>
      </c>
      <c r="D422" s="2077" t="s">
        <v>2083</v>
      </c>
      <c r="E422" s="2077"/>
      <c r="F422" s="2077"/>
      <c r="G422" s="2106"/>
      <c r="H422" s="2106"/>
      <c r="I422" s="1659"/>
    </row>
    <row r="423" spans="1:9" s="1066" customFormat="1" ht="15.6" customHeight="1">
      <c r="A423" s="1671"/>
      <c r="B423" s="1654"/>
      <c r="C423" s="1667"/>
      <c r="D423" s="2077" t="s">
        <v>2084</v>
      </c>
      <c r="E423" s="2077"/>
      <c r="F423" s="2077"/>
      <c r="G423" s="2105">
        <f>ROUND(1.8*0.1*0.065,5)</f>
        <v>1.17E-2</v>
      </c>
      <c r="H423" s="2105"/>
      <c r="I423" s="1659" t="s">
        <v>75</v>
      </c>
    </row>
    <row r="424" spans="1:9" s="1066" customFormat="1" ht="13.9" customHeight="1">
      <c r="A424" s="1671"/>
      <c r="B424" s="1654"/>
      <c r="C424" s="1667"/>
      <c r="D424" s="1659"/>
      <c r="E424" s="1670"/>
      <c r="F424" s="1659"/>
      <c r="G424" s="2104">
        <f>SUM(G421:G423)</f>
        <v>4.5630000000000004E-2</v>
      </c>
      <c r="H424" s="2104"/>
      <c r="I424" s="1553" t="s">
        <v>75</v>
      </c>
    </row>
    <row r="425" spans="1:9" s="1066" customFormat="1" ht="16.149999999999999" customHeight="1">
      <c r="A425" s="1671"/>
      <c r="B425" s="1654"/>
      <c r="C425" s="1667" t="s">
        <v>1990</v>
      </c>
      <c r="D425" s="2077" t="s">
        <v>2085</v>
      </c>
      <c r="E425" s="2077"/>
      <c r="F425" s="2077"/>
      <c r="G425" s="2076">
        <f>ROUND(0.9*0.5,2)</f>
        <v>0.45</v>
      </c>
      <c r="H425" s="2076"/>
      <c r="I425" s="1553" t="s">
        <v>94</v>
      </c>
    </row>
    <row r="426" spans="1:9" s="1066" customFormat="1" ht="17.45" customHeight="1">
      <c r="A426" s="1671"/>
      <c r="B426" s="1654"/>
      <c r="C426" s="1667" t="s">
        <v>1992</v>
      </c>
      <c r="D426" s="2077" t="s">
        <v>2086</v>
      </c>
      <c r="E426" s="2077"/>
      <c r="F426" s="2077"/>
      <c r="G426" s="2076">
        <f>2*(0.9+0.5)</f>
        <v>2.8</v>
      </c>
      <c r="H426" s="2076"/>
      <c r="I426" s="1553" t="s">
        <v>197</v>
      </c>
    </row>
    <row r="427" spans="1:9" s="1066" customFormat="1" ht="17.45" customHeight="1">
      <c r="A427" s="1671"/>
      <c r="B427" s="1654"/>
      <c r="C427" s="1667" t="s">
        <v>2027</v>
      </c>
      <c r="D427" s="2077" t="s">
        <v>2087</v>
      </c>
      <c r="E427" s="2077"/>
      <c r="F427" s="2077"/>
      <c r="G427" s="2107">
        <f>ROUND(0.8*2.05,3)</f>
        <v>1.64</v>
      </c>
      <c r="H427" s="2107"/>
      <c r="I427" s="1553" t="s">
        <v>94</v>
      </c>
    </row>
    <row r="428" spans="1:9" s="1066" customFormat="1" ht="17.45" customHeight="1">
      <c r="A428" s="1671"/>
      <c r="B428" s="1654"/>
      <c r="C428" s="1667" t="s">
        <v>1996</v>
      </c>
      <c r="D428" s="2108" t="s">
        <v>2088</v>
      </c>
      <c r="E428" s="2108"/>
      <c r="F428" s="2108"/>
      <c r="G428" s="2098">
        <f>ROUND(2*0.9*0.785,3)</f>
        <v>1.413</v>
      </c>
      <c r="H428" s="2098"/>
      <c r="I428" s="1553" t="s">
        <v>1110</v>
      </c>
    </row>
    <row r="429" spans="1:9" s="1066" customFormat="1" ht="15.95" customHeight="1">
      <c r="A429" s="1671"/>
      <c r="B429" s="1654"/>
      <c r="C429" s="1662" t="s">
        <v>1965</v>
      </c>
      <c r="D429" s="1137"/>
      <c r="E429" s="1022"/>
      <c r="F429" s="1137"/>
      <c r="G429" s="1022"/>
      <c r="H429" s="1022"/>
      <c r="I429" s="1672"/>
    </row>
    <row r="430" spans="1:9" s="1066" customFormat="1" ht="12.75" customHeight="1">
      <c r="A430" s="1671"/>
      <c r="B430" s="1654"/>
      <c r="C430" s="1667" t="s">
        <v>2030</v>
      </c>
      <c r="D430" s="1557">
        <f>G421</f>
        <v>3.3930000000000002E-2</v>
      </c>
      <c r="E430" s="1022" t="s">
        <v>75</v>
      </c>
      <c r="F430" s="1137">
        <f>'Civil-SOR'!$G$26</f>
        <v>91479</v>
      </c>
      <c r="G430" s="1022">
        <v>1</v>
      </c>
      <c r="H430" s="1022" t="s">
        <v>75</v>
      </c>
      <c r="I430" s="1062">
        <f t="shared" ref="I430:I448" si="27">IF(G430="",D430*F430,(D430*F430/G430))</f>
        <v>3103.88247</v>
      </c>
    </row>
    <row r="431" spans="1:9" s="1066" customFormat="1" ht="12.75" customHeight="1">
      <c r="A431" s="1671"/>
      <c r="B431" s="1654"/>
      <c r="C431" s="1667" t="s">
        <v>2031</v>
      </c>
      <c r="D431" s="1194">
        <f>G423</f>
        <v>1.17E-2</v>
      </c>
      <c r="E431" s="1022" t="s">
        <v>75</v>
      </c>
      <c r="F431" s="1137">
        <f>'Civil-SOR'!$G$25</f>
        <v>82331</v>
      </c>
      <c r="G431" s="1022">
        <v>1</v>
      </c>
      <c r="H431" s="1022" t="s">
        <v>75</v>
      </c>
      <c r="I431" s="1062">
        <f t="shared" si="27"/>
        <v>963.27269999999999</v>
      </c>
    </row>
    <row r="432" spans="1:9" s="1066" customFormat="1" ht="14.45" customHeight="1">
      <c r="A432" s="1671"/>
      <c r="B432" s="1654"/>
      <c r="C432" s="1667" t="s">
        <v>1998</v>
      </c>
      <c r="D432" s="1137">
        <f t="shared" ref="D432:D434" si="28">G425</f>
        <v>0.45</v>
      </c>
      <c r="E432" s="1022" t="s">
        <v>94</v>
      </c>
      <c r="F432" s="1137">
        <f>'Civil-SOR'!$G$51</f>
        <v>336</v>
      </c>
      <c r="G432" s="1022">
        <v>1</v>
      </c>
      <c r="H432" s="1022" t="s">
        <v>94</v>
      </c>
      <c r="I432" s="1062">
        <f t="shared" si="27"/>
        <v>151.20000000000002</v>
      </c>
    </row>
    <row r="433" spans="1:9" s="1066" customFormat="1" ht="14.45" customHeight="1">
      <c r="A433" s="1671"/>
      <c r="B433" s="1654"/>
      <c r="C433" s="1667" t="s">
        <v>1999</v>
      </c>
      <c r="D433" s="1137">
        <f t="shared" si="28"/>
        <v>2.8</v>
      </c>
      <c r="E433" s="1022" t="s">
        <v>197</v>
      </c>
      <c r="F433" s="1137">
        <f>'Civil-SOR'!$G$382</f>
        <v>26</v>
      </c>
      <c r="G433" s="1022">
        <v>1</v>
      </c>
      <c r="H433" s="1022" t="s">
        <v>2032</v>
      </c>
      <c r="I433" s="1062">
        <f t="shared" si="27"/>
        <v>72.8</v>
      </c>
    </row>
    <row r="434" spans="1:9" s="1066" customFormat="1" ht="14.45" customHeight="1">
      <c r="A434" s="1671"/>
      <c r="B434" s="1654"/>
      <c r="C434" s="1667" t="s">
        <v>2033</v>
      </c>
      <c r="D434" s="1138">
        <f t="shared" si="28"/>
        <v>1.64</v>
      </c>
      <c r="E434" s="1022" t="s">
        <v>94</v>
      </c>
      <c r="F434" s="1137">
        <f>'Civil-SOR'!$G$114</f>
        <v>1334</v>
      </c>
      <c r="G434" s="1022">
        <v>1</v>
      </c>
      <c r="H434" s="1022" t="s">
        <v>94</v>
      </c>
      <c r="I434" s="1062">
        <f t="shared" si="27"/>
        <v>2187.7599999999998</v>
      </c>
    </row>
    <row r="435" spans="1:9" s="1066" customFormat="1" ht="14.45" customHeight="1">
      <c r="A435" s="1671"/>
      <c r="B435" s="1654"/>
      <c r="C435" s="1667" t="s">
        <v>2034</v>
      </c>
      <c r="D435" s="1076">
        <v>6</v>
      </c>
      <c r="E435" s="1022" t="s">
        <v>36</v>
      </c>
      <c r="F435" s="1137">
        <f>'Civil-SOR'!$G$385</f>
        <v>37</v>
      </c>
      <c r="G435" s="1022"/>
      <c r="H435" s="1022" t="s">
        <v>501</v>
      </c>
      <c r="I435" s="1062">
        <f t="shared" si="27"/>
        <v>222</v>
      </c>
    </row>
    <row r="436" spans="1:9" s="1066" customFormat="1" ht="14.45" customHeight="1">
      <c r="A436" s="1671"/>
      <c r="B436" s="1654"/>
      <c r="C436" s="1667" t="s">
        <v>2035</v>
      </c>
      <c r="D436" s="1076">
        <v>1</v>
      </c>
      <c r="E436" s="1022" t="s">
        <v>39</v>
      </c>
      <c r="F436" s="1137">
        <f>'Civil-SOR'!$G$153</f>
        <v>90</v>
      </c>
      <c r="G436" s="1022"/>
      <c r="H436" s="1022" t="s">
        <v>501</v>
      </c>
      <c r="I436" s="1062">
        <f t="shared" si="27"/>
        <v>90</v>
      </c>
    </row>
    <row r="437" spans="1:9" s="1066" customFormat="1" ht="14.45" customHeight="1">
      <c r="A437" s="1671"/>
      <c r="B437" s="1654"/>
      <c r="C437" s="1667" t="s">
        <v>2036</v>
      </c>
      <c r="D437" s="1076">
        <v>3</v>
      </c>
      <c r="E437" s="1022" t="s">
        <v>36</v>
      </c>
      <c r="F437" s="1137">
        <f>'Civil-SOR'!$G$159</f>
        <v>106</v>
      </c>
      <c r="G437" s="1022"/>
      <c r="H437" s="1022" t="s">
        <v>501</v>
      </c>
      <c r="I437" s="1062">
        <f t="shared" si="27"/>
        <v>318</v>
      </c>
    </row>
    <row r="438" spans="1:9" s="1066" customFormat="1" ht="14.45" customHeight="1">
      <c r="A438" s="1671"/>
      <c r="B438" s="1654"/>
      <c r="C438" s="1667" t="s">
        <v>2037</v>
      </c>
      <c r="D438" s="1076">
        <v>1</v>
      </c>
      <c r="E438" s="1022" t="s">
        <v>39</v>
      </c>
      <c r="F438" s="1137">
        <f>'Civil-SOR'!$G$172</f>
        <v>239</v>
      </c>
      <c r="G438" s="1022"/>
      <c r="H438" s="1022" t="s">
        <v>501</v>
      </c>
      <c r="I438" s="1062">
        <f t="shared" si="27"/>
        <v>239</v>
      </c>
    </row>
    <row r="439" spans="1:9" s="1066" customFormat="1" ht="14.45" customHeight="1">
      <c r="A439" s="1671"/>
      <c r="B439" s="1654"/>
      <c r="C439" s="1667" t="s">
        <v>2038</v>
      </c>
      <c r="D439" s="1076">
        <v>2</v>
      </c>
      <c r="E439" s="1022" t="s">
        <v>36</v>
      </c>
      <c r="F439" s="1137">
        <f>'Civil-SOR'!$G$164</f>
        <v>100</v>
      </c>
      <c r="G439" s="1022"/>
      <c r="H439" s="1022" t="s">
        <v>501</v>
      </c>
      <c r="I439" s="1062">
        <f t="shared" si="27"/>
        <v>200</v>
      </c>
    </row>
    <row r="440" spans="1:9" s="1066" customFormat="1" ht="14.45" customHeight="1">
      <c r="A440" s="1671"/>
      <c r="B440" s="1654"/>
      <c r="C440" s="1667" t="s">
        <v>2039</v>
      </c>
      <c r="D440" s="1076">
        <v>1</v>
      </c>
      <c r="E440" s="1022" t="s">
        <v>39</v>
      </c>
      <c r="F440" s="1137">
        <f>'Civil-SOR'!$G$178</f>
        <v>66</v>
      </c>
      <c r="G440" s="1022"/>
      <c r="H440" s="1022" t="s">
        <v>501</v>
      </c>
      <c r="I440" s="1062">
        <f t="shared" si="27"/>
        <v>66</v>
      </c>
    </row>
    <row r="441" spans="1:9" s="1066" customFormat="1" ht="14.45" customHeight="1">
      <c r="A441" s="1671"/>
      <c r="B441" s="1654"/>
      <c r="C441" s="1667" t="s">
        <v>2040</v>
      </c>
      <c r="D441" s="1076">
        <v>1</v>
      </c>
      <c r="E441" s="1022" t="s">
        <v>39</v>
      </c>
      <c r="F441" s="1559">
        <f>'Civil-SOR'!$G$386</f>
        <v>12</v>
      </c>
      <c r="G441" s="1022"/>
      <c r="H441" s="1022" t="s">
        <v>501</v>
      </c>
      <c r="I441" s="1062">
        <f t="shared" si="27"/>
        <v>12</v>
      </c>
    </row>
    <row r="442" spans="1:9" s="1066" customFormat="1" ht="13.15" customHeight="1">
      <c r="A442" s="1671"/>
      <c r="B442" s="1654"/>
      <c r="C442" s="1667" t="s">
        <v>2009</v>
      </c>
      <c r="D442" s="1138">
        <f>G428</f>
        <v>1.413</v>
      </c>
      <c r="E442" s="1022" t="s">
        <v>1110</v>
      </c>
      <c r="F442" s="1137">
        <f>LEAD!$N$10</f>
        <v>61000</v>
      </c>
      <c r="G442" s="1022">
        <v>1000</v>
      </c>
      <c r="H442" s="1022" t="s">
        <v>1110</v>
      </c>
      <c r="I442" s="1062">
        <f t="shared" si="27"/>
        <v>86.192999999999998</v>
      </c>
    </row>
    <row r="443" spans="1:9" s="1066" customFormat="1" ht="13.15" customHeight="1">
      <c r="A443" s="1671"/>
      <c r="B443" s="1654"/>
      <c r="C443" s="1667" t="s">
        <v>2010</v>
      </c>
      <c r="D443" s="1196">
        <f>G424</f>
        <v>4.5630000000000004E-2</v>
      </c>
      <c r="E443" s="1022" t="s">
        <v>75</v>
      </c>
      <c r="F443" s="1137">
        <f>$I$8</f>
        <v>15027.85</v>
      </c>
      <c r="G443" s="1022">
        <v>1</v>
      </c>
      <c r="H443" s="1022" t="s">
        <v>75</v>
      </c>
      <c r="I443" s="1062">
        <f t="shared" si="27"/>
        <v>685.72079550000012</v>
      </c>
    </row>
    <row r="444" spans="1:9" s="1066" customFormat="1" ht="13.15" customHeight="1">
      <c r="A444" s="1671"/>
      <c r="B444" s="1654"/>
      <c r="C444" s="1667" t="str">
        <f>Input!$C$47</f>
        <v>Add for MA @ 40%</v>
      </c>
      <c r="D444" s="1137">
        <f>Input!$D$47</f>
        <v>0.4</v>
      </c>
      <c r="E444" s="1022"/>
      <c r="F444" s="1137">
        <f>I443</f>
        <v>685.72079550000012</v>
      </c>
      <c r="G444" s="1022"/>
      <c r="H444" s="1022"/>
      <c r="I444" s="1062">
        <f t="shared" si="27"/>
        <v>274.28831820000005</v>
      </c>
    </row>
    <row r="445" spans="1:9" s="1066" customFormat="1" ht="25.5" customHeight="1">
      <c r="A445" s="1671"/>
      <c r="B445" s="1654"/>
      <c r="C445" s="1667" t="s">
        <v>2072</v>
      </c>
      <c r="D445" s="1138">
        <f>G427</f>
        <v>1.64</v>
      </c>
      <c r="E445" s="1022" t="s">
        <v>94</v>
      </c>
      <c r="F445" s="1137">
        <f>'Civil-SOR'!$G$206</f>
        <v>550</v>
      </c>
      <c r="G445" s="1022">
        <v>1</v>
      </c>
      <c r="H445" s="1022" t="s">
        <v>94</v>
      </c>
      <c r="I445" s="1062">
        <f t="shared" si="27"/>
        <v>902</v>
      </c>
    </row>
    <row r="446" spans="1:9" s="1066" customFormat="1" ht="15.95" customHeight="1">
      <c r="A446" s="1671"/>
      <c r="B446" s="1654"/>
      <c r="C446" s="1667" t="str">
        <f>Input!$C$47</f>
        <v>Add for MA @ 40%</v>
      </c>
      <c r="D446" s="1137">
        <f>Input!$D$47</f>
        <v>0.4</v>
      </c>
      <c r="E446" s="1022"/>
      <c r="F446" s="1137">
        <f>I445</f>
        <v>902</v>
      </c>
      <c r="G446" s="1022"/>
      <c r="H446" s="1022"/>
      <c r="I446" s="1062">
        <f t="shared" si="27"/>
        <v>360.8</v>
      </c>
    </row>
    <row r="447" spans="1:9" s="1066" customFormat="1" ht="15.95" customHeight="1">
      <c r="A447" s="1671"/>
      <c r="B447" s="1654"/>
      <c r="C447" s="1667" t="s">
        <v>2054</v>
      </c>
      <c r="D447" s="1137">
        <f>G425</f>
        <v>0.45</v>
      </c>
      <c r="E447" s="1022" t="s">
        <v>94</v>
      </c>
      <c r="F447" s="1137">
        <f>'Civil-SOR'!$G$207</f>
        <v>410</v>
      </c>
      <c r="G447" s="1022">
        <v>1</v>
      </c>
      <c r="H447" s="1022" t="s">
        <v>94</v>
      </c>
      <c r="I447" s="1062">
        <f t="shared" si="27"/>
        <v>184.5</v>
      </c>
    </row>
    <row r="448" spans="1:9" s="1066" customFormat="1" ht="15.95" customHeight="1">
      <c r="A448" s="1671"/>
      <c r="B448" s="1654"/>
      <c r="C448" s="1667" t="str">
        <f>Input!$C$47</f>
        <v>Add for MA @ 40%</v>
      </c>
      <c r="D448" s="1137">
        <f>Input!$D$47</f>
        <v>0.4</v>
      </c>
      <c r="E448" s="1022"/>
      <c r="F448" s="1137">
        <f>I447</f>
        <v>184.5</v>
      </c>
      <c r="G448" s="1022"/>
      <c r="H448" s="1022"/>
      <c r="I448" s="1062">
        <f t="shared" si="27"/>
        <v>73.8</v>
      </c>
    </row>
    <row r="449" spans="1:9" s="1066" customFormat="1" ht="15.95" customHeight="1">
      <c r="A449" s="1671"/>
      <c r="B449" s="1654"/>
      <c r="C449" s="1667" t="s">
        <v>2013</v>
      </c>
      <c r="D449" s="1137"/>
      <c r="E449" s="1022"/>
      <c r="F449" s="1137"/>
      <c r="G449" s="1022"/>
      <c r="H449" s="1022"/>
      <c r="I449" s="1672"/>
    </row>
    <row r="450" spans="1:9" s="1066" customFormat="1" ht="15.95" customHeight="1">
      <c r="A450" s="1671"/>
      <c r="B450" s="1654"/>
      <c r="C450" s="1662" t="s">
        <v>2089</v>
      </c>
      <c r="D450" s="1137"/>
      <c r="E450" s="1022"/>
      <c r="F450" s="1137"/>
      <c r="G450" s="1022"/>
      <c r="H450" s="1022"/>
      <c r="I450" s="1672">
        <f>SUM(I430:I449)</f>
        <v>10193.2172837</v>
      </c>
    </row>
    <row r="451" spans="1:9" s="1066" customFormat="1" ht="12.75" customHeight="1">
      <c r="A451" s="1671"/>
      <c r="B451" s="1654"/>
      <c r="C451" s="1667" t="str">
        <f>Input!$C$48</f>
        <v>Overheads &amp; Contractors Profit @ 13.615%</v>
      </c>
      <c r="D451" s="1557">
        <f>Input!$D$48</f>
        <v>0.13614999999999999</v>
      </c>
      <c r="E451" s="1022"/>
      <c r="F451" s="1137">
        <f>I450</f>
        <v>10193.2172837</v>
      </c>
      <c r="G451" s="1022"/>
      <c r="H451" s="1022"/>
      <c r="I451" s="1062">
        <f>IF(G451="",D451*F451,(D451*F451/G451))</f>
        <v>1387.8065331757548</v>
      </c>
    </row>
    <row r="452" spans="1:9" s="1066" customFormat="1" ht="15.95" customHeight="1">
      <c r="A452" s="1671"/>
      <c r="B452" s="1654"/>
      <c r="C452" s="1667"/>
      <c r="D452" s="1137"/>
      <c r="E452" s="1022"/>
      <c r="F452" s="1137"/>
      <c r="G452" s="1022"/>
      <c r="H452" s="1022"/>
      <c r="I452" s="1672">
        <f>SUM(I450:I451)</f>
        <v>11581.023816875755</v>
      </c>
    </row>
    <row r="453" spans="1:9" s="1066" customFormat="1" ht="15.95" customHeight="1">
      <c r="A453" s="1671"/>
      <c r="B453" s="1654"/>
      <c r="C453" s="1662" t="s">
        <v>1525</v>
      </c>
      <c r="D453" s="1137"/>
      <c r="E453" s="1022"/>
      <c r="F453" s="1137"/>
      <c r="G453" s="1022"/>
      <c r="H453" s="1022"/>
      <c r="I453" s="1672">
        <f>I452/G418</f>
        <v>4949.1554772973304</v>
      </c>
    </row>
    <row r="454" spans="1:9" s="1066" customFormat="1" ht="13.5" customHeight="1">
      <c r="A454" s="1671"/>
      <c r="B454" s="1654"/>
      <c r="C454" s="1667"/>
      <c r="D454" s="1137"/>
      <c r="E454" s="1022"/>
      <c r="F454" s="1137"/>
      <c r="G454" s="2075" t="s">
        <v>1096</v>
      </c>
      <c r="H454" s="2075"/>
      <c r="I454" s="1040">
        <f>ROUND(I453,0)</f>
        <v>4949</v>
      </c>
    </row>
    <row r="455" spans="1:9" s="1066" customFormat="1" ht="14.65" customHeight="1">
      <c r="A455" s="1671"/>
      <c r="B455" s="1654"/>
      <c r="C455" s="1667"/>
      <c r="D455" s="1137"/>
      <c r="E455" s="1022"/>
      <c r="F455" s="1137"/>
      <c r="G455" s="1022"/>
      <c r="H455" s="1022"/>
      <c r="I455" s="1040"/>
    </row>
    <row r="456" spans="1:9" s="1066" customFormat="1" ht="14.65" customHeight="1">
      <c r="A456" s="1671"/>
      <c r="B456" s="1654"/>
      <c r="C456" s="1667"/>
      <c r="D456" s="1137"/>
      <c r="E456" s="1022"/>
      <c r="F456" s="1137"/>
      <c r="G456" s="1022"/>
      <c r="H456" s="1022"/>
      <c r="I456" s="1040"/>
    </row>
    <row r="457" spans="1:9" s="1066" customFormat="1" ht="58.9" customHeight="1">
      <c r="A457" s="2091">
        <f>A415+1</f>
        <v>7</v>
      </c>
      <c r="B457" s="2091"/>
      <c r="C457" s="2036" t="s">
        <v>3519</v>
      </c>
      <c r="D457" s="2036"/>
      <c r="E457" s="2036"/>
      <c r="F457" s="2036"/>
      <c r="G457" s="2036"/>
      <c r="H457" s="2036"/>
      <c r="I457" s="1662"/>
    </row>
    <row r="458" spans="1:9" s="1066" customFormat="1" ht="109.9" customHeight="1">
      <c r="A458" s="1671"/>
      <c r="B458" s="1654"/>
      <c r="C458" s="2037" t="s">
        <v>3520</v>
      </c>
      <c r="D458" s="2037"/>
      <c r="E458" s="2037"/>
      <c r="F458" s="2037"/>
      <c r="G458" s="2037"/>
      <c r="H458" s="2037"/>
      <c r="I458" s="1662"/>
    </row>
    <row r="459" spans="1:9" s="1066" customFormat="1" ht="15.95" customHeight="1">
      <c r="A459" s="1671"/>
      <c r="B459" s="1654"/>
      <c r="C459" s="1662" t="s">
        <v>2090</v>
      </c>
      <c r="D459" s="1022"/>
      <c r="E459" s="1022"/>
      <c r="F459" s="1022"/>
      <c r="G459" s="1022"/>
      <c r="H459" s="1022"/>
      <c r="I459" s="1671"/>
    </row>
    <row r="460" spans="1:9" s="1066" customFormat="1" ht="16.149999999999999" customHeight="1">
      <c r="A460" s="1671"/>
      <c r="B460" s="1654"/>
      <c r="C460" s="1662"/>
      <c r="D460" s="1657" t="s">
        <v>1982</v>
      </c>
      <c r="E460" s="2045" t="s">
        <v>2091</v>
      </c>
      <c r="F460" s="2045"/>
      <c r="G460" s="1022"/>
      <c r="H460" s="1556">
        <f>2*2.1</f>
        <v>4.2</v>
      </c>
      <c r="I460" s="1658" t="s">
        <v>46</v>
      </c>
    </row>
    <row r="461" spans="1:9" s="1066" customFormat="1" ht="13.9" customHeight="1">
      <c r="A461" s="1671"/>
      <c r="B461" s="1654"/>
      <c r="C461" s="1662" t="s">
        <v>1935</v>
      </c>
      <c r="D461" s="2099"/>
      <c r="E461" s="2099"/>
      <c r="F461" s="2099"/>
      <c r="G461" s="1022"/>
      <c r="H461" s="1022"/>
      <c r="I461" s="1659"/>
    </row>
    <row r="462" spans="1:9" s="1066" customFormat="1" ht="13.9" customHeight="1">
      <c r="A462" s="1671"/>
      <c r="B462" s="1654"/>
      <c r="C462" s="1667" t="s">
        <v>1984</v>
      </c>
      <c r="D462" s="2077" t="s">
        <v>2092</v>
      </c>
      <c r="E462" s="2077"/>
      <c r="F462" s="2077"/>
      <c r="G462" s="1022"/>
      <c r="H462" s="1022"/>
      <c r="I462" s="1659"/>
    </row>
    <row r="463" spans="1:9" s="1066" customFormat="1" ht="13.9" customHeight="1">
      <c r="A463" s="1671"/>
      <c r="B463" s="1654"/>
      <c r="C463" s="1667"/>
      <c r="D463" s="2077" t="s">
        <v>2093</v>
      </c>
      <c r="E463" s="2077"/>
      <c r="F463" s="2077"/>
      <c r="G463" s="2105">
        <f>ROUND(4.22*0.1*0.065,5)</f>
        <v>2.743E-2</v>
      </c>
      <c r="H463" s="2105"/>
      <c r="I463" s="1659" t="s">
        <v>75</v>
      </c>
    </row>
    <row r="464" spans="1:9" s="1066" customFormat="1" ht="13.9" customHeight="1">
      <c r="A464" s="1671"/>
      <c r="B464" s="1654"/>
      <c r="C464" s="1667" t="s">
        <v>1987</v>
      </c>
      <c r="D464" s="2077" t="s">
        <v>2094</v>
      </c>
      <c r="E464" s="2077"/>
      <c r="F464" s="2077"/>
      <c r="G464" s="1676"/>
      <c r="H464" s="1676"/>
      <c r="I464" s="1659"/>
    </row>
    <row r="465" spans="1:9" s="1066" customFormat="1" ht="13.15" customHeight="1">
      <c r="A465" s="1671"/>
      <c r="B465" s="1654"/>
      <c r="C465" s="1667"/>
      <c r="D465" s="2077" t="s">
        <v>2095</v>
      </c>
      <c r="E465" s="2077"/>
      <c r="F465" s="2077"/>
      <c r="G465" s="2105">
        <f>ROUND(2*0.1*0.065,5)</f>
        <v>1.2999999999999999E-2</v>
      </c>
      <c r="H465" s="2105"/>
      <c r="I465" s="1659" t="s">
        <v>75</v>
      </c>
    </row>
    <row r="466" spans="1:9" s="1066" customFormat="1" ht="13.9" customHeight="1">
      <c r="A466" s="1671"/>
      <c r="B466" s="1654"/>
      <c r="C466" s="1667"/>
      <c r="D466" s="2099"/>
      <c r="E466" s="2099"/>
      <c r="F466" s="2099"/>
      <c r="G466" s="2104">
        <f>SUM(G463:G465)</f>
        <v>4.0430000000000001E-2</v>
      </c>
      <c r="H466" s="2104"/>
      <c r="I466" s="1553" t="s">
        <v>75</v>
      </c>
    </row>
    <row r="467" spans="1:9" s="1066" customFormat="1" ht="13.9" customHeight="1">
      <c r="A467" s="1671"/>
      <c r="B467" s="1654"/>
      <c r="C467" s="1667"/>
      <c r="D467" s="2099"/>
      <c r="E467" s="2099"/>
      <c r="F467" s="2099"/>
      <c r="G467" s="1022"/>
      <c r="H467" s="1078"/>
      <c r="I467" s="1553"/>
    </row>
    <row r="468" spans="1:9" s="1066" customFormat="1" ht="15" customHeight="1">
      <c r="A468" s="1671"/>
      <c r="B468" s="1654"/>
      <c r="C468" s="1667" t="s">
        <v>2027</v>
      </c>
      <c r="D468" s="2077" t="s">
        <v>2096</v>
      </c>
      <c r="E468" s="2077"/>
      <c r="F468" s="2077"/>
      <c r="G468" s="2107">
        <f>ROUND(2*0.95*2.05,3)</f>
        <v>3.895</v>
      </c>
      <c r="H468" s="2107"/>
      <c r="I468" s="1553" t="s">
        <v>94</v>
      </c>
    </row>
    <row r="469" spans="1:9" s="1066" customFormat="1" ht="14.65" customHeight="1">
      <c r="A469" s="1671"/>
      <c r="B469" s="1654"/>
      <c r="C469" s="1662"/>
      <c r="D469" s="1556"/>
      <c r="E469" s="1078"/>
      <c r="F469" s="1556"/>
      <c r="G469" s="1022"/>
      <c r="H469" s="1556"/>
      <c r="I469" s="1654"/>
    </row>
    <row r="470" spans="1:9" s="1066" customFormat="1" ht="17.45" customHeight="1">
      <c r="A470" s="1671"/>
      <c r="B470" s="1654"/>
      <c r="C470" s="1667" t="s">
        <v>2030</v>
      </c>
      <c r="D470" s="1557">
        <f>G463</f>
        <v>2.743E-2</v>
      </c>
      <c r="E470" s="1022" t="s">
        <v>75</v>
      </c>
      <c r="F470" s="1137">
        <f>'Civil-SOR'!$G$26</f>
        <v>91479</v>
      </c>
      <c r="G470" s="1022">
        <v>1</v>
      </c>
      <c r="H470" s="1022" t="s">
        <v>75</v>
      </c>
      <c r="I470" s="1062">
        <f t="shared" ref="I470:I481" si="29">IF(G470="",D470*F470,(D470*F470/G470))</f>
        <v>2509.2689700000001</v>
      </c>
    </row>
    <row r="471" spans="1:9" s="1066" customFormat="1" ht="17.45" customHeight="1">
      <c r="A471" s="1671"/>
      <c r="B471" s="1654"/>
      <c r="C471" s="1667" t="s">
        <v>2031</v>
      </c>
      <c r="D471" s="1557">
        <f>G465</f>
        <v>1.2999999999999999E-2</v>
      </c>
      <c r="E471" s="1022" t="s">
        <v>75</v>
      </c>
      <c r="F471" s="1137">
        <f>'Civil-SOR'!$G$25</f>
        <v>82331</v>
      </c>
      <c r="G471" s="1022">
        <v>1</v>
      </c>
      <c r="H471" s="1022" t="s">
        <v>75</v>
      </c>
      <c r="I471" s="1062">
        <f t="shared" si="29"/>
        <v>1070.3029999999999</v>
      </c>
    </row>
    <row r="472" spans="1:9" s="1066" customFormat="1" ht="17.45" customHeight="1">
      <c r="A472" s="1671"/>
      <c r="B472" s="1654"/>
      <c r="C472" s="1667" t="s">
        <v>2033</v>
      </c>
      <c r="D472" s="1138">
        <f>G468</f>
        <v>3.895</v>
      </c>
      <c r="E472" s="1022" t="s">
        <v>94</v>
      </c>
      <c r="F472" s="1137">
        <f>'Civil-SOR'!$G$114</f>
        <v>1334</v>
      </c>
      <c r="G472" s="1022">
        <v>1</v>
      </c>
      <c r="H472" s="1022" t="s">
        <v>94</v>
      </c>
      <c r="I472" s="1062">
        <f t="shared" si="29"/>
        <v>5195.93</v>
      </c>
    </row>
    <row r="473" spans="1:9" s="1066" customFormat="1" ht="17.45" customHeight="1">
      <c r="A473" s="1671"/>
      <c r="B473" s="1654"/>
      <c r="C473" s="1667" t="s">
        <v>2034</v>
      </c>
      <c r="D473" s="1076">
        <v>6</v>
      </c>
      <c r="E473" s="1022" t="s">
        <v>36</v>
      </c>
      <c r="F473" s="1137">
        <f>'Civil-SOR'!$G$385</f>
        <v>37</v>
      </c>
      <c r="G473" s="1022"/>
      <c r="H473" s="1022" t="s">
        <v>501</v>
      </c>
      <c r="I473" s="1062">
        <f t="shared" si="29"/>
        <v>222</v>
      </c>
    </row>
    <row r="474" spans="1:9" s="1066" customFormat="1" ht="17.45" customHeight="1">
      <c r="A474" s="1671"/>
      <c r="B474" s="1654"/>
      <c r="C474" s="1667" t="s">
        <v>2035</v>
      </c>
      <c r="D474" s="1076">
        <v>2</v>
      </c>
      <c r="E474" s="1022" t="s">
        <v>36</v>
      </c>
      <c r="F474" s="1137">
        <f>'Civil-SOR'!$G$153</f>
        <v>90</v>
      </c>
      <c r="G474" s="1022"/>
      <c r="H474" s="1022" t="s">
        <v>501</v>
      </c>
      <c r="I474" s="1062">
        <f t="shared" si="29"/>
        <v>180</v>
      </c>
    </row>
    <row r="475" spans="1:9" s="1066" customFormat="1" ht="17.45" customHeight="1">
      <c r="A475" s="1671"/>
      <c r="B475" s="1654"/>
      <c r="C475" s="1667" t="s">
        <v>2036</v>
      </c>
      <c r="D475" s="1076">
        <v>6</v>
      </c>
      <c r="E475" s="1022" t="s">
        <v>36</v>
      </c>
      <c r="F475" s="1137">
        <f>'Civil-SOR'!$G$159</f>
        <v>106</v>
      </c>
      <c r="G475" s="1022"/>
      <c r="H475" s="1022" t="s">
        <v>501</v>
      </c>
      <c r="I475" s="1062">
        <f t="shared" si="29"/>
        <v>636</v>
      </c>
    </row>
    <row r="476" spans="1:9" s="1066" customFormat="1" ht="17.45" customHeight="1">
      <c r="A476" s="1671"/>
      <c r="B476" s="1654"/>
      <c r="C476" s="1667" t="s">
        <v>2037</v>
      </c>
      <c r="D476" s="1076">
        <v>1</v>
      </c>
      <c r="E476" s="1022" t="s">
        <v>39</v>
      </c>
      <c r="F476" s="1137">
        <f>'Civil-SOR'!$G$172</f>
        <v>239</v>
      </c>
      <c r="G476" s="1022"/>
      <c r="H476" s="1022" t="s">
        <v>501</v>
      </c>
      <c r="I476" s="1062">
        <f t="shared" si="29"/>
        <v>239</v>
      </c>
    </row>
    <row r="477" spans="1:9" s="1066" customFormat="1" ht="17.45" customHeight="1">
      <c r="A477" s="1671"/>
      <c r="B477" s="1654"/>
      <c r="C477" s="1667" t="s">
        <v>2038</v>
      </c>
      <c r="D477" s="1076">
        <v>2</v>
      </c>
      <c r="E477" s="1022" t="s">
        <v>36</v>
      </c>
      <c r="F477" s="1137">
        <f>'Civil-SOR'!$G$164</f>
        <v>100</v>
      </c>
      <c r="G477" s="1022"/>
      <c r="H477" s="1022" t="s">
        <v>501</v>
      </c>
      <c r="I477" s="1062">
        <f t="shared" si="29"/>
        <v>200</v>
      </c>
    </row>
    <row r="478" spans="1:9" s="1066" customFormat="1" ht="17.45" customHeight="1">
      <c r="A478" s="1671"/>
      <c r="B478" s="1654"/>
      <c r="C478" s="1667" t="s">
        <v>2039</v>
      </c>
      <c r="D478" s="1076">
        <v>2</v>
      </c>
      <c r="E478" s="1022" t="s">
        <v>36</v>
      </c>
      <c r="F478" s="1137">
        <f>'Civil-SOR'!$G$178</f>
        <v>66</v>
      </c>
      <c r="G478" s="1022"/>
      <c r="H478" s="1022" t="s">
        <v>501</v>
      </c>
      <c r="I478" s="1062">
        <f t="shared" si="29"/>
        <v>132</v>
      </c>
    </row>
    <row r="479" spans="1:9" s="1066" customFormat="1" ht="17.45" customHeight="1">
      <c r="A479" s="1671"/>
      <c r="B479" s="1654"/>
      <c r="C479" s="1667" t="s">
        <v>2040</v>
      </c>
      <c r="D479" s="1076">
        <v>2</v>
      </c>
      <c r="E479" s="1022" t="s">
        <v>36</v>
      </c>
      <c r="F479" s="1559">
        <f>'Civil-SOR'!$G$386</f>
        <v>12</v>
      </c>
      <c r="G479" s="1022"/>
      <c r="H479" s="1022" t="s">
        <v>501</v>
      </c>
      <c r="I479" s="1062">
        <f t="shared" si="29"/>
        <v>24</v>
      </c>
    </row>
    <row r="480" spans="1:9" s="1066" customFormat="1" ht="30" customHeight="1">
      <c r="A480" s="1671"/>
      <c r="B480" s="1654"/>
      <c r="C480" s="1667" t="s">
        <v>2097</v>
      </c>
      <c r="D480" s="1138">
        <f>D472</f>
        <v>3.895</v>
      </c>
      <c r="E480" s="1022" t="s">
        <v>94</v>
      </c>
      <c r="F480" s="1137">
        <f>'Civil-SOR'!$G$206</f>
        <v>550</v>
      </c>
      <c r="G480" s="1022">
        <v>1</v>
      </c>
      <c r="H480" s="1022" t="s">
        <v>94</v>
      </c>
      <c r="I480" s="1062">
        <f t="shared" si="29"/>
        <v>2142.25</v>
      </c>
    </row>
    <row r="481" spans="1:9" s="1066" customFormat="1" ht="15" customHeight="1">
      <c r="A481" s="1671"/>
      <c r="B481" s="1654"/>
      <c r="C481" s="1667" t="str">
        <f>Input!$C$47</f>
        <v>Add for MA @ 40%</v>
      </c>
      <c r="D481" s="1137">
        <f>Input!$D$47</f>
        <v>0.4</v>
      </c>
      <c r="E481" s="1022"/>
      <c r="F481" s="1137">
        <f>I480</f>
        <v>2142.25</v>
      </c>
      <c r="G481" s="1022"/>
      <c r="H481" s="1022"/>
      <c r="I481" s="1062">
        <f t="shared" si="29"/>
        <v>856.90000000000009</v>
      </c>
    </row>
    <row r="482" spans="1:9" s="1066" customFormat="1" ht="14.45" customHeight="1">
      <c r="A482" s="1671"/>
      <c r="B482" s="1654"/>
      <c r="C482" s="1667" t="s">
        <v>2013</v>
      </c>
      <c r="D482" s="1138"/>
      <c r="E482" s="1022"/>
      <c r="F482" s="1137"/>
      <c r="G482" s="1022"/>
      <c r="H482" s="1022"/>
      <c r="I482" s="1672"/>
    </row>
    <row r="483" spans="1:9" s="1066" customFormat="1" ht="24.6" customHeight="1">
      <c r="A483" s="1671"/>
      <c r="B483" s="1654"/>
      <c r="C483" s="1662" t="s">
        <v>2098</v>
      </c>
      <c r="D483" s="1137"/>
      <c r="E483" s="1022"/>
      <c r="F483" s="1137"/>
      <c r="G483" s="1022"/>
      <c r="H483" s="1022"/>
      <c r="I483" s="1035">
        <f>SUM(I470:I482)</f>
        <v>13407.651970000001</v>
      </c>
    </row>
    <row r="484" spans="1:9" s="1066" customFormat="1" ht="24.6" customHeight="1">
      <c r="A484" s="1671"/>
      <c r="B484" s="1654"/>
      <c r="C484" s="1662" t="s">
        <v>1525</v>
      </c>
      <c r="D484" s="1137"/>
      <c r="E484" s="1022"/>
      <c r="F484" s="1137"/>
      <c r="G484" s="1022"/>
      <c r="H484" s="1022"/>
      <c r="I484" s="1035">
        <f>I483/H460</f>
        <v>3192.2980880952382</v>
      </c>
    </row>
    <row r="485" spans="1:9" s="1066" customFormat="1" ht="24.6" customHeight="1">
      <c r="A485" s="1671"/>
      <c r="B485" s="1654"/>
      <c r="C485" s="1667" t="str">
        <f>Input!$C$48</f>
        <v>Overheads &amp; Contractors Profit @ 13.615%</v>
      </c>
      <c r="D485" s="1557">
        <f>Input!$D$48</f>
        <v>0.13614999999999999</v>
      </c>
      <c r="E485" s="1022"/>
      <c r="F485" s="1137">
        <f>I484</f>
        <v>3192.2980880952382</v>
      </c>
      <c r="G485" s="1022"/>
      <c r="H485" s="1022"/>
      <c r="I485" s="1062">
        <f>IF(G485="",D485*F485,(D485*F485/G485))</f>
        <v>434.63138469416668</v>
      </c>
    </row>
    <row r="486" spans="1:9" s="1006" customFormat="1" ht="24.6" customHeight="1">
      <c r="A486" s="1671"/>
      <c r="B486" s="1654"/>
      <c r="C486" s="1088" t="s">
        <v>1525</v>
      </c>
      <c r="D486" s="1136"/>
      <c r="E486" s="1005"/>
      <c r="F486" s="1136"/>
      <c r="G486" s="1005"/>
      <c r="H486" s="1005"/>
      <c r="I486" s="1660">
        <f>SUM(I484:I485)</f>
        <v>3626.9294727894048</v>
      </c>
    </row>
    <row r="487" spans="1:9" s="1006" customFormat="1" ht="22.9" customHeight="1">
      <c r="A487" s="1671"/>
      <c r="B487" s="1654"/>
      <c r="C487" s="1110"/>
      <c r="D487" s="1136"/>
      <c r="E487" s="1005"/>
      <c r="F487" s="1136"/>
      <c r="G487" s="2075" t="s">
        <v>1096</v>
      </c>
      <c r="H487" s="2075"/>
      <c r="I487" s="1661">
        <f>ROUND(I486,0)</f>
        <v>3627</v>
      </c>
    </row>
    <row r="488" spans="1:9" s="1066" customFormat="1" ht="14.65" customHeight="1">
      <c r="A488" s="1671"/>
      <c r="B488" s="1654"/>
      <c r="C488" s="1667"/>
      <c r="D488" s="1137"/>
      <c r="E488" s="1022"/>
      <c r="F488" s="1137"/>
      <c r="G488" s="1022"/>
      <c r="H488" s="1022"/>
      <c r="I488" s="1040"/>
    </row>
    <row r="489" spans="1:9" s="1066" customFormat="1" ht="75" customHeight="1">
      <c r="A489" s="2091">
        <f>A457+1</f>
        <v>8</v>
      </c>
      <c r="B489" s="2091"/>
      <c r="C489" s="2036" t="s">
        <v>3521</v>
      </c>
      <c r="D489" s="2036"/>
      <c r="E489" s="2036"/>
      <c r="F489" s="2036"/>
      <c r="G489" s="2036"/>
      <c r="H489" s="2036"/>
      <c r="I489" s="1662"/>
    </row>
    <row r="490" spans="1:9" s="1066" customFormat="1" ht="129.6" customHeight="1">
      <c r="A490" s="1671"/>
      <c r="B490" s="1654"/>
      <c r="C490" s="2037" t="s">
        <v>3522</v>
      </c>
      <c r="D490" s="2037"/>
      <c r="E490" s="2037"/>
      <c r="F490" s="2037"/>
      <c r="G490" s="2037"/>
      <c r="H490" s="2037"/>
      <c r="I490" s="1662"/>
    </row>
    <row r="491" spans="1:9" s="1066" customFormat="1" ht="15.95" customHeight="1">
      <c r="A491" s="1671"/>
      <c r="B491" s="1654"/>
      <c r="C491" s="1662" t="s">
        <v>2090</v>
      </c>
      <c r="D491" s="1022"/>
      <c r="E491" s="1022"/>
      <c r="F491" s="1022"/>
      <c r="G491" s="1022"/>
      <c r="H491" s="1022"/>
      <c r="I491" s="1671"/>
    </row>
    <row r="492" spans="1:9" s="1066" customFormat="1" ht="14.45" customHeight="1">
      <c r="A492" s="1671"/>
      <c r="B492" s="1654"/>
      <c r="C492" s="1662"/>
      <c r="D492" s="1657" t="s">
        <v>1982</v>
      </c>
      <c r="E492" s="2070" t="s">
        <v>2099</v>
      </c>
      <c r="F492" s="2070"/>
      <c r="G492" s="2076">
        <f>1.8*2.1</f>
        <v>3.7800000000000002</v>
      </c>
      <c r="H492" s="2076"/>
      <c r="I492" s="1658" t="s">
        <v>46</v>
      </c>
    </row>
    <row r="493" spans="1:9" s="1066" customFormat="1" ht="13.9" customHeight="1">
      <c r="A493" s="1671"/>
      <c r="B493" s="1654"/>
      <c r="C493" s="1662" t="s">
        <v>1935</v>
      </c>
      <c r="D493" s="2077"/>
      <c r="E493" s="2077"/>
      <c r="F493" s="2077"/>
      <c r="G493" s="1022"/>
      <c r="H493" s="1022"/>
      <c r="I493" s="1672"/>
    </row>
    <row r="494" spans="1:9" s="1066" customFormat="1" ht="16.149999999999999" customHeight="1">
      <c r="A494" s="1671"/>
      <c r="B494" s="1654"/>
      <c r="C494" s="1667" t="s">
        <v>1984</v>
      </c>
      <c r="D494" s="2077" t="s">
        <v>2092</v>
      </c>
      <c r="E494" s="2077"/>
      <c r="F494" s="2077"/>
      <c r="G494" s="1022"/>
      <c r="H494" s="1022"/>
      <c r="I494" s="1672"/>
    </row>
    <row r="495" spans="1:9" s="1066" customFormat="1" ht="16.149999999999999" customHeight="1">
      <c r="A495" s="1671"/>
      <c r="B495" s="1654"/>
      <c r="C495" s="1667"/>
      <c r="D495" s="2077" t="s">
        <v>2093</v>
      </c>
      <c r="E495" s="2077"/>
      <c r="F495" s="2077"/>
      <c r="G495" s="2105">
        <f>ROUND(4.22*0.1*0.065,5)</f>
        <v>2.743E-2</v>
      </c>
      <c r="H495" s="2105"/>
      <c r="I495" s="1659" t="s">
        <v>75</v>
      </c>
    </row>
    <row r="496" spans="1:9" s="1066" customFormat="1" ht="16.149999999999999" customHeight="1">
      <c r="A496" s="1671"/>
      <c r="B496" s="1654"/>
      <c r="C496" s="1667" t="s">
        <v>1987</v>
      </c>
      <c r="D496" s="2077" t="s">
        <v>2100</v>
      </c>
      <c r="E496" s="2077"/>
      <c r="F496" s="2077"/>
      <c r="G496" s="2106"/>
      <c r="H496" s="2106"/>
      <c r="I496" s="1659"/>
    </row>
    <row r="497" spans="1:9" s="1066" customFormat="1" ht="16.149999999999999" customHeight="1">
      <c r="A497" s="1671"/>
      <c r="B497" s="1654"/>
      <c r="C497" s="1667"/>
      <c r="D497" s="2077" t="s">
        <v>2101</v>
      </c>
      <c r="E497" s="2077"/>
      <c r="F497" s="2077"/>
      <c r="G497" s="2105">
        <f>ROUND(1.8*0.1*0.065,5)</f>
        <v>1.17E-2</v>
      </c>
      <c r="H497" s="2105"/>
      <c r="I497" s="1659" t="s">
        <v>75</v>
      </c>
    </row>
    <row r="498" spans="1:9" s="1066" customFormat="1" ht="16.149999999999999" customHeight="1">
      <c r="A498" s="1671"/>
      <c r="B498" s="1654"/>
      <c r="C498" s="1667"/>
      <c r="D498" s="1659"/>
      <c r="E498" s="1670"/>
      <c r="F498" s="1659"/>
      <c r="G498" s="2104">
        <f>SUM(G495:G497)</f>
        <v>3.9129999999999998E-2</v>
      </c>
      <c r="H498" s="2104"/>
      <c r="I498" s="1553" t="s">
        <v>75</v>
      </c>
    </row>
    <row r="499" spans="1:9" s="1066" customFormat="1" ht="29.45" customHeight="1">
      <c r="A499" s="1671"/>
      <c r="B499" s="1654"/>
      <c r="C499" s="1667" t="s">
        <v>2027</v>
      </c>
      <c r="D499" s="2077" t="s">
        <v>2102</v>
      </c>
      <c r="E499" s="2077"/>
      <c r="F499" s="2077"/>
      <c r="G499" s="2070">
        <f>ROUND(2*0.85*2.05,3)</f>
        <v>3.4849999999999999</v>
      </c>
      <c r="H499" s="2070"/>
      <c r="I499" s="1035" t="s">
        <v>94</v>
      </c>
    </row>
    <row r="500" spans="1:9" s="1066" customFormat="1" ht="17.45" customHeight="1">
      <c r="A500" s="1671"/>
      <c r="B500" s="1654"/>
      <c r="C500" s="1667" t="s">
        <v>2030</v>
      </c>
      <c r="D500" s="1194">
        <f>G495</f>
        <v>2.743E-2</v>
      </c>
      <c r="E500" s="1022" t="s">
        <v>75</v>
      </c>
      <c r="F500" s="1137">
        <f>'Civil-SOR'!$G$26</f>
        <v>91479</v>
      </c>
      <c r="G500" s="1022">
        <v>1</v>
      </c>
      <c r="H500" s="1022" t="s">
        <v>75</v>
      </c>
      <c r="I500" s="1062">
        <f t="shared" ref="I500:I513" si="30">IF(G500="",D500*F500,(D500*F500/G500))</f>
        <v>2509.2689700000001</v>
      </c>
    </row>
    <row r="501" spans="1:9" s="1066" customFormat="1" ht="17.45" customHeight="1">
      <c r="A501" s="1671"/>
      <c r="B501" s="1654"/>
      <c r="C501" s="1667" t="s">
        <v>2031</v>
      </c>
      <c r="D501" s="1194">
        <f>G497</f>
        <v>1.17E-2</v>
      </c>
      <c r="E501" s="1022" t="s">
        <v>75</v>
      </c>
      <c r="F501" s="1137">
        <f>'Civil-SOR'!$G$25</f>
        <v>82331</v>
      </c>
      <c r="G501" s="1022">
        <v>1</v>
      </c>
      <c r="H501" s="1022" t="s">
        <v>75</v>
      </c>
      <c r="I501" s="1062">
        <f t="shared" si="30"/>
        <v>963.27269999999999</v>
      </c>
    </row>
    <row r="502" spans="1:9" s="1066" customFormat="1" ht="17.45" customHeight="1">
      <c r="A502" s="1671"/>
      <c r="B502" s="1654"/>
      <c r="C502" s="1667" t="s">
        <v>2033</v>
      </c>
      <c r="D502" s="1138">
        <f>G499</f>
        <v>3.4849999999999999</v>
      </c>
      <c r="E502" s="1022" t="s">
        <v>94</v>
      </c>
      <c r="F502" s="1137">
        <f>'Civil-SOR'!$G$114</f>
        <v>1334</v>
      </c>
      <c r="G502" s="1022">
        <v>1</v>
      </c>
      <c r="H502" s="1022" t="s">
        <v>94</v>
      </c>
      <c r="I502" s="1062">
        <f t="shared" si="30"/>
        <v>4648.99</v>
      </c>
    </row>
    <row r="503" spans="1:9" s="1066" customFormat="1" ht="17.45" customHeight="1">
      <c r="A503" s="1671"/>
      <c r="B503" s="1654"/>
      <c r="C503" s="1667" t="s">
        <v>2034</v>
      </c>
      <c r="D503" s="1076">
        <v>6</v>
      </c>
      <c r="E503" s="1022" t="s">
        <v>36</v>
      </c>
      <c r="F503" s="1137">
        <f>'Civil-SOR'!$G$385</f>
        <v>37</v>
      </c>
      <c r="G503" s="1022"/>
      <c r="H503" s="1022" t="s">
        <v>501</v>
      </c>
      <c r="I503" s="1062">
        <f t="shared" si="30"/>
        <v>222</v>
      </c>
    </row>
    <row r="504" spans="1:9" s="1066" customFormat="1" ht="17.45" customHeight="1">
      <c r="A504" s="1671"/>
      <c r="B504" s="1654"/>
      <c r="C504" s="1667" t="s">
        <v>2035</v>
      </c>
      <c r="D504" s="1076">
        <v>2</v>
      </c>
      <c r="E504" s="1022" t="s">
        <v>36</v>
      </c>
      <c r="F504" s="1137">
        <f>'Civil-SOR'!$G$153</f>
        <v>90</v>
      </c>
      <c r="G504" s="1022"/>
      <c r="H504" s="1022" t="s">
        <v>501</v>
      </c>
      <c r="I504" s="1062">
        <f t="shared" si="30"/>
        <v>180</v>
      </c>
    </row>
    <row r="505" spans="1:9" s="1066" customFormat="1" ht="17.45" customHeight="1">
      <c r="A505" s="1671"/>
      <c r="B505" s="1654"/>
      <c r="C505" s="1667" t="s">
        <v>2036</v>
      </c>
      <c r="D505" s="1076">
        <v>6</v>
      </c>
      <c r="E505" s="1022" t="s">
        <v>36</v>
      </c>
      <c r="F505" s="1137">
        <f>'Civil-SOR'!$G$159</f>
        <v>106</v>
      </c>
      <c r="G505" s="1022"/>
      <c r="H505" s="1022" t="s">
        <v>501</v>
      </c>
      <c r="I505" s="1062">
        <f t="shared" si="30"/>
        <v>636</v>
      </c>
    </row>
    <row r="506" spans="1:9" s="1066" customFormat="1" ht="17.45" customHeight="1">
      <c r="A506" s="1671"/>
      <c r="B506" s="1654"/>
      <c r="C506" s="1667" t="s">
        <v>2037</v>
      </c>
      <c r="D506" s="1076">
        <v>1</v>
      </c>
      <c r="E506" s="1022" t="s">
        <v>39</v>
      </c>
      <c r="F506" s="1137">
        <f>'Civil-SOR'!$G$172</f>
        <v>239</v>
      </c>
      <c r="G506" s="1022"/>
      <c r="H506" s="1022" t="s">
        <v>501</v>
      </c>
      <c r="I506" s="1062">
        <f t="shared" si="30"/>
        <v>239</v>
      </c>
    </row>
    <row r="507" spans="1:9" s="1066" customFormat="1" ht="17.45" customHeight="1">
      <c r="A507" s="1671"/>
      <c r="B507" s="1654"/>
      <c r="C507" s="1667" t="s">
        <v>2038</v>
      </c>
      <c r="D507" s="1076">
        <v>2</v>
      </c>
      <c r="E507" s="1022" t="s">
        <v>36</v>
      </c>
      <c r="F507" s="1137">
        <f>'Civil-SOR'!$G$164</f>
        <v>100</v>
      </c>
      <c r="G507" s="1022"/>
      <c r="H507" s="1022" t="s">
        <v>501</v>
      </c>
      <c r="I507" s="1062">
        <f t="shared" si="30"/>
        <v>200</v>
      </c>
    </row>
    <row r="508" spans="1:9" s="1066" customFormat="1" ht="17.45" customHeight="1">
      <c r="A508" s="1671"/>
      <c r="B508" s="1654"/>
      <c r="C508" s="1667" t="s">
        <v>2039</v>
      </c>
      <c r="D508" s="1076">
        <v>2</v>
      </c>
      <c r="E508" s="1022" t="s">
        <v>36</v>
      </c>
      <c r="F508" s="1137">
        <f>'Civil-SOR'!$G$178</f>
        <v>66</v>
      </c>
      <c r="G508" s="1022"/>
      <c r="H508" s="1022" t="s">
        <v>501</v>
      </c>
      <c r="I508" s="1062">
        <f t="shared" si="30"/>
        <v>132</v>
      </c>
    </row>
    <row r="509" spans="1:9" s="1066" customFormat="1" ht="17.45" customHeight="1">
      <c r="A509" s="1671"/>
      <c r="B509" s="1654"/>
      <c r="C509" s="1667" t="s">
        <v>2040</v>
      </c>
      <c r="D509" s="1076">
        <v>2</v>
      </c>
      <c r="E509" s="1022" t="s">
        <v>36</v>
      </c>
      <c r="F509" s="1559">
        <f>'Civil-SOR'!$G$386</f>
        <v>12</v>
      </c>
      <c r="G509" s="1022"/>
      <c r="H509" s="1022" t="s">
        <v>501</v>
      </c>
      <c r="I509" s="1062">
        <f t="shared" si="30"/>
        <v>24</v>
      </c>
    </row>
    <row r="510" spans="1:9" s="1066" customFormat="1" ht="17.45" customHeight="1">
      <c r="A510" s="1671"/>
      <c r="B510" s="1654"/>
      <c r="C510" s="1667" t="s">
        <v>2010</v>
      </c>
      <c r="D510" s="1673">
        <f>G498</f>
        <v>3.9129999999999998E-2</v>
      </c>
      <c r="E510" s="1022" t="s">
        <v>75</v>
      </c>
      <c r="F510" s="1137">
        <f>$I$8</f>
        <v>15027.85</v>
      </c>
      <c r="G510" s="1022">
        <v>1</v>
      </c>
      <c r="H510" s="1022" t="s">
        <v>75</v>
      </c>
      <c r="I510" s="1062">
        <f t="shared" si="30"/>
        <v>588.03977050000003</v>
      </c>
    </row>
    <row r="511" spans="1:9" s="1066" customFormat="1" ht="17.45" customHeight="1">
      <c r="A511" s="1671"/>
      <c r="B511" s="1654"/>
      <c r="C511" s="1667" t="str">
        <f>Input!$C$47</f>
        <v>Add for MA @ 40%</v>
      </c>
      <c r="D511" s="1137">
        <f>Input!$D$47</f>
        <v>0.4</v>
      </c>
      <c r="E511" s="1022"/>
      <c r="F511" s="1137">
        <f>I510</f>
        <v>588.03977050000003</v>
      </c>
      <c r="G511" s="1022"/>
      <c r="H511" s="1022"/>
      <c r="I511" s="1062">
        <f t="shared" si="30"/>
        <v>235.21590820000003</v>
      </c>
    </row>
    <row r="512" spans="1:9" s="1066" customFormat="1" ht="25.5" customHeight="1">
      <c r="A512" s="1671"/>
      <c r="B512" s="1654"/>
      <c r="C512" s="1667" t="s">
        <v>2097</v>
      </c>
      <c r="D512" s="1137">
        <f>D502</f>
        <v>3.4849999999999999</v>
      </c>
      <c r="E512" s="1022" t="s">
        <v>94</v>
      </c>
      <c r="F512" s="1137">
        <f>'Civil-SOR'!$G$206</f>
        <v>550</v>
      </c>
      <c r="G512" s="1022">
        <v>1</v>
      </c>
      <c r="H512" s="1022" t="s">
        <v>94</v>
      </c>
      <c r="I512" s="1062">
        <f t="shared" si="30"/>
        <v>1916.75</v>
      </c>
    </row>
    <row r="513" spans="1:9" s="1066" customFormat="1" ht="17.45" customHeight="1">
      <c r="A513" s="1671"/>
      <c r="B513" s="1654"/>
      <c r="C513" s="1667" t="str">
        <f>Input!$C$47</f>
        <v>Add for MA @ 40%</v>
      </c>
      <c r="D513" s="1137">
        <f>Input!$D$47</f>
        <v>0.4</v>
      </c>
      <c r="E513" s="1022"/>
      <c r="F513" s="1137">
        <f>I512</f>
        <v>1916.75</v>
      </c>
      <c r="G513" s="1022"/>
      <c r="H513" s="1022"/>
      <c r="I513" s="1062">
        <f t="shared" si="30"/>
        <v>766.7</v>
      </c>
    </row>
    <row r="514" spans="1:9" s="1066" customFormat="1" ht="17.45" customHeight="1">
      <c r="A514" s="1671"/>
      <c r="B514" s="1654"/>
      <c r="C514" s="1667" t="s">
        <v>2013</v>
      </c>
      <c r="D514" s="1138"/>
      <c r="E514" s="1022"/>
      <c r="F514" s="1137"/>
      <c r="G514" s="1022"/>
      <c r="H514" s="1022"/>
      <c r="I514" s="1672"/>
    </row>
    <row r="515" spans="1:9" s="1066" customFormat="1" ht="17.45" customHeight="1">
      <c r="A515" s="1671"/>
      <c r="B515" s="1654"/>
      <c r="C515" s="1662" t="s">
        <v>2103</v>
      </c>
      <c r="D515" s="1137"/>
      <c r="E515" s="1022"/>
      <c r="F515" s="1137"/>
      <c r="G515" s="1022"/>
      <c r="H515" s="1022"/>
      <c r="I515" s="1035">
        <f>SUM(I500:I514)</f>
        <v>13261.2373487</v>
      </c>
    </row>
    <row r="516" spans="1:9" s="1066" customFormat="1" ht="17.45" customHeight="1">
      <c r="A516" s="1671"/>
      <c r="B516" s="1654"/>
      <c r="C516" s="1662" t="s">
        <v>1525</v>
      </c>
      <c r="D516" s="1137"/>
      <c r="E516" s="1022"/>
      <c r="F516" s="1137"/>
      <c r="G516" s="1022"/>
      <c r="H516" s="1022"/>
      <c r="I516" s="1035">
        <f>I515/G492</f>
        <v>3508.2638488624339</v>
      </c>
    </row>
    <row r="517" spans="1:9" s="1066" customFormat="1" ht="17.45" customHeight="1">
      <c r="A517" s="1671"/>
      <c r="B517" s="1654"/>
      <c r="C517" s="1667" t="str">
        <f>Input!$C$48</f>
        <v>Overheads &amp; Contractors Profit @ 13.615%</v>
      </c>
      <c r="D517" s="1557">
        <f>Input!$D$48</f>
        <v>0.13614999999999999</v>
      </c>
      <c r="E517" s="1022"/>
      <c r="F517" s="1137">
        <f>I516</f>
        <v>3508.2638488624339</v>
      </c>
      <c r="G517" s="1022"/>
      <c r="H517" s="1022"/>
      <c r="I517" s="1062">
        <f>IF(G517="",D517*F517,(D517*F517/G517))</f>
        <v>477.65012302262033</v>
      </c>
    </row>
    <row r="518" spans="1:9" s="1006" customFormat="1" ht="27" customHeight="1">
      <c r="A518" s="1671"/>
      <c r="B518" s="1654"/>
      <c r="C518" s="1088" t="s">
        <v>1525</v>
      </c>
      <c r="D518" s="1136"/>
      <c r="E518" s="1005"/>
      <c r="F518" s="1136"/>
      <c r="G518" s="1005"/>
      <c r="H518" s="1005"/>
      <c r="I518" s="1660">
        <f>SUM(I516:I517)</f>
        <v>3985.9139718850543</v>
      </c>
    </row>
    <row r="519" spans="1:9" s="1006" customFormat="1" ht="27" customHeight="1">
      <c r="A519" s="1671"/>
      <c r="B519" s="1654"/>
      <c r="C519" s="1110"/>
      <c r="D519" s="1136"/>
      <c r="E519" s="1005"/>
      <c r="F519" s="1136"/>
      <c r="G519" s="2075" t="s">
        <v>1096</v>
      </c>
      <c r="H519" s="2075"/>
      <c r="I519" s="1661">
        <f>ROUND(I518,0)</f>
        <v>3986</v>
      </c>
    </row>
    <row r="520" spans="1:9" s="1066" customFormat="1" ht="14.65" customHeight="1">
      <c r="A520" s="1671"/>
      <c r="B520" s="1654"/>
      <c r="C520" s="1667"/>
      <c r="D520" s="1137"/>
      <c r="E520" s="1022"/>
      <c r="F520" s="1137"/>
      <c r="G520" s="1022"/>
      <c r="H520" s="1654"/>
      <c r="I520" s="1040"/>
    </row>
    <row r="521" spans="1:9" s="1066" customFormat="1" ht="65.45" customHeight="1">
      <c r="A521" s="2091">
        <f>A489+1</f>
        <v>9</v>
      </c>
      <c r="B521" s="2091"/>
      <c r="C521" s="2036" t="s">
        <v>3523</v>
      </c>
      <c r="D521" s="2036"/>
      <c r="E521" s="2036"/>
      <c r="F521" s="2036"/>
      <c r="G521" s="2036"/>
      <c r="H521" s="2036"/>
      <c r="I521" s="1662"/>
    </row>
    <row r="522" spans="1:9" s="1066" customFormat="1" ht="112.9" customHeight="1">
      <c r="A522" s="1671"/>
      <c r="B522" s="1654"/>
      <c r="C522" s="2037" t="s">
        <v>3524</v>
      </c>
      <c r="D522" s="2037"/>
      <c r="E522" s="2037"/>
      <c r="F522" s="2037"/>
      <c r="G522" s="2037"/>
      <c r="H522" s="2037"/>
      <c r="I522" s="1662"/>
    </row>
    <row r="523" spans="1:9" s="1066" customFormat="1" ht="15.95" customHeight="1">
      <c r="A523" s="1671"/>
      <c r="B523" s="1654"/>
      <c r="C523" s="1662" t="s">
        <v>1981</v>
      </c>
      <c r="D523" s="1022"/>
      <c r="E523" s="1022"/>
      <c r="F523" s="1022"/>
      <c r="G523" s="1022"/>
      <c r="H523" s="1022"/>
      <c r="I523" s="1671"/>
    </row>
    <row r="524" spans="1:9" s="1066" customFormat="1" ht="14.45" customHeight="1">
      <c r="A524" s="1671"/>
      <c r="B524" s="1654"/>
      <c r="C524" s="1662"/>
      <c r="D524" s="1556" t="s">
        <v>1982</v>
      </c>
      <c r="E524" s="2070" t="s">
        <v>2104</v>
      </c>
      <c r="F524" s="2070"/>
      <c r="G524" s="1022"/>
      <c r="H524" s="1556">
        <f>1.5*2.1</f>
        <v>3.1500000000000004</v>
      </c>
      <c r="I524" s="1658" t="s">
        <v>46</v>
      </c>
    </row>
    <row r="525" spans="1:9" s="1066" customFormat="1" ht="14.45" customHeight="1">
      <c r="A525" s="1671"/>
      <c r="B525" s="1654"/>
      <c r="C525" s="1662" t="s">
        <v>1935</v>
      </c>
      <c r="D525" s="1137"/>
      <c r="E525" s="1022"/>
      <c r="F525" s="1137"/>
      <c r="G525" s="1022"/>
      <c r="H525" s="1022"/>
      <c r="I525" s="1659"/>
    </row>
    <row r="526" spans="1:9" s="1066" customFormat="1" ht="14.45" customHeight="1">
      <c r="A526" s="1671"/>
      <c r="B526" s="1654"/>
      <c r="C526" s="1667" t="s">
        <v>1984</v>
      </c>
      <c r="D526" s="2077" t="s">
        <v>2092</v>
      </c>
      <c r="E526" s="2077"/>
      <c r="F526" s="2077"/>
      <c r="G526" s="1022"/>
      <c r="H526" s="1022"/>
      <c r="I526" s="1659"/>
    </row>
    <row r="527" spans="1:9" s="1066" customFormat="1" ht="14.45" customHeight="1">
      <c r="A527" s="1671"/>
      <c r="B527" s="1654"/>
      <c r="C527" s="1667"/>
      <c r="D527" s="2077" t="s">
        <v>2105</v>
      </c>
      <c r="E527" s="2077"/>
      <c r="F527" s="2077"/>
      <c r="G527" s="2105">
        <f>ROUND(4.22*0.1*0.065,5)</f>
        <v>2.743E-2</v>
      </c>
      <c r="H527" s="2105"/>
      <c r="I527" s="1659" t="s">
        <v>75</v>
      </c>
    </row>
    <row r="528" spans="1:9" s="1066" customFormat="1" ht="14.45" customHeight="1">
      <c r="A528" s="1671"/>
      <c r="B528" s="1654"/>
      <c r="C528" s="1667" t="s">
        <v>1987</v>
      </c>
      <c r="D528" s="2077" t="s">
        <v>2106</v>
      </c>
      <c r="E528" s="2077"/>
      <c r="F528" s="2077"/>
      <c r="G528" s="1676"/>
      <c r="H528" s="1676"/>
      <c r="I528" s="1659"/>
    </row>
    <row r="529" spans="1:9" s="1066" customFormat="1" ht="14.45" customHeight="1">
      <c r="A529" s="1671"/>
      <c r="B529" s="1654"/>
      <c r="C529" s="1667"/>
      <c r="D529" s="2077" t="s">
        <v>2107</v>
      </c>
      <c r="E529" s="2077"/>
      <c r="F529" s="2077"/>
      <c r="G529" s="2105">
        <f>ROUND(1.5*0.1*0.065,5)</f>
        <v>9.75E-3</v>
      </c>
      <c r="H529" s="2105"/>
      <c r="I529" s="1659" t="s">
        <v>75</v>
      </c>
    </row>
    <row r="530" spans="1:9" s="1066" customFormat="1" ht="14.45" customHeight="1">
      <c r="A530" s="1671"/>
      <c r="B530" s="1654"/>
      <c r="C530" s="1667"/>
      <c r="D530" s="1659"/>
      <c r="E530" s="1670"/>
      <c r="F530" s="1659"/>
      <c r="G530" s="2104">
        <f>SUM(G527:G529)</f>
        <v>3.7179999999999998E-2</v>
      </c>
      <c r="H530" s="2104"/>
      <c r="I530" s="1553" t="s">
        <v>75</v>
      </c>
    </row>
    <row r="531" spans="1:9" s="1066" customFormat="1" ht="14.45" customHeight="1">
      <c r="A531" s="1671"/>
      <c r="B531" s="1654"/>
      <c r="C531" s="1667"/>
      <c r="D531" s="1659"/>
      <c r="E531" s="1670"/>
      <c r="F531" s="1659"/>
      <c r="G531" s="1676"/>
      <c r="H531" s="1674"/>
      <c r="I531" s="1553"/>
    </row>
    <row r="532" spans="1:9" s="1066" customFormat="1" ht="14.45" customHeight="1">
      <c r="A532" s="1671"/>
      <c r="B532" s="1654"/>
      <c r="C532" s="1667" t="s">
        <v>2027</v>
      </c>
      <c r="D532" s="2077" t="s">
        <v>2108</v>
      </c>
      <c r="E532" s="2077"/>
      <c r="F532" s="2077"/>
      <c r="G532" s="2107">
        <f>ROUND(2*0.7*2.05,3)</f>
        <v>2.87</v>
      </c>
      <c r="H532" s="2107"/>
      <c r="I532" s="1553" t="s">
        <v>94</v>
      </c>
    </row>
    <row r="533" spans="1:9" s="1066" customFormat="1" ht="14.65" customHeight="1">
      <c r="A533" s="1671"/>
      <c r="B533" s="1654"/>
      <c r="C533" s="1667"/>
      <c r="D533" s="1137"/>
      <c r="E533" s="1022"/>
      <c r="F533" s="1137"/>
      <c r="G533" s="1022"/>
      <c r="H533" s="1022"/>
      <c r="I533" s="1659"/>
    </row>
    <row r="534" spans="1:9" s="1066" customFormat="1" ht="18.600000000000001" customHeight="1">
      <c r="A534" s="1671"/>
      <c r="B534" s="1654"/>
      <c r="C534" s="1667" t="s">
        <v>2050</v>
      </c>
      <c r="D534" s="1557">
        <f>G527</f>
        <v>2.743E-2</v>
      </c>
      <c r="E534" s="1022" t="s">
        <v>75</v>
      </c>
      <c r="F534" s="1137">
        <f>'Civil-SOR'!$G$26</f>
        <v>91479</v>
      </c>
      <c r="G534" s="1022">
        <v>1</v>
      </c>
      <c r="H534" s="1022" t="s">
        <v>75</v>
      </c>
      <c r="I534" s="1062">
        <f t="shared" ref="I534:I547" si="31">IF(G534="",D534*F534,(D534*F534/G534))</f>
        <v>2509.2689700000001</v>
      </c>
    </row>
    <row r="535" spans="1:9" s="1066" customFormat="1" ht="18.600000000000001" customHeight="1">
      <c r="A535" s="1671"/>
      <c r="B535" s="1654"/>
      <c r="C535" s="1667" t="s">
        <v>2031</v>
      </c>
      <c r="D535" s="1557">
        <f>G529</f>
        <v>9.75E-3</v>
      </c>
      <c r="E535" s="1022" t="s">
        <v>75</v>
      </c>
      <c r="F535" s="1137">
        <f>'Civil-SOR'!$G$25</f>
        <v>82331</v>
      </c>
      <c r="G535" s="1022">
        <v>1</v>
      </c>
      <c r="H535" s="1022" t="s">
        <v>75</v>
      </c>
      <c r="I535" s="1062">
        <f t="shared" si="31"/>
        <v>802.72725000000003</v>
      </c>
    </row>
    <row r="536" spans="1:9" s="1066" customFormat="1" ht="18.600000000000001" customHeight="1">
      <c r="A536" s="1671"/>
      <c r="B536" s="1654"/>
      <c r="C536" s="1667" t="s">
        <v>2033</v>
      </c>
      <c r="D536" s="1137">
        <f>G532</f>
        <v>2.87</v>
      </c>
      <c r="E536" s="1022" t="s">
        <v>94</v>
      </c>
      <c r="F536" s="1137">
        <f>'Civil-SOR'!$G$114</f>
        <v>1334</v>
      </c>
      <c r="G536" s="1022">
        <v>1</v>
      </c>
      <c r="H536" s="1022" t="s">
        <v>94</v>
      </c>
      <c r="I536" s="1062">
        <f t="shared" si="31"/>
        <v>3828.58</v>
      </c>
    </row>
    <row r="537" spans="1:9" s="1066" customFormat="1" ht="18.600000000000001" customHeight="1">
      <c r="A537" s="1671"/>
      <c r="B537" s="1654"/>
      <c r="C537" s="1667" t="s">
        <v>2034</v>
      </c>
      <c r="D537" s="1076">
        <v>6</v>
      </c>
      <c r="E537" s="1022" t="s">
        <v>36</v>
      </c>
      <c r="F537" s="1137">
        <f>'Civil-SOR'!$G$385</f>
        <v>37</v>
      </c>
      <c r="G537" s="1022"/>
      <c r="H537" s="1022" t="s">
        <v>501</v>
      </c>
      <c r="I537" s="1062">
        <f t="shared" si="31"/>
        <v>222</v>
      </c>
    </row>
    <row r="538" spans="1:9" s="1066" customFormat="1" ht="18.600000000000001" customHeight="1">
      <c r="A538" s="1671"/>
      <c r="B538" s="1654"/>
      <c r="C538" s="1667" t="s">
        <v>2035</v>
      </c>
      <c r="D538" s="1076">
        <v>2</v>
      </c>
      <c r="E538" s="1022" t="s">
        <v>36</v>
      </c>
      <c r="F538" s="1137">
        <f>'Civil-SOR'!$G$153</f>
        <v>90</v>
      </c>
      <c r="G538" s="1022"/>
      <c r="H538" s="1022" t="s">
        <v>501</v>
      </c>
      <c r="I538" s="1062">
        <f t="shared" si="31"/>
        <v>180</v>
      </c>
    </row>
    <row r="539" spans="1:9" s="1066" customFormat="1" ht="18.600000000000001" customHeight="1">
      <c r="A539" s="1671"/>
      <c r="B539" s="1654"/>
      <c r="C539" s="1667" t="s">
        <v>2036</v>
      </c>
      <c r="D539" s="1076">
        <v>6</v>
      </c>
      <c r="E539" s="1022" t="s">
        <v>36</v>
      </c>
      <c r="F539" s="1137">
        <f>'Civil-SOR'!$G$159</f>
        <v>106</v>
      </c>
      <c r="G539" s="1022"/>
      <c r="H539" s="1022" t="s">
        <v>501</v>
      </c>
      <c r="I539" s="1062">
        <f t="shared" si="31"/>
        <v>636</v>
      </c>
    </row>
    <row r="540" spans="1:9" s="1066" customFormat="1" ht="18.600000000000001" customHeight="1">
      <c r="A540" s="1671"/>
      <c r="B540" s="1654"/>
      <c r="C540" s="1667" t="s">
        <v>2037</v>
      </c>
      <c r="D540" s="1076">
        <v>1</v>
      </c>
      <c r="E540" s="1022" t="s">
        <v>39</v>
      </c>
      <c r="F540" s="1137">
        <f>'Civil-SOR'!$G$172</f>
        <v>239</v>
      </c>
      <c r="G540" s="1022"/>
      <c r="H540" s="1022" t="s">
        <v>501</v>
      </c>
      <c r="I540" s="1062">
        <f t="shared" si="31"/>
        <v>239</v>
      </c>
    </row>
    <row r="541" spans="1:9" s="1066" customFormat="1" ht="18.600000000000001" customHeight="1">
      <c r="A541" s="1671"/>
      <c r="B541" s="1654"/>
      <c r="C541" s="1667" t="s">
        <v>2038</v>
      </c>
      <c r="D541" s="1076">
        <v>2</v>
      </c>
      <c r="E541" s="1022" t="s">
        <v>36</v>
      </c>
      <c r="F541" s="1137">
        <f>'Civil-SOR'!$G$164</f>
        <v>100</v>
      </c>
      <c r="G541" s="1022"/>
      <c r="H541" s="1022" t="s">
        <v>501</v>
      </c>
      <c r="I541" s="1062">
        <f t="shared" si="31"/>
        <v>200</v>
      </c>
    </row>
    <row r="542" spans="1:9" s="1066" customFormat="1" ht="18.600000000000001" customHeight="1">
      <c r="A542" s="1671"/>
      <c r="B542" s="1654"/>
      <c r="C542" s="1667" t="s">
        <v>2039</v>
      </c>
      <c r="D542" s="1076">
        <v>2</v>
      </c>
      <c r="E542" s="1022" t="s">
        <v>36</v>
      </c>
      <c r="F542" s="1137">
        <f>'Civil-SOR'!$G$178</f>
        <v>66</v>
      </c>
      <c r="G542" s="1022"/>
      <c r="H542" s="1022" t="s">
        <v>501</v>
      </c>
      <c r="I542" s="1062">
        <f t="shared" si="31"/>
        <v>132</v>
      </c>
    </row>
    <row r="543" spans="1:9" s="1066" customFormat="1" ht="18.600000000000001" customHeight="1">
      <c r="A543" s="1671"/>
      <c r="B543" s="1654"/>
      <c r="C543" s="1667" t="s">
        <v>2040</v>
      </c>
      <c r="D543" s="1076">
        <v>2</v>
      </c>
      <c r="E543" s="1022" t="s">
        <v>36</v>
      </c>
      <c r="F543" s="1137">
        <f>'Civil-SOR'!$G$386</f>
        <v>12</v>
      </c>
      <c r="G543" s="1022"/>
      <c r="H543" s="1022" t="s">
        <v>501</v>
      </c>
      <c r="I543" s="1062">
        <f t="shared" si="31"/>
        <v>24</v>
      </c>
    </row>
    <row r="544" spans="1:9" s="1066" customFormat="1" ht="18.600000000000001" customHeight="1">
      <c r="A544" s="1671"/>
      <c r="B544" s="1654"/>
      <c r="C544" s="1667" t="s">
        <v>2010</v>
      </c>
      <c r="D544" s="1673">
        <f>G530</f>
        <v>3.7179999999999998E-2</v>
      </c>
      <c r="E544" s="1022" t="s">
        <v>75</v>
      </c>
      <c r="F544" s="1137">
        <f>$I$8</f>
        <v>15027.85</v>
      </c>
      <c r="G544" s="1022">
        <v>1</v>
      </c>
      <c r="H544" s="1022" t="s">
        <v>75</v>
      </c>
      <c r="I544" s="1062">
        <f t="shared" si="31"/>
        <v>558.73546299999998</v>
      </c>
    </row>
    <row r="545" spans="1:9" s="1066" customFormat="1" ht="18.600000000000001" customHeight="1">
      <c r="A545" s="1671"/>
      <c r="B545" s="1654"/>
      <c r="C545" s="1667" t="str">
        <f>Input!$C$47</f>
        <v>Add for MA @ 40%</v>
      </c>
      <c r="D545" s="1137">
        <f>Input!$D$47</f>
        <v>0.4</v>
      </c>
      <c r="E545" s="1022"/>
      <c r="F545" s="1137">
        <f>I544</f>
        <v>558.73546299999998</v>
      </c>
      <c r="G545" s="1022"/>
      <c r="H545" s="1022"/>
      <c r="I545" s="1062">
        <f t="shared" si="31"/>
        <v>223.4941852</v>
      </c>
    </row>
    <row r="546" spans="1:9" s="1066" customFormat="1" ht="31.15" customHeight="1">
      <c r="A546" s="1671"/>
      <c r="B546" s="1654"/>
      <c r="C546" s="1667" t="s">
        <v>2097</v>
      </c>
      <c r="D546" s="1137">
        <f>G532</f>
        <v>2.87</v>
      </c>
      <c r="E546" s="1022" t="s">
        <v>94</v>
      </c>
      <c r="F546" s="1137">
        <f>'Civil-SOR'!$G$206</f>
        <v>550</v>
      </c>
      <c r="G546" s="1022">
        <v>1</v>
      </c>
      <c r="H546" s="1022" t="s">
        <v>94</v>
      </c>
      <c r="I546" s="1062">
        <f t="shared" si="31"/>
        <v>1578.5</v>
      </c>
    </row>
    <row r="547" spans="1:9" s="1066" customFormat="1" ht="21.6" customHeight="1">
      <c r="A547" s="1671"/>
      <c r="B547" s="1654"/>
      <c r="C547" s="1667" t="str">
        <f>Input!$C$47</f>
        <v>Add for MA @ 40%</v>
      </c>
      <c r="D547" s="1137">
        <f>Input!$D$47</f>
        <v>0.4</v>
      </c>
      <c r="E547" s="1022"/>
      <c r="F547" s="1137">
        <f>I546</f>
        <v>1578.5</v>
      </c>
      <c r="G547" s="1022"/>
      <c r="H547" s="1022"/>
      <c r="I547" s="1062">
        <f t="shared" si="31"/>
        <v>631.40000000000009</v>
      </c>
    </row>
    <row r="548" spans="1:9" s="1066" customFormat="1" ht="21.6" customHeight="1">
      <c r="A548" s="1671"/>
      <c r="B548" s="1654"/>
      <c r="C548" s="1667" t="s">
        <v>2013</v>
      </c>
      <c r="D548" s="1138"/>
      <c r="E548" s="1022"/>
      <c r="F548" s="1137"/>
      <c r="G548" s="1022"/>
      <c r="H548" s="1022"/>
      <c r="I548" s="1672"/>
    </row>
    <row r="549" spans="1:9" s="1066" customFormat="1" ht="21.6" customHeight="1">
      <c r="A549" s="1671"/>
      <c r="B549" s="1654"/>
      <c r="C549" s="1662" t="s">
        <v>2109</v>
      </c>
      <c r="D549" s="1137"/>
      <c r="E549" s="1022"/>
      <c r="F549" s="1137"/>
      <c r="G549" s="1022"/>
      <c r="H549" s="1022"/>
      <c r="I549" s="1035">
        <f>SUM(I534:I548)</f>
        <v>11765.705868199999</v>
      </c>
    </row>
    <row r="550" spans="1:9" s="1066" customFormat="1" ht="21.6" customHeight="1">
      <c r="A550" s="1671"/>
      <c r="B550" s="1654"/>
      <c r="C550" s="1662" t="s">
        <v>1525</v>
      </c>
      <c r="D550" s="1137"/>
      <c r="E550" s="1022"/>
      <c r="F550" s="1137"/>
      <c r="G550" s="1022"/>
      <c r="H550" s="1022"/>
      <c r="I550" s="1035">
        <f>I549/H524</f>
        <v>3735.1447200634911</v>
      </c>
    </row>
    <row r="551" spans="1:9" s="1066" customFormat="1" ht="21.6" customHeight="1">
      <c r="A551" s="1671"/>
      <c r="B551" s="1654"/>
      <c r="C551" s="1667" t="str">
        <f>Input!$C$48</f>
        <v>Overheads &amp; Contractors Profit @ 13.615%</v>
      </c>
      <c r="D551" s="1557">
        <f>Input!$D$48</f>
        <v>0.13614999999999999</v>
      </c>
      <c r="E551" s="1022"/>
      <c r="F551" s="1137">
        <f>I550</f>
        <v>3735.1447200634911</v>
      </c>
      <c r="G551" s="1022"/>
      <c r="H551" s="1022"/>
      <c r="I551" s="1062">
        <f>IF(G551="",D551*F551,(D551*F551/G551))</f>
        <v>508.53995363664427</v>
      </c>
    </row>
    <row r="552" spans="1:9" s="1006" customFormat="1" ht="21.6" customHeight="1">
      <c r="A552" s="1671"/>
      <c r="B552" s="1654"/>
      <c r="C552" s="1088" t="s">
        <v>1525</v>
      </c>
      <c r="D552" s="1136"/>
      <c r="E552" s="1005"/>
      <c r="F552" s="1136"/>
      <c r="G552" s="1005"/>
      <c r="H552" s="1005"/>
      <c r="I552" s="1017">
        <f>SUM(I550:I551)</f>
        <v>4243.6846737001351</v>
      </c>
    </row>
    <row r="553" spans="1:9" s="1006" customFormat="1" ht="24" customHeight="1">
      <c r="A553" s="1671"/>
      <c r="B553" s="1654"/>
      <c r="C553" s="1110"/>
      <c r="D553" s="1136"/>
      <c r="E553" s="1005"/>
      <c r="F553" s="1136"/>
      <c r="G553" s="2075" t="s">
        <v>1096</v>
      </c>
      <c r="H553" s="2075"/>
      <c r="I553" s="1661">
        <f>ROUND(I552,0)</f>
        <v>4244</v>
      </c>
    </row>
    <row r="554" spans="1:9" s="1066" customFormat="1" ht="14.65" customHeight="1">
      <c r="A554" s="1671"/>
      <c r="B554" s="1654"/>
      <c r="C554" s="1667"/>
      <c r="D554" s="1137"/>
      <c r="E554" s="1022"/>
      <c r="F554" s="1137"/>
      <c r="G554" s="1022"/>
      <c r="H554" s="1654"/>
      <c r="I554" s="1040"/>
    </row>
    <row r="555" spans="1:9" s="1066" customFormat="1" ht="66" customHeight="1">
      <c r="A555" s="2091">
        <f>A521+1</f>
        <v>10</v>
      </c>
      <c r="B555" s="2091"/>
      <c r="C555" s="2036" t="s">
        <v>3525</v>
      </c>
      <c r="D555" s="2036"/>
      <c r="E555" s="2036"/>
      <c r="F555" s="2036"/>
      <c r="G555" s="2036"/>
      <c r="H555" s="2036"/>
      <c r="I555" s="1662"/>
    </row>
    <row r="556" spans="1:9" s="1066" customFormat="1" ht="115.9" customHeight="1">
      <c r="A556" s="2091"/>
      <c r="B556" s="2091"/>
      <c r="C556" s="2037" t="s">
        <v>3526</v>
      </c>
      <c r="D556" s="2037"/>
      <c r="E556" s="2037"/>
      <c r="F556" s="2037"/>
      <c r="G556" s="2037"/>
      <c r="H556" s="2037"/>
      <c r="I556" s="1662"/>
    </row>
    <row r="557" spans="1:9" s="1066" customFormat="1" ht="15.95" customHeight="1">
      <c r="A557" s="1671"/>
      <c r="B557" s="1654"/>
      <c r="C557" s="1662" t="s">
        <v>1981</v>
      </c>
      <c r="D557" s="1022"/>
      <c r="E557" s="1022"/>
      <c r="F557" s="1022"/>
      <c r="G557" s="1022"/>
      <c r="H557" s="1022"/>
      <c r="I557" s="1671"/>
    </row>
    <row r="558" spans="1:9" s="1066" customFormat="1" ht="15" customHeight="1">
      <c r="A558" s="1671"/>
      <c r="B558" s="1654"/>
      <c r="C558" s="1662"/>
      <c r="D558" s="1657" t="s">
        <v>1982</v>
      </c>
      <c r="E558" s="2045" t="s">
        <v>2110</v>
      </c>
      <c r="F558" s="2045"/>
      <c r="G558" s="2076">
        <f>1.2*2.1</f>
        <v>2.52</v>
      </c>
      <c r="H558" s="2076"/>
      <c r="I558" s="1658" t="s">
        <v>46</v>
      </c>
    </row>
    <row r="559" spans="1:9" s="1066" customFormat="1" ht="14.45" customHeight="1">
      <c r="A559" s="1671"/>
      <c r="B559" s="1654"/>
      <c r="C559" s="1662" t="s">
        <v>1935</v>
      </c>
      <c r="D559" s="2099"/>
      <c r="E559" s="2099"/>
      <c r="F559" s="2099"/>
      <c r="G559" s="2106"/>
      <c r="H559" s="2106"/>
      <c r="I559" s="1659"/>
    </row>
    <row r="560" spans="1:9" s="1066" customFormat="1" ht="14.45" customHeight="1">
      <c r="A560" s="1671"/>
      <c r="B560" s="1654"/>
      <c r="C560" s="1667" t="s">
        <v>1984</v>
      </c>
      <c r="D560" s="2077" t="s">
        <v>2092</v>
      </c>
      <c r="E560" s="2077"/>
      <c r="F560" s="2077"/>
      <c r="G560" s="1676"/>
      <c r="H560" s="1676"/>
      <c r="I560" s="1659"/>
    </row>
    <row r="561" spans="1:11" s="1066" customFormat="1" ht="14.45" customHeight="1">
      <c r="A561" s="1671"/>
      <c r="B561" s="1654"/>
      <c r="C561" s="1667"/>
      <c r="D561" s="2077" t="s">
        <v>2105</v>
      </c>
      <c r="E561" s="2077"/>
      <c r="F561" s="2077"/>
      <c r="G561" s="2105">
        <f>ROUND(4.22*0.1*0.065,5)</f>
        <v>2.743E-2</v>
      </c>
      <c r="H561" s="2105"/>
      <c r="I561" s="1659" t="s">
        <v>75</v>
      </c>
    </row>
    <row r="562" spans="1:11" s="1066" customFormat="1" ht="14.45" customHeight="1">
      <c r="A562" s="1671"/>
      <c r="B562" s="1654"/>
      <c r="C562" s="1667" t="s">
        <v>1987</v>
      </c>
      <c r="D562" s="2077" t="s">
        <v>2111</v>
      </c>
      <c r="E562" s="2077"/>
      <c r="F562" s="2077"/>
      <c r="G562" s="2106"/>
      <c r="H562" s="2106"/>
      <c r="I562" s="1659"/>
    </row>
    <row r="563" spans="1:11" s="1066" customFormat="1" ht="14.45" customHeight="1">
      <c r="A563" s="1671"/>
      <c r="B563" s="1654"/>
      <c r="C563" s="1667"/>
      <c r="D563" s="2077" t="s">
        <v>2112</v>
      </c>
      <c r="E563" s="2077"/>
      <c r="F563" s="2077"/>
      <c r="G563" s="2105">
        <f>ROUND(1.2*0.1*0.065,5)</f>
        <v>7.7999999999999996E-3</v>
      </c>
      <c r="H563" s="2105"/>
      <c r="I563" s="1659" t="s">
        <v>75</v>
      </c>
    </row>
    <row r="564" spans="1:11" s="1066" customFormat="1" ht="13.9" customHeight="1">
      <c r="A564" s="1671"/>
      <c r="B564" s="1654"/>
      <c r="C564" s="1667"/>
      <c r="D564" s="2077"/>
      <c r="E564" s="2077"/>
      <c r="F564" s="2077"/>
      <c r="G564" s="2104">
        <f>SUM(G561:G563)</f>
        <v>3.5229999999999997E-2</v>
      </c>
      <c r="H564" s="2104"/>
      <c r="I564" s="1553" t="s">
        <v>75</v>
      </c>
    </row>
    <row r="565" spans="1:11" s="1066" customFormat="1" ht="13.9" customHeight="1">
      <c r="A565" s="1671"/>
      <c r="B565" s="1654"/>
      <c r="C565" s="1667"/>
      <c r="D565" s="2077"/>
      <c r="E565" s="2077"/>
      <c r="F565" s="2077"/>
      <c r="G565" s="1022"/>
      <c r="H565" s="1078"/>
      <c r="I565" s="1035"/>
    </row>
    <row r="566" spans="1:11" s="1066" customFormat="1" ht="15" customHeight="1">
      <c r="A566" s="1671"/>
      <c r="B566" s="1654"/>
      <c r="C566" s="1667" t="s">
        <v>2027</v>
      </c>
      <c r="D566" s="2077" t="s">
        <v>2113</v>
      </c>
      <c r="E566" s="2077"/>
      <c r="F566" s="2077"/>
      <c r="G566" s="1022"/>
      <c r="H566" s="1078">
        <f>ROUND(2*0.55*2.05,3)</f>
        <v>2.2549999999999999</v>
      </c>
      <c r="I566" s="1553" t="s">
        <v>94</v>
      </c>
    </row>
    <row r="567" spans="1:11" s="1066" customFormat="1" ht="12.6" customHeight="1">
      <c r="A567" s="1671"/>
      <c r="B567" s="1654"/>
      <c r="C567" s="1667"/>
      <c r="D567" s="1138"/>
      <c r="E567" s="1022"/>
      <c r="F567" s="1137"/>
      <c r="G567" s="1022"/>
      <c r="H567" s="1022"/>
      <c r="I567" s="1672"/>
    </row>
    <row r="568" spans="1:11" s="1066" customFormat="1" ht="17.45" customHeight="1">
      <c r="A568" s="1671"/>
      <c r="B568" s="1654"/>
      <c r="C568" s="1667" t="s">
        <v>2030</v>
      </c>
      <c r="D568" s="1194">
        <f>G561</f>
        <v>2.743E-2</v>
      </c>
      <c r="E568" s="1022" t="s">
        <v>75</v>
      </c>
      <c r="F568" s="1137">
        <f>'Civil-SOR'!$G$26</f>
        <v>91479</v>
      </c>
      <c r="G568" s="1022">
        <v>1</v>
      </c>
      <c r="H568" s="1022" t="s">
        <v>75</v>
      </c>
      <c r="I568" s="1062">
        <f t="shared" ref="I568:I581" si="32">IF(G568="",D568*F568,(D568*F568/G568))</f>
        <v>2509.2689700000001</v>
      </c>
      <c r="K568" s="1291"/>
    </row>
    <row r="569" spans="1:11" s="1066" customFormat="1" ht="17.45" customHeight="1">
      <c r="A569" s="1671"/>
      <c r="B569" s="1654"/>
      <c r="C569" s="1667" t="s">
        <v>2114</v>
      </c>
      <c r="D569" s="1194">
        <f>G563</f>
        <v>7.7999999999999996E-3</v>
      </c>
      <c r="E569" s="1022" t="s">
        <v>75</v>
      </c>
      <c r="F569" s="1137">
        <f>'Civil-SOR'!$G$25</f>
        <v>82331</v>
      </c>
      <c r="G569" s="1022">
        <v>1</v>
      </c>
      <c r="H569" s="1022" t="s">
        <v>75</v>
      </c>
      <c r="I569" s="1062">
        <f t="shared" si="32"/>
        <v>642.18179999999995</v>
      </c>
      <c r="K569" s="1291"/>
    </row>
    <row r="570" spans="1:11" s="1066" customFormat="1" ht="17.45" customHeight="1">
      <c r="A570" s="1671"/>
      <c r="B570" s="1654"/>
      <c r="C570" s="1667" t="s">
        <v>2033</v>
      </c>
      <c r="D570" s="1138">
        <f>H566</f>
        <v>2.2549999999999999</v>
      </c>
      <c r="E570" s="1022" t="s">
        <v>94</v>
      </c>
      <c r="F570" s="1137">
        <f>'Civil-SOR'!$G$114</f>
        <v>1334</v>
      </c>
      <c r="G570" s="1022">
        <v>1</v>
      </c>
      <c r="H570" s="1022" t="s">
        <v>94</v>
      </c>
      <c r="I570" s="1062">
        <f t="shared" si="32"/>
        <v>3008.17</v>
      </c>
      <c r="K570" s="1291"/>
    </row>
    <row r="571" spans="1:11" s="1066" customFormat="1" ht="17.45" customHeight="1">
      <c r="A571" s="1671"/>
      <c r="B571" s="1654"/>
      <c r="C571" s="1667" t="s">
        <v>2034</v>
      </c>
      <c r="D571" s="1076">
        <v>6</v>
      </c>
      <c r="E571" s="1022" t="s">
        <v>36</v>
      </c>
      <c r="F571" s="1137">
        <f>'Civil-SOR'!$G$385</f>
        <v>37</v>
      </c>
      <c r="G571" s="1022"/>
      <c r="H571" s="1022" t="s">
        <v>501</v>
      </c>
      <c r="I571" s="1062">
        <f t="shared" si="32"/>
        <v>222</v>
      </c>
      <c r="K571" s="1291"/>
    </row>
    <row r="572" spans="1:11" s="1066" customFormat="1" ht="17.45" customHeight="1">
      <c r="A572" s="1671"/>
      <c r="B572" s="1654"/>
      <c r="C572" s="1667" t="s">
        <v>2035</v>
      </c>
      <c r="D572" s="1076">
        <v>2</v>
      </c>
      <c r="E572" s="1022" t="s">
        <v>36</v>
      </c>
      <c r="F572" s="1137">
        <f>'Civil-SOR'!$G$153</f>
        <v>90</v>
      </c>
      <c r="G572" s="1022"/>
      <c r="H572" s="1022" t="s">
        <v>501</v>
      </c>
      <c r="I572" s="1062">
        <f t="shared" si="32"/>
        <v>180</v>
      </c>
      <c r="K572" s="1291"/>
    </row>
    <row r="573" spans="1:11" s="1066" customFormat="1" ht="17.45" customHeight="1">
      <c r="A573" s="1671"/>
      <c r="B573" s="1654"/>
      <c r="C573" s="1667" t="s">
        <v>2036</v>
      </c>
      <c r="D573" s="1076">
        <v>6</v>
      </c>
      <c r="E573" s="1022" t="s">
        <v>36</v>
      </c>
      <c r="F573" s="1137">
        <f>'Civil-SOR'!$G$159</f>
        <v>106</v>
      </c>
      <c r="G573" s="1022"/>
      <c r="H573" s="1022" t="s">
        <v>501</v>
      </c>
      <c r="I573" s="1062">
        <f t="shared" si="32"/>
        <v>636</v>
      </c>
      <c r="K573" s="1291"/>
    </row>
    <row r="574" spans="1:11" s="1066" customFormat="1" ht="17.45" customHeight="1">
      <c r="A574" s="1671"/>
      <c r="B574" s="1654"/>
      <c r="C574" s="1667" t="s">
        <v>2037</v>
      </c>
      <c r="D574" s="1076">
        <v>1</v>
      </c>
      <c r="E574" s="1022" t="s">
        <v>39</v>
      </c>
      <c r="F574" s="1137">
        <f>'Civil-SOR'!$G$172</f>
        <v>239</v>
      </c>
      <c r="G574" s="1022"/>
      <c r="H574" s="1022" t="s">
        <v>501</v>
      </c>
      <c r="I574" s="1062">
        <f t="shared" si="32"/>
        <v>239</v>
      </c>
      <c r="K574" s="1291"/>
    </row>
    <row r="575" spans="1:11" s="1066" customFormat="1" ht="17.45" customHeight="1">
      <c r="A575" s="1671"/>
      <c r="B575" s="1654"/>
      <c r="C575" s="1667" t="s">
        <v>2038</v>
      </c>
      <c r="D575" s="1076">
        <v>2</v>
      </c>
      <c r="E575" s="1022" t="s">
        <v>36</v>
      </c>
      <c r="F575" s="1137">
        <f>'Civil-SOR'!$G$164</f>
        <v>100</v>
      </c>
      <c r="G575" s="1022"/>
      <c r="H575" s="1022" t="s">
        <v>501</v>
      </c>
      <c r="I575" s="1062">
        <f t="shared" si="32"/>
        <v>200</v>
      </c>
      <c r="K575" s="1291"/>
    </row>
    <row r="576" spans="1:11" s="1066" customFormat="1" ht="17.45" customHeight="1">
      <c r="A576" s="1671"/>
      <c r="B576" s="1654"/>
      <c r="C576" s="1667" t="s">
        <v>2039</v>
      </c>
      <c r="D576" s="1076">
        <v>2</v>
      </c>
      <c r="E576" s="1022" t="s">
        <v>36</v>
      </c>
      <c r="F576" s="1137">
        <f>'Civil-SOR'!$G$178</f>
        <v>66</v>
      </c>
      <c r="G576" s="1022"/>
      <c r="H576" s="1022" t="s">
        <v>501</v>
      </c>
      <c r="I576" s="1062">
        <f t="shared" si="32"/>
        <v>132</v>
      </c>
      <c r="K576" s="1291"/>
    </row>
    <row r="577" spans="1:11" s="1066" customFormat="1" ht="17.45" customHeight="1">
      <c r="A577" s="1671"/>
      <c r="B577" s="1654"/>
      <c r="C577" s="1667" t="s">
        <v>2040</v>
      </c>
      <c r="D577" s="1076">
        <v>2</v>
      </c>
      <c r="E577" s="1022" t="s">
        <v>36</v>
      </c>
      <c r="F577" s="1137">
        <f>'Civil-SOR'!$G$386</f>
        <v>12</v>
      </c>
      <c r="G577" s="1022"/>
      <c r="H577" s="1022" t="s">
        <v>501</v>
      </c>
      <c r="I577" s="1062">
        <f t="shared" si="32"/>
        <v>24</v>
      </c>
      <c r="K577" s="1291"/>
    </row>
    <row r="578" spans="1:11" s="1066" customFormat="1" ht="17.45" customHeight="1">
      <c r="A578" s="1671"/>
      <c r="B578" s="1654"/>
      <c r="C578" s="1667" t="s">
        <v>2010</v>
      </c>
      <c r="D578" s="1036">
        <f>G564</f>
        <v>3.5229999999999997E-2</v>
      </c>
      <c r="E578" s="1022" t="s">
        <v>75</v>
      </c>
      <c r="F578" s="1137">
        <f>$I$8</f>
        <v>15027.85</v>
      </c>
      <c r="G578" s="1022">
        <v>1</v>
      </c>
      <c r="H578" s="1022" t="s">
        <v>75</v>
      </c>
      <c r="I578" s="1062">
        <f t="shared" si="32"/>
        <v>529.43115549999993</v>
      </c>
      <c r="K578" s="1291"/>
    </row>
    <row r="579" spans="1:11" s="1066" customFormat="1" ht="17.45" customHeight="1">
      <c r="A579" s="1671"/>
      <c r="B579" s="1654"/>
      <c r="C579" s="1667" t="str">
        <f>Input!$C$47</f>
        <v>Add for MA @ 40%</v>
      </c>
      <c r="D579" s="1137">
        <f>Input!$D$47</f>
        <v>0.4</v>
      </c>
      <c r="E579" s="1022"/>
      <c r="F579" s="1137">
        <f>I578</f>
        <v>529.43115549999993</v>
      </c>
      <c r="G579" s="1022"/>
      <c r="H579" s="1022"/>
      <c r="I579" s="1062">
        <f t="shared" si="32"/>
        <v>211.77246219999998</v>
      </c>
      <c r="K579" s="1291"/>
    </row>
    <row r="580" spans="1:11" s="1066" customFormat="1" ht="47.45" customHeight="1">
      <c r="A580" s="1671"/>
      <c r="B580" s="1654"/>
      <c r="C580" s="1667" t="str">
        <f>C546</f>
        <v>Labour charges for fixing flush door shutter to the frame ,  fixing the fixtures to the shutter       TBSC-T.I-25</v>
      </c>
      <c r="D580" s="1138">
        <f>H566</f>
        <v>2.2549999999999999</v>
      </c>
      <c r="E580" s="1022" t="s">
        <v>94</v>
      </c>
      <c r="F580" s="1137">
        <f>'Civil-SOR'!$G$206</f>
        <v>550</v>
      </c>
      <c r="G580" s="1022">
        <v>1</v>
      </c>
      <c r="H580" s="1022" t="s">
        <v>94</v>
      </c>
      <c r="I580" s="1062">
        <f t="shared" si="32"/>
        <v>1240.25</v>
      </c>
      <c r="K580" s="1291"/>
    </row>
    <row r="581" spans="1:11" s="1066" customFormat="1" ht="16.149999999999999" customHeight="1">
      <c r="A581" s="1671"/>
      <c r="B581" s="1654"/>
      <c r="C581" s="1667" t="str">
        <f>Input!$C$47</f>
        <v>Add for MA @ 40%</v>
      </c>
      <c r="D581" s="1137">
        <f>Input!$D$47</f>
        <v>0.4</v>
      </c>
      <c r="E581" s="1022"/>
      <c r="F581" s="1137">
        <f>I580</f>
        <v>1240.25</v>
      </c>
      <c r="G581" s="1022"/>
      <c r="H581" s="1022"/>
      <c r="I581" s="1062">
        <f t="shared" si="32"/>
        <v>496.1</v>
      </c>
      <c r="K581" s="1291"/>
    </row>
    <row r="582" spans="1:11" s="1066" customFormat="1" ht="19.899999999999999" customHeight="1">
      <c r="A582" s="1671"/>
      <c r="B582" s="1654"/>
      <c r="C582" s="1667" t="s">
        <v>2013</v>
      </c>
      <c r="D582" s="1138"/>
      <c r="E582" s="1022"/>
      <c r="F582" s="1137"/>
      <c r="G582" s="1022"/>
      <c r="H582" s="1022"/>
      <c r="I582" s="1672"/>
      <c r="K582" s="1291"/>
    </row>
    <row r="583" spans="1:11" s="1066" customFormat="1" ht="19.899999999999999" customHeight="1">
      <c r="A583" s="1671"/>
      <c r="B583" s="1654"/>
      <c r="C583" s="1662" t="s">
        <v>2115</v>
      </c>
      <c r="D583" s="1137"/>
      <c r="E583" s="1022"/>
      <c r="F583" s="1137"/>
      <c r="G583" s="1022"/>
      <c r="H583" s="1022"/>
      <c r="I583" s="1035">
        <f>SUM(I568:I582)</f>
        <v>10270.174387700001</v>
      </c>
      <c r="K583" s="1291"/>
    </row>
    <row r="584" spans="1:11" s="1066" customFormat="1" ht="19.899999999999999" customHeight="1">
      <c r="A584" s="1671"/>
      <c r="B584" s="1654"/>
      <c r="C584" s="1662" t="s">
        <v>1525</v>
      </c>
      <c r="D584" s="1137"/>
      <c r="E584" s="1022"/>
      <c r="F584" s="1137"/>
      <c r="G584" s="1022"/>
      <c r="H584" s="1022"/>
      <c r="I584" s="1035">
        <f>I583/G558</f>
        <v>4075.4660268650796</v>
      </c>
      <c r="K584" s="1291"/>
    </row>
    <row r="585" spans="1:11" s="1066" customFormat="1" ht="19.899999999999999" customHeight="1">
      <c r="A585" s="1671"/>
      <c r="B585" s="1654"/>
      <c r="C585" s="1667" t="str">
        <f>Input!$C$48</f>
        <v>Overheads &amp; Contractors Profit @ 13.615%</v>
      </c>
      <c r="D585" s="1557">
        <f>Input!$D$48</f>
        <v>0.13614999999999999</v>
      </c>
      <c r="E585" s="1022"/>
      <c r="F585" s="1137">
        <f>I584</f>
        <v>4075.4660268650796</v>
      </c>
      <c r="G585" s="1022"/>
      <c r="H585" s="1022"/>
      <c r="I585" s="1062">
        <f>IF(G585="",D585*F585,(D585*F585/G585))</f>
        <v>554.87469955768051</v>
      </c>
      <c r="K585" s="1291"/>
    </row>
    <row r="586" spans="1:11" s="1006" customFormat="1" ht="20.45" customHeight="1">
      <c r="A586" s="1671"/>
      <c r="B586" s="1654"/>
      <c r="C586" s="1088" t="s">
        <v>1525</v>
      </c>
      <c r="D586" s="1136"/>
      <c r="E586" s="1005"/>
      <c r="F586" s="1136"/>
      <c r="G586" s="1005"/>
      <c r="H586" s="1005"/>
      <c r="I586" s="1660">
        <f>SUM(I584:I585)</f>
        <v>4630.3407264227599</v>
      </c>
      <c r="K586" s="1678"/>
    </row>
    <row r="587" spans="1:11" s="1006" customFormat="1" ht="20.45" customHeight="1">
      <c r="A587" s="1671"/>
      <c r="B587" s="1654"/>
      <c r="C587" s="1110"/>
      <c r="D587" s="1136"/>
      <c r="E587" s="1005"/>
      <c r="F587" s="1136"/>
      <c r="G587" s="1005"/>
      <c r="H587" s="1677" t="s">
        <v>1065</v>
      </c>
      <c r="I587" s="1661">
        <f>ROUND(I586,0)</f>
        <v>4630</v>
      </c>
      <c r="K587" s="1678"/>
    </row>
    <row r="588" spans="1:11" s="1066" customFormat="1" ht="14.65" customHeight="1">
      <c r="A588" s="1671"/>
      <c r="B588" s="1654"/>
      <c r="C588" s="1667"/>
      <c r="D588" s="1137"/>
      <c r="E588" s="1022"/>
      <c r="F588" s="1137"/>
      <c r="G588" s="1022"/>
      <c r="H588" s="1654"/>
      <c r="I588" s="1040"/>
    </row>
    <row r="589" spans="1:11" s="1066" customFormat="1" ht="83.45" customHeight="1">
      <c r="A589" s="2047">
        <f>A555+1</f>
        <v>11</v>
      </c>
      <c r="B589" s="2047"/>
      <c r="C589" s="2036" t="s">
        <v>3527</v>
      </c>
      <c r="D589" s="2036"/>
      <c r="E589" s="2036"/>
      <c r="F589" s="2036"/>
      <c r="G589" s="2036"/>
      <c r="H589" s="2036"/>
      <c r="I589" s="1662"/>
    </row>
    <row r="590" spans="1:11" s="1066" customFormat="1" ht="124.9" customHeight="1">
      <c r="A590" s="1671"/>
      <c r="B590" s="1654"/>
      <c r="C590" s="2037" t="s">
        <v>3528</v>
      </c>
      <c r="D590" s="2037"/>
      <c r="E590" s="2037"/>
      <c r="F590" s="2037"/>
      <c r="G590" s="2037"/>
      <c r="H590" s="2037"/>
      <c r="I590" s="1662"/>
    </row>
    <row r="591" spans="1:11" s="1066" customFormat="1" ht="13.9" customHeight="1">
      <c r="A591" s="1671"/>
      <c r="B591" s="1654"/>
      <c r="C591" s="1662" t="s">
        <v>1981</v>
      </c>
      <c r="D591" s="2090"/>
      <c r="E591" s="2090"/>
      <c r="F591" s="2090"/>
      <c r="G591" s="1022"/>
      <c r="H591" s="1022"/>
      <c r="I591" s="1671"/>
    </row>
    <row r="592" spans="1:11" s="1066" customFormat="1" ht="15.6" customHeight="1">
      <c r="A592" s="1671"/>
      <c r="B592" s="1654"/>
      <c r="C592" s="1667"/>
      <c r="D592" s="1657" t="s">
        <v>1982</v>
      </c>
      <c r="E592" s="2045" t="s">
        <v>2116</v>
      </c>
      <c r="F592" s="2045"/>
      <c r="G592" s="2076">
        <f>1*2.1</f>
        <v>2.1</v>
      </c>
      <c r="H592" s="2076"/>
      <c r="I592" s="1553" t="s">
        <v>94</v>
      </c>
    </row>
    <row r="593" spans="1:11" s="1066" customFormat="1" ht="15.6" customHeight="1">
      <c r="A593" s="1671"/>
      <c r="B593" s="1654"/>
      <c r="C593" s="1662" t="s">
        <v>1935</v>
      </c>
      <c r="D593" s="2099"/>
      <c r="E593" s="2099"/>
      <c r="F593" s="2099"/>
      <c r="G593" s="2090"/>
      <c r="H593" s="2090"/>
      <c r="I593" s="1672"/>
    </row>
    <row r="594" spans="1:11" s="1066" customFormat="1" ht="15.6" customHeight="1">
      <c r="A594" s="1671"/>
      <c r="B594" s="1654"/>
      <c r="C594" s="1667" t="s">
        <v>1984</v>
      </c>
      <c r="D594" s="2077" t="s">
        <v>2092</v>
      </c>
      <c r="E594" s="2077"/>
      <c r="F594" s="2077"/>
      <c r="G594" s="1022"/>
      <c r="H594" s="1022"/>
      <c r="I594" s="1672"/>
    </row>
    <row r="595" spans="1:11" s="1066" customFormat="1" ht="15.6" customHeight="1">
      <c r="A595" s="1671"/>
      <c r="B595" s="1654"/>
      <c r="C595" s="1667"/>
      <c r="D595" s="2077" t="s">
        <v>2105</v>
      </c>
      <c r="E595" s="2077"/>
      <c r="F595" s="2077"/>
      <c r="G595" s="2105">
        <f>ROUND(4.22*0.1*0.065,5)</f>
        <v>2.743E-2</v>
      </c>
      <c r="H595" s="2105"/>
      <c r="I595" s="1659" t="s">
        <v>75</v>
      </c>
    </row>
    <row r="596" spans="1:11" s="1066" customFormat="1" ht="15.6" customHeight="1">
      <c r="A596" s="1671"/>
      <c r="B596" s="1654"/>
      <c r="C596" s="1667" t="s">
        <v>1987</v>
      </c>
      <c r="D596" s="2077" t="s">
        <v>2117</v>
      </c>
      <c r="E596" s="2077"/>
      <c r="F596" s="2077"/>
      <c r="G596" s="1676"/>
      <c r="H596" s="1676"/>
      <c r="I596" s="1659"/>
    </row>
    <row r="597" spans="1:11" s="1066" customFormat="1" ht="15.6" customHeight="1">
      <c r="A597" s="1671"/>
      <c r="B597" s="1654"/>
      <c r="C597" s="1667"/>
      <c r="D597" s="2077" t="s">
        <v>2118</v>
      </c>
      <c r="E597" s="2077"/>
      <c r="F597" s="2077"/>
      <c r="G597" s="2105">
        <f>ROUND(1*0.1*0.065,5)</f>
        <v>6.4999999999999997E-3</v>
      </c>
      <c r="H597" s="2105"/>
      <c r="I597" s="1659" t="s">
        <v>75</v>
      </c>
    </row>
    <row r="598" spans="1:11" s="1066" customFormat="1" ht="15.6" customHeight="1">
      <c r="A598" s="1671"/>
      <c r="B598" s="1654"/>
      <c r="C598" s="1667"/>
      <c r="D598" s="2099"/>
      <c r="E598" s="2099"/>
      <c r="F598" s="2099"/>
      <c r="G598" s="2104">
        <f>SUM(G595:G597)</f>
        <v>3.3930000000000002E-2</v>
      </c>
      <c r="H598" s="2104"/>
      <c r="I598" s="1553" t="s">
        <v>75</v>
      </c>
    </row>
    <row r="599" spans="1:11" s="1066" customFormat="1" ht="15.6" customHeight="1">
      <c r="A599" s="1671"/>
      <c r="B599" s="1654"/>
      <c r="C599" s="1667" t="s">
        <v>2027</v>
      </c>
      <c r="D599" s="2077" t="s">
        <v>2119</v>
      </c>
      <c r="E599" s="2077"/>
      <c r="F599" s="2077"/>
      <c r="G599" s="2090">
        <f>ROUND(0.9*2.05,3)</f>
        <v>1.845</v>
      </c>
      <c r="H599" s="2090"/>
      <c r="I599" s="1553" t="s">
        <v>94</v>
      </c>
    </row>
    <row r="600" spans="1:11" s="1066" customFormat="1" ht="15.95" customHeight="1">
      <c r="A600" s="1671"/>
      <c r="B600" s="1654"/>
      <c r="C600" s="1662" t="s">
        <v>1965</v>
      </c>
      <c r="D600" s="1137"/>
      <c r="E600" s="1022"/>
      <c r="F600" s="1137"/>
      <c r="G600" s="1022"/>
      <c r="H600" s="1022"/>
      <c r="I600" s="1672"/>
    </row>
    <row r="601" spans="1:11" s="1066" customFormat="1" ht="15.6" customHeight="1">
      <c r="A601" s="1671"/>
      <c r="B601" s="1654"/>
      <c r="C601" s="1667" t="s">
        <v>2050</v>
      </c>
      <c r="D601" s="1557">
        <f>G595</f>
        <v>2.743E-2</v>
      </c>
      <c r="E601" s="1022" t="s">
        <v>75</v>
      </c>
      <c r="F601" s="1137">
        <f>'Civil-SOR'!$G$26</f>
        <v>91479</v>
      </c>
      <c r="G601" s="1022">
        <v>1</v>
      </c>
      <c r="H601" s="1022" t="s">
        <v>75</v>
      </c>
      <c r="I601" s="1062">
        <f t="shared" ref="I601:I614" si="33">IF(G601="",D601*F601,(D601*F601/G601))</f>
        <v>2509.2689700000001</v>
      </c>
      <c r="K601" s="1291"/>
    </row>
    <row r="602" spans="1:11" s="1066" customFormat="1" ht="17.45" customHeight="1">
      <c r="A602" s="1671"/>
      <c r="B602" s="1654"/>
      <c r="C602" s="1667" t="s">
        <v>2120</v>
      </c>
      <c r="D602" s="1557">
        <f>G597</f>
        <v>6.4999999999999997E-3</v>
      </c>
      <c r="E602" s="1022" t="s">
        <v>75</v>
      </c>
      <c r="F602" s="1137">
        <f>'Civil-SOR'!$G$25</f>
        <v>82331</v>
      </c>
      <c r="G602" s="1022">
        <v>1</v>
      </c>
      <c r="H602" s="1022" t="s">
        <v>75</v>
      </c>
      <c r="I602" s="1062">
        <f t="shared" si="33"/>
        <v>535.15149999999994</v>
      </c>
      <c r="K602" s="1291"/>
    </row>
    <row r="603" spans="1:11" s="1066" customFormat="1" ht="15.6" customHeight="1">
      <c r="A603" s="1671"/>
      <c r="B603" s="1654"/>
      <c r="C603" s="1667" t="s">
        <v>2033</v>
      </c>
      <c r="D603" s="1138">
        <f>G599</f>
        <v>1.845</v>
      </c>
      <c r="E603" s="1022" t="s">
        <v>94</v>
      </c>
      <c r="F603" s="1137">
        <f>'Civil-SOR'!$G$114</f>
        <v>1334</v>
      </c>
      <c r="G603" s="1022">
        <v>1</v>
      </c>
      <c r="H603" s="1022" t="s">
        <v>94</v>
      </c>
      <c r="I603" s="1062">
        <f t="shared" si="33"/>
        <v>2461.23</v>
      </c>
      <c r="K603" s="1291"/>
    </row>
    <row r="604" spans="1:11" s="1066" customFormat="1" ht="15.6" customHeight="1">
      <c r="A604" s="1671"/>
      <c r="B604" s="1654"/>
      <c r="C604" s="1667" t="s">
        <v>2034</v>
      </c>
      <c r="D604" s="1076">
        <v>6</v>
      </c>
      <c r="E604" s="1022" t="s">
        <v>36</v>
      </c>
      <c r="F604" s="1137">
        <f>'Civil-SOR'!$G$385</f>
        <v>37</v>
      </c>
      <c r="G604" s="1022"/>
      <c r="H604" s="1022" t="s">
        <v>501</v>
      </c>
      <c r="I604" s="1062">
        <f t="shared" si="33"/>
        <v>222</v>
      </c>
      <c r="K604" s="1291"/>
    </row>
    <row r="605" spans="1:11" s="1066" customFormat="1" ht="15.6" customHeight="1">
      <c r="A605" s="1671"/>
      <c r="B605" s="1654"/>
      <c r="C605" s="1667" t="s">
        <v>2035</v>
      </c>
      <c r="D605" s="1076">
        <v>1</v>
      </c>
      <c r="E605" s="1022" t="s">
        <v>39</v>
      </c>
      <c r="F605" s="1137">
        <f>'Civil-SOR'!$G$153</f>
        <v>90</v>
      </c>
      <c r="G605" s="1022"/>
      <c r="H605" s="1022" t="s">
        <v>501</v>
      </c>
      <c r="I605" s="1062">
        <f t="shared" si="33"/>
        <v>90</v>
      </c>
      <c r="K605" s="1291"/>
    </row>
    <row r="606" spans="1:11" s="1066" customFormat="1" ht="15.6" customHeight="1">
      <c r="A606" s="1671"/>
      <c r="B606" s="1654"/>
      <c r="C606" s="1667" t="s">
        <v>2036</v>
      </c>
      <c r="D606" s="1076">
        <v>3</v>
      </c>
      <c r="E606" s="1022" t="s">
        <v>36</v>
      </c>
      <c r="F606" s="1137">
        <f>'Civil-SOR'!$G$159</f>
        <v>106</v>
      </c>
      <c r="G606" s="1022"/>
      <c r="H606" s="1022" t="s">
        <v>501</v>
      </c>
      <c r="I606" s="1062">
        <f t="shared" si="33"/>
        <v>318</v>
      </c>
      <c r="K606" s="1291"/>
    </row>
    <row r="607" spans="1:11" s="1066" customFormat="1" ht="15.6" customHeight="1">
      <c r="A607" s="1671"/>
      <c r="B607" s="1654"/>
      <c r="C607" s="1667" t="s">
        <v>2037</v>
      </c>
      <c r="D607" s="1076">
        <v>1</v>
      </c>
      <c r="E607" s="1022" t="s">
        <v>39</v>
      </c>
      <c r="F607" s="1137">
        <f>'Civil-SOR'!$G$172</f>
        <v>239</v>
      </c>
      <c r="G607" s="1022"/>
      <c r="H607" s="1022" t="s">
        <v>501</v>
      </c>
      <c r="I607" s="1062">
        <f t="shared" si="33"/>
        <v>239</v>
      </c>
      <c r="K607" s="1291"/>
    </row>
    <row r="608" spans="1:11" s="1066" customFormat="1" ht="15.6" customHeight="1">
      <c r="A608" s="1671"/>
      <c r="B608" s="1654"/>
      <c r="C608" s="1667" t="s">
        <v>2038</v>
      </c>
      <c r="D608" s="1076">
        <v>2</v>
      </c>
      <c r="E608" s="1022" t="s">
        <v>36</v>
      </c>
      <c r="F608" s="1137">
        <f>'Civil-SOR'!$G$164</f>
        <v>100</v>
      </c>
      <c r="G608" s="1022"/>
      <c r="H608" s="1022" t="s">
        <v>501</v>
      </c>
      <c r="I608" s="1062">
        <f t="shared" si="33"/>
        <v>200</v>
      </c>
      <c r="K608" s="1291"/>
    </row>
    <row r="609" spans="1:11" s="1066" customFormat="1" ht="15.6" customHeight="1">
      <c r="A609" s="1671"/>
      <c r="B609" s="1654"/>
      <c r="C609" s="1667" t="s">
        <v>2039</v>
      </c>
      <c r="D609" s="1076">
        <v>1</v>
      </c>
      <c r="E609" s="1022" t="s">
        <v>39</v>
      </c>
      <c r="F609" s="1137">
        <f>'Civil-SOR'!$G$178</f>
        <v>66</v>
      </c>
      <c r="G609" s="1022"/>
      <c r="H609" s="1022" t="s">
        <v>501</v>
      </c>
      <c r="I609" s="1062">
        <f t="shared" si="33"/>
        <v>66</v>
      </c>
      <c r="K609" s="1291"/>
    </row>
    <row r="610" spans="1:11" s="1066" customFormat="1" ht="15.6" customHeight="1">
      <c r="A610" s="1671"/>
      <c r="B610" s="1654"/>
      <c r="C610" s="1667" t="s">
        <v>2040</v>
      </c>
      <c r="D610" s="1076">
        <v>1</v>
      </c>
      <c r="E610" s="1022" t="s">
        <v>39</v>
      </c>
      <c r="F610" s="1137">
        <f>'Civil-SOR'!$G$386</f>
        <v>12</v>
      </c>
      <c r="G610" s="1022"/>
      <c r="H610" s="1022" t="s">
        <v>501</v>
      </c>
      <c r="I610" s="1062">
        <f t="shared" si="33"/>
        <v>12</v>
      </c>
      <c r="K610" s="1291"/>
    </row>
    <row r="611" spans="1:11" s="1066" customFormat="1" ht="18" customHeight="1">
      <c r="A611" s="1671"/>
      <c r="B611" s="1654"/>
      <c r="C611" s="1667" t="s">
        <v>2010</v>
      </c>
      <c r="D611" s="1196">
        <f>G598</f>
        <v>3.3930000000000002E-2</v>
      </c>
      <c r="E611" s="1022" t="s">
        <v>75</v>
      </c>
      <c r="F611" s="1137">
        <f>$I$8</f>
        <v>15027.85</v>
      </c>
      <c r="G611" s="1022">
        <v>1</v>
      </c>
      <c r="H611" s="1022" t="s">
        <v>75</v>
      </c>
      <c r="I611" s="1062">
        <f t="shared" si="33"/>
        <v>509.89495050000005</v>
      </c>
      <c r="K611" s="1291"/>
    </row>
    <row r="612" spans="1:11" s="1066" customFormat="1" ht="18" customHeight="1">
      <c r="A612" s="1671"/>
      <c r="B612" s="1654"/>
      <c r="C612" s="1667" t="str">
        <f>Input!$C$47</f>
        <v>Add for MA @ 40%</v>
      </c>
      <c r="D612" s="1137">
        <f>Input!$D$47</f>
        <v>0.4</v>
      </c>
      <c r="E612" s="1022"/>
      <c r="F612" s="1137">
        <f>I611</f>
        <v>509.89495050000005</v>
      </c>
      <c r="G612" s="1022"/>
      <c r="H612" s="1022"/>
      <c r="I612" s="1062">
        <f t="shared" si="33"/>
        <v>203.95798020000004</v>
      </c>
      <c r="K612" s="1291"/>
    </row>
    <row r="613" spans="1:11" s="1066" customFormat="1" ht="42.6" customHeight="1">
      <c r="A613" s="1671"/>
      <c r="B613" s="1654"/>
      <c r="C613" s="1667" t="str">
        <f>C580</f>
        <v>Labour charges for fixing flush door shutter to the frame ,  fixing the fixtures to the shutter       TBSC-T.I-25</v>
      </c>
      <c r="D613" s="1138">
        <f>G599</f>
        <v>1.845</v>
      </c>
      <c r="E613" s="1022" t="s">
        <v>94</v>
      </c>
      <c r="F613" s="1137">
        <f>'Civil-SOR'!$G$206</f>
        <v>550</v>
      </c>
      <c r="G613" s="1022">
        <v>1</v>
      </c>
      <c r="H613" s="1022" t="s">
        <v>94</v>
      </c>
      <c r="I613" s="1062">
        <f t="shared" si="33"/>
        <v>1014.75</v>
      </c>
      <c r="K613" s="1291"/>
    </row>
    <row r="614" spans="1:11" s="1066" customFormat="1" ht="18" customHeight="1">
      <c r="A614" s="1671"/>
      <c r="B614" s="1654"/>
      <c r="C614" s="1667" t="str">
        <f>Input!$C$47</f>
        <v>Add for MA @ 40%</v>
      </c>
      <c r="D614" s="1137">
        <f>Input!$D$47</f>
        <v>0.4</v>
      </c>
      <c r="E614" s="1022"/>
      <c r="F614" s="1137">
        <f>I613</f>
        <v>1014.75</v>
      </c>
      <c r="G614" s="1022"/>
      <c r="H614" s="1022"/>
      <c r="I614" s="1062">
        <f t="shared" si="33"/>
        <v>405.90000000000003</v>
      </c>
      <c r="K614" s="1291"/>
    </row>
    <row r="615" spans="1:11" s="1066" customFormat="1" ht="18" customHeight="1">
      <c r="A615" s="1671"/>
      <c r="B615" s="1654"/>
      <c r="C615" s="1667" t="s">
        <v>2013</v>
      </c>
      <c r="D615" s="1137"/>
      <c r="E615" s="1022"/>
      <c r="F615" s="1137"/>
      <c r="G615" s="1022"/>
      <c r="H615" s="1022"/>
      <c r="I615" s="1672"/>
      <c r="K615" s="1291"/>
    </row>
    <row r="616" spans="1:11" s="1066" customFormat="1" ht="18" customHeight="1">
      <c r="A616" s="1671"/>
      <c r="B616" s="1654"/>
      <c r="C616" s="1662" t="s">
        <v>2121</v>
      </c>
      <c r="D616" s="1137"/>
      <c r="E616" s="1022"/>
      <c r="F616" s="1137"/>
      <c r="G616" s="1022"/>
      <c r="H616" s="1022"/>
      <c r="I616" s="1035">
        <f>SUM(I601:I615)</f>
        <v>8787.1534006999991</v>
      </c>
      <c r="K616" s="1291"/>
    </row>
    <row r="617" spans="1:11" s="1066" customFormat="1" ht="18" customHeight="1">
      <c r="A617" s="1671"/>
      <c r="B617" s="1654"/>
      <c r="C617" s="1667" t="str">
        <f>Input!$C$48</f>
        <v>Overheads &amp; Contractors Profit @ 13.615%</v>
      </c>
      <c r="D617" s="1557">
        <f>Input!$D$48</f>
        <v>0.13614999999999999</v>
      </c>
      <c r="E617" s="1022"/>
      <c r="F617" s="1137">
        <f>I616</f>
        <v>8787.1534006999991</v>
      </c>
      <c r="G617" s="1022"/>
      <c r="H617" s="1022"/>
      <c r="I617" s="1062">
        <f>IF(G617="",D617*F617,(D617*F617/G617))</f>
        <v>1196.3709355053047</v>
      </c>
      <c r="K617" s="1291"/>
    </row>
    <row r="618" spans="1:11" s="1066" customFormat="1" ht="15.95" customHeight="1">
      <c r="A618" s="1671"/>
      <c r="B618" s="1654"/>
      <c r="C618" s="1667"/>
      <c r="D618" s="1137"/>
      <c r="E618" s="1022"/>
      <c r="F618" s="1137"/>
      <c r="G618" s="1022"/>
      <c r="H618" s="1022"/>
      <c r="I618" s="1672">
        <f>SUM(I616:I617)</f>
        <v>9983.5243362053043</v>
      </c>
      <c r="K618" s="1291"/>
    </row>
    <row r="619" spans="1:11" s="1006" customFormat="1" ht="19.149999999999999" customHeight="1">
      <c r="A619" s="1671"/>
      <c r="B619" s="1654"/>
      <c r="C619" s="1088" t="s">
        <v>1525</v>
      </c>
      <c r="D619" s="1136"/>
      <c r="E619" s="1005"/>
      <c r="F619" s="1136"/>
      <c r="G619" s="1005"/>
      <c r="H619" s="1005"/>
      <c r="I619" s="1017">
        <f>I618/G592</f>
        <v>4754.0592077168112</v>
      </c>
      <c r="K619" s="1678"/>
    </row>
    <row r="620" spans="1:11" s="1006" customFormat="1" ht="19.149999999999999" customHeight="1">
      <c r="A620" s="1671"/>
      <c r="B620" s="1654"/>
      <c r="C620" s="1110"/>
      <c r="D620" s="1136"/>
      <c r="E620" s="1005"/>
      <c r="F620" s="1136"/>
      <c r="G620" s="2075" t="s">
        <v>1096</v>
      </c>
      <c r="H620" s="2075"/>
      <c r="I620" s="1661">
        <f>ROUND(I619,0)</f>
        <v>4754</v>
      </c>
      <c r="K620" s="1678"/>
    </row>
    <row r="621" spans="1:11" s="1066" customFormat="1" ht="14.65" customHeight="1">
      <c r="A621" s="1671"/>
      <c r="B621" s="1654"/>
      <c r="C621" s="1667"/>
      <c r="D621" s="1137"/>
      <c r="E621" s="1022"/>
      <c r="F621" s="1137"/>
      <c r="G621" s="1022"/>
      <c r="H621" s="1654"/>
      <c r="I621" s="1040"/>
    </row>
    <row r="622" spans="1:11" s="1066" customFormat="1" ht="83.45" customHeight="1">
      <c r="A622" s="2047">
        <f>A589+1</f>
        <v>12</v>
      </c>
      <c r="B622" s="2047"/>
      <c r="C622" s="2036" t="s">
        <v>3529</v>
      </c>
      <c r="D622" s="2036"/>
      <c r="E622" s="2036"/>
      <c r="F622" s="2036"/>
      <c r="G622" s="2036"/>
      <c r="H622" s="2036"/>
      <c r="I622" s="1662"/>
    </row>
    <row r="623" spans="1:11" s="1066" customFormat="1" ht="125.45" customHeight="1">
      <c r="A623" s="1671"/>
      <c r="B623" s="1654"/>
      <c r="C623" s="2037" t="s">
        <v>3530</v>
      </c>
      <c r="D623" s="2037"/>
      <c r="E623" s="2037"/>
      <c r="F623" s="2037"/>
      <c r="G623" s="2037"/>
      <c r="H623" s="2037"/>
      <c r="I623" s="1662"/>
    </row>
    <row r="624" spans="1:11" s="1066" customFormat="1" ht="15.95" customHeight="1">
      <c r="A624" s="1671"/>
      <c r="B624" s="1654"/>
      <c r="C624" s="1662" t="s">
        <v>1981</v>
      </c>
      <c r="D624" s="1022"/>
      <c r="E624" s="1022"/>
      <c r="F624" s="1022"/>
      <c r="G624" s="1022"/>
      <c r="H624" s="1022"/>
      <c r="I624" s="1671"/>
    </row>
    <row r="625" spans="1:11" s="1066" customFormat="1" ht="16.149999999999999" customHeight="1">
      <c r="A625" s="1671"/>
      <c r="B625" s="1654"/>
      <c r="C625" s="1667"/>
      <c r="D625" s="1556" t="s">
        <v>1982</v>
      </c>
      <c r="E625" s="2070" t="s">
        <v>2122</v>
      </c>
      <c r="F625" s="2070"/>
      <c r="G625" s="2076">
        <f>0.9*2.1</f>
        <v>1.8900000000000001</v>
      </c>
      <c r="H625" s="2076"/>
      <c r="I625" s="1553" t="s">
        <v>94</v>
      </c>
    </row>
    <row r="626" spans="1:11" s="1066" customFormat="1" ht="12.6" customHeight="1">
      <c r="A626" s="1671"/>
      <c r="B626" s="1654"/>
      <c r="C626" s="1662" t="s">
        <v>1935</v>
      </c>
      <c r="D626" s="2099"/>
      <c r="E626" s="2099"/>
      <c r="F626" s="2099"/>
      <c r="G626" s="2090"/>
      <c r="H626" s="2090"/>
      <c r="I626" s="1672"/>
    </row>
    <row r="627" spans="1:11" s="1066" customFormat="1" ht="16.149999999999999" customHeight="1">
      <c r="A627" s="1671"/>
      <c r="B627" s="1654"/>
      <c r="C627" s="1667" t="s">
        <v>1984</v>
      </c>
      <c r="D627" s="2077" t="s">
        <v>2092</v>
      </c>
      <c r="E627" s="2077"/>
      <c r="F627" s="2077"/>
      <c r="G627" s="2090"/>
      <c r="H627" s="2090"/>
      <c r="I627" s="1672"/>
    </row>
    <row r="628" spans="1:11" s="1066" customFormat="1" ht="16.149999999999999" customHeight="1">
      <c r="A628" s="1671"/>
      <c r="B628" s="1654"/>
      <c r="C628" s="1667"/>
      <c r="D628" s="2077" t="s">
        <v>2105</v>
      </c>
      <c r="E628" s="2077"/>
      <c r="F628" s="2077"/>
      <c r="G628" s="2105">
        <f>ROUND(4.22*0.1*0.065,5)</f>
        <v>2.743E-2</v>
      </c>
      <c r="H628" s="2105"/>
      <c r="I628" s="1659" t="s">
        <v>75</v>
      </c>
    </row>
    <row r="629" spans="1:11" s="1066" customFormat="1" ht="16.149999999999999" customHeight="1">
      <c r="A629" s="1671"/>
      <c r="B629" s="1654"/>
      <c r="C629" s="1667" t="s">
        <v>1987</v>
      </c>
      <c r="D629" s="2077" t="s">
        <v>2123</v>
      </c>
      <c r="E629" s="2077"/>
      <c r="F629" s="2077"/>
      <c r="G629" s="2106"/>
      <c r="H629" s="2106"/>
      <c r="I629" s="1659"/>
    </row>
    <row r="630" spans="1:11" s="1066" customFormat="1" ht="16.149999999999999" customHeight="1">
      <c r="A630" s="1671"/>
      <c r="B630" s="1654"/>
      <c r="C630" s="1667"/>
      <c r="D630" s="2077" t="s">
        <v>2124</v>
      </c>
      <c r="E630" s="2077"/>
      <c r="F630" s="2077"/>
      <c r="G630" s="2105">
        <f>ROUND(0.9*0.1*0.065,5)</f>
        <v>5.8500000000000002E-3</v>
      </c>
      <c r="H630" s="2105"/>
      <c r="I630" s="1659" t="s">
        <v>75</v>
      </c>
    </row>
    <row r="631" spans="1:11" s="1066" customFormat="1" ht="18" customHeight="1">
      <c r="A631" s="1671"/>
      <c r="B631" s="1654"/>
      <c r="C631" s="1667"/>
      <c r="D631" s="2077"/>
      <c r="E631" s="2077"/>
      <c r="F631" s="2077"/>
      <c r="G631" s="2104">
        <f>SUM(G628:G630)</f>
        <v>3.3279999999999997E-2</v>
      </c>
      <c r="H631" s="2104"/>
      <c r="I631" s="1553" t="s">
        <v>75</v>
      </c>
    </row>
    <row r="632" spans="1:11" s="1066" customFormat="1" ht="18" customHeight="1">
      <c r="A632" s="1671"/>
      <c r="B632" s="1654"/>
      <c r="C632" s="1667" t="s">
        <v>2027</v>
      </c>
      <c r="D632" s="2077" t="s">
        <v>2125</v>
      </c>
      <c r="E632" s="2077"/>
      <c r="F632" s="2077"/>
      <c r="G632" s="2090">
        <f>ROUND(0.8*2.05,3)</f>
        <v>1.64</v>
      </c>
      <c r="H632" s="2090"/>
      <c r="I632" s="1553" t="s">
        <v>94</v>
      </c>
    </row>
    <row r="633" spans="1:11" s="1066" customFormat="1" ht="15.75" customHeight="1">
      <c r="A633" s="1671"/>
      <c r="B633" s="1654"/>
      <c r="C633" s="1662"/>
      <c r="D633" s="1137"/>
      <c r="E633" s="1022"/>
      <c r="F633" s="1137"/>
      <c r="G633" s="1022"/>
      <c r="H633" s="1022"/>
      <c r="I633" s="1672"/>
    </row>
    <row r="634" spans="1:11" s="1066" customFormat="1" ht="15.95" customHeight="1">
      <c r="A634" s="1671"/>
      <c r="B634" s="1654"/>
      <c r="C634" s="1662" t="s">
        <v>1965</v>
      </c>
      <c r="D634" s="1137"/>
      <c r="E634" s="1022"/>
      <c r="F634" s="1137"/>
      <c r="G634" s="1022"/>
      <c r="H634" s="1022"/>
      <c r="I634" s="1672"/>
    </row>
    <row r="635" spans="1:11" s="1066" customFormat="1" ht="15.6" customHeight="1">
      <c r="A635" s="1671"/>
      <c r="B635" s="1654"/>
      <c r="C635" s="1667" t="s">
        <v>2030</v>
      </c>
      <c r="D635" s="1557">
        <f>G628</f>
        <v>2.743E-2</v>
      </c>
      <c r="E635" s="1022" t="s">
        <v>75</v>
      </c>
      <c r="F635" s="1137">
        <f>'Civil-SOR'!$G$26</f>
        <v>91479</v>
      </c>
      <c r="G635" s="1022">
        <v>1</v>
      </c>
      <c r="H635" s="1022" t="s">
        <v>75</v>
      </c>
      <c r="I635" s="1062">
        <f t="shared" ref="I635:I648" si="34">IF(G635="",D635*F635,(D635*F635/G635))</f>
        <v>2509.2689700000001</v>
      </c>
      <c r="K635" s="1291"/>
    </row>
    <row r="636" spans="1:11" s="1066" customFormat="1" ht="15.6" customHeight="1">
      <c r="A636" s="1671"/>
      <c r="B636" s="1654"/>
      <c r="C636" s="1667" t="s">
        <v>2031</v>
      </c>
      <c r="D636" s="1557">
        <f>G630</f>
        <v>5.8500000000000002E-3</v>
      </c>
      <c r="E636" s="1022" t="s">
        <v>75</v>
      </c>
      <c r="F636" s="1137">
        <f>'Civil-SOR'!$G$25</f>
        <v>82331</v>
      </c>
      <c r="G636" s="1022">
        <v>1</v>
      </c>
      <c r="H636" s="1022" t="s">
        <v>75</v>
      </c>
      <c r="I636" s="1062">
        <f t="shared" si="34"/>
        <v>481.63634999999999</v>
      </c>
      <c r="K636" s="1291"/>
    </row>
    <row r="637" spans="1:11" s="1066" customFormat="1" ht="15.6" customHeight="1">
      <c r="A637" s="1671"/>
      <c r="B637" s="1654"/>
      <c r="C637" s="1667" t="s">
        <v>2033</v>
      </c>
      <c r="D637" s="1137">
        <f>G632</f>
        <v>1.64</v>
      </c>
      <c r="E637" s="1022" t="s">
        <v>94</v>
      </c>
      <c r="F637" s="1137">
        <f>'Civil-SOR'!$G$114</f>
        <v>1334</v>
      </c>
      <c r="G637" s="1022">
        <v>1</v>
      </c>
      <c r="H637" s="1022" t="s">
        <v>94</v>
      </c>
      <c r="I637" s="1062">
        <f t="shared" si="34"/>
        <v>2187.7599999999998</v>
      </c>
      <c r="K637" s="1291"/>
    </row>
    <row r="638" spans="1:11" s="1066" customFormat="1" ht="15.6" customHeight="1">
      <c r="A638" s="1671"/>
      <c r="B638" s="1654"/>
      <c r="C638" s="1667" t="s">
        <v>2034</v>
      </c>
      <c r="D638" s="1076">
        <v>6</v>
      </c>
      <c r="E638" s="1022" t="s">
        <v>36</v>
      </c>
      <c r="F638" s="1137">
        <f>'Civil-SOR'!$G$385</f>
        <v>37</v>
      </c>
      <c r="G638" s="1022"/>
      <c r="H638" s="1022" t="s">
        <v>501</v>
      </c>
      <c r="I638" s="1062">
        <f t="shared" si="34"/>
        <v>222</v>
      </c>
      <c r="K638" s="1291"/>
    </row>
    <row r="639" spans="1:11" s="1066" customFormat="1" ht="15.6" customHeight="1">
      <c r="A639" s="1671"/>
      <c r="B639" s="1654"/>
      <c r="C639" s="1667" t="s">
        <v>2035</v>
      </c>
      <c r="D639" s="1076">
        <v>1</v>
      </c>
      <c r="E639" s="1022" t="s">
        <v>39</v>
      </c>
      <c r="F639" s="1137">
        <f>'Civil-SOR'!$G$153</f>
        <v>90</v>
      </c>
      <c r="G639" s="1022"/>
      <c r="H639" s="1022" t="s">
        <v>501</v>
      </c>
      <c r="I639" s="1062">
        <f t="shared" si="34"/>
        <v>90</v>
      </c>
      <c r="K639" s="1291"/>
    </row>
    <row r="640" spans="1:11" s="1066" customFormat="1" ht="15.6" customHeight="1">
      <c r="A640" s="1671"/>
      <c r="B640" s="1654"/>
      <c r="C640" s="1667" t="s">
        <v>2036</v>
      </c>
      <c r="D640" s="1076">
        <v>3</v>
      </c>
      <c r="E640" s="1022" t="s">
        <v>36</v>
      </c>
      <c r="F640" s="1137">
        <f>'Civil-SOR'!$G$159</f>
        <v>106</v>
      </c>
      <c r="G640" s="1022"/>
      <c r="H640" s="1022" t="s">
        <v>501</v>
      </c>
      <c r="I640" s="1062">
        <f t="shared" si="34"/>
        <v>318</v>
      </c>
      <c r="K640" s="1291"/>
    </row>
    <row r="641" spans="1:11" s="1066" customFormat="1" ht="15.6" customHeight="1">
      <c r="A641" s="1671"/>
      <c r="B641" s="1654"/>
      <c r="C641" s="1667" t="s">
        <v>2037</v>
      </c>
      <c r="D641" s="1076">
        <v>1</v>
      </c>
      <c r="E641" s="1022" t="s">
        <v>39</v>
      </c>
      <c r="F641" s="1137">
        <f>'Civil-SOR'!$G$172</f>
        <v>239</v>
      </c>
      <c r="G641" s="1022"/>
      <c r="H641" s="1022" t="s">
        <v>501</v>
      </c>
      <c r="I641" s="1062">
        <f t="shared" si="34"/>
        <v>239</v>
      </c>
      <c r="K641" s="1291"/>
    </row>
    <row r="642" spans="1:11" s="1066" customFormat="1" ht="15.6" customHeight="1">
      <c r="A642" s="1671"/>
      <c r="B642" s="1654"/>
      <c r="C642" s="1667" t="s">
        <v>2038</v>
      </c>
      <c r="D642" s="1076">
        <v>2</v>
      </c>
      <c r="E642" s="1022" t="s">
        <v>36</v>
      </c>
      <c r="F642" s="1137">
        <f>'Civil-SOR'!$G$164</f>
        <v>100</v>
      </c>
      <c r="G642" s="1022"/>
      <c r="H642" s="1022" t="s">
        <v>501</v>
      </c>
      <c r="I642" s="1062">
        <f t="shared" si="34"/>
        <v>200</v>
      </c>
      <c r="K642" s="1291"/>
    </row>
    <row r="643" spans="1:11" s="1066" customFormat="1" ht="15.6" customHeight="1">
      <c r="A643" s="1671"/>
      <c r="B643" s="1654"/>
      <c r="C643" s="1667" t="s">
        <v>2039</v>
      </c>
      <c r="D643" s="1076">
        <v>1</v>
      </c>
      <c r="E643" s="1022" t="s">
        <v>39</v>
      </c>
      <c r="F643" s="1137">
        <f>'Civil-SOR'!$G$178</f>
        <v>66</v>
      </c>
      <c r="G643" s="1022"/>
      <c r="H643" s="1022" t="s">
        <v>501</v>
      </c>
      <c r="I643" s="1062">
        <f t="shared" si="34"/>
        <v>66</v>
      </c>
      <c r="K643" s="1291"/>
    </row>
    <row r="644" spans="1:11" s="1066" customFormat="1" ht="15.6" customHeight="1">
      <c r="A644" s="1671"/>
      <c r="B644" s="1654"/>
      <c r="C644" s="1667" t="s">
        <v>2040</v>
      </c>
      <c r="D644" s="1076">
        <v>1</v>
      </c>
      <c r="E644" s="1022" t="s">
        <v>39</v>
      </c>
      <c r="F644" s="1137">
        <f>'Civil-SOR'!$G$386</f>
        <v>12</v>
      </c>
      <c r="G644" s="1022"/>
      <c r="H644" s="1022" t="s">
        <v>501</v>
      </c>
      <c r="I644" s="1062">
        <f t="shared" si="34"/>
        <v>12</v>
      </c>
      <c r="K644" s="1291"/>
    </row>
    <row r="645" spans="1:11" s="1066" customFormat="1" ht="15.6" customHeight="1">
      <c r="A645" s="1671"/>
      <c r="B645" s="1654"/>
      <c r="C645" s="1667" t="s">
        <v>2010</v>
      </c>
      <c r="D645" s="1673">
        <f>G631</f>
        <v>3.3279999999999997E-2</v>
      </c>
      <c r="E645" s="1022" t="s">
        <v>75</v>
      </c>
      <c r="F645" s="1137">
        <f>$I$8</f>
        <v>15027.85</v>
      </c>
      <c r="G645" s="1022">
        <v>1</v>
      </c>
      <c r="H645" s="1022" t="s">
        <v>75</v>
      </c>
      <c r="I645" s="1062">
        <f t="shared" si="34"/>
        <v>500.126848</v>
      </c>
      <c r="K645" s="1291"/>
    </row>
    <row r="646" spans="1:11" s="1066" customFormat="1" ht="15.95" customHeight="1">
      <c r="A646" s="1671"/>
      <c r="B646" s="1654"/>
      <c r="C646" s="1667" t="str">
        <f>Input!$C$47</f>
        <v>Add for MA @ 40%</v>
      </c>
      <c r="D646" s="1137">
        <f>Input!$D$47</f>
        <v>0.4</v>
      </c>
      <c r="E646" s="1022"/>
      <c r="F646" s="1137">
        <f>I645</f>
        <v>500.126848</v>
      </c>
      <c r="G646" s="1022"/>
      <c r="H646" s="1022"/>
      <c r="I646" s="1062">
        <f t="shared" si="34"/>
        <v>200.05073920000001</v>
      </c>
      <c r="K646" s="1291"/>
    </row>
    <row r="647" spans="1:11" s="1066" customFormat="1" ht="40.15" customHeight="1">
      <c r="A647" s="1671"/>
      <c r="B647" s="1654"/>
      <c r="C647" s="1667" t="str">
        <f>C613</f>
        <v>Labour charges for fixing flush door shutter to the frame ,  fixing the fixtures to the shutter       TBSC-T.I-25</v>
      </c>
      <c r="D647" s="1137">
        <f>G632</f>
        <v>1.64</v>
      </c>
      <c r="E647" s="1022" t="s">
        <v>94</v>
      </c>
      <c r="F647" s="1137">
        <f>'Civil-SOR'!$G$206</f>
        <v>550</v>
      </c>
      <c r="G647" s="1022">
        <v>1</v>
      </c>
      <c r="H647" s="1022" t="s">
        <v>94</v>
      </c>
      <c r="I647" s="1062">
        <f t="shared" si="34"/>
        <v>902</v>
      </c>
      <c r="K647" s="1291"/>
    </row>
    <row r="648" spans="1:11" s="1066" customFormat="1" ht="15.95" customHeight="1">
      <c r="A648" s="1671"/>
      <c r="B648" s="1654"/>
      <c r="C648" s="1667" t="str">
        <f>Input!$C$47</f>
        <v>Add for MA @ 40%</v>
      </c>
      <c r="D648" s="1137">
        <f>Input!$D$47</f>
        <v>0.4</v>
      </c>
      <c r="E648" s="1022"/>
      <c r="F648" s="1137">
        <f>I647</f>
        <v>902</v>
      </c>
      <c r="G648" s="1022"/>
      <c r="H648" s="1022"/>
      <c r="I648" s="1062">
        <f t="shared" si="34"/>
        <v>360.8</v>
      </c>
      <c r="K648" s="1291"/>
    </row>
    <row r="649" spans="1:11" s="1066" customFormat="1" ht="15.95" customHeight="1">
      <c r="A649" s="1671"/>
      <c r="B649" s="1654"/>
      <c r="C649" s="1667" t="s">
        <v>2013</v>
      </c>
      <c r="D649" s="1137"/>
      <c r="E649" s="1022"/>
      <c r="F649" s="1137"/>
      <c r="G649" s="1022"/>
      <c r="H649" s="1022"/>
      <c r="I649" s="1672"/>
      <c r="K649" s="1291"/>
    </row>
    <row r="650" spans="1:11" s="1066" customFormat="1" ht="15.95" customHeight="1">
      <c r="A650" s="1671"/>
      <c r="B650" s="1654"/>
      <c r="C650" s="1662" t="s">
        <v>2126</v>
      </c>
      <c r="D650" s="1137"/>
      <c r="E650" s="1022"/>
      <c r="F650" s="1137"/>
      <c r="G650" s="1022"/>
      <c r="H650" s="1022"/>
      <c r="I650" s="1035">
        <f>SUM(I635:I649)</f>
        <v>8288.6429071999992</v>
      </c>
      <c r="K650" s="1291"/>
    </row>
    <row r="651" spans="1:11" s="1066" customFormat="1" ht="12.75" customHeight="1">
      <c r="A651" s="1671"/>
      <c r="B651" s="1654"/>
      <c r="C651" s="1667" t="str">
        <f>Input!$C$48</f>
        <v>Overheads &amp; Contractors Profit @ 13.615%</v>
      </c>
      <c r="D651" s="1557">
        <f>Input!$D$48</f>
        <v>0.13614999999999999</v>
      </c>
      <c r="E651" s="1022"/>
      <c r="F651" s="1137">
        <f>I650</f>
        <v>8288.6429071999992</v>
      </c>
      <c r="G651" s="1022"/>
      <c r="H651" s="1022"/>
      <c r="I651" s="1062">
        <f>IF(G651="",D651*F651,(D651*F651/G651))</f>
        <v>1128.4987318152798</v>
      </c>
      <c r="K651" s="1291"/>
    </row>
    <row r="652" spans="1:11" s="1066" customFormat="1" ht="15.95" customHeight="1">
      <c r="A652" s="1671"/>
      <c r="B652" s="1654"/>
      <c r="C652" s="1667"/>
      <c r="D652" s="1137"/>
      <c r="E652" s="1022"/>
      <c r="F652" s="1137"/>
      <c r="G652" s="1022"/>
      <c r="H652" s="1022"/>
      <c r="I652" s="1672">
        <f>SUM(I650:I651)</f>
        <v>9417.141639015279</v>
      </c>
      <c r="K652" s="1291"/>
    </row>
    <row r="653" spans="1:11" s="1006" customFormat="1" ht="22.15" customHeight="1">
      <c r="A653" s="1671"/>
      <c r="B653" s="1654"/>
      <c r="C653" s="1088" t="s">
        <v>1525</v>
      </c>
      <c r="D653" s="1136"/>
      <c r="E653" s="1005"/>
      <c r="F653" s="1136"/>
      <c r="G653" s="1005"/>
      <c r="H653" s="1005"/>
      <c r="I653" s="1017">
        <f>I652/G625</f>
        <v>4982.6146238176079</v>
      </c>
      <c r="K653" s="1678"/>
    </row>
    <row r="654" spans="1:11" s="1006" customFormat="1" ht="25.9" customHeight="1">
      <c r="A654" s="1671"/>
      <c r="B654" s="1654"/>
      <c r="C654" s="1110"/>
      <c r="D654" s="1136"/>
      <c r="E654" s="1005"/>
      <c r="F654" s="1136"/>
      <c r="G654" s="2075" t="s">
        <v>1096</v>
      </c>
      <c r="H654" s="2075"/>
      <c r="I654" s="1661">
        <f>ROUND(I653,0)</f>
        <v>4983</v>
      </c>
      <c r="K654" s="1678"/>
    </row>
    <row r="655" spans="1:11" s="1066" customFormat="1" ht="15.75" customHeight="1">
      <c r="A655" s="1671"/>
      <c r="B655" s="1654"/>
      <c r="C655" s="1667"/>
      <c r="D655" s="1137"/>
      <c r="E655" s="1022"/>
      <c r="F655" s="1137"/>
      <c r="G655" s="1022"/>
      <c r="H655" s="1022"/>
      <c r="I655" s="1040"/>
      <c r="K655" s="1291"/>
    </row>
    <row r="656" spans="1:11" s="1066" customFormat="1" ht="115.15" customHeight="1">
      <c r="A656" s="2047">
        <f>1+A374</f>
        <v>6</v>
      </c>
      <c r="B656" s="2047"/>
      <c r="C656" s="2036" t="s">
        <v>3531</v>
      </c>
      <c r="D656" s="2036"/>
      <c r="E656" s="2036"/>
      <c r="F656" s="2036"/>
      <c r="G656" s="2036"/>
      <c r="H656" s="2036"/>
      <c r="I656" s="1662"/>
    </row>
    <row r="657" spans="1:16" s="1066" customFormat="1" ht="90" customHeight="1">
      <c r="A657" s="1671"/>
      <c r="B657" s="1654"/>
      <c r="C657" s="2037" t="s">
        <v>3532</v>
      </c>
      <c r="D657" s="2037"/>
      <c r="E657" s="2037"/>
      <c r="F657" s="2037"/>
      <c r="G657" s="2037"/>
      <c r="H657" s="2037"/>
      <c r="I657" s="1662"/>
      <c r="K657" s="2078"/>
      <c r="L657" s="2078"/>
      <c r="M657" s="2078"/>
      <c r="N657" s="2078"/>
      <c r="O657" s="2078"/>
      <c r="P657" s="2078"/>
    </row>
    <row r="658" spans="1:16" s="1066" customFormat="1" ht="15.95" customHeight="1">
      <c r="A658" s="1671"/>
      <c r="B658" s="1654"/>
      <c r="C658" s="1078" t="s">
        <v>1981</v>
      </c>
      <c r="D658" s="1022"/>
      <c r="E658" s="1022"/>
      <c r="F658" s="1022"/>
      <c r="G658" s="1022"/>
      <c r="H658" s="1022"/>
      <c r="I658" s="1671"/>
    </row>
    <row r="659" spans="1:16" s="1066" customFormat="1" ht="14.45" customHeight="1">
      <c r="A659" s="1671"/>
      <c r="B659" s="1654"/>
      <c r="C659" s="1662" t="s">
        <v>1935</v>
      </c>
      <c r="D659" s="1657" t="s">
        <v>1982</v>
      </c>
      <c r="E659" s="2045" t="s">
        <v>2127</v>
      </c>
      <c r="F659" s="2045"/>
      <c r="G659" s="2090">
        <f>0.8*2.1</f>
        <v>1.6800000000000002</v>
      </c>
      <c r="H659" s="2090"/>
      <c r="I659" s="1553" t="s">
        <v>94</v>
      </c>
    </row>
    <row r="660" spans="1:16" s="1066" customFormat="1" ht="14.45" customHeight="1">
      <c r="A660" s="1671"/>
      <c r="B660" s="1654"/>
      <c r="C660" s="1667" t="s">
        <v>1984</v>
      </c>
      <c r="D660" s="2077" t="s">
        <v>2092</v>
      </c>
      <c r="E660" s="2077"/>
      <c r="F660" s="2077"/>
      <c r="G660" s="2106"/>
      <c r="H660" s="2106"/>
      <c r="I660" s="1659"/>
    </row>
    <row r="661" spans="1:16" s="1066" customFormat="1" ht="14.45" customHeight="1">
      <c r="A661" s="1671"/>
      <c r="B661" s="1654"/>
      <c r="C661" s="1667"/>
      <c r="D661" s="2077" t="s">
        <v>2105</v>
      </c>
      <c r="E661" s="2077"/>
      <c r="F661" s="2077"/>
      <c r="G661" s="2105">
        <f>ROUND(4.22*0.1*0.065,5)</f>
        <v>2.743E-2</v>
      </c>
      <c r="H661" s="2105"/>
      <c r="I661" s="1659" t="s">
        <v>75</v>
      </c>
    </row>
    <row r="662" spans="1:16" s="1066" customFormat="1" ht="14.45" customHeight="1">
      <c r="A662" s="1671"/>
      <c r="B662" s="1654"/>
      <c r="C662" s="1667" t="s">
        <v>1987</v>
      </c>
      <c r="D662" s="2077" t="s">
        <v>2128</v>
      </c>
      <c r="E662" s="2077"/>
      <c r="F662" s="2077"/>
      <c r="G662" s="1676"/>
      <c r="H662" s="1676"/>
      <c r="I662" s="1659"/>
    </row>
    <row r="663" spans="1:16" s="1066" customFormat="1" ht="14.45" customHeight="1">
      <c r="A663" s="1671"/>
      <c r="B663" s="1654"/>
      <c r="C663" s="1667"/>
      <c r="D663" s="2077" t="s">
        <v>2129</v>
      </c>
      <c r="E663" s="2077"/>
      <c r="F663" s="2077"/>
      <c r="G663" s="2105">
        <f>ROUND(0.8*0.1*0.065,5)</f>
        <v>5.1999999999999998E-3</v>
      </c>
      <c r="H663" s="2105"/>
      <c r="I663" s="1659" t="s">
        <v>75</v>
      </c>
    </row>
    <row r="664" spans="1:16" s="1066" customFormat="1" ht="14.45" customHeight="1">
      <c r="A664" s="1671"/>
      <c r="B664" s="1654"/>
      <c r="C664" s="1667"/>
      <c r="D664" s="2077"/>
      <c r="E664" s="2077"/>
      <c r="F664" s="2077"/>
      <c r="G664" s="2104">
        <f>SUM(G661:G663)</f>
        <v>3.2629999999999999E-2</v>
      </c>
      <c r="H664" s="2104"/>
      <c r="I664" s="1553" t="s">
        <v>75</v>
      </c>
    </row>
    <row r="665" spans="1:16" s="1066" customFormat="1" ht="14.45" customHeight="1">
      <c r="A665" s="1671"/>
      <c r="B665" s="1654"/>
      <c r="C665" s="1667"/>
      <c r="D665" s="2077"/>
      <c r="E665" s="2077"/>
      <c r="F665" s="2077"/>
      <c r="G665" s="1676"/>
      <c r="H665" s="1674"/>
      <c r="I665" s="1553"/>
    </row>
    <row r="666" spans="1:16" s="1066" customFormat="1" ht="14.45" customHeight="1">
      <c r="A666" s="1671"/>
      <c r="B666" s="1654"/>
      <c r="C666" s="1667" t="s">
        <v>1994</v>
      </c>
      <c r="D666" s="2077" t="s">
        <v>2130</v>
      </c>
      <c r="E666" s="2077"/>
      <c r="F666" s="2077"/>
      <c r="G666" s="1676"/>
      <c r="H666" s="1677">
        <f>ROUND(0.7*2.05,3)</f>
        <v>1.4350000000000001</v>
      </c>
      <c r="I666" s="1553" t="s">
        <v>94</v>
      </c>
    </row>
    <row r="667" spans="1:16" s="1066" customFormat="1" ht="15.75" customHeight="1">
      <c r="A667" s="1671"/>
      <c r="B667" s="1654"/>
      <c r="C667" s="1662"/>
      <c r="D667" s="1556"/>
      <c r="E667" s="1078"/>
      <c r="F667" s="1556"/>
      <c r="G667" s="1022"/>
      <c r="H667" s="1078"/>
      <c r="I667" s="1035"/>
    </row>
    <row r="668" spans="1:16" s="1066" customFormat="1" ht="15.95" customHeight="1">
      <c r="A668" s="1671"/>
      <c r="B668" s="1654"/>
      <c r="C668" s="1662" t="s">
        <v>1965</v>
      </c>
      <c r="D668" s="1137"/>
      <c r="E668" s="1022"/>
      <c r="F668" s="1137"/>
      <c r="G668" s="1022"/>
      <c r="H668" s="1022"/>
      <c r="I668" s="1672"/>
    </row>
    <row r="669" spans="1:16" s="1066" customFormat="1" ht="18.600000000000001" customHeight="1">
      <c r="A669" s="1671"/>
      <c r="B669" s="1654"/>
      <c r="C669" s="1667" t="s">
        <v>2050</v>
      </c>
      <c r="D669" s="1557">
        <f>G661</f>
        <v>2.743E-2</v>
      </c>
      <c r="E669" s="1022" t="s">
        <v>75</v>
      </c>
      <c r="F669" s="1137">
        <f>'Civil-SOR'!$G$26</f>
        <v>91479</v>
      </c>
      <c r="G669" s="1022">
        <v>1</v>
      </c>
      <c r="H669" s="1022" t="s">
        <v>75</v>
      </c>
      <c r="I669" s="1062">
        <f t="shared" ref="I669:I683" si="35">IF(G669="",D669*F669,(D669*F669/G669))</f>
        <v>2509.2689700000001</v>
      </c>
      <c r="K669" s="1291"/>
    </row>
    <row r="670" spans="1:16" s="1066" customFormat="1" ht="18.600000000000001" customHeight="1">
      <c r="A670" s="1671"/>
      <c r="B670" s="1654"/>
      <c r="C670" s="1667" t="s">
        <v>2031</v>
      </c>
      <c r="D670" s="1557">
        <f>G663</f>
        <v>5.1999999999999998E-3</v>
      </c>
      <c r="E670" s="1022" t="s">
        <v>75</v>
      </c>
      <c r="F670" s="1137">
        <f>'Civil-SOR'!$G$25</f>
        <v>82331</v>
      </c>
      <c r="G670" s="1022">
        <v>1</v>
      </c>
      <c r="H670" s="1022" t="s">
        <v>75</v>
      </c>
      <c r="I670" s="1062">
        <f t="shared" si="35"/>
        <v>428.12119999999999</v>
      </c>
      <c r="K670" s="1291"/>
    </row>
    <row r="671" spans="1:16" s="1066" customFormat="1" ht="18.600000000000001" customHeight="1">
      <c r="A671" s="1671"/>
      <c r="B671" s="1654"/>
      <c r="C671" s="1667" t="s">
        <v>2033</v>
      </c>
      <c r="D671" s="1138">
        <f>H666</f>
        <v>1.4350000000000001</v>
      </c>
      <c r="E671" s="1022" t="s">
        <v>94</v>
      </c>
      <c r="F671" s="1137">
        <f>'Civil-SOR'!$G$114</f>
        <v>1334</v>
      </c>
      <c r="G671" s="1022">
        <v>1</v>
      </c>
      <c r="H671" s="1022" t="s">
        <v>94</v>
      </c>
      <c r="I671" s="1062">
        <f t="shared" si="35"/>
        <v>1914.29</v>
      </c>
      <c r="K671" s="1291"/>
    </row>
    <row r="672" spans="1:16" s="1066" customFormat="1" ht="18.600000000000001" customHeight="1">
      <c r="A672" s="1671"/>
      <c r="B672" s="1654"/>
      <c r="C672" s="1667" t="s">
        <v>2131</v>
      </c>
      <c r="D672" s="1076">
        <v>6</v>
      </c>
      <c r="E672" s="1022" t="s">
        <v>36</v>
      </c>
      <c r="F672" s="1137">
        <f>'Civil-SOR'!$G$385</f>
        <v>37</v>
      </c>
      <c r="G672" s="1022"/>
      <c r="H672" s="1022" t="s">
        <v>501</v>
      </c>
      <c r="I672" s="1062">
        <f t="shared" si="35"/>
        <v>222</v>
      </c>
      <c r="K672" s="1291"/>
    </row>
    <row r="673" spans="1:11" s="1066" customFormat="1" ht="18.600000000000001" customHeight="1">
      <c r="A673" s="1671"/>
      <c r="B673" s="1654"/>
      <c r="C673" s="1667" t="s">
        <v>2132</v>
      </c>
      <c r="D673" s="1076">
        <v>1</v>
      </c>
      <c r="E673" s="1022" t="s">
        <v>39</v>
      </c>
      <c r="F673" s="1137">
        <f>'Civil-SOR'!$G$152</f>
        <v>76</v>
      </c>
      <c r="G673" s="1022"/>
      <c r="H673" s="1022" t="s">
        <v>501</v>
      </c>
      <c r="I673" s="1062">
        <f t="shared" si="35"/>
        <v>76</v>
      </c>
      <c r="K673" s="1291"/>
    </row>
    <row r="674" spans="1:11" s="1066" customFormat="1" ht="18.600000000000001" customHeight="1">
      <c r="A674" s="1671"/>
      <c r="B674" s="1654"/>
      <c r="C674" s="1667" t="s">
        <v>2133</v>
      </c>
      <c r="D674" s="1076">
        <v>3</v>
      </c>
      <c r="E674" s="1022" t="s">
        <v>36</v>
      </c>
      <c r="F674" s="1137">
        <f>'Civil-SOR'!$G$159</f>
        <v>106</v>
      </c>
      <c r="G674" s="1022"/>
      <c r="H674" s="1022" t="s">
        <v>501</v>
      </c>
      <c r="I674" s="1062">
        <f t="shared" si="35"/>
        <v>318</v>
      </c>
      <c r="K674" s="1291"/>
    </row>
    <row r="675" spans="1:11" s="1066" customFormat="1" ht="18.600000000000001" customHeight="1">
      <c r="A675" s="1671"/>
      <c r="B675" s="1654"/>
      <c r="C675" s="1667" t="s">
        <v>2134</v>
      </c>
      <c r="D675" s="1076">
        <v>1</v>
      </c>
      <c r="E675" s="1677" t="s">
        <v>39</v>
      </c>
      <c r="F675" s="1137">
        <f>'Civil-SOR'!$G$171</f>
        <v>219</v>
      </c>
      <c r="G675" s="1022"/>
      <c r="H675" s="1022" t="s">
        <v>501</v>
      </c>
      <c r="I675" s="1062">
        <f t="shared" si="35"/>
        <v>219</v>
      </c>
      <c r="K675" s="1291"/>
    </row>
    <row r="676" spans="1:11" s="1066" customFormat="1" ht="18.600000000000001" customHeight="1">
      <c r="A676" s="1671"/>
      <c r="B676" s="1654"/>
      <c r="C676" s="1667" t="s">
        <v>2135</v>
      </c>
      <c r="D676" s="1076">
        <v>1</v>
      </c>
      <c r="E676" s="1022" t="s">
        <v>39</v>
      </c>
      <c r="F676" s="1137">
        <f>'Civil-SOR'!$G$163</f>
        <v>85</v>
      </c>
      <c r="G676" s="1022"/>
      <c r="H676" s="1022" t="s">
        <v>501</v>
      </c>
      <c r="I676" s="1062">
        <f t="shared" si="35"/>
        <v>85</v>
      </c>
      <c r="K676" s="1291"/>
    </row>
    <row r="677" spans="1:11" s="1066" customFormat="1" ht="18.600000000000001" customHeight="1">
      <c r="A677" s="1671"/>
      <c r="B677" s="1654"/>
      <c r="C677" s="1667" t="s">
        <v>2136</v>
      </c>
      <c r="D677" s="1076">
        <v>1</v>
      </c>
      <c r="E677" s="1022" t="s">
        <v>39</v>
      </c>
      <c r="F677" s="1137">
        <f>'Civil-SOR'!$G$386</f>
        <v>12</v>
      </c>
      <c r="G677" s="1022"/>
      <c r="H677" s="1022" t="s">
        <v>501</v>
      </c>
      <c r="I677" s="1062">
        <f t="shared" si="35"/>
        <v>12</v>
      </c>
      <c r="K677" s="1291"/>
    </row>
    <row r="678" spans="1:11" s="1066" customFormat="1" ht="18.600000000000001" customHeight="1">
      <c r="A678" s="1671"/>
      <c r="B678" s="1654"/>
      <c r="C678" s="1667" t="s">
        <v>2137</v>
      </c>
      <c r="D678" s="1138">
        <f>D671</f>
        <v>1.4350000000000001</v>
      </c>
      <c r="E678" s="1022" t="s">
        <v>94</v>
      </c>
      <c r="F678" s="1137">
        <f>'Civil-SOR'!$G$387</f>
        <v>170</v>
      </c>
      <c r="G678" s="1022">
        <v>1</v>
      </c>
      <c r="H678" s="1022" t="s">
        <v>94</v>
      </c>
      <c r="I678" s="1062">
        <f t="shared" si="35"/>
        <v>243.95000000000002</v>
      </c>
      <c r="K678" s="1291"/>
    </row>
    <row r="679" spans="1:11" s="1066" customFormat="1" ht="14.45" customHeight="1">
      <c r="A679" s="1671"/>
      <c r="B679" s="1654"/>
      <c r="C679" s="1667" t="s">
        <v>2138</v>
      </c>
      <c r="D679" s="1138">
        <f>D678</f>
        <v>1.4350000000000001</v>
      </c>
      <c r="E679" s="1022" t="s">
        <v>94</v>
      </c>
      <c r="F679" s="1137">
        <f>'Civil-SOR'!$G$388</f>
        <v>80</v>
      </c>
      <c r="G679" s="1022">
        <v>1</v>
      </c>
      <c r="H679" s="1022" t="s">
        <v>94</v>
      </c>
      <c r="I679" s="1062">
        <f t="shared" si="35"/>
        <v>114.80000000000001</v>
      </c>
      <c r="K679" s="1291"/>
    </row>
    <row r="680" spans="1:11" s="1066" customFormat="1" ht="15.95" customHeight="1">
      <c r="A680" s="1671"/>
      <c r="B680" s="1654"/>
      <c r="C680" s="1667" t="s">
        <v>2010</v>
      </c>
      <c r="D680" s="1196">
        <f>G664</f>
        <v>3.2629999999999999E-2</v>
      </c>
      <c r="E680" s="1022" t="s">
        <v>75</v>
      </c>
      <c r="F680" s="1137">
        <f>$I$8</f>
        <v>15027.85</v>
      </c>
      <c r="G680" s="1022">
        <v>1</v>
      </c>
      <c r="H680" s="1022" t="s">
        <v>75</v>
      </c>
      <c r="I680" s="1062">
        <f t="shared" si="35"/>
        <v>490.3587455</v>
      </c>
      <c r="K680" s="1291"/>
    </row>
    <row r="681" spans="1:11" s="1066" customFormat="1" ht="15.95" customHeight="1">
      <c r="A681" s="1671"/>
      <c r="B681" s="1654"/>
      <c r="C681" s="1667" t="str">
        <f>Input!$C$47</f>
        <v>Add for MA @ 40%</v>
      </c>
      <c r="D681" s="1137">
        <f>Input!$D$47</f>
        <v>0.4</v>
      </c>
      <c r="E681" s="1022"/>
      <c r="F681" s="1137">
        <f>I680</f>
        <v>490.3587455</v>
      </c>
      <c r="G681" s="1022"/>
      <c r="H681" s="1022"/>
      <c r="I681" s="1062">
        <f t="shared" si="35"/>
        <v>196.14349820000001</v>
      </c>
      <c r="K681" s="1291"/>
    </row>
    <row r="682" spans="1:11" s="1066" customFormat="1" ht="42" customHeight="1">
      <c r="A682" s="1671"/>
      <c r="B682" s="1654"/>
      <c r="C682" s="1667" t="str">
        <f>C647</f>
        <v>Labour charges for fixing flush door shutter to the frame ,  fixing the fixtures to the shutter       TBSC-T.I-25</v>
      </c>
      <c r="D682" s="1138">
        <f>H666</f>
        <v>1.4350000000000001</v>
      </c>
      <c r="E682" s="1022" t="s">
        <v>94</v>
      </c>
      <c r="F682" s="1137">
        <f>'Civil-SOR'!$G$206</f>
        <v>550</v>
      </c>
      <c r="G682" s="1022">
        <v>1</v>
      </c>
      <c r="H682" s="1022" t="s">
        <v>94</v>
      </c>
      <c r="I682" s="1062">
        <f t="shared" si="35"/>
        <v>789.25</v>
      </c>
      <c r="K682" s="1291"/>
    </row>
    <row r="683" spans="1:11" s="1066" customFormat="1" ht="17.45" customHeight="1">
      <c r="A683" s="1671"/>
      <c r="B683" s="1654"/>
      <c r="C683" s="1667" t="str">
        <f>Input!$C$47</f>
        <v>Add for MA @ 40%</v>
      </c>
      <c r="D683" s="1137">
        <f>Input!$D$47</f>
        <v>0.4</v>
      </c>
      <c r="E683" s="1022"/>
      <c r="F683" s="1137">
        <f>I682</f>
        <v>789.25</v>
      </c>
      <c r="G683" s="1022"/>
      <c r="H683" s="1022"/>
      <c r="I683" s="1062">
        <f t="shared" si="35"/>
        <v>315.70000000000005</v>
      </c>
      <c r="K683" s="1291"/>
    </row>
    <row r="684" spans="1:11" s="1066" customFormat="1" ht="13.15" customHeight="1">
      <c r="A684" s="1671"/>
      <c r="B684" s="1654"/>
      <c r="C684" s="1667" t="s">
        <v>2013</v>
      </c>
      <c r="D684" s="1137"/>
      <c r="E684" s="1022"/>
      <c r="F684" s="1137"/>
      <c r="G684" s="1022"/>
      <c r="H684" s="1022"/>
      <c r="I684" s="1672"/>
      <c r="K684" s="1291"/>
    </row>
    <row r="685" spans="1:11" s="1066" customFormat="1" ht="13.15" customHeight="1">
      <c r="A685" s="1671"/>
      <c r="B685" s="1654"/>
      <c r="C685" s="1662" t="s">
        <v>2139</v>
      </c>
      <c r="D685" s="1137"/>
      <c r="E685" s="1022"/>
      <c r="F685" s="1137"/>
      <c r="G685" s="1022"/>
      <c r="H685" s="1022"/>
      <c r="I685" s="1035">
        <f>SUM(I669:I684)</f>
        <v>7933.8824136999992</v>
      </c>
      <c r="K685" s="1291"/>
    </row>
    <row r="686" spans="1:11" s="1066" customFormat="1" ht="17.45" customHeight="1">
      <c r="A686" s="1671"/>
      <c r="B686" s="1654"/>
      <c r="C686" s="1667" t="str">
        <f>Input!$C$48</f>
        <v>Overheads &amp; Contractors Profit @ 13.615%</v>
      </c>
      <c r="D686" s="1557">
        <f>Input!$D$48</f>
        <v>0.13614999999999999</v>
      </c>
      <c r="E686" s="1022"/>
      <c r="F686" s="1137">
        <f>I685</f>
        <v>7933.8824136999992</v>
      </c>
      <c r="G686" s="1022"/>
      <c r="H686" s="1022"/>
      <c r="I686" s="1062">
        <f>IF(G686="",D686*F686,(D686*F686/G686))</f>
        <v>1080.1980906252547</v>
      </c>
      <c r="K686" s="1291"/>
    </row>
    <row r="687" spans="1:11" s="1066" customFormat="1" ht="15.95" customHeight="1">
      <c r="A687" s="1671"/>
      <c r="B687" s="1654"/>
      <c r="C687" s="1667"/>
      <c r="D687" s="1137"/>
      <c r="E687" s="1022"/>
      <c r="F687" s="1137"/>
      <c r="G687" s="1022"/>
      <c r="H687" s="1022"/>
      <c r="I687" s="1672">
        <f>SUM(I685:I686)</f>
        <v>9014.0805043252549</v>
      </c>
      <c r="K687" s="1291"/>
    </row>
    <row r="688" spans="1:11" s="1006" customFormat="1" ht="18.600000000000001" customHeight="1">
      <c r="A688" s="1671"/>
      <c r="B688" s="1654"/>
      <c r="C688" s="1088" t="s">
        <v>1525</v>
      </c>
      <c r="D688" s="1136"/>
      <c r="E688" s="1005"/>
      <c r="F688" s="1136"/>
      <c r="G688" s="1005"/>
      <c r="H688" s="1005"/>
      <c r="I688" s="1017">
        <f>I687/G659</f>
        <v>5365.524109717413</v>
      </c>
      <c r="K688" s="1678"/>
    </row>
    <row r="689" spans="1:11" s="1006" customFormat="1" ht="18.600000000000001" customHeight="1">
      <c r="A689" s="1671"/>
      <c r="B689" s="1654"/>
      <c r="C689" s="1110"/>
      <c r="D689" s="1136"/>
      <c r="E689" s="1005"/>
      <c r="F689" s="1136"/>
      <c r="G689" s="2090" t="s">
        <v>1034</v>
      </c>
      <c r="H689" s="2090"/>
      <c r="I689" s="1661">
        <f>ROUND(I688,0)</f>
        <v>5366</v>
      </c>
      <c r="K689" s="1678"/>
    </row>
    <row r="690" spans="1:11" s="1066" customFormat="1" ht="15.75" customHeight="1">
      <c r="A690" s="1671"/>
      <c r="B690" s="1654"/>
      <c r="C690" s="1667"/>
      <c r="D690" s="1137"/>
      <c r="E690" s="1022"/>
      <c r="F690" s="1137"/>
      <c r="G690" s="1022"/>
      <c r="H690" s="1654"/>
      <c r="I690" s="1040"/>
    </row>
    <row r="691" spans="1:11" s="1066" customFormat="1" ht="15.75" customHeight="1">
      <c r="A691" s="1671"/>
      <c r="B691" s="1654"/>
      <c r="C691" s="1667"/>
      <c r="D691" s="1137"/>
      <c r="E691" s="1022"/>
      <c r="F691" s="1137"/>
      <c r="G691" s="1022"/>
      <c r="H691" s="1654"/>
      <c r="I691" s="1040"/>
    </row>
    <row r="692" spans="1:11" s="1066" customFormat="1" ht="108" customHeight="1">
      <c r="A692" s="2047">
        <f>A656+1</f>
        <v>7</v>
      </c>
      <c r="B692" s="2047"/>
      <c r="C692" s="2036" t="s">
        <v>3531</v>
      </c>
      <c r="D692" s="2036"/>
      <c r="E692" s="2036"/>
      <c r="F692" s="2036"/>
      <c r="G692" s="2036"/>
      <c r="H692" s="2036"/>
      <c r="I692" s="1662"/>
    </row>
    <row r="693" spans="1:11" s="1066" customFormat="1" ht="84" customHeight="1">
      <c r="A693" s="1671"/>
      <c r="B693" s="1654"/>
      <c r="C693" s="2037" t="s">
        <v>3533</v>
      </c>
      <c r="D693" s="2037"/>
      <c r="E693" s="2037"/>
      <c r="F693" s="2037"/>
      <c r="G693" s="2037"/>
      <c r="H693" s="2037"/>
      <c r="I693" s="1662"/>
    </row>
    <row r="694" spans="1:11" s="1066" customFormat="1" ht="15.95" customHeight="1">
      <c r="A694" s="1671"/>
      <c r="B694" s="1654"/>
      <c r="C694" s="1078" t="s">
        <v>1981</v>
      </c>
      <c r="D694" s="1022"/>
      <c r="E694" s="1022"/>
      <c r="F694" s="1022"/>
      <c r="G694" s="1022"/>
      <c r="H694" s="1022"/>
      <c r="I694" s="1671"/>
    </row>
    <row r="695" spans="1:11" s="1066" customFormat="1" ht="16.899999999999999" customHeight="1">
      <c r="A695" s="1671"/>
      <c r="B695" s="1654"/>
      <c r="C695" s="1662" t="s">
        <v>1935</v>
      </c>
      <c r="D695" s="1556" t="s">
        <v>1982</v>
      </c>
      <c r="E695" s="2070" t="s">
        <v>2140</v>
      </c>
      <c r="F695" s="2070"/>
      <c r="G695" s="2090">
        <f>0.75*2.1</f>
        <v>1.5750000000000002</v>
      </c>
      <c r="H695" s="2090"/>
      <c r="I695" s="1553" t="s">
        <v>94</v>
      </c>
    </row>
    <row r="696" spans="1:11" s="1066" customFormat="1" ht="16.899999999999999" customHeight="1">
      <c r="A696" s="1671"/>
      <c r="B696" s="1654"/>
      <c r="C696" s="1667" t="s">
        <v>1984</v>
      </c>
      <c r="D696" s="2077" t="s">
        <v>2092</v>
      </c>
      <c r="E696" s="2077"/>
      <c r="F696" s="2077"/>
      <c r="G696" s="1676"/>
      <c r="H696" s="1676"/>
      <c r="I696" s="1659"/>
    </row>
    <row r="697" spans="1:11" s="1066" customFormat="1" ht="16.899999999999999" customHeight="1">
      <c r="A697" s="1671"/>
      <c r="B697" s="1654"/>
      <c r="C697" s="1667"/>
      <c r="D697" s="2077" t="s">
        <v>2105</v>
      </c>
      <c r="E697" s="2077"/>
      <c r="F697" s="2077"/>
      <c r="G697" s="2105">
        <f>ROUND(4.22*0.1*0.065,5)</f>
        <v>2.743E-2</v>
      </c>
      <c r="H697" s="2105"/>
      <c r="I697" s="1659" t="s">
        <v>75</v>
      </c>
    </row>
    <row r="698" spans="1:11" s="1066" customFormat="1" ht="16.899999999999999" customHeight="1">
      <c r="A698" s="1671"/>
      <c r="B698" s="1654"/>
      <c r="C698" s="1667" t="s">
        <v>1987</v>
      </c>
      <c r="D698" s="2077" t="s">
        <v>2141</v>
      </c>
      <c r="E698" s="2077"/>
      <c r="F698" s="2077"/>
      <c r="G698" s="2106"/>
      <c r="H698" s="2106"/>
      <c r="I698" s="1659"/>
    </row>
    <row r="699" spans="1:11" s="1066" customFormat="1" ht="16.899999999999999" customHeight="1">
      <c r="A699" s="1671"/>
      <c r="B699" s="1654"/>
      <c r="C699" s="1667"/>
      <c r="D699" s="2077" t="s">
        <v>2142</v>
      </c>
      <c r="E699" s="2077"/>
      <c r="F699" s="2077"/>
      <c r="G699" s="2105">
        <f>ROUND(0.75*0.1*0.065,5)</f>
        <v>4.8799999999999998E-3</v>
      </c>
      <c r="H699" s="2105"/>
      <c r="I699" s="1659" t="s">
        <v>75</v>
      </c>
    </row>
    <row r="700" spans="1:11" s="1066" customFormat="1" ht="16.899999999999999" customHeight="1">
      <c r="A700" s="1671"/>
      <c r="B700" s="1654"/>
      <c r="C700" s="1667"/>
      <c r="D700" s="2077"/>
      <c r="E700" s="2077"/>
      <c r="F700" s="2077"/>
      <c r="G700" s="2104">
        <f>SUM(G697:G699)</f>
        <v>3.2309999999999998E-2</v>
      </c>
      <c r="H700" s="2104"/>
      <c r="I700" s="1553" t="s">
        <v>75</v>
      </c>
    </row>
    <row r="701" spans="1:11" s="1066" customFormat="1" ht="16.899999999999999" customHeight="1">
      <c r="A701" s="1671"/>
      <c r="B701" s="1654"/>
      <c r="C701" s="1667" t="s">
        <v>2027</v>
      </c>
      <c r="D701" s="2077" t="s">
        <v>2143</v>
      </c>
      <c r="E701" s="2077"/>
      <c r="F701" s="2077"/>
      <c r="G701" s="2090">
        <f>ROUND(0.65*2.05,3)</f>
        <v>1.333</v>
      </c>
      <c r="H701" s="2090"/>
      <c r="I701" s="1553" t="s">
        <v>94</v>
      </c>
    </row>
    <row r="702" spans="1:11" s="1066" customFormat="1" ht="15.75" customHeight="1">
      <c r="A702" s="1671"/>
      <c r="B702" s="1654"/>
      <c r="C702" s="1662"/>
      <c r="D702" s="1556"/>
      <c r="E702" s="1078"/>
      <c r="F702" s="1556"/>
      <c r="G702" s="1022"/>
      <c r="H702" s="1078"/>
      <c r="I702" s="1035"/>
    </row>
    <row r="703" spans="1:11" s="1066" customFormat="1" ht="15.95" customHeight="1">
      <c r="A703" s="1671"/>
      <c r="B703" s="1654"/>
      <c r="C703" s="1662" t="s">
        <v>1965</v>
      </c>
      <c r="D703" s="1137"/>
      <c r="E703" s="1022"/>
      <c r="F703" s="1137"/>
      <c r="G703" s="1022"/>
      <c r="H703" s="1022"/>
      <c r="I703" s="1672"/>
    </row>
    <row r="704" spans="1:11" s="1066" customFormat="1" ht="17.45" customHeight="1">
      <c r="A704" s="1671"/>
      <c r="B704" s="1654"/>
      <c r="C704" s="1667" t="s">
        <v>2050</v>
      </c>
      <c r="D704" s="1557">
        <f>G697</f>
        <v>2.743E-2</v>
      </c>
      <c r="E704" s="1022" t="s">
        <v>75</v>
      </c>
      <c r="F704" s="1137">
        <f>'Civil-SOR'!$G$26</f>
        <v>91479</v>
      </c>
      <c r="G704" s="1022">
        <v>1</v>
      </c>
      <c r="H704" s="1022" t="s">
        <v>75</v>
      </c>
      <c r="I704" s="1062">
        <f t="shared" ref="I704:I718" si="36">IF(G704="",D704*F704,(D704*F704/G704))</f>
        <v>2509.2689700000001</v>
      </c>
      <c r="K704" s="1291"/>
    </row>
    <row r="705" spans="1:11" s="1066" customFormat="1" ht="17.45" customHeight="1">
      <c r="A705" s="1671"/>
      <c r="B705" s="1654"/>
      <c r="C705" s="1667" t="s">
        <v>2031</v>
      </c>
      <c r="D705" s="1557">
        <f>G699</f>
        <v>4.8799999999999998E-3</v>
      </c>
      <c r="E705" s="1022" t="s">
        <v>75</v>
      </c>
      <c r="F705" s="1137">
        <f>'Civil-SOR'!$G$25</f>
        <v>82331</v>
      </c>
      <c r="G705" s="1022">
        <v>1</v>
      </c>
      <c r="H705" s="1022" t="s">
        <v>75</v>
      </c>
      <c r="I705" s="1062">
        <f t="shared" si="36"/>
        <v>401.77528000000001</v>
      </c>
      <c r="K705" s="1291"/>
    </row>
    <row r="706" spans="1:11" s="1066" customFormat="1" ht="19.899999999999999" customHeight="1">
      <c r="A706" s="1671"/>
      <c r="B706" s="1654"/>
      <c r="C706" s="1667" t="s">
        <v>3601</v>
      </c>
      <c r="D706" s="1138">
        <f>G701</f>
        <v>1.333</v>
      </c>
      <c r="E706" s="1022" t="s">
        <v>94</v>
      </c>
      <c r="F706" s="1137">
        <f>'Civil-SOR'!$G$114</f>
        <v>1334</v>
      </c>
      <c r="G706" s="1022">
        <v>1</v>
      </c>
      <c r="H706" s="1022" t="s">
        <v>94</v>
      </c>
      <c r="I706" s="1062">
        <f t="shared" si="36"/>
        <v>1778.222</v>
      </c>
      <c r="K706" s="1291"/>
    </row>
    <row r="707" spans="1:11" s="1066" customFormat="1" ht="17.45" customHeight="1">
      <c r="A707" s="1671"/>
      <c r="B707" s="1654"/>
      <c r="C707" s="1667" t="s">
        <v>3602</v>
      </c>
      <c r="D707" s="1076">
        <v>6</v>
      </c>
      <c r="E707" s="1022" t="s">
        <v>36</v>
      </c>
      <c r="F707" s="1137">
        <f>'Civil-SOR'!$G$385</f>
        <v>37</v>
      </c>
      <c r="G707" s="1022"/>
      <c r="H707" s="1022" t="s">
        <v>501</v>
      </c>
      <c r="I707" s="1062">
        <f t="shared" si="36"/>
        <v>222</v>
      </c>
      <c r="K707" s="1291"/>
    </row>
    <row r="708" spans="1:11" s="1066" customFormat="1" ht="25.5">
      <c r="A708" s="1671"/>
      <c r="B708" s="1654"/>
      <c r="C708" s="1667" t="s">
        <v>2132</v>
      </c>
      <c r="D708" s="1076">
        <v>1</v>
      </c>
      <c r="E708" s="1022" t="s">
        <v>39</v>
      </c>
      <c r="F708" s="1137">
        <f>'Civil-SOR'!$G$152</f>
        <v>76</v>
      </c>
      <c r="G708" s="1022"/>
      <c r="H708" s="1022" t="s">
        <v>501</v>
      </c>
      <c r="I708" s="1062">
        <f t="shared" si="36"/>
        <v>76</v>
      </c>
      <c r="K708" s="1291"/>
    </row>
    <row r="709" spans="1:11" s="1066" customFormat="1" ht="25.5">
      <c r="A709" s="1671"/>
      <c r="B709" s="1654"/>
      <c r="C709" s="1667" t="s">
        <v>3604</v>
      </c>
      <c r="D709" s="1076">
        <v>3</v>
      </c>
      <c r="E709" s="1022" t="s">
        <v>36</v>
      </c>
      <c r="F709" s="1137">
        <f>'Civil-SOR'!$G$159</f>
        <v>106</v>
      </c>
      <c r="G709" s="1022"/>
      <c r="H709" s="1022" t="s">
        <v>501</v>
      </c>
      <c r="I709" s="1062">
        <f t="shared" si="36"/>
        <v>318</v>
      </c>
      <c r="K709" s="1291"/>
    </row>
    <row r="710" spans="1:11" s="1066" customFormat="1" ht="25.5">
      <c r="A710" s="1671"/>
      <c r="B710" s="1654"/>
      <c r="C710" s="1667" t="s">
        <v>2134</v>
      </c>
      <c r="D710" s="1076">
        <v>1</v>
      </c>
      <c r="E710" s="1022" t="s">
        <v>39</v>
      </c>
      <c r="F710" s="1137">
        <f>'Civil-SOR'!$G$171</f>
        <v>219</v>
      </c>
      <c r="G710" s="1022"/>
      <c r="H710" s="1022" t="s">
        <v>501</v>
      </c>
      <c r="I710" s="1062">
        <f t="shared" si="36"/>
        <v>219</v>
      </c>
      <c r="K710" s="1291"/>
    </row>
    <row r="711" spans="1:11" s="1066" customFormat="1" ht="25.5">
      <c r="A711" s="1671"/>
      <c r="B711" s="1654"/>
      <c r="C711" s="1667" t="s">
        <v>2135</v>
      </c>
      <c r="D711" s="1076">
        <v>1</v>
      </c>
      <c r="E711" s="1022" t="s">
        <v>39</v>
      </c>
      <c r="F711" s="1137">
        <f>'Civil-SOR'!$G$163</f>
        <v>85</v>
      </c>
      <c r="G711" s="1022"/>
      <c r="H711" s="1022" t="s">
        <v>501</v>
      </c>
      <c r="I711" s="1062">
        <f t="shared" si="36"/>
        <v>85</v>
      </c>
      <c r="K711" s="1291"/>
    </row>
    <row r="712" spans="1:11" s="1066" customFormat="1" ht="16.899999999999999" customHeight="1">
      <c r="A712" s="1671"/>
      <c r="B712" s="1654"/>
      <c r="C712" s="1667" t="s">
        <v>3603</v>
      </c>
      <c r="D712" s="1076">
        <v>1</v>
      </c>
      <c r="E712" s="1022" t="s">
        <v>39</v>
      </c>
      <c r="F712" s="1137">
        <f>'Civil-SOR'!$G$386</f>
        <v>12</v>
      </c>
      <c r="G712" s="1022"/>
      <c r="H712" s="1022" t="s">
        <v>501</v>
      </c>
      <c r="I712" s="1062">
        <f t="shared" si="36"/>
        <v>12</v>
      </c>
      <c r="K712" s="1291"/>
    </row>
    <row r="713" spans="1:11" s="1066" customFormat="1" ht="20.45" customHeight="1">
      <c r="A713" s="1671"/>
      <c r="B713" s="1654"/>
      <c r="C713" s="1667" t="s">
        <v>2137</v>
      </c>
      <c r="D713" s="1138">
        <f>D706</f>
        <v>1.333</v>
      </c>
      <c r="E713" s="1022" t="s">
        <v>94</v>
      </c>
      <c r="F713" s="1137">
        <f>'Civil-SOR'!$G$387</f>
        <v>170</v>
      </c>
      <c r="G713" s="1022">
        <v>1</v>
      </c>
      <c r="H713" s="1022" t="s">
        <v>94</v>
      </c>
      <c r="I713" s="1062">
        <f t="shared" si="36"/>
        <v>226.60999999999999</v>
      </c>
      <c r="K713" s="1291"/>
    </row>
    <row r="714" spans="1:11" s="1066" customFormat="1" ht="25.5">
      <c r="A714" s="1671"/>
      <c r="B714" s="1654"/>
      <c r="C714" s="1667" t="s">
        <v>2144</v>
      </c>
      <c r="D714" s="1138">
        <f>D713</f>
        <v>1.333</v>
      </c>
      <c r="E714" s="1022" t="s">
        <v>94</v>
      </c>
      <c r="F714" s="1137">
        <f>'Civil-SOR'!$G$388</f>
        <v>80</v>
      </c>
      <c r="G714" s="1022">
        <v>1</v>
      </c>
      <c r="H714" s="1022" t="s">
        <v>94</v>
      </c>
      <c r="I714" s="1062">
        <f t="shared" si="36"/>
        <v>106.64</v>
      </c>
      <c r="K714" s="1291"/>
    </row>
    <row r="715" spans="1:11" s="1066" customFormat="1" ht="18.600000000000001" customHeight="1">
      <c r="A715" s="1671"/>
      <c r="B715" s="1654"/>
      <c r="C715" s="1667" t="s">
        <v>2010</v>
      </c>
      <c r="D715" s="1673">
        <f>G700</f>
        <v>3.2309999999999998E-2</v>
      </c>
      <c r="E715" s="1022" t="s">
        <v>75</v>
      </c>
      <c r="F715" s="1137">
        <f>$I$8</f>
        <v>15027.85</v>
      </c>
      <c r="G715" s="1022">
        <v>1</v>
      </c>
      <c r="H715" s="1022" t="s">
        <v>75</v>
      </c>
      <c r="I715" s="1062">
        <f t="shared" si="36"/>
        <v>485.54983349999998</v>
      </c>
      <c r="K715" s="1291"/>
    </row>
    <row r="716" spans="1:11" s="1066" customFormat="1" ht="18.600000000000001" customHeight="1">
      <c r="A716" s="1671"/>
      <c r="B716" s="1654"/>
      <c r="C716" s="1667" t="str">
        <f>Input!$C$47</f>
        <v>Add for MA @ 40%</v>
      </c>
      <c r="D716" s="1137">
        <f>Input!$D$47</f>
        <v>0.4</v>
      </c>
      <c r="E716" s="1022"/>
      <c r="F716" s="1137">
        <f>I715</f>
        <v>485.54983349999998</v>
      </c>
      <c r="G716" s="1022"/>
      <c r="H716" s="1022"/>
      <c r="I716" s="1062">
        <f t="shared" si="36"/>
        <v>194.2199334</v>
      </c>
      <c r="K716" s="1291"/>
    </row>
    <row r="717" spans="1:11" s="1066" customFormat="1" ht="28.9" customHeight="1">
      <c r="A717" s="1671"/>
      <c r="B717" s="1654"/>
      <c r="C717" s="1667" t="s">
        <v>2145</v>
      </c>
      <c r="D717" s="1138">
        <f>G701</f>
        <v>1.333</v>
      </c>
      <c r="E717" s="1022" t="s">
        <v>94</v>
      </c>
      <c r="F717" s="1137">
        <f>'Civil-SOR'!$G$206</f>
        <v>550</v>
      </c>
      <c r="G717" s="1022">
        <v>1</v>
      </c>
      <c r="H717" s="1022" t="s">
        <v>94</v>
      </c>
      <c r="I717" s="1062">
        <f t="shared" si="36"/>
        <v>733.15</v>
      </c>
      <c r="K717" s="1291"/>
    </row>
    <row r="718" spans="1:11" s="1066" customFormat="1" ht="18" customHeight="1">
      <c r="A718" s="1671"/>
      <c r="B718" s="1654"/>
      <c r="C718" s="1667" t="str">
        <f>Input!$C$47</f>
        <v>Add for MA @ 40%</v>
      </c>
      <c r="D718" s="1137">
        <f>Input!$D$47</f>
        <v>0.4</v>
      </c>
      <c r="E718" s="1022"/>
      <c r="F718" s="1137">
        <f>I717</f>
        <v>733.15</v>
      </c>
      <c r="G718" s="1022"/>
      <c r="H718" s="1022"/>
      <c r="I718" s="1062">
        <f t="shared" si="36"/>
        <v>293.26</v>
      </c>
      <c r="K718" s="1291"/>
    </row>
    <row r="719" spans="1:11" s="1066" customFormat="1" ht="18" customHeight="1">
      <c r="A719" s="1671"/>
      <c r="B719" s="1654"/>
      <c r="C719" s="1667" t="s">
        <v>2013</v>
      </c>
      <c r="D719" s="1137"/>
      <c r="E719" s="1022"/>
      <c r="F719" s="1137"/>
      <c r="G719" s="1022"/>
      <c r="H719" s="1022"/>
      <c r="I719" s="1672"/>
      <c r="K719" s="1291"/>
    </row>
    <row r="720" spans="1:11" s="1066" customFormat="1" ht="18" customHeight="1">
      <c r="A720" s="1671"/>
      <c r="B720" s="1654"/>
      <c r="C720" s="1662" t="s">
        <v>2139</v>
      </c>
      <c r="D720" s="1137"/>
      <c r="E720" s="1022"/>
      <c r="F720" s="1137"/>
      <c r="G720" s="1022"/>
      <c r="H720" s="1022"/>
      <c r="I720" s="1035">
        <f>SUM(I704:I719)</f>
        <v>7660.6960168999994</v>
      </c>
      <c r="K720" s="1291"/>
    </row>
    <row r="721" spans="1:11" s="1066" customFormat="1" ht="18" customHeight="1">
      <c r="A721" s="1671"/>
      <c r="B721" s="1654"/>
      <c r="C721" s="1667" t="str">
        <f>Input!$C$48</f>
        <v>Overheads &amp; Contractors Profit @ 13.615%</v>
      </c>
      <c r="D721" s="1557">
        <f>Input!$D$48</f>
        <v>0.13614999999999999</v>
      </c>
      <c r="E721" s="1022"/>
      <c r="F721" s="1137">
        <f>I720</f>
        <v>7660.6960168999994</v>
      </c>
      <c r="G721" s="1022"/>
      <c r="H721" s="1022"/>
      <c r="I721" s="1062">
        <f>IF(G721="",D721*F721,(D721*F721/G721))</f>
        <v>1043.0037627009349</v>
      </c>
      <c r="K721" s="1291"/>
    </row>
    <row r="722" spans="1:11" s="1066" customFormat="1" ht="15.95" customHeight="1">
      <c r="A722" s="1671"/>
      <c r="B722" s="1654"/>
      <c r="C722" s="1667"/>
      <c r="D722" s="1137"/>
      <c r="E722" s="1022"/>
      <c r="F722" s="1137"/>
      <c r="G722" s="1022"/>
      <c r="H722" s="1022"/>
      <c r="I722" s="1672">
        <f>SUM(I720:I721)</f>
        <v>8703.6997796009346</v>
      </c>
      <c r="K722" s="1291"/>
    </row>
    <row r="723" spans="1:11" s="1066" customFormat="1" ht="15.95" customHeight="1">
      <c r="A723" s="1671"/>
      <c r="B723" s="1654"/>
      <c r="C723" s="1662" t="s">
        <v>1525</v>
      </c>
      <c r="D723" s="1137"/>
      <c r="E723" s="1022"/>
      <c r="F723" s="1137"/>
      <c r="G723" s="1022"/>
      <c r="H723" s="1022"/>
      <c r="I723" s="1672">
        <f>I722/G695</f>
        <v>5526.1585902228153</v>
      </c>
      <c r="K723" s="1291"/>
    </row>
    <row r="724" spans="1:11" s="1066" customFormat="1" ht="17.45" customHeight="1">
      <c r="A724" s="1671"/>
      <c r="B724" s="1654"/>
      <c r="C724" s="1667"/>
      <c r="D724" s="1137"/>
      <c r="E724" s="1022"/>
      <c r="F724" s="1137"/>
      <c r="G724" s="2090" t="s">
        <v>1034</v>
      </c>
      <c r="H724" s="2090"/>
      <c r="I724" s="1040">
        <f>ROUND(I723,0)</f>
        <v>5526</v>
      </c>
      <c r="K724" s="1291"/>
    </row>
    <row r="725" spans="1:11" s="1066" customFormat="1" ht="14.65" customHeight="1">
      <c r="A725" s="1671"/>
      <c r="B725" s="1654"/>
      <c r="C725" s="1667"/>
      <c r="D725" s="1137"/>
      <c r="E725" s="1022"/>
      <c r="F725" s="1137"/>
      <c r="G725" s="1022"/>
      <c r="H725" s="1654"/>
      <c r="I725" s="1040"/>
    </row>
    <row r="726" spans="1:11" s="1066" customFormat="1" ht="126.6" customHeight="1">
      <c r="A726" s="2047">
        <f>1+A656</f>
        <v>7</v>
      </c>
      <c r="B726" s="2047"/>
      <c r="C726" s="2036" t="s">
        <v>3534</v>
      </c>
      <c r="D726" s="2036"/>
      <c r="E726" s="2036"/>
      <c r="F726" s="2036"/>
      <c r="G726" s="2036"/>
      <c r="H726" s="2036"/>
      <c r="I726" s="1662"/>
    </row>
    <row r="727" spans="1:11" s="1066" customFormat="1" ht="106.15" customHeight="1">
      <c r="A727" s="1671"/>
      <c r="B727" s="1654"/>
      <c r="C727" s="2037" t="s">
        <v>3535</v>
      </c>
      <c r="D727" s="2037"/>
      <c r="E727" s="2037"/>
      <c r="F727" s="2037"/>
      <c r="G727" s="2037"/>
      <c r="H727" s="2037"/>
      <c r="I727" s="1662"/>
    </row>
    <row r="728" spans="1:11" s="1066" customFormat="1" ht="15" customHeight="1">
      <c r="A728" s="1671"/>
      <c r="B728" s="1654"/>
      <c r="C728" s="1078" t="s">
        <v>2146</v>
      </c>
      <c r="D728" s="1022"/>
      <c r="E728" s="1022"/>
      <c r="F728" s="1022"/>
      <c r="G728" s="1022"/>
      <c r="H728" s="1022"/>
      <c r="I728" s="1671"/>
    </row>
    <row r="729" spans="1:11" s="1066" customFormat="1" ht="13.9" customHeight="1">
      <c r="A729" s="1671"/>
      <c r="B729" s="1654"/>
      <c r="C729" s="1662" t="s">
        <v>1935</v>
      </c>
      <c r="D729" s="1137" t="s">
        <v>1982</v>
      </c>
      <c r="E729" s="2070" t="s">
        <v>2147</v>
      </c>
      <c r="F729" s="2070"/>
      <c r="G729" s="2090">
        <f>2*2.6</f>
        <v>5.2</v>
      </c>
      <c r="H729" s="2090"/>
      <c r="I729" s="1553" t="s">
        <v>94</v>
      </c>
    </row>
    <row r="730" spans="1:11" s="1066" customFormat="1" ht="12.6" customHeight="1">
      <c r="A730" s="1671"/>
      <c r="B730" s="1654"/>
      <c r="C730" s="1667" t="s">
        <v>2148</v>
      </c>
      <c r="D730" s="2077" t="s">
        <v>2149</v>
      </c>
      <c r="E730" s="2077"/>
      <c r="F730" s="2077"/>
      <c r="G730" s="2090">
        <f>2*2+2*2.6</f>
        <v>9.1999999999999993</v>
      </c>
      <c r="H730" s="2090"/>
      <c r="I730" s="1670" t="s">
        <v>197</v>
      </c>
    </row>
    <row r="731" spans="1:11" s="1066" customFormat="1" ht="13.15" customHeight="1">
      <c r="A731" s="1671"/>
      <c r="B731" s="1654"/>
      <c r="C731" s="1667" t="s">
        <v>2150</v>
      </c>
      <c r="D731" s="2077" t="s">
        <v>2151</v>
      </c>
      <c r="E731" s="2077"/>
      <c r="F731" s="2077"/>
      <c r="G731" s="2090">
        <f>1*0.5</f>
        <v>0.5</v>
      </c>
      <c r="H731" s="2090"/>
      <c r="I731" s="1670" t="s">
        <v>197</v>
      </c>
    </row>
    <row r="732" spans="1:11" s="1066" customFormat="1" ht="13.9" customHeight="1">
      <c r="A732" s="1671"/>
      <c r="B732" s="1654"/>
      <c r="C732" s="1667"/>
      <c r="D732" s="1659"/>
      <c r="E732" s="1670"/>
      <c r="F732" s="1670"/>
      <c r="G732" s="2076">
        <f>G730+G731</f>
        <v>9.6999999999999993</v>
      </c>
      <c r="H732" s="2076"/>
      <c r="I732" s="1670" t="s">
        <v>197</v>
      </c>
    </row>
    <row r="733" spans="1:11" s="1066" customFormat="1" ht="14.45" customHeight="1">
      <c r="A733" s="1671"/>
      <c r="B733" s="1654"/>
      <c r="C733" s="1667"/>
      <c r="D733" s="2077" t="s">
        <v>2152</v>
      </c>
      <c r="E733" s="2077"/>
      <c r="F733" s="2077"/>
      <c r="G733" s="2090">
        <f>ROUND(9.7*2.404,3)</f>
        <v>23.318999999999999</v>
      </c>
      <c r="H733" s="2090"/>
      <c r="I733" s="1670" t="s">
        <v>1637</v>
      </c>
    </row>
    <row r="734" spans="1:11" s="1066" customFormat="1" ht="14.45" customHeight="1">
      <c r="A734" s="1671"/>
      <c r="B734" s="1654"/>
      <c r="C734" s="2103" t="s">
        <v>2153</v>
      </c>
      <c r="D734" s="2077" t="s">
        <v>2154</v>
      </c>
      <c r="E734" s="2077"/>
      <c r="F734" s="2077"/>
      <c r="G734" s="2090">
        <f>4*2.1+2*2*1</f>
        <v>12.4</v>
      </c>
      <c r="H734" s="2090"/>
      <c r="I734" s="1670" t="s">
        <v>197</v>
      </c>
    </row>
    <row r="735" spans="1:11" s="1066" customFormat="1" ht="15.6" customHeight="1">
      <c r="A735" s="1671"/>
      <c r="B735" s="1654"/>
      <c r="C735" s="2103"/>
      <c r="D735" s="2077" t="s">
        <v>2155</v>
      </c>
      <c r="E735" s="2077"/>
      <c r="F735" s="2077"/>
      <c r="G735" s="2090">
        <f>ROUND(12.4*1.501,3)</f>
        <v>18.611999999999998</v>
      </c>
      <c r="H735" s="2090"/>
      <c r="I735" s="1670" t="s">
        <v>1637</v>
      </c>
    </row>
    <row r="736" spans="1:11" s="1066" customFormat="1" ht="13.9" customHeight="1">
      <c r="A736" s="1671"/>
      <c r="B736" s="1654"/>
      <c r="C736" s="1667" t="s">
        <v>2156</v>
      </c>
      <c r="D736" s="2077" t="s">
        <v>2075</v>
      </c>
      <c r="E736" s="2077"/>
      <c r="F736" s="2077"/>
      <c r="G736" s="1670"/>
      <c r="H736" s="1659">
        <f>2*1</f>
        <v>2</v>
      </c>
      <c r="I736" s="1670" t="s">
        <v>197</v>
      </c>
    </row>
    <row r="737" spans="1:11" s="1066" customFormat="1" ht="16.149999999999999" customHeight="1">
      <c r="A737" s="1671"/>
      <c r="B737" s="1654"/>
      <c r="C737" s="1667"/>
      <c r="D737" s="2077" t="s">
        <v>2157</v>
      </c>
      <c r="E737" s="2077"/>
      <c r="F737" s="2077"/>
      <c r="G737" s="1670"/>
      <c r="H737" s="1675">
        <f>ROUND(2*2.646,3)</f>
        <v>5.2919999999999998</v>
      </c>
      <c r="I737" s="1670" t="s">
        <v>1637</v>
      </c>
    </row>
    <row r="738" spans="1:11" s="1066" customFormat="1" ht="30" customHeight="1">
      <c r="A738" s="1671"/>
      <c r="B738" s="1654"/>
      <c r="C738" s="1667" t="s">
        <v>2158</v>
      </c>
      <c r="D738" s="2090" t="s">
        <v>2159</v>
      </c>
      <c r="E738" s="2090"/>
      <c r="F738" s="2090"/>
      <c r="G738" s="2090"/>
      <c r="H738" s="1659">
        <f>2*2*2*(1+0.5)+2*2*2*(1+1.2)+2*2*2*(1+0.9)</f>
        <v>44.8</v>
      </c>
      <c r="I738" s="1670" t="s">
        <v>197</v>
      </c>
    </row>
    <row r="739" spans="1:11" s="1066" customFormat="1" ht="16.149999999999999" customHeight="1">
      <c r="A739" s="1671"/>
      <c r="B739" s="1654"/>
      <c r="C739" s="1667"/>
      <c r="D739" s="2090" t="s">
        <v>2160</v>
      </c>
      <c r="E739" s="2090"/>
      <c r="F739" s="2090"/>
      <c r="G739" s="2090"/>
      <c r="H739" s="1675">
        <f>ROUND(44.8*0.101,3)</f>
        <v>4.5250000000000004</v>
      </c>
      <c r="I739" s="1670" t="s">
        <v>1637</v>
      </c>
    </row>
    <row r="740" spans="1:11" s="1066" customFormat="1" ht="13.9" customHeight="1">
      <c r="A740" s="1671"/>
      <c r="B740" s="1654"/>
      <c r="C740" s="1667"/>
      <c r="D740" s="2099"/>
      <c r="E740" s="2099"/>
      <c r="F740" s="2099"/>
      <c r="G740" s="2098">
        <f>G733+G735+H737+H739</f>
        <v>51.747999999999998</v>
      </c>
      <c r="H740" s="2098"/>
      <c r="I740" s="1670" t="s">
        <v>1637</v>
      </c>
    </row>
    <row r="741" spans="1:11" s="1066" customFormat="1" ht="14.45" customHeight="1">
      <c r="A741" s="1671"/>
      <c r="B741" s="1654"/>
      <c r="C741" s="1667" t="s">
        <v>120</v>
      </c>
      <c r="D741" s="2077" t="s">
        <v>1991</v>
      </c>
      <c r="E741" s="2077"/>
      <c r="F741" s="2077"/>
      <c r="G741" s="1556">
        <f>2*1*0.5</f>
        <v>1</v>
      </c>
      <c r="H741" s="1078" t="s">
        <v>2161</v>
      </c>
      <c r="I741" s="1672"/>
    </row>
    <row r="742" spans="1:11" s="1066" customFormat="1" ht="16.149999999999999" customHeight="1">
      <c r="A742" s="1671"/>
      <c r="B742" s="1654"/>
      <c r="C742" s="1667" t="s">
        <v>128</v>
      </c>
      <c r="D742" s="2077" t="s">
        <v>2162</v>
      </c>
      <c r="E742" s="2077"/>
      <c r="F742" s="2077"/>
      <c r="G742" s="1556">
        <f>2*1*1.2</f>
        <v>2.4</v>
      </c>
      <c r="H742" s="1078" t="s">
        <v>2161</v>
      </c>
      <c r="I742" s="1672"/>
    </row>
    <row r="743" spans="1:11" s="1066" customFormat="1" ht="15" customHeight="1">
      <c r="A743" s="1671"/>
      <c r="B743" s="1654"/>
      <c r="C743" s="1667" t="s">
        <v>2163</v>
      </c>
      <c r="D743" s="2077" t="s">
        <v>2164</v>
      </c>
      <c r="E743" s="2077"/>
      <c r="F743" s="2077"/>
      <c r="G743" s="1556">
        <f>2*1*0.9</f>
        <v>1.8</v>
      </c>
      <c r="H743" s="1078" t="s">
        <v>2161</v>
      </c>
      <c r="I743" s="1672"/>
    </row>
    <row r="744" spans="1:11" s="1066" customFormat="1" ht="14.45" customHeight="1">
      <c r="A744" s="1671"/>
      <c r="B744" s="1654"/>
      <c r="C744" s="1667" t="s">
        <v>386</v>
      </c>
      <c r="D744" s="2090" t="s">
        <v>2165</v>
      </c>
      <c r="E744" s="2090"/>
      <c r="F744" s="2090"/>
      <c r="G744" s="1556">
        <f>2*2*(1+0.5)+2*2*(1+1.2)</f>
        <v>14.8</v>
      </c>
      <c r="H744" s="1078" t="s">
        <v>197</v>
      </c>
      <c r="I744" s="1672"/>
    </row>
    <row r="745" spans="1:11" s="1066" customFormat="1" ht="13.9" customHeight="1">
      <c r="A745" s="1671"/>
      <c r="B745" s="1654"/>
      <c r="C745" s="1662" t="s">
        <v>1965</v>
      </c>
      <c r="D745" s="2090"/>
      <c r="E745" s="2090"/>
      <c r="F745" s="2090"/>
      <c r="G745" s="1022"/>
      <c r="H745" s="1022"/>
      <c r="I745" s="1672"/>
    </row>
    <row r="746" spans="1:11" s="1066" customFormat="1" ht="15.95" customHeight="1">
      <c r="A746" s="1671"/>
      <c r="B746" s="1654"/>
      <c r="C746" s="1662" t="s">
        <v>2166</v>
      </c>
      <c r="D746" s="1137"/>
      <c r="E746" s="1022"/>
      <c r="F746" s="1137"/>
      <c r="G746" s="1022"/>
      <c r="H746" s="1022"/>
      <c r="I746" s="1672"/>
    </row>
    <row r="747" spans="1:11" s="1066" customFormat="1" ht="15.95" customHeight="1">
      <c r="A747" s="1671"/>
      <c r="B747" s="1654"/>
      <c r="C747" s="1667" t="s">
        <v>2167</v>
      </c>
      <c r="D747" s="1138">
        <f t="shared" ref="D747:D751" si="37">G740</f>
        <v>51.747999999999998</v>
      </c>
      <c r="E747" s="1022" t="s">
        <v>1637</v>
      </c>
      <c r="F747" s="1137">
        <f>'Civil-SOR'!$G$186</f>
        <v>332</v>
      </c>
      <c r="G747" s="1022">
        <v>1</v>
      </c>
      <c r="H747" s="1022" t="s">
        <v>232</v>
      </c>
      <c r="I747" s="1062">
        <f t="shared" ref="I747:I756" si="38">IF(G747="",D747*F747,(D747*F747/G747))</f>
        <v>17180.335999999999</v>
      </c>
      <c r="K747" s="1291"/>
    </row>
    <row r="748" spans="1:11" s="1066" customFormat="1" ht="15.95" customHeight="1">
      <c r="A748" s="1671"/>
      <c r="B748" s="1654"/>
      <c r="C748" s="1667" t="s">
        <v>2168</v>
      </c>
      <c r="D748" s="1137">
        <f t="shared" si="37"/>
        <v>1</v>
      </c>
      <c r="E748" s="1022" t="s">
        <v>2161</v>
      </c>
      <c r="F748" s="1137">
        <f>'Civil-SOR'!$G$49</f>
        <v>568</v>
      </c>
      <c r="G748" s="1022">
        <v>1</v>
      </c>
      <c r="H748" s="1022" t="s">
        <v>2161</v>
      </c>
      <c r="I748" s="1062">
        <f t="shared" si="38"/>
        <v>568</v>
      </c>
      <c r="K748" s="1291"/>
    </row>
    <row r="749" spans="1:11" s="1066" customFormat="1" ht="15.95" customHeight="1">
      <c r="A749" s="1671"/>
      <c r="B749" s="1654"/>
      <c r="C749" s="1667" t="s">
        <v>2169</v>
      </c>
      <c r="D749" s="1137">
        <f t="shared" si="37"/>
        <v>2.4</v>
      </c>
      <c r="E749" s="1022" t="s">
        <v>2161</v>
      </c>
      <c r="F749" s="1137">
        <f>'Civil-SOR'!$G$53</f>
        <v>759</v>
      </c>
      <c r="G749" s="1022">
        <v>1</v>
      </c>
      <c r="H749" s="1022" t="s">
        <v>2161</v>
      </c>
      <c r="I749" s="1062">
        <f t="shared" si="38"/>
        <v>1821.6</v>
      </c>
      <c r="K749" s="1291"/>
    </row>
    <row r="750" spans="1:11" s="1066" customFormat="1" ht="15.6" customHeight="1">
      <c r="A750" s="1671"/>
      <c r="B750" s="1654"/>
      <c r="C750" s="1667" t="s">
        <v>2170</v>
      </c>
      <c r="D750" s="1137">
        <f t="shared" si="37"/>
        <v>1.8</v>
      </c>
      <c r="E750" s="1022" t="s">
        <v>2161</v>
      </c>
      <c r="F750" s="1137">
        <f>'Civil-SOR'!$G$78</f>
        <v>877</v>
      </c>
      <c r="G750" s="1022">
        <v>1</v>
      </c>
      <c r="H750" s="1022" t="s">
        <v>2161</v>
      </c>
      <c r="I750" s="1062">
        <f t="shared" si="38"/>
        <v>1578.6000000000001</v>
      </c>
      <c r="K750" s="1291"/>
    </row>
    <row r="751" spans="1:11" s="1066" customFormat="1" ht="15.95" customHeight="1">
      <c r="A751" s="1671"/>
      <c r="B751" s="1654"/>
      <c r="C751" s="1667" t="s">
        <v>2171</v>
      </c>
      <c r="D751" s="1137">
        <f t="shared" si="37"/>
        <v>14.8</v>
      </c>
      <c r="E751" s="1022" t="s">
        <v>197</v>
      </c>
      <c r="F751" s="1137">
        <f>'Civil-SOR'!$G$187</f>
        <v>5</v>
      </c>
      <c r="G751" s="1022">
        <v>1</v>
      </c>
      <c r="H751" s="1022" t="s">
        <v>197</v>
      </c>
      <c r="I751" s="1062">
        <f t="shared" si="38"/>
        <v>74</v>
      </c>
      <c r="K751" s="1291"/>
    </row>
    <row r="752" spans="1:11" s="1066" customFormat="1" ht="15.95" customHeight="1">
      <c r="A752" s="1671"/>
      <c r="B752" s="1654"/>
      <c r="C752" s="1667" t="s">
        <v>2172</v>
      </c>
      <c r="D752" s="1076">
        <v>2</v>
      </c>
      <c r="E752" s="1022" t="s">
        <v>36</v>
      </c>
      <c r="F752" s="1137">
        <f>'Civil-SOR'!$G$175</f>
        <v>3967</v>
      </c>
      <c r="G752" s="1022"/>
      <c r="H752" s="1022" t="s">
        <v>501</v>
      </c>
      <c r="I752" s="1062">
        <f t="shared" si="38"/>
        <v>7934</v>
      </c>
      <c r="K752" s="1291"/>
    </row>
    <row r="753" spans="1:11" s="1066" customFormat="1" ht="15.95" customHeight="1">
      <c r="A753" s="1671"/>
      <c r="B753" s="1654"/>
      <c r="C753" s="1667" t="s">
        <v>2173</v>
      </c>
      <c r="D753" s="1076">
        <v>4</v>
      </c>
      <c r="E753" s="1022" t="s">
        <v>36</v>
      </c>
      <c r="F753" s="1137">
        <f>'Civil-SOR'!$G$154</f>
        <v>125</v>
      </c>
      <c r="G753" s="1022"/>
      <c r="H753" s="1022" t="s">
        <v>501</v>
      </c>
      <c r="I753" s="1062">
        <f t="shared" si="38"/>
        <v>500</v>
      </c>
      <c r="K753" s="1291"/>
    </row>
    <row r="754" spans="1:11" s="1066" customFormat="1" ht="15.6" customHeight="1">
      <c r="A754" s="1671"/>
      <c r="B754" s="1654"/>
      <c r="C754" s="1667" t="s">
        <v>2174</v>
      </c>
      <c r="D754" s="1076">
        <v>4</v>
      </c>
      <c r="E754" s="1022" t="s">
        <v>36</v>
      </c>
      <c r="F754" s="1137">
        <f>'Civil-SOR'!$G$390</f>
        <v>100</v>
      </c>
      <c r="G754" s="1022"/>
      <c r="H754" s="1022" t="s">
        <v>501</v>
      </c>
      <c r="I754" s="1062">
        <f t="shared" si="38"/>
        <v>400</v>
      </c>
      <c r="K754" s="1291"/>
    </row>
    <row r="755" spans="1:11" s="1066" customFormat="1" ht="12.75" customHeight="1">
      <c r="A755" s="1671"/>
      <c r="B755" s="1654"/>
      <c r="C755" s="1667" t="s">
        <v>2175</v>
      </c>
      <c r="D755" s="1076">
        <v>2</v>
      </c>
      <c r="E755" s="1022" t="s">
        <v>36</v>
      </c>
      <c r="F755" s="1137">
        <f>'Civil-SOR'!$G$172</f>
        <v>239</v>
      </c>
      <c r="G755" s="1022"/>
      <c r="H755" s="1022" t="s">
        <v>501</v>
      </c>
      <c r="I755" s="1062">
        <f t="shared" si="38"/>
        <v>478</v>
      </c>
      <c r="K755" s="1291"/>
    </row>
    <row r="756" spans="1:11" s="1066" customFormat="1" ht="15.95" customHeight="1">
      <c r="A756" s="1671"/>
      <c r="B756" s="1654"/>
      <c r="C756" s="1662" t="s">
        <v>2176</v>
      </c>
      <c r="D756" s="1137">
        <f>G729</f>
        <v>5.2</v>
      </c>
      <c r="E756" s="1022" t="s">
        <v>2161</v>
      </c>
      <c r="F756" s="1137">
        <f>$I$23</f>
        <v>982.58759000000009</v>
      </c>
      <c r="G756" s="1022">
        <v>1</v>
      </c>
      <c r="H756" s="1022" t="s">
        <v>2161</v>
      </c>
      <c r="I756" s="1062">
        <f t="shared" si="38"/>
        <v>5109.455468000001</v>
      </c>
      <c r="K756" s="1291"/>
    </row>
    <row r="757" spans="1:11" s="1066" customFormat="1" ht="12.75" customHeight="1">
      <c r="A757" s="1671"/>
      <c r="B757" s="1654"/>
      <c r="C757" s="1667" t="s">
        <v>2177</v>
      </c>
      <c r="D757" s="1137" t="s">
        <v>1707</v>
      </c>
      <c r="E757" s="1022"/>
      <c r="F757" s="1137"/>
      <c r="G757" s="1022"/>
      <c r="H757" s="1022"/>
      <c r="I757" s="1672"/>
      <c r="K757" s="1291"/>
    </row>
    <row r="758" spans="1:11" s="1066" customFormat="1" ht="15.95" customHeight="1">
      <c r="A758" s="1671"/>
      <c r="B758" s="1654"/>
      <c r="C758" s="1662" t="s">
        <v>2178</v>
      </c>
      <c r="D758" s="1137"/>
      <c r="E758" s="1022"/>
      <c r="F758" s="1137"/>
      <c r="G758" s="1022"/>
      <c r="H758" s="1022"/>
      <c r="I758" s="1035">
        <f>SUM(I747:I757)</f>
        <v>35643.991468</v>
      </c>
      <c r="K758" s="1291"/>
    </row>
    <row r="759" spans="1:11" s="1066" customFormat="1" ht="12.75" customHeight="1">
      <c r="A759" s="1671"/>
      <c r="B759" s="1654"/>
      <c r="C759" s="1667" t="str">
        <f>Input!$C$48</f>
        <v>Overheads &amp; Contractors Profit @ 13.615%</v>
      </c>
      <c r="D759" s="1557">
        <f>Input!$D$48</f>
        <v>0.13614999999999999</v>
      </c>
      <c r="E759" s="1022"/>
      <c r="F759" s="1137">
        <f>I758</f>
        <v>35643.991468</v>
      </c>
      <c r="G759" s="1022"/>
      <c r="H759" s="1022"/>
      <c r="I759" s="1062">
        <f>IF(G759="",D759*F759,(D759*F759/G759))</f>
        <v>4852.9294383682</v>
      </c>
      <c r="K759" s="1678"/>
    </row>
    <row r="760" spans="1:11" s="1066" customFormat="1" ht="15.95" customHeight="1">
      <c r="A760" s="1671"/>
      <c r="B760" s="1654"/>
      <c r="C760" s="1667"/>
      <c r="D760" s="1137"/>
      <c r="E760" s="1022"/>
      <c r="F760" s="1137"/>
      <c r="G760" s="1022"/>
      <c r="H760" s="1022"/>
      <c r="I760" s="1672">
        <f>SUM(I758:I759)</f>
        <v>40496.920906368199</v>
      </c>
      <c r="K760" s="1678"/>
    </row>
    <row r="761" spans="1:11" s="1066" customFormat="1" ht="15.95" customHeight="1">
      <c r="A761" s="1671"/>
      <c r="B761" s="1654"/>
      <c r="C761" s="1662" t="s">
        <v>2179</v>
      </c>
      <c r="D761" s="1137"/>
      <c r="E761" s="1022"/>
      <c r="F761" s="1137"/>
      <c r="G761" s="1022"/>
      <c r="H761" s="1022"/>
      <c r="I761" s="1672">
        <f>I760/G729</f>
        <v>7787.8694050708073</v>
      </c>
      <c r="K761" s="1291"/>
    </row>
    <row r="762" spans="1:11" s="1066" customFormat="1" ht="15" customHeight="1">
      <c r="A762" s="1671"/>
      <c r="B762" s="1654"/>
      <c r="C762" s="1667"/>
      <c r="D762" s="1137"/>
      <c r="E762" s="1022"/>
      <c r="F762" s="1137"/>
      <c r="G762" s="2090" t="s">
        <v>1034</v>
      </c>
      <c r="H762" s="2090"/>
      <c r="I762" s="1049">
        <f>ROUND(I761,0)</f>
        <v>7788</v>
      </c>
      <c r="K762" s="1291"/>
    </row>
    <row r="763" spans="1:11" s="1066" customFormat="1" ht="8.25" customHeight="1">
      <c r="A763" s="1671"/>
      <c r="B763" s="1654"/>
      <c r="C763" s="1667"/>
      <c r="D763" s="1137"/>
      <c r="E763" s="1022"/>
      <c r="F763" s="1137"/>
      <c r="G763" s="1022"/>
      <c r="H763" s="1022"/>
      <c r="I763" s="1677"/>
    </row>
    <row r="764" spans="1:11" s="1066" customFormat="1" ht="8.25" customHeight="1">
      <c r="A764" s="1671"/>
      <c r="B764" s="1654"/>
      <c r="C764" s="1667"/>
      <c r="D764" s="1137"/>
      <c r="E764" s="1022"/>
      <c r="F764" s="1137"/>
      <c r="G764" s="1022"/>
      <c r="H764" s="1022"/>
      <c r="I764" s="1677"/>
    </row>
    <row r="765" spans="1:11" s="1066" customFormat="1" ht="142.9" customHeight="1">
      <c r="A765" s="2047">
        <f>A726+1</f>
        <v>8</v>
      </c>
      <c r="B765" s="2047"/>
      <c r="C765" s="2036" t="s">
        <v>3536</v>
      </c>
      <c r="D765" s="2036"/>
      <c r="E765" s="2036"/>
      <c r="F765" s="2036"/>
      <c r="G765" s="2036"/>
      <c r="H765" s="2036"/>
      <c r="I765" s="1662"/>
    </row>
    <row r="766" spans="1:11" s="1066" customFormat="1" ht="107.45" customHeight="1">
      <c r="A766" s="1671"/>
      <c r="B766" s="1654"/>
      <c r="C766" s="2037" t="s">
        <v>3537</v>
      </c>
      <c r="D766" s="2037"/>
      <c r="E766" s="2037"/>
      <c r="F766" s="2037"/>
      <c r="G766" s="2037"/>
      <c r="H766" s="2037"/>
      <c r="I766" s="1662"/>
    </row>
    <row r="767" spans="1:11" s="1066" customFormat="1" ht="15.95" customHeight="1">
      <c r="A767" s="1671"/>
      <c r="B767" s="1654"/>
      <c r="C767" s="1078" t="s">
        <v>2146</v>
      </c>
      <c r="D767" s="1022"/>
      <c r="E767" s="1022"/>
      <c r="F767" s="1022"/>
      <c r="G767" s="1022"/>
      <c r="H767" s="1022"/>
      <c r="I767" s="1671"/>
    </row>
    <row r="768" spans="1:11" s="1066" customFormat="1" ht="13.15" customHeight="1">
      <c r="A768" s="1671"/>
      <c r="B768" s="1654"/>
      <c r="C768" s="1662" t="s">
        <v>1935</v>
      </c>
      <c r="D768" s="1657" t="s">
        <v>1982</v>
      </c>
      <c r="E768" s="2045" t="s">
        <v>2021</v>
      </c>
      <c r="F768" s="2045"/>
      <c r="G768" s="2076">
        <f>1.8*2.6</f>
        <v>4.6800000000000006</v>
      </c>
      <c r="H768" s="2076"/>
      <c r="I768" s="1553" t="s">
        <v>94</v>
      </c>
    </row>
    <row r="769" spans="1:11" s="1066" customFormat="1" ht="14.45" customHeight="1">
      <c r="A769" s="1671"/>
      <c r="B769" s="1654"/>
      <c r="C769" s="1667" t="s">
        <v>2148</v>
      </c>
      <c r="D769" s="2077" t="s">
        <v>2180</v>
      </c>
      <c r="E769" s="2077"/>
      <c r="F769" s="2077"/>
      <c r="G769" s="2090">
        <f>2*1.8+2*2.6</f>
        <v>8.8000000000000007</v>
      </c>
      <c r="H769" s="2090"/>
      <c r="I769" s="1022" t="s">
        <v>197</v>
      </c>
    </row>
    <row r="770" spans="1:11" s="1066" customFormat="1" ht="14.45" customHeight="1">
      <c r="A770" s="1671"/>
      <c r="B770" s="1654"/>
      <c r="C770" s="1667" t="s">
        <v>2150</v>
      </c>
      <c r="D770" s="2077" t="s">
        <v>2151</v>
      </c>
      <c r="E770" s="2077"/>
      <c r="F770" s="2077"/>
      <c r="G770" s="2090">
        <f>1*0.5</f>
        <v>0.5</v>
      </c>
      <c r="H770" s="2090"/>
      <c r="I770" s="1022" t="s">
        <v>197</v>
      </c>
    </row>
    <row r="771" spans="1:11" s="1066" customFormat="1" ht="13.9" customHeight="1">
      <c r="A771" s="1671"/>
      <c r="B771" s="1654"/>
      <c r="C771" s="1667"/>
      <c r="D771" s="2099"/>
      <c r="E771" s="2099"/>
      <c r="F771" s="2099"/>
      <c r="G771" s="2090">
        <f>G769+G770</f>
        <v>9.3000000000000007</v>
      </c>
      <c r="H771" s="2090"/>
      <c r="I771" s="1022" t="s">
        <v>197</v>
      </c>
    </row>
    <row r="772" spans="1:11" s="1066" customFormat="1" ht="15" customHeight="1">
      <c r="A772" s="1671"/>
      <c r="B772" s="1654"/>
      <c r="C772" s="1667"/>
      <c r="D772" s="2077" t="s">
        <v>2181</v>
      </c>
      <c r="E772" s="2077"/>
      <c r="F772" s="2077"/>
      <c r="G772" s="1022"/>
      <c r="H772" s="1677">
        <f>ROUND(9.3*2.404,3)</f>
        <v>22.356999999999999</v>
      </c>
      <c r="I772" s="1658" t="s">
        <v>1637</v>
      </c>
    </row>
    <row r="773" spans="1:11" s="1066" customFormat="1" ht="15" customHeight="1">
      <c r="A773" s="1671"/>
      <c r="B773" s="1654"/>
      <c r="C773" s="2103" t="s">
        <v>2153</v>
      </c>
      <c r="D773" s="2077" t="s">
        <v>2182</v>
      </c>
      <c r="E773" s="2077"/>
      <c r="F773" s="2077"/>
      <c r="G773" s="1137">
        <f>4*2.1+2*2*0.9</f>
        <v>12</v>
      </c>
      <c r="H773" s="1022"/>
      <c r="I773" s="1022" t="s">
        <v>197</v>
      </c>
    </row>
    <row r="774" spans="1:11" s="1066" customFormat="1" ht="16.149999999999999" customHeight="1">
      <c r="A774" s="1671"/>
      <c r="B774" s="1654"/>
      <c r="C774" s="2103"/>
      <c r="D774" s="2099" t="s">
        <v>2183</v>
      </c>
      <c r="E774" s="2099"/>
      <c r="F774" s="2099"/>
      <c r="G774" s="1022"/>
      <c r="H774" s="1138">
        <f>ROUND(12*1.501,3)</f>
        <v>18.012</v>
      </c>
      <c r="I774" s="1670" t="s">
        <v>1637</v>
      </c>
    </row>
    <row r="775" spans="1:11" s="1066" customFormat="1" ht="13.9" customHeight="1">
      <c r="A775" s="1671"/>
      <c r="B775" s="1654"/>
      <c r="C775" s="1667" t="s">
        <v>2156</v>
      </c>
      <c r="D775" s="2077" t="s">
        <v>2083</v>
      </c>
      <c r="E775" s="2077"/>
      <c r="F775" s="2077"/>
      <c r="G775" s="1137">
        <f>2*0.9</f>
        <v>1.8</v>
      </c>
      <c r="H775" s="1022"/>
      <c r="I775" s="1022" t="s">
        <v>197</v>
      </c>
    </row>
    <row r="776" spans="1:11" s="1066" customFormat="1" ht="13.9" customHeight="1">
      <c r="A776" s="1671"/>
      <c r="B776" s="1654"/>
      <c r="C776" s="1667"/>
      <c r="D776" s="2099" t="s">
        <v>2184</v>
      </c>
      <c r="E776" s="2099"/>
      <c r="F776" s="2099"/>
      <c r="G776" s="1022"/>
      <c r="H776" s="1138">
        <f>ROUND(1.8*2.646,3)</f>
        <v>4.7629999999999999</v>
      </c>
      <c r="I776" s="1670" t="s">
        <v>1637</v>
      </c>
    </row>
    <row r="777" spans="1:11" s="1066" customFormat="1" ht="34.15" customHeight="1">
      <c r="A777" s="1671"/>
      <c r="B777" s="1654"/>
      <c r="C777" s="1667" t="s">
        <v>2158</v>
      </c>
      <c r="D777" s="2077" t="s">
        <v>2185</v>
      </c>
      <c r="E777" s="2077"/>
      <c r="F777" s="2077"/>
      <c r="G777" s="1137">
        <f>2*2*2*(0.9+0.5)+2*2*2*(0.9+1.2)+2*2*2*(0.9+0.9)</f>
        <v>42.4</v>
      </c>
      <c r="H777" s="1022"/>
      <c r="I777" s="1022" t="s">
        <v>197</v>
      </c>
    </row>
    <row r="778" spans="1:11" s="1066" customFormat="1" ht="16.149999999999999" customHeight="1">
      <c r="A778" s="1671"/>
      <c r="B778" s="1654"/>
      <c r="C778" s="1667"/>
      <c r="D778" s="2090" t="s">
        <v>2186</v>
      </c>
      <c r="E778" s="2090"/>
      <c r="F778" s="2090"/>
      <c r="G778" s="2090"/>
      <c r="H778" s="1677">
        <f>ROUND(42.4*0.101,3)</f>
        <v>4.282</v>
      </c>
      <c r="I778" s="1658" t="s">
        <v>1637</v>
      </c>
      <c r="K778" s="1066">
        <f>42.4*0.101</f>
        <v>4.2824</v>
      </c>
    </row>
    <row r="779" spans="1:11" s="1066" customFormat="1" ht="13.9" customHeight="1">
      <c r="A779" s="1671"/>
      <c r="B779" s="1654"/>
      <c r="C779" s="1667"/>
      <c r="D779" s="1137"/>
      <c r="E779" s="1022"/>
      <c r="F779" s="1137"/>
      <c r="G779" s="2098">
        <f>SUM(H772:H778)</f>
        <v>49.414000000000001</v>
      </c>
      <c r="H779" s="2098"/>
      <c r="I779" s="1658" t="s">
        <v>1637</v>
      </c>
    </row>
    <row r="780" spans="1:11" s="1066" customFormat="1" ht="14.45" customHeight="1">
      <c r="A780" s="1671"/>
      <c r="B780" s="1654"/>
      <c r="C780" s="1667" t="s">
        <v>120</v>
      </c>
      <c r="D780" s="2077" t="s">
        <v>2187</v>
      </c>
      <c r="E780" s="2077"/>
      <c r="F780" s="2077"/>
      <c r="G780" s="1022"/>
      <c r="H780" s="1556">
        <f>2*0.9*0.5</f>
        <v>0.9</v>
      </c>
      <c r="I780" s="1078" t="s">
        <v>2161</v>
      </c>
    </row>
    <row r="781" spans="1:11" s="1066" customFormat="1" ht="13.15" customHeight="1">
      <c r="A781" s="1671"/>
      <c r="B781" s="1654"/>
      <c r="C781" s="1667" t="s">
        <v>128</v>
      </c>
      <c r="D781" s="2077" t="s">
        <v>2188</v>
      </c>
      <c r="E781" s="2077"/>
      <c r="F781" s="2077"/>
      <c r="G781" s="1022"/>
      <c r="H781" s="1556">
        <f>2*0.9*1.2</f>
        <v>2.16</v>
      </c>
      <c r="I781" s="1078" t="s">
        <v>2161</v>
      </c>
    </row>
    <row r="782" spans="1:11" s="1066" customFormat="1" ht="14.45" customHeight="1">
      <c r="A782" s="1671"/>
      <c r="B782" s="1654"/>
      <c r="C782" s="1667" t="s">
        <v>2163</v>
      </c>
      <c r="D782" s="2077" t="s">
        <v>2189</v>
      </c>
      <c r="E782" s="2077"/>
      <c r="F782" s="2077"/>
      <c r="G782" s="1022"/>
      <c r="H782" s="1556">
        <f>2*0.9*0.9</f>
        <v>1.62</v>
      </c>
      <c r="I782" s="1078" t="s">
        <v>2161</v>
      </c>
    </row>
    <row r="783" spans="1:11" s="1066" customFormat="1" ht="15" customHeight="1">
      <c r="A783" s="1671"/>
      <c r="B783" s="1654"/>
      <c r="C783" s="1667" t="s">
        <v>386</v>
      </c>
      <c r="D783" s="2090" t="s">
        <v>2190</v>
      </c>
      <c r="E783" s="2090"/>
      <c r="F783" s="2090"/>
      <c r="G783" s="2090"/>
      <c r="H783" s="1556">
        <f>2*2*(0.9+0.5)+2*2*(0.9+1.2)</f>
        <v>14</v>
      </c>
      <c r="I783" s="1078" t="s">
        <v>197</v>
      </c>
    </row>
    <row r="784" spans="1:11" s="1066" customFormat="1" ht="15.95" customHeight="1">
      <c r="A784" s="1671"/>
      <c r="B784" s="1654"/>
      <c r="C784" s="1662" t="s">
        <v>1965</v>
      </c>
      <c r="D784" s="1137"/>
      <c r="E784" s="1022"/>
      <c r="F784" s="1137"/>
      <c r="G784" s="1022"/>
      <c r="H784" s="1022"/>
      <c r="I784" s="1672"/>
    </row>
    <row r="785" spans="1:9" s="1066" customFormat="1" ht="15.95" customHeight="1">
      <c r="A785" s="1671"/>
      <c r="B785" s="1654"/>
      <c r="C785" s="1662" t="s">
        <v>2166</v>
      </c>
      <c r="D785" s="1137"/>
      <c r="E785" s="1022"/>
      <c r="F785" s="1137"/>
      <c r="G785" s="1022"/>
      <c r="H785" s="1022"/>
      <c r="I785" s="1672"/>
    </row>
    <row r="786" spans="1:9" s="1066" customFormat="1" ht="15.6" customHeight="1">
      <c r="A786" s="1671"/>
      <c r="B786" s="1654"/>
      <c r="C786" s="1667" t="s">
        <v>2167</v>
      </c>
      <c r="D786" s="1138">
        <f>G779</f>
        <v>49.414000000000001</v>
      </c>
      <c r="E786" s="1022" t="s">
        <v>1637</v>
      </c>
      <c r="F786" s="1137">
        <f>'Civil-SOR'!$G$186</f>
        <v>332</v>
      </c>
      <c r="G786" s="1022">
        <v>1</v>
      </c>
      <c r="H786" s="1022" t="s">
        <v>1637</v>
      </c>
      <c r="I786" s="1062">
        <f t="shared" ref="I786:I795" si="39">IF(G786="",D786*F786,(D786*F786/G786))</f>
        <v>16405.448</v>
      </c>
    </row>
    <row r="787" spans="1:9" s="1066" customFormat="1" ht="15.6" customHeight="1">
      <c r="A787" s="1671"/>
      <c r="B787" s="1654"/>
      <c r="C787" s="1667" t="s">
        <v>2168</v>
      </c>
      <c r="D787" s="1137">
        <f t="shared" ref="D787:D790" si="40">H780</f>
        <v>0.9</v>
      </c>
      <c r="E787" s="1022" t="s">
        <v>2161</v>
      </c>
      <c r="F787" s="1137">
        <f>'Civil-SOR'!$G$49</f>
        <v>568</v>
      </c>
      <c r="G787" s="1022">
        <v>1</v>
      </c>
      <c r="H787" s="1022" t="s">
        <v>2161</v>
      </c>
      <c r="I787" s="1062">
        <f t="shared" si="39"/>
        <v>511.2</v>
      </c>
    </row>
    <row r="788" spans="1:9" s="1066" customFormat="1" ht="15.6" customHeight="1">
      <c r="A788" s="1671"/>
      <c r="B788" s="1654"/>
      <c r="C788" s="1667" t="s">
        <v>2169</v>
      </c>
      <c r="D788" s="1137">
        <f t="shared" si="40"/>
        <v>2.16</v>
      </c>
      <c r="E788" s="1022" t="s">
        <v>2161</v>
      </c>
      <c r="F788" s="1137">
        <f>'Civil-SOR'!$G$53</f>
        <v>759</v>
      </c>
      <c r="G788" s="1022">
        <v>1</v>
      </c>
      <c r="H788" s="1022" t="s">
        <v>2161</v>
      </c>
      <c r="I788" s="1062">
        <f t="shared" si="39"/>
        <v>1639.44</v>
      </c>
    </row>
    <row r="789" spans="1:9" s="1066" customFormat="1" ht="15.6" customHeight="1">
      <c r="A789" s="1671"/>
      <c r="B789" s="1654"/>
      <c r="C789" s="1667" t="s">
        <v>2170</v>
      </c>
      <c r="D789" s="1137">
        <f t="shared" si="40"/>
        <v>1.62</v>
      </c>
      <c r="E789" s="1022" t="s">
        <v>2161</v>
      </c>
      <c r="F789" s="1137">
        <f>'Civil-SOR'!$G$78</f>
        <v>877</v>
      </c>
      <c r="G789" s="1022">
        <v>1</v>
      </c>
      <c r="H789" s="1022" t="s">
        <v>2161</v>
      </c>
      <c r="I789" s="1062">
        <f t="shared" si="39"/>
        <v>1420.74</v>
      </c>
    </row>
    <row r="790" spans="1:9" s="1066" customFormat="1" ht="15.6" customHeight="1">
      <c r="A790" s="1671"/>
      <c r="B790" s="1654"/>
      <c r="C790" s="1667" t="s">
        <v>2171</v>
      </c>
      <c r="D790" s="1137">
        <f t="shared" si="40"/>
        <v>14</v>
      </c>
      <c r="E790" s="1022" t="s">
        <v>197</v>
      </c>
      <c r="F790" s="1137">
        <f>'Civil-SOR'!$G$187</f>
        <v>5</v>
      </c>
      <c r="G790" s="1022">
        <v>1</v>
      </c>
      <c r="H790" s="1022" t="s">
        <v>197</v>
      </c>
      <c r="I790" s="1062">
        <f t="shared" si="39"/>
        <v>70</v>
      </c>
    </row>
    <row r="791" spans="1:9" s="1066" customFormat="1" ht="15.6" customHeight="1">
      <c r="A791" s="1671"/>
      <c r="B791" s="1654"/>
      <c r="C791" s="1667" t="s">
        <v>2172</v>
      </c>
      <c r="D791" s="1076">
        <v>2</v>
      </c>
      <c r="E791" s="1022" t="s">
        <v>36</v>
      </c>
      <c r="F791" s="1137">
        <f>'Civil-SOR'!$G$175</f>
        <v>3967</v>
      </c>
      <c r="G791" s="1022"/>
      <c r="H791" s="1022" t="s">
        <v>501</v>
      </c>
      <c r="I791" s="1062">
        <f t="shared" si="39"/>
        <v>7934</v>
      </c>
    </row>
    <row r="792" spans="1:9" s="1066" customFormat="1" ht="15.6" customHeight="1">
      <c r="A792" s="1671"/>
      <c r="B792" s="1654"/>
      <c r="C792" s="1667" t="s">
        <v>2173</v>
      </c>
      <c r="D792" s="1076">
        <v>4</v>
      </c>
      <c r="E792" s="1022" t="s">
        <v>36</v>
      </c>
      <c r="F792" s="1137">
        <f>'Civil-SOR'!$G$154</f>
        <v>125</v>
      </c>
      <c r="G792" s="1022"/>
      <c r="H792" s="1022" t="s">
        <v>501</v>
      </c>
      <c r="I792" s="1062">
        <f t="shared" si="39"/>
        <v>500</v>
      </c>
    </row>
    <row r="793" spans="1:9" s="1066" customFormat="1" ht="14.45" customHeight="1">
      <c r="A793" s="1671"/>
      <c r="B793" s="1654"/>
      <c r="C793" s="1667" t="s">
        <v>2174</v>
      </c>
      <c r="D793" s="1076">
        <v>4</v>
      </c>
      <c r="E793" s="1022" t="s">
        <v>36</v>
      </c>
      <c r="F793" s="1137">
        <f>'Civil-SOR'!$G$390</f>
        <v>100</v>
      </c>
      <c r="G793" s="1022"/>
      <c r="H793" s="1022" t="s">
        <v>501</v>
      </c>
      <c r="I793" s="1062">
        <f t="shared" si="39"/>
        <v>400</v>
      </c>
    </row>
    <row r="794" spans="1:9" s="1066" customFormat="1" ht="14.45" customHeight="1">
      <c r="A794" s="1671"/>
      <c r="B794" s="1654"/>
      <c r="C794" s="1667" t="s">
        <v>2191</v>
      </c>
      <c r="D794" s="1076">
        <v>2</v>
      </c>
      <c r="E794" s="1022" t="s">
        <v>36</v>
      </c>
      <c r="F794" s="1137">
        <f>'Civil-SOR'!$G$172</f>
        <v>239</v>
      </c>
      <c r="G794" s="1022"/>
      <c r="H794" s="1022" t="s">
        <v>501</v>
      </c>
      <c r="I794" s="1062">
        <f t="shared" si="39"/>
        <v>478</v>
      </c>
    </row>
    <row r="795" spans="1:9" s="1066" customFormat="1" ht="15.95" customHeight="1">
      <c r="A795" s="1671"/>
      <c r="B795" s="1654"/>
      <c r="C795" s="1662" t="s">
        <v>2176</v>
      </c>
      <c r="D795" s="1137">
        <f>G768</f>
        <v>4.6800000000000006</v>
      </c>
      <c r="E795" s="1022" t="s">
        <v>2161</v>
      </c>
      <c r="F795" s="1137">
        <f>$I$23</f>
        <v>982.58759000000009</v>
      </c>
      <c r="G795" s="1022">
        <v>1</v>
      </c>
      <c r="H795" s="1022" t="s">
        <v>2161</v>
      </c>
      <c r="I795" s="1062">
        <f t="shared" si="39"/>
        <v>4598.5099212000014</v>
      </c>
    </row>
    <row r="796" spans="1:9" s="1066" customFormat="1" ht="12.75" customHeight="1">
      <c r="A796" s="1671"/>
      <c r="B796" s="1654"/>
      <c r="C796" s="1667" t="s">
        <v>2177</v>
      </c>
      <c r="D796" s="1672" t="s">
        <v>1707</v>
      </c>
      <c r="E796" s="1022"/>
      <c r="F796" s="1137"/>
      <c r="G796" s="1022"/>
      <c r="H796" s="1022"/>
      <c r="I796" s="1672"/>
    </row>
    <row r="797" spans="1:9" s="1066" customFormat="1" ht="15.95" customHeight="1">
      <c r="A797" s="1671"/>
      <c r="B797" s="1654"/>
      <c r="C797" s="1662" t="s">
        <v>2192</v>
      </c>
      <c r="D797" s="1137"/>
      <c r="E797" s="1022"/>
      <c r="F797" s="1137"/>
      <c r="G797" s="1022"/>
      <c r="H797" s="1022"/>
      <c r="I797" s="1035">
        <f>SUM(I786:I796)</f>
        <v>33957.3379212</v>
      </c>
    </row>
    <row r="798" spans="1:9" s="1066" customFormat="1" ht="15" customHeight="1">
      <c r="A798" s="1671"/>
      <c r="B798" s="1654"/>
      <c r="C798" s="1667" t="str">
        <f>Input!$C$48</f>
        <v>Overheads &amp; Contractors Profit @ 13.615%</v>
      </c>
      <c r="D798" s="1557">
        <f>Input!$D$48</f>
        <v>0.13614999999999999</v>
      </c>
      <c r="E798" s="1022"/>
      <c r="F798" s="1137">
        <f>I797</f>
        <v>33957.3379212</v>
      </c>
      <c r="G798" s="1022"/>
      <c r="H798" s="1022"/>
      <c r="I798" s="1062">
        <f>IF(G798="",D798*F798,(D798*F798/G798))</f>
        <v>4623.2915579713799</v>
      </c>
    </row>
    <row r="799" spans="1:9" s="1066" customFormat="1" ht="15.95" customHeight="1">
      <c r="A799" s="1671"/>
      <c r="B799" s="1654"/>
      <c r="C799" s="1667"/>
      <c r="D799" s="1137"/>
      <c r="E799" s="1022"/>
      <c r="F799" s="1137"/>
      <c r="G799" s="1022"/>
      <c r="H799" s="1022"/>
      <c r="I799" s="1672">
        <f>SUM(I797:I798)</f>
        <v>38580.629479171381</v>
      </c>
    </row>
    <row r="800" spans="1:9" s="1066" customFormat="1" ht="15.95" customHeight="1">
      <c r="A800" s="1671"/>
      <c r="B800" s="1654"/>
      <c r="C800" s="1662" t="s">
        <v>2179</v>
      </c>
      <c r="D800" s="1137"/>
      <c r="E800" s="1022"/>
      <c r="F800" s="1137"/>
      <c r="G800" s="1022"/>
      <c r="H800" s="1022"/>
      <c r="I800" s="1672">
        <f>I799/G768</f>
        <v>8243.724247686192</v>
      </c>
    </row>
    <row r="801" spans="1:9" s="1066" customFormat="1" ht="15" customHeight="1">
      <c r="A801" s="1671"/>
      <c r="B801" s="1654"/>
      <c r="C801" s="1667"/>
      <c r="D801" s="1137"/>
      <c r="E801" s="1022"/>
      <c r="F801" s="1137"/>
      <c r="G801" s="2090" t="s">
        <v>1034</v>
      </c>
      <c r="H801" s="2090"/>
      <c r="I801" s="1163">
        <f>ROUND(I800,0)</f>
        <v>8244</v>
      </c>
    </row>
    <row r="802" spans="1:9" s="1066" customFormat="1" ht="14.65" customHeight="1">
      <c r="A802" s="1671"/>
      <c r="B802" s="1654"/>
      <c r="C802" s="1667"/>
      <c r="D802" s="1137"/>
      <c r="E802" s="1022"/>
      <c r="F802" s="1137"/>
      <c r="G802" s="1022"/>
      <c r="H802" s="1654"/>
      <c r="I802" s="1040"/>
    </row>
    <row r="803" spans="1:9" s="1066" customFormat="1" ht="130.9" customHeight="1">
      <c r="A803" s="2047">
        <f>A765+1</f>
        <v>9</v>
      </c>
      <c r="B803" s="2047"/>
      <c r="C803" s="2067" t="s">
        <v>3538</v>
      </c>
      <c r="D803" s="2068"/>
      <c r="E803" s="2068"/>
      <c r="F803" s="2068"/>
      <c r="G803" s="2068"/>
      <c r="H803" s="2068"/>
      <c r="I803" s="2069"/>
    </row>
    <row r="804" spans="1:9" s="1066" customFormat="1" ht="94.5" customHeight="1">
      <c r="A804" s="1671"/>
      <c r="B804" s="1654"/>
      <c r="C804" s="2100" t="s">
        <v>3539</v>
      </c>
      <c r="D804" s="2101"/>
      <c r="E804" s="2101"/>
      <c r="F804" s="2101"/>
      <c r="G804" s="2101"/>
      <c r="H804" s="2101"/>
      <c r="I804" s="2102"/>
    </row>
    <row r="805" spans="1:9" s="1066" customFormat="1" ht="15.95" customHeight="1">
      <c r="A805" s="1671"/>
      <c r="B805" s="1654"/>
      <c r="C805" s="1078" t="s">
        <v>2193</v>
      </c>
      <c r="D805" s="1022"/>
      <c r="E805" s="1022"/>
      <c r="F805" s="1022"/>
      <c r="G805" s="1022"/>
      <c r="H805" s="1022"/>
      <c r="I805" s="1671"/>
    </row>
    <row r="806" spans="1:9" s="1066" customFormat="1" ht="14.45" customHeight="1">
      <c r="A806" s="1671"/>
      <c r="B806" s="1654"/>
      <c r="C806" s="1662" t="s">
        <v>1935</v>
      </c>
      <c r="D806" s="1657" t="s">
        <v>1982</v>
      </c>
      <c r="E806" s="2070" t="s">
        <v>2042</v>
      </c>
      <c r="F806" s="2070"/>
      <c r="G806" s="2076">
        <f>1.5*2.6</f>
        <v>3.9000000000000004</v>
      </c>
      <c r="H806" s="2076"/>
      <c r="I806" s="1553" t="s">
        <v>94</v>
      </c>
    </row>
    <row r="807" spans="1:9" s="1066" customFormat="1" ht="15" customHeight="1">
      <c r="A807" s="1671"/>
      <c r="B807" s="1654"/>
      <c r="C807" s="1667" t="s">
        <v>2148</v>
      </c>
      <c r="D807" s="2077" t="s">
        <v>2194</v>
      </c>
      <c r="E807" s="2077"/>
      <c r="F807" s="2077"/>
      <c r="G807" s="1137">
        <f>2*1.5+2*2.6</f>
        <v>8.1999999999999993</v>
      </c>
      <c r="H807" s="1137"/>
      <c r="I807" s="1022" t="s">
        <v>197</v>
      </c>
    </row>
    <row r="808" spans="1:9" s="1066" customFormat="1" ht="13.9" customHeight="1">
      <c r="A808" s="1671"/>
      <c r="B808" s="1654"/>
      <c r="C808" s="1667" t="s">
        <v>2150</v>
      </c>
      <c r="D808" s="2077" t="s">
        <v>2195</v>
      </c>
      <c r="E808" s="2077"/>
      <c r="F808" s="2077"/>
      <c r="G808" s="1137">
        <f>1*0.5</f>
        <v>0.5</v>
      </c>
      <c r="H808" s="1022"/>
      <c r="I808" s="1022" t="s">
        <v>197</v>
      </c>
    </row>
    <row r="809" spans="1:9" s="1066" customFormat="1" ht="13.9" customHeight="1">
      <c r="A809" s="1671"/>
      <c r="B809" s="1654"/>
      <c r="C809" s="1667"/>
      <c r="D809" s="2099"/>
      <c r="E809" s="2099"/>
      <c r="F809" s="2099"/>
      <c r="G809" s="1137">
        <f>SUM(G807:G808)</f>
        <v>8.6999999999999993</v>
      </c>
      <c r="H809" s="1137"/>
      <c r="I809" s="1022" t="s">
        <v>197</v>
      </c>
    </row>
    <row r="810" spans="1:9" s="1066" customFormat="1" ht="16.149999999999999" customHeight="1">
      <c r="A810" s="1671"/>
      <c r="B810" s="1654"/>
      <c r="C810" s="1667"/>
      <c r="D810" s="2077" t="s">
        <v>2196</v>
      </c>
      <c r="E810" s="2077"/>
      <c r="F810" s="2077"/>
      <c r="G810" s="1137"/>
      <c r="H810" s="1677">
        <f>ROUND(G809*2.404,3)</f>
        <v>20.914999999999999</v>
      </c>
      <c r="I810" s="1670" t="s">
        <v>1637</v>
      </c>
    </row>
    <row r="811" spans="1:9" s="1066" customFormat="1" ht="13.9" customHeight="1">
      <c r="A811" s="1671"/>
      <c r="B811" s="1654"/>
      <c r="C811" s="1667" t="s">
        <v>2153</v>
      </c>
      <c r="D811" s="2077" t="s">
        <v>2197</v>
      </c>
      <c r="E811" s="2077"/>
      <c r="F811" s="2077"/>
      <c r="G811" s="1137">
        <f>4*2.1+2*2*0.75</f>
        <v>11.4</v>
      </c>
      <c r="H811" s="1022"/>
      <c r="I811" s="1022" t="s">
        <v>197</v>
      </c>
    </row>
    <row r="812" spans="1:9" s="1066" customFormat="1" ht="15" customHeight="1">
      <c r="A812" s="1671"/>
      <c r="B812" s="1654"/>
      <c r="C812" s="1667" t="s">
        <v>575</v>
      </c>
      <c r="D812" s="2077" t="s">
        <v>2198</v>
      </c>
      <c r="E812" s="2077"/>
      <c r="F812" s="2077"/>
      <c r="G812" s="1022"/>
      <c r="H812" s="1138">
        <f>ROUND(G811*1.501,3)</f>
        <v>17.111000000000001</v>
      </c>
      <c r="I812" s="1670" t="s">
        <v>1637</v>
      </c>
    </row>
    <row r="813" spans="1:9" s="1066" customFormat="1" ht="13.9" customHeight="1">
      <c r="A813" s="1671"/>
      <c r="B813" s="1654"/>
      <c r="C813" s="1667" t="s">
        <v>2156</v>
      </c>
      <c r="D813" s="2077" t="s">
        <v>2199</v>
      </c>
      <c r="E813" s="2077"/>
      <c r="F813" s="2077"/>
      <c r="G813" s="1137">
        <v>1.5</v>
      </c>
      <c r="H813" s="1022"/>
      <c r="I813" s="1022" t="s">
        <v>197</v>
      </c>
    </row>
    <row r="814" spans="1:9" s="1066" customFormat="1" ht="13.9" customHeight="1">
      <c r="A814" s="1671"/>
      <c r="B814" s="1654"/>
      <c r="C814" s="1667"/>
      <c r="D814" s="2090" t="s">
        <v>2200</v>
      </c>
      <c r="E814" s="2090"/>
      <c r="F814" s="2090"/>
      <c r="G814" s="2090"/>
      <c r="H814" s="1138">
        <f>ROUND(G813*2.646,3)</f>
        <v>3.9689999999999999</v>
      </c>
      <c r="I814" s="1670" t="s">
        <v>1637</v>
      </c>
    </row>
    <row r="815" spans="1:9" s="1066" customFormat="1" ht="38.450000000000003" customHeight="1">
      <c r="A815" s="1671"/>
      <c r="B815" s="1654"/>
      <c r="C815" s="1667" t="s">
        <v>2158</v>
      </c>
      <c r="D815" s="2090" t="s">
        <v>2201</v>
      </c>
      <c r="E815" s="2090"/>
      <c r="F815" s="2090"/>
      <c r="G815" s="2090"/>
      <c r="H815" s="1137"/>
      <c r="I815" s="1022" t="s">
        <v>197</v>
      </c>
    </row>
    <row r="816" spans="1:9" s="1066" customFormat="1" ht="13.9" customHeight="1">
      <c r="A816" s="1671"/>
      <c r="B816" s="1654"/>
      <c r="C816" s="1667"/>
      <c r="D816" s="2090" t="s">
        <v>2202</v>
      </c>
      <c r="E816" s="2090"/>
      <c r="F816" s="2090"/>
      <c r="G816" s="2090"/>
      <c r="H816" s="1138">
        <f>ROUND(38.8*0.101,3)</f>
        <v>3.919</v>
      </c>
      <c r="I816" s="1670" t="s">
        <v>1637</v>
      </c>
    </row>
    <row r="817" spans="1:9" s="1066" customFormat="1" ht="12.6" customHeight="1">
      <c r="A817" s="1671"/>
      <c r="B817" s="1654"/>
      <c r="C817" s="1667"/>
      <c r="D817" s="1137"/>
      <c r="E817" s="1022"/>
      <c r="F817" s="1137"/>
      <c r="G817" s="2098">
        <f>SUM(H810:H816)</f>
        <v>45.913999999999994</v>
      </c>
      <c r="H817" s="2098"/>
      <c r="I817" s="1658" t="s">
        <v>1637</v>
      </c>
    </row>
    <row r="818" spans="1:9" s="1066" customFormat="1" ht="15" customHeight="1">
      <c r="A818" s="1671"/>
      <c r="B818" s="1654"/>
      <c r="C818" s="1667" t="s">
        <v>120</v>
      </c>
      <c r="D818" s="2077" t="s">
        <v>2203</v>
      </c>
      <c r="E818" s="2077"/>
      <c r="F818" s="2077"/>
      <c r="G818" s="2076">
        <f>2*0.75*0.5</f>
        <v>0.75</v>
      </c>
      <c r="H818" s="2076"/>
      <c r="I818" s="1658" t="s">
        <v>2161</v>
      </c>
    </row>
    <row r="819" spans="1:9" s="1066" customFormat="1" ht="15" customHeight="1">
      <c r="A819" s="1671"/>
      <c r="B819" s="1654"/>
      <c r="C819" s="1667" t="s">
        <v>128</v>
      </c>
      <c r="D819" s="2077" t="s">
        <v>2204</v>
      </c>
      <c r="E819" s="2077"/>
      <c r="F819" s="2077"/>
      <c r="G819" s="2076">
        <f>2*0.75*1.2</f>
        <v>1.7999999999999998</v>
      </c>
      <c r="H819" s="2076"/>
      <c r="I819" s="1658" t="s">
        <v>2161</v>
      </c>
    </row>
    <row r="820" spans="1:9" s="1066" customFormat="1" ht="15" customHeight="1">
      <c r="A820" s="1671"/>
      <c r="B820" s="1654"/>
      <c r="C820" s="1667" t="s">
        <v>2163</v>
      </c>
      <c r="D820" s="2077" t="s">
        <v>2205</v>
      </c>
      <c r="E820" s="2077"/>
      <c r="F820" s="2077"/>
      <c r="G820" s="2076">
        <f>2*0.75*0.9</f>
        <v>1.35</v>
      </c>
      <c r="H820" s="2076"/>
      <c r="I820" s="1658" t="s">
        <v>2161</v>
      </c>
    </row>
    <row r="821" spans="1:9" s="1066" customFormat="1" ht="15.6" customHeight="1">
      <c r="A821" s="1671"/>
      <c r="B821" s="1654"/>
      <c r="C821" s="1667" t="s">
        <v>386</v>
      </c>
      <c r="D821" s="2090" t="s">
        <v>2206</v>
      </c>
      <c r="E821" s="2090"/>
      <c r="F821" s="2090"/>
      <c r="G821" s="2090"/>
      <c r="H821" s="1556">
        <f>2*2*(0.75+0.5)+2*2*(0.75+1.2)</f>
        <v>12.8</v>
      </c>
      <c r="I821" s="1658" t="s">
        <v>197</v>
      </c>
    </row>
    <row r="822" spans="1:9" s="1066" customFormat="1" ht="15.95" customHeight="1">
      <c r="A822" s="1671"/>
      <c r="B822" s="1654"/>
      <c r="C822" s="1662" t="s">
        <v>1965</v>
      </c>
      <c r="D822" s="1137"/>
      <c r="E822" s="1022"/>
      <c r="F822" s="1137"/>
      <c r="G822" s="1022"/>
      <c r="H822" s="1022"/>
      <c r="I822" s="1672"/>
    </row>
    <row r="823" spans="1:9" s="1066" customFormat="1" ht="15.95" customHeight="1">
      <c r="A823" s="1671"/>
      <c r="B823" s="1654"/>
      <c r="C823" s="1662" t="s">
        <v>2166</v>
      </c>
      <c r="D823" s="1137"/>
      <c r="E823" s="1022"/>
      <c r="F823" s="1137"/>
      <c r="G823" s="1022"/>
      <c r="H823" s="1022"/>
      <c r="I823" s="1672"/>
    </row>
    <row r="824" spans="1:9" s="1066" customFormat="1" ht="14.45" customHeight="1">
      <c r="A824" s="1671"/>
      <c r="B824" s="1654"/>
      <c r="C824" s="1667" t="s">
        <v>2167</v>
      </c>
      <c r="D824" s="1137">
        <f t="shared" ref="D824:D827" si="41">G817</f>
        <v>45.913999999999994</v>
      </c>
      <c r="E824" s="1022" t="s">
        <v>1637</v>
      </c>
      <c r="F824" s="1137">
        <f>'Civil-SOR'!$G$186</f>
        <v>332</v>
      </c>
      <c r="G824" s="1022">
        <v>1</v>
      </c>
      <c r="H824" s="1022" t="s">
        <v>1637</v>
      </c>
      <c r="I824" s="1062">
        <f t="shared" ref="I824:I833" si="42">IF(G824="",D824*F824,(D824*F824/G824))</f>
        <v>15243.447999999999</v>
      </c>
    </row>
    <row r="825" spans="1:9" s="1066" customFormat="1" ht="14.45" customHeight="1">
      <c r="A825" s="1671"/>
      <c r="B825" s="1654"/>
      <c r="C825" s="1667" t="s">
        <v>2168</v>
      </c>
      <c r="D825" s="1137">
        <f t="shared" si="41"/>
        <v>0.75</v>
      </c>
      <c r="E825" s="1022" t="s">
        <v>2161</v>
      </c>
      <c r="F825" s="1137">
        <f>'Civil-SOR'!$G$49</f>
        <v>568</v>
      </c>
      <c r="G825" s="1022">
        <v>1</v>
      </c>
      <c r="H825" s="1022" t="s">
        <v>2161</v>
      </c>
      <c r="I825" s="1062">
        <f t="shared" si="42"/>
        <v>426</v>
      </c>
    </row>
    <row r="826" spans="1:9" s="1066" customFormat="1" ht="14.45" customHeight="1">
      <c r="A826" s="1671"/>
      <c r="B826" s="1654"/>
      <c r="C826" s="1667" t="s">
        <v>2169</v>
      </c>
      <c r="D826" s="1137">
        <f t="shared" si="41"/>
        <v>1.7999999999999998</v>
      </c>
      <c r="E826" s="1022" t="s">
        <v>2161</v>
      </c>
      <c r="F826" s="1137">
        <f>'Civil-SOR'!$G$53</f>
        <v>759</v>
      </c>
      <c r="G826" s="1022">
        <v>1</v>
      </c>
      <c r="H826" s="1022" t="s">
        <v>2161</v>
      </c>
      <c r="I826" s="1062">
        <f t="shared" si="42"/>
        <v>1366.1999999999998</v>
      </c>
    </row>
    <row r="827" spans="1:9" s="1066" customFormat="1" ht="14.45" customHeight="1">
      <c r="A827" s="1671"/>
      <c r="B827" s="1654"/>
      <c r="C827" s="1667" t="s">
        <v>2207</v>
      </c>
      <c r="D827" s="1137">
        <f t="shared" si="41"/>
        <v>1.35</v>
      </c>
      <c r="E827" s="1022" t="s">
        <v>2161</v>
      </c>
      <c r="F827" s="1137">
        <f>'Civil-SOR'!$G$78</f>
        <v>877</v>
      </c>
      <c r="G827" s="1022">
        <v>1</v>
      </c>
      <c r="H827" s="1022" t="s">
        <v>2161</v>
      </c>
      <c r="I827" s="1062">
        <f t="shared" si="42"/>
        <v>1183.95</v>
      </c>
    </row>
    <row r="828" spans="1:9" s="1066" customFormat="1" ht="14.45" customHeight="1">
      <c r="A828" s="1671"/>
      <c r="B828" s="1654"/>
      <c r="C828" s="1667" t="s">
        <v>2208</v>
      </c>
      <c r="D828" s="1137">
        <f>H821</f>
        <v>12.8</v>
      </c>
      <c r="E828" s="1022" t="s">
        <v>197</v>
      </c>
      <c r="F828" s="1137">
        <f>'Civil-SOR'!$G$187</f>
        <v>5</v>
      </c>
      <c r="G828" s="1022">
        <v>1</v>
      </c>
      <c r="H828" s="1022" t="s">
        <v>197</v>
      </c>
      <c r="I828" s="1062">
        <f t="shared" si="42"/>
        <v>64</v>
      </c>
    </row>
    <row r="829" spans="1:9" s="1066" customFormat="1" ht="14.45" customHeight="1">
      <c r="A829" s="1671"/>
      <c r="B829" s="1654"/>
      <c r="C829" s="1667" t="s">
        <v>2172</v>
      </c>
      <c r="D829" s="1076">
        <v>2</v>
      </c>
      <c r="E829" s="1022" t="s">
        <v>36</v>
      </c>
      <c r="F829" s="1137">
        <f>'Civil-SOR'!$G$175</f>
        <v>3967</v>
      </c>
      <c r="G829" s="1022"/>
      <c r="H829" s="1022" t="s">
        <v>501</v>
      </c>
      <c r="I829" s="1062">
        <f t="shared" si="42"/>
        <v>7934</v>
      </c>
    </row>
    <row r="830" spans="1:9" s="1066" customFormat="1" ht="14.45" customHeight="1">
      <c r="A830" s="1671"/>
      <c r="B830" s="1654"/>
      <c r="C830" s="1667" t="s">
        <v>2173</v>
      </c>
      <c r="D830" s="1076">
        <v>4</v>
      </c>
      <c r="E830" s="1022" t="s">
        <v>36</v>
      </c>
      <c r="F830" s="1137">
        <f>'Civil-SOR'!$G$154</f>
        <v>125</v>
      </c>
      <c r="G830" s="1022"/>
      <c r="H830" s="1022" t="s">
        <v>501</v>
      </c>
      <c r="I830" s="1062">
        <f t="shared" si="42"/>
        <v>500</v>
      </c>
    </row>
    <row r="831" spans="1:9" s="1066" customFormat="1" ht="14.45" customHeight="1">
      <c r="A831" s="1671"/>
      <c r="B831" s="1654"/>
      <c r="C831" s="1667" t="s">
        <v>2174</v>
      </c>
      <c r="D831" s="1076">
        <v>4</v>
      </c>
      <c r="E831" s="1022" t="s">
        <v>36</v>
      </c>
      <c r="F831" s="1137">
        <f>'Civil-SOR'!$G$390</f>
        <v>100</v>
      </c>
      <c r="G831" s="1022"/>
      <c r="H831" s="1022" t="s">
        <v>501</v>
      </c>
      <c r="I831" s="1062">
        <f t="shared" si="42"/>
        <v>400</v>
      </c>
    </row>
    <row r="832" spans="1:9" s="1066" customFormat="1" ht="14.45" customHeight="1">
      <c r="A832" s="1671"/>
      <c r="B832" s="1654"/>
      <c r="C832" s="1667" t="s">
        <v>2191</v>
      </c>
      <c r="D832" s="1076">
        <v>2</v>
      </c>
      <c r="E832" s="1022" t="s">
        <v>36</v>
      </c>
      <c r="F832" s="1137">
        <f>'Civil-SOR'!$G$172</f>
        <v>239</v>
      </c>
      <c r="G832" s="1022"/>
      <c r="H832" s="1022" t="s">
        <v>501</v>
      </c>
      <c r="I832" s="1062">
        <f t="shared" si="42"/>
        <v>478</v>
      </c>
    </row>
    <row r="833" spans="1:9" s="1066" customFormat="1" ht="14.45" customHeight="1">
      <c r="A833" s="1671"/>
      <c r="B833" s="1654"/>
      <c r="C833" s="1662" t="s">
        <v>2176</v>
      </c>
      <c r="D833" s="1137">
        <f>G806</f>
        <v>3.9000000000000004</v>
      </c>
      <c r="E833" s="1022" t="s">
        <v>2161</v>
      </c>
      <c r="F833" s="1137">
        <f>$I$23</f>
        <v>982.58759000000009</v>
      </c>
      <c r="G833" s="1022">
        <v>1</v>
      </c>
      <c r="H833" s="1022" t="s">
        <v>2161</v>
      </c>
      <c r="I833" s="1062">
        <f t="shared" si="42"/>
        <v>3832.0916010000005</v>
      </c>
    </row>
    <row r="834" spans="1:9" s="1066" customFormat="1" ht="12.6" customHeight="1">
      <c r="A834" s="1671"/>
      <c r="B834" s="1654"/>
      <c r="C834" s="1667" t="s">
        <v>2177</v>
      </c>
      <c r="D834" s="1137" t="s">
        <v>1707</v>
      </c>
      <c r="E834" s="1022"/>
      <c r="F834" s="1137"/>
      <c r="G834" s="1022"/>
      <c r="H834" s="1022"/>
      <c r="I834" s="1672"/>
    </row>
    <row r="835" spans="1:9" s="1066" customFormat="1" ht="14.45" customHeight="1">
      <c r="A835" s="1671"/>
      <c r="B835" s="1654"/>
      <c r="C835" s="1667" t="s">
        <v>2209</v>
      </c>
      <c r="D835" s="1137"/>
      <c r="E835" s="1022"/>
      <c r="F835" s="1137"/>
      <c r="G835" s="1022"/>
      <c r="H835" s="1022"/>
      <c r="I835" s="1035">
        <f>SUM(I824:I834)</f>
        <v>31427.689600999998</v>
      </c>
    </row>
    <row r="836" spans="1:9" s="1066" customFormat="1" ht="12.6" customHeight="1">
      <c r="A836" s="1671"/>
      <c r="B836" s="1654"/>
      <c r="C836" s="1667" t="str">
        <f>Input!$C$48</f>
        <v>Overheads &amp; Contractors Profit @ 13.615%</v>
      </c>
      <c r="D836" s="1557">
        <f>Input!$D$48</f>
        <v>0.13614999999999999</v>
      </c>
      <c r="E836" s="1022"/>
      <c r="F836" s="1137">
        <f>I835</f>
        <v>31427.689600999998</v>
      </c>
      <c r="G836" s="1022"/>
      <c r="H836" s="1022"/>
      <c r="I836" s="1062">
        <f>IF(G836="",D836*F836,(D836*F836/G836))</f>
        <v>4278.8799391761495</v>
      </c>
    </row>
    <row r="837" spans="1:9" s="1066" customFormat="1" ht="15.95" customHeight="1">
      <c r="A837" s="1671"/>
      <c r="B837" s="1654"/>
      <c r="C837" s="1667"/>
      <c r="D837" s="1137"/>
      <c r="E837" s="1022"/>
      <c r="F837" s="1137"/>
      <c r="G837" s="1022"/>
      <c r="H837" s="1022"/>
      <c r="I837" s="1672">
        <f>SUM(I835:I836)</f>
        <v>35706.569540176148</v>
      </c>
    </row>
    <row r="838" spans="1:9" s="1066" customFormat="1" ht="15.95" customHeight="1">
      <c r="A838" s="1671"/>
      <c r="B838" s="1654"/>
      <c r="C838" s="1662" t="s">
        <v>2179</v>
      </c>
      <c r="D838" s="1137"/>
      <c r="E838" s="1022"/>
      <c r="F838" s="1137"/>
      <c r="G838" s="1022"/>
      <c r="H838" s="1022"/>
      <c r="I838" s="1672">
        <f>I837/G806</f>
        <v>9155.5306513272171</v>
      </c>
    </row>
    <row r="839" spans="1:9" s="1066" customFormat="1" ht="15" customHeight="1">
      <c r="A839" s="1671"/>
      <c r="B839" s="1654"/>
      <c r="C839" s="1667"/>
      <c r="D839" s="1137"/>
      <c r="E839" s="1022"/>
      <c r="F839" s="1137"/>
      <c r="G839" s="2090" t="s">
        <v>1034</v>
      </c>
      <c r="H839" s="2090"/>
      <c r="I839" s="1163">
        <f>ROUND(I838,0)</f>
        <v>9156</v>
      </c>
    </row>
    <row r="840" spans="1:9" s="1066" customFormat="1" ht="14.65" customHeight="1">
      <c r="A840" s="1671"/>
      <c r="B840" s="1654"/>
      <c r="C840" s="1667"/>
      <c r="D840" s="1137"/>
      <c r="E840" s="1022"/>
      <c r="F840" s="1137"/>
      <c r="G840" s="1022"/>
      <c r="H840" s="1022"/>
      <c r="I840" s="1672"/>
    </row>
    <row r="841" spans="1:9" s="1066" customFormat="1" ht="159.6" customHeight="1">
      <c r="A841" s="2047">
        <f>A803+1</f>
        <v>10</v>
      </c>
      <c r="B841" s="2047"/>
      <c r="C841" s="2036" t="s">
        <v>3540</v>
      </c>
      <c r="D841" s="2036"/>
      <c r="E841" s="2036"/>
      <c r="F841" s="2036"/>
      <c r="G841" s="2036"/>
      <c r="H841" s="2036"/>
      <c r="I841" s="1022"/>
    </row>
    <row r="842" spans="1:9" s="1066" customFormat="1" ht="14.45" customHeight="1">
      <c r="A842" s="1671"/>
      <c r="B842" s="1654"/>
      <c r="C842" s="1677" t="s">
        <v>2210</v>
      </c>
      <c r="D842" s="1677">
        <v>1</v>
      </c>
      <c r="E842" s="1677" t="s">
        <v>46</v>
      </c>
      <c r="F842" s="1677">
        <f>'Civil-SOR'!$G$119</f>
        <v>11680</v>
      </c>
      <c r="G842" s="1677">
        <v>1</v>
      </c>
      <c r="H842" s="1677" t="s">
        <v>46</v>
      </c>
      <c r="I842" s="1062">
        <f t="shared" ref="I842:I843" si="43">IF(G842="",D842*F842,(D842*F842/G842))</f>
        <v>11680</v>
      </c>
    </row>
    <row r="843" spans="1:9" s="1066" customFormat="1" ht="14.45" customHeight="1">
      <c r="A843" s="1671"/>
      <c r="B843" s="1654"/>
      <c r="C843" s="1667" t="str">
        <f>Input!$C$48</f>
        <v>Overheads &amp; Contractors Profit @ 13.615%</v>
      </c>
      <c r="D843" s="1557">
        <f>Input!$D$48</f>
        <v>0.13614999999999999</v>
      </c>
      <c r="E843" s="1677"/>
      <c r="F843" s="1677">
        <f>I842</f>
        <v>11680</v>
      </c>
      <c r="G843" s="1677"/>
      <c r="H843" s="1677"/>
      <c r="I843" s="1062">
        <f t="shared" si="43"/>
        <v>1590.232</v>
      </c>
    </row>
    <row r="844" spans="1:9" s="1066" customFormat="1" ht="14.45" customHeight="1">
      <c r="A844" s="1671"/>
      <c r="B844" s="1654"/>
      <c r="C844" s="1677" t="s">
        <v>2179</v>
      </c>
      <c r="D844" s="1677"/>
      <c r="E844" s="1677"/>
      <c r="F844" s="1677"/>
      <c r="G844" s="1677"/>
      <c r="H844" s="1677"/>
      <c r="I844" s="1677">
        <f>SUM(I842:I843)</f>
        <v>13270.232</v>
      </c>
    </row>
    <row r="845" spans="1:9" s="1066" customFormat="1" ht="15" customHeight="1">
      <c r="A845" s="1671"/>
      <c r="B845" s="1654"/>
      <c r="C845" s="1677"/>
      <c r="D845" s="1677"/>
      <c r="E845" s="1677"/>
      <c r="F845" s="1677"/>
      <c r="G845" s="2090" t="s">
        <v>1034</v>
      </c>
      <c r="H845" s="2090"/>
      <c r="I845" s="1163">
        <f>ROUND(I844,0)</f>
        <v>13270</v>
      </c>
    </row>
    <row r="846" spans="1:9" s="1066" customFormat="1" ht="14.65" customHeight="1">
      <c r="A846" s="1560"/>
      <c r="B846" s="1561"/>
      <c r="C846" s="1562"/>
      <c r="D846" s="1563"/>
      <c r="E846" s="1564"/>
      <c r="F846" s="1563"/>
      <c r="G846" s="1564"/>
      <c r="H846" s="1564"/>
      <c r="I846" s="1565"/>
    </row>
    <row r="847" spans="1:9" s="1066" customFormat="1" ht="166.15" customHeight="1">
      <c r="A847" s="2095">
        <f>1+A726</f>
        <v>8</v>
      </c>
      <c r="B847" s="2095"/>
      <c r="C847" s="2096" t="s">
        <v>3541</v>
      </c>
      <c r="D847" s="2096"/>
      <c r="E847" s="2096"/>
      <c r="F847" s="2096"/>
      <c r="G847" s="2096"/>
      <c r="H847" s="2096"/>
      <c r="I847" s="2096"/>
    </row>
    <row r="848" spans="1:9" s="1066" customFormat="1" ht="15" customHeight="1">
      <c r="A848" s="1566"/>
      <c r="B848" s="1567"/>
      <c r="C848" s="1568" t="s">
        <v>1590</v>
      </c>
      <c r="D848" s="1569">
        <v>1</v>
      </c>
      <c r="E848" s="1570" t="s">
        <v>46</v>
      </c>
      <c r="F848" s="1569">
        <f>'Civil-SOR'!$G$120</f>
        <v>12459</v>
      </c>
      <c r="G848" s="1570">
        <v>1</v>
      </c>
      <c r="H848" s="1570" t="s">
        <v>46</v>
      </c>
      <c r="I848" s="1571">
        <f t="shared" ref="I848:I849" si="44">IF(G848="",D848*F848,(D848*F848/G848))</f>
        <v>12459</v>
      </c>
    </row>
    <row r="849" spans="1:10" s="1066" customFormat="1" ht="15" customHeight="1">
      <c r="A849" s="1566"/>
      <c r="B849" s="1567"/>
      <c r="C849" s="1568" t="str">
        <f>Input!$C$48</f>
        <v>Overheads &amp; Contractors Profit @ 13.615%</v>
      </c>
      <c r="D849" s="1572">
        <f>Input!$D$48</f>
        <v>0.13614999999999999</v>
      </c>
      <c r="E849" s="1679"/>
      <c r="F849" s="1679">
        <f>I848</f>
        <v>12459</v>
      </c>
      <c r="G849" s="1679"/>
      <c r="H849" s="1679"/>
      <c r="I849" s="1571">
        <f t="shared" si="44"/>
        <v>1696.2928499999998</v>
      </c>
    </row>
    <row r="850" spans="1:10" s="1066" customFormat="1" ht="15" customHeight="1">
      <c r="A850" s="1566"/>
      <c r="B850" s="1567"/>
      <c r="C850" s="1679" t="s">
        <v>2179</v>
      </c>
      <c r="D850" s="1679"/>
      <c r="E850" s="1679"/>
      <c r="F850" s="1679"/>
      <c r="G850" s="1679"/>
      <c r="H850" s="1679"/>
      <c r="I850" s="1679">
        <f>SUM(I848:I849)</f>
        <v>14155.29285</v>
      </c>
    </row>
    <row r="851" spans="1:10" s="1066" customFormat="1" ht="15" customHeight="1">
      <c r="A851" s="1566"/>
      <c r="B851" s="1567"/>
      <c r="C851" s="1679"/>
      <c r="D851" s="1679"/>
      <c r="E851" s="1679"/>
      <c r="F851" s="1679"/>
      <c r="G851" s="2097" t="s">
        <v>1034</v>
      </c>
      <c r="H851" s="2097"/>
      <c r="I851" s="1679">
        <f>ROUND(I850,0)</f>
        <v>14155</v>
      </c>
    </row>
    <row r="852" spans="1:10" s="1066" customFormat="1" ht="14.65" customHeight="1">
      <c r="A852" s="1573"/>
      <c r="B852" s="1574"/>
      <c r="C852" s="1575"/>
      <c r="D852" s="1576"/>
      <c r="E852" s="1577"/>
      <c r="F852" s="1576"/>
      <c r="G852" s="1577"/>
      <c r="H852" s="1577"/>
      <c r="I852" s="1578"/>
    </row>
    <row r="853" spans="1:10" s="1066" customFormat="1" ht="214.9" customHeight="1">
      <c r="A853" s="2047">
        <f>A847+1</f>
        <v>9</v>
      </c>
      <c r="B853" s="2047"/>
      <c r="C853" s="2036" t="s">
        <v>3542</v>
      </c>
      <c r="D853" s="2036"/>
      <c r="E853" s="2036"/>
      <c r="F853" s="2036"/>
      <c r="G853" s="2036"/>
      <c r="H853" s="2036"/>
      <c r="I853" s="1662"/>
    </row>
    <row r="854" spans="1:10" s="1066" customFormat="1" ht="18" customHeight="1">
      <c r="A854" s="1671"/>
      <c r="B854" s="1654"/>
      <c r="C854" s="1667" t="s">
        <v>2211</v>
      </c>
      <c r="D854" s="1137">
        <v>1</v>
      </c>
      <c r="E854" s="1022" t="s">
        <v>46</v>
      </c>
      <c r="F854" s="1137">
        <f>'Civil-SOR'!$G$117</f>
        <v>7538</v>
      </c>
      <c r="G854" s="1137">
        <v>1</v>
      </c>
      <c r="H854" s="1022" t="s">
        <v>46</v>
      </c>
      <c r="I854" s="1062">
        <f t="shared" ref="I854:I855" si="45">IF(G854="",D854*F854,(D854*F854/G854))</f>
        <v>7538</v>
      </c>
    </row>
    <row r="855" spans="1:10" s="1066" customFormat="1" ht="18" customHeight="1">
      <c r="A855" s="1671"/>
      <c r="B855" s="1654"/>
      <c r="C855" s="1667" t="str">
        <f>Input!$C$48</f>
        <v>Overheads &amp; Contractors Profit @ 13.615%</v>
      </c>
      <c r="D855" s="1557">
        <f>Input!$D$48</f>
        <v>0.13614999999999999</v>
      </c>
      <c r="E855" s="1022"/>
      <c r="F855" s="1137">
        <f>I854</f>
        <v>7538</v>
      </c>
      <c r="G855" s="1137"/>
      <c r="H855" s="1022"/>
      <c r="I855" s="1062">
        <f t="shared" si="45"/>
        <v>1026.2987000000001</v>
      </c>
    </row>
    <row r="856" spans="1:10" s="1066" customFormat="1" ht="18" customHeight="1">
      <c r="A856" s="1671"/>
      <c r="B856" s="1654"/>
      <c r="C856" s="1662" t="s">
        <v>1721</v>
      </c>
      <c r="D856" s="1137"/>
      <c r="E856" s="1022"/>
      <c r="F856" s="1137"/>
      <c r="G856" s="1137"/>
      <c r="H856" s="1022"/>
      <c r="I856" s="1672">
        <f>SUM(I854:I855)</f>
        <v>8564.2986999999994</v>
      </c>
    </row>
    <row r="857" spans="1:10" s="1066" customFormat="1" ht="15" customHeight="1">
      <c r="A857" s="1671"/>
      <c r="B857" s="1654"/>
      <c r="C857" s="1667"/>
      <c r="D857" s="1137"/>
      <c r="E857" s="1022"/>
      <c r="F857" s="1137"/>
      <c r="G857" s="2090" t="s">
        <v>1034</v>
      </c>
      <c r="H857" s="2090"/>
      <c r="I857" s="1040">
        <f>ROUND(I856,0)</f>
        <v>8564</v>
      </c>
    </row>
    <row r="858" spans="1:10" s="1066" customFormat="1" ht="14.65" customHeight="1">
      <c r="A858" s="1671"/>
      <c r="B858" s="1654"/>
      <c r="C858" s="1667"/>
      <c r="D858" s="1137"/>
      <c r="E858" s="1022"/>
      <c r="F858" s="1137"/>
      <c r="G858" s="1022"/>
      <c r="H858" s="1022"/>
      <c r="I858" s="1672"/>
    </row>
    <row r="859" spans="1:10" s="1066" customFormat="1" ht="252.6" customHeight="1">
      <c r="A859" s="2047">
        <f>1+A853</f>
        <v>10</v>
      </c>
      <c r="B859" s="2047"/>
      <c r="C859" s="2092" t="s">
        <v>2212</v>
      </c>
      <c r="D859" s="2093"/>
      <c r="E859" s="2093"/>
      <c r="F859" s="2093"/>
      <c r="G859" s="2093"/>
      <c r="H859" s="2094"/>
      <c r="I859" s="1667"/>
    </row>
    <row r="860" spans="1:10" s="1066" customFormat="1" ht="19.899999999999999" customHeight="1">
      <c r="A860" s="1671"/>
      <c r="B860" s="1654"/>
      <c r="C860" s="1667" t="s">
        <v>2213</v>
      </c>
      <c r="D860" s="1137">
        <v>1</v>
      </c>
      <c r="E860" s="1022" t="s">
        <v>46</v>
      </c>
      <c r="F860" s="1137">
        <f>'Civil-SOR'!$G$135</f>
        <v>8638</v>
      </c>
      <c r="G860" s="1137">
        <v>1</v>
      </c>
      <c r="H860" s="1022" t="s">
        <v>46</v>
      </c>
      <c r="I860" s="1062">
        <f t="shared" ref="I860:I861" si="46">IF(G860="",D860*F860,(D860*F860/G860))</f>
        <v>8638</v>
      </c>
      <c r="J860" s="1678"/>
    </row>
    <row r="861" spans="1:10" s="1066" customFormat="1" ht="19.899999999999999" customHeight="1">
      <c r="A861" s="1671"/>
      <c r="B861" s="1654"/>
      <c r="C861" s="1667" t="str">
        <f>Input!$C$48</f>
        <v>Overheads &amp; Contractors Profit @ 13.615%</v>
      </c>
      <c r="D861" s="1557">
        <f>Input!$D$48</f>
        <v>0.13614999999999999</v>
      </c>
      <c r="E861" s="1022"/>
      <c r="F861" s="1137">
        <f>I860</f>
        <v>8638</v>
      </c>
      <c r="G861" s="1137"/>
      <c r="H861" s="1022"/>
      <c r="I861" s="1062">
        <f t="shared" si="46"/>
        <v>1176.0636999999999</v>
      </c>
      <c r="J861" s="1678"/>
    </row>
    <row r="862" spans="1:10" s="1066" customFormat="1" ht="19.899999999999999" customHeight="1">
      <c r="A862" s="1671"/>
      <c r="B862" s="1654"/>
      <c r="C862" s="1662" t="s">
        <v>1721</v>
      </c>
      <c r="D862" s="1137"/>
      <c r="E862" s="1022"/>
      <c r="F862" s="1137"/>
      <c r="G862" s="1137"/>
      <c r="H862" s="1022"/>
      <c r="I862" s="1672">
        <f>SUM(I860:I861)</f>
        <v>9814.0637000000006</v>
      </c>
    </row>
    <row r="863" spans="1:10" s="1066" customFormat="1" ht="19.899999999999999" customHeight="1">
      <c r="A863" s="1671"/>
      <c r="B863" s="1654"/>
      <c r="C863" s="1667"/>
      <c r="D863" s="1137"/>
      <c r="E863" s="1022"/>
      <c r="F863" s="1137"/>
      <c r="G863" s="2090" t="s">
        <v>1034</v>
      </c>
      <c r="H863" s="2090"/>
      <c r="I863" s="1040">
        <f>ROUND(I862,0)</f>
        <v>9814</v>
      </c>
    </row>
    <row r="864" spans="1:10" s="1066" customFormat="1" ht="14.65" customHeight="1">
      <c r="A864" s="1671"/>
      <c r="B864" s="1654"/>
      <c r="C864" s="1667"/>
      <c r="D864" s="1137"/>
      <c r="E864" s="1022"/>
      <c r="F864" s="1137"/>
      <c r="G864" s="1022"/>
      <c r="H864" s="1022"/>
      <c r="I864" s="1672"/>
      <c r="J864" s="1678"/>
    </row>
    <row r="865" spans="1:9" s="1066" customFormat="1" ht="210.6" customHeight="1">
      <c r="A865" s="2047">
        <f>A859+1</f>
        <v>11</v>
      </c>
      <c r="B865" s="2047"/>
      <c r="C865" s="2036" t="s">
        <v>3543</v>
      </c>
      <c r="D865" s="2036"/>
      <c r="E865" s="2036"/>
      <c r="F865" s="2036"/>
      <c r="G865" s="2036"/>
      <c r="H865" s="2036"/>
      <c r="I865" s="1667"/>
    </row>
    <row r="866" spans="1:9" s="1066" customFormat="1" ht="17.45" customHeight="1">
      <c r="A866" s="1671"/>
      <c r="B866" s="1654"/>
      <c r="C866" s="1667" t="s">
        <v>2214</v>
      </c>
      <c r="D866" s="1137">
        <v>1</v>
      </c>
      <c r="E866" s="1022" t="s">
        <v>46</v>
      </c>
      <c r="F866" s="1137">
        <f>'Civil-SOR'!$G$118</f>
        <v>8544</v>
      </c>
      <c r="G866" s="1137">
        <v>1</v>
      </c>
      <c r="H866" s="1022" t="s">
        <v>46</v>
      </c>
      <c r="I866" s="1062">
        <f t="shared" ref="I866:I867" si="47">IF(G866="",D866*F866,(D866*F866/G866))</f>
        <v>8544</v>
      </c>
    </row>
    <row r="867" spans="1:9" s="1066" customFormat="1" ht="17.45" customHeight="1">
      <c r="A867" s="1671"/>
      <c r="B867" s="1654"/>
      <c r="C867" s="1667" t="str">
        <f>Input!$C$48</f>
        <v>Overheads &amp; Contractors Profit @ 13.615%</v>
      </c>
      <c r="D867" s="1557">
        <f>Input!$D$48</f>
        <v>0.13614999999999999</v>
      </c>
      <c r="E867" s="1022"/>
      <c r="F867" s="1137">
        <f>I866</f>
        <v>8544</v>
      </c>
      <c r="G867" s="1137"/>
      <c r="H867" s="1022"/>
      <c r="I867" s="1062">
        <f t="shared" si="47"/>
        <v>1163.2655999999999</v>
      </c>
    </row>
    <row r="868" spans="1:9" s="1066" customFormat="1" ht="17.45" customHeight="1">
      <c r="A868" s="1671"/>
      <c r="B868" s="1654"/>
      <c r="C868" s="1662" t="s">
        <v>1721</v>
      </c>
      <c r="D868" s="1137"/>
      <c r="E868" s="1022"/>
      <c r="F868" s="1137"/>
      <c r="G868" s="1137"/>
      <c r="H868" s="1022"/>
      <c r="I868" s="1672">
        <f>SUM(I866:I867)</f>
        <v>9707.2656000000006</v>
      </c>
    </row>
    <row r="869" spans="1:9" s="1066" customFormat="1" ht="15" customHeight="1">
      <c r="A869" s="1671"/>
      <c r="B869" s="1654"/>
      <c r="C869" s="1667"/>
      <c r="D869" s="1137"/>
      <c r="E869" s="1022"/>
      <c r="F869" s="1137"/>
      <c r="G869" s="2090" t="s">
        <v>1034</v>
      </c>
      <c r="H869" s="2090"/>
      <c r="I869" s="1040">
        <f>ROUND(I868,0)</f>
        <v>9707</v>
      </c>
    </row>
    <row r="870" spans="1:9" s="1066" customFormat="1" ht="14.65" customHeight="1">
      <c r="A870" s="1671"/>
      <c r="B870" s="1654"/>
      <c r="C870" s="1667"/>
      <c r="D870" s="1137"/>
      <c r="E870" s="1022"/>
      <c r="F870" s="1137"/>
      <c r="G870" s="1022"/>
      <c r="H870" s="1022"/>
      <c r="I870" s="1672"/>
    </row>
    <row r="871" spans="1:9" s="1066" customFormat="1" ht="160.9" customHeight="1">
      <c r="A871" s="2047">
        <f>A865+1</f>
        <v>12</v>
      </c>
      <c r="B871" s="2047"/>
      <c r="C871" s="2036" t="s">
        <v>3544</v>
      </c>
      <c r="D871" s="2036"/>
      <c r="E871" s="2036"/>
      <c r="F871" s="2036"/>
      <c r="G871" s="2036"/>
      <c r="H871" s="2036"/>
      <c r="I871" s="1662"/>
    </row>
    <row r="872" spans="1:9" s="1066" customFormat="1" ht="39.6" customHeight="1">
      <c r="A872" s="1671"/>
      <c r="B872" s="1654" t="s">
        <v>1180</v>
      </c>
      <c r="C872" s="2045" t="s">
        <v>2215</v>
      </c>
      <c r="D872" s="2045"/>
      <c r="E872" s="2045"/>
      <c r="F872" s="2045"/>
      <c r="G872" s="2045"/>
      <c r="H872" s="1674">
        <f>1.8*1.8</f>
        <v>3.24</v>
      </c>
      <c r="I872" s="1658" t="s">
        <v>94</v>
      </c>
    </row>
    <row r="873" spans="1:9" s="1066" customFormat="1" ht="20.45" customHeight="1">
      <c r="A873" s="1671"/>
      <c r="B873" s="1654"/>
      <c r="C873" s="1667" t="s">
        <v>2216</v>
      </c>
      <c r="D873" s="1137">
        <f>1.8*1.3</f>
        <v>2.3400000000000003</v>
      </c>
      <c r="E873" s="1022" t="s">
        <v>46</v>
      </c>
      <c r="F873" s="1137">
        <f>'Civil-SOR'!$G$130</f>
        <v>7244</v>
      </c>
      <c r="G873" s="1022">
        <v>1</v>
      </c>
      <c r="H873" s="1022" t="s">
        <v>46</v>
      </c>
      <c r="I873" s="1062">
        <f t="shared" ref="I873:I874" si="48">IF(G873="",D873*F873,(D873*F873/G873))</f>
        <v>16950.960000000003</v>
      </c>
    </row>
    <row r="874" spans="1:9" s="1066" customFormat="1" ht="20.45" customHeight="1">
      <c r="A874" s="1671"/>
      <c r="B874" s="1654"/>
      <c r="C874" s="1667" t="s">
        <v>2217</v>
      </c>
      <c r="D874" s="1137">
        <f>1.8*0.5</f>
        <v>0.9</v>
      </c>
      <c r="E874" s="1022" t="s">
        <v>46</v>
      </c>
      <c r="F874" s="1137">
        <f>'Civil-SOR'!$G$145</f>
        <v>5877</v>
      </c>
      <c r="G874" s="1022">
        <v>1</v>
      </c>
      <c r="H874" s="1022" t="s">
        <v>46</v>
      </c>
      <c r="I874" s="1062">
        <f t="shared" si="48"/>
        <v>5289.3</v>
      </c>
    </row>
    <row r="875" spans="1:9" s="1066" customFormat="1" ht="20.45" customHeight="1">
      <c r="A875" s="1671"/>
      <c r="B875" s="1654"/>
      <c r="C875" s="1662" t="s">
        <v>2218</v>
      </c>
      <c r="D875" s="1137"/>
      <c r="E875" s="1022"/>
      <c r="F875" s="1137"/>
      <c r="G875" s="1022"/>
      <c r="H875" s="1022"/>
      <c r="I875" s="1062">
        <f>SUM(I873:I874)</f>
        <v>22240.260000000002</v>
      </c>
    </row>
    <row r="876" spans="1:9" s="1066" customFormat="1" ht="20.45" customHeight="1">
      <c r="A876" s="1671"/>
      <c r="B876" s="1654"/>
      <c r="C876" s="1667" t="s">
        <v>1045</v>
      </c>
      <c r="D876" s="1137"/>
      <c r="E876" s="1022"/>
      <c r="F876" s="1137"/>
      <c r="G876" s="1022"/>
      <c r="H876" s="1022"/>
      <c r="I876" s="1062">
        <f>I875/H872</f>
        <v>6864.2777777777783</v>
      </c>
    </row>
    <row r="877" spans="1:9" s="1066" customFormat="1" ht="20.45" customHeight="1">
      <c r="A877" s="1671"/>
      <c r="B877" s="1654"/>
      <c r="C877" s="1667" t="s">
        <v>2219</v>
      </c>
      <c r="D877" s="1137">
        <v>1</v>
      </c>
      <c r="E877" s="1022" t="s">
        <v>46</v>
      </c>
      <c r="F877" s="1137">
        <f>'Civil-SOR'!$G$49</f>
        <v>568</v>
      </c>
      <c r="G877" s="1022">
        <v>1</v>
      </c>
      <c r="H877" s="1022" t="s">
        <v>46</v>
      </c>
      <c r="I877" s="1062">
        <f>-IF(G877="",D877*F877,(D877*F877/G877))</f>
        <v>-568</v>
      </c>
    </row>
    <row r="878" spans="1:9" s="1066" customFormat="1" ht="20.45" customHeight="1">
      <c r="A878" s="1671"/>
      <c r="B878" s="1654"/>
      <c r="C878" s="1677" t="s">
        <v>2220</v>
      </c>
      <c r="D878" s="1137">
        <v>1</v>
      </c>
      <c r="E878" s="1022" t="s">
        <v>46</v>
      </c>
      <c r="F878" s="1137">
        <f>'Civil-SOR'!$G$51</f>
        <v>336</v>
      </c>
      <c r="G878" s="1022">
        <v>1</v>
      </c>
      <c r="H878" s="1022" t="s">
        <v>46</v>
      </c>
      <c r="I878" s="1062">
        <f>IF(G878="",D878*F878,(D878*F878/G878))</f>
        <v>336</v>
      </c>
    </row>
    <row r="879" spans="1:9" s="1066" customFormat="1" ht="20.45" customHeight="1">
      <c r="A879" s="1671"/>
      <c r="B879" s="1654"/>
      <c r="C879" s="1667"/>
      <c r="D879" s="1137"/>
      <c r="E879" s="1022"/>
      <c r="F879" s="1137"/>
      <c r="G879" s="1022"/>
      <c r="H879" s="1022"/>
      <c r="I879" s="1062">
        <f>SUM(I876:I878)</f>
        <v>6632.2777777777783</v>
      </c>
    </row>
    <row r="880" spans="1:9" s="1066" customFormat="1" ht="20.45" customHeight="1">
      <c r="A880" s="1671"/>
      <c r="B880" s="1654"/>
      <c r="C880" s="1667" t="str">
        <f>Input!$C$48</f>
        <v>Overheads &amp; Contractors Profit @ 13.615%</v>
      </c>
      <c r="D880" s="1557">
        <f>Input!$D$48</f>
        <v>0.13614999999999999</v>
      </c>
      <c r="E880" s="1022"/>
      <c r="F880" s="1137">
        <f>I879</f>
        <v>6632.2777777777783</v>
      </c>
      <c r="G880" s="1022"/>
      <c r="H880" s="1022"/>
      <c r="I880" s="1062">
        <f>IF(G880="",D880*F880,(D880*F880/G880))</f>
        <v>902.98461944444443</v>
      </c>
    </row>
    <row r="881" spans="1:9" s="1066" customFormat="1" ht="20.45" customHeight="1">
      <c r="A881" s="1671"/>
      <c r="B881" s="1654"/>
      <c r="C881" s="1662" t="s">
        <v>1045</v>
      </c>
      <c r="D881" s="1137"/>
      <c r="E881" s="1022"/>
      <c r="F881" s="1137"/>
      <c r="G881" s="1022"/>
      <c r="H881" s="1022"/>
      <c r="I881" s="1672">
        <f>SUM(I879:I880)</f>
        <v>7535.2623972222227</v>
      </c>
    </row>
    <row r="882" spans="1:9" s="1066" customFormat="1" ht="20.45" customHeight="1">
      <c r="A882" s="1671" t="s">
        <v>575</v>
      </c>
      <c r="B882" s="1654"/>
      <c r="C882" s="1022"/>
      <c r="D882" s="1137"/>
      <c r="E882" s="1022"/>
      <c r="F882" s="1137"/>
      <c r="G882" s="2090" t="s">
        <v>1034</v>
      </c>
      <c r="H882" s="2090"/>
      <c r="I882" s="1040">
        <f>ROUND(I881,0)</f>
        <v>7535</v>
      </c>
    </row>
    <row r="883" spans="1:9" s="1066" customFormat="1" ht="14.65" customHeight="1">
      <c r="A883" s="1671"/>
      <c r="B883" s="1654"/>
      <c r="C883" s="1667"/>
      <c r="D883" s="1137"/>
      <c r="E883" s="1022"/>
      <c r="F883" s="1137"/>
      <c r="G883" s="1022"/>
      <c r="H883" s="1022"/>
      <c r="I883" s="1671"/>
    </row>
    <row r="884" spans="1:9" s="1066" customFormat="1" ht="30.6" customHeight="1">
      <c r="A884" s="1671"/>
      <c r="B884" s="1654" t="s">
        <v>1184</v>
      </c>
      <c r="C884" s="2045" t="s">
        <v>2221</v>
      </c>
      <c r="D884" s="2045"/>
      <c r="E884" s="2045"/>
      <c r="F884" s="2045"/>
      <c r="G884" s="2045"/>
      <c r="H884" s="1657">
        <f>1.5*1.8</f>
        <v>2.7</v>
      </c>
      <c r="I884" s="1658" t="s">
        <v>94</v>
      </c>
    </row>
    <row r="885" spans="1:9" s="1066" customFormat="1" ht="18" customHeight="1">
      <c r="A885" s="1671"/>
      <c r="B885" s="1654"/>
      <c r="C885" s="1667" t="s">
        <v>2222</v>
      </c>
      <c r="D885" s="1137">
        <f>1.5*1.3</f>
        <v>1.9500000000000002</v>
      </c>
      <c r="E885" s="1022" t="s">
        <v>46</v>
      </c>
      <c r="F885" s="1137">
        <f>'Civil-SOR'!$G$129</f>
        <v>8280</v>
      </c>
      <c r="G885" s="1022">
        <v>1</v>
      </c>
      <c r="H885" s="1022" t="s">
        <v>46</v>
      </c>
      <c r="I885" s="1062">
        <f t="shared" ref="I885:I886" si="49">IF(G885="",D885*F885,(D885*F885/G885))</f>
        <v>16146.000000000002</v>
      </c>
    </row>
    <row r="886" spans="1:9" s="1066" customFormat="1" ht="18" customHeight="1">
      <c r="A886" s="1671"/>
      <c r="B886" s="1654"/>
      <c r="C886" s="1667" t="s">
        <v>2223</v>
      </c>
      <c r="D886" s="1137">
        <f>1.5*0.5</f>
        <v>0.75</v>
      </c>
      <c r="E886" s="1022" t="s">
        <v>46</v>
      </c>
      <c r="F886" s="1137">
        <f>'Civil-SOR'!$G$145</f>
        <v>5877</v>
      </c>
      <c r="G886" s="1022">
        <v>1</v>
      </c>
      <c r="H886" s="1022" t="s">
        <v>46</v>
      </c>
      <c r="I886" s="1062">
        <f t="shared" si="49"/>
        <v>4407.75</v>
      </c>
    </row>
    <row r="887" spans="1:9" s="1066" customFormat="1" ht="18" customHeight="1">
      <c r="A887" s="1671"/>
      <c r="B887" s="1654"/>
      <c r="C887" s="1667" t="s">
        <v>2224</v>
      </c>
      <c r="D887" s="1137"/>
      <c r="E887" s="1022"/>
      <c r="F887" s="1137"/>
      <c r="G887" s="1022"/>
      <c r="H887" s="1022"/>
      <c r="I887" s="1062">
        <f>SUM(I885:I886)</f>
        <v>20553.75</v>
      </c>
    </row>
    <row r="888" spans="1:9" s="1066" customFormat="1" ht="15.6" customHeight="1">
      <c r="A888" s="1671"/>
      <c r="B888" s="1654"/>
      <c r="C888" s="1662" t="s">
        <v>1045</v>
      </c>
      <c r="D888" s="1137"/>
      <c r="E888" s="1022"/>
      <c r="F888" s="1137"/>
      <c r="G888" s="1022"/>
      <c r="H888" s="1022"/>
      <c r="I888" s="1062">
        <f>I887/H884</f>
        <v>7612.4999999999991</v>
      </c>
    </row>
    <row r="889" spans="1:9" s="1066" customFormat="1" ht="16.149999999999999" customHeight="1">
      <c r="A889" s="1671"/>
      <c r="B889" s="1654"/>
      <c r="C889" s="1667" t="s">
        <v>2219</v>
      </c>
      <c r="D889" s="1137">
        <v>1</v>
      </c>
      <c r="E889" s="1022" t="s">
        <v>46</v>
      </c>
      <c r="F889" s="1137">
        <f>'Civil-SOR'!$G$49</f>
        <v>568</v>
      </c>
      <c r="G889" s="1022">
        <v>1</v>
      </c>
      <c r="H889" s="1022" t="s">
        <v>46</v>
      </c>
      <c r="I889" s="1062">
        <f>-IF(G889="",D889*F889,(D889*F889/G889))</f>
        <v>-568</v>
      </c>
    </row>
    <row r="890" spans="1:9" s="1066" customFormat="1" ht="13.9" customHeight="1">
      <c r="A890" s="1671"/>
      <c r="B890" s="1654"/>
      <c r="C890" s="1677" t="s">
        <v>2220</v>
      </c>
      <c r="D890" s="1137">
        <v>1</v>
      </c>
      <c r="E890" s="1022" t="s">
        <v>46</v>
      </c>
      <c r="F890" s="1137">
        <f>'Civil-SOR'!$G$51</f>
        <v>336</v>
      </c>
      <c r="G890" s="1022">
        <v>1</v>
      </c>
      <c r="H890" s="1022" t="s">
        <v>46</v>
      </c>
      <c r="I890" s="1062">
        <f>IF(G890="",D890*F890,(D890*F890/G890))</f>
        <v>336</v>
      </c>
    </row>
    <row r="891" spans="1:9" s="1066" customFormat="1" ht="13.15" customHeight="1">
      <c r="A891" s="1671"/>
      <c r="B891" s="1654"/>
      <c r="C891" s="1667"/>
      <c r="D891" s="1137"/>
      <c r="E891" s="1022"/>
      <c r="F891" s="1137"/>
      <c r="G891" s="1022"/>
      <c r="H891" s="1022"/>
      <c r="I891" s="1062">
        <f>SUM(I888:I890)</f>
        <v>7380.4999999999991</v>
      </c>
    </row>
    <row r="892" spans="1:9" s="1066" customFormat="1" ht="15" customHeight="1">
      <c r="A892" s="1671"/>
      <c r="B892" s="1654"/>
      <c r="C892" s="1667" t="str">
        <f>Input!$C$48</f>
        <v>Overheads &amp; Contractors Profit @ 13.615%</v>
      </c>
      <c r="D892" s="1557">
        <f>Input!$D$48</f>
        <v>0.13614999999999999</v>
      </c>
      <c r="E892" s="1022"/>
      <c r="F892" s="1137">
        <f>I891</f>
        <v>7380.4999999999991</v>
      </c>
      <c r="G892" s="1022"/>
      <c r="H892" s="1022"/>
      <c r="I892" s="1062">
        <f>IF(G892="",D892*F892,(D892*F892/G892))</f>
        <v>1004.8550749999998</v>
      </c>
    </row>
    <row r="893" spans="1:9" s="1066" customFormat="1" ht="18" customHeight="1">
      <c r="A893" s="1671"/>
      <c r="B893" s="1654"/>
      <c r="C893" s="1662" t="s">
        <v>1045</v>
      </c>
      <c r="D893" s="1137"/>
      <c r="E893" s="1022"/>
      <c r="F893" s="1137"/>
      <c r="G893" s="1022"/>
      <c r="H893" s="1022"/>
      <c r="I893" s="1672">
        <f>SUM(I891:I892)</f>
        <v>8385.3550749999995</v>
      </c>
    </row>
    <row r="894" spans="1:9" s="1066" customFormat="1" ht="18" customHeight="1">
      <c r="A894" s="1671"/>
      <c r="B894" s="1654"/>
      <c r="C894" s="1022"/>
      <c r="D894" s="1137"/>
      <c r="E894" s="1022"/>
      <c r="F894" s="1137"/>
      <c r="G894" s="2090" t="s">
        <v>1034</v>
      </c>
      <c r="H894" s="2090"/>
      <c r="I894" s="1040">
        <f>ROUND(I893,0)</f>
        <v>8385</v>
      </c>
    </row>
    <row r="895" spans="1:9" s="1066" customFormat="1" ht="16.899999999999999" customHeight="1">
      <c r="A895" s="1671"/>
      <c r="B895" s="1654"/>
      <c r="C895" s="1667"/>
      <c r="D895" s="1137"/>
      <c r="E895" s="1022"/>
      <c r="F895" s="1137"/>
      <c r="G895" s="1022"/>
      <c r="H895" s="1022"/>
      <c r="I895" s="1062"/>
    </row>
    <row r="896" spans="1:9" s="1066" customFormat="1" ht="36" customHeight="1">
      <c r="A896" s="1671"/>
      <c r="B896" s="1654" t="s">
        <v>1186</v>
      </c>
      <c r="C896" s="1078" t="s">
        <v>2225</v>
      </c>
      <c r="D896" s="1078"/>
      <c r="E896" s="1078"/>
      <c r="F896" s="1078"/>
      <c r="G896" s="1078"/>
      <c r="H896" s="1657">
        <f>1.2*1.8</f>
        <v>2.16</v>
      </c>
      <c r="I896" s="1654" t="s">
        <v>94</v>
      </c>
    </row>
    <row r="897" spans="1:9" s="1066" customFormat="1" ht="15" customHeight="1">
      <c r="A897" s="1671"/>
      <c r="B897" s="1654"/>
      <c r="C897" s="1667" t="s">
        <v>2226</v>
      </c>
      <c r="D897" s="1137">
        <f>1.2*1.3</f>
        <v>1.56</v>
      </c>
      <c r="E897" s="1022" t="s">
        <v>46</v>
      </c>
      <c r="F897" s="1137">
        <f>'Civil-SOR'!$G$128</f>
        <v>9106</v>
      </c>
      <c r="G897" s="1022">
        <v>1</v>
      </c>
      <c r="H897" s="1022" t="s">
        <v>46</v>
      </c>
      <c r="I897" s="1062">
        <f t="shared" ref="I897:I898" si="50">IF(G897="",D897*F897,(D897*F897/G897))</f>
        <v>14205.36</v>
      </c>
    </row>
    <row r="898" spans="1:9" s="1066" customFormat="1" ht="15" customHeight="1">
      <c r="A898" s="1671"/>
      <c r="B898" s="1654"/>
      <c r="C898" s="1667" t="s">
        <v>2227</v>
      </c>
      <c r="D898" s="1137">
        <f>1.2*0.5</f>
        <v>0.6</v>
      </c>
      <c r="E898" s="1022" t="s">
        <v>46</v>
      </c>
      <c r="F898" s="1137">
        <f>'Civil-SOR'!$G$145</f>
        <v>5877</v>
      </c>
      <c r="G898" s="1022">
        <v>1</v>
      </c>
      <c r="H898" s="1022" t="s">
        <v>46</v>
      </c>
      <c r="I898" s="1062">
        <f t="shared" si="50"/>
        <v>3526.2</v>
      </c>
    </row>
    <row r="899" spans="1:9" s="1066" customFormat="1" ht="15" customHeight="1">
      <c r="A899" s="1671"/>
      <c r="B899" s="1654"/>
      <c r="C899" s="1662" t="s">
        <v>2228</v>
      </c>
      <c r="D899" s="1137"/>
      <c r="E899" s="1022"/>
      <c r="F899" s="1137"/>
      <c r="G899" s="1022"/>
      <c r="H899" s="1022"/>
      <c r="I899" s="1062">
        <f>SUM(I897:I898)</f>
        <v>17731.560000000001</v>
      </c>
    </row>
    <row r="900" spans="1:9" s="1066" customFormat="1" ht="15" customHeight="1">
      <c r="A900" s="1671"/>
      <c r="B900" s="1654"/>
      <c r="C900" s="1667" t="s">
        <v>1045</v>
      </c>
      <c r="D900" s="1137"/>
      <c r="E900" s="1022"/>
      <c r="F900" s="1137"/>
      <c r="G900" s="1022"/>
      <c r="H900" s="1022"/>
      <c r="I900" s="1062">
        <f>I899/H896</f>
        <v>8209.0555555555547</v>
      </c>
    </row>
    <row r="901" spans="1:9" s="1066" customFormat="1" ht="15" customHeight="1">
      <c r="A901" s="1671"/>
      <c r="B901" s="1654"/>
      <c r="C901" s="1667" t="s">
        <v>2219</v>
      </c>
      <c r="D901" s="1137">
        <v>1</v>
      </c>
      <c r="E901" s="1022" t="s">
        <v>46</v>
      </c>
      <c r="F901" s="1137">
        <f>'Civil-SOR'!$G$49</f>
        <v>568</v>
      </c>
      <c r="G901" s="1022">
        <v>1</v>
      </c>
      <c r="H901" s="1022" t="s">
        <v>46</v>
      </c>
      <c r="I901" s="1062">
        <f>-IF(G901="",D901*F901,(D901*F901/G901))</f>
        <v>-568</v>
      </c>
    </row>
    <row r="902" spans="1:9" s="1066" customFormat="1" ht="15" customHeight="1">
      <c r="A902" s="1671"/>
      <c r="B902" s="1654"/>
      <c r="C902" s="1677" t="s">
        <v>2220</v>
      </c>
      <c r="D902" s="1137">
        <v>1</v>
      </c>
      <c r="E902" s="1022" t="s">
        <v>46</v>
      </c>
      <c r="F902" s="1137">
        <f>'Civil-SOR'!$G$51</f>
        <v>336</v>
      </c>
      <c r="G902" s="1022">
        <v>1</v>
      </c>
      <c r="H902" s="1022" t="s">
        <v>46</v>
      </c>
      <c r="I902" s="1062">
        <f>IF(G902="",D902*F902,(D902*F902/G902))</f>
        <v>336</v>
      </c>
    </row>
    <row r="903" spans="1:9" s="1066" customFormat="1" ht="15" customHeight="1">
      <c r="A903" s="1671"/>
      <c r="B903" s="1654"/>
      <c r="C903" s="1667"/>
      <c r="D903" s="1137"/>
      <c r="E903" s="1022"/>
      <c r="F903" s="1137"/>
      <c r="G903" s="1022"/>
      <c r="H903" s="1022"/>
      <c r="I903" s="1062">
        <f>SUM(I900:I902)</f>
        <v>7977.0555555555547</v>
      </c>
    </row>
    <row r="904" spans="1:9" s="1066" customFormat="1" ht="15" customHeight="1">
      <c r="A904" s="1671"/>
      <c r="B904" s="1654"/>
      <c r="C904" s="1667" t="str">
        <f>Input!$C$48</f>
        <v>Overheads &amp; Contractors Profit @ 13.615%</v>
      </c>
      <c r="D904" s="1557">
        <f>Input!$D$48</f>
        <v>0.13614999999999999</v>
      </c>
      <c r="E904" s="1022"/>
      <c r="F904" s="1137">
        <f>I903</f>
        <v>7977.0555555555547</v>
      </c>
      <c r="G904" s="1022"/>
      <c r="H904" s="1022"/>
      <c r="I904" s="1062">
        <f>IF(G904="",D904*F904,(D904*F904/G904))</f>
        <v>1086.0761138888888</v>
      </c>
    </row>
    <row r="905" spans="1:9" s="1066" customFormat="1" ht="15" customHeight="1">
      <c r="A905" s="1671"/>
      <c r="B905" s="1654"/>
      <c r="C905" s="1662" t="s">
        <v>1045</v>
      </c>
      <c r="D905" s="1137"/>
      <c r="E905" s="1022"/>
      <c r="F905" s="1137"/>
      <c r="G905" s="1022"/>
      <c r="H905" s="1022"/>
      <c r="I905" s="1672">
        <f>SUM(I903:I904)</f>
        <v>9063.1316694444431</v>
      </c>
    </row>
    <row r="906" spans="1:9" s="1066" customFormat="1" ht="15" customHeight="1">
      <c r="A906" s="1671"/>
      <c r="B906" s="1654"/>
      <c r="C906" s="1022"/>
      <c r="D906" s="1137"/>
      <c r="E906" s="1022"/>
      <c r="F906" s="1137"/>
      <c r="G906" s="2090" t="s">
        <v>1034</v>
      </c>
      <c r="H906" s="2090"/>
      <c r="I906" s="1040">
        <f>ROUND(I905,0)</f>
        <v>9063</v>
      </c>
    </row>
    <row r="907" spans="1:9" s="1066" customFormat="1" ht="10.15" customHeight="1">
      <c r="A907" s="1671"/>
      <c r="B907" s="1654"/>
      <c r="C907" s="1078"/>
      <c r="D907" s="1078"/>
      <c r="E907" s="1078"/>
      <c r="F907" s="1078"/>
      <c r="G907" s="1078"/>
      <c r="H907" s="1654"/>
      <c r="I907" s="1040"/>
    </row>
    <row r="908" spans="1:9" s="1066" customFormat="1" ht="27.6" customHeight="1">
      <c r="A908" s="1671"/>
      <c r="B908" s="1654" t="s">
        <v>1188</v>
      </c>
      <c r="C908" s="1078" t="s">
        <v>2229</v>
      </c>
      <c r="D908" s="1078"/>
      <c r="E908" s="1078"/>
      <c r="F908" s="1078"/>
      <c r="G908" s="1078"/>
      <c r="H908" s="1677">
        <f>0.9*1.8</f>
        <v>1.62</v>
      </c>
      <c r="I908" s="1040" t="s">
        <v>94</v>
      </c>
    </row>
    <row r="909" spans="1:9" s="1066" customFormat="1" ht="15.6" customHeight="1">
      <c r="A909" s="1671"/>
      <c r="B909" s="1654"/>
      <c r="C909" s="1667" t="s">
        <v>2226</v>
      </c>
      <c r="D909" s="1137">
        <f>0.9*1.3</f>
        <v>1.1700000000000002</v>
      </c>
      <c r="E909" s="1022" t="s">
        <v>46</v>
      </c>
      <c r="F909" s="1137">
        <f>'Civil-SOR'!$G$128</f>
        <v>9106</v>
      </c>
      <c r="G909" s="1022">
        <v>1</v>
      </c>
      <c r="H909" s="1022" t="s">
        <v>46</v>
      </c>
      <c r="I909" s="1062">
        <f t="shared" ref="I909:I910" si="51">IF(G909="",D909*F909,(D909*F909/G909))</f>
        <v>10654.020000000002</v>
      </c>
    </row>
    <row r="910" spans="1:9" s="1066" customFormat="1" ht="15.6" customHeight="1">
      <c r="A910" s="1671"/>
      <c r="B910" s="1654"/>
      <c r="C910" s="1667" t="s">
        <v>2227</v>
      </c>
      <c r="D910" s="1137">
        <f>0.9*0.5</f>
        <v>0.45</v>
      </c>
      <c r="E910" s="1022" t="s">
        <v>46</v>
      </c>
      <c r="F910" s="1137">
        <f>'Civil-SOR'!$G$145</f>
        <v>5877</v>
      </c>
      <c r="G910" s="1022">
        <v>1</v>
      </c>
      <c r="H910" s="1022" t="s">
        <v>46</v>
      </c>
      <c r="I910" s="1062">
        <f t="shared" si="51"/>
        <v>2644.65</v>
      </c>
    </row>
    <row r="911" spans="1:9" s="1066" customFormat="1" ht="15.6" customHeight="1">
      <c r="A911" s="1671"/>
      <c r="B911" s="1654"/>
      <c r="C911" s="1662" t="s">
        <v>2230</v>
      </c>
      <c r="D911" s="1137"/>
      <c r="E911" s="1022"/>
      <c r="F911" s="1137"/>
      <c r="G911" s="1022"/>
      <c r="H911" s="1022"/>
      <c r="I911" s="1062">
        <f>SUM(I909:I910)</f>
        <v>13298.670000000002</v>
      </c>
    </row>
    <row r="912" spans="1:9" s="1066" customFormat="1" ht="15.6" customHeight="1">
      <c r="A912" s="1671"/>
      <c r="B912" s="1654"/>
      <c r="C912" s="1662" t="s">
        <v>1045</v>
      </c>
      <c r="D912" s="1137"/>
      <c r="E912" s="1022"/>
      <c r="F912" s="1137"/>
      <c r="G912" s="1022"/>
      <c r="H912" s="1022"/>
      <c r="I912" s="1062">
        <f>I911/H908</f>
        <v>8209.0555555555566</v>
      </c>
    </row>
    <row r="913" spans="1:9" s="1066" customFormat="1" ht="15.6" customHeight="1">
      <c r="A913" s="1671"/>
      <c r="B913" s="1654"/>
      <c r="C913" s="1667" t="s">
        <v>2219</v>
      </c>
      <c r="D913" s="1137">
        <v>1</v>
      </c>
      <c r="E913" s="1022" t="s">
        <v>46</v>
      </c>
      <c r="F913" s="1137">
        <f>'Civil-SOR'!$G$49</f>
        <v>568</v>
      </c>
      <c r="G913" s="1022">
        <v>1</v>
      </c>
      <c r="H913" s="1022" t="s">
        <v>46</v>
      </c>
      <c r="I913" s="1062">
        <f>-IF(G913="",D913*F913,(D913*F913/G913))</f>
        <v>-568</v>
      </c>
    </row>
    <row r="914" spans="1:9" s="1066" customFormat="1" ht="15.6" customHeight="1">
      <c r="A914" s="1671"/>
      <c r="B914" s="1654"/>
      <c r="C914" s="1677" t="s">
        <v>2220</v>
      </c>
      <c r="D914" s="1137">
        <v>1</v>
      </c>
      <c r="E914" s="1022" t="s">
        <v>46</v>
      </c>
      <c r="F914" s="1137">
        <f>'Civil-SOR'!$G$51</f>
        <v>336</v>
      </c>
      <c r="G914" s="1022">
        <v>1</v>
      </c>
      <c r="H914" s="1022" t="s">
        <v>46</v>
      </c>
      <c r="I914" s="1062">
        <f>IF(G914="",D914*F914,(D914*F914/G914))</f>
        <v>336</v>
      </c>
    </row>
    <row r="915" spans="1:9" s="1066" customFormat="1" ht="13.15" customHeight="1">
      <c r="A915" s="1671"/>
      <c r="B915" s="1654"/>
      <c r="C915" s="1667"/>
      <c r="D915" s="1137"/>
      <c r="E915" s="1022"/>
      <c r="F915" s="1137"/>
      <c r="G915" s="1022"/>
      <c r="H915" s="1022"/>
      <c r="I915" s="1062">
        <f>SUM(I912:I914)</f>
        <v>7977.0555555555566</v>
      </c>
    </row>
    <row r="916" spans="1:9" s="1066" customFormat="1" ht="15.6" customHeight="1">
      <c r="A916" s="1671"/>
      <c r="B916" s="1654"/>
      <c r="C916" s="1667" t="str">
        <f>Input!$C$48</f>
        <v>Overheads &amp; Contractors Profit @ 13.615%</v>
      </c>
      <c r="D916" s="1557">
        <f>Input!$D$48</f>
        <v>0.13614999999999999</v>
      </c>
      <c r="E916" s="1022"/>
      <c r="F916" s="1137">
        <f>I915</f>
        <v>7977.0555555555566</v>
      </c>
      <c r="G916" s="1022"/>
      <c r="H916" s="1022"/>
      <c r="I916" s="1062">
        <f>IF(G916="",D916*F916,(D916*F916/G916))</f>
        <v>1086.076113888889</v>
      </c>
    </row>
    <row r="917" spans="1:9" s="1066" customFormat="1" ht="15.6" customHeight="1">
      <c r="A917" s="1671"/>
      <c r="B917" s="1654"/>
      <c r="C917" s="1662" t="s">
        <v>1045</v>
      </c>
      <c r="D917" s="1137"/>
      <c r="E917" s="1022"/>
      <c r="F917" s="1137"/>
      <c r="G917" s="1022"/>
      <c r="H917" s="1022"/>
      <c r="I917" s="1672">
        <f>SUM(I915:I916)</f>
        <v>9063.1316694444449</v>
      </c>
    </row>
    <row r="918" spans="1:9" s="1066" customFormat="1" ht="18" customHeight="1">
      <c r="A918" s="1671"/>
      <c r="B918" s="1654"/>
      <c r="C918" s="1022"/>
      <c r="D918" s="1137"/>
      <c r="E918" s="1022"/>
      <c r="F918" s="1137"/>
      <c r="G918" s="2090" t="s">
        <v>1034</v>
      </c>
      <c r="H918" s="2090"/>
      <c r="I918" s="1040">
        <f>ROUND(I917,0)</f>
        <v>9063</v>
      </c>
    </row>
    <row r="919" spans="1:9" s="1066" customFormat="1" ht="9" customHeight="1">
      <c r="A919" s="1671"/>
      <c r="B919" s="1654"/>
      <c r="C919" s="1667"/>
      <c r="D919" s="1137"/>
      <c r="E919" s="1022"/>
      <c r="F919" s="1137"/>
      <c r="G919" s="1022"/>
      <c r="H919" s="1022"/>
      <c r="I919" s="1677"/>
    </row>
    <row r="920" spans="1:9" s="1066" customFormat="1" ht="29.85" customHeight="1">
      <c r="A920" s="1671"/>
      <c r="B920" s="1654" t="s">
        <v>1192</v>
      </c>
      <c r="C920" s="1078" t="s">
        <v>2231</v>
      </c>
      <c r="D920" s="1078"/>
      <c r="E920" s="1078"/>
      <c r="F920" s="1078"/>
      <c r="G920" s="1078"/>
      <c r="H920" s="1677">
        <f>1.8*1.3</f>
        <v>2.3400000000000003</v>
      </c>
      <c r="I920" s="1677" t="s">
        <v>94</v>
      </c>
    </row>
    <row r="921" spans="1:9" s="1066" customFormat="1" ht="17.45" customHeight="1">
      <c r="A921" s="1671"/>
      <c r="B921" s="1654"/>
      <c r="C921" s="1667" t="s">
        <v>2232</v>
      </c>
      <c r="D921" s="1137">
        <f>H920</f>
        <v>2.3400000000000003</v>
      </c>
      <c r="E921" s="1022" t="s">
        <v>46</v>
      </c>
      <c r="F921" s="1137">
        <f>'Civil-SOR'!$G$130</f>
        <v>7244</v>
      </c>
      <c r="G921" s="1022">
        <v>1</v>
      </c>
      <c r="H921" s="1022" t="s">
        <v>46</v>
      </c>
      <c r="I921" s="1062">
        <f>IF(G921="",D921*F921,(D921*F921/G921))</f>
        <v>16950.960000000003</v>
      </c>
    </row>
    <row r="922" spans="1:9" s="1066" customFormat="1" ht="15.6" customHeight="1">
      <c r="A922" s="1671"/>
      <c r="B922" s="1654"/>
      <c r="C922" s="1662" t="s">
        <v>1045</v>
      </c>
      <c r="D922" s="1137"/>
      <c r="E922" s="1022"/>
      <c r="F922" s="1137"/>
      <c r="G922" s="1022"/>
      <c r="H922" s="1022"/>
      <c r="I922" s="1062">
        <f>I921/H920</f>
        <v>7244</v>
      </c>
    </row>
    <row r="923" spans="1:9" s="1066" customFormat="1" ht="14.45" customHeight="1">
      <c r="A923" s="1671"/>
      <c r="B923" s="1654"/>
      <c r="C923" s="1667" t="s">
        <v>2219</v>
      </c>
      <c r="D923" s="1137">
        <v>1</v>
      </c>
      <c r="E923" s="1022" t="s">
        <v>46</v>
      </c>
      <c r="F923" s="1137">
        <f>'Civil-SOR'!$G$49</f>
        <v>568</v>
      </c>
      <c r="G923" s="1022">
        <v>1</v>
      </c>
      <c r="H923" s="1022" t="s">
        <v>46</v>
      </c>
      <c r="I923" s="1062">
        <f>-IF(G923="",D923*F923,(D923*F923/G923))</f>
        <v>-568</v>
      </c>
    </row>
    <row r="924" spans="1:9" s="1066" customFormat="1" ht="14.45" customHeight="1">
      <c r="A924" s="1671"/>
      <c r="B924" s="1654"/>
      <c r="C924" s="1677" t="s">
        <v>2220</v>
      </c>
      <c r="D924" s="1137">
        <v>1</v>
      </c>
      <c r="E924" s="1022" t="s">
        <v>46</v>
      </c>
      <c r="F924" s="1137">
        <f>'Civil-SOR'!$G$51</f>
        <v>336</v>
      </c>
      <c r="G924" s="1022">
        <v>1</v>
      </c>
      <c r="H924" s="1022" t="s">
        <v>46</v>
      </c>
      <c r="I924" s="1062">
        <f>IF(G924="",D924*F924,(D924*F924/G924))</f>
        <v>336</v>
      </c>
    </row>
    <row r="925" spans="1:9" s="1066" customFormat="1" ht="15" customHeight="1">
      <c r="A925" s="1671"/>
      <c r="B925" s="1654"/>
      <c r="C925" s="1667"/>
      <c r="D925" s="1137"/>
      <c r="E925" s="1022"/>
      <c r="F925" s="1137"/>
      <c r="G925" s="1022"/>
      <c r="H925" s="1022"/>
      <c r="I925" s="1062">
        <f>SUM(I922:I924)</f>
        <v>7012</v>
      </c>
    </row>
    <row r="926" spans="1:9" s="1066" customFormat="1" ht="17.45" customHeight="1">
      <c r="A926" s="1671"/>
      <c r="B926" s="1654"/>
      <c r="C926" s="1667" t="str">
        <f>Input!$C$48</f>
        <v>Overheads &amp; Contractors Profit @ 13.615%</v>
      </c>
      <c r="D926" s="1557">
        <f>Input!$D$48</f>
        <v>0.13614999999999999</v>
      </c>
      <c r="E926" s="1022"/>
      <c r="F926" s="1137">
        <f>I925</f>
        <v>7012</v>
      </c>
      <c r="G926" s="1022"/>
      <c r="H926" s="1022"/>
      <c r="I926" s="1062">
        <f>IF(G926="",D926*F926,(D926*F926/G926))</f>
        <v>954.68379999999991</v>
      </c>
    </row>
    <row r="927" spans="1:9" s="1066" customFormat="1" ht="14.45" customHeight="1">
      <c r="A927" s="1671"/>
      <c r="B927" s="1654"/>
      <c r="C927" s="1662" t="s">
        <v>1045</v>
      </c>
      <c r="D927" s="1137"/>
      <c r="E927" s="1022"/>
      <c r="F927" s="1137"/>
      <c r="G927" s="1022"/>
      <c r="H927" s="1022"/>
      <c r="I927" s="1672">
        <f>SUM(I925:I926)</f>
        <v>7966.6837999999998</v>
      </c>
    </row>
    <row r="928" spans="1:9" s="1066" customFormat="1" ht="17.45" customHeight="1">
      <c r="A928" s="1671"/>
      <c r="B928" s="1654"/>
      <c r="C928" s="1022"/>
      <c r="D928" s="1137"/>
      <c r="E928" s="1022"/>
      <c r="F928" s="1137"/>
      <c r="G928" s="2090" t="s">
        <v>1034</v>
      </c>
      <c r="H928" s="2090"/>
      <c r="I928" s="1040">
        <f>ROUND(I927,0)</f>
        <v>7967</v>
      </c>
    </row>
    <row r="929" spans="1:9" s="1066" customFormat="1" ht="14.65" customHeight="1">
      <c r="A929" s="1671"/>
      <c r="B929" s="1654"/>
      <c r="C929" s="1667"/>
      <c r="D929" s="1137"/>
      <c r="E929" s="1022"/>
      <c r="F929" s="1137"/>
      <c r="G929" s="1022"/>
      <c r="H929" s="1022"/>
      <c r="I929" s="1677"/>
    </row>
    <row r="930" spans="1:9" s="1066" customFormat="1" ht="29.85" customHeight="1">
      <c r="A930" s="1671"/>
      <c r="B930" s="1654" t="s">
        <v>1197</v>
      </c>
      <c r="C930" s="1078" t="s">
        <v>2233</v>
      </c>
      <c r="D930" s="1078"/>
      <c r="E930" s="1078"/>
      <c r="F930" s="1078"/>
      <c r="G930" s="1078"/>
      <c r="H930" s="1677">
        <f>1.5*1.3</f>
        <v>1.9500000000000002</v>
      </c>
      <c r="I930" s="1677" t="s">
        <v>94</v>
      </c>
    </row>
    <row r="931" spans="1:9" s="1066" customFormat="1" ht="15.6" customHeight="1">
      <c r="A931" s="1671"/>
      <c r="B931" s="1654"/>
      <c r="C931" s="1667" t="s">
        <v>2234</v>
      </c>
      <c r="D931" s="1137">
        <f>H930</f>
        <v>1.9500000000000002</v>
      </c>
      <c r="E931" s="1022" t="s">
        <v>46</v>
      </c>
      <c r="F931" s="1137">
        <f>'Civil-SOR'!$G$129</f>
        <v>8280</v>
      </c>
      <c r="G931" s="1022">
        <v>1</v>
      </c>
      <c r="H931" s="1022" t="s">
        <v>46</v>
      </c>
      <c r="I931" s="1062">
        <f>IF(G931="",D931*F931,(D931*F931/G931))</f>
        <v>16146.000000000002</v>
      </c>
    </row>
    <row r="932" spans="1:9" s="1066" customFormat="1" ht="15.6" customHeight="1">
      <c r="A932" s="1671"/>
      <c r="B932" s="1654"/>
      <c r="C932" s="1662" t="s">
        <v>1045</v>
      </c>
      <c r="D932" s="1137"/>
      <c r="E932" s="1022"/>
      <c r="F932" s="1137"/>
      <c r="G932" s="1022"/>
      <c r="H932" s="1022"/>
      <c r="I932" s="1062">
        <f>I931/H930</f>
        <v>8280</v>
      </c>
    </row>
    <row r="933" spans="1:9" s="1066" customFormat="1" ht="15.6" customHeight="1">
      <c r="A933" s="1671"/>
      <c r="B933" s="1654"/>
      <c r="C933" s="1667" t="s">
        <v>2219</v>
      </c>
      <c r="D933" s="1137">
        <v>1</v>
      </c>
      <c r="E933" s="1022" t="s">
        <v>46</v>
      </c>
      <c r="F933" s="1137">
        <f>'Civil-SOR'!$G$49</f>
        <v>568</v>
      </c>
      <c r="G933" s="1022">
        <v>1</v>
      </c>
      <c r="H933" s="1022" t="s">
        <v>46</v>
      </c>
      <c r="I933" s="1062">
        <f>-IF(G933="",D933*F933,(D933*F933/G933))</f>
        <v>-568</v>
      </c>
    </row>
    <row r="934" spans="1:9" s="1066" customFormat="1" ht="15.6" customHeight="1">
      <c r="A934" s="1671"/>
      <c r="B934" s="1654"/>
      <c r="C934" s="1677" t="s">
        <v>2220</v>
      </c>
      <c r="D934" s="1137">
        <v>1</v>
      </c>
      <c r="E934" s="1022" t="s">
        <v>46</v>
      </c>
      <c r="F934" s="1137">
        <f>'Civil-SOR'!$G$51</f>
        <v>336</v>
      </c>
      <c r="G934" s="1022">
        <v>1</v>
      </c>
      <c r="H934" s="1022" t="s">
        <v>46</v>
      </c>
      <c r="I934" s="1062">
        <f>IF(G934="",D934*F934,(D934*F934/G934))</f>
        <v>336</v>
      </c>
    </row>
    <row r="935" spans="1:9" s="1066" customFormat="1" ht="15.6" customHeight="1">
      <c r="A935" s="1671"/>
      <c r="B935" s="1654"/>
      <c r="C935" s="1667"/>
      <c r="D935" s="1137"/>
      <c r="E935" s="1022"/>
      <c r="F935" s="1137"/>
      <c r="G935" s="1022"/>
      <c r="H935" s="1022"/>
      <c r="I935" s="1062">
        <f>SUM(I932:I934)</f>
        <v>8048</v>
      </c>
    </row>
    <row r="936" spans="1:9" s="1066" customFormat="1" ht="15.6" customHeight="1">
      <c r="A936" s="1671"/>
      <c r="B936" s="1654"/>
      <c r="C936" s="1667" t="str">
        <f>Input!$C$48</f>
        <v>Overheads &amp; Contractors Profit @ 13.615%</v>
      </c>
      <c r="D936" s="1557">
        <f>Input!$D$48</f>
        <v>0.13614999999999999</v>
      </c>
      <c r="E936" s="1022"/>
      <c r="F936" s="1137">
        <f>I935</f>
        <v>8048</v>
      </c>
      <c r="G936" s="1022"/>
      <c r="H936" s="1022"/>
      <c r="I936" s="1062">
        <f>IF(G936="",D936*F936,(D936*F936/G936))</f>
        <v>1095.7351999999998</v>
      </c>
    </row>
    <row r="937" spans="1:9" s="1066" customFormat="1" ht="15.6" customHeight="1">
      <c r="A937" s="1671"/>
      <c r="B937" s="1654"/>
      <c r="C937" s="1662" t="s">
        <v>1045</v>
      </c>
      <c r="D937" s="1137"/>
      <c r="E937" s="1022"/>
      <c r="F937" s="1137"/>
      <c r="G937" s="1022"/>
      <c r="H937" s="1022"/>
      <c r="I937" s="1672">
        <f>SUM(I935:I936)</f>
        <v>9143.7351999999992</v>
      </c>
    </row>
    <row r="938" spans="1:9" s="1066" customFormat="1" ht="15.6" customHeight="1">
      <c r="A938" s="1671"/>
      <c r="B938" s="1654"/>
      <c r="C938" s="1022"/>
      <c r="D938" s="1137"/>
      <c r="E938" s="1022"/>
      <c r="F938" s="1137"/>
      <c r="G938" s="2090" t="s">
        <v>1034</v>
      </c>
      <c r="H938" s="2090"/>
      <c r="I938" s="1040">
        <f>ROUND(I937,0)</f>
        <v>9144</v>
      </c>
    </row>
    <row r="939" spans="1:9" s="1066" customFormat="1" ht="15.75" customHeight="1">
      <c r="A939" s="1671"/>
      <c r="B939" s="1654"/>
      <c r="C939" s="1667"/>
      <c r="D939" s="1137"/>
      <c r="E939" s="1022"/>
      <c r="F939" s="1137"/>
      <c r="G939" s="1022"/>
      <c r="H939" s="1022"/>
      <c r="I939" s="1163"/>
    </row>
    <row r="940" spans="1:9" s="1066" customFormat="1" ht="15.95" customHeight="1">
      <c r="A940" s="1671"/>
      <c r="B940" s="1654" t="s">
        <v>1199</v>
      </c>
      <c r="C940" s="1078" t="s">
        <v>2235</v>
      </c>
      <c r="D940" s="1137"/>
      <c r="E940" s="1022"/>
      <c r="F940" s="1137"/>
      <c r="G940" s="1022"/>
      <c r="H940" s="1078">
        <f>1.2*1.3</f>
        <v>1.56</v>
      </c>
      <c r="I940" s="1677" t="s">
        <v>94</v>
      </c>
    </row>
    <row r="941" spans="1:9" s="1066" customFormat="1" ht="15.95" customHeight="1">
      <c r="A941" s="1671"/>
      <c r="B941" s="1654"/>
      <c r="C941" s="1667" t="s">
        <v>2236</v>
      </c>
      <c r="D941" s="1137">
        <f>H940</f>
        <v>1.56</v>
      </c>
      <c r="E941" s="1022" t="s">
        <v>46</v>
      </c>
      <c r="F941" s="1137">
        <f>'Civil-SOR'!$G$128</f>
        <v>9106</v>
      </c>
      <c r="G941" s="1022">
        <v>1</v>
      </c>
      <c r="H941" s="1022" t="s">
        <v>46</v>
      </c>
      <c r="I941" s="1062">
        <f>IF(G941="",D941*F941,(D941*F941/G941))</f>
        <v>14205.36</v>
      </c>
    </row>
    <row r="942" spans="1:9" s="1066" customFormat="1" ht="15.95" customHeight="1">
      <c r="A942" s="1671"/>
      <c r="B942" s="1654"/>
      <c r="C942" s="1662" t="s">
        <v>1045</v>
      </c>
      <c r="D942" s="1137"/>
      <c r="E942" s="1022"/>
      <c r="F942" s="1137"/>
      <c r="G942" s="1022"/>
      <c r="H942" s="1022"/>
      <c r="I942" s="1065">
        <f>I941/H940</f>
        <v>9106</v>
      </c>
    </row>
    <row r="943" spans="1:9" s="1066" customFormat="1" ht="15.95" customHeight="1">
      <c r="A943" s="1671"/>
      <c r="B943" s="1654"/>
      <c r="C943" s="1667" t="s">
        <v>2219</v>
      </c>
      <c r="D943" s="1137">
        <v>1</v>
      </c>
      <c r="E943" s="1022" t="s">
        <v>46</v>
      </c>
      <c r="F943" s="1137">
        <f>'Civil-SOR'!$G$49</f>
        <v>568</v>
      </c>
      <c r="G943" s="1022">
        <v>1</v>
      </c>
      <c r="H943" s="1022" t="s">
        <v>46</v>
      </c>
      <c r="I943" s="1062">
        <f>-IF(G943="",D943*F943,(D943*F943/G943))</f>
        <v>-568</v>
      </c>
    </row>
    <row r="944" spans="1:9" s="1066" customFormat="1" ht="15.95" customHeight="1">
      <c r="A944" s="1671"/>
      <c r="B944" s="1654"/>
      <c r="C944" s="1677" t="s">
        <v>2220</v>
      </c>
      <c r="D944" s="1137">
        <v>1</v>
      </c>
      <c r="E944" s="1022" t="s">
        <v>46</v>
      </c>
      <c r="F944" s="1137">
        <f>'Civil-SOR'!$G$51</f>
        <v>336</v>
      </c>
      <c r="G944" s="1022">
        <v>1</v>
      </c>
      <c r="H944" s="1022" t="s">
        <v>46</v>
      </c>
      <c r="I944" s="1062">
        <f>IF(G944="",D944*F944,(D944*F944/G944))</f>
        <v>336</v>
      </c>
    </row>
    <row r="945" spans="1:9" s="1066" customFormat="1" ht="15.95" customHeight="1">
      <c r="A945" s="1671"/>
      <c r="B945" s="1654"/>
      <c r="C945" s="1667"/>
      <c r="D945" s="1137"/>
      <c r="E945" s="1022"/>
      <c r="F945" s="1137"/>
      <c r="G945" s="1022"/>
      <c r="H945" s="1022"/>
      <c r="I945" s="1062">
        <f>SUM(I942:I944)</f>
        <v>8874</v>
      </c>
    </row>
    <row r="946" spans="1:9" s="1066" customFormat="1" ht="15.95" customHeight="1">
      <c r="A946" s="1671"/>
      <c r="B946" s="1654"/>
      <c r="C946" s="1667" t="str">
        <f>Input!$C$48</f>
        <v>Overheads &amp; Contractors Profit @ 13.615%</v>
      </c>
      <c r="D946" s="1557">
        <f>Input!$D$48</f>
        <v>0.13614999999999999</v>
      </c>
      <c r="E946" s="1022"/>
      <c r="F946" s="1137">
        <f>I945</f>
        <v>8874</v>
      </c>
      <c r="G946" s="1022"/>
      <c r="H946" s="1022"/>
      <c r="I946" s="1062">
        <f>IF(G946="",D946*F946,(D946*F946/G946))</f>
        <v>1208.1950999999999</v>
      </c>
    </row>
    <row r="947" spans="1:9" s="1066" customFormat="1" ht="15.95" customHeight="1">
      <c r="A947" s="1671"/>
      <c r="B947" s="1654"/>
      <c r="C947" s="1662" t="s">
        <v>1045</v>
      </c>
      <c r="D947" s="1137"/>
      <c r="E947" s="1022"/>
      <c r="F947" s="1137"/>
      <c r="G947" s="1022"/>
      <c r="H947" s="1022"/>
      <c r="I947" s="1672">
        <f>SUM(I945:I946)</f>
        <v>10082.195100000001</v>
      </c>
    </row>
    <row r="948" spans="1:9" s="1066" customFormat="1" ht="15" customHeight="1">
      <c r="A948" s="1671"/>
      <c r="B948" s="1654"/>
      <c r="C948" s="1022"/>
      <c r="D948" s="1137"/>
      <c r="E948" s="1022"/>
      <c r="F948" s="1137"/>
      <c r="G948" s="2090" t="s">
        <v>1034</v>
      </c>
      <c r="H948" s="2090"/>
      <c r="I948" s="1040">
        <f>ROUND(I947,0)</f>
        <v>10082</v>
      </c>
    </row>
    <row r="949" spans="1:9" s="1066" customFormat="1" ht="15.75" customHeight="1">
      <c r="A949" s="1671"/>
      <c r="B949" s="1654"/>
      <c r="C949" s="1078"/>
      <c r="D949" s="1137"/>
      <c r="E949" s="1022"/>
      <c r="F949" s="1137"/>
      <c r="G949" s="1022"/>
      <c r="H949" s="1022"/>
      <c r="I949" s="1163"/>
    </row>
    <row r="950" spans="1:9" s="1066" customFormat="1" ht="20.45" customHeight="1">
      <c r="A950" s="1671"/>
      <c r="B950" s="1654" t="s">
        <v>2237</v>
      </c>
      <c r="C950" s="1078" t="s">
        <v>2238</v>
      </c>
      <c r="D950" s="1137"/>
      <c r="E950" s="1022"/>
      <c r="F950" s="1137"/>
      <c r="G950" s="1022"/>
      <c r="H950" s="1078">
        <f>0.9*1.3</f>
        <v>1.1700000000000002</v>
      </c>
      <c r="I950" s="1677" t="s">
        <v>94</v>
      </c>
    </row>
    <row r="951" spans="1:9" s="1066" customFormat="1" ht="15.95" customHeight="1">
      <c r="A951" s="1671"/>
      <c r="B951" s="1654"/>
      <c r="C951" s="1667" t="s">
        <v>2239</v>
      </c>
      <c r="D951" s="1137">
        <f>H950</f>
        <v>1.1700000000000002</v>
      </c>
      <c r="E951" s="1022" t="s">
        <v>46</v>
      </c>
      <c r="F951" s="1137">
        <f>'Civil-SOR'!$G$128</f>
        <v>9106</v>
      </c>
      <c r="G951" s="1022">
        <v>1</v>
      </c>
      <c r="H951" s="1022" t="s">
        <v>46</v>
      </c>
      <c r="I951" s="1062">
        <f>IF(G951="",D951*F951,(D951*F951/G951))</f>
        <v>10654.020000000002</v>
      </c>
    </row>
    <row r="952" spans="1:9" s="1066" customFormat="1" ht="15.95" customHeight="1">
      <c r="A952" s="1671"/>
      <c r="B952" s="1654"/>
      <c r="C952" s="1662" t="s">
        <v>1045</v>
      </c>
      <c r="D952" s="1137"/>
      <c r="E952" s="1022"/>
      <c r="F952" s="1137"/>
      <c r="G952" s="1022"/>
      <c r="H952" s="1022"/>
      <c r="I952" s="1065">
        <f>I951/H950</f>
        <v>9106</v>
      </c>
    </row>
    <row r="953" spans="1:9" s="1066" customFormat="1" ht="15.95" customHeight="1">
      <c r="A953" s="1671"/>
      <c r="B953" s="1654"/>
      <c r="C953" s="1667" t="s">
        <v>2219</v>
      </c>
      <c r="D953" s="1137">
        <v>1</v>
      </c>
      <c r="E953" s="1022" t="s">
        <v>46</v>
      </c>
      <c r="F953" s="1137">
        <f>'Civil-SOR'!$G$49</f>
        <v>568</v>
      </c>
      <c r="G953" s="1022">
        <v>1</v>
      </c>
      <c r="H953" s="1022" t="s">
        <v>46</v>
      </c>
      <c r="I953" s="1062">
        <f>-IF(G953="",D953*F953,(D953*F953/G953))</f>
        <v>-568</v>
      </c>
    </row>
    <row r="954" spans="1:9" s="1066" customFormat="1" ht="15.95" customHeight="1">
      <c r="A954" s="1671"/>
      <c r="B954" s="1654"/>
      <c r="C954" s="1677" t="s">
        <v>2220</v>
      </c>
      <c r="D954" s="1137">
        <v>1</v>
      </c>
      <c r="E954" s="1022" t="s">
        <v>46</v>
      </c>
      <c r="F954" s="1137">
        <f>'Civil-SOR'!$G$51</f>
        <v>336</v>
      </c>
      <c r="G954" s="1022">
        <v>1</v>
      </c>
      <c r="H954" s="1022" t="s">
        <v>46</v>
      </c>
      <c r="I954" s="1062">
        <f>IF(G954="",D954*F954,(D954*F954/G954))</f>
        <v>336</v>
      </c>
    </row>
    <row r="955" spans="1:9" s="1066" customFormat="1" ht="15.95" customHeight="1">
      <c r="A955" s="1671"/>
      <c r="B955" s="1654"/>
      <c r="C955" s="1667"/>
      <c r="D955" s="1137"/>
      <c r="E955" s="1022"/>
      <c r="F955" s="1137"/>
      <c r="G955" s="1022"/>
      <c r="H955" s="1022"/>
      <c r="I955" s="1062">
        <f>SUM(I952:I954)</f>
        <v>8874</v>
      </c>
    </row>
    <row r="956" spans="1:9" s="1066" customFormat="1" ht="15.95" customHeight="1">
      <c r="A956" s="1671"/>
      <c r="B956" s="1654"/>
      <c r="C956" s="1667" t="str">
        <f>Input!$C$48</f>
        <v>Overheads &amp; Contractors Profit @ 13.615%</v>
      </c>
      <c r="D956" s="1557">
        <f>Input!$D$48</f>
        <v>0.13614999999999999</v>
      </c>
      <c r="E956" s="1022"/>
      <c r="F956" s="1137">
        <f>I955</f>
        <v>8874</v>
      </c>
      <c r="G956" s="1022"/>
      <c r="H956" s="1022"/>
      <c r="I956" s="1062">
        <f>IF(G956="",D956*F956,(D956*F956/G956))</f>
        <v>1208.1950999999999</v>
      </c>
    </row>
    <row r="957" spans="1:9" s="1066" customFormat="1" ht="15.95" customHeight="1">
      <c r="A957" s="1671"/>
      <c r="B957" s="1654"/>
      <c r="C957" s="1662" t="s">
        <v>1045</v>
      </c>
      <c r="D957" s="1137"/>
      <c r="E957" s="1022"/>
      <c r="F957" s="1137"/>
      <c r="G957" s="1022"/>
      <c r="H957" s="1022"/>
      <c r="I957" s="1672">
        <f>SUM(I955:I956)</f>
        <v>10082.195100000001</v>
      </c>
    </row>
    <row r="958" spans="1:9" s="1066" customFormat="1" ht="15" customHeight="1">
      <c r="A958" s="1671"/>
      <c r="B958" s="1654"/>
      <c r="C958" s="1022"/>
      <c r="D958" s="1137"/>
      <c r="E958" s="1022"/>
      <c r="F958" s="1137"/>
      <c r="G958" s="2090" t="s">
        <v>1034</v>
      </c>
      <c r="H958" s="2090"/>
      <c r="I958" s="1040">
        <f>ROUND(I957,0)</f>
        <v>10082</v>
      </c>
    </row>
    <row r="959" spans="1:9" s="1066" customFormat="1" ht="9" customHeight="1">
      <c r="A959" s="1671"/>
      <c r="B959" s="1654"/>
      <c r="C959" s="1667"/>
      <c r="D959" s="1137"/>
      <c r="E959" s="1022"/>
      <c r="F959" s="1137"/>
      <c r="G959" s="1022"/>
      <c r="H959" s="1022"/>
      <c r="I959" s="1672"/>
    </row>
    <row r="960" spans="1:9" s="1066" customFormat="1" ht="109.15" customHeight="1">
      <c r="A960" s="2047">
        <f>A871+1</f>
        <v>13</v>
      </c>
      <c r="B960" s="2047"/>
      <c r="C960" s="2036" t="s">
        <v>3545</v>
      </c>
      <c r="D960" s="2036"/>
      <c r="E960" s="2036"/>
      <c r="F960" s="2036"/>
      <c r="G960" s="2036"/>
      <c r="H960" s="2036"/>
      <c r="I960" s="1662"/>
    </row>
    <row r="961" spans="1:9" s="1066" customFormat="1" ht="15.95" customHeight="1">
      <c r="A961" s="1671"/>
      <c r="B961" s="1654" t="s">
        <v>454</v>
      </c>
      <c r="C961" s="1662" t="s">
        <v>2240</v>
      </c>
      <c r="D961" s="1667"/>
      <c r="E961" s="1667"/>
      <c r="F961" s="1667"/>
      <c r="G961" s="1667"/>
      <c r="H961" s="1667"/>
      <c r="I961" s="1671"/>
    </row>
    <row r="962" spans="1:9" s="1066" customFormat="1" ht="27" customHeight="1">
      <c r="A962" s="1671"/>
      <c r="B962" s="1654" t="s">
        <v>1180</v>
      </c>
      <c r="C962" s="2045" t="s">
        <v>2241</v>
      </c>
      <c r="D962" s="2045"/>
      <c r="E962" s="2045"/>
      <c r="F962" s="2045"/>
      <c r="G962" s="2045"/>
      <c r="H962" s="1677">
        <f>1.8*1.8</f>
        <v>3.24</v>
      </c>
      <c r="I962" s="1677" t="s">
        <v>94</v>
      </c>
    </row>
    <row r="963" spans="1:9" s="1066" customFormat="1" ht="16.899999999999999" customHeight="1">
      <c r="A963" s="1671"/>
      <c r="B963" s="1654"/>
      <c r="C963" s="1667" t="s">
        <v>2242</v>
      </c>
      <c r="D963" s="1137">
        <f>1.8*1.3</f>
        <v>2.3400000000000003</v>
      </c>
      <c r="E963" s="1022" t="s">
        <v>46</v>
      </c>
      <c r="F963" s="1137">
        <f>'Civil-SOR'!$G$125</f>
        <v>6858</v>
      </c>
      <c r="G963" s="1022">
        <v>1</v>
      </c>
      <c r="H963" s="1022" t="s">
        <v>46</v>
      </c>
      <c r="I963" s="1062">
        <f t="shared" ref="I963:I964" si="52">IF(G963="",D963*F963,(D963*F963/G963))</f>
        <v>16047.720000000001</v>
      </c>
    </row>
    <row r="964" spans="1:9" s="1066" customFormat="1" ht="16.899999999999999" customHeight="1">
      <c r="A964" s="1671"/>
      <c r="B964" s="1654"/>
      <c r="C964" s="1667" t="s">
        <v>2243</v>
      </c>
      <c r="D964" s="1137">
        <f>1.8*0.5</f>
        <v>0.9</v>
      </c>
      <c r="E964" s="1022" t="s">
        <v>46</v>
      </c>
      <c r="F964" s="1137">
        <f>'Civil-SOR'!$G$145</f>
        <v>5877</v>
      </c>
      <c r="G964" s="1022">
        <v>1</v>
      </c>
      <c r="H964" s="1022" t="s">
        <v>46</v>
      </c>
      <c r="I964" s="1062">
        <f t="shared" si="52"/>
        <v>5289.3</v>
      </c>
    </row>
    <row r="965" spans="1:9" s="1066" customFormat="1" ht="16.899999999999999" customHeight="1">
      <c r="A965" s="1671"/>
      <c r="B965" s="1654"/>
      <c r="C965" s="1662" t="s">
        <v>2218</v>
      </c>
      <c r="D965" s="1137"/>
      <c r="E965" s="1022"/>
      <c r="F965" s="1137"/>
      <c r="G965" s="1022"/>
      <c r="H965" s="1022"/>
      <c r="I965" s="1062">
        <f>SUM(I963:I964)</f>
        <v>21337.02</v>
      </c>
    </row>
    <row r="966" spans="1:9" s="1066" customFormat="1" ht="15.95" customHeight="1">
      <c r="A966" s="1671"/>
      <c r="B966" s="1654"/>
      <c r="C966" s="1662" t="s">
        <v>1045</v>
      </c>
      <c r="D966" s="1137"/>
      <c r="E966" s="1022"/>
      <c r="F966" s="1137"/>
      <c r="G966" s="1022"/>
      <c r="H966" s="1022"/>
      <c r="I966" s="1062">
        <f>I965/H962</f>
        <v>6585.5</v>
      </c>
    </row>
    <row r="967" spans="1:9" s="1066" customFormat="1" ht="15.95" customHeight="1">
      <c r="A967" s="1671"/>
      <c r="B967" s="1654"/>
      <c r="C967" s="1667" t="s">
        <v>2219</v>
      </c>
      <c r="D967" s="1137">
        <v>1</v>
      </c>
      <c r="E967" s="1022" t="s">
        <v>46</v>
      </c>
      <c r="F967" s="1137">
        <f>'Civil-SOR'!$G$49</f>
        <v>568</v>
      </c>
      <c r="G967" s="1022">
        <v>1</v>
      </c>
      <c r="H967" s="1022" t="s">
        <v>46</v>
      </c>
      <c r="I967" s="1062">
        <f>-IF(G967="",D967*F967,(D967*F967/G967))</f>
        <v>-568</v>
      </c>
    </row>
    <row r="968" spans="1:9" s="1066" customFormat="1" ht="16.899999999999999" customHeight="1">
      <c r="A968" s="1671"/>
      <c r="B968" s="1654"/>
      <c r="C968" s="1667" t="s">
        <v>2220</v>
      </c>
      <c r="D968" s="1137">
        <v>1</v>
      </c>
      <c r="E968" s="1022" t="s">
        <v>46</v>
      </c>
      <c r="F968" s="1137">
        <f>'Civil-SOR'!$G$51</f>
        <v>336</v>
      </c>
      <c r="G968" s="1022">
        <v>1</v>
      </c>
      <c r="H968" s="1022" t="s">
        <v>46</v>
      </c>
      <c r="I968" s="1062">
        <f>IF(G968="",D968*F968,(D968*F968/G968))</f>
        <v>336</v>
      </c>
    </row>
    <row r="969" spans="1:9" s="1066" customFormat="1" ht="15.95" customHeight="1">
      <c r="A969" s="1671"/>
      <c r="B969" s="1654"/>
      <c r="C969" s="1667"/>
      <c r="D969" s="1137"/>
      <c r="E969" s="1022"/>
      <c r="F969" s="1137"/>
      <c r="G969" s="1022"/>
      <c r="H969" s="1022"/>
      <c r="I969" s="1062">
        <f>SUM(I966:I968)</f>
        <v>6353.5</v>
      </c>
    </row>
    <row r="970" spans="1:9" s="1066" customFormat="1" ht="15.95" customHeight="1">
      <c r="A970" s="1671"/>
      <c r="B970" s="1654"/>
      <c r="C970" s="1667" t="str">
        <f>Input!$C$48</f>
        <v>Overheads &amp; Contractors Profit @ 13.615%</v>
      </c>
      <c r="D970" s="1557">
        <f>Input!$D$48</f>
        <v>0.13614999999999999</v>
      </c>
      <c r="E970" s="1022"/>
      <c r="F970" s="1137">
        <f>I969</f>
        <v>6353.5</v>
      </c>
      <c r="G970" s="1022"/>
      <c r="H970" s="1022"/>
      <c r="I970" s="1062">
        <f>IF(G970="",D970*F970,(D970*F970/G970))</f>
        <v>865.02902499999993</v>
      </c>
    </row>
    <row r="971" spans="1:9" s="1066" customFormat="1" ht="15.95" customHeight="1">
      <c r="A971" s="1671"/>
      <c r="B971" s="1654"/>
      <c r="C971" s="1662" t="s">
        <v>1045</v>
      </c>
      <c r="D971" s="1137"/>
      <c r="E971" s="1022"/>
      <c r="F971" s="1137"/>
      <c r="G971" s="1022"/>
      <c r="H971" s="1022"/>
      <c r="I971" s="1672">
        <f>SUM(I969:I970)</f>
        <v>7218.5290249999998</v>
      </c>
    </row>
    <row r="972" spans="1:9" s="1066" customFormat="1" ht="15" customHeight="1">
      <c r="A972" s="1671"/>
      <c r="B972" s="1654"/>
      <c r="C972" s="1022"/>
      <c r="D972" s="1137"/>
      <c r="E972" s="1022"/>
      <c r="F972" s="1137"/>
      <c r="G972" s="2090" t="s">
        <v>1034</v>
      </c>
      <c r="H972" s="2090"/>
      <c r="I972" s="1040">
        <f>ROUND(I971,0)</f>
        <v>7219</v>
      </c>
    </row>
    <row r="973" spans="1:9" s="1066" customFormat="1" ht="14.65" customHeight="1">
      <c r="A973" s="1671"/>
      <c r="B973" s="1654"/>
      <c r="C973" s="1667"/>
      <c r="D973" s="1137"/>
      <c r="E973" s="1022"/>
      <c r="F973" s="1137"/>
      <c r="G973" s="1022"/>
      <c r="H973" s="1022"/>
      <c r="I973" s="1677"/>
    </row>
    <row r="974" spans="1:9" s="1066" customFormat="1" ht="30.6" customHeight="1">
      <c r="A974" s="1671"/>
      <c r="B974" s="1654" t="s">
        <v>1184</v>
      </c>
      <c r="C974" s="2045" t="s">
        <v>2244</v>
      </c>
      <c r="D974" s="2045"/>
      <c r="E974" s="2045"/>
      <c r="F974" s="2045"/>
      <c r="G974" s="2045"/>
      <c r="H974" s="1657">
        <f>1.5*1.8</f>
        <v>2.7</v>
      </c>
      <c r="I974" s="1677" t="s">
        <v>94</v>
      </c>
    </row>
    <row r="975" spans="1:9" s="1066" customFormat="1" ht="15.6" customHeight="1">
      <c r="A975" s="1671"/>
      <c r="B975" s="1654"/>
      <c r="C975" s="1667" t="s">
        <v>2242</v>
      </c>
      <c r="D975" s="1137">
        <f>1.5*1.3</f>
        <v>1.9500000000000002</v>
      </c>
      <c r="E975" s="1022" t="s">
        <v>46</v>
      </c>
      <c r="F975" s="1137">
        <f>'Civil-SOR'!$G$125</f>
        <v>6858</v>
      </c>
      <c r="G975" s="1022">
        <v>1</v>
      </c>
      <c r="H975" s="1022" t="s">
        <v>46</v>
      </c>
      <c r="I975" s="1062">
        <f t="shared" ref="I975:I976" si="53">IF(G975="",D975*F975,(D975*F975/G975))</f>
        <v>13373.1</v>
      </c>
    </row>
    <row r="976" spans="1:9" s="1066" customFormat="1" ht="15.6" customHeight="1">
      <c r="A976" s="1671"/>
      <c r="B976" s="1654"/>
      <c r="C976" s="1667" t="s">
        <v>2243</v>
      </c>
      <c r="D976" s="1137">
        <f>1.5*0.5</f>
        <v>0.75</v>
      </c>
      <c r="E976" s="1022" t="s">
        <v>46</v>
      </c>
      <c r="F976" s="1137">
        <f>'Civil-SOR'!$G$145</f>
        <v>5877</v>
      </c>
      <c r="G976" s="1022">
        <v>1</v>
      </c>
      <c r="H976" s="1022" t="s">
        <v>46</v>
      </c>
      <c r="I976" s="1062">
        <f t="shared" si="53"/>
        <v>4407.75</v>
      </c>
    </row>
    <row r="977" spans="1:9" s="1066" customFormat="1" ht="15.6" customHeight="1">
      <c r="A977" s="1671"/>
      <c r="B977" s="1654"/>
      <c r="C977" s="1662" t="s">
        <v>2224</v>
      </c>
      <c r="D977" s="1137"/>
      <c r="E977" s="1022"/>
      <c r="F977" s="1137"/>
      <c r="G977" s="1022"/>
      <c r="H977" s="1022"/>
      <c r="I977" s="1062">
        <f>SUM(I975:I976)</f>
        <v>17780.849999999999</v>
      </c>
    </row>
    <row r="978" spans="1:9" s="1066" customFormat="1" ht="15.6" customHeight="1">
      <c r="A978" s="1671"/>
      <c r="B978" s="1654"/>
      <c r="C978" s="1662" t="s">
        <v>1045</v>
      </c>
      <c r="D978" s="1137"/>
      <c r="E978" s="1022"/>
      <c r="F978" s="1137"/>
      <c r="G978" s="1022"/>
      <c r="H978" s="1022"/>
      <c r="I978" s="1062">
        <f>I977/H974</f>
        <v>6585.4999999999991</v>
      </c>
    </row>
    <row r="979" spans="1:9" s="1066" customFormat="1" ht="15.95" customHeight="1">
      <c r="A979" s="1671"/>
      <c r="B979" s="1654"/>
      <c r="C979" s="1667" t="s">
        <v>2219</v>
      </c>
      <c r="D979" s="1137">
        <v>1</v>
      </c>
      <c r="E979" s="1022" t="s">
        <v>46</v>
      </c>
      <c r="F979" s="1137">
        <f>'Civil-SOR'!$G$49</f>
        <v>568</v>
      </c>
      <c r="G979" s="1022">
        <v>1</v>
      </c>
      <c r="H979" s="1022" t="s">
        <v>46</v>
      </c>
      <c r="I979" s="1062">
        <f>-IF(G979="",D979*F979,(D979*F979/G979))</f>
        <v>-568</v>
      </c>
    </row>
    <row r="980" spans="1:9" s="1066" customFormat="1" ht="15.95" customHeight="1">
      <c r="A980" s="1671"/>
      <c r="B980" s="1654"/>
      <c r="C980" s="1667" t="s">
        <v>2220</v>
      </c>
      <c r="D980" s="1137">
        <v>1</v>
      </c>
      <c r="E980" s="1022" t="s">
        <v>46</v>
      </c>
      <c r="F980" s="1137">
        <f>'Civil-SOR'!$G$51</f>
        <v>336</v>
      </c>
      <c r="G980" s="1022">
        <v>1</v>
      </c>
      <c r="H980" s="1022" t="s">
        <v>46</v>
      </c>
      <c r="I980" s="1062">
        <f>IF(G980="",D980*F980,(D980*F980/G980))</f>
        <v>336</v>
      </c>
    </row>
    <row r="981" spans="1:9" s="1066" customFormat="1" ht="15.95" customHeight="1">
      <c r="A981" s="1671"/>
      <c r="B981" s="1654"/>
      <c r="C981" s="1667"/>
      <c r="D981" s="1137"/>
      <c r="E981" s="1022"/>
      <c r="F981" s="1137"/>
      <c r="G981" s="1022"/>
      <c r="H981" s="1022"/>
      <c r="I981" s="1062">
        <f>SUM(I978:I980)</f>
        <v>6353.4999999999991</v>
      </c>
    </row>
    <row r="982" spans="1:9" s="1066" customFormat="1" ht="15.95" customHeight="1">
      <c r="A982" s="1671"/>
      <c r="B982" s="1654"/>
      <c r="C982" s="1667" t="str">
        <f>Input!$C$48</f>
        <v>Overheads &amp; Contractors Profit @ 13.615%</v>
      </c>
      <c r="D982" s="1557">
        <f>Input!$D$48</f>
        <v>0.13614999999999999</v>
      </c>
      <c r="E982" s="1022"/>
      <c r="F982" s="1137">
        <f>I981</f>
        <v>6353.4999999999991</v>
      </c>
      <c r="G982" s="1022"/>
      <c r="H982" s="1022"/>
      <c r="I982" s="1062">
        <f>IF(G982="",D982*F982,(D982*F982/G982))</f>
        <v>865.02902499999982</v>
      </c>
    </row>
    <row r="983" spans="1:9" s="1066" customFormat="1" ht="15.95" customHeight="1">
      <c r="A983" s="1671"/>
      <c r="B983" s="1654"/>
      <c r="C983" s="1662" t="s">
        <v>1045</v>
      </c>
      <c r="D983" s="1137"/>
      <c r="E983" s="1022"/>
      <c r="F983" s="1137"/>
      <c r="G983" s="1022"/>
      <c r="H983" s="1022"/>
      <c r="I983" s="1672">
        <f>SUM(I981:I982)</f>
        <v>7218.5290249999989</v>
      </c>
    </row>
    <row r="984" spans="1:9" s="1006" customFormat="1" ht="17.45" customHeight="1">
      <c r="A984" s="1671"/>
      <c r="B984" s="1654"/>
      <c r="C984" s="1005"/>
      <c r="D984" s="1136"/>
      <c r="E984" s="1005"/>
      <c r="F984" s="1136"/>
      <c r="G984" s="2090" t="s">
        <v>1034</v>
      </c>
      <c r="H984" s="2090"/>
      <c r="I984" s="1661">
        <f>ROUND(I983,0)</f>
        <v>7219</v>
      </c>
    </row>
    <row r="985" spans="1:9" s="1066" customFormat="1" ht="14.65" customHeight="1">
      <c r="A985" s="1671"/>
      <c r="B985" s="1654"/>
      <c r="C985" s="1078"/>
      <c r="D985" s="1078"/>
      <c r="E985" s="1078"/>
      <c r="F985" s="1078"/>
      <c r="G985" s="1078"/>
      <c r="H985" s="1654"/>
      <c r="I985" s="1040"/>
    </row>
    <row r="986" spans="1:9" s="1066" customFormat="1" ht="29.85" customHeight="1">
      <c r="A986" s="1671"/>
      <c r="B986" s="1654" t="s">
        <v>1186</v>
      </c>
      <c r="C986" s="1078" t="s">
        <v>2245</v>
      </c>
      <c r="D986" s="1078"/>
      <c r="E986" s="1078"/>
      <c r="F986" s="1078"/>
      <c r="G986" s="1078"/>
      <c r="H986" s="1657">
        <f>1.2*1.8</f>
        <v>2.16</v>
      </c>
      <c r="I986" s="1677" t="s">
        <v>94</v>
      </c>
    </row>
    <row r="987" spans="1:9" s="1066" customFormat="1" ht="15" customHeight="1">
      <c r="A987" s="1671"/>
      <c r="B987" s="1654"/>
      <c r="C987" s="1667" t="s">
        <v>2246</v>
      </c>
      <c r="D987" s="1137">
        <f>1.2*1.3</f>
        <v>1.56</v>
      </c>
      <c r="E987" s="1022" t="s">
        <v>46</v>
      </c>
      <c r="F987" s="1137">
        <f>'Civil-SOR'!$G$124</f>
        <v>7696</v>
      </c>
      <c r="G987" s="1022">
        <v>1</v>
      </c>
      <c r="H987" s="1022" t="s">
        <v>46</v>
      </c>
      <c r="I987" s="1062">
        <f t="shared" ref="I987:I988" si="54">IF(G987="",D987*F987,(D987*F987/G987))</f>
        <v>12005.76</v>
      </c>
    </row>
    <row r="988" spans="1:9" s="1066" customFormat="1" ht="15" customHeight="1">
      <c r="A988" s="1671"/>
      <c r="B988" s="1654"/>
      <c r="C988" s="1667" t="s">
        <v>2243</v>
      </c>
      <c r="D988" s="1137">
        <f>1.2*0.5</f>
        <v>0.6</v>
      </c>
      <c r="E988" s="1022" t="s">
        <v>46</v>
      </c>
      <c r="F988" s="1137">
        <f>'Civil-SOR'!$G$145</f>
        <v>5877</v>
      </c>
      <c r="G988" s="1022">
        <v>1</v>
      </c>
      <c r="H988" s="1022" t="s">
        <v>46</v>
      </c>
      <c r="I988" s="1062">
        <f t="shared" si="54"/>
        <v>3526.2</v>
      </c>
    </row>
    <row r="989" spans="1:9" s="1066" customFormat="1" ht="15" customHeight="1">
      <c r="A989" s="1671"/>
      <c r="B989" s="1654"/>
      <c r="C989" s="1667" t="s">
        <v>2228</v>
      </c>
      <c r="D989" s="1137"/>
      <c r="E989" s="1022"/>
      <c r="F989" s="1137"/>
      <c r="G989" s="1022"/>
      <c r="H989" s="1022"/>
      <c r="I989" s="1062">
        <f>SUM(I987:I988)</f>
        <v>15531.96</v>
      </c>
    </row>
    <row r="990" spans="1:9" s="1066" customFormat="1" ht="15" customHeight="1">
      <c r="A990" s="1671"/>
      <c r="B990" s="1654"/>
      <c r="C990" s="1667" t="s">
        <v>1045</v>
      </c>
      <c r="D990" s="1137"/>
      <c r="E990" s="1022"/>
      <c r="F990" s="1137"/>
      <c r="G990" s="1022"/>
      <c r="H990" s="1022"/>
      <c r="I990" s="1062">
        <f>I989/H986</f>
        <v>7190.7222222222217</v>
      </c>
    </row>
    <row r="991" spans="1:9" s="1066" customFormat="1" ht="15" customHeight="1">
      <c r="A991" s="1671"/>
      <c r="B991" s="1654"/>
      <c r="C991" s="1667" t="s">
        <v>2219</v>
      </c>
      <c r="D991" s="1137">
        <v>1</v>
      </c>
      <c r="E991" s="1022" t="s">
        <v>46</v>
      </c>
      <c r="F991" s="1137">
        <f>'Civil-SOR'!$G$49</f>
        <v>568</v>
      </c>
      <c r="G991" s="1022">
        <v>1</v>
      </c>
      <c r="H991" s="1022" t="s">
        <v>46</v>
      </c>
      <c r="I991" s="1062">
        <f>-IF(G991="",D991*F991,(D991*F991/G991))</f>
        <v>-568</v>
      </c>
    </row>
    <row r="992" spans="1:9" s="1066" customFormat="1" ht="15" customHeight="1">
      <c r="A992" s="1671"/>
      <c r="B992" s="1654"/>
      <c r="C992" s="1667" t="s">
        <v>2220</v>
      </c>
      <c r="D992" s="1137">
        <v>1</v>
      </c>
      <c r="E992" s="1022" t="s">
        <v>46</v>
      </c>
      <c r="F992" s="1137">
        <f>'Civil-SOR'!$G$51</f>
        <v>336</v>
      </c>
      <c r="G992" s="1022">
        <v>1</v>
      </c>
      <c r="H992" s="1022" t="s">
        <v>46</v>
      </c>
      <c r="I992" s="1062">
        <f>IF(G992="",D992*F992,(D992*F992/G992))</f>
        <v>336</v>
      </c>
    </row>
    <row r="993" spans="1:9" s="1066" customFormat="1" ht="15" customHeight="1">
      <c r="A993" s="1671"/>
      <c r="B993" s="1654"/>
      <c r="C993" s="1667"/>
      <c r="D993" s="1137"/>
      <c r="E993" s="1022"/>
      <c r="F993" s="1137"/>
      <c r="G993" s="1022"/>
      <c r="H993" s="1022"/>
      <c r="I993" s="1062">
        <f>SUM(I990:I992)</f>
        <v>6958.7222222222217</v>
      </c>
    </row>
    <row r="994" spans="1:9" s="1066" customFormat="1" ht="15" customHeight="1">
      <c r="A994" s="1671"/>
      <c r="B994" s="1654"/>
      <c r="C994" s="1667" t="str">
        <f>Input!$C$48</f>
        <v>Overheads &amp; Contractors Profit @ 13.615%</v>
      </c>
      <c r="D994" s="1557">
        <f>Input!$D$48</f>
        <v>0.13614999999999999</v>
      </c>
      <c r="E994" s="1022"/>
      <c r="F994" s="1137">
        <f>I993</f>
        <v>6958.7222222222217</v>
      </c>
      <c r="G994" s="1022"/>
      <c r="H994" s="1022"/>
      <c r="I994" s="1062">
        <f>IF(G994="",D994*F994,(D994*F994/G994))</f>
        <v>947.43003055555539</v>
      </c>
    </row>
    <row r="995" spans="1:9" s="1066" customFormat="1" ht="15" customHeight="1">
      <c r="A995" s="1671"/>
      <c r="B995" s="1654"/>
      <c r="C995" s="1662" t="s">
        <v>1045</v>
      </c>
      <c r="D995" s="1137"/>
      <c r="E995" s="1022"/>
      <c r="F995" s="1137"/>
      <c r="G995" s="1022"/>
      <c r="H995" s="1022"/>
      <c r="I995" s="1672">
        <f>SUM(I993:I994)</f>
        <v>7906.152252777777</v>
      </c>
    </row>
    <row r="996" spans="1:9" s="1006" customFormat="1" ht="21" customHeight="1">
      <c r="A996" s="1671"/>
      <c r="B996" s="1654"/>
      <c r="C996" s="1005"/>
      <c r="D996" s="1136"/>
      <c r="E996" s="1005"/>
      <c r="F996" s="1136"/>
      <c r="G996" s="2090" t="s">
        <v>1034</v>
      </c>
      <c r="H996" s="2090"/>
      <c r="I996" s="1661">
        <f>ROUND(I995,0)</f>
        <v>7906</v>
      </c>
    </row>
    <row r="997" spans="1:9" s="1066" customFormat="1" ht="15.75" customHeight="1">
      <c r="A997" s="1671"/>
      <c r="B997" s="1654"/>
      <c r="C997" s="1078"/>
      <c r="D997" s="1078"/>
      <c r="E997" s="1078"/>
      <c r="F997" s="1078"/>
      <c r="G997" s="1078"/>
      <c r="H997" s="1657"/>
      <c r="I997" s="1040"/>
    </row>
    <row r="998" spans="1:9" s="1066" customFormat="1" ht="29.85" customHeight="1">
      <c r="A998" s="1671"/>
      <c r="B998" s="1654" t="s">
        <v>1188</v>
      </c>
      <c r="C998" s="1078" t="s">
        <v>2229</v>
      </c>
      <c r="D998" s="1078"/>
      <c r="E998" s="1078"/>
      <c r="F998" s="1078"/>
      <c r="G998" s="1078"/>
      <c r="H998" s="1657">
        <f>0.9*1.8</f>
        <v>1.62</v>
      </c>
      <c r="I998" s="1677" t="s">
        <v>94</v>
      </c>
    </row>
    <row r="999" spans="1:9" s="1066" customFormat="1" ht="15.95" customHeight="1">
      <c r="A999" s="1671"/>
      <c r="B999" s="1654"/>
      <c r="C999" s="1667" t="s">
        <v>2247</v>
      </c>
      <c r="D999" s="1137">
        <f>0.9*1.3</f>
        <v>1.1700000000000002</v>
      </c>
      <c r="E999" s="1022" t="s">
        <v>46</v>
      </c>
      <c r="F999" s="1137">
        <f>'Civil-SOR'!$G$124</f>
        <v>7696</v>
      </c>
      <c r="G999" s="1022">
        <v>1</v>
      </c>
      <c r="H999" s="1022" t="s">
        <v>46</v>
      </c>
      <c r="I999" s="1062">
        <f t="shared" ref="I999:I1000" si="55">IF(G999="",D999*F999,(D999*F999/G999))</f>
        <v>9004.3200000000015</v>
      </c>
    </row>
    <row r="1000" spans="1:9" s="1066" customFormat="1" ht="15.95" customHeight="1">
      <c r="A1000" s="1671"/>
      <c r="B1000" s="1654"/>
      <c r="C1000" s="1667" t="s">
        <v>2248</v>
      </c>
      <c r="D1000" s="1137">
        <f>0.9*0.5</f>
        <v>0.45</v>
      </c>
      <c r="E1000" s="1022" t="s">
        <v>46</v>
      </c>
      <c r="F1000" s="1137">
        <f>'Civil-SOR'!$G$145</f>
        <v>5877</v>
      </c>
      <c r="G1000" s="1022">
        <v>1</v>
      </c>
      <c r="H1000" s="1022" t="s">
        <v>46</v>
      </c>
      <c r="I1000" s="1062">
        <f t="shared" si="55"/>
        <v>2644.65</v>
      </c>
    </row>
    <row r="1001" spans="1:9" s="1066" customFormat="1" ht="15.95" customHeight="1">
      <c r="A1001" s="1671"/>
      <c r="B1001" s="1654"/>
      <c r="C1001" s="1662" t="s">
        <v>2230</v>
      </c>
      <c r="D1001" s="1137"/>
      <c r="E1001" s="1022"/>
      <c r="F1001" s="1137"/>
      <c r="G1001" s="1022"/>
      <c r="H1001" s="1022"/>
      <c r="I1001" s="1062">
        <f>SUM(I999:I1000)</f>
        <v>11648.970000000001</v>
      </c>
    </row>
    <row r="1002" spans="1:9" s="1066" customFormat="1" ht="15.95" customHeight="1">
      <c r="A1002" s="1671"/>
      <c r="B1002" s="1654"/>
      <c r="C1002" s="1667" t="s">
        <v>1045</v>
      </c>
      <c r="D1002" s="1137"/>
      <c r="E1002" s="1022"/>
      <c r="F1002" s="1137"/>
      <c r="G1002" s="1022"/>
      <c r="H1002" s="1022"/>
      <c r="I1002" s="1062">
        <f>I1001/H998</f>
        <v>7190.7222222222226</v>
      </c>
    </row>
    <row r="1003" spans="1:9" s="1066" customFormat="1" ht="15.95" customHeight="1">
      <c r="A1003" s="1671"/>
      <c r="B1003" s="1654"/>
      <c r="C1003" s="1667" t="s">
        <v>2219</v>
      </c>
      <c r="D1003" s="1137">
        <v>1</v>
      </c>
      <c r="E1003" s="1022" t="s">
        <v>46</v>
      </c>
      <c r="F1003" s="1137">
        <f>'Civil-SOR'!$G$49</f>
        <v>568</v>
      </c>
      <c r="G1003" s="1022">
        <v>1</v>
      </c>
      <c r="H1003" s="1022" t="s">
        <v>46</v>
      </c>
      <c r="I1003" s="1062">
        <f>-IF(G1003="",D1003*F1003,(D1003*F1003/G1003))</f>
        <v>-568</v>
      </c>
    </row>
    <row r="1004" spans="1:9" s="1066" customFormat="1" ht="16.149999999999999" customHeight="1">
      <c r="A1004" s="1671"/>
      <c r="B1004" s="1654"/>
      <c r="C1004" s="1667" t="s">
        <v>2220</v>
      </c>
      <c r="D1004" s="1137">
        <v>1</v>
      </c>
      <c r="E1004" s="1022" t="s">
        <v>46</v>
      </c>
      <c r="F1004" s="1137">
        <f>'Civil-SOR'!$G$51</f>
        <v>336</v>
      </c>
      <c r="G1004" s="1022">
        <v>1</v>
      </c>
      <c r="H1004" s="1022" t="s">
        <v>46</v>
      </c>
      <c r="I1004" s="1062">
        <f>IF(G1004="",D1004*F1004,(D1004*F1004/G1004))</f>
        <v>336</v>
      </c>
    </row>
    <row r="1005" spans="1:9" s="1066" customFormat="1" ht="15.95" customHeight="1">
      <c r="A1005" s="1671"/>
      <c r="B1005" s="1654"/>
      <c r="C1005" s="1667"/>
      <c r="D1005" s="1137"/>
      <c r="E1005" s="1022"/>
      <c r="F1005" s="1137"/>
      <c r="G1005" s="1022"/>
      <c r="H1005" s="1022"/>
      <c r="I1005" s="1062">
        <f>SUM(I1002:I1004)</f>
        <v>6958.7222222222226</v>
      </c>
    </row>
    <row r="1006" spans="1:9" s="1066" customFormat="1" ht="15.95" customHeight="1">
      <c r="A1006" s="1671"/>
      <c r="B1006" s="1654"/>
      <c r="C1006" s="1667" t="str">
        <f>Input!$C$48</f>
        <v>Overheads &amp; Contractors Profit @ 13.615%</v>
      </c>
      <c r="D1006" s="1557">
        <f>Input!$D$48</f>
        <v>0.13614999999999999</v>
      </c>
      <c r="E1006" s="1022"/>
      <c r="F1006" s="1137">
        <f>I1005</f>
        <v>6958.7222222222226</v>
      </c>
      <c r="G1006" s="1022"/>
      <c r="H1006" s="1022"/>
      <c r="I1006" s="1062">
        <f>IF(G1006="",D1006*F1006,(D1006*F1006/G1006))</f>
        <v>947.43003055555562</v>
      </c>
    </row>
    <row r="1007" spans="1:9" s="1066" customFormat="1" ht="15.95" customHeight="1">
      <c r="A1007" s="1671"/>
      <c r="B1007" s="1654"/>
      <c r="C1007" s="1662" t="s">
        <v>1045</v>
      </c>
      <c r="D1007" s="1137"/>
      <c r="E1007" s="1022"/>
      <c r="F1007" s="1137"/>
      <c r="G1007" s="1022"/>
      <c r="H1007" s="1022"/>
      <c r="I1007" s="1672">
        <f>SUM(I1005:I1006)</f>
        <v>7906.1522527777779</v>
      </c>
    </row>
    <row r="1008" spans="1:9" s="1006" customFormat="1" ht="21.6" customHeight="1">
      <c r="A1008" s="1671"/>
      <c r="B1008" s="1654"/>
      <c r="C1008" s="1005"/>
      <c r="D1008" s="1136"/>
      <c r="E1008" s="1005"/>
      <c r="F1008" s="1136"/>
      <c r="G1008" s="2090" t="s">
        <v>1034</v>
      </c>
      <c r="H1008" s="2090"/>
      <c r="I1008" s="1661">
        <f>ROUND(I1007,0)</f>
        <v>7906</v>
      </c>
    </row>
    <row r="1009" spans="1:9" s="1066" customFormat="1" ht="14.65" customHeight="1">
      <c r="A1009" s="1671"/>
      <c r="B1009" s="1654"/>
      <c r="C1009" s="1078"/>
      <c r="D1009" s="1078"/>
      <c r="E1009" s="1078"/>
      <c r="F1009" s="1078"/>
      <c r="G1009" s="1078"/>
      <c r="H1009" s="1657"/>
      <c r="I1009" s="1040"/>
    </row>
    <row r="1010" spans="1:9" s="1066" customFormat="1" ht="29.85" customHeight="1">
      <c r="A1010" s="1671"/>
      <c r="B1010" s="1654" t="s">
        <v>1188</v>
      </c>
      <c r="C1010" s="1078" t="s">
        <v>2249</v>
      </c>
      <c r="D1010" s="1078"/>
      <c r="E1010" s="1078"/>
      <c r="F1010" s="1078"/>
      <c r="G1010" s="1078"/>
      <c r="H1010" s="1654"/>
      <c r="I1010" s="1040"/>
    </row>
    <row r="1011" spans="1:9" s="1066" customFormat="1" ht="15" customHeight="1">
      <c r="A1011" s="1671"/>
      <c r="B1011" s="1654"/>
      <c r="C1011" s="1667" t="s">
        <v>2250</v>
      </c>
      <c r="D1011" s="1137">
        <v>1</v>
      </c>
      <c r="E1011" s="1022" t="s">
        <v>46</v>
      </c>
      <c r="F1011" s="1137">
        <f>'Civil-SOR'!$G$125</f>
        <v>6858</v>
      </c>
      <c r="G1011" s="1022">
        <v>1</v>
      </c>
      <c r="H1011" s="1022" t="s">
        <v>46</v>
      </c>
      <c r="I1011" s="1062">
        <f>IF(G1011="",D1011*F1011,(D1011*F1011/G1011))</f>
        <v>6858</v>
      </c>
    </row>
    <row r="1012" spans="1:9" s="1066" customFormat="1" ht="15" customHeight="1">
      <c r="A1012" s="1671"/>
      <c r="B1012" s="1654"/>
      <c r="C1012" s="1667" t="s">
        <v>2219</v>
      </c>
      <c r="D1012" s="1137">
        <v>1</v>
      </c>
      <c r="E1012" s="1022" t="s">
        <v>46</v>
      </c>
      <c r="F1012" s="1137">
        <f>'Civil-SOR'!$G$49</f>
        <v>568</v>
      </c>
      <c r="G1012" s="1022">
        <v>1</v>
      </c>
      <c r="H1012" s="1022" t="s">
        <v>46</v>
      </c>
      <c r="I1012" s="1062">
        <f>-IF(G1012="",D1012*F1012,(D1012*F1012/G1012))</f>
        <v>-568</v>
      </c>
    </row>
    <row r="1013" spans="1:9" s="1066" customFormat="1" ht="15" customHeight="1">
      <c r="A1013" s="1671"/>
      <c r="B1013" s="1654"/>
      <c r="C1013" s="1677" t="s">
        <v>2220</v>
      </c>
      <c r="D1013" s="1137">
        <v>1</v>
      </c>
      <c r="E1013" s="1022" t="s">
        <v>46</v>
      </c>
      <c r="F1013" s="1137">
        <f>'Civil-SOR'!$G$51</f>
        <v>336</v>
      </c>
      <c r="G1013" s="1022">
        <v>1</v>
      </c>
      <c r="H1013" s="1022" t="s">
        <v>46</v>
      </c>
      <c r="I1013" s="1062">
        <f>IF(G1013="",D1013*F1013,(D1013*F1013/G1013))</f>
        <v>336</v>
      </c>
    </row>
    <row r="1014" spans="1:9" s="1066" customFormat="1" ht="15" customHeight="1">
      <c r="A1014" s="1671"/>
      <c r="B1014" s="1654"/>
      <c r="C1014" s="1667"/>
      <c r="D1014" s="1137"/>
      <c r="E1014" s="1022"/>
      <c r="F1014" s="1137"/>
      <c r="G1014" s="1022"/>
      <c r="H1014" s="1022"/>
      <c r="I1014" s="1062">
        <f>SUM(I1011:I1013)</f>
        <v>6626</v>
      </c>
    </row>
    <row r="1015" spans="1:9" s="1066" customFormat="1" ht="18" customHeight="1">
      <c r="A1015" s="1671"/>
      <c r="B1015" s="1654"/>
      <c r="C1015" s="1667" t="str">
        <f>Input!$C$48</f>
        <v>Overheads &amp; Contractors Profit @ 13.615%</v>
      </c>
      <c r="D1015" s="1557">
        <f>Input!$D$48</f>
        <v>0.13614999999999999</v>
      </c>
      <c r="E1015" s="1022"/>
      <c r="F1015" s="1137">
        <f>I1014</f>
        <v>6626</v>
      </c>
      <c r="G1015" s="1022"/>
      <c r="H1015" s="1022"/>
      <c r="I1015" s="1062">
        <f>IF(G1015="",D1015*F1015,(D1015*F1015/G1015))</f>
        <v>902.12989999999991</v>
      </c>
    </row>
    <row r="1016" spans="1:9" s="1066" customFormat="1" ht="18" customHeight="1">
      <c r="A1016" s="1671"/>
      <c r="B1016" s="1654"/>
      <c r="C1016" s="1662" t="s">
        <v>1045</v>
      </c>
      <c r="D1016" s="1137"/>
      <c r="E1016" s="1022"/>
      <c r="F1016" s="1137"/>
      <c r="G1016" s="1022"/>
      <c r="H1016" s="1022"/>
      <c r="I1016" s="1672">
        <f>SUM(I1014:I1015)</f>
        <v>7528.1298999999999</v>
      </c>
    </row>
    <row r="1017" spans="1:9" s="1006" customFormat="1" ht="23.45" customHeight="1">
      <c r="A1017" s="1671"/>
      <c r="B1017" s="1669"/>
      <c r="C1017" s="1005"/>
      <c r="D1017" s="1136"/>
      <c r="E1017" s="1005"/>
      <c r="F1017" s="1136"/>
      <c r="G1017" s="2090" t="s">
        <v>1034</v>
      </c>
      <c r="H1017" s="2090"/>
      <c r="I1017" s="1661">
        <f>ROUND(I1016,0)</f>
        <v>7528</v>
      </c>
    </row>
    <row r="1018" spans="1:9" s="1066" customFormat="1" ht="14.65" customHeight="1">
      <c r="A1018" s="1671"/>
      <c r="B1018" s="1654"/>
      <c r="C1018" s="1667"/>
      <c r="D1018" s="1137"/>
      <c r="E1018" s="1022"/>
      <c r="F1018" s="1137"/>
      <c r="G1018" s="1022"/>
      <c r="H1018" s="1654"/>
      <c r="I1018" s="1040"/>
    </row>
    <row r="1019" spans="1:9" s="1066" customFormat="1" ht="14.65" customHeight="1">
      <c r="A1019" s="1671"/>
      <c r="B1019" s="1654"/>
      <c r="C1019" s="1667"/>
      <c r="D1019" s="1137"/>
      <c r="E1019" s="1022"/>
      <c r="F1019" s="1137"/>
      <c r="G1019" s="1022"/>
      <c r="H1019" s="1654"/>
      <c r="I1019" s="1040"/>
    </row>
    <row r="1020" spans="1:9" s="1066" customFormat="1" ht="29.85" customHeight="1">
      <c r="A1020" s="1671"/>
      <c r="B1020" s="1654" t="s">
        <v>1197</v>
      </c>
      <c r="C1020" s="1078" t="s">
        <v>2251</v>
      </c>
      <c r="D1020" s="1078"/>
      <c r="E1020" s="1078"/>
      <c r="F1020" s="1078"/>
      <c r="G1020" s="1078"/>
      <c r="H1020" s="1654"/>
      <c r="I1020" s="1040"/>
    </row>
    <row r="1021" spans="1:9" s="1066" customFormat="1" ht="15.95" customHeight="1">
      <c r="A1021" s="1671"/>
      <c r="B1021" s="1654"/>
      <c r="C1021" s="1667" t="s">
        <v>2250</v>
      </c>
      <c r="D1021" s="1137">
        <v>1</v>
      </c>
      <c r="E1021" s="1022" t="s">
        <v>46</v>
      </c>
      <c r="F1021" s="1137">
        <f>'Civil-SOR'!$G$125</f>
        <v>6858</v>
      </c>
      <c r="G1021" s="1022">
        <v>1</v>
      </c>
      <c r="H1021" s="1022" t="s">
        <v>46</v>
      </c>
      <c r="I1021" s="1062">
        <f>IF(G1021="",D1021*F1021,(D1021*F1021/G1021))</f>
        <v>6858</v>
      </c>
    </row>
    <row r="1022" spans="1:9" s="1066" customFormat="1" ht="15.95" customHeight="1">
      <c r="A1022" s="1671"/>
      <c r="B1022" s="1654"/>
      <c r="C1022" s="1667" t="s">
        <v>2219</v>
      </c>
      <c r="D1022" s="1137">
        <v>1</v>
      </c>
      <c r="E1022" s="1022" t="s">
        <v>46</v>
      </c>
      <c r="F1022" s="1137">
        <f>'Civil-SOR'!$G$49</f>
        <v>568</v>
      </c>
      <c r="G1022" s="1022">
        <v>1</v>
      </c>
      <c r="H1022" s="1022" t="s">
        <v>46</v>
      </c>
      <c r="I1022" s="1062">
        <f>-IF(G1022="",D1022*F1022,(D1022*F1022/G1022))</f>
        <v>-568</v>
      </c>
    </row>
    <row r="1023" spans="1:9" s="1066" customFormat="1" ht="15.95" customHeight="1">
      <c r="A1023" s="1671"/>
      <c r="B1023" s="1654"/>
      <c r="C1023" s="1677" t="s">
        <v>2220</v>
      </c>
      <c r="D1023" s="1137">
        <v>1</v>
      </c>
      <c r="E1023" s="1022" t="s">
        <v>46</v>
      </c>
      <c r="F1023" s="1137">
        <f>'Civil-SOR'!$G$51</f>
        <v>336</v>
      </c>
      <c r="G1023" s="1022">
        <v>1</v>
      </c>
      <c r="H1023" s="1022" t="s">
        <v>46</v>
      </c>
      <c r="I1023" s="1062">
        <f>IF(G1023="",D1023*F1023,(D1023*F1023/G1023))</f>
        <v>336</v>
      </c>
    </row>
    <row r="1024" spans="1:9" s="1066" customFormat="1" ht="15.95" customHeight="1">
      <c r="A1024" s="1671"/>
      <c r="B1024" s="1654"/>
      <c r="C1024" s="1667"/>
      <c r="D1024" s="1137"/>
      <c r="E1024" s="1022"/>
      <c r="F1024" s="1137"/>
      <c r="G1024" s="1022"/>
      <c r="H1024" s="1022"/>
      <c r="I1024" s="1062">
        <f>SUM(I1021:I1023)</f>
        <v>6626</v>
      </c>
    </row>
    <row r="1025" spans="1:9" s="1066" customFormat="1" ht="15.95" customHeight="1">
      <c r="A1025" s="1671"/>
      <c r="B1025" s="1654"/>
      <c r="C1025" s="1667" t="str">
        <f>Input!$C$48</f>
        <v>Overheads &amp; Contractors Profit @ 13.615%</v>
      </c>
      <c r="D1025" s="1557">
        <f>Input!$D$48</f>
        <v>0.13614999999999999</v>
      </c>
      <c r="E1025" s="1022"/>
      <c r="F1025" s="1137">
        <f>I1024</f>
        <v>6626</v>
      </c>
      <c r="G1025" s="1022"/>
      <c r="H1025" s="1022"/>
      <c r="I1025" s="1062">
        <f>IF(G1025="",D1025*F1025,(D1025*F1025/G1025))</f>
        <v>902.12989999999991</v>
      </c>
    </row>
    <row r="1026" spans="1:9" s="1066" customFormat="1" ht="15.95" customHeight="1">
      <c r="A1026" s="1671"/>
      <c r="B1026" s="1654"/>
      <c r="C1026" s="1662" t="s">
        <v>1045</v>
      </c>
      <c r="D1026" s="1137"/>
      <c r="E1026" s="1022"/>
      <c r="F1026" s="1137"/>
      <c r="G1026" s="1022"/>
      <c r="H1026" s="1022"/>
      <c r="I1026" s="1672">
        <f>SUM(I1024:I1025)</f>
        <v>7528.1298999999999</v>
      </c>
    </row>
    <row r="1027" spans="1:9" s="1066" customFormat="1" ht="15" customHeight="1">
      <c r="A1027" s="1671"/>
      <c r="B1027" s="1654"/>
      <c r="C1027" s="1022"/>
      <c r="D1027" s="1137"/>
      <c r="E1027" s="1022"/>
      <c r="F1027" s="1137"/>
      <c r="G1027" s="2090" t="s">
        <v>1034</v>
      </c>
      <c r="H1027" s="2090"/>
      <c r="I1027" s="1040">
        <f>ROUND(I1026,0)</f>
        <v>7528</v>
      </c>
    </row>
    <row r="1028" spans="1:9" s="1066" customFormat="1" ht="14.65" customHeight="1">
      <c r="A1028" s="1671"/>
      <c r="B1028" s="1654"/>
      <c r="C1028" s="1667"/>
      <c r="D1028" s="1137"/>
      <c r="E1028" s="1022"/>
      <c r="F1028" s="1137"/>
      <c r="G1028" s="1022"/>
      <c r="H1028" s="1654"/>
      <c r="I1028" s="1040"/>
    </row>
    <row r="1029" spans="1:9" s="1066" customFormat="1" ht="18.600000000000001" customHeight="1">
      <c r="A1029" s="1671"/>
      <c r="B1029" s="1654" t="s">
        <v>1192</v>
      </c>
      <c r="C1029" s="1078" t="s">
        <v>2252</v>
      </c>
      <c r="D1029" s="1078"/>
      <c r="E1029" s="1078"/>
      <c r="F1029" s="1078"/>
      <c r="G1029" s="1078"/>
      <c r="H1029" s="1654"/>
      <c r="I1029" s="1040"/>
    </row>
    <row r="1030" spans="1:9" s="1066" customFormat="1" ht="14.25" customHeight="1">
      <c r="A1030" s="1671"/>
      <c r="B1030" s="1654"/>
      <c r="C1030" s="1667" t="s">
        <v>2247</v>
      </c>
      <c r="D1030" s="1137">
        <v>1</v>
      </c>
      <c r="E1030" s="1022" t="s">
        <v>46</v>
      </c>
      <c r="F1030" s="1137">
        <f>'Civil-SOR'!$G$124</f>
        <v>7696</v>
      </c>
      <c r="G1030" s="1137">
        <v>1</v>
      </c>
      <c r="H1030" s="1022" t="s">
        <v>46</v>
      </c>
      <c r="I1030" s="1062">
        <f>IF(G1030="",D1030*F1030,(D1030*F1030/G1030))</f>
        <v>7696</v>
      </c>
    </row>
    <row r="1031" spans="1:9" s="1066" customFormat="1" ht="14.25" customHeight="1">
      <c r="A1031" s="1671"/>
      <c r="B1031" s="1654"/>
      <c r="C1031" s="1667" t="s">
        <v>2219</v>
      </c>
      <c r="D1031" s="1137">
        <v>1</v>
      </c>
      <c r="E1031" s="1022" t="s">
        <v>46</v>
      </c>
      <c r="F1031" s="1137">
        <f>'Civil-SOR'!$G$49</f>
        <v>568</v>
      </c>
      <c r="G1031" s="1022">
        <v>1</v>
      </c>
      <c r="H1031" s="1022" t="s">
        <v>46</v>
      </c>
      <c r="I1031" s="1062">
        <f>-IF(G1031="",D1031*F1031,(D1031*F1031/G1031))</f>
        <v>-568</v>
      </c>
    </row>
    <row r="1032" spans="1:9" s="1066" customFormat="1" ht="14.25" customHeight="1">
      <c r="A1032" s="1671"/>
      <c r="B1032" s="1654"/>
      <c r="C1032" s="1677" t="s">
        <v>2220</v>
      </c>
      <c r="D1032" s="1137">
        <v>1</v>
      </c>
      <c r="E1032" s="1022" t="s">
        <v>46</v>
      </c>
      <c r="F1032" s="1137">
        <f>'Civil-SOR'!$G$51</f>
        <v>336</v>
      </c>
      <c r="G1032" s="1022">
        <v>1</v>
      </c>
      <c r="H1032" s="1022" t="s">
        <v>46</v>
      </c>
      <c r="I1032" s="1062">
        <f>IF(G1032="",D1032*F1032,(D1032*F1032/G1032))</f>
        <v>336</v>
      </c>
    </row>
    <row r="1033" spans="1:9" s="1066" customFormat="1" ht="14.25" customHeight="1">
      <c r="A1033" s="1671"/>
      <c r="B1033" s="1654"/>
      <c r="C1033" s="1667"/>
      <c r="D1033" s="1137"/>
      <c r="E1033" s="1022"/>
      <c r="F1033" s="1137"/>
      <c r="G1033" s="1022"/>
      <c r="H1033" s="1022"/>
      <c r="I1033" s="1062">
        <f>SUM(I1030:I1032)</f>
        <v>7464</v>
      </c>
    </row>
    <row r="1034" spans="1:9" s="1066" customFormat="1" ht="14.25" customHeight="1">
      <c r="A1034" s="1671"/>
      <c r="B1034" s="1654"/>
      <c r="C1034" s="1667" t="str">
        <f>Input!$C$48</f>
        <v>Overheads &amp; Contractors Profit @ 13.615%</v>
      </c>
      <c r="D1034" s="1557">
        <f>Input!$D$48</f>
        <v>0.13614999999999999</v>
      </c>
      <c r="E1034" s="1022"/>
      <c r="F1034" s="1137">
        <f>I1033</f>
        <v>7464</v>
      </c>
      <c r="G1034" s="1022"/>
      <c r="H1034" s="1022"/>
      <c r="I1034" s="1062">
        <f>IF(G1034="",D1034*F1034,(D1034*F1034/G1034))</f>
        <v>1016.2235999999999</v>
      </c>
    </row>
    <row r="1035" spans="1:9" s="1066" customFormat="1" ht="14.25" customHeight="1">
      <c r="A1035" s="1671"/>
      <c r="B1035" s="1654"/>
      <c r="C1035" s="1662" t="s">
        <v>1045</v>
      </c>
      <c r="D1035" s="1137"/>
      <c r="E1035" s="1022"/>
      <c r="F1035" s="1137"/>
      <c r="G1035" s="1022"/>
      <c r="H1035" s="1022"/>
      <c r="I1035" s="1672">
        <f>SUM(I1033:I1034)</f>
        <v>8480.2235999999994</v>
      </c>
    </row>
    <row r="1036" spans="1:9" s="1066" customFormat="1" ht="14.25" customHeight="1">
      <c r="A1036" s="1671"/>
      <c r="B1036" s="1654"/>
      <c r="C1036" s="1022"/>
      <c r="D1036" s="1137"/>
      <c r="E1036" s="1022"/>
      <c r="F1036" s="1137"/>
      <c r="G1036" s="1022"/>
      <c r="H1036" s="1654" t="s">
        <v>1065</v>
      </c>
      <c r="I1036" s="1040">
        <f>ROUND(I1035,0)</f>
        <v>8480</v>
      </c>
    </row>
    <row r="1037" spans="1:9" s="1066" customFormat="1" ht="14.65" customHeight="1">
      <c r="A1037" s="1671"/>
      <c r="B1037" s="1654"/>
      <c r="C1037" s="1667"/>
      <c r="D1037" s="1137"/>
      <c r="E1037" s="1022"/>
      <c r="F1037" s="1137"/>
      <c r="G1037" s="1022"/>
      <c r="H1037" s="1654"/>
      <c r="I1037" s="1040"/>
    </row>
    <row r="1038" spans="1:9" s="1066" customFormat="1" ht="17.45" customHeight="1">
      <c r="A1038" s="1671"/>
      <c r="B1038" s="1654" t="s">
        <v>2237</v>
      </c>
      <c r="C1038" s="1078" t="s">
        <v>2253</v>
      </c>
      <c r="D1038" s="1078"/>
      <c r="E1038" s="1078"/>
      <c r="F1038" s="1078"/>
      <c r="G1038" s="1078"/>
      <c r="H1038" s="1654"/>
      <c r="I1038" s="1040"/>
    </row>
    <row r="1039" spans="1:9" s="1066" customFormat="1" ht="15.95" customHeight="1">
      <c r="A1039" s="1671"/>
      <c r="B1039" s="1654"/>
      <c r="C1039" s="1667" t="s">
        <v>2247</v>
      </c>
      <c r="D1039" s="1137">
        <v>1</v>
      </c>
      <c r="E1039" s="1022" t="s">
        <v>46</v>
      </c>
      <c r="F1039" s="1137">
        <f>'Civil-SOR'!$G$124</f>
        <v>7696</v>
      </c>
      <c r="G1039" s="1137">
        <v>1</v>
      </c>
      <c r="H1039" s="1022" t="s">
        <v>46</v>
      </c>
      <c r="I1039" s="1062">
        <f>IF(G1039="",D1039*F1039,(D1039*F1039/G1039))</f>
        <v>7696</v>
      </c>
    </row>
    <row r="1040" spans="1:9" s="1066" customFormat="1" ht="15.95" customHeight="1">
      <c r="A1040" s="1671"/>
      <c r="B1040" s="1654"/>
      <c r="C1040" s="1667" t="s">
        <v>2219</v>
      </c>
      <c r="D1040" s="1137">
        <v>1</v>
      </c>
      <c r="E1040" s="1022" t="s">
        <v>46</v>
      </c>
      <c r="F1040" s="1137">
        <f>'Civil-SOR'!$G$49</f>
        <v>568</v>
      </c>
      <c r="G1040" s="1022">
        <v>1</v>
      </c>
      <c r="H1040" s="1022" t="s">
        <v>46</v>
      </c>
      <c r="I1040" s="1062">
        <f>-IF(G1040="",D1040*F1040,(D1040*F1040/G1040))</f>
        <v>-568</v>
      </c>
    </row>
    <row r="1041" spans="1:9" s="1066" customFormat="1" ht="15.95" customHeight="1">
      <c r="A1041" s="1671"/>
      <c r="B1041" s="1654"/>
      <c r="C1041" s="1677" t="s">
        <v>2220</v>
      </c>
      <c r="D1041" s="1137">
        <v>1</v>
      </c>
      <c r="E1041" s="1022" t="s">
        <v>46</v>
      </c>
      <c r="F1041" s="1137">
        <f>'Civil-SOR'!$G$51</f>
        <v>336</v>
      </c>
      <c r="G1041" s="1022">
        <v>1</v>
      </c>
      <c r="H1041" s="1022" t="s">
        <v>46</v>
      </c>
      <c r="I1041" s="1062">
        <f>IF(G1041="",D1041*F1041,(D1041*F1041/G1041))</f>
        <v>336</v>
      </c>
    </row>
    <row r="1042" spans="1:9" s="1066" customFormat="1" ht="15.95" customHeight="1">
      <c r="A1042" s="1671"/>
      <c r="B1042" s="1654"/>
      <c r="C1042" s="1667"/>
      <c r="D1042" s="1137"/>
      <c r="E1042" s="1022"/>
      <c r="F1042" s="1137"/>
      <c r="G1042" s="1022"/>
      <c r="H1042" s="1022"/>
      <c r="I1042" s="1062">
        <f>SUM(I1039:I1041)</f>
        <v>7464</v>
      </c>
    </row>
    <row r="1043" spans="1:9" s="1066" customFormat="1" ht="15.95" customHeight="1">
      <c r="A1043" s="1671"/>
      <c r="B1043" s="1654"/>
      <c r="C1043" s="1667" t="str">
        <f>Input!$C$48</f>
        <v>Overheads &amp; Contractors Profit @ 13.615%</v>
      </c>
      <c r="D1043" s="1557">
        <f>Input!$D$48</f>
        <v>0.13614999999999999</v>
      </c>
      <c r="E1043" s="1022"/>
      <c r="F1043" s="1137">
        <f>I1042</f>
        <v>7464</v>
      </c>
      <c r="G1043" s="1022"/>
      <c r="H1043" s="1022"/>
      <c r="I1043" s="1062">
        <f>IF(G1043="",D1043*F1043,(D1043*F1043/G1043))</f>
        <v>1016.2235999999999</v>
      </c>
    </row>
    <row r="1044" spans="1:9" s="1066" customFormat="1" ht="15.95" customHeight="1">
      <c r="A1044" s="1671"/>
      <c r="B1044" s="1654"/>
      <c r="C1044" s="1662" t="s">
        <v>1045</v>
      </c>
      <c r="D1044" s="1137"/>
      <c r="E1044" s="1022"/>
      <c r="F1044" s="1137"/>
      <c r="G1044" s="1022"/>
      <c r="H1044" s="1022"/>
      <c r="I1044" s="1672">
        <f>SUM(I1042:I1043)</f>
        <v>8480.2235999999994</v>
      </c>
    </row>
    <row r="1045" spans="1:9" s="1066" customFormat="1" ht="13.5" customHeight="1">
      <c r="A1045" s="1671"/>
      <c r="B1045" s="1654"/>
      <c r="C1045" s="1022"/>
      <c r="D1045" s="1137"/>
      <c r="E1045" s="1022"/>
      <c r="F1045" s="1137"/>
      <c r="G1045" s="2075" t="s">
        <v>1096</v>
      </c>
      <c r="H1045" s="2075"/>
      <c r="I1045" s="1040">
        <f>ROUND(I1044,0)</f>
        <v>8480</v>
      </c>
    </row>
    <row r="1046" spans="1:9" s="1066" customFormat="1" ht="14.65" customHeight="1">
      <c r="A1046" s="1671"/>
      <c r="B1046" s="1654"/>
      <c r="C1046" s="1667"/>
      <c r="D1046" s="1137"/>
      <c r="E1046" s="1022"/>
      <c r="F1046" s="1137"/>
      <c r="G1046" s="1022"/>
      <c r="H1046" s="1654"/>
      <c r="I1046" s="1040"/>
    </row>
    <row r="1047" spans="1:9" s="1066" customFormat="1" ht="91.9" customHeight="1">
      <c r="A1047" s="2047">
        <f>A960+1</f>
        <v>14</v>
      </c>
      <c r="B1047" s="2047"/>
      <c r="C1047" s="2036" t="s">
        <v>3546</v>
      </c>
      <c r="D1047" s="2036"/>
      <c r="E1047" s="2036"/>
      <c r="F1047" s="2036"/>
      <c r="G1047" s="2036"/>
      <c r="H1047" s="2036"/>
      <c r="I1047" s="1662"/>
    </row>
    <row r="1048" spans="1:9" s="1066" customFormat="1" ht="72" customHeight="1">
      <c r="A1048" s="1671"/>
      <c r="B1048" s="1654" t="s">
        <v>1180</v>
      </c>
      <c r="C1048" s="2036" t="s">
        <v>3547</v>
      </c>
      <c r="D1048" s="2036"/>
      <c r="E1048" s="2036"/>
      <c r="F1048" s="2036"/>
      <c r="G1048" s="2036"/>
      <c r="H1048" s="2036"/>
      <c r="I1048" s="1662"/>
    </row>
    <row r="1049" spans="1:9" s="1066" customFormat="1" ht="18" customHeight="1">
      <c r="A1049" s="1671"/>
      <c r="B1049" s="1654"/>
      <c r="C1049" s="1049" t="s">
        <v>3548</v>
      </c>
      <c r="D1049" s="1137">
        <v>1</v>
      </c>
      <c r="E1049" s="1022" t="s">
        <v>46</v>
      </c>
      <c r="F1049" s="1137">
        <f>'Civil-SOR'!$G$137</f>
        <v>7978</v>
      </c>
      <c r="G1049" s="1022">
        <v>1</v>
      </c>
      <c r="H1049" s="1022" t="s">
        <v>46</v>
      </c>
      <c r="I1049" s="1062">
        <f t="shared" ref="I1049:I1050" si="56">IF(G1049="",D1049*F1049,(D1049*F1049/G1049))</f>
        <v>7978</v>
      </c>
    </row>
    <row r="1050" spans="1:9" s="1066" customFormat="1" ht="17.45" customHeight="1">
      <c r="A1050" s="1671"/>
      <c r="B1050" s="1654"/>
      <c r="C1050" s="1667" t="str">
        <f>Input!$C$48</f>
        <v>Overheads &amp; Contractors Profit @ 13.615%</v>
      </c>
      <c r="D1050" s="1557">
        <f>Input!$D$48</f>
        <v>0.13614999999999999</v>
      </c>
      <c r="E1050" s="1022"/>
      <c r="F1050" s="1137">
        <f>I1049</f>
        <v>7978</v>
      </c>
      <c r="G1050" s="1022"/>
      <c r="H1050" s="1022"/>
      <c r="I1050" s="1062">
        <f t="shared" si="56"/>
        <v>1086.2047</v>
      </c>
    </row>
    <row r="1051" spans="1:9" ht="22.15" customHeight="1">
      <c r="A1051" s="1654"/>
      <c r="B1051" s="1654"/>
      <c r="C1051" s="1088" t="s">
        <v>1721</v>
      </c>
      <c r="D1051" s="1004"/>
      <c r="E1051" s="1550"/>
      <c r="F1051" s="1004"/>
      <c r="G1051" s="2075" t="s">
        <v>1096</v>
      </c>
      <c r="H1051" s="2075"/>
      <c r="I1051" s="1660">
        <f>ROUND(SUM(I1049:I1050),0)</f>
        <v>9064</v>
      </c>
    </row>
    <row r="1052" spans="1:9" s="1066" customFormat="1" ht="15.75" customHeight="1">
      <c r="A1052" s="1671"/>
      <c r="B1052" s="1669"/>
      <c r="C1052" s="1022"/>
      <c r="D1052" s="1022"/>
      <c r="E1052" s="1022"/>
      <c r="F1052" s="1022"/>
      <c r="G1052" s="1022"/>
      <c r="H1052" s="1022"/>
      <c r="I1052" s="1671"/>
    </row>
    <row r="1053" spans="1:9" s="1066" customFormat="1" ht="69" customHeight="1">
      <c r="A1053" s="1671"/>
      <c r="B1053" s="1654" t="s">
        <v>1180</v>
      </c>
      <c r="C1053" s="2036" t="s">
        <v>3549</v>
      </c>
      <c r="D1053" s="2036"/>
      <c r="E1053" s="2036"/>
      <c r="F1053" s="2036"/>
      <c r="G1053" s="2036"/>
      <c r="H1053" s="2036"/>
      <c r="I1053" s="1662"/>
    </row>
    <row r="1054" spans="1:9" s="1066" customFormat="1" ht="15" customHeight="1">
      <c r="A1054" s="1671"/>
      <c r="B1054" s="1654"/>
      <c r="C1054" s="1049" t="s">
        <v>3550</v>
      </c>
      <c r="D1054" s="1137">
        <v>1</v>
      </c>
      <c r="E1054" s="1022" t="s">
        <v>46</v>
      </c>
      <c r="F1054" s="1137">
        <f>'Civil-SOR'!$G$138</f>
        <v>5457</v>
      </c>
      <c r="G1054" s="1022">
        <v>1</v>
      </c>
      <c r="H1054" s="1022" t="s">
        <v>46</v>
      </c>
      <c r="I1054" s="1062">
        <f t="shared" ref="I1054:I1055" si="57">IF(G1054="",D1054*F1054,(D1054*F1054/G1054))</f>
        <v>5457</v>
      </c>
    </row>
    <row r="1055" spans="1:9" s="1066" customFormat="1" ht="12.75" customHeight="1">
      <c r="A1055" s="1671"/>
      <c r="B1055" s="1654"/>
      <c r="C1055" s="1667" t="str">
        <f>Input!$C$48</f>
        <v>Overheads &amp; Contractors Profit @ 13.615%</v>
      </c>
      <c r="D1055" s="1557">
        <f>Input!$D$48</f>
        <v>0.13614999999999999</v>
      </c>
      <c r="E1055" s="1022"/>
      <c r="F1055" s="1137">
        <f>I1054</f>
        <v>5457</v>
      </c>
      <c r="G1055" s="1022"/>
      <c r="H1055" s="1022"/>
      <c r="I1055" s="1062">
        <f t="shared" si="57"/>
        <v>742.97055</v>
      </c>
    </row>
    <row r="1056" spans="1:9" s="1066" customFormat="1" ht="12.75" customHeight="1">
      <c r="A1056" s="1671"/>
      <c r="B1056" s="1654"/>
      <c r="C1056" s="1662" t="s">
        <v>1721</v>
      </c>
      <c r="D1056" s="1137"/>
      <c r="E1056" s="1022"/>
      <c r="F1056" s="1137"/>
      <c r="G1056" s="1022"/>
      <c r="H1056" s="1022"/>
      <c r="I1056" s="1672">
        <f>SUM(I1054:I1055)</f>
        <v>6199.97055</v>
      </c>
    </row>
    <row r="1057" spans="1:11" s="1066" customFormat="1" ht="15.95" customHeight="1">
      <c r="A1057" s="1671"/>
      <c r="B1057" s="1654"/>
      <c r="C1057" s="1667"/>
      <c r="D1057" s="1137"/>
      <c r="E1057" s="1022"/>
      <c r="F1057" s="1137"/>
      <c r="G1057" s="1022"/>
      <c r="H1057" s="1078" t="s">
        <v>1065</v>
      </c>
      <c r="I1057" s="1677">
        <f>ROUND(I1056,0)</f>
        <v>6200</v>
      </c>
    </row>
    <row r="1058" spans="1:11" s="1066" customFormat="1" ht="8.4499999999999993" customHeight="1">
      <c r="A1058" s="1671"/>
      <c r="B1058" s="1654"/>
      <c r="C1058" s="1667"/>
      <c r="D1058" s="1137"/>
      <c r="E1058" s="1022"/>
      <c r="F1058" s="1137"/>
      <c r="G1058" s="1022"/>
      <c r="H1058" s="1022"/>
      <c r="I1058" s="1672"/>
    </row>
    <row r="1059" spans="1:11" s="1066" customFormat="1" ht="171" customHeight="1">
      <c r="A1059" s="2047">
        <f>A1047+1</f>
        <v>15</v>
      </c>
      <c r="B1059" s="2047"/>
      <c r="C1059" s="2036" t="s">
        <v>3551</v>
      </c>
      <c r="D1059" s="2036"/>
      <c r="E1059" s="2036"/>
      <c r="F1059" s="2036"/>
      <c r="G1059" s="2036"/>
      <c r="H1059" s="2036"/>
      <c r="I1059" s="1677"/>
    </row>
    <row r="1060" spans="1:11" s="1066" customFormat="1" ht="15.95" customHeight="1">
      <c r="A1060" s="1671"/>
      <c r="B1060" s="1654"/>
      <c r="C1060" s="1667" t="s">
        <v>2254</v>
      </c>
      <c r="D1060" s="1137">
        <v>1</v>
      </c>
      <c r="E1060" s="1022" t="s">
        <v>46</v>
      </c>
      <c r="F1060" s="1137">
        <f>'Civil-SOR'!$G$133</f>
        <v>6818</v>
      </c>
      <c r="G1060" s="1137">
        <v>1</v>
      </c>
      <c r="H1060" s="1022" t="s">
        <v>46</v>
      </c>
      <c r="I1060" s="1062">
        <f t="shared" ref="I1060:I1061" si="58">IF(G1060="",D1060*F1060,(D1060*F1060/G1060))</f>
        <v>6818</v>
      </c>
    </row>
    <row r="1061" spans="1:11" s="1066" customFormat="1" ht="12.75" customHeight="1">
      <c r="A1061" s="1671"/>
      <c r="B1061" s="1654"/>
      <c r="C1061" s="1667" t="str">
        <f>Input!$C$48</f>
        <v>Overheads &amp; Contractors Profit @ 13.615%</v>
      </c>
      <c r="D1061" s="1557">
        <f>Input!$D$48</f>
        <v>0.13614999999999999</v>
      </c>
      <c r="E1061" s="1022"/>
      <c r="F1061" s="1137">
        <f>I1060</f>
        <v>6818</v>
      </c>
      <c r="G1061" s="1137"/>
      <c r="H1061" s="1022"/>
      <c r="I1061" s="1062">
        <f t="shared" si="58"/>
        <v>928.27069999999992</v>
      </c>
    </row>
    <row r="1062" spans="1:11" s="1066" customFormat="1" ht="15.95" customHeight="1">
      <c r="A1062" s="1671"/>
      <c r="B1062" s="1654"/>
      <c r="C1062" s="1662" t="s">
        <v>1721</v>
      </c>
      <c r="D1062" s="1137"/>
      <c r="E1062" s="1022"/>
      <c r="F1062" s="1137"/>
      <c r="G1062" s="1137"/>
      <c r="H1062" s="1022"/>
      <c r="I1062" s="1672">
        <f>SUM(I1060:I1061)</f>
        <v>7746.2707</v>
      </c>
    </row>
    <row r="1063" spans="1:11" s="1066" customFormat="1" ht="15" customHeight="1">
      <c r="A1063" s="1671"/>
      <c r="B1063" s="1654"/>
      <c r="C1063" s="1667"/>
      <c r="D1063" s="1137"/>
      <c r="E1063" s="1022"/>
      <c r="F1063" s="1137"/>
      <c r="G1063" s="2075" t="s">
        <v>1096</v>
      </c>
      <c r="H1063" s="2075"/>
      <c r="I1063" s="1040">
        <f>ROUND(I1062,0)</f>
        <v>7746</v>
      </c>
    </row>
    <row r="1064" spans="1:11" s="1066" customFormat="1" ht="10.15" customHeight="1">
      <c r="A1064" s="1671"/>
      <c r="B1064" s="1669"/>
      <c r="C1064" s="1667"/>
      <c r="D1064" s="1137"/>
      <c r="E1064" s="1022"/>
      <c r="F1064" s="1137"/>
      <c r="G1064" s="1022"/>
      <c r="H1064" s="1022"/>
      <c r="I1064" s="1672"/>
    </row>
    <row r="1065" spans="1:11" s="1066" customFormat="1" ht="198.6" customHeight="1">
      <c r="A1065" s="2091">
        <f>1+A847</f>
        <v>9</v>
      </c>
      <c r="B1065" s="2091"/>
      <c r="C1065" s="2036" t="s">
        <v>3642</v>
      </c>
      <c r="D1065" s="2036"/>
      <c r="E1065" s="2036"/>
      <c r="F1065" s="2036"/>
      <c r="G1065" s="2036"/>
      <c r="H1065" s="2036"/>
      <c r="I1065" s="1662"/>
    </row>
    <row r="1066" spans="1:11" s="1066" customFormat="1" ht="16.149999999999999" customHeight="1">
      <c r="A1066" s="1671"/>
      <c r="B1066" s="1654"/>
      <c r="C1066" s="1667" t="s">
        <v>2650</v>
      </c>
      <c r="D1066" s="1137">
        <v>1</v>
      </c>
      <c r="E1066" s="1022" t="s">
        <v>46</v>
      </c>
      <c r="F1066" s="1137">
        <f>'Civil-SOR'!$G$134</f>
        <v>7119</v>
      </c>
      <c r="G1066" s="1137">
        <v>1</v>
      </c>
      <c r="H1066" s="1022" t="s">
        <v>46</v>
      </c>
      <c r="I1066" s="1062">
        <f t="shared" ref="I1066:I1067" si="59">IF(G1066="",D1066*F1066,(D1066*F1066/G1066))</f>
        <v>7119</v>
      </c>
    </row>
    <row r="1067" spans="1:11" s="1066" customFormat="1" ht="16.149999999999999" customHeight="1">
      <c r="A1067" s="1671"/>
      <c r="B1067" s="1654"/>
      <c r="C1067" s="1667" t="str">
        <f>Input!$C$48</f>
        <v>Overheads &amp; Contractors Profit @ 13.615%</v>
      </c>
      <c r="D1067" s="1557">
        <f>Input!$D$48</f>
        <v>0.13614999999999999</v>
      </c>
      <c r="E1067" s="1022"/>
      <c r="F1067" s="1137">
        <f>I1066</f>
        <v>7119</v>
      </c>
      <c r="G1067" s="1137"/>
      <c r="H1067" s="1022"/>
      <c r="I1067" s="1062">
        <f t="shared" si="59"/>
        <v>969.25184999999999</v>
      </c>
    </row>
    <row r="1068" spans="1:11" s="1066" customFormat="1" ht="16.149999999999999" customHeight="1">
      <c r="A1068" s="1671"/>
      <c r="B1068" s="1654"/>
      <c r="C1068" s="1662" t="s">
        <v>1721</v>
      </c>
      <c r="D1068" s="1137"/>
      <c r="E1068" s="1022"/>
      <c r="F1068" s="1137"/>
      <c r="G1068" s="1137"/>
      <c r="H1068" s="1022"/>
      <c r="I1068" s="1672">
        <f>SUM(I1066:I1067)</f>
        <v>8088.2518499999996</v>
      </c>
    </row>
    <row r="1069" spans="1:11" s="1066" customFormat="1" ht="16.149999999999999" customHeight="1">
      <c r="A1069" s="1671"/>
      <c r="B1069" s="1654"/>
      <c r="C1069" s="1667"/>
      <c r="D1069" s="1137"/>
      <c r="E1069" s="1022"/>
      <c r="F1069" s="1137"/>
      <c r="G1069" s="1022"/>
      <c r="H1069" s="1654" t="s">
        <v>1065</v>
      </c>
      <c r="I1069" s="1040">
        <f>ROUND(I1068,0)</f>
        <v>8088</v>
      </c>
      <c r="J1069" s="1066" t="s">
        <v>3901</v>
      </c>
    </row>
    <row r="1070" spans="1:11" s="1066" customFormat="1" ht="6" customHeight="1">
      <c r="A1070" s="1671"/>
      <c r="B1070" s="1654"/>
      <c r="C1070" s="1677"/>
      <c r="D1070" s="1667"/>
      <c r="E1070" s="1667"/>
      <c r="F1070" s="1667"/>
      <c r="G1070" s="1667"/>
      <c r="H1070" s="1667"/>
      <c r="I1070" s="1671"/>
    </row>
    <row r="1071" spans="1:11" s="1066" customFormat="1" ht="209.45" customHeight="1">
      <c r="A1071" s="2047">
        <f>A1065+1</f>
        <v>10</v>
      </c>
      <c r="B1071" s="2047"/>
      <c r="C1071" s="2036" t="s">
        <v>3552</v>
      </c>
      <c r="D1071" s="2036"/>
      <c r="E1071" s="2036"/>
      <c r="F1071" s="2036"/>
      <c r="G1071" s="2036"/>
      <c r="H1071" s="2036"/>
      <c r="I1071" s="1662"/>
      <c r="K1071" s="1678" t="s">
        <v>2255</v>
      </c>
    </row>
    <row r="1072" spans="1:11" s="1066" customFormat="1" ht="15.95" customHeight="1">
      <c r="A1072" s="1669"/>
      <c r="B1072" s="1669"/>
      <c r="C1072" s="1677" t="s">
        <v>3375</v>
      </c>
      <c r="D1072" s="1677">
        <v>1</v>
      </c>
      <c r="E1072" s="1677" t="s">
        <v>46</v>
      </c>
      <c r="F1072" s="1559">
        <f>'Civil-SOR'!$G$131</f>
        <v>7521</v>
      </c>
      <c r="G1072" s="1677">
        <v>1</v>
      </c>
      <c r="H1072" s="1677" t="s">
        <v>46</v>
      </c>
      <c r="I1072" s="1677">
        <f t="shared" ref="I1072:I1073" si="60">IF(G1072="",D1072*F1072,(D1072*F1072/G1072))</f>
        <v>7521</v>
      </c>
    </row>
    <row r="1073" spans="1:9" s="1066" customFormat="1" ht="12.75" customHeight="1">
      <c r="A1073" s="1669"/>
      <c r="B1073" s="1669"/>
      <c r="C1073" s="1677" t="str">
        <f>Input!$C$48</f>
        <v>Overheads &amp; Contractors Profit @ 13.615%</v>
      </c>
      <c r="D1073" s="1677">
        <f>Input!$D$48</f>
        <v>0.13614999999999999</v>
      </c>
      <c r="E1073" s="1677"/>
      <c r="F1073" s="1559">
        <f>I1072</f>
        <v>7521</v>
      </c>
      <c r="G1073" s="1677"/>
      <c r="H1073" s="1677"/>
      <c r="I1073" s="1677">
        <f t="shared" si="60"/>
        <v>1023.98415</v>
      </c>
    </row>
    <row r="1074" spans="1:9" s="1066" customFormat="1" ht="15.75" customHeight="1">
      <c r="A1074" s="1669"/>
      <c r="B1074" s="1669"/>
      <c r="C1074" s="1677" t="s">
        <v>1721</v>
      </c>
      <c r="D1074" s="1677"/>
      <c r="E1074" s="1677"/>
      <c r="F1074" s="1559"/>
      <c r="G1074" s="1677"/>
      <c r="H1074" s="1677"/>
      <c r="I1074" s="1677">
        <f>SUM(I1072:I1073)</f>
        <v>8544.9841500000002</v>
      </c>
    </row>
    <row r="1075" spans="1:9" s="1066" customFormat="1" ht="13.5" customHeight="1">
      <c r="A1075" s="1669"/>
      <c r="B1075" s="1669"/>
      <c r="C1075" s="1677"/>
      <c r="D1075" s="1677"/>
      <c r="E1075" s="1677"/>
      <c r="F1075" s="1677"/>
      <c r="G1075" s="2075" t="s">
        <v>1096</v>
      </c>
      <c r="H1075" s="2075"/>
      <c r="I1075" s="1677">
        <f>ROUND(I1074,0)</f>
        <v>8545</v>
      </c>
    </row>
    <row r="1076" spans="1:9" s="1066" customFormat="1" ht="15.75" customHeight="1">
      <c r="A1076" s="1669"/>
      <c r="B1076" s="1669"/>
      <c r="C1076" s="1677"/>
      <c r="D1076" s="1677"/>
      <c r="E1076" s="1677"/>
      <c r="F1076" s="1677"/>
      <c r="G1076" s="1677"/>
      <c r="H1076" s="1677"/>
      <c r="I1076" s="1677"/>
    </row>
    <row r="1077" spans="1:9" s="1066" customFormat="1" ht="140.44999999999999" customHeight="1">
      <c r="A1077" s="2047">
        <f>1+A1065</f>
        <v>10</v>
      </c>
      <c r="B1077" s="2047"/>
      <c r="C1077" s="2036" t="s">
        <v>3553</v>
      </c>
      <c r="D1077" s="2036"/>
      <c r="E1077" s="2036"/>
      <c r="F1077" s="2036"/>
      <c r="G1077" s="2036"/>
      <c r="H1077" s="2036"/>
      <c r="I1077" s="1677"/>
    </row>
    <row r="1078" spans="1:9" s="1066" customFormat="1" ht="15.95" customHeight="1">
      <c r="A1078" s="1671"/>
      <c r="B1078" s="1654"/>
      <c r="C1078" s="1667" t="s">
        <v>2256</v>
      </c>
      <c r="D1078" s="1137">
        <v>1</v>
      </c>
      <c r="E1078" s="1022" t="s">
        <v>46</v>
      </c>
      <c r="F1078" s="1137">
        <f>'Civil-SOR'!$G$140</f>
        <v>6407</v>
      </c>
      <c r="G1078" s="1137">
        <v>1</v>
      </c>
      <c r="H1078" s="1022" t="s">
        <v>46</v>
      </c>
      <c r="I1078" s="1062">
        <f t="shared" ref="I1078:I1079" si="61">IF(G1078="",D1078*F1078,(D1078*F1078/G1078))</f>
        <v>6407</v>
      </c>
    </row>
    <row r="1079" spans="1:9" s="1066" customFormat="1" ht="15.95" customHeight="1">
      <c r="A1079" s="1671"/>
      <c r="B1079" s="1654"/>
      <c r="C1079" s="1667" t="str">
        <f>Input!$C$48</f>
        <v>Overheads &amp; Contractors Profit @ 13.615%</v>
      </c>
      <c r="D1079" s="1557">
        <f>Input!$D$48</f>
        <v>0.13614999999999999</v>
      </c>
      <c r="E1079" s="1022"/>
      <c r="F1079" s="1137">
        <f>I1078</f>
        <v>6407</v>
      </c>
      <c r="G1079" s="1137"/>
      <c r="H1079" s="1022"/>
      <c r="I1079" s="1062">
        <f t="shared" si="61"/>
        <v>872.31304999999998</v>
      </c>
    </row>
    <row r="1080" spans="1:9" s="1066" customFormat="1" ht="15.95" customHeight="1">
      <c r="A1080" s="1671"/>
      <c r="B1080" s="1654"/>
      <c r="C1080" s="1662" t="s">
        <v>1721</v>
      </c>
      <c r="D1080" s="1137"/>
      <c r="E1080" s="1022"/>
      <c r="F1080" s="1137"/>
      <c r="G1080" s="1137"/>
      <c r="H1080" s="1022"/>
      <c r="I1080" s="1672">
        <f>SUM(I1078:I1079)</f>
        <v>7279.3130499999997</v>
      </c>
    </row>
    <row r="1081" spans="1:9" s="1066" customFormat="1" ht="15.95" customHeight="1">
      <c r="A1081" s="1671"/>
      <c r="B1081" s="1654"/>
      <c r="C1081" s="1667"/>
      <c r="D1081" s="1137"/>
      <c r="E1081" s="1022"/>
      <c r="F1081" s="1137"/>
      <c r="G1081" s="1022"/>
      <c r="H1081" s="1654" t="s">
        <v>1065</v>
      </c>
      <c r="I1081" s="1040">
        <f>ROUND(I1080,0)</f>
        <v>7279</v>
      </c>
    </row>
    <row r="1082" spans="1:9" s="1066" customFormat="1" ht="15.75" customHeight="1">
      <c r="A1082" s="1671"/>
      <c r="B1082" s="1654"/>
      <c r="C1082" s="1677"/>
      <c r="D1082" s="1667"/>
      <c r="E1082" s="1667"/>
      <c r="F1082" s="1667"/>
      <c r="G1082" s="1667"/>
      <c r="H1082" s="1667"/>
      <c r="I1082" s="1671"/>
    </row>
    <row r="1083" spans="1:9" s="1066" customFormat="1" ht="172.15" customHeight="1">
      <c r="A1083" s="2047">
        <f>A1077+1</f>
        <v>11</v>
      </c>
      <c r="B1083" s="2047"/>
      <c r="C1083" s="2036" t="s">
        <v>3554</v>
      </c>
      <c r="D1083" s="2036"/>
      <c r="E1083" s="2036"/>
      <c r="F1083" s="2036"/>
      <c r="G1083" s="2036"/>
      <c r="H1083" s="2036"/>
      <c r="I1083" s="1662"/>
    </row>
    <row r="1084" spans="1:9" s="1066" customFormat="1" ht="18.600000000000001" customHeight="1">
      <c r="A1084" s="1671"/>
      <c r="B1084" s="1654"/>
      <c r="C1084" s="1667" t="s">
        <v>2257</v>
      </c>
      <c r="D1084" s="1137">
        <v>1</v>
      </c>
      <c r="E1084" s="1022" t="s">
        <v>46</v>
      </c>
      <c r="F1084" s="1137">
        <f>'Civil-SOR'!$G$141</f>
        <v>9014</v>
      </c>
      <c r="G1084" s="1137">
        <v>1</v>
      </c>
      <c r="H1084" s="1022" t="s">
        <v>46</v>
      </c>
      <c r="I1084" s="1062">
        <f t="shared" ref="I1084:I1085" si="62">IF(G1084="",D1084*F1084,(D1084*F1084/G1084))</f>
        <v>9014</v>
      </c>
    </row>
    <row r="1085" spans="1:9" s="1066" customFormat="1" ht="18.600000000000001" customHeight="1">
      <c r="A1085" s="1671"/>
      <c r="B1085" s="1654"/>
      <c r="C1085" s="1667" t="str">
        <f>Input!$C$48</f>
        <v>Overheads &amp; Contractors Profit @ 13.615%</v>
      </c>
      <c r="D1085" s="1557">
        <f>Input!$D$48</f>
        <v>0.13614999999999999</v>
      </c>
      <c r="E1085" s="1022"/>
      <c r="F1085" s="1137">
        <f>I1084</f>
        <v>9014</v>
      </c>
      <c r="G1085" s="1137"/>
      <c r="H1085" s="1022"/>
      <c r="I1085" s="1062">
        <f t="shared" si="62"/>
        <v>1227.2560999999998</v>
      </c>
    </row>
    <row r="1086" spans="1:9" s="1066" customFormat="1" ht="18.600000000000001" customHeight="1">
      <c r="A1086" s="1671"/>
      <c r="B1086" s="1654"/>
      <c r="C1086" s="1662" t="s">
        <v>1721</v>
      </c>
      <c r="D1086" s="1137"/>
      <c r="E1086" s="1022"/>
      <c r="F1086" s="1137"/>
      <c r="G1086" s="1137"/>
      <c r="H1086" s="1022"/>
      <c r="I1086" s="1672">
        <f>SUM(I1084:I1085)</f>
        <v>10241.256100000001</v>
      </c>
    </row>
    <row r="1087" spans="1:9" s="1006" customFormat="1" ht="22.9" customHeight="1">
      <c r="A1087" s="1671"/>
      <c r="B1087" s="1669"/>
      <c r="C1087" s="1110"/>
      <c r="D1087" s="1136"/>
      <c r="E1087" s="1005"/>
      <c r="F1087" s="1136"/>
      <c r="G1087" s="2075" t="s">
        <v>1096</v>
      </c>
      <c r="H1087" s="2075"/>
      <c r="I1087" s="1661">
        <f>ROUND(I1086,0)</f>
        <v>10241</v>
      </c>
    </row>
    <row r="1088" spans="1:9" s="1066" customFormat="1" ht="14.65" customHeight="1">
      <c r="A1088" s="1671"/>
      <c r="B1088" s="1654"/>
      <c r="C1088" s="1667"/>
      <c r="D1088" s="1137"/>
      <c r="E1088" s="1022"/>
      <c r="F1088" s="1137"/>
      <c r="G1088" s="1022"/>
      <c r="H1088" s="1654"/>
      <c r="I1088" s="1040"/>
    </row>
    <row r="1089" spans="1:9" s="1066" customFormat="1" ht="14.65" customHeight="1">
      <c r="A1089" s="1671"/>
      <c r="B1089" s="1654"/>
      <c r="C1089" s="1667"/>
      <c r="D1089" s="1137"/>
      <c r="E1089" s="1022"/>
      <c r="F1089" s="1137"/>
      <c r="G1089" s="1022"/>
      <c r="H1089" s="1654"/>
      <c r="I1089" s="1040"/>
    </row>
    <row r="1090" spans="1:9" s="1066" customFormat="1" ht="60.6" customHeight="1">
      <c r="A1090" s="2047">
        <f>A1083+1</f>
        <v>12</v>
      </c>
      <c r="B1090" s="2047"/>
      <c r="C1090" s="2036" t="s">
        <v>3555</v>
      </c>
      <c r="D1090" s="2036"/>
      <c r="E1090" s="2036"/>
      <c r="F1090" s="2036"/>
      <c r="G1090" s="2036"/>
      <c r="H1090" s="2036"/>
      <c r="I1090" s="1662"/>
    </row>
    <row r="1091" spans="1:9" s="1066" customFormat="1" ht="15.6" customHeight="1">
      <c r="A1091" s="1671"/>
      <c r="B1091" s="1654"/>
      <c r="C1091" s="1667" t="s">
        <v>2258</v>
      </c>
      <c r="D1091" s="1137">
        <v>1</v>
      </c>
      <c r="E1091" s="1022" t="s">
        <v>46</v>
      </c>
      <c r="F1091" s="1137">
        <f>'Civil-SOR'!$G$192</f>
        <v>1145</v>
      </c>
      <c r="G1091" s="1137">
        <v>1</v>
      </c>
      <c r="H1091" s="1022" t="s">
        <v>46</v>
      </c>
      <c r="I1091" s="1062">
        <f t="shared" ref="I1091:I1092" si="63">IF(G1091="",D1091*F1091,(D1091*F1091/G1091))</f>
        <v>1145</v>
      </c>
    </row>
    <row r="1092" spans="1:9" s="1066" customFormat="1" ht="15.6" customHeight="1">
      <c r="A1092" s="1671"/>
      <c r="B1092" s="1654"/>
      <c r="C1092" s="1667" t="str">
        <f>Input!$C$48</f>
        <v>Overheads &amp; Contractors Profit @ 13.615%</v>
      </c>
      <c r="D1092" s="1137">
        <f>Input!$D$48</f>
        <v>0.13614999999999999</v>
      </c>
      <c r="E1092" s="1022"/>
      <c r="F1092" s="1137">
        <f>I1091</f>
        <v>1145</v>
      </c>
      <c r="G1092" s="1137"/>
      <c r="H1092" s="1022"/>
      <c r="I1092" s="1062">
        <f t="shared" si="63"/>
        <v>155.89175</v>
      </c>
    </row>
    <row r="1093" spans="1:9" s="1066" customFormat="1" ht="15.6" customHeight="1">
      <c r="A1093" s="1671"/>
      <c r="B1093" s="1654"/>
      <c r="C1093" s="1662" t="s">
        <v>1721</v>
      </c>
      <c r="D1093" s="1137"/>
      <c r="E1093" s="1022"/>
      <c r="F1093" s="1137"/>
      <c r="G1093" s="1137"/>
      <c r="H1093" s="1022"/>
      <c r="I1093" s="1672">
        <f>SUM(I1091:I1092)</f>
        <v>1300.89175</v>
      </c>
    </row>
    <row r="1094" spans="1:9" s="1066" customFormat="1" ht="15.95" customHeight="1">
      <c r="A1094" s="1671"/>
      <c r="B1094" s="1654"/>
      <c r="C1094" s="1667"/>
      <c r="D1094" s="1137"/>
      <c r="E1094" s="1022"/>
      <c r="F1094" s="1137"/>
      <c r="G1094" s="1022"/>
      <c r="H1094" s="1654" t="s">
        <v>1065</v>
      </c>
      <c r="I1094" s="1040">
        <f>ROUND(I1093,0)</f>
        <v>1301</v>
      </c>
    </row>
    <row r="1095" spans="1:9" s="1066" customFormat="1" ht="26.45" customHeight="1">
      <c r="A1095" s="1671"/>
      <c r="B1095" s="1654"/>
      <c r="C1095" s="1667"/>
      <c r="D1095" s="1137"/>
      <c r="E1095" s="1022"/>
      <c r="F1095" s="1137"/>
      <c r="G1095" s="1022"/>
      <c r="H1095" s="1654"/>
      <c r="I1095" s="1040"/>
    </row>
    <row r="1096" spans="1:9" s="1066" customFormat="1" ht="102" customHeight="1">
      <c r="A1096" s="2047">
        <f>1+A1077</f>
        <v>11</v>
      </c>
      <c r="B1096" s="2047"/>
      <c r="C1096" s="2036" t="s">
        <v>2259</v>
      </c>
      <c r="D1096" s="2036"/>
      <c r="E1096" s="2036"/>
      <c r="F1096" s="2036"/>
      <c r="G1096" s="2036"/>
      <c r="H1096" s="2036"/>
      <c r="I1096" s="1662"/>
    </row>
    <row r="1097" spans="1:9" s="1066" customFormat="1" ht="27.95" customHeight="1">
      <c r="A1097" s="1671"/>
      <c r="B1097" s="1654"/>
      <c r="C1097" s="1662" t="s">
        <v>2260</v>
      </c>
      <c r="D1097" s="1677">
        <f>1.8*1.4</f>
        <v>2.52</v>
      </c>
      <c r="E1097" s="1075" t="s">
        <v>46</v>
      </c>
      <c r="F1097" s="1677"/>
      <c r="G1097" s="1677"/>
      <c r="H1097" s="1677"/>
      <c r="I1097" s="1062"/>
    </row>
    <row r="1098" spans="1:9" s="1066" customFormat="1" ht="15.95" customHeight="1">
      <c r="A1098" s="1671"/>
      <c r="B1098" s="1654"/>
      <c r="C1098" s="1662" t="s">
        <v>2261</v>
      </c>
      <c r="D1098" s="1677"/>
      <c r="E1098" s="1075"/>
      <c r="F1098" s="1677"/>
      <c r="G1098" s="1677"/>
      <c r="H1098" s="1677"/>
      <c r="I1098" s="1062"/>
    </row>
    <row r="1099" spans="1:9" s="1066" customFormat="1" ht="19.899999999999999" customHeight="1">
      <c r="A1099" s="1671"/>
      <c r="B1099" s="1654"/>
      <c r="C1099" s="1667" t="s">
        <v>2262</v>
      </c>
      <c r="D1099" s="2090" t="s">
        <v>2263</v>
      </c>
      <c r="E1099" s="2090"/>
      <c r="F1099" s="2090"/>
      <c r="G1099" s="1022"/>
      <c r="H1099" s="1137">
        <f>2*(1.8+1.4)</f>
        <v>6.4</v>
      </c>
      <c r="I1099" s="1022" t="s">
        <v>197</v>
      </c>
    </row>
    <row r="1100" spans="1:9" s="1066" customFormat="1" ht="21" customHeight="1">
      <c r="A1100" s="1671"/>
      <c r="B1100" s="1654"/>
      <c r="C1100" s="1667"/>
      <c r="D1100" s="2090" t="s">
        <v>2264</v>
      </c>
      <c r="E1100" s="2090"/>
      <c r="F1100" s="2090"/>
      <c r="G1100" s="1022"/>
      <c r="H1100" s="1556">
        <f>6.4*1.8</f>
        <v>11.520000000000001</v>
      </c>
      <c r="I1100" s="1658" t="s">
        <v>1110</v>
      </c>
    </row>
    <row r="1101" spans="1:9" s="1066" customFormat="1" ht="15.95" customHeight="1">
      <c r="A1101" s="1671"/>
      <c r="B1101" s="1654"/>
      <c r="C1101" s="1670" t="s">
        <v>2265</v>
      </c>
      <c r="D1101" s="1022"/>
      <c r="E1101" s="1022"/>
      <c r="F1101" s="1137"/>
      <c r="G1101" s="1022"/>
      <c r="H1101" s="1022"/>
      <c r="I1101" s="1671"/>
    </row>
    <row r="1102" spans="1:9" s="1066" customFormat="1" ht="13.9" customHeight="1">
      <c r="A1102" s="1671"/>
      <c r="B1102" s="1654"/>
      <c r="C1102" s="1677" t="s">
        <v>2266</v>
      </c>
      <c r="D1102" s="2090" t="s">
        <v>2267</v>
      </c>
      <c r="E1102" s="2090"/>
      <c r="F1102" s="1677">
        <f>17*1.4</f>
        <v>23.799999999999997</v>
      </c>
      <c r="G1102" s="1022"/>
      <c r="H1102" s="1022"/>
      <c r="I1102" s="1671"/>
    </row>
    <row r="1103" spans="1:9" s="1066" customFormat="1" ht="13.9" customHeight="1">
      <c r="A1103" s="1671"/>
      <c r="B1103" s="1654"/>
      <c r="C1103" s="1677" t="s">
        <v>2268</v>
      </c>
      <c r="D1103" s="2090" t="s">
        <v>2269</v>
      </c>
      <c r="E1103" s="2090"/>
      <c r="F1103" s="1677">
        <f>13*1.8</f>
        <v>23.400000000000002</v>
      </c>
      <c r="G1103" s="1022"/>
      <c r="H1103" s="1022"/>
      <c r="I1103" s="1671"/>
    </row>
    <row r="1104" spans="1:9" s="1066" customFormat="1" ht="15.95" customHeight="1">
      <c r="A1104" s="1671"/>
      <c r="B1104" s="1654"/>
      <c r="C1104" s="1667"/>
      <c r="D1104" s="1022"/>
      <c r="E1104" s="1022"/>
      <c r="F1104" s="1677">
        <f>SUM(F1102:F1103)</f>
        <v>47.2</v>
      </c>
      <c r="G1104" s="1078" t="s">
        <v>197</v>
      </c>
      <c r="H1104" s="1677">
        <f>F1104*0.78</f>
        <v>36.816000000000003</v>
      </c>
      <c r="I1104" s="1658" t="s">
        <v>1110</v>
      </c>
    </row>
    <row r="1105" spans="1:9" s="1066" customFormat="1" ht="15.95" customHeight="1">
      <c r="A1105" s="1671"/>
      <c r="B1105" s="1654"/>
      <c r="C1105" s="1667"/>
      <c r="D1105" s="1022"/>
      <c r="E1105" s="1022"/>
      <c r="F1105" s="1137"/>
      <c r="G1105" s="1022"/>
      <c r="H1105" s="1677">
        <f>SUM(H1100:H1104)</f>
        <v>48.336000000000006</v>
      </c>
      <c r="I1105" s="1658" t="s">
        <v>1110</v>
      </c>
    </row>
    <row r="1106" spans="1:9" s="1066" customFormat="1" ht="15.95" customHeight="1">
      <c r="A1106" s="1671"/>
      <c r="B1106" s="1654"/>
      <c r="C1106" s="1662" t="s">
        <v>1694</v>
      </c>
      <c r="D1106" s="1022"/>
      <c r="E1106" s="1022"/>
      <c r="F1106" s="1137"/>
      <c r="G1106" s="1022"/>
      <c r="H1106" s="1556"/>
      <c r="I1106" s="1677"/>
    </row>
    <row r="1107" spans="1:9" s="1066" customFormat="1">
      <c r="A1107" s="1671"/>
      <c r="B1107" s="1654"/>
      <c r="C1107" s="1667" t="s">
        <v>2270</v>
      </c>
      <c r="D1107" s="1137">
        <f>H1104</f>
        <v>36.816000000000003</v>
      </c>
      <c r="E1107" s="1178" t="s">
        <v>1110</v>
      </c>
      <c r="F1107" s="1137">
        <f>LEAD!$N$10</f>
        <v>61000</v>
      </c>
      <c r="G1107" s="1081">
        <v>1000</v>
      </c>
      <c r="H1107" s="1178" t="s">
        <v>1110</v>
      </c>
      <c r="I1107" s="1062">
        <f t="shared" ref="I1107:I1112" si="64">IF(G1107="",D1107*F1107,(D1107*F1107/G1107))</f>
        <v>2245.7759999999998</v>
      </c>
    </row>
    <row r="1108" spans="1:9" s="1066" customFormat="1">
      <c r="A1108" s="1671"/>
      <c r="B1108" s="1654"/>
      <c r="C1108" s="1667" t="s">
        <v>2271</v>
      </c>
      <c r="D1108" s="1060">
        <f>H1100</f>
        <v>11.520000000000001</v>
      </c>
      <c r="E1108" s="1178" t="s">
        <v>1110</v>
      </c>
      <c r="F1108" s="1137">
        <f>LEAD!$N$11</f>
        <v>62000</v>
      </c>
      <c r="G1108" s="1081">
        <v>1000</v>
      </c>
      <c r="H1108" s="1178" t="s">
        <v>1110</v>
      </c>
      <c r="I1108" s="1062">
        <f t="shared" si="64"/>
        <v>714.24000000000012</v>
      </c>
    </row>
    <row r="1109" spans="1:9" s="1066" customFormat="1">
      <c r="A1109" s="1671"/>
      <c r="B1109" s="1654"/>
      <c r="C1109" s="1677" t="s">
        <v>2272</v>
      </c>
      <c r="D1109" s="1677">
        <v>4</v>
      </c>
      <c r="E1109" s="1677" t="s">
        <v>36</v>
      </c>
      <c r="F1109" s="1137">
        <f>'Civil-SOR'!$G$385</f>
        <v>37</v>
      </c>
      <c r="G1109" s="1677"/>
      <c r="H1109" s="1677" t="s">
        <v>501</v>
      </c>
      <c r="I1109" s="1068">
        <f t="shared" si="64"/>
        <v>148</v>
      </c>
    </row>
    <row r="1110" spans="1:9" s="1066" customFormat="1" ht="25.5">
      <c r="A1110" s="1671"/>
      <c r="B1110" s="1654"/>
      <c r="C1110" s="1667" t="s">
        <v>2273</v>
      </c>
      <c r="D1110" s="1060">
        <f>H1105</f>
        <v>48.336000000000006</v>
      </c>
      <c r="E1110" s="1178" t="s">
        <v>1110</v>
      </c>
      <c r="F1110" s="1677">
        <f>'Civil-SOR'!$G$202</f>
        <v>37</v>
      </c>
      <c r="G1110" s="1081">
        <v>1</v>
      </c>
      <c r="H1110" s="1178" t="s">
        <v>97</v>
      </c>
      <c r="I1110" s="1062">
        <f t="shared" si="64"/>
        <v>1788.4320000000002</v>
      </c>
    </row>
    <row r="1111" spans="1:9" s="1066" customFormat="1" ht="25.5">
      <c r="A1111" s="1671"/>
      <c r="B1111" s="1654"/>
      <c r="C1111" s="1667" t="s">
        <v>2274</v>
      </c>
      <c r="D1111" s="1160">
        <f>H1105</f>
        <v>48.336000000000006</v>
      </c>
      <c r="E1111" s="1178"/>
      <c r="F1111" s="1677">
        <f>'Civil-SOR'!$G$203</f>
        <v>6</v>
      </c>
      <c r="G1111" s="1081"/>
      <c r="H1111" s="1097"/>
      <c r="I1111" s="1062">
        <f t="shared" si="64"/>
        <v>290.01600000000002</v>
      </c>
    </row>
    <row r="1112" spans="1:9" s="1066" customFormat="1">
      <c r="A1112" s="1671"/>
      <c r="B1112" s="1654"/>
      <c r="C1112" s="1667" t="str">
        <f>Input!$C$47</f>
        <v>Add for MA @ 40%</v>
      </c>
      <c r="D1112" s="1160">
        <f>Input!$D$47</f>
        <v>0.4</v>
      </c>
      <c r="E1112" s="1112"/>
      <c r="F1112" s="1677">
        <f>I1110*40%+I1111</f>
        <v>1005.3888000000002</v>
      </c>
      <c r="G1112" s="1076"/>
      <c r="H1112" s="1670"/>
      <c r="I1112" s="1062">
        <f t="shared" si="64"/>
        <v>402.15552000000008</v>
      </c>
    </row>
    <row r="1113" spans="1:9" s="1066" customFormat="1" ht="17.45" customHeight="1">
      <c r="A1113" s="1671"/>
      <c r="B1113" s="1654"/>
      <c r="C1113" s="1658" t="s">
        <v>2275</v>
      </c>
      <c r="D1113" s="1139"/>
      <c r="E1113" s="1112"/>
      <c r="F1113" s="1677"/>
      <c r="G1113" s="1081"/>
      <c r="H1113" s="1677"/>
      <c r="I1113" s="1065">
        <f>SUM(I1107:I1112)</f>
        <v>5588.6195200000002</v>
      </c>
    </row>
    <row r="1114" spans="1:9" s="1066" customFormat="1" ht="13.15" customHeight="1">
      <c r="A1114" s="1671"/>
      <c r="B1114" s="1654"/>
      <c r="C1114" s="1022"/>
      <c r="D1114" s="1139"/>
      <c r="E1114" s="1112"/>
      <c r="F1114" s="1677"/>
      <c r="G1114" s="1081"/>
      <c r="H1114" s="1677"/>
      <c r="I1114" s="1065">
        <f>I1113/2.52</f>
        <v>2217.7061587301587</v>
      </c>
    </row>
    <row r="1115" spans="1:9" s="1066" customFormat="1" ht="13.9" customHeight="1">
      <c r="A1115" s="1671"/>
      <c r="B1115" s="1654"/>
      <c r="C1115" s="1667" t="str">
        <f>Input!$C$48</f>
        <v>Overheads &amp; Contractors Profit @ 13.615%</v>
      </c>
      <c r="D1115" s="1579">
        <f>Input!$D$48</f>
        <v>0.13614999999999999</v>
      </c>
      <c r="E1115" s="1112"/>
      <c r="F1115" s="1677">
        <f>I1114</f>
        <v>2217.7061587301587</v>
      </c>
      <c r="G1115" s="1076"/>
      <c r="H1115" s="1670"/>
      <c r="I1115" s="1062">
        <f>IF(G1115="",D1115*F1115,(D1115*F1115/G1115))</f>
        <v>301.94069351111108</v>
      </c>
    </row>
    <row r="1116" spans="1:9" s="1066" customFormat="1" ht="17.45" customHeight="1">
      <c r="A1116" s="1671"/>
      <c r="B1116" s="1654"/>
      <c r="C1116" s="1022"/>
      <c r="D1116" s="1139"/>
      <c r="E1116" s="1112"/>
      <c r="F1116" s="1677"/>
      <c r="G1116" s="1081"/>
      <c r="H1116" s="1677"/>
      <c r="I1116" s="1065">
        <f>SUM(I1114:I1115)</f>
        <v>2519.6468522412697</v>
      </c>
    </row>
    <row r="1117" spans="1:9" s="1066" customFormat="1" ht="17.45" customHeight="1">
      <c r="A1117" s="1671"/>
      <c r="B1117" s="1654"/>
      <c r="C1117" s="1677" t="s">
        <v>1117</v>
      </c>
      <c r="D1117" s="1677"/>
      <c r="E1117" s="1112"/>
      <c r="F1117" s="1677"/>
      <c r="G1117" s="2075" t="s">
        <v>1096</v>
      </c>
      <c r="H1117" s="2075"/>
      <c r="I1117" s="1163">
        <f>ROUND(I1116,0)</f>
        <v>2520</v>
      </c>
    </row>
    <row r="1118" spans="1:9" s="1066" customFormat="1" ht="9.6" customHeight="1">
      <c r="A1118" s="1580"/>
      <c r="B1118" s="1581"/>
      <c r="C1118" s="1582"/>
      <c r="D1118" s="1583"/>
      <c r="E1118" s="1508"/>
      <c r="F1118" s="1583"/>
      <c r="G1118" s="1508"/>
      <c r="H1118" s="1581"/>
      <c r="I1118" s="1584"/>
    </row>
    <row r="1119" spans="1:9" s="1066" customFormat="1" ht="198.6" customHeight="1">
      <c r="A1119" s="2078">
        <f>A1096+1</f>
        <v>12</v>
      </c>
      <c r="B1119" s="2078"/>
      <c r="C1119" s="2081" t="s">
        <v>3556</v>
      </c>
      <c r="D1119" s="2081"/>
      <c r="E1119" s="2081"/>
      <c r="F1119" s="2081"/>
      <c r="G1119" s="2081"/>
      <c r="H1119" s="2081"/>
      <c r="I1119" s="1680"/>
    </row>
    <row r="1120" spans="1:9" s="1066" customFormat="1" ht="19.899999999999999" customHeight="1">
      <c r="A1120" s="1585"/>
      <c r="B1120" s="1586"/>
      <c r="C1120" s="1587" t="s">
        <v>2276</v>
      </c>
      <c r="D1120" s="1588">
        <v>1</v>
      </c>
      <c r="E1120" s="1516" t="s">
        <v>46</v>
      </c>
      <c r="F1120" s="1588">
        <f>'Civil-SOR'!$G$132</f>
        <v>7813</v>
      </c>
      <c r="G1120" s="1588">
        <v>1</v>
      </c>
      <c r="H1120" s="1516" t="s">
        <v>46</v>
      </c>
      <c r="I1120" s="1589">
        <f t="shared" ref="I1120:I1121" si="65">IF(G1120="",D1120*F1120,(D1120*F1120/G1120))</f>
        <v>7813</v>
      </c>
    </row>
    <row r="1121" spans="1:11" s="1066" customFormat="1" ht="19.899999999999999" customHeight="1">
      <c r="A1121" s="1585"/>
      <c r="B1121" s="1586"/>
      <c r="C1121" s="1587" t="str">
        <f>Input!$C$48</f>
        <v>Overheads &amp; Contractors Profit @ 13.615%</v>
      </c>
      <c r="D1121" s="1590">
        <f>Input!$D$48</f>
        <v>0.13614999999999999</v>
      </c>
      <c r="E1121" s="1516"/>
      <c r="F1121" s="1588">
        <f>I1120</f>
        <v>7813</v>
      </c>
      <c r="G1121" s="1588"/>
      <c r="H1121" s="1516"/>
      <c r="I1121" s="1589">
        <f t="shared" si="65"/>
        <v>1063.7399499999999</v>
      </c>
    </row>
    <row r="1122" spans="1:11" s="1066" customFormat="1" ht="19.899999999999999" customHeight="1">
      <c r="A1122" s="1585"/>
      <c r="B1122" s="1586"/>
      <c r="C1122" s="1680" t="s">
        <v>1721</v>
      </c>
      <c r="D1122" s="1588"/>
      <c r="E1122" s="1516"/>
      <c r="F1122" s="1588"/>
      <c r="G1122" s="1588"/>
      <c r="H1122" s="1516"/>
      <c r="I1122" s="1684">
        <f>SUM(I1120:I1121)</f>
        <v>8876.7399499999992</v>
      </c>
    </row>
    <row r="1123" spans="1:11" s="1006" customFormat="1" ht="19.899999999999999" customHeight="1">
      <c r="A1123" s="1591"/>
      <c r="B1123" s="1592"/>
      <c r="C1123" s="1593"/>
      <c r="D1123" s="1594"/>
      <c r="E1123" s="1595"/>
      <c r="F1123" s="1594"/>
      <c r="G1123" s="2088" t="s">
        <v>1096</v>
      </c>
      <c r="H1123" s="2088"/>
      <c r="I1123" s="1596">
        <f>ROUND(I1122,0)</f>
        <v>8877</v>
      </c>
    </row>
    <row r="1124" spans="1:11" s="1066" customFormat="1" ht="12.75" customHeight="1">
      <c r="A1124" s="1585"/>
      <c r="B1124" s="1586"/>
      <c r="C1124" s="1587"/>
      <c r="D1124" s="1588"/>
      <c r="E1124" s="1516"/>
      <c r="F1124" s="1588"/>
      <c r="G1124" s="1516"/>
      <c r="H1124" s="1516"/>
      <c r="I1124" s="1684"/>
    </row>
    <row r="1125" spans="1:11" s="1066" customFormat="1" ht="188.45" customHeight="1">
      <c r="A1125" s="2078">
        <f>A1119+1</f>
        <v>13</v>
      </c>
      <c r="B1125" s="2078"/>
      <c r="C1125" s="2089" t="s">
        <v>3557</v>
      </c>
      <c r="D1125" s="2089"/>
      <c r="E1125" s="2089"/>
      <c r="F1125" s="2089"/>
      <c r="G1125" s="2089"/>
      <c r="H1125" s="2089"/>
      <c r="I1125" s="1680"/>
    </row>
    <row r="1126" spans="1:11" s="1066" customFormat="1" ht="27.6" customHeight="1">
      <c r="A1126" s="1585"/>
      <c r="B1126" s="1586"/>
      <c r="C1126" s="1680" t="s">
        <v>1935</v>
      </c>
      <c r="D1126" s="1122" t="s">
        <v>1982</v>
      </c>
      <c r="E1126" s="2085" t="s">
        <v>2277</v>
      </c>
      <c r="F1126" s="2085"/>
      <c r="G1126" s="1516"/>
      <c r="H1126" s="1586">
        <f>1.8*1.3</f>
        <v>2.3400000000000003</v>
      </c>
      <c r="I1126" s="1597" t="s">
        <v>94</v>
      </c>
    </row>
    <row r="1127" spans="1:11" s="1066" customFormat="1" ht="21" customHeight="1">
      <c r="A1127" s="1585"/>
      <c r="B1127" s="1586"/>
      <c r="C1127" s="1587" t="s">
        <v>2278</v>
      </c>
      <c r="D1127" s="2082" t="s">
        <v>2279</v>
      </c>
      <c r="E1127" s="2082"/>
      <c r="F1127" s="2082"/>
      <c r="G1127" s="1516"/>
      <c r="H1127" s="1516"/>
      <c r="I1127" s="1684"/>
      <c r="K1127" s="1066">
        <f>(1.8+1.3)*2</f>
        <v>6.2</v>
      </c>
    </row>
    <row r="1128" spans="1:11" s="1066" customFormat="1" ht="19.149999999999999" customHeight="1">
      <c r="A1128" s="1585"/>
      <c r="B1128" s="1586"/>
      <c r="C1128" s="1587"/>
      <c r="D1128" s="2083" t="s">
        <v>2280</v>
      </c>
      <c r="E1128" s="2083"/>
      <c r="F1128" s="2083"/>
      <c r="G1128" s="1516"/>
      <c r="H1128" s="1516">
        <f>ROUND(6.2*0.775,2)</f>
        <v>4.8099999999999996</v>
      </c>
      <c r="I1128" s="1516" t="s">
        <v>1637</v>
      </c>
    </row>
    <row r="1129" spans="1:11" s="1066" customFormat="1" ht="16.149999999999999" customHeight="1">
      <c r="A1129" s="1585"/>
      <c r="B1129" s="1586"/>
      <c r="C1129" s="2087" t="s">
        <v>2281</v>
      </c>
      <c r="D1129" s="2082" t="s">
        <v>2282</v>
      </c>
      <c r="E1129" s="2082"/>
      <c r="F1129" s="2082"/>
      <c r="G1129" s="1516"/>
      <c r="H1129" s="1516"/>
      <c r="I1129" s="1684"/>
    </row>
    <row r="1130" spans="1:11" s="1066" customFormat="1" ht="16.899999999999999" customHeight="1">
      <c r="A1130" s="1585"/>
      <c r="B1130" s="1586"/>
      <c r="C1130" s="2087"/>
      <c r="D1130" s="2082" t="s">
        <v>2283</v>
      </c>
      <c r="E1130" s="2082"/>
      <c r="F1130" s="2082"/>
      <c r="G1130" s="1516"/>
      <c r="H1130" s="1516">
        <f>ROUND(2.6*1.123,2)</f>
        <v>2.92</v>
      </c>
      <c r="I1130" s="1516" t="s">
        <v>1637</v>
      </c>
    </row>
    <row r="1131" spans="1:11" s="1066" customFormat="1" ht="15.6" customHeight="1">
      <c r="A1131" s="1585"/>
      <c r="B1131" s="1586"/>
      <c r="C1131" s="2087" t="s">
        <v>2284</v>
      </c>
      <c r="D1131" s="2078" t="s">
        <v>2285</v>
      </c>
      <c r="E1131" s="2078"/>
      <c r="F1131" s="2078"/>
      <c r="G1131" s="2078"/>
      <c r="H1131" s="1516"/>
      <c r="I1131" s="1684"/>
    </row>
    <row r="1132" spans="1:11" s="1066" customFormat="1" ht="14.45" customHeight="1">
      <c r="A1132" s="1585"/>
      <c r="B1132" s="1586"/>
      <c r="C1132" s="2087"/>
      <c r="D1132" s="2078" t="s">
        <v>2286</v>
      </c>
      <c r="E1132" s="2078"/>
      <c r="F1132" s="2078"/>
      <c r="G1132" s="2078"/>
      <c r="H1132" s="1516">
        <f>ROUND(11.4*0.663,2)</f>
        <v>7.56</v>
      </c>
      <c r="I1132" s="1516" t="s">
        <v>1637</v>
      </c>
    </row>
    <row r="1133" spans="1:11" s="1066" customFormat="1" ht="15.6" customHeight="1">
      <c r="A1133" s="1585"/>
      <c r="B1133" s="1586"/>
      <c r="C1133" s="1587" t="s">
        <v>2287</v>
      </c>
      <c r="D1133" s="2078" t="s">
        <v>2288</v>
      </c>
      <c r="E1133" s="2078"/>
      <c r="F1133" s="2078"/>
      <c r="G1133" s="1516"/>
      <c r="H1133" s="1516"/>
      <c r="I1133" s="1516"/>
    </row>
    <row r="1134" spans="1:11" s="1066" customFormat="1" ht="15.6" customHeight="1">
      <c r="A1134" s="1585"/>
      <c r="B1134" s="1586"/>
      <c r="C1134" s="1587"/>
      <c r="D1134" s="2078" t="s">
        <v>2289</v>
      </c>
      <c r="E1134" s="2078"/>
      <c r="F1134" s="2078"/>
      <c r="G1134" s="2078"/>
      <c r="H1134" s="1598">
        <f>ROUND(11.4*0.101,2)</f>
        <v>1.1499999999999999</v>
      </c>
      <c r="I1134" s="1516" t="s">
        <v>1637</v>
      </c>
      <c r="K1134" s="1066">
        <f>3*2*(0.6+1.3)</f>
        <v>11.399999999999999</v>
      </c>
    </row>
    <row r="1135" spans="1:11" s="1066" customFormat="1" ht="15.95" customHeight="1">
      <c r="A1135" s="1585"/>
      <c r="B1135" s="1586"/>
      <c r="C1135" s="1516"/>
      <c r="D1135" s="1588"/>
      <c r="E1135" s="1516"/>
      <c r="F1135" s="1588"/>
      <c r="G1135" s="1516"/>
      <c r="H1135" s="1598">
        <f>SUM(H1128:H1134)</f>
        <v>16.439999999999998</v>
      </c>
      <c r="I1135" s="1516" t="s">
        <v>1637</v>
      </c>
    </row>
    <row r="1136" spans="1:11" s="1066" customFormat="1" ht="15.95" customHeight="1">
      <c r="A1136" s="1585"/>
      <c r="B1136" s="1586"/>
      <c r="C1136" s="1680" t="s">
        <v>1965</v>
      </c>
      <c r="D1136" s="1588"/>
      <c r="E1136" s="1516"/>
      <c r="F1136" s="1588"/>
      <c r="G1136" s="1586"/>
      <c r="H1136" s="1516"/>
      <c r="I1136" s="1684"/>
    </row>
    <row r="1137" spans="1:9" s="1066" customFormat="1" ht="22.9" customHeight="1">
      <c r="A1137" s="1585"/>
      <c r="B1137" s="1586"/>
      <c r="C1137" s="1587" t="s">
        <v>2290</v>
      </c>
      <c r="D1137" s="1588">
        <f>H1135</f>
        <v>16.439999999999998</v>
      </c>
      <c r="E1137" s="1516" t="s">
        <v>1637</v>
      </c>
      <c r="F1137" s="1588">
        <f>'Civil-SOR'!$G$186</f>
        <v>332</v>
      </c>
      <c r="G1137" s="1516">
        <v>1</v>
      </c>
      <c r="H1137" s="1516" t="s">
        <v>1637</v>
      </c>
      <c r="I1137" s="1684">
        <f t="shared" ref="I1137:I1142" si="66">D1137*F1137/G1137</f>
        <v>5458.079999999999</v>
      </c>
    </row>
    <row r="1138" spans="1:9" s="1066" customFormat="1" ht="22.9" customHeight="1">
      <c r="A1138" s="1585"/>
      <c r="B1138" s="1586"/>
      <c r="C1138" s="1587" t="s">
        <v>2291</v>
      </c>
      <c r="D1138" s="1588">
        <f>H1126</f>
        <v>2.3400000000000003</v>
      </c>
      <c r="E1138" s="1516" t="s">
        <v>2292</v>
      </c>
      <c r="F1138" s="1588">
        <f>'Civil-SOR'!$G$49</f>
        <v>568</v>
      </c>
      <c r="G1138" s="1516">
        <v>1</v>
      </c>
      <c r="H1138" s="1516" t="s">
        <v>2292</v>
      </c>
      <c r="I1138" s="1684">
        <f t="shared" si="66"/>
        <v>1329.1200000000001</v>
      </c>
    </row>
    <row r="1139" spans="1:9" s="1066" customFormat="1" ht="22.9" customHeight="1">
      <c r="A1139" s="1585"/>
      <c r="B1139" s="1586"/>
      <c r="C1139" s="1587" t="s">
        <v>2293</v>
      </c>
      <c r="D1139" s="1588">
        <v>11.4</v>
      </c>
      <c r="E1139" s="1516" t="s">
        <v>197</v>
      </c>
      <c r="F1139" s="1588">
        <f>'Civil-SOR'!$G$187</f>
        <v>5</v>
      </c>
      <c r="G1139" s="1516">
        <v>1</v>
      </c>
      <c r="H1139" s="1516" t="s">
        <v>197</v>
      </c>
      <c r="I1139" s="1684">
        <f t="shared" si="66"/>
        <v>57</v>
      </c>
    </row>
    <row r="1140" spans="1:9" s="1066" customFormat="1" ht="22.9" customHeight="1">
      <c r="A1140" s="1585"/>
      <c r="B1140" s="1586"/>
      <c r="C1140" s="1587" t="s">
        <v>2294</v>
      </c>
      <c r="D1140" s="1599">
        <v>4</v>
      </c>
      <c r="E1140" s="1516" t="s">
        <v>36</v>
      </c>
      <c r="F1140" s="1588">
        <f>'Civil-SOR'!$G$162</f>
        <v>239</v>
      </c>
      <c r="G1140" s="1516">
        <v>1</v>
      </c>
      <c r="H1140" s="1516" t="s">
        <v>501</v>
      </c>
      <c r="I1140" s="1684">
        <f t="shared" si="66"/>
        <v>956</v>
      </c>
    </row>
    <row r="1141" spans="1:9" s="1066" customFormat="1" ht="22.9" customHeight="1">
      <c r="A1141" s="1585"/>
      <c r="B1141" s="1586"/>
      <c r="C1141" s="1587" t="s">
        <v>2295</v>
      </c>
      <c r="D1141" s="1599">
        <v>2</v>
      </c>
      <c r="E1141" s="1516" t="s">
        <v>36</v>
      </c>
      <c r="F1141" s="1588">
        <f>'Civil-SOR'!$G$396</f>
        <v>75</v>
      </c>
      <c r="G1141" s="1516">
        <v>1</v>
      </c>
      <c r="H1141" s="1516" t="s">
        <v>501</v>
      </c>
      <c r="I1141" s="1684">
        <f t="shared" si="66"/>
        <v>150</v>
      </c>
    </row>
    <row r="1142" spans="1:9" s="1066" customFormat="1" ht="22.9" customHeight="1">
      <c r="A1142" s="1585"/>
      <c r="B1142" s="1586"/>
      <c r="C1142" s="1587" t="s">
        <v>453</v>
      </c>
      <c r="D1142" s="1588">
        <f>H1126</f>
        <v>2.3400000000000003</v>
      </c>
      <c r="E1142" s="1516" t="s">
        <v>2296</v>
      </c>
      <c r="F1142" s="1588">
        <f>$I$68</f>
        <v>1069.9939999999999</v>
      </c>
      <c r="G1142" s="1516">
        <v>1</v>
      </c>
      <c r="H1142" s="1516" t="s">
        <v>2296</v>
      </c>
      <c r="I1142" s="1684">
        <f t="shared" si="66"/>
        <v>2503.7859600000002</v>
      </c>
    </row>
    <row r="1143" spans="1:9" s="1066" customFormat="1" ht="16.899999999999999" customHeight="1">
      <c r="A1143" s="1585"/>
      <c r="B1143" s="1586"/>
      <c r="C1143" s="1587" t="s">
        <v>2297</v>
      </c>
      <c r="D1143" s="2078" t="s">
        <v>1707</v>
      </c>
      <c r="E1143" s="2078"/>
      <c r="F1143" s="1588"/>
      <c r="G1143" s="1516"/>
      <c r="H1143" s="1516"/>
      <c r="I1143" s="1684">
        <v>3.78</v>
      </c>
    </row>
    <row r="1144" spans="1:9" s="1066" customFormat="1" ht="18" customHeight="1">
      <c r="A1144" s="1585"/>
      <c r="B1144" s="1586"/>
      <c r="C1144" s="1587"/>
      <c r="D1144" s="1588"/>
      <c r="E1144" s="1516"/>
      <c r="F1144" s="1588"/>
      <c r="G1144" s="1516"/>
      <c r="H1144" s="1516"/>
      <c r="I1144" s="1684">
        <f>SUM(I1137:I1143)</f>
        <v>10457.765959999999</v>
      </c>
    </row>
    <row r="1145" spans="1:9" s="1066" customFormat="1" ht="22.9" customHeight="1">
      <c r="A1145" s="1585"/>
      <c r="B1145" s="1586"/>
      <c r="C1145" s="1516" t="str">
        <f>Input!$C$48</f>
        <v>Overheads &amp; Contractors Profit @ 13.615%</v>
      </c>
      <c r="D1145" s="1590">
        <f>Input!$D$48</f>
        <v>0.13614999999999999</v>
      </c>
      <c r="E1145" s="1516"/>
      <c r="F1145" s="1588">
        <f>I1144</f>
        <v>10457.765959999999</v>
      </c>
      <c r="G1145" s="1516"/>
      <c r="H1145" s="1516"/>
      <c r="I1145" s="1684">
        <f>D1145*F1145</f>
        <v>1423.8248354539999</v>
      </c>
    </row>
    <row r="1146" spans="1:9" s="1006" customFormat="1" ht="22.9" customHeight="1">
      <c r="A1146" s="1591"/>
      <c r="B1146" s="1592"/>
      <c r="C1146" s="1600" t="s">
        <v>2298</v>
      </c>
      <c r="D1146" s="1594"/>
      <c r="E1146" s="1595"/>
      <c r="F1146" s="1594"/>
      <c r="G1146" s="1595"/>
      <c r="H1146" s="1595"/>
      <c r="I1146" s="1601">
        <f>I1144+I1145</f>
        <v>11881.590795453998</v>
      </c>
    </row>
    <row r="1147" spans="1:9" s="1006" customFormat="1" ht="22.9" customHeight="1">
      <c r="A1147" s="1591"/>
      <c r="B1147" s="1592"/>
      <c r="C1147" s="1600" t="s">
        <v>2179</v>
      </c>
      <c r="D1147" s="1594"/>
      <c r="E1147" s="1595"/>
      <c r="F1147" s="1594"/>
      <c r="G1147" s="1595"/>
      <c r="H1147" s="1595"/>
      <c r="I1147" s="1601">
        <f>I1146/H1126</f>
        <v>5077.6029040401691</v>
      </c>
    </row>
    <row r="1148" spans="1:9" s="1006" customFormat="1" ht="22.9" customHeight="1">
      <c r="A1148" s="1591"/>
      <c r="B1148" s="1592"/>
      <c r="C1148" s="1593"/>
      <c r="D1148" s="1594"/>
      <c r="E1148" s="1595"/>
      <c r="F1148" s="1594"/>
      <c r="G1148" s="2078" t="s">
        <v>1034</v>
      </c>
      <c r="H1148" s="2078"/>
      <c r="I1148" s="1596">
        <f>ROUND(I1147,0)</f>
        <v>5078</v>
      </c>
    </row>
    <row r="1149" spans="1:9" s="1066" customFormat="1" ht="14.65" customHeight="1">
      <c r="A1149" s="1585"/>
      <c r="B1149" s="1586"/>
      <c r="C1149" s="1587"/>
      <c r="D1149" s="1588"/>
      <c r="E1149" s="1516"/>
      <c r="F1149" s="1588"/>
      <c r="G1149" s="1516"/>
      <c r="H1149" s="1516"/>
      <c r="I1149" s="1678"/>
    </row>
    <row r="1150" spans="1:9" s="1066" customFormat="1" ht="163.15" customHeight="1">
      <c r="A1150" s="2078">
        <f>A1125+1</f>
        <v>14</v>
      </c>
      <c r="B1150" s="2078"/>
      <c r="C1150" s="2081" t="s">
        <v>3558</v>
      </c>
      <c r="D1150" s="2081"/>
      <c r="E1150" s="2081"/>
      <c r="F1150" s="2081"/>
      <c r="G1150" s="2081"/>
      <c r="H1150" s="2081"/>
      <c r="I1150" s="1680"/>
    </row>
    <row r="1151" spans="1:9" s="1066" customFormat="1" ht="21" customHeight="1">
      <c r="A1151" s="1585"/>
      <c r="B1151" s="1586"/>
      <c r="C1151" s="1680" t="s">
        <v>1935</v>
      </c>
      <c r="D1151" s="1122" t="s">
        <v>1982</v>
      </c>
      <c r="E1151" s="2085" t="s">
        <v>2299</v>
      </c>
      <c r="F1151" s="2085"/>
      <c r="G1151" s="1516"/>
      <c r="H1151" s="1586">
        <f>0.9*0.5</f>
        <v>0.45</v>
      </c>
      <c r="I1151" s="1597" t="s">
        <v>94</v>
      </c>
    </row>
    <row r="1152" spans="1:9" s="1066" customFormat="1" ht="19.149999999999999" customHeight="1">
      <c r="A1152" s="1585"/>
      <c r="B1152" s="1586"/>
      <c r="C1152" s="1587" t="s">
        <v>2278</v>
      </c>
      <c r="D1152" s="2082" t="s">
        <v>2300</v>
      </c>
      <c r="E1152" s="2082"/>
      <c r="F1152" s="2082"/>
      <c r="G1152" s="1516"/>
      <c r="H1152" s="1516"/>
      <c r="I1152" s="1684"/>
    </row>
    <row r="1153" spans="1:9" s="1066" customFormat="1" ht="23.45" customHeight="1">
      <c r="A1153" s="1585"/>
      <c r="B1153" s="1586"/>
      <c r="C1153" s="1587"/>
      <c r="D1153" s="2082" t="s">
        <v>2301</v>
      </c>
      <c r="E1153" s="2082"/>
      <c r="F1153" s="2082"/>
      <c r="G1153" s="2078">
        <f>ROUND(2.8*0.775,2)</f>
        <v>2.17</v>
      </c>
      <c r="H1153" s="2078"/>
      <c r="I1153" s="1516" t="s">
        <v>1637</v>
      </c>
    </row>
    <row r="1154" spans="1:9" s="1066" customFormat="1" ht="21" customHeight="1">
      <c r="A1154" s="1585"/>
      <c r="B1154" s="1586"/>
      <c r="C1154" s="2087" t="s">
        <v>2302</v>
      </c>
      <c r="D1154" s="2082" t="s">
        <v>2303</v>
      </c>
      <c r="E1154" s="2082"/>
      <c r="F1154" s="2082"/>
      <c r="G1154" s="2078"/>
      <c r="H1154" s="2078"/>
      <c r="I1154" s="1684"/>
    </row>
    <row r="1155" spans="1:9" s="1066" customFormat="1" ht="21" customHeight="1">
      <c r="A1155" s="1585"/>
      <c r="B1155" s="1586"/>
      <c r="C1155" s="2087"/>
      <c r="D1155" s="2082" t="s">
        <v>2304</v>
      </c>
      <c r="E1155" s="2082"/>
      <c r="F1155" s="2082"/>
      <c r="G1155" s="2078">
        <f>ROUND(3.8*0.663,2)</f>
        <v>2.52</v>
      </c>
      <c r="H1155" s="2078"/>
      <c r="I1155" s="1516" t="s">
        <v>1637</v>
      </c>
    </row>
    <row r="1156" spans="1:9" s="1066" customFormat="1" ht="16.899999999999999" customHeight="1">
      <c r="A1156" s="1585"/>
      <c r="B1156" s="1586"/>
      <c r="C1156" s="1587" t="s">
        <v>2305</v>
      </c>
      <c r="D1156" s="2082" t="s">
        <v>2303</v>
      </c>
      <c r="E1156" s="2082"/>
      <c r="F1156" s="2082"/>
      <c r="G1156" s="1516"/>
      <c r="H1156" s="1516"/>
      <c r="I1156" s="1684"/>
    </row>
    <row r="1157" spans="1:9" s="1066" customFormat="1" ht="24" customHeight="1">
      <c r="A1157" s="1585"/>
      <c r="B1157" s="1586"/>
      <c r="C1157" s="1587"/>
      <c r="D1157" s="2082" t="s">
        <v>2306</v>
      </c>
      <c r="E1157" s="2082"/>
      <c r="F1157" s="2082"/>
      <c r="G1157" s="2078">
        <f>ROUND(3.8*0.101,2)</f>
        <v>0.38</v>
      </c>
      <c r="H1157" s="2078"/>
      <c r="I1157" s="1516" t="s">
        <v>1637</v>
      </c>
    </row>
    <row r="1158" spans="1:9" s="1066" customFormat="1" ht="18.600000000000001" customHeight="1">
      <c r="A1158" s="1585"/>
      <c r="B1158" s="1586"/>
      <c r="C1158" s="1587"/>
      <c r="D1158" s="1588"/>
      <c r="E1158" s="1516"/>
      <c r="F1158" s="1588"/>
      <c r="G1158" s="2078">
        <f>SUM(G1153:G1157)</f>
        <v>5.0699999999999994</v>
      </c>
      <c r="H1158" s="2078"/>
      <c r="I1158" s="1516" t="s">
        <v>1637</v>
      </c>
    </row>
    <row r="1159" spans="1:9" s="1066" customFormat="1" ht="15.95" customHeight="1">
      <c r="A1159" s="1585"/>
      <c r="B1159" s="1586"/>
      <c r="C1159" s="1680" t="s">
        <v>1965</v>
      </c>
      <c r="D1159" s="1588"/>
      <c r="E1159" s="1516"/>
      <c r="F1159" s="1588"/>
      <c r="G1159" s="1516"/>
      <c r="H1159" s="1516"/>
      <c r="I1159" s="1684"/>
    </row>
    <row r="1160" spans="1:9" s="1066" customFormat="1" ht="24.6" customHeight="1">
      <c r="A1160" s="1585"/>
      <c r="B1160" s="1586"/>
      <c r="C1160" s="1587" t="s">
        <v>2307</v>
      </c>
      <c r="D1160" s="1588">
        <f>G1158</f>
        <v>5.0699999999999994</v>
      </c>
      <c r="E1160" s="1516" t="s">
        <v>1637</v>
      </c>
      <c r="F1160" s="1588">
        <f>'Civil-SOR'!$G$186</f>
        <v>332</v>
      </c>
      <c r="G1160" s="1516">
        <v>1</v>
      </c>
      <c r="H1160" s="1516" t="s">
        <v>1637</v>
      </c>
      <c r="I1160" s="1684">
        <f t="shared" ref="I1160:I1163" si="67">D1160*F1160</f>
        <v>1683.2399999999998</v>
      </c>
    </row>
    <row r="1161" spans="1:9" s="1066" customFormat="1" ht="24.6" customHeight="1">
      <c r="A1161" s="1585"/>
      <c r="B1161" s="1586"/>
      <c r="C1161" s="1587" t="s">
        <v>2291</v>
      </c>
      <c r="D1161" s="1588">
        <v>0.45</v>
      </c>
      <c r="E1161" s="1516" t="s">
        <v>2292</v>
      </c>
      <c r="F1161" s="1588">
        <f>'Civil-SOR'!$G$49</f>
        <v>568</v>
      </c>
      <c r="G1161" s="1516">
        <v>1</v>
      </c>
      <c r="H1161" s="1516" t="s">
        <v>2292</v>
      </c>
      <c r="I1161" s="1684">
        <f t="shared" si="67"/>
        <v>255.6</v>
      </c>
    </row>
    <row r="1162" spans="1:9" s="1066" customFormat="1" ht="24.6" customHeight="1">
      <c r="A1162" s="1585"/>
      <c r="B1162" s="1586"/>
      <c r="C1162" s="1587" t="s">
        <v>2293</v>
      </c>
      <c r="D1162" s="1588">
        <v>3.8</v>
      </c>
      <c r="E1162" s="1516" t="s">
        <v>197</v>
      </c>
      <c r="F1162" s="1588">
        <f>'Civil-SOR'!$G$187</f>
        <v>5</v>
      </c>
      <c r="G1162" s="1516">
        <v>1</v>
      </c>
      <c r="H1162" s="1516" t="s">
        <v>197</v>
      </c>
      <c r="I1162" s="1684">
        <f t="shared" si="67"/>
        <v>19</v>
      </c>
    </row>
    <row r="1163" spans="1:9" s="1066" customFormat="1" ht="24.6" customHeight="1">
      <c r="A1163" s="1585"/>
      <c r="B1163" s="1586"/>
      <c r="C1163" s="1587" t="s">
        <v>453</v>
      </c>
      <c r="D1163" s="1588">
        <v>0.45</v>
      </c>
      <c r="E1163" s="1516" t="s">
        <v>2296</v>
      </c>
      <c r="F1163" s="1588">
        <f>$I$68</f>
        <v>1069.9939999999999</v>
      </c>
      <c r="G1163" s="1516">
        <v>1</v>
      </c>
      <c r="H1163" s="1516" t="s">
        <v>2296</v>
      </c>
      <c r="I1163" s="1684">
        <f t="shared" si="67"/>
        <v>481.4973</v>
      </c>
    </row>
    <row r="1164" spans="1:9" s="1066" customFormat="1" ht="24.6" customHeight="1">
      <c r="A1164" s="1585"/>
      <c r="B1164" s="1586"/>
      <c r="C1164" s="1587" t="s">
        <v>2308</v>
      </c>
      <c r="D1164" s="1684" t="s">
        <v>1707</v>
      </c>
      <c r="E1164" s="1516"/>
      <c r="F1164" s="1588"/>
      <c r="G1164" s="1516"/>
      <c r="H1164" s="1516"/>
      <c r="I1164" s="1684">
        <v>2.75</v>
      </c>
    </row>
    <row r="1165" spans="1:9" s="1066" customFormat="1" ht="24.6" customHeight="1">
      <c r="A1165" s="1585"/>
      <c r="B1165" s="1586"/>
      <c r="C1165" s="1587"/>
      <c r="D1165" s="1588"/>
      <c r="E1165" s="1516"/>
      <c r="F1165" s="1588"/>
      <c r="G1165" s="1516"/>
      <c r="H1165" s="1516"/>
      <c r="I1165" s="1684">
        <f>SUM(I1160:I1164)</f>
        <v>2442.0872999999997</v>
      </c>
    </row>
    <row r="1166" spans="1:9" s="1066" customFormat="1" ht="24.6" customHeight="1">
      <c r="A1166" s="1585"/>
      <c r="B1166" s="1586"/>
      <c r="C1166" s="1516" t="str">
        <f>Input!$C$48</f>
        <v>Overheads &amp; Contractors Profit @ 13.615%</v>
      </c>
      <c r="D1166" s="1590">
        <f>Input!$D$48</f>
        <v>0.13614999999999999</v>
      </c>
      <c r="E1166" s="1516"/>
      <c r="F1166" s="1588">
        <f>I1165</f>
        <v>2442.0872999999997</v>
      </c>
      <c r="G1166" s="1516"/>
      <c r="H1166" s="1516"/>
      <c r="I1166" s="1684">
        <f>D1166*F1166</f>
        <v>332.49018589499997</v>
      </c>
    </row>
    <row r="1167" spans="1:9" s="1066" customFormat="1" ht="24.6" customHeight="1">
      <c r="A1167" s="1585"/>
      <c r="B1167" s="1586"/>
      <c r="C1167" s="1587" t="s">
        <v>2309</v>
      </c>
      <c r="D1167" s="1588"/>
      <c r="E1167" s="1516"/>
      <c r="F1167" s="1588"/>
      <c r="G1167" s="1516"/>
      <c r="H1167" s="1516"/>
      <c r="I1167" s="1684">
        <f>SUM(I1165:I1166)</f>
        <v>2774.5774858949999</v>
      </c>
    </row>
    <row r="1168" spans="1:9" s="1006" customFormat="1" ht="24.6" customHeight="1">
      <c r="A1168" s="1591"/>
      <c r="B1168" s="1592"/>
      <c r="C1168" s="1600" t="s">
        <v>2310</v>
      </c>
      <c r="D1168" s="1594"/>
      <c r="E1168" s="1595"/>
      <c r="F1168" s="1594"/>
      <c r="G1168" s="1595"/>
      <c r="H1168" s="1595"/>
      <c r="I1168" s="1601">
        <f>I1167/H1151</f>
        <v>6165.7277464333329</v>
      </c>
    </row>
    <row r="1169" spans="1:11" s="1006" customFormat="1" ht="24.6" customHeight="1">
      <c r="A1169" s="1591"/>
      <c r="B1169" s="1592"/>
      <c r="C1169" s="1593"/>
      <c r="D1169" s="1594"/>
      <c r="E1169" s="1595"/>
      <c r="F1169" s="1594"/>
      <c r="G1169" s="2078" t="s">
        <v>1034</v>
      </c>
      <c r="H1169" s="2078"/>
      <c r="I1169" s="1596">
        <f>ROUND(I1168,0)</f>
        <v>6166</v>
      </c>
    </row>
    <row r="1170" spans="1:11" s="1066" customFormat="1" ht="14.65" customHeight="1">
      <c r="A1170" s="1585"/>
      <c r="B1170" s="1586"/>
      <c r="C1170" s="1587"/>
      <c r="D1170" s="1588"/>
      <c r="E1170" s="1516"/>
      <c r="F1170" s="1588"/>
      <c r="G1170" s="1516"/>
      <c r="H1170" s="1516"/>
      <c r="I1170" s="1678"/>
    </row>
    <row r="1171" spans="1:11" s="1066" customFormat="1" ht="103.9" customHeight="1">
      <c r="A1171" s="2078">
        <f>A1150+1</f>
        <v>15</v>
      </c>
      <c r="B1171" s="2078"/>
      <c r="C1171" s="2081" t="s">
        <v>3559</v>
      </c>
      <c r="D1171" s="2081"/>
      <c r="E1171" s="2081"/>
      <c r="F1171" s="2081"/>
      <c r="G1171" s="2081"/>
      <c r="H1171" s="2081"/>
      <c r="I1171" s="1680"/>
    </row>
    <row r="1172" spans="1:11" s="1066" customFormat="1">
      <c r="A1172" s="1585"/>
      <c r="B1172" s="1586"/>
      <c r="C1172" s="2078" t="s">
        <v>3560</v>
      </c>
      <c r="D1172" s="2078"/>
      <c r="E1172" s="2078"/>
      <c r="F1172" s="2078"/>
      <c r="G1172" s="2078"/>
      <c r="H1172" s="2078"/>
      <c r="I1172" s="1680"/>
    </row>
    <row r="1173" spans="1:11" s="1066" customFormat="1" ht="15" customHeight="1">
      <c r="A1173" s="1585"/>
      <c r="B1173" s="1586"/>
      <c r="C1173" s="2078" t="s">
        <v>2311</v>
      </c>
      <c r="D1173" s="2078"/>
      <c r="E1173" s="1598"/>
      <c r="F1173" s="1598"/>
      <c r="G1173" s="1598"/>
      <c r="H1173" s="1598"/>
      <c r="I1173" s="1598"/>
    </row>
    <row r="1174" spans="1:11" s="1066" customFormat="1" ht="12.6" customHeight="1">
      <c r="A1174" s="1585"/>
      <c r="B1174" s="1586"/>
      <c r="C1174" s="1680"/>
      <c r="D1174" s="1598" t="s">
        <v>2312</v>
      </c>
      <c r="E1174" s="2078" t="s">
        <v>2313</v>
      </c>
      <c r="F1174" s="2078"/>
      <c r="G1174" s="1516"/>
      <c r="H1174" s="1598">
        <f>1.8*1.8</f>
        <v>3.24</v>
      </c>
      <c r="I1174" s="1598" t="s">
        <v>94</v>
      </c>
    </row>
    <row r="1175" spans="1:11" s="1066" customFormat="1" ht="15" customHeight="1">
      <c r="A1175" s="1585"/>
      <c r="B1175" s="1586"/>
      <c r="C1175" s="1680" t="s">
        <v>1935</v>
      </c>
      <c r="D1175" s="1602"/>
      <c r="E1175" s="1586"/>
      <c r="F1175" s="1602"/>
      <c r="G1175" s="1516"/>
      <c r="H1175" s="1516"/>
      <c r="I1175" s="1598"/>
    </row>
    <row r="1176" spans="1:11" s="1066" customFormat="1" ht="15.6" customHeight="1">
      <c r="A1176" s="1585"/>
      <c r="B1176" s="1586"/>
      <c r="C1176" s="1587" t="s">
        <v>2314</v>
      </c>
      <c r="D1176" s="1588"/>
      <c r="E1176" s="1516"/>
      <c r="F1176" s="1588"/>
      <c r="G1176" s="1516"/>
      <c r="H1176" s="1516"/>
      <c r="I1176" s="1603"/>
    </row>
    <row r="1177" spans="1:11" s="1066" customFormat="1" ht="15.6" customHeight="1">
      <c r="A1177" s="1585"/>
      <c r="B1177" s="1586"/>
      <c r="C1177" s="1587" t="s">
        <v>2315</v>
      </c>
      <c r="D1177" s="2078" t="s">
        <v>2316</v>
      </c>
      <c r="E1177" s="2078"/>
      <c r="F1177" s="1516">
        <v>0.90900000000000003</v>
      </c>
      <c r="G1177" s="1598" t="s">
        <v>1690</v>
      </c>
      <c r="H1177" s="1604">
        <f>ROUND(1.8*F1177,3)</f>
        <v>1.6359999999999999</v>
      </c>
      <c r="I1177" s="1516" t="s">
        <v>1637</v>
      </c>
      <c r="K1177" s="1066">
        <f>1.8*0.909</f>
        <v>1.6362000000000001</v>
      </c>
    </row>
    <row r="1178" spans="1:11" s="1066" customFormat="1" ht="15.6" customHeight="1">
      <c r="A1178" s="1585"/>
      <c r="B1178" s="1586"/>
      <c r="C1178" s="1587" t="s">
        <v>2317</v>
      </c>
      <c r="D1178" s="2078" t="s">
        <v>2318</v>
      </c>
      <c r="E1178" s="2078"/>
      <c r="F1178" s="1516">
        <v>0.78400000000000003</v>
      </c>
      <c r="G1178" s="1598" t="s">
        <v>1690</v>
      </c>
      <c r="H1178" s="1516">
        <f>ROUND(2*1.3*F1178,3)</f>
        <v>2.0379999999999998</v>
      </c>
      <c r="I1178" s="1516" t="s">
        <v>1637</v>
      </c>
      <c r="K1178" s="1066">
        <f>2*1.3*0.784</f>
        <v>2.0384000000000002</v>
      </c>
    </row>
    <row r="1179" spans="1:11" s="1066" customFormat="1" ht="15.6" customHeight="1">
      <c r="A1179" s="1585"/>
      <c r="B1179" s="1586"/>
      <c r="C1179" s="1587" t="s">
        <v>2319</v>
      </c>
      <c r="D1179" s="2078" t="s">
        <v>2320</v>
      </c>
      <c r="E1179" s="2078"/>
      <c r="F1179" s="1516">
        <v>1.0049999999999999</v>
      </c>
      <c r="G1179" s="1598" t="s">
        <v>1690</v>
      </c>
      <c r="H1179" s="1516">
        <f>ROUND(1.8*F1179,3)</f>
        <v>1.8089999999999999</v>
      </c>
      <c r="I1179" s="1516" t="s">
        <v>1637</v>
      </c>
      <c r="K1179" s="1066">
        <f>1.8*1.005</f>
        <v>1.8089999999999999</v>
      </c>
    </row>
    <row r="1180" spans="1:11" s="1066" customFormat="1" ht="15.6" customHeight="1">
      <c r="A1180" s="1585"/>
      <c r="B1180" s="1586"/>
      <c r="C1180" s="1587" t="s">
        <v>2321</v>
      </c>
      <c r="D1180" s="2078" t="s">
        <v>2322</v>
      </c>
      <c r="E1180" s="2078"/>
      <c r="F1180" s="1516">
        <v>0.94199999999999995</v>
      </c>
      <c r="G1180" s="1598" t="s">
        <v>1690</v>
      </c>
      <c r="H1180" s="1516">
        <f>ROUND((1.8+2*0.5)*F1180,3)</f>
        <v>2.6379999999999999</v>
      </c>
      <c r="I1180" s="1516" t="s">
        <v>1637</v>
      </c>
      <c r="K1180" s="1066">
        <f>((1.8+2*0.5)*0.942)</f>
        <v>2.6375999999999995</v>
      </c>
    </row>
    <row r="1181" spans="1:11" s="1066" customFormat="1" ht="15.6" customHeight="1">
      <c r="A1181" s="1585"/>
      <c r="B1181" s="1586"/>
      <c r="C1181" s="1587" t="s">
        <v>2323</v>
      </c>
      <c r="D1181" s="1683"/>
      <c r="E1181" s="1682"/>
      <c r="F1181" s="1516"/>
      <c r="G1181" s="1598"/>
      <c r="H1181" s="1516"/>
      <c r="I1181" s="1516"/>
    </row>
    <row r="1182" spans="1:11" s="1066" customFormat="1" ht="15.6" customHeight="1">
      <c r="A1182" s="1585"/>
      <c r="B1182" s="1586"/>
      <c r="C1182" s="1587" t="s">
        <v>2324</v>
      </c>
      <c r="D1182" s="2078" t="s">
        <v>2325</v>
      </c>
      <c r="E1182" s="2078"/>
      <c r="F1182" s="1516">
        <v>0.64100000000000001</v>
      </c>
      <c r="G1182" s="1598" t="s">
        <v>1690</v>
      </c>
      <c r="H1182" s="1604">
        <f>ROUND(3*0.6*0.641,3)</f>
        <v>1.1539999999999999</v>
      </c>
      <c r="I1182" s="1516" t="s">
        <v>1637</v>
      </c>
      <c r="K1182" s="1678">
        <f>3*0.6*0.641</f>
        <v>1.1537999999999999</v>
      </c>
    </row>
    <row r="1183" spans="1:11" s="1066" customFormat="1" ht="15.6" customHeight="1">
      <c r="A1183" s="1585"/>
      <c r="B1183" s="1586"/>
      <c r="C1183" s="1682" t="s">
        <v>2326</v>
      </c>
      <c r="D1183" s="2078" t="s">
        <v>2327</v>
      </c>
      <c r="E1183" s="2078"/>
      <c r="F1183" s="1516" t="s">
        <v>2328</v>
      </c>
      <c r="G1183" s="1598" t="s">
        <v>1690</v>
      </c>
      <c r="H1183" s="1516">
        <f>ROUND((3*1.9)*0.522,3)</f>
        <v>2.9750000000000001</v>
      </c>
      <c r="I1183" s="1516" t="s">
        <v>1637</v>
      </c>
      <c r="K1183" s="1678">
        <f>3*1.9*0.522</f>
        <v>2.9753999999999996</v>
      </c>
    </row>
    <row r="1184" spans="1:11" s="1066" customFormat="1" ht="15.6" customHeight="1">
      <c r="A1184" s="1585"/>
      <c r="B1184" s="1586"/>
      <c r="C1184" s="1587" t="s">
        <v>2329</v>
      </c>
      <c r="D1184" s="2078" t="s">
        <v>2330</v>
      </c>
      <c r="E1184" s="2078"/>
      <c r="F1184" s="1516">
        <v>0.66300000000000003</v>
      </c>
      <c r="G1184" s="1598" t="s">
        <v>1690</v>
      </c>
      <c r="H1184" s="1516">
        <f>ROUND(3*1.3*0.663,3)</f>
        <v>2.5859999999999999</v>
      </c>
      <c r="I1184" s="1516" t="s">
        <v>1637</v>
      </c>
      <c r="K1184" s="1066">
        <f>3*1.3*0.663</f>
        <v>2.5857000000000006</v>
      </c>
    </row>
    <row r="1185" spans="1:11" s="1066" customFormat="1" ht="17.45" customHeight="1">
      <c r="A1185" s="1585"/>
      <c r="B1185" s="1586"/>
      <c r="C1185" s="1587" t="s">
        <v>2158</v>
      </c>
      <c r="D1185" s="2078" t="s">
        <v>2331</v>
      </c>
      <c r="E1185" s="2078"/>
      <c r="F1185" s="2078"/>
      <c r="G1185" s="2078"/>
      <c r="H1185" s="1516"/>
      <c r="I1185" s="1603"/>
      <c r="K1185" s="1066">
        <f>6*1.1+6*1.9</f>
        <v>18</v>
      </c>
    </row>
    <row r="1186" spans="1:11" s="1066" customFormat="1" ht="14.45" customHeight="1">
      <c r="A1186" s="1585"/>
      <c r="B1186" s="1586"/>
      <c r="C1186" s="1587"/>
      <c r="D1186" s="2078" t="s">
        <v>2332</v>
      </c>
      <c r="E1186" s="2078"/>
      <c r="F1186" s="2078"/>
      <c r="G1186" s="2078"/>
      <c r="H1186" s="1598">
        <f>ROUND(18*0.101,3)</f>
        <v>1.8180000000000001</v>
      </c>
      <c r="I1186" s="1516" t="s">
        <v>1637</v>
      </c>
      <c r="K1186" s="1066">
        <f>18*0.101</f>
        <v>1.8180000000000001</v>
      </c>
    </row>
    <row r="1187" spans="1:11" s="1066" customFormat="1" ht="13.9" customHeight="1">
      <c r="A1187" s="1585"/>
      <c r="B1187" s="1586"/>
      <c r="C1187" s="1587"/>
      <c r="D1187" s="1588"/>
      <c r="E1187" s="1516"/>
      <c r="F1187" s="1588"/>
      <c r="G1187" s="2084">
        <f>SUM(H1177:H1186)</f>
        <v>16.654</v>
      </c>
      <c r="H1187" s="2084"/>
      <c r="I1187" s="1586" t="s">
        <v>1637</v>
      </c>
    </row>
    <row r="1188" spans="1:11" s="1066" customFormat="1" ht="16.899999999999999" customHeight="1">
      <c r="A1188" s="1585"/>
      <c r="B1188" s="1586"/>
      <c r="C1188" s="1587" t="s">
        <v>120</v>
      </c>
      <c r="D1188" s="2082" t="s">
        <v>2313</v>
      </c>
      <c r="E1188" s="2082"/>
      <c r="F1188" s="2082"/>
      <c r="G1188" s="1598">
        <f>1.8*1.8</f>
        <v>3.24</v>
      </c>
      <c r="H1188" s="1598" t="s">
        <v>46</v>
      </c>
      <c r="I1188" s="1598"/>
    </row>
    <row r="1189" spans="1:11" s="1066" customFormat="1" ht="16.899999999999999" customHeight="1">
      <c r="A1189" s="1585"/>
      <c r="B1189" s="1586"/>
      <c r="C1189" s="1587" t="s">
        <v>386</v>
      </c>
      <c r="D1189" s="1588"/>
      <c r="E1189" s="1516"/>
      <c r="F1189" s="1588"/>
      <c r="G1189" s="1598">
        <v>9</v>
      </c>
      <c r="H1189" s="1586" t="s">
        <v>197</v>
      </c>
      <c r="I1189" s="1598"/>
    </row>
    <row r="1190" spans="1:11" s="1066" customFormat="1" ht="15.95" customHeight="1">
      <c r="A1190" s="1585"/>
      <c r="B1190" s="1586"/>
      <c r="C1190" s="1680" t="s">
        <v>1965</v>
      </c>
      <c r="D1190" s="1588"/>
      <c r="E1190" s="1516"/>
      <c r="F1190" s="1588"/>
      <c r="G1190" s="1516"/>
      <c r="H1190" s="1516"/>
      <c r="I1190" s="1684"/>
    </row>
    <row r="1191" spans="1:11" s="1066" customFormat="1" ht="15.95" customHeight="1">
      <c r="A1191" s="1585"/>
      <c r="B1191" s="1586"/>
      <c r="C1191" s="1680" t="s">
        <v>2166</v>
      </c>
      <c r="D1191" s="1588"/>
      <c r="E1191" s="1516"/>
      <c r="F1191" s="1588"/>
      <c r="G1191" s="1516"/>
      <c r="H1191" s="1516"/>
      <c r="I1191" s="1684"/>
    </row>
    <row r="1192" spans="1:11" s="1066" customFormat="1" ht="19.149999999999999" customHeight="1">
      <c r="A1192" s="1585"/>
      <c r="B1192" s="1586"/>
      <c r="C1192" s="1587" t="s">
        <v>2307</v>
      </c>
      <c r="D1192" s="1604">
        <f>G1187</f>
        <v>16.654</v>
      </c>
      <c r="E1192" s="1682" t="s">
        <v>1637</v>
      </c>
      <c r="F1192" s="1684">
        <f>'Civil-SOR'!$G$186</f>
        <v>332</v>
      </c>
      <c r="G1192" s="1516">
        <v>1</v>
      </c>
      <c r="H1192" s="1516" t="s">
        <v>1637</v>
      </c>
      <c r="I1192" s="1589">
        <f t="shared" ref="I1192:I1195" si="68">IF(G1192="",D1192*F1192,(D1192*F1192/G1192))</f>
        <v>5529.1279999999997</v>
      </c>
    </row>
    <row r="1193" spans="1:11" s="1066" customFormat="1" ht="19.149999999999999" customHeight="1">
      <c r="A1193" s="1585"/>
      <c r="B1193" s="1586"/>
      <c r="C1193" s="1587" t="s">
        <v>2291</v>
      </c>
      <c r="D1193" s="1588">
        <f>H1174</f>
        <v>3.24</v>
      </c>
      <c r="E1193" s="1682" t="s">
        <v>2161</v>
      </c>
      <c r="F1193" s="1684">
        <f>'Civil-SOR'!$G$49</f>
        <v>568</v>
      </c>
      <c r="G1193" s="1516">
        <v>1</v>
      </c>
      <c r="H1193" s="1516" t="s">
        <v>2161</v>
      </c>
      <c r="I1193" s="1589">
        <f t="shared" si="68"/>
        <v>1840.3200000000002</v>
      </c>
    </row>
    <row r="1194" spans="1:11" s="1066" customFormat="1" ht="19.149999999999999" customHeight="1">
      <c r="A1194" s="1585"/>
      <c r="B1194" s="1586"/>
      <c r="C1194" s="1587" t="s">
        <v>2293</v>
      </c>
      <c r="D1194" s="1588">
        <f>G1189</f>
        <v>9</v>
      </c>
      <c r="E1194" s="1682" t="s">
        <v>197</v>
      </c>
      <c r="F1194" s="1684">
        <f>'Civil-SOR'!$G$187</f>
        <v>5</v>
      </c>
      <c r="G1194" s="1516">
        <v>1</v>
      </c>
      <c r="H1194" s="1516" t="s">
        <v>197</v>
      </c>
      <c r="I1194" s="1589">
        <f t="shared" si="68"/>
        <v>45</v>
      </c>
    </row>
    <row r="1195" spans="1:11" s="1066" customFormat="1" ht="19.149999999999999" customHeight="1">
      <c r="A1195" s="1585"/>
      <c r="B1195" s="1586"/>
      <c r="C1195" s="1680" t="s">
        <v>2176</v>
      </c>
      <c r="D1195" s="1588">
        <f>H1174</f>
        <v>3.24</v>
      </c>
      <c r="E1195" s="1598" t="s">
        <v>94</v>
      </c>
      <c r="F1195" s="1684">
        <f>$I$38</f>
        <v>1029.5647100000001</v>
      </c>
      <c r="G1195" s="1516">
        <v>1</v>
      </c>
      <c r="H1195" s="1588" t="s">
        <v>94</v>
      </c>
      <c r="I1195" s="1589">
        <f t="shared" si="68"/>
        <v>3335.7896604000007</v>
      </c>
    </row>
    <row r="1196" spans="1:11" s="1066" customFormat="1" ht="19.149999999999999" customHeight="1">
      <c r="A1196" s="1585"/>
      <c r="B1196" s="1586"/>
      <c r="C1196" s="1587" t="s">
        <v>2177</v>
      </c>
      <c r="D1196" s="1605" t="s">
        <v>1707</v>
      </c>
      <c r="E1196" s="1682"/>
      <c r="F1196" s="1588"/>
      <c r="G1196" s="1516"/>
      <c r="H1196" s="1516"/>
      <c r="I1196" s="1684"/>
    </row>
    <row r="1197" spans="1:11" s="1066" customFormat="1" ht="19.149999999999999" customHeight="1">
      <c r="A1197" s="1585"/>
      <c r="B1197" s="1586"/>
      <c r="C1197" s="1587" t="s">
        <v>2333</v>
      </c>
      <c r="D1197" s="1588"/>
      <c r="E1197" s="1516"/>
      <c r="F1197" s="1588"/>
      <c r="G1197" s="1516"/>
      <c r="H1197" s="1516"/>
      <c r="I1197" s="1684">
        <f>SUM(I1192:I1196)</f>
        <v>10750.237660400002</v>
      </c>
    </row>
    <row r="1198" spans="1:11" s="1066" customFormat="1" ht="19.149999999999999" customHeight="1">
      <c r="A1198" s="1585"/>
      <c r="B1198" s="1586"/>
      <c r="C1198" s="1587" t="str">
        <f>Input!$C$48</f>
        <v>Overheads &amp; Contractors Profit @ 13.615%</v>
      </c>
      <c r="D1198" s="1590">
        <f>Input!$D$48</f>
        <v>0.13614999999999999</v>
      </c>
      <c r="E1198" s="1516"/>
      <c r="F1198" s="1588">
        <f>I1197</f>
        <v>10750.237660400002</v>
      </c>
      <c r="G1198" s="1516"/>
      <c r="H1198" s="1516"/>
      <c r="I1198" s="1589">
        <f>IF(G1198="",D1198*F1198,(D1198*F1198/G1198))</f>
        <v>1463.6448574634601</v>
      </c>
    </row>
    <row r="1199" spans="1:11" s="1066" customFormat="1" ht="19.149999999999999" customHeight="1">
      <c r="A1199" s="1585"/>
      <c r="B1199" s="1586"/>
      <c r="C1199" s="1587"/>
      <c r="D1199" s="1588"/>
      <c r="E1199" s="1516"/>
      <c r="F1199" s="1588"/>
      <c r="G1199" s="1516"/>
      <c r="H1199" s="1516"/>
      <c r="I1199" s="1684">
        <f>SUM(I1197:I1198)</f>
        <v>12213.882517863462</v>
      </c>
    </row>
    <row r="1200" spans="1:11" s="1066" customFormat="1" ht="19.149999999999999" customHeight="1">
      <c r="A1200" s="1585"/>
      <c r="B1200" s="1586"/>
      <c r="C1200" s="1680" t="s">
        <v>2310</v>
      </c>
      <c r="D1200" s="1588"/>
      <c r="E1200" s="1516"/>
      <c r="F1200" s="1588"/>
      <c r="G1200" s="1516"/>
      <c r="H1200" s="1516"/>
      <c r="I1200" s="1684">
        <f>I1199/H1174</f>
        <v>3769.7168265010682</v>
      </c>
    </row>
    <row r="1201" spans="1:12" s="1066" customFormat="1" ht="19.149999999999999" customHeight="1">
      <c r="A1201" s="1585"/>
      <c r="B1201" s="1586"/>
      <c r="C1201" s="1587"/>
      <c r="D1201" s="1588"/>
      <c r="E1201" s="1516"/>
      <c r="F1201" s="1588"/>
      <c r="G1201" s="2078" t="s">
        <v>1034</v>
      </c>
      <c r="H1201" s="2078"/>
      <c r="I1201" s="1606">
        <f>ROUND(I1200,0)</f>
        <v>3770</v>
      </c>
    </row>
    <row r="1202" spans="1:12" s="1066" customFormat="1" ht="109.9" customHeight="1">
      <c r="A1202" s="2078">
        <f>A1171+1</f>
        <v>16</v>
      </c>
      <c r="B1202" s="2078"/>
      <c r="C1202" s="2081" t="s">
        <v>3561</v>
      </c>
      <c r="D1202" s="2081"/>
      <c r="E1202" s="2081"/>
      <c r="F1202" s="2081"/>
      <c r="G1202" s="2081"/>
      <c r="H1202" s="2081"/>
      <c r="I1202" s="1680"/>
    </row>
    <row r="1203" spans="1:12" s="1066" customFormat="1" ht="108" customHeight="1">
      <c r="A1203" s="1585"/>
      <c r="B1203" s="1586"/>
      <c r="C1203" s="2086" t="s">
        <v>3562</v>
      </c>
      <c r="D1203" s="2086"/>
      <c r="E1203" s="2086"/>
      <c r="F1203" s="2086"/>
      <c r="G1203" s="2086"/>
      <c r="H1203" s="2086"/>
      <c r="I1203" s="1680"/>
    </row>
    <row r="1204" spans="1:12" s="1066" customFormat="1" ht="15.6" customHeight="1">
      <c r="A1204" s="1585"/>
      <c r="B1204" s="1586"/>
      <c r="C1204" s="1680" t="s">
        <v>1935</v>
      </c>
      <c r="D1204" s="1122" t="s">
        <v>1982</v>
      </c>
      <c r="E1204" s="2085" t="s">
        <v>2334</v>
      </c>
      <c r="F1204" s="2085"/>
      <c r="G1204" s="2078">
        <f>1.2*1.8</f>
        <v>2.16</v>
      </c>
      <c r="H1204" s="2078"/>
      <c r="I1204" s="1597" t="s">
        <v>46</v>
      </c>
    </row>
    <row r="1205" spans="1:12" s="1066" customFormat="1" ht="15.95" customHeight="1">
      <c r="A1205" s="1585"/>
      <c r="B1205" s="1586"/>
      <c r="C1205" s="1680" t="s">
        <v>1935</v>
      </c>
      <c r="D1205" s="1602"/>
      <c r="E1205" s="1586"/>
      <c r="F1205" s="1602"/>
      <c r="G1205" s="1516"/>
      <c r="H1205" s="1516"/>
      <c r="I1205" s="1684"/>
    </row>
    <row r="1206" spans="1:12" s="1066" customFormat="1" ht="15.95" customHeight="1">
      <c r="A1206" s="1585"/>
      <c r="B1206" s="1586"/>
      <c r="C1206" s="1587" t="s">
        <v>2314</v>
      </c>
      <c r="D1206" s="1588"/>
      <c r="E1206" s="1516"/>
      <c r="F1206" s="1588"/>
      <c r="G1206" s="1516"/>
      <c r="H1206" s="1516"/>
      <c r="I1206" s="1684"/>
    </row>
    <row r="1207" spans="1:12" s="1066" customFormat="1" ht="15.6" customHeight="1">
      <c r="A1207" s="1585"/>
      <c r="B1207" s="1586"/>
      <c r="C1207" s="1587" t="s">
        <v>2335</v>
      </c>
      <c r="D1207" s="2078" t="s">
        <v>2336</v>
      </c>
      <c r="E1207" s="2078"/>
      <c r="F1207" s="1585">
        <v>0.90900000000000003</v>
      </c>
      <c r="G1207" s="1598" t="s">
        <v>1690</v>
      </c>
      <c r="H1207" s="1604">
        <f>ROUND(1.2*0.909,3)</f>
        <v>1.091</v>
      </c>
      <c r="I1207" s="1516" t="s">
        <v>1637</v>
      </c>
      <c r="K1207" s="1678">
        <f>1.22*0.909</f>
        <v>1.1089800000000001</v>
      </c>
    </row>
    <row r="1208" spans="1:12" s="1066" customFormat="1" ht="15.6" customHeight="1">
      <c r="A1208" s="1585"/>
      <c r="B1208" s="1586"/>
      <c r="C1208" s="1587" t="s">
        <v>2337</v>
      </c>
      <c r="D1208" s="2078" t="s">
        <v>2338</v>
      </c>
      <c r="E1208" s="2078"/>
      <c r="F1208" s="1585">
        <v>0.78400000000000003</v>
      </c>
      <c r="G1208" s="1598" t="s">
        <v>1690</v>
      </c>
      <c r="H1208" s="1516">
        <f>ROUND(2*1.3*0.784,3)</f>
        <v>2.0379999999999998</v>
      </c>
      <c r="I1208" s="1516" t="s">
        <v>1637</v>
      </c>
      <c r="K1208" s="1678">
        <f>2*1.3*0.784</f>
        <v>2.0384000000000002</v>
      </c>
    </row>
    <row r="1209" spans="1:12" s="1066" customFormat="1" ht="15.6" customHeight="1">
      <c r="A1209" s="1585"/>
      <c r="B1209" s="1586"/>
      <c r="C1209" s="1587" t="s">
        <v>2339</v>
      </c>
      <c r="D1209" s="2078" t="s">
        <v>2336</v>
      </c>
      <c r="E1209" s="2078"/>
      <c r="F1209" s="1585">
        <v>1.0049999999999999</v>
      </c>
      <c r="G1209" s="1598" t="s">
        <v>1690</v>
      </c>
      <c r="H1209" s="1516">
        <f>ROUND(1.2*1.005,3)</f>
        <v>1.206</v>
      </c>
      <c r="I1209" s="1516" t="s">
        <v>1637</v>
      </c>
      <c r="K1209" s="1066">
        <f>1.2*1.005</f>
        <v>1.2059999999999997</v>
      </c>
    </row>
    <row r="1210" spans="1:12" s="1066" customFormat="1" ht="15.6" customHeight="1">
      <c r="A1210" s="1585"/>
      <c r="B1210" s="1586"/>
      <c r="C1210" s="1587" t="s">
        <v>2340</v>
      </c>
      <c r="D1210" s="2078" t="s">
        <v>2341</v>
      </c>
      <c r="E1210" s="2078"/>
      <c r="F1210" s="1598">
        <v>0.94199999999999995</v>
      </c>
      <c r="G1210" s="1598" t="s">
        <v>1690</v>
      </c>
      <c r="H1210" s="1516">
        <f>ROUND((1.2+2*0.5)*0.942,3)</f>
        <v>2.0720000000000001</v>
      </c>
      <c r="I1210" s="1516" t="s">
        <v>1637</v>
      </c>
      <c r="K1210" s="1678">
        <f>1.2*0.942</f>
        <v>1.1303999999999998</v>
      </c>
      <c r="L1210" s="1066">
        <f>1.6*0.942</f>
        <v>1.5072000000000001</v>
      </c>
    </row>
    <row r="1211" spans="1:12" s="1066" customFormat="1" ht="15.6" customHeight="1">
      <c r="A1211" s="1585"/>
      <c r="B1211" s="1586"/>
      <c r="C1211" s="1587" t="s">
        <v>2323</v>
      </c>
      <c r="D1211" s="1598"/>
      <c r="E1211" s="1607"/>
      <c r="F1211" s="1585"/>
      <c r="G1211" s="1598"/>
      <c r="H1211" s="1516"/>
      <c r="I1211" s="1516"/>
    </row>
    <row r="1212" spans="1:12" s="1066" customFormat="1" ht="15.6" customHeight="1">
      <c r="A1212" s="1585"/>
      <c r="B1212" s="1586"/>
      <c r="C1212" s="1587" t="s">
        <v>2324</v>
      </c>
      <c r="D1212" s="2078" t="s">
        <v>2342</v>
      </c>
      <c r="E1212" s="2078"/>
      <c r="F1212" s="1585">
        <v>0.64100000000000001</v>
      </c>
      <c r="G1212" s="1598" t="s">
        <v>1690</v>
      </c>
      <c r="H1212" s="1588">
        <f>ROUND(2*0.6*0.641,3)</f>
        <v>0.76900000000000002</v>
      </c>
      <c r="I1212" s="1516" t="s">
        <v>1637</v>
      </c>
      <c r="K1212" s="1291">
        <f>3*0.4*0.641</f>
        <v>0.76920000000000011</v>
      </c>
    </row>
    <row r="1213" spans="1:12" s="1066" customFormat="1" ht="15.6" customHeight="1">
      <c r="A1213" s="1585"/>
      <c r="B1213" s="1586"/>
      <c r="C1213" s="1587" t="s">
        <v>2343</v>
      </c>
      <c r="D1213" s="2078" t="s">
        <v>2344</v>
      </c>
      <c r="E1213" s="2078"/>
      <c r="F1213" s="1585">
        <v>0.52200000000000002</v>
      </c>
      <c r="G1213" s="1598" t="s">
        <v>1690</v>
      </c>
      <c r="H1213" s="1516">
        <f>ROUND((3*1.7)*0.522,3)</f>
        <v>2.6619999999999999</v>
      </c>
      <c r="I1213" s="1516" t="s">
        <v>1637</v>
      </c>
      <c r="K1213" s="1678">
        <f>(3*(1.3+0.4)*0.522)</f>
        <v>2.6622000000000003</v>
      </c>
      <c r="L1213" s="1678"/>
    </row>
    <row r="1214" spans="1:12" s="1066" customFormat="1" ht="15.6" customHeight="1">
      <c r="A1214" s="1585"/>
      <c r="B1214" s="1586"/>
      <c r="C1214" s="1587" t="s">
        <v>2329</v>
      </c>
      <c r="D1214" s="2078" t="s">
        <v>2345</v>
      </c>
      <c r="E1214" s="2078"/>
      <c r="F1214" s="1585">
        <v>0.66300000000000003</v>
      </c>
      <c r="G1214" s="1598" t="s">
        <v>1690</v>
      </c>
      <c r="H1214" s="1516">
        <f>ROUND(3*1.3*0.663,3)</f>
        <v>2.5859999999999999</v>
      </c>
      <c r="I1214" s="1516" t="s">
        <v>1637</v>
      </c>
      <c r="K1214" s="1678">
        <f>3*1.3*0.663</f>
        <v>2.5857000000000006</v>
      </c>
    </row>
    <row r="1215" spans="1:12" s="1066" customFormat="1" ht="15.6" customHeight="1">
      <c r="A1215" s="1585"/>
      <c r="B1215" s="1586"/>
      <c r="C1215" s="1587" t="s">
        <v>2158</v>
      </c>
      <c r="D1215" s="2078" t="s">
        <v>2346</v>
      </c>
      <c r="E1215" s="2078"/>
      <c r="F1215" s="2078"/>
      <c r="G1215" s="2078"/>
      <c r="H1215" s="1516"/>
      <c r="I1215" s="1516"/>
      <c r="K1215" s="1066">
        <f>3*2*(0.4+0.5)+3*2*(0.4+1.3)</f>
        <v>15.600000000000001</v>
      </c>
    </row>
    <row r="1216" spans="1:12" s="1066" customFormat="1" ht="15.6" customHeight="1">
      <c r="A1216" s="1585"/>
      <c r="B1216" s="1586"/>
      <c r="C1216" s="1587"/>
      <c r="D1216" s="2078" t="s">
        <v>2347</v>
      </c>
      <c r="E1216" s="2078"/>
      <c r="F1216" s="2078"/>
      <c r="G1216" s="2078"/>
      <c r="H1216" s="1516">
        <f>ROUND(15.6*0.101,3)</f>
        <v>1.5760000000000001</v>
      </c>
      <c r="I1216" s="1516" t="s">
        <v>1637</v>
      </c>
      <c r="K1216" s="1678">
        <f>15.6*0.101</f>
        <v>1.5756000000000001</v>
      </c>
    </row>
    <row r="1217" spans="1:9" s="1066" customFormat="1" ht="13.9" customHeight="1">
      <c r="A1217" s="1585"/>
      <c r="B1217" s="1586"/>
      <c r="C1217" s="1587"/>
      <c r="D1217" s="2083"/>
      <c r="E1217" s="2083"/>
      <c r="F1217" s="2083"/>
      <c r="G1217" s="2084">
        <f>SUM(H1207:H1216)</f>
        <v>14</v>
      </c>
      <c r="H1217" s="2084"/>
      <c r="I1217" s="1586" t="s">
        <v>1637</v>
      </c>
    </row>
    <row r="1218" spans="1:9" s="1066" customFormat="1" ht="13.9" customHeight="1">
      <c r="A1218" s="1585"/>
      <c r="B1218" s="1586"/>
      <c r="C1218" s="1587"/>
      <c r="D1218" s="2078">
        <f>6*1.1+6*1.9</f>
        <v>18</v>
      </c>
      <c r="E1218" s="2078"/>
      <c r="F1218" s="2078"/>
      <c r="G1218" s="1516"/>
      <c r="H1218" s="1598"/>
      <c r="I1218" s="1586"/>
    </row>
    <row r="1219" spans="1:9" s="1066" customFormat="1" ht="17.45" customHeight="1">
      <c r="A1219" s="1585"/>
      <c r="B1219" s="1586"/>
      <c r="C1219" s="1587" t="s">
        <v>120</v>
      </c>
      <c r="D1219" s="2082" t="s">
        <v>2334</v>
      </c>
      <c r="E1219" s="2082"/>
      <c r="F1219" s="2082"/>
      <c r="G1219" s="1516"/>
      <c r="H1219" s="1602">
        <f>1.2*1.8</f>
        <v>2.16</v>
      </c>
      <c r="I1219" s="1598" t="s">
        <v>94</v>
      </c>
    </row>
    <row r="1220" spans="1:9" s="1066" customFormat="1" ht="15.95" customHeight="1">
      <c r="A1220" s="1585"/>
      <c r="B1220" s="1586"/>
      <c r="C1220" s="1587" t="s">
        <v>386</v>
      </c>
      <c r="D1220" s="1588"/>
      <c r="E1220" s="1516"/>
      <c r="F1220" s="1588"/>
      <c r="G1220" s="1516"/>
      <c r="H1220" s="1602">
        <v>6</v>
      </c>
      <c r="I1220" s="1586" t="s">
        <v>197</v>
      </c>
    </row>
    <row r="1221" spans="1:9" s="1066" customFormat="1" ht="14.65" customHeight="1">
      <c r="A1221" s="1585"/>
      <c r="B1221" s="1586"/>
      <c r="C1221" s="1587"/>
      <c r="D1221" s="1588"/>
      <c r="E1221" s="1516"/>
      <c r="F1221" s="1588"/>
      <c r="G1221" s="1516"/>
      <c r="H1221" s="1602"/>
      <c r="I1221" s="1516"/>
    </row>
    <row r="1222" spans="1:9" s="1066" customFormat="1" ht="15.95" customHeight="1">
      <c r="A1222" s="1585"/>
      <c r="B1222" s="1586"/>
      <c r="C1222" s="1680" t="s">
        <v>1965</v>
      </c>
      <c r="D1222" s="1588"/>
      <c r="E1222" s="1516"/>
      <c r="F1222" s="1588"/>
      <c r="G1222" s="1516"/>
      <c r="H1222" s="1516"/>
      <c r="I1222" s="1684"/>
    </row>
    <row r="1223" spans="1:9" s="1066" customFormat="1" ht="15.95" customHeight="1">
      <c r="A1223" s="1585"/>
      <c r="B1223" s="1586"/>
      <c r="C1223" s="1680" t="s">
        <v>2166</v>
      </c>
      <c r="D1223" s="1588"/>
      <c r="E1223" s="1516"/>
      <c r="F1223" s="1588"/>
      <c r="G1223" s="1516"/>
      <c r="H1223" s="1516"/>
      <c r="I1223" s="1684"/>
    </row>
    <row r="1224" spans="1:9" s="1066" customFormat="1" ht="22.15" customHeight="1">
      <c r="A1224" s="1585"/>
      <c r="B1224" s="1586"/>
      <c r="C1224" s="1587" t="s">
        <v>2348</v>
      </c>
      <c r="D1224" s="1604">
        <f>G1217</f>
        <v>14</v>
      </c>
      <c r="E1224" s="1516" t="s">
        <v>1637</v>
      </c>
      <c r="F1224" s="1588">
        <f>'Civil-SOR'!$G$186</f>
        <v>332</v>
      </c>
      <c r="G1224" s="1516">
        <v>1</v>
      </c>
      <c r="H1224" s="1516" t="s">
        <v>1637</v>
      </c>
      <c r="I1224" s="1589">
        <f t="shared" ref="I1224:I1227" si="69">IF(G1224="",D1224*F1224,(D1224*F1224/G1224))</f>
        <v>4648</v>
      </c>
    </row>
    <row r="1225" spans="1:9" s="1066" customFormat="1" ht="22.15" customHeight="1">
      <c r="A1225" s="1585"/>
      <c r="B1225" s="1586"/>
      <c r="C1225" s="1587" t="s">
        <v>2349</v>
      </c>
      <c r="D1225" s="1588">
        <f>G1204</f>
        <v>2.16</v>
      </c>
      <c r="E1225" s="1516" t="s">
        <v>2161</v>
      </c>
      <c r="F1225" s="1588">
        <f>'Civil-SOR'!$G$49</f>
        <v>568</v>
      </c>
      <c r="G1225" s="1516">
        <v>1</v>
      </c>
      <c r="H1225" s="1516" t="s">
        <v>2161</v>
      </c>
      <c r="I1225" s="1589">
        <f t="shared" si="69"/>
        <v>1226.8800000000001</v>
      </c>
    </row>
    <row r="1226" spans="1:9" s="1066" customFormat="1" ht="22.15" customHeight="1">
      <c r="A1226" s="1585"/>
      <c r="B1226" s="1586"/>
      <c r="C1226" s="1587" t="s">
        <v>2350</v>
      </c>
      <c r="D1226" s="1588">
        <f>H1220</f>
        <v>6</v>
      </c>
      <c r="E1226" s="1516" t="s">
        <v>197</v>
      </c>
      <c r="F1226" s="1588">
        <f>'Civil-SOR'!$G$187</f>
        <v>5</v>
      </c>
      <c r="G1226" s="1516">
        <v>1</v>
      </c>
      <c r="H1226" s="1516" t="s">
        <v>197</v>
      </c>
      <c r="I1226" s="1589">
        <f t="shared" si="69"/>
        <v>30</v>
      </c>
    </row>
    <row r="1227" spans="1:9" s="1066" customFormat="1" ht="15" customHeight="1">
      <c r="A1227" s="1585"/>
      <c r="B1227" s="1586"/>
      <c r="C1227" s="1680" t="s">
        <v>2176</v>
      </c>
      <c r="D1227" s="1588">
        <f>G1204</f>
        <v>2.16</v>
      </c>
      <c r="E1227" s="1588" t="s">
        <v>94</v>
      </c>
      <c r="F1227" s="1588">
        <f>$I$38</f>
        <v>1029.5647100000001</v>
      </c>
      <c r="G1227" s="1516">
        <v>1</v>
      </c>
      <c r="H1227" s="1588" t="s">
        <v>94</v>
      </c>
      <c r="I1227" s="1589">
        <f t="shared" si="69"/>
        <v>2223.8597736000002</v>
      </c>
    </row>
    <row r="1228" spans="1:9" s="1066" customFormat="1" ht="14.45" customHeight="1">
      <c r="A1228" s="1585"/>
      <c r="B1228" s="1586"/>
      <c r="C1228" s="1587" t="s">
        <v>2177</v>
      </c>
      <c r="D1228" s="2078" t="s">
        <v>1707</v>
      </c>
      <c r="E1228" s="2078"/>
      <c r="F1228" s="1588"/>
      <c r="G1228" s="1516"/>
      <c r="H1228" s="1516"/>
      <c r="I1228" s="1684"/>
    </row>
    <row r="1229" spans="1:9" s="1006" customFormat="1" ht="16.149999999999999" customHeight="1">
      <c r="A1229" s="1591"/>
      <c r="B1229" s="1592"/>
      <c r="C1229" s="1600" t="s">
        <v>2351</v>
      </c>
      <c r="D1229" s="1594"/>
      <c r="E1229" s="1595"/>
      <c r="F1229" s="1594"/>
      <c r="G1229" s="1595"/>
      <c r="H1229" s="1595"/>
      <c r="I1229" s="1601">
        <f>SUM(I1224:I1228)</f>
        <v>8128.7397736000003</v>
      </c>
    </row>
    <row r="1230" spans="1:9" s="1066" customFormat="1" ht="22.15" customHeight="1">
      <c r="A1230" s="1585"/>
      <c r="B1230" s="1586"/>
      <c r="C1230" s="1587" t="str">
        <f>Input!$C$48</f>
        <v>Overheads &amp; Contractors Profit @ 13.615%</v>
      </c>
      <c r="D1230" s="1590">
        <f>Input!$D$48</f>
        <v>0.13614999999999999</v>
      </c>
      <c r="E1230" s="1516"/>
      <c r="F1230" s="1588">
        <f>I1229</f>
        <v>8128.7397736000003</v>
      </c>
      <c r="G1230" s="1516"/>
      <c r="H1230" s="1516"/>
      <c r="I1230" s="1589">
        <f>IF(G1230="",D1230*F1230,(D1230*F1230/G1230))</f>
        <v>1106.7279201756401</v>
      </c>
    </row>
    <row r="1231" spans="1:9" s="1006" customFormat="1" ht="22.15" customHeight="1">
      <c r="A1231" s="1591"/>
      <c r="B1231" s="1592"/>
      <c r="C1231" s="1598"/>
      <c r="D1231" s="1594"/>
      <c r="E1231" s="1595"/>
      <c r="F1231" s="1594"/>
      <c r="G1231" s="1595"/>
      <c r="H1231" s="1595"/>
      <c r="I1231" s="1601">
        <f>SUM(I1229:I1230)</f>
        <v>9235.4676937756412</v>
      </c>
    </row>
    <row r="1232" spans="1:9" s="1006" customFormat="1" ht="22.15" customHeight="1">
      <c r="A1232" s="1591"/>
      <c r="B1232" s="1592"/>
      <c r="C1232" s="1600" t="s">
        <v>2310</v>
      </c>
      <c r="D1232" s="1594"/>
      <c r="E1232" s="1595"/>
      <c r="F1232" s="1594"/>
      <c r="G1232" s="1595"/>
      <c r="H1232" s="1595"/>
      <c r="I1232" s="1601">
        <f>I1231/G1204</f>
        <v>4275.6794878590927</v>
      </c>
    </row>
    <row r="1233" spans="1:9" s="1006" customFormat="1" ht="22.15" customHeight="1">
      <c r="A1233" s="1591"/>
      <c r="B1233" s="1592"/>
      <c r="C1233" s="1593"/>
      <c r="D1233" s="1594"/>
      <c r="E1233" s="1595"/>
      <c r="F1233" s="1594"/>
      <c r="G1233" s="2078" t="s">
        <v>1034</v>
      </c>
      <c r="H1233" s="2078"/>
      <c r="I1233" s="1596">
        <f>ROUND(I1232,0)</f>
        <v>4276</v>
      </c>
    </row>
    <row r="1234" spans="1:9" s="1066" customFormat="1" ht="14.65" customHeight="1">
      <c r="A1234" s="1585"/>
      <c r="B1234" s="1586"/>
      <c r="C1234" s="1587"/>
      <c r="D1234" s="1588"/>
      <c r="E1234" s="1516"/>
      <c r="F1234" s="1588"/>
      <c r="G1234" s="1516"/>
      <c r="H1234" s="1516"/>
      <c r="I1234" s="1684"/>
    </row>
    <row r="1235" spans="1:9" s="1066" customFormat="1" ht="14.65" customHeight="1">
      <c r="A1235" s="1585"/>
      <c r="B1235" s="1586"/>
      <c r="C1235" s="1587"/>
      <c r="D1235" s="1588"/>
      <c r="E1235" s="1516"/>
      <c r="F1235" s="1588"/>
      <c r="G1235" s="1516"/>
      <c r="H1235" s="1516"/>
      <c r="I1235" s="1684"/>
    </row>
    <row r="1236" spans="1:9" s="1066" customFormat="1" ht="105.6" customHeight="1">
      <c r="A1236" s="2078">
        <f>A1202+1</f>
        <v>17</v>
      </c>
      <c r="B1236" s="2078"/>
      <c r="C1236" s="2081" t="s">
        <v>3563</v>
      </c>
      <c r="D1236" s="2081"/>
      <c r="E1236" s="2081"/>
      <c r="F1236" s="2081"/>
      <c r="G1236" s="2081"/>
      <c r="H1236" s="2081"/>
      <c r="I1236" s="1680"/>
    </row>
    <row r="1237" spans="1:9" s="1066" customFormat="1" ht="16.899999999999999" customHeight="1">
      <c r="A1237" s="1585"/>
      <c r="B1237" s="1586"/>
      <c r="C1237" s="1587" t="s">
        <v>3374</v>
      </c>
      <c r="D1237" s="1588">
        <v>1</v>
      </c>
      <c r="E1237" s="1516" t="s">
        <v>94</v>
      </c>
      <c r="F1237" s="1588">
        <f>'Civil-SOR'!$G$110</f>
        <v>4030</v>
      </c>
      <c r="G1237" s="1599">
        <v>1</v>
      </c>
      <c r="H1237" s="1608" t="s">
        <v>94</v>
      </c>
      <c r="I1237" s="1589">
        <f t="shared" ref="I1237:I1238" si="70">IF(G1237="",D1237*F1237,(D1237*F1237/G1237))</f>
        <v>4030</v>
      </c>
    </row>
    <row r="1238" spans="1:9" s="1066" customFormat="1" ht="16.899999999999999" customHeight="1">
      <c r="A1238" s="1585"/>
      <c r="B1238" s="1586"/>
      <c r="C1238" s="1587" t="str">
        <f>Input!$C$48</f>
        <v>Overheads &amp; Contractors Profit @ 13.615%</v>
      </c>
      <c r="D1238" s="1590">
        <f>Input!$D$48</f>
        <v>0.13614999999999999</v>
      </c>
      <c r="E1238" s="1516"/>
      <c r="F1238" s="1588">
        <f>I1237</f>
        <v>4030</v>
      </c>
      <c r="G1238" s="1599"/>
      <c r="H1238" s="1608"/>
      <c r="I1238" s="1589">
        <f t="shared" si="70"/>
        <v>548.68449999999996</v>
      </c>
    </row>
    <row r="1239" spans="1:9" s="1066" customFormat="1" ht="15" customHeight="1">
      <c r="A1239" s="1585"/>
      <c r="B1239" s="1586"/>
      <c r="C1239" s="1587"/>
      <c r="D1239" s="1588"/>
      <c r="E1239" s="1516"/>
      <c r="F1239" s="1588"/>
      <c r="G1239" s="1599"/>
      <c r="H1239" s="1608"/>
      <c r="I1239" s="1589">
        <f>SUM(I1237:I1238)</f>
        <v>4578.6845000000003</v>
      </c>
    </row>
    <row r="1240" spans="1:9" s="1006" customFormat="1" ht="17.45" customHeight="1">
      <c r="A1240" s="1591"/>
      <c r="B1240" s="1592"/>
      <c r="C1240" s="1600" t="s">
        <v>1721</v>
      </c>
      <c r="D1240" s="1594"/>
      <c r="E1240" s="1595"/>
      <c r="F1240" s="1594"/>
      <c r="G1240" s="2078" t="s">
        <v>1034</v>
      </c>
      <c r="H1240" s="2078"/>
      <c r="I1240" s="1596">
        <f>ROUND(I1239,0)</f>
        <v>4579</v>
      </c>
    </row>
    <row r="1241" spans="1:9" s="1066" customFormat="1" ht="12.75" customHeight="1">
      <c r="A1241" s="1585"/>
      <c r="B1241" s="1586"/>
      <c r="C1241" s="1598"/>
      <c r="D1241" s="1588"/>
      <c r="E1241" s="1516"/>
      <c r="F1241" s="1588"/>
      <c r="G1241" s="1598"/>
      <c r="H1241" s="1598"/>
      <c r="I1241" s="1606"/>
    </row>
    <row r="1242" spans="1:9" s="1066" customFormat="1" ht="105" customHeight="1">
      <c r="A1242" s="2078">
        <f>A1236+1</f>
        <v>18</v>
      </c>
      <c r="B1242" s="2078"/>
      <c r="C1242" s="2079" t="s">
        <v>2352</v>
      </c>
      <c r="D1242" s="2079"/>
      <c r="E1242" s="2079"/>
      <c r="F1242" s="2079"/>
      <c r="G1242" s="2079"/>
      <c r="H1242" s="2080"/>
      <c r="I1242" s="1680"/>
    </row>
    <row r="1243" spans="1:9" s="1066" customFormat="1" ht="16.899999999999999" customHeight="1">
      <c r="A1243" s="1585"/>
      <c r="B1243" s="1586"/>
      <c r="C1243" s="1587" t="s">
        <v>2353</v>
      </c>
      <c r="D1243" s="1588">
        <v>1</v>
      </c>
      <c r="E1243" s="1516" t="s">
        <v>46</v>
      </c>
      <c r="F1243" s="1588">
        <f>'Civil-SOR'!G146</f>
        <v>3756</v>
      </c>
      <c r="G1243" s="1588">
        <v>1</v>
      </c>
      <c r="H1243" s="1516" t="s">
        <v>46</v>
      </c>
      <c r="I1243" s="1589">
        <f>IF(G1243="",D1243*F1243,(D1243*F1243/G1243))</f>
        <v>3756</v>
      </c>
    </row>
    <row r="1244" spans="1:9" s="1066" customFormat="1" ht="16.899999999999999" customHeight="1">
      <c r="A1244" s="1585"/>
      <c r="B1244" s="1609"/>
      <c r="C1244" s="1587" t="s">
        <v>2291</v>
      </c>
      <c r="D1244" s="1588">
        <v>1</v>
      </c>
      <c r="E1244" s="1516" t="s">
        <v>46</v>
      </c>
      <c r="F1244" s="1588">
        <f>'Civil-SOR'!$G$49</f>
        <v>568</v>
      </c>
      <c r="G1244" s="1516">
        <v>1</v>
      </c>
      <c r="H1244" s="1516" t="s">
        <v>46</v>
      </c>
      <c r="I1244" s="1589">
        <f>-IF(G1244="",D1244*F1244,(D1244*F1244/G1244))</f>
        <v>-568</v>
      </c>
    </row>
    <row r="1245" spans="1:9" s="1066" customFormat="1" ht="16.899999999999999" customHeight="1">
      <c r="A1245" s="1585"/>
      <c r="B1245" s="1609"/>
      <c r="C1245" s="1587" t="s">
        <v>2293</v>
      </c>
      <c r="D1245" s="1588">
        <v>1</v>
      </c>
      <c r="E1245" s="1516" t="s">
        <v>46</v>
      </c>
      <c r="F1245" s="1588">
        <f>'Civil-SOR'!$G$51</f>
        <v>336</v>
      </c>
      <c r="G1245" s="1516">
        <v>1</v>
      </c>
      <c r="H1245" s="1516" t="s">
        <v>46</v>
      </c>
      <c r="I1245" s="1589">
        <f>IF(G1245="",D1245*F1245,(D1245*F1245/G1245))</f>
        <v>336</v>
      </c>
    </row>
    <row r="1246" spans="1:9" s="1066" customFormat="1" ht="14.45" customHeight="1">
      <c r="A1246" s="1585"/>
      <c r="B1246" s="1586"/>
      <c r="C1246" s="1587"/>
      <c r="D1246" s="1588"/>
      <c r="E1246" s="1516"/>
      <c r="F1246" s="1588"/>
      <c r="G1246" s="1588"/>
      <c r="H1246" s="1516"/>
      <c r="I1246" s="1589">
        <f>SUM(I1243:I1245)</f>
        <v>3524</v>
      </c>
    </row>
    <row r="1247" spans="1:9" s="1066" customFormat="1" ht="14.45" customHeight="1">
      <c r="A1247" s="1585"/>
      <c r="B1247" s="1586"/>
      <c r="C1247" s="1587" t="str">
        <f>Input!$C$48</f>
        <v>Overheads &amp; Contractors Profit @ 13.615%</v>
      </c>
      <c r="D1247" s="1590">
        <f>Input!$D$48</f>
        <v>0.13614999999999999</v>
      </c>
      <c r="E1247" s="1516"/>
      <c r="F1247" s="1588">
        <f>I1246</f>
        <v>3524</v>
      </c>
      <c r="G1247" s="1588"/>
      <c r="H1247" s="1516"/>
      <c r="I1247" s="1589">
        <f>IF(G1247="",D1247*F1247,(D1247*F1247/G1247))</f>
        <v>479.79259999999999</v>
      </c>
    </row>
    <row r="1248" spans="1:9" s="1066" customFormat="1" ht="14.45" customHeight="1">
      <c r="A1248" s="1585"/>
      <c r="B1248" s="1586"/>
      <c r="C1248" s="1680" t="s">
        <v>1721</v>
      </c>
      <c r="D1248" s="1588"/>
      <c r="E1248" s="1516"/>
      <c r="F1248" s="1588"/>
      <c r="G1248" s="1588"/>
      <c r="H1248" s="1516"/>
      <c r="I1248" s="1684">
        <f>SUM(I1246:I1247)</f>
        <v>4003.7925999999998</v>
      </c>
    </row>
    <row r="1249" spans="1:11" s="1066" customFormat="1" ht="14.45" customHeight="1">
      <c r="A1249" s="1585"/>
      <c r="B1249" s="1586"/>
      <c r="C1249" s="1587"/>
      <c r="D1249" s="1588"/>
      <c r="E1249" s="1516"/>
      <c r="F1249" s="1588"/>
      <c r="G1249" s="2078" t="s">
        <v>1034</v>
      </c>
      <c r="H1249" s="2078"/>
      <c r="I1249" s="1606">
        <f>ROUND(I1248,0)</f>
        <v>4004</v>
      </c>
    </row>
    <row r="1250" spans="1:11" s="1066" customFormat="1" ht="7.9" customHeight="1">
      <c r="A1250" s="1585"/>
      <c r="B1250" s="1586"/>
      <c r="C1250" s="1587"/>
      <c r="D1250" s="1588"/>
      <c r="E1250" s="1516"/>
      <c r="F1250" s="1588"/>
      <c r="G1250" s="1516"/>
      <c r="H1250" s="1516"/>
      <c r="I1250" s="1684"/>
    </row>
    <row r="1251" spans="1:11" s="1066" customFormat="1" ht="92.45" customHeight="1">
      <c r="A1251" s="2078">
        <f>A1242+1</f>
        <v>19</v>
      </c>
      <c r="B1251" s="2078"/>
      <c r="C1251" s="2081" t="s">
        <v>3600</v>
      </c>
      <c r="D1251" s="2081"/>
      <c r="E1251" s="2081"/>
      <c r="F1251" s="2081"/>
      <c r="G1251" s="2081"/>
      <c r="H1251" s="2081"/>
      <c r="I1251" s="1680"/>
    </row>
    <row r="1252" spans="1:11" s="1066" customFormat="1" ht="15.95" customHeight="1">
      <c r="A1252" s="1585"/>
      <c r="B1252" s="1586"/>
      <c r="C1252" s="1598" t="s">
        <v>2354</v>
      </c>
      <c r="D1252" s="1516"/>
      <c r="E1252" s="1516"/>
      <c r="F1252" s="1516"/>
      <c r="G1252" s="1516"/>
      <c r="H1252" s="1586">
        <f>1.2*1.8</f>
        <v>2.16</v>
      </c>
      <c r="I1252" s="1609" t="s">
        <v>94</v>
      </c>
    </row>
    <row r="1253" spans="1:11" s="1066" customFormat="1" ht="25.5">
      <c r="A1253" s="1585"/>
      <c r="B1253" s="1586"/>
      <c r="C1253" s="1516" t="s">
        <v>3564</v>
      </c>
      <c r="D1253" s="1608">
        <f>ROUND(2*(1.2+1.8)*0.075*0.04,4)</f>
        <v>1.7999999999999999E-2</v>
      </c>
      <c r="E1253" s="1516" t="s">
        <v>484</v>
      </c>
      <c r="F1253" s="1588">
        <f>'Civil-SOR'!$G$25</f>
        <v>82331</v>
      </c>
      <c r="G1253" s="1516">
        <v>1</v>
      </c>
      <c r="H1253" s="1516" t="s">
        <v>1113</v>
      </c>
      <c r="I1253" s="1589">
        <f t="shared" ref="I1253:I1262" si="71">IF(G1253="",D1253*F1253,(D1253*F1253/G1253))</f>
        <v>1481.9579999999999</v>
      </c>
      <c r="K1253" s="1291"/>
    </row>
    <row r="1254" spans="1:11" s="1066" customFormat="1" ht="16.899999999999999" customHeight="1">
      <c r="A1254" s="1585"/>
      <c r="B1254" s="1586"/>
      <c r="C1254" s="1678" t="s">
        <v>2355</v>
      </c>
      <c r="D1254" s="1598">
        <f>1.2*1.8</f>
        <v>2.16</v>
      </c>
      <c r="E1254" s="1598" t="s">
        <v>46</v>
      </c>
      <c r="F1254" s="1678">
        <f>'Civil-SOR'!$G$79</f>
        <v>886</v>
      </c>
      <c r="G1254" s="1598">
        <v>1</v>
      </c>
      <c r="H1254" s="1598" t="s">
        <v>2356</v>
      </c>
      <c r="I1254" s="1598">
        <f t="shared" si="71"/>
        <v>1913.7600000000002</v>
      </c>
      <c r="K1254" s="1291"/>
    </row>
    <row r="1255" spans="1:11" s="1066" customFormat="1" ht="25.5">
      <c r="A1255" s="1516"/>
      <c r="B1255" s="1586"/>
      <c r="C1255" s="1516" t="s">
        <v>2357</v>
      </c>
      <c r="D1255" s="1516">
        <v>6</v>
      </c>
      <c r="E1255" s="1516" t="s">
        <v>955</v>
      </c>
      <c r="F1255" s="1588">
        <f>'Civil-SOR'!$G$160</f>
        <v>25</v>
      </c>
      <c r="G1255" s="1516">
        <v>1</v>
      </c>
      <c r="H1255" s="1516" t="s">
        <v>501</v>
      </c>
      <c r="I1255" s="1589">
        <f t="shared" si="71"/>
        <v>150</v>
      </c>
      <c r="K1255" s="1291"/>
    </row>
    <row r="1256" spans="1:11" s="1066" customFormat="1" ht="25.5">
      <c r="A1256" s="1516"/>
      <c r="B1256" s="1586"/>
      <c r="C1256" s="1516" t="s">
        <v>2358</v>
      </c>
      <c r="D1256" s="1516">
        <v>2</v>
      </c>
      <c r="E1256" s="1516" t="s">
        <v>955</v>
      </c>
      <c r="F1256" s="1588">
        <f>'Civil-SOR'!$G$155</f>
        <v>28</v>
      </c>
      <c r="G1256" s="1516">
        <v>1</v>
      </c>
      <c r="H1256" s="1516" t="s">
        <v>501</v>
      </c>
      <c r="I1256" s="1589">
        <f t="shared" si="71"/>
        <v>56</v>
      </c>
      <c r="K1256" s="1291"/>
    </row>
    <row r="1257" spans="1:11" s="1066" customFormat="1" ht="25.5">
      <c r="A1257" s="1516"/>
      <c r="B1257" s="1586"/>
      <c r="C1257" s="1516" t="s">
        <v>2359</v>
      </c>
      <c r="D1257" s="1516">
        <v>2</v>
      </c>
      <c r="E1257" s="1516" t="s">
        <v>955</v>
      </c>
      <c r="F1257" s="1588">
        <f>'Civil-SOR'!$G$391</f>
        <v>30</v>
      </c>
      <c r="G1257" s="1516">
        <v>1</v>
      </c>
      <c r="H1257" s="1516" t="s">
        <v>501</v>
      </c>
      <c r="I1257" s="1589">
        <f t="shared" si="71"/>
        <v>60</v>
      </c>
      <c r="K1257" s="1291"/>
    </row>
    <row r="1258" spans="1:11" s="1066" customFormat="1" ht="25.5">
      <c r="A1258" s="1516"/>
      <c r="B1258" s="1586"/>
      <c r="C1258" s="1516" t="s">
        <v>3565</v>
      </c>
      <c r="D1258" s="1588">
        <v>7.2</v>
      </c>
      <c r="E1258" s="1516" t="s">
        <v>197</v>
      </c>
      <c r="F1258" s="1678">
        <f>'Civil-SOR'!$G$383</f>
        <v>32</v>
      </c>
      <c r="G1258" s="1516">
        <v>1</v>
      </c>
      <c r="H1258" s="1516" t="s">
        <v>197</v>
      </c>
      <c r="I1258" s="1589">
        <f t="shared" si="71"/>
        <v>230.4</v>
      </c>
      <c r="K1258" s="1291"/>
    </row>
    <row r="1259" spans="1:11" s="1066" customFormat="1" ht="14.45" customHeight="1">
      <c r="A1259" s="1516"/>
      <c r="B1259" s="1586"/>
      <c r="C1259" s="1516" t="s">
        <v>3566</v>
      </c>
      <c r="D1259" s="1516">
        <v>1</v>
      </c>
      <c r="E1259" s="1516" t="s">
        <v>955</v>
      </c>
      <c r="F1259" s="1588">
        <f>'Civil-SOR'!$G$395</f>
        <v>100</v>
      </c>
      <c r="G1259" s="1516">
        <v>1</v>
      </c>
      <c r="H1259" s="1516" t="s">
        <v>501</v>
      </c>
      <c r="I1259" s="1589">
        <f t="shared" si="71"/>
        <v>100</v>
      </c>
      <c r="K1259" s="1291"/>
    </row>
    <row r="1260" spans="1:11" s="1066" customFormat="1" ht="15" customHeight="1">
      <c r="A1260" s="1516"/>
      <c r="B1260" s="1586"/>
      <c r="C1260" s="1516" t="s">
        <v>2010</v>
      </c>
      <c r="D1260" s="1608">
        <f>ROUND(2*(1.2+1.8)*0.075*0.032,4)</f>
        <v>1.44E-2</v>
      </c>
      <c r="E1260" s="1516" t="s">
        <v>484</v>
      </c>
      <c r="F1260" s="1588">
        <f>$I$8</f>
        <v>15027.85</v>
      </c>
      <c r="G1260" s="1516">
        <v>1</v>
      </c>
      <c r="H1260" s="1516" t="s">
        <v>1113</v>
      </c>
      <c r="I1260" s="1589">
        <f t="shared" si="71"/>
        <v>216.40103999999999</v>
      </c>
      <c r="K1260" s="1291"/>
    </row>
    <row r="1261" spans="1:11" s="1066" customFormat="1" ht="16.899999999999999" customHeight="1">
      <c r="A1261" s="1516"/>
      <c r="B1261" s="1586"/>
      <c r="C1261" s="1598" t="s">
        <v>2360</v>
      </c>
      <c r="D1261" s="1588">
        <f>H1252</f>
        <v>2.16</v>
      </c>
      <c r="E1261" s="1516" t="s">
        <v>46</v>
      </c>
      <c r="F1261" s="1588">
        <f>'Civil-SOR'!$G$394</f>
        <v>800</v>
      </c>
      <c r="G1261" s="1516">
        <v>1</v>
      </c>
      <c r="H1261" s="1516" t="s">
        <v>2356</v>
      </c>
      <c r="I1261" s="1589">
        <f t="shared" si="71"/>
        <v>1728</v>
      </c>
      <c r="K1261" s="1291"/>
    </row>
    <row r="1262" spans="1:11" s="1066" customFormat="1" ht="13.9" customHeight="1">
      <c r="A1262" s="1516"/>
      <c r="B1262" s="1586"/>
      <c r="C1262" s="1587" t="str">
        <f>Input!$C$47</f>
        <v>Add for MA @ 40%</v>
      </c>
      <c r="D1262" s="1588">
        <f>Input!$D$47</f>
        <v>0.4</v>
      </c>
      <c r="E1262" s="1516"/>
      <c r="F1262" s="1588">
        <f>I1260+I1261</f>
        <v>1944.40104</v>
      </c>
      <c r="G1262" s="1516"/>
      <c r="H1262" s="1516"/>
      <c r="I1262" s="1589">
        <f t="shared" si="71"/>
        <v>777.76041600000008</v>
      </c>
      <c r="K1262" s="1291"/>
    </row>
    <row r="1263" spans="1:11" s="1066" customFormat="1" ht="13.15" customHeight="1">
      <c r="A1263" s="1516"/>
      <c r="B1263" s="1586"/>
      <c r="C1263" s="1516" t="s">
        <v>2361</v>
      </c>
      <c r="D1263" s="1516"/>
      <c r="E1263" s="1516"/>
      <c r="F1263" s="1516"/>
      <c r="G1263" s="1516"/>
      <c r="H1263" s="1516"/>
      <c r="I1263" s="1589"/>
      <c r="K1263" s="1291"/>
    </row>
    <row r="1264" spans="1:11" s="1066" customFormat="1" ht="15.95" customHeight="1">
      <c r="A1264" s="1516"/>
      <c r="B1264" s="1586"/>
      <c r="C1264" s="1516"/>
      <c r="D1264" s="1516"/>
      <c r="E1264" s="1516"/>
      <c r="F1264" s="1516"/>
      <c r="G1264" s="1516"/>
      <c r="H1264" s="1516"/>
      <c r="I1264" s="1684">
        <f>SUM(I1253:I1263)</f>
        <v>6714.2794560000002</v>
      </c>
      <c r="K1264" s="1291"/>
    </row>
    <row r="1265" spans="1:11" s="1066" customFormat="1" ht="15.6" customHeight="1">
      <c r="A1265" s="1516"/>
      <c r="B1265" s="1586"/>
      <c r="C1265" s="1587" t="str">
        <f>Input!$C$48</f>
        <v>Overheads &amp; Contractors Profit @ 13.615%</v>
      </c>
      <c r="D1265" s="1590">
        <f>Input!$D$48</f>
        <v>0.13614999999999999</v>
      </c>
      <c r="E1265" s="1516"/>
      <c r="F1265" s="1588">
        <f>I1264</f>
        <v>6714.2794560000002</v>
      </c>
      <c r="G1265" s="1516"/>
      <c r="H1265" s="1516"/>
      <c r="I1265" s="1684">
        <f>D1265*F1265</f>
        <v>914.14914793439993</v>
      </c>
      <c r="K1265" s="1291"/>
    </row>
    <row r="1266" spans="1:11" s="1066" customFormat="1" ht="16.899999999999999" customHeight="1">
      <c r="A1266" s="1516"/>
      <c r="B1266" s="1586"/>
      <c r="C1266" s="1586" t="s">
        <v>2362</v>
      </c>
      <c r="D1266" s="1516"/>
      <c r="E1266" s="1516"/>
      <c r="F1266" s="1516"/>
      <c r="G1266" s="1516"/>
      <c r="H1266" s="1516"/>
      <c r="I1266" s="1684">
        <f>SUM(I1264:I1265)</f>
        <v>7628.4286039344006</v>
      </c>
      <c r="K1266" s="1291"/>
    </row>
    <row r="1267" spans="1:11" s="1066" customFormat="1" ht="16.149999999999999" customHeight="1">
      <c r="A1267" s="1516"/>
      <c r="B1267" s="1586"/>
      <c r="C1267" s="1586" t="s">
        <v>1117</v>
      </c>
      <c r="D1267" s="1516"/>
      <c r="E1267" s="1516"/>
      <c r="F1267" s="1516"/>
      <c r="G1267" s="1516"/>
      <c r="H1267" s="1516"/>
      <c r="I1267" s="1684">
        <f>I1266/H1252</f>
        <v>3531.6799092288888</v>
      </c>
      <c r="K1267" s="1291"/>
    </row>
    <row r="1268" spans="1:11" s="1066" customFormat="1" ht="15" customHeight="1">
      <c r="A1268" s="1516"/>
      <c r="B1268" s="1586"/>
      <c r="C1268" s="1516"/>
      <c r="D1268" s="1516"/>
      <c r="E1268" s="1516"/>
      <c r="F1268" s="1516"/>
      <c r="G1268" s="2078" t="s">
        <v>1034</v>
      </c>
      <c r="H1268" s="2078"/>
      <c r="I1268" s="1606">
        <f>ROUND(I1267,0)</f>
        <v>3532</v>
      </c>
      <c r="K1268" s="1291"/>
    </row>
    <row r="1269" spans="1:11" ht="96" customHeight="1">
      <c r="A1269" s="2078">
        <f>A1248+1</f>
        <v>1</v>
      </c>
      <c r="B1269" s="2078"/>
      <c r="C1269" s="2112" t="s">
        <v>3906</v>
      </c>
      <c r="D1269" s="2112"/>
      <c r="E1269" s="2112"/>
      <c r="F1269" s="2112"/>
      <c r="G1269" s="2112"/>
      <c r="H1269" s="2112"/>
      <c r="I1269" s="1937"/>
    </row>
    <row r="1270" spans="1:11">
      <c r="A1270" s="1585"/>
      <c r="B1270" s="1586"/>
      <c r="C1270" s="2078" t="s">
        <v>2311</v>
      </c>
      <c r="D1270" s="2078"/>
      <c r="E1270" s="1598"/>
      <c r="F1270" s="1598"/>
      <c r="G1270" s="1598"/>
      <c r="H1270" s="1598"/>
      <c r="I1270" s="1598"/>
    </row>
    <row r="1271" spans="1:11">
      <c r="A1271" s="1585"/>
      <c r="B1271" s="1586"/>
      <c r="C1271" s="1937"/>
      <c r="D1271" s="1598" t="s">
        <v>2312</v>
      </c>
      <c r="E1271" s="2078" t="s">
        <v>3824</v>
      </c>
      <c r="F1271" s="2078"/>
      <c r="G1271" s="1516"/>
      <c r="H1271" s="1598">
        <f>2.3*2.8</f>
        <v>6.4399999999999995</v>
      </c>
      <c r="I1271" s="1598" t="s">
        <v>94</v>
      </c>
    </row>
    <row r="1272" spans="1:11">
      <c r="A1272" s="1585"/>
      <c r="B1272" s="1586"/>
      <c r="C1272" s="1937" t="s">
        <v>1935</v>
      </c>
      <c r="D1272" s="1602"/>
      <c r="E1272" s="1586"/>
      <c r="F1272" s="1602"/>
      <c r="G1272" s="1516"/>
      <c r="H1272" s="1516"/>
      <c r="I1272" s="1598"/>
    </row>
    <row r="1273" spans="1:11">
      <c r="A1273" s="1585"/>
      <c r="B1273" s="1586"/>
      <c r="C1273" s="1587" t="s">
        <v>2314</v>
      </c>
      <c r="D1273" s="1588"/>
      <c r="E1273" s="1516"/>
      <c r="F1273" s="1588"/>
      <c r="G1273" s="1516"/>
      <c r="H1273" s="1516"/>
      <c r="I1273" s="1603"/>
    </row>
    <row r="1274" spans="1:11">
      <c r="A1274" s="1585"/>
      <c r="B1274" s="1586"/>
      <c r="C1274" s="1587" t="s">
        <v>3823</v>
      </c>
      <c r="D1274" s="2078" t="s">
        <v>3825</v>
      </c>
      <c r="E1274" s="2078"/>
      <c r="F1274" s="1604">
        <f>2.3*2.8</f>
        <v>6.4399999999999995</v>
      </c>
      <c r="G1274" s="1598"/>
      <c r="H1274" s="1604"/>
      <c r="I1274" s="1516"/>
    </row>
    <row r="1275" spans="1:11">
      <c r="A1275" s="1585"/>
      <c r="B1275" s="1586"/>
      <c r="C1275" s="1587" t="s">
        <v>3826</v>
      </c>
      <c r="D1275" s="2078" t="s">
        <v>3827</v>
      </c>
      <c r="E1275" s="2078"/>
      <c r="F1275" s="1516">
        <f>2*2.3*0.2</f>
        <v>0.91999999999999993</v>
      </c>
      <c r="G1275" s="1598"/>
      <c r="H1275" s="1516"/>
      <c r="I1275" s="1516"/>
    </row>
    <row r="1276" spans="1:11">
      <c r="A1276" s="1585"/>
      <c r="B1276" s="1586"/>
      <c r="C1276" s="1587" t="s">
        <v>3828</v>
      </c>
      <c r="D1276" s="2078" t="s">
        <v>3829</v>
      </c>
      <c r="E1276" s="2078"/>
      <c r="F1276" s="1516">
        <f>2*2.3*0.2</f>
        <v>0.91999999999999993</v>
      </c>
      <c r="G1276" s="1598"/>
      <c r="H1276" s="1516"/>
      <c r="I1276" s="1516"/>
    </row>
    <row r="1277" spans="1:11" s="1948" customFormat="1">
      <c r="A1277" s="1585"/>
      <c r="B1277" s="1586"/>
      <c r="C1277" s="1587" t="s">
        <v>3840</v>
      </c>
      <c r="D1277" s="2078" t="s">
        <v>3849</v>
      </c>
      <c r="E1277" s="2078"/>
      <c r="F1277" s="1516">
        <f>4*1.2*0.2</f>
        <v>0.96</v>
      </c>
      <c r="G1277" s="1598"/>
      <c r="H1277" s="1516"/>
      <c r="I1277" s="1516"/>
    </row>
    <row r="1278" spans="1:11">
      <c r="A1278" s="1585"/>
      <c r="B1278" s="1586"/>
      <c r="C1278" s="1587"/>
      <c r="D1278" s="2078"/>
      <c r="E1278" s="2078"/>
      <c r="F1278" s="1516"/>
      <c r="G1278" s="1598"/>
      <c r="H1278" s="1604"/>
      <c r="I1278" s="1516"/>
    </row>
    <row r="1279" spans="1:11">
      <c r="A1279" s="1585"/>
      <c r="B1279" s="1586"/>
      <c r="C1279" s="1587" t="s">
        <v>3830</v>
      </c>
      <c r="D1279" s="1588"/>
      <c r="E1279" s="1516"/>
      <c r="F1279" s="1588">
        <f>SUM(F1274:F1278)</f>
        <v>9.2399999999999984</v>
      </c>
      <c r="G1279" s="2084"/>
      <c r="H1279" s="2084"/>
      <c r="I1279" s="1586"/>
    </row>
    <row r="1280" spans="1:11" s="1936" customFormat="1">
      <c r="A1280" s="1585"/>
      <c r="B1280" s="1586"/>
      <c r="C1280" s="1587" t="s">
        <v>3831</v>
      </c>
      <c r="D1280" s="1588"/>
      <c r="E1280" s="1516"/>
      <c r="F1280" s="1588">
        <f>F1279*5%</f>
        <v>0.46199999999999997</v>
      </c>
      <c r="G1280" s="1940"/>
      <c r="H1280" s="1940"/>
      <c r="I1280" s="1586"/>
    </row>
    <row r="1281" spans="1:9" s="1936" customFormat="1">
      <c r="A1281" s="1585"/>
      <c r="B1281" s="1586"/>
      <c r="C1281" s="1587"/>
      <c r="D1281" s="1588"/>
      <c r="E1281" s="1516"/>
      <c r="F1281" s="1945">
        <f>SUM(F1279:F1280)</f>
        <v>9.7019999999999982</v>
      </c>
      <c r="G1281" s="1940"/>
      <c r="H1281" s="1940">
        <f>F1281</f>
        <v>9.7019999999999982</v>
      </c>
      <c r="I1281" s="1516" t="s">
        <v>46</v>
      </c>
    </row>
    <row r="1282" spans="1:9" s="1936" customFormat="1" ht="25.5">
      <c r="A1282" s="1585"/>
      <c r="B1282" s="1586"/>
      <c r="C1282" s="1954" t="s">
        <v>3832</v>
      </c>
      <c r="D1282" s="1588"/>
      <c r="E1282" s="1516"/>
      <c r="F1282" s="1945"/>
      <c r="G1282" s="1940"/>
      <c r="H1282" s="1940"/>
      <c r="I1282" s="1586"/>
    </row>
    <row r="1283" spans="1:9" s="1936" customFormat="1">
      <c r="A1283" s="1585"/>
      <c r="B1283" s="1586"/>
      <c r="C1283" s="1587" t="s">
        <v>3802</v>
      </c>
      <c r="D1283" s="2082" t="s">
        <v>3833</v>
      </c>
      <c r="E1283" s="2082"/>
      <c r="F1283" s="2082"/>
      <c r="G1283" s="1598">
        <f>2.3*2.8</f>
        <v>6.4399999999999995</v>
      </c>
      <c r="H1283" s="1598"/>
      <c r="I1283" s="1598"/>
    </row>
    <row r="1284" spans="1:9" s="1936" customFormat="1">
      <c r="A1284" s="1585"/>
      <c r="B1284" s="1586"/>
      <c r="C1284" s="1587" t="s">
        <v>3826</v>
      </c>
      <c r="D1284" s="2078" t="s">
        <v>3827</v>
      </c>
      <c r="E1284" s="2078"/>
      <c r="F1284" s="1516"/>
      <c r="G1284" s="1598">
        <f>2*2.3*0.2</f>
        <v>0.91999999999999993</v>
      </c>
      <c r="H1284" s="1516"/>
      <c r="I1284" s="1516"/>
    </row>
    <row r="1285" spans="1:9" s="1936" customFormat="1">
      <c r="A1285" s="1585"/>
      <c r="B1285" s="1586"/>
      <c r="C1285" s="1587" t="s">
        <v>3828</v>
      </c>
      <c r="D1285" s="2078" t="s">
        <v>3829</v>
      </c>
      <c r="E1285" s="2078"/>
      <c r="F1285" s="1516"/>
      <c r="G1285" s="1598">
        <f>2*2.3*0.2</f>
        <v>0.91999999999999993</v>
      </c>
      <c r="H1285" s="1516"/>
      <c r="I1285" s="1516"/>
    </row>
    <row r="1286" spans="1:9" s="1948" customFormat="1">
      <c r="A1286" s="1585"/>
      <c r="B1286" s="1586"/>
      <c r="C1286" s="1587" t="s">
        <v>3840</v>
      </c>
      <c r="D1286" s="2078" t="s">
        <v>3849</v>
      </c>
      <c r="E1286" s="2078"/>
      <c r="F1286" s="1516"/>
      <c r="G1286" s="1598">
        <f>4*1.2*0.2</f>
        <v>0.96</v>
      </c>
      <c r="H1286" s="1516"/>
      <c r="I1286" s="1516"/>
    </row>
    <row r="1287" spans="1:9" s="1936" customFormat="1">
      <c r="A1287" s="1585"/>
      <c r="B1287" s="1586"/>
      <c r="C1287" s="1587" t="s">
        <v>3830</v>
      </c>
      <c r="F1287" s="1516"/>
      <c r="G1287" s="1598">
        <f>SUM(G1283:G1285)</f>
        <v>8.2799999999999994</v>
      </c>
      <c r="H1287" s="1516"/>
      <c r="I1287" s="1516"/>
    </row>
    <row r="1288" spans="1:9" s="1936" customFormat="1">
      <c r="A1288" s="1585"/>
      <c r="B1288" s="1586"/>
      <c r="C1288" s="1587" t="s">
        <v>3831</v>
      </c>
      <c r="D1288" s="1588"/>
      <c r="E1288" s="1516"/>
      <c r="F1288" s="1588"/>
      <c r="G1288" s="1946">
        <f>G1287*5%</f>
        <v>0.41399999999999998</v>
      </c>
      <c r="H1288" s="1940"/>
      <c r="I1288" s="1586"/>
    </row>
    <row r="1289" spans="1:9">
      <c r="A1289" s="1585"/>
      <c r="B1289" s="1586"/>
      <c r="C1289" s="1587"/>
      <c r="D1289" s="1588"/>
      <c r="E1289" s="1516"/>
      <c r="F1289" s="1588"/>
      <c r="G1289" s="1947">
        <f>SUM(G1287:G1288)</f>
        <v>8.6939999999999991</v>
      </c>
      <c r="H1289" s="1516" t="s">
        <v>46</v>
      </c>
      <c r="I1289" s="1598"/>
    </row>
    <row r="1290" spans="1:9">
      <c r="A1290" s="1585"/>
      <c r="B1290" s="1586"/>
      <c r="C1290" s="1937" t="s">
        <v>1965</v>
      </c>
      <c r="D1290" s="1588"/>
      <c r="E1290" s="1516"/>
      <c r="F1290" s="1588"/>
      <c r="G1290" s="1516"/>
      <c r="H1290" s="1516"/>
      <c r="I1290" s="1939"/>
    </row>
    <row r="1291" spans="1:9">
      <c r="A1291" s="1585"/>
      <c r="B1291" s="1586"/>
      <c r="C1291" s="1937" t="s">
        <v>2166</v>
      </c>
      <c r="D1291" s="1588"/>
      <c r="E1291" s="1516"/>
      <c r="F1291" s="1588"/>
      <c r="G1291" s="1516"/>
      <c r="H1291" s="1516"/>
      <c r="I1291" s="1939"/>
    </row>
    <row r="1292" spans="1:9" ht="38.25">
      <c r="A1292" s="1585"/>
      <c r="B1292" s="1586"/>
      <c r="C1292" s="1587" t="s">
        <v>3842</v>
      </c>
      <c r="D1292" s="1604">
        <f>H1281</f>
        <v>9.7019999999999982</v>
      </c>
      <c r="E1292" s="1949" t="s">
        <v>46</v>
      </c>
      <c r="F1292" s="1939">
        <v>970</v>
      </c>
      <c r="G1292" s="1516">
        <v>1</v>
      </c>
      <c r="H1292" s="1516" t="s">
        <v>46</v>
      </c>
      <c r="I1292" s="1589">
        <f t="shared" ref="I1292:I1295" si="72">IF(G1292="",D1292*F1292,(D1292*F1292/G1292))</f>
        <v>9410.9399999999987</v>
      </c>
    </row>
    <row r="1293" spans="1:9" ht="25.5">
      <c r="A1293" s="1585"/>
      <c r="B1293" s="1586"/>
      <c r="C1293" s="1587" t="s">
        <v>3841</v>
      </c>
      <c r="D1293" s="1588">
        <f>G1289</f>
        <v>8.6939999999999991</v>
      </c>
      <c r="E1293" s="1938" t="s">
        <v>2161</v>
      </c>
      <c r="F1293" s="1939">
        <v>436</v>
      </c>
      <c r="G1293" s="1516">
        <v>1</v>
      </c>
      <c r="H1293" s="1516" t="s">
        <v>2161</v>
      </c>
      <c r="I1293" s="1589">
        <f t="shared" si="72"/>
        <v>3790.5839999999994</v>
      </c>
    </row>
    <row r="1294" spans="1:9" ht="25.5">
      <c r="A1294" s="1585"/>
      <c r="B1294" s="1586"/>
      <c r="C1294" s="1587" t="s">
        <v>3843</v>
      </c>
      <c r="D1294" s="1588">
        <v>5</v>
      </c>
      <c r="E1294" s="1949" t="s">
        <v>46</v>
      </c>
      <c r="F1294" s="1939">
        <v>259</v>
      </c>
      <c r="G1294" s="1516">
        <v>1</v>
      </c>
      <c r="H1294" s="1516" t="s">
        <v>97</v>
      </c>
      <c r="I1294" s="1589">
        <f t="shared" si="72"/>
        <v>1295</v>
      </c>
    </row>
    <row r="1295" spans="1:9" ht="127.5">
      <c r="A1295" s="1585"/>
      <c r="B1295" s="1586"/>
      <c r="C1295" s="1955" t="s">
        <v>3844</v>
      </c>
      <c r="D1295" s="1588">
        <f>H1271</f>
        <v>6.4399999999999995</v>
      </c>
      <c r="E1295" s="1956" t="s">
        <v>46</v>
      </c>
      <c r="F1295" s="1939">
        <v>1461</v>
      </c>
      <c r="G1295" s="1516">
        <v>1</v>
      </c>
      <c r="H1295" s="1588" t="s">
        <v>94</v>
      </c>
      <c r="I1295" s="1589">
        <f t="shared" si="72"/>
        <v>9408.84</v>
      </c>
    </row>
    <row r="1296" spans="1:9" s="1948" customFormat="1">
      <c r="A1296" s="1585"/>
      <c r="B1296" s="1586"/>
      <c r="C1296" s="1587" t="s">
        <v>3845</v>
      </c>
      <c r="D1296" s="1588">
        <f>Input!D47</f>
        <v>0.4</v>
      </c>
      <c r="E1296" s="1956" t="s">
        <v>46</v>
      </c>
      <c r="F1296" s="1950">
        <f>I1295</f>
        <v>9408.84</v>
      </c>
      <c r="G1296" s="1516">
        <v>1</v>
      </c>
      <c r="H1296" s="1588" t="s">
        <v>94</v>
      </c>
      <c r="I1296" s="1589">
        <f t="shared" ref="I1296" si="73">IF(G1296="",D1296*F1296,(D1296*F1296/G1296))</f>
        <v>3763.5360000000001</v>
      </c>
    </row>
    <row r="1297" spans="1:10">
      <c r="A1297" s="1585"/>
      <c r="B1297" s="1586"/>
      <c r="C1297" s="1587" t="s">
        <v>3846</v>
      </c>
      <c r="D1297" s="1588">
        <v>5</v>
      </c>
      <c r="E1297" s="1956" t="s">
        <v>46</v>
      </c>
      <c r="F1297" s="1950">
        <v>97</v>
      </c>
      <c r="G1297" s="1516">
        <v>1</v>
      </c>
      <c r="H1297" s="1588" t="s">
        <v>94</v>
      </c>
      <c r="I1297" s="1589">
        <f t="shared" ref="I1297" si="74">IF(G1297="",D1297*F1297,(D1297*F1297/G1297))</f>
        <v>485</v>
      </c>
    </row>
    <row r="1298" spans="1:10">
      <c r="A1298" s="1585"/>
      <c r="B1298" s="1586"/>
      <c r="C1298" s="1587" t="s">
        <v>3847</v>
      </c>
      <c r="D1298" s="1588"/>
      <c r="E1298" s="1516"/>
      <c r="F1298" s="1588"/>
      <c r="G1298" s="1516"/>
      <c r="H1298" s="1516"/>
      <c r="I1298" s="1939">
        <f>SUM(I1292:I1297)</f>
        <v>28153.899999999998</v>
      </c>
    </row>
    <row r="1299" spans="1:10">
      <c r="A1299" s="1585"/>
      <c r="B1299" s="1586"/>
      <c r="C1299" s="1587" t="str">
        <f>Input!$C$48</f>
        <v>Overheads &amp; Contractors Profit @ 13.615%</v>
      </c>
      <c r="D1299" s="1590">
        <f>Input!$D$48</f>
        <v>0.13614999999999999</v>
      </c>
      <c r="E1299" s="1516"/>
      <c r="F1299" s="1588">
        <f>I1298</f>
        <v>28153.899999999998</v>
      </c>
      <c r="G1299" s="1516"/>
      <c r="H1299" s="1516"/>
      <c r="I1299" s="1589">
        <f>IF(G1299="",D1299*F1299,(D1299*F1299/G1299))</f>
        <v>3833.1534849999994</v>
      </c>
    </row>
    <row r="1300" spans="1:10">
      <c r="A1300" s="1585"/>
      <c r="B1300" s="1586"/>
      <c r="C1300" s="1587"/>
      <c r="D1300" s="1588"/>
      <c r="E1300" s="1516"/>
      <c r="F1300" s="1588"/>
      <c r="G1300" s="1516"/>
      <c r="H1300" s="1516"/>
      <c r="I1300" s="1939">
        <f>SUM(I1298:I1299)</f>
        <v>31987.053484999997</v>
      </c>
    </row>
    <row r="1301" spans="1:10">
      <c r="A1301" s="1585"/>
      <c r="B1301" s="1586"/>
      <c r="C1301" s="1957" t="s">
        <v>2310</v>
      </c>
      <c r="D1301" s="1588"/>
      <c r="E1301" s="1516"/>
      <c r="F1301" s="1588"/>
      <c r="G1301" s="1516"/>
      <c r="H1301" s="1516"/>
      <c r="I1301" s="1939">
        <f>I1300/H1271</f>
        <v>4966.9337709627325</v>
      </c>
    </row>
    <row r="1302" spans="1:10">
      <c r="A1302" s="1585"/>
      <c r="B1302" s="1586"/>
      <c r="C1302" s="1587"/>
      <c r="D1302" s="1588"/>
      <c r="E1302" s="1516"/>
      <c r="F1302" s="1588"/>
      <c r="G1302" s="2078" t="s">
        <v>1034</v>
      </c>
      <c r="H1302" s="2078"/>
      <c r="I1302" s="1606">
        <f>ROUND(I1301,0)</f>
        <v>4967</v>
      </c>
      <c r="J1302" s="1960" t="s">
        <v>3901</v>
      </c>
    </row>
    <row r="1303" spans="1:10">
      <c r="A1303" s="2047">
        <f>1+A1284</f>
        <v>1</v>
      </c>
      <c r="B1303" s="2047"/>
      <c r="C1303" s="2036" t="s">
        <v>2259</v>
      </c>
      <c r="D1303" s="2036"/>
      <c r="E1303" s="2036"/>
      <c r="F1303" s="2036"/>
      <c r="G1303" s="2036"/>
      <c r="H1303" s="2036"/>
      <c r="I1303" s="1978"/>
    </row>
    <row r="1304" spans="1:10" ht="25.5">
      <c r="A1304" s="1982"/>
      <c r="B1304" s="1979"/>
      <c r="C1304" s="1978" t="s">
        <v>3916</v>
      </c>
      <c r="D1304" s="1983">
        <f>1.8*1.8</f>
        <v>3.24</v>
      </c>
      <c r="E1304" s="1075" t="s">
        <v>46</v>
      </c>
      <c r="F1304" s="1983"/>
      <c r="G1304" s="1983"/>
      <c r="H1304" s="1983"/>
      <c r="I1304" s="1062"/>
    </row>
    <row r="1305" spans="1:10">
      <c r="A1305" s="1982"/>
      <c r="B1305" s="1979"/>
      <c r="C1305" s="1978" t="s">
        <v>2261</v>
      </c>
      <c r="D1305" s="1983"/>
      <c r="E1305" s="1075"/>
      <c r="F1305" s="1983"/>
      <c r="G1305" s="1983"/>
      <c r="H1305" s="1983"/>
      <c r="I1305" s="1062"/>
    </row>
    <row r="1306" spans="1:10">
      <c r="A1306" s="1982"/>
      <c r="B1306" s="1979"/>
      <c r="C1306" s="1980" t="s">
        <v>2262</v>
      </c>
      <c r="D1306" s="2090" t="s">
        <v>3917</v>
      </c>
      <c r="E1306" s="2090"/>
      <c r="F1306" s="2090"/>
      <c r="G1306" s="1022"/>
      <c r="H1306" s="1137">
        <f>2*(1.8+1.8)</f>
        <v>7.2</v>
      </c>
      <c r="I1306" s="1022" t="s">
        <v>197</v>
      </c>
    </row>
    <row r="1307" spans="1:10">
      <c r="A1307" s="1982"/>
      <c r="B1307" s="1979"/>
      <c r="C1307" s="1980"/>
      <c r="D1307" s="2090" t="s">
        <v>3918</v>
      </c>
      <c r="E1307" s="2090"/>
      <c r="F1307" s="2090"/>
      <c r="G1307" s="1022"/>
      <c r="H1307" s="1556">
        <f>7.2*1.8</f>
        <v>12.96</v>
      </c>
      <c r="I1307" s="1977" t="s">
        <v>1110</v>
      </c>
    </row>
    <row r="1308" spans="1:10">
      <c r="A1308" s="1982"/>
      <c r="B1308" s="1979"/>
      <c r="C1308" s="1981" t="s">
        <v>2265</v>
      </c>
      <c r="D1308" s="1022"/>
      <c r="E1308" s="1022"/>
      <c r="F1308" s="1137"/>
      <c r="G1308" s="1022"/>
      <c r="H1308" s="1022"/>
      <c r="I1308" s="1982"/>
    </row>
    <row r="1309" spans="1:10">
      <c r="A1309" s="1982"/>
      <c r="B1309" s="1979"/>
      <c r="C1309" s="1983" t="s">
        <v>3919</v>
      </c>
      <c r="D1309" s="2090" t="s">
        <v>3922</v>
      </c>
      <c r="E1309" s="2090"/>
      <c r="F1309" s="1983">
        <f>2*1.8</f>
        <v>3.6</v>
      </c>
      <c r="G1309" s="1022"/>
      <c r="H1309" s="1022"/>
      <c r="I1309" s="1982"/>
    </row>
    <row r="1310" spans="1:10">
      <c r="A1310" s="1982"/>
      <c r="B1310" s="1979"/>
      <c r="C1310" s="1983" t="s">
        <v>3920</v>
      </c>
      <c r="D1310" s="2090" t="s">
        <v>3921</v>
      </c>
      <c r="E1310" s="2090"/>
      <c r="F1310" s="1983">
        <f>16*1.8</f>
        <v>28.8</v>
      </c>
      <c r="G1310" s="1022"/>
      <c r="H1310" s="1022"/>
      <c r="I1310" s="1982"/>
    </row>
    <row r="1311" spans="1:10">
      <c r="A1311" s="1982"/>
      <c r="B1311" s="1979"/>
      <c r="C1311" s="1980"/>
      <c r="D1311" s="1022"/>
      <c r="E1311" s="1022"/>
      <c r="F1311" s="1983">
        <f>SUM(F1309:F1310)</f>
        <v>32.4</v>
      </c>
      <c r="G1311" s="1078" t="s">
        <v>197</v>
      </c>
      <c r="H1311" s="1983">
        <f>F1311*0.785</f>
        <v>25.434000000000001</v>
      </c>
      <c r="I1311" s="1977" t="s">
        <v>1110</v>
      </c>
    </row>
    <row r="1312" spans="1:10">
      <c r="A1312" s="1982"/>
      <c r="B1312" s="1979"/>
      <c r="C1312" s="1980"/>
      <c r="D1312" s="1022"/>
      <c r="E1312" s="1022"/>
      <c r="F1312" s="1137"/>
      <c r="G1312" s="1022"/>
      <c r="H1312" s="1983">
        <f>SUM(H1307:H1311)</f>
        <v>38.394000000000005</v>
      </c>
      <c r="I1312" s="1977" t="s">
        <v>1110</v>
      </c>
    </row>
    <row r="1313" spans="1:9">
      <c r="A1313" s="1982"/>
      <c r="B1313" s="1979"/>
      <c r="C1313" s="1978" t="s">
        <v>1694</v>
      </c>
      <c r="D1313" s="1022"/>
      <c r="E1313" s="1022"/>
      <c r="F1313" s="1137"/>
      <c r="G1313" s="1022"/>
      <c r="H1313" s="1556"/>
      <c r="I1313" s="1983"/>
    </row>
    <row r="1314" spans="1:9">
      <c r="A1314" s="1982"/>
      <c r="B1314" s="1979"/>
      <c r="C1314" s="1980" t="s">
        <v>2270</v>
      </c>
      <c r="D1314" s="1137">
        <f>H1311</f>
        <v>25.434000000000001</v>
      </c>
      <c r="E1314" s="1178" t="s">
        <v>1110</v>
      </c>
      <c r="F1314" s="1137">
        <f>LEAD!$N$10</f>
        <v>61000</v>
      </c>
      <c r="G1314" s="1081">
        <v>1000</v>
      </c>
      <c r="H1314" s="1178" t="s">
        <v>1110</v>
      </c>
      <c r="I1314" s="1062">
        <f t="shared" ref="I1314:I1319" si="75">IF(G1314="",D1314*F1314,(D1314*F1314/G1314))</f>
        <v>1551.4739999999999</v>
      </c>
    </row>
    <row r="1315" spans="1:9">
      <c r="A1315" s="1982"/>
      <c r="B1315" s="1979"/>
      <c r="C1315" s="1980" t="s">
        <v>2271</v>
      </c>
      <c r="D1315" s="1060">
        <f>H1307</f>
        <v>12.96</v>
      </c>
      <c r="E1315" s="1178" t="s">
        <v>1110</v>
      </c>
      <c r="F1315" s="1137">
        <f>LEAD!$N$11</f>
        <v>62000</v>
      </c>
      <c r="G1315" s="1081">
        <v>1000</v>
      </c>
      <c r="H1315" s="1178" t="s">
        <v>1110</v>
      </c>
      <c r="I1315" s="1062">
        <f t="shared" si="75"/>
        <v>803.52</v>
      </c>
    </row>
    <row r="1316" spans="1:9">
      <c r="A1316" s="1982"/>
      <c r="B1316" s="1979"/>
      <c r="C1316" s="1983" t="s">
        <v>2272</v>
      </c>
      <c r="D1316" s="1983">
        <v>4</v>
      </c>
      <c r="E1316" s="1983" t="s">
        <v>36</v>
      </c>
      <c r="F1316" s="1137">
        <f>'Civil-SOR'!$G$385</f>
        <v>37</v>
      </c>
      <c r="G1316" s="1983"/>
      <c r="H1316" s="1983" t="s">
        <v>501</v>
      </c>
      <c r="I1316" s="1068">
        <f t="shared" si="75"/>
        <v>148</v>
      </c>
    </row>
    <row r="1317" spans="1:9" ht="25.5">
      <c r="A1317" s="1982"/>
      <c r="B1317" s="1979"/>
      <c r="C1317" s="1980" t="s">
        <v>2273</v>
      </c>
      <c r="D1317" s="1060">
        <f>H1312</f>
        <v>38.394000000000005</v>
      </c>
      <c r="E1317" s="1178" t="s">
        <v>1110</v>
      </c>
      <c r="F1317" s="1983">
        <f>'Civil-SOR'!$G$202</f>
        <v>37</v>
      </c>
      <c r="G1317" s="1081">
        <v>1</v>
      </c>
      <c r="H1317" s="1178" t="s">
        <v>97</v>
      </c>
      <c r="I1317" s="1062">
        <f t="shared" si="75"/>
        <v>1420.5780000000002</v>
      </c>
    </row>
    <row r="1318" spans="1:9" ht="25.5">
      <c r="A1318" s="1982"/>
      <c r="B1318" s="1979"/>
      <c r="C1318" s="1980" t="s">
        <v>2274</v>
      </c>
      <c r="D1318" s="1160">
        <f>H1312</f>
        <v>38.394000000000005</v>
      </c>
      <c r="E1318" s="1178"/>
      <c r="F1318" s="1983">
        <f>'Civil-SOR'!$G$203</f>
        <v>6</v>
      </c>
      <c r="G1318" s="1081"/>
      <c r="H1318" s="1097"/>
      <c r="I1318" s="1062">
        <f t="shared" si="75"/>
        <v>230.36400000000003</v>
      </c>
    </row>
    <row r="1319" spans="1:9">
      <c r="A1319" s="1982"/>
      <c r="B1319" s="1979"/>
      <c r="C1319" s="1980" t="str">
        <f>Input!$C$47</f>
        <v>Add for MA @ 40%</v>
      </c>
      <c r="D1319" s="1160">
        <f>Input!$D$47</f>
        <v>0.4</v>
      </c>
      <c r="E1319" s="1112"/>
      <c r="F1319" s="1983">
        <f>I1317*40%+I1318</f>
        <v>798.59520000000009</v>
      </c>
      <c r="G1319" s="1076"/>
      <c r="H1319" s="1981"/>
      <c r="I1319" s="1062">
        <f t="shared" si="75"/>
        <v>319.43808000000007</v>
      </c>
    </row>
    <row r="1320" spans="1:9">
      <c r="A1320" s="1982"/>
      <c r="B1320" s="1979"/>
      <c r="C1320" s="1977" t="s">
        <v>3923</v>
      </c>
      <c r="D1320" s="1139"/>
      <c r="E1320" s="1112"/>
      <c r="F1320" s="1983"/>
      <c r="G1320" s="1081"/>
      <c r="H1320" s="1983"/>
      <c r="I1320" s="1065">
        <f>SUM(I1314:I1319)</f>
        <v>4473.3740799999996</v>
      </c>
    </row>
    <row r="1321" spans="1:9">
      <c r="A1321" s="1982"/>
      <c r="B1321" s="1979"/>
      <c r="C1321" s="1022"/>
      <c r="D1321" s="1139"/>
      <c r="E1321" s="1112"/>
      <c r="F1321" s="1983"/>
      <c r="G1321" s="1081"/>
      <c r="H1321" s="1983"/>
      <c r="I1321" s="1065">
        <f>I1320/3.24</f>
        <v>1380.6710123456787</v>
      </c>
    </row>
    <row r="1322" spans="1:9">
      <c r="A1322" s="1982"/>
      <c r="B1322" s="1979"/>
      <c r="C1322" s="1980" t="str">
        <f>Input!$C$48</f>
        <v>Overheads &amp; Contractors Profit @ 13.615%</v>
      </c>
      <c r="D1322" s="1579">
        <v>0.13614999999999999</v>
      </c>
      <c r="E1322" s="1112"/>
      <c r="F1322" s="1983">
        <f>I1321</f>
        <v>1380.6710123456787</v>
      </c>
      <c r="G1322" s="1076"/>
      <c r="H1322" s="1981"/>
      <c r="I1322" s="1062">
        <f>IF(G1322="",D1322*F1322,(D1322*F1322/G1322))</f>
        <v>187.97835833086415</v>
      </c>
    </row>
    <row r="1323" spans="1:9">
      <c r="A1323" s="1982"/>
      <c r="B1323" s="1979"/>
      <c r="C1323" s="1022"/>
      <c r="D1323" s="1139"/>
      <c r="E1323" s="1112"/>
      <c r="F1323" s="1983"/>
      <c r="G1323" s="1081"/>
      <c r="H1323" s="1983"/>
      <c r="I1323" s="1065">
        <f>SUM(I1321:I1322)</f>
        <v>1568.649370676543</v>
      </c>
    </row>
    <row r="1324" spans="1:9">
      <c r="A1324" s="1982"/>
      <c r="B1324" s="1979"/>
      <c r="C1324" s="1983" t="s">
        <v>1117</v>
      </c>
      <c r="D1324" s="1983"/>
      <c r="E1324" s="1112"/>
      <c r="F1324" s="1983"/>
      <c r="G1324" s="2075" t="s">
        <v>1096</v>
      </c>
      <c r="H1324" s="2075"/>
      <c r="I1324" s="1163">
        <f>ROUND(I1323,0)</f>
        <v>1569</v>
      </c>
    </row>
  </sheetData>
  <sheetProtection selectLockedCells="1" selectUnlockedCells="1"/>
  <mergeCells count="606">
    <mergeCell ref="A1303:B1303"/>
    <mergeCell ref="C1303:H1303"/>
    <mergeCell ref="D1306:F1306"/>
    <mergeCell ref="D1307:F1307"/>
    <mergeCell ref="D1309:E1309"/>
    <mergeCell ref="D1310:E1310"/>
    <mergeCell ref="G1324:H1324"/>
    <mergeCell ref="D1278:E1278"/>
    <mergeCell ref="G1279:H1279"/>
    <mergeCell ref="G1302:H1302"/>
    <mergeCell ref="D1284:E1284"/>
    <mergeCell ref="D1285:E1285"/>
    <mergeCell ref="D1283:F1283"/>
    <mergeCell ref="A1269:B1269"/>
    <mergeCell ref="C1269:H1269"/>
    <mergeCell ref="C1270:D1270"/>
    <mergeCell ref="E1271:F1271"/>
    <mergeCell ref="D1274:E1274"/>
    <mergeCell ref="D1275:E1275"/>
    <mergeCell ref="D1276:E1276"/>
    <mergeCell ref="D1277:E1277"/>
    <mergeCell ref="D1286:E1286"/>
    <mergeCell ref="G38:H38"/>
    <mergeCell ref="C40:I40"/>
    <mergeCell ref="G53:H53"/>
    <mergeCell ref="C55:I55"/>
    <mergeCell ref="C70:H70"/>
    <mergeCell ref="G71:H71"/>
    <mergeCell ref="A1:I1"/>
    <mergeCell ref="A2:I2"/>
    <mergeCell ref="G8:H8"/>
    <mergeCell ref="C10:I10"/>
    <mergeCell ref="G23:H23"/>
    <mergeCell ref="C25:I25"/>
    <mergeCell ref="D85:F85"/>
    <mergeCell ref="C86:C87"/>
    <mergeCell ref="D86:F86"/>
    <mergeCell ref="D87:F87"/>
    <mergeCell ref="D88:F88"/>
    <mergeCell ref="D89:F89"/>
    <mergeCell ref="G72:H72"/>
    <mergeCell ref="G79:H79"/>
    <mergeCell ref="C81:H81"/>
    <mergeCell ref="C82:H82"/>
    <mergeCell ref="E83:F83"/>
    <mergeCell ref="D84:F84"/>
    <mergeCell ref="D96:F96"/>
    <mergeCell ref="D97:F97"/>
    <mergeCell ref="D98:F98"/>
    <mergeCell ref="D99:F99"/>
    <mergeCell ref="D100:F100"/>
    <mergeCell ref="D101:F101"/>
    <mergeCell ref="D90:F90"/>
    <mergeCell ref="D91:F91"/>
    <mergeCell ref="D92:F92"/>
    <mergeCell ref="D93:F93"/>
    <mergeCell ref="D94:F94"/>
    <mergeCell ref="D95:F95"/>
    <mergeCell ref="D134:F134"/>
    <mergeCell ref="D135:F135"/>
    <mergeCell ref="G135:H135"/>
    <mergeCell ref="G136:H136"/>
    <mergeCell ref="D137:F137"/>
    <mergeCell ref="G137:H137"/>
    <mergeCell ref="G125:H125"/>
    <mergeCell ref="A127:B127"/>
    <mergeCell ref="C127:H127"/>
    <mergeCell ref="C128:H128"/>
    <mergeCell ref="E130:F130"/>
    <mergeCell ref="D133:F133"/>
    <mergeCell ref="G133:H133"/>
    <mergeCell ref="G167:H167"/>
    <mergeCell ref="C169:H169"/>
    <mergeCell ref="C170:H170"/>
    <mergeCell ref="D171:F171"/>
    <mergeCell ref="E172:F172"/>
    <mergeCell ref="D173:F173"/>
    <mergeCell ref="D138:F138"/>
    <mergeCell ref="G138:H138"/>
    <mergeCell ref="D139:F139"/>
    <mergeCell ref="G139:H139"/>
    <mergeCell ref="D140:F140"/>
    <mergeCell ref="G140:H140"/>
    <mergeCell ref="D177:F177"/>
    <mergeCell ref="G177:H177"/>
    <mergeCell ref="D178:F178"/>
    <mergeCell ref="G178:H178"/>
    <mergeCell ref="D179:F179"/>
    <mergeCell ref="G179:H179"/>
    <mergeCell ref="D174:F174"/>
    <mergeCell ref="G174:H174"/>
    <mergeCell ref="D175:F175"/>
    <mergeCell ref="G175:H175"/>
    <mergeCell ref="D176:F176"/>
    <mergeCell ref="G176:H176"/>
    <mergeCell ref="C211:H211"/>
    <mergeCell ref="D212:F212"/>
    <mergeCell ref="G212:H212"/>
    <mergeCell ref="E213:F213"/>
    <mergeCell ref="G213:H213"/>
    <mergeCell ref="D214:F214"/>
    <mergeCell ref="G214:H214"/>
    <mergeCell ref="D180:F180"/>
    <mergeCell ref="G180:H180"/>
    <mergeCell ref="D181:F181"/>
    <mergeCell ref="G181:H181"/>
    <mergeCell ref="G208:H208"/>
    <mergeCell ref="C210:H210"/>
    <mergeCell ref="D218:F218"/>
    <mergeCell ref="G218:H218"/>
    <mergeCell ref="D219:F219"/>
    <mergeCell ref="G219:H219"/>
    <mergeCell ref="D220:F220"/>
    <mergeCell ref="G220:H220"/>
    <mergeCell ref="D215:F215"/>
    <mergeCell ref="G215:H215"/>
    <mergeCell ref="D216:F216"/>
    <mergeCell ref="G216:H216"/>
    <mergeCell ref="D217:F217"/>
    <mergeCell ref="G217:H217"/>
    <mergeCell ref="D224:F224"/>
    <mergeCell ref="G224:H224"/>
    <mergeCell ref="G249:H249"/>
    <mergeCell ref="C251:H251"/>
    <mergeCell ref="C252:H252"/>
    <mergeCell ref="D253:F253"/>
    <mergeCell ref="D221:F221"/>
    <mergeCell ref="G221:H221"/>
    <mergeCell ref="D222:F222"/>
    <mergeCell ref="G222:H222"/>
    <mergeCell ref="D223:F223"/>
    <mergeCell ref="G223:H223"/>
    <mergeCell ref="D259:F259"/>
    <mergeCell ref="G259:H259"/>
    <mergeCell ref="D260:F260"/>
    <mergeCell ref="G260:H260"/>
    <mergeCell ref="D261:F261"/>
    <mergeCell ref="G261:H261"/>
    <mergeCell ref="E254:F254"/>
    <mergeCell ref="D255:F255"/>
    <mergeCell ref="D256:F256"/>
    <mergeCell ref="D257:F257"/>
    <mergeCell ref="G257:H257"/>
    <mergeCell ref="D258:F258"/>
    <mergeCell ref="G258:H258"/>
    <mergeCell ref="G290:H290"/>
    <mergeCell ref="C292:H292"/>
    <mergeCell ref="C293:H293"/>
    <mergeCell ref="K293:P293"/>
    <mergeCell ref="D294:F294"/>
    <mergeCell ref="E295:F295"/>
    <mergeCell ref="D262:F262"/>
    <mergeCell ref="G262:H262"/>
    <mergeCell ref="D263:F263"/>
    <mergeCell ref="G263:H263"/>
    <mergeCell ref="D264:F264"/>
    <mergeCell ref="G264:H264"/>
    <mergeCell ref="D300:F300"/>
    <mergeCell ref="G300:H300"/>
    <mergeCell ref="D301:F301"/>
    <mergeCell ref="G301:H301"/>
    <mergeCell ref="D302:F302"/>
    <mergeCell ref="G302:H302"/>
    <mergeCell ref="D296:F296"/>
    <mergeCell ref="D297:F297"/>
    <mergeCell ref="D298:F298"/>
    <mergeCell ref="G298:H298"/>
    <mergeCell ref="D299:F299"/>
    <mergeCell ref="G299:H299"/>
    <mergeCell ref="G331:H331"/>
    <mergeCell ref="C333:H333"/>
    <mergeCell ref="C334:H334"/>
    <mergeCell ref="E336:F336"/>
    <mergeCell ref="D337:F337"/>
    <mergeCell ref="D338:F338"/>
    <mergeCell ref="D303:F303"/>
    <mergeCell ref="G303:H303"/>
    <mergeCell ref="D304:F304"/>
    <mergeCell ref="G304:H304"/>
    <mergeCell ref="D305:F305"/>
    <mergeCell ref="G305:H305"/>
    <mergeCell ref="D343:F343"/>
    <mergeCell ref="G343:H343"/>
    <mergeCell ref="D344:F344"/>
    <mergeCell ref="G344:H344"/>
    <mergeCell ref="D345:F345"/>
    <mergeCell ref="G345:H345"/>
    <mergeCell ref="D339:F339"/>
    <mergeCell ref="G339:H339"/>
    <mergeCell ref="D340:F340"/>
    <mergeCell ref="D341:F341"/>
    <mergeCell ref="G341:H341"/>
    <mergeCell ref="G342:H342"/>
    <mergeCell ref="D378:F378"/>
    <mergeCell ref="D379:F379"/>
    <mergeCell ref="D380:F380"/>
    <mergeCell ref="G380:H380"/>
    <mergeCell ref="D381:F381"/>
    <mergeCell ref="G381:H381"/>
    <mergeCell ref="D346:F346"/>
    <mergeCell ref="G346:H346"/>
    <mergeCell ref="G372:H372"/>
    <mergeCell ref="C374:I374"/>
    <mergeCell ref="C375:I375"/>
    <mergeCell ref="E377:F377"/>
    <mergeCell ref="D385:F385"/>
    <mergeCell ref="G385:H385"/>
    <mergeCell ref="D386:F386"/>
    <mergeCell ref="G386:H386"/>
    <mergeCell ref="D387:F387"/>
    <mergeCell ref="G387:H387"/>
    <mergeCell ref="D382:F382"/>
    <mergeCell ref="G382:H382"/>
    <mergeCell ref="D383:F383"/>
    <mergeCell ref="G383:H383"/>
    <mergeCell ref="D384:F384"/>
    <mergeCell ref="G384:H384"/>
    <mergeCell ref="D419:F419"/>
    <mergeCell ref="G419:H419"/>
    <mergeCell ref="D420:F420"/>
    <mergeCell ref="G420:H420"/>
    <mergeCell ref="D421:F421"/>
    <mergeCell ref="G421:H421"/>
    <mergeCell ref="G413:H413"/>
    <mergeCell ref="A415:B415"/>
    <mergeCell ref="C415:H415"/>
    <mergeCell ref="C416:H416"/>
    <mergeCell ref="E418:F418"/>
    <mergeCell ref="G418:H418"/>
    <mergeCell ref="D426:F426"/>
    <mergeCell ref="G426:H426"/>
    <mergeCell ref="D427:F427"/>
    <mergeCell ref="G427:H427"/>
    <mergeCell ref="D428:F428"/>
    <mergeCell ref="G428:H428"/>
    <mergeCell ref="D422:F422"/>
    <mergeCell ref="G422:H422"/>
    <mergeCell ref="D423:F423"/>
    <mergeCell ref="G423:H423"/>
    <mergeCell ref="G424:H424"/>
    <mergeCell ref="D425:F425"/>
    <mergeCell ref="G425:H425"/>
    <mergeCell ref="D462:F462"/>
    <mergeCell ref="D463:F463"/>
    <mergeCell ref="G463:H463"/>
    <mergeCell ref="D464:F464"/>
    <mergeCell ref="D465:F465"/>
    <mergeCell ref="G465:H465"/>
    <mergeCell ref="G454:H454"/>
    <mergeCell ref="A457:B457"/>
    <mergeCell ref="C457:H457"/>
    <mergeCell ref="C458:H458"/>
    <mergeCell ref="E460:F460"/>
    <mergeCell ref="D461:F461"/>
    <mergeCell ref="A489:B489"/>
    <mergeCell ref="C489:H489"/>
    <mergeCell ref="C490:H490"/>
    <mergeCell ref="E492:F492"/>
    <mergeCell ref="G492:H492"/>
    <mergeCell ref="D493:F493"/>
    <mergeCell ref="D466:F466"/>
    <mergeCell ref="G466:H466"/>
    <mergeCell ref="D467:F467"/>
    <mergeCell ref="D468:F468"/>
    <mergeCell ref="G468:H468"/>
    <mergeCell ref="G487:H487"/>
    <mergeCell ref="G498:H498"/>
    <mergeCell ref="D499:F499"/>
    <mergeCell ref="G499:H499"/>
    <mergeCell ref="G519:H519"/>
    <mergeCell ref="A521:B521"/>
    <mergeCell ref="C521:H521"/>
    <mergeCell ref="D494:F494"/>
    <mergeCell ref="D495:F495"/>
    <mergeCell ref="G495:H495"/>
    <mergeCell ref="D496:F496"/>
    <mergeCell ref="G496:H496"/>
    <mergeCell ref="D497:F497"/>
    <mergeCell ref="G497:H497"/>
    <mergeCell ref="D529:F529"/>
    <mergeCell ref="G529:H529"/>
    <mergeCell ref="G530:H530"/>
    <mergeCell ref="D532:F532"/>
    <mergeCell ref="G532:H532"/>
    <mergeCell ref="G553:H553"/>
    <mergeCell ref="C522:H522"/>
    <mergeCell ref="E524:F524"/>
    <mergeCell ref="D526:F526"/>
    <mergeCell ref="D527:F527"/>
    <mergeCell ref="G527:H527"/>
    <mergeCell ref="D528:F528"/>
    <mergeCell ref="D559:F559"/>
    <mergeCell ref="G559:H559"/>
    <mergeCell ref="D560:F560"/>
    <mergeCell ref="D561:F561"/>
    <mergeCell ref="G561:H561"/>
    <mergeCell ref="D562:F562"/>
    <mergeCell ref="G562:H562"/>
    <mergeCell ref="A555:B555"/>
    <mergeCell ref="C555:H555"/>
    <mergeCell ref="A556:B556"/>
    <mergeCell ref="C556:H556"/>
    <mergeCell ref="E558:F558"/>
    <mergeCell ref="G558:H558"/>
    <mergeCell ref="A589:B589"/>
    <mergeCell ref="C589:H589"/>
    <mergeCell ref="C590:H590"/>
    <mergeCell ref="D591:F591"/>
    <mergeCell ref="E592:F592"/>
    <mergeCell ref="G592:H592"/>
    <mergeCell ref="D563:F563"/>
    <mergeCell ref="G563:H563"/>
    <mergeCell ref="D564:F564"/>
    <mergeCell ref="G564:H564"/>
    <mergeCell ref="D565:F565"/>
    <mergeCell ref="D566:F566"/>
    <mergeCell ref="D597:F597"/>
    <mergeCell ref="G597:H597"/>
    <mergeCell ref="D598:F598"/>
    <mergeCell ref="G598:H598"/>
    <mergeCell ref="D599:F599"/>
    <mergeCell ref="G599:H599"/>
    <mergeCell ref="D593:F593"/>
    <mergeCell ref="G593:H593"/>
    <mergeCell ref="D594:F594"/>
    <mergeCell ref="D595:F595"/>
    <mergeCell ref="G595:H595"/>
    <mergeCell ref="D596:F596"/>
    <mergeCell ref="D626:F626"/>
    <mergeCell ref="G626:H626"/>
    <mergeCell ref="D627:F627"/>
    <mergeCell ref="G627:H627"/>
    <mergeCell ref="D628:F628"/>
    <mergeCell ref="G628:H628"/>
    <mergeCell ref="G620:H620"/>
    <mergeCell ref="A622:B622"/>
    <mergeCell ref="C622:H622"/>
    <mergeCell ref="C623:H623"/>
    <mergeCell ref="E625:F625"/>
    <mergeCell ref="G625:H625"/>
    <mergeCell ref="A656:B656"/>
    <mergeCell ref="C656:H656"/>
    <mergeCell ref="C657:H657"/>
    <mergeCell ref="D629:F629"/>
    <mergeCell ref="G629:H629"/>
    <mergeCell ref="D630:F630"/>
    <mergeCell ref="G630:H630"/>
    <mergeCell ref="D631:F631"/>
    <mergeCell ref="G631:H631"/>
    <mergeCell ref="K657:P657"/>
    <mergeCell ref="E659:F659"/>
    <mergeCell ref="G659:H659"/>
    <mergeCell ref="D660:F660"/>
    <mergeCell ref="G660:H660"/>
    <mergeCell ref="D661:F661"/>
    <mergeCell ref="G661:H661"/>
    <mergeCell ref="D632:F632"/>
    <mergeCell ref="G632:H632"/>
    <mergeCell ref="G654:H654"/>
    <mergeCell ref="D666:F666"/>
    <mergeCell ref="G689:H689"/>
    <mergeCell ref="A692:B692"/>
    <mergeCell ref="C692:H692"/>
    <mergeCell ref="C693:H693"/>
    <mergeCell ref="E695:F695"/>
    <mergeCell ref="G695:H695"/>
    <mergeCell ref="D662:F662"/>
    <mergeCell ref="D663:F663"/>
    <mergeCell ref="G663:H663"/>
    <mergeCell ref="D664:F664"/>
    <mergeCell ref="G664:H664"/>
    <mergeCell ref="D665:F665"/>
    <mergeCell ref="A726:B726"/>
    <mergeCell ref="C726:H726"/>
    <mergeCell ref="D696:F696"/>
    <mergeCell ref="D697:F697"/>
    <mergeCell ref="G697:H697"/>
    <mergeCell ref="D698:F698"/>
    <mergeCell ref="G698:H698"/>
    <mergeCell ref="D699:F699"/>
    <mergeCell ref="G699:H699"/>
    <mergeCell ref="C727:H727"/>
    <mergeCell ref="E729:F729"/>
    <mergeCell ref="G729:H729"/>
    <mergeCell ref="D730:F730"/>
    <mergeCell ref="G730:H730"/>
    <mergeCell ref="D731:F731"/>
    <mergeCell ref="G731:H731"/>
    <mergeCell ref="D700:F700"/>
    <mergeCell ref="G700:H700"/>
    <mergeCell ref="D701:F701"/>
    <mergeCell ref="G701:H701"/>
    <mergeCell ref="G724:H724"/>
    <mergeCell ref="A765:B765"/>
    <mergeCell ref="C765:H765"/>
    <mergeCell ref="D736:F736"/>
    <mergeCell ref="D737:F737"/>
    <mergeCell ref="D738:G738"/>
    <mergeCell ref="D739:G739"/>
    <mergeCell ref="D740:F740"/>
    <mergeCell ref="G740:H740"/>
    <mergeCell ref="G732:H732"/>
    <mergeCell ref="D733:F733"/>
    <mergeCell ref="G733:H733"/>
    <mergeCell ref="C734:C735"/>
    <mergeCell ref="D734:F734"/>
    <mergeCell ref="G734:H734"/>
    <mergeCell ref="D735:F735"/>
    <mergeCell ref="G735:H735"/>
    <mergeCell ref="C766:H766"/>
    <mergeCell ref="E768:F768"/>
    <mergeCell ref="G768:H768"/>
    <mergeCell ref="D769:F769"/>
    <mergeCell ref="G769:H769"/>
    <mergeCell ref="D770:F770"/>
    <mergeCell ref="G770:H770"/>
    <mergeCell ref="D741:F741"/>
    <mergeCell ref="D742:F742"/>
    <mergeCell ref="D743:F743"/>
    <mergeCell ref="D744:F745"/>
    <mergeCell ref="G762:H762"/>
    <mergeCell ref="A803:B803"/>
    <mergeCell ref="D775:F775"/>
    <mergeCell ref="D776:F776"/>
    <mergeCell ref="D777:F777"/>
    <mergeCell ref="D778:G778"/>
    <mergeCell ref="G779:H779"/>
    <mergeCell ref="D780:F780"/>
    <mergeCell ref="D771:F771"/>
    <mergeCell ref="G771:H771"/>
    <mergeCell ref="D772:F772"/>
    <mergeCell ref="C773:C774"/>
    <mergeCell ref="D773:F773"/>
    <mergeCell ref="D774:F774"/>
    <mergeCell ref="E806:F806"/>
    <mergeCell ref="G806:H806"/>
    <mergeCell ref="D807:F807"/>
    <mergeCell ref="D808:F808"/>
    <mergeCell ref="D809:F809"/>
    <mergeCell ref="D781:F781"/>
    <mergeCell ref="D782:F782"/>
    <mergeCell ref="D783:G783"/>
    <mergeCell ref="G801:H801"/>
    <mergeCell ref="C803:I803"/>
    <mergeCell ref="C804:I804"/>
    <mergeCell ref="D816:G816"/>
    <mergeCell ref="G817:H817"/>
    <mergeCell ref="D818:F818"/>
    <mergeCell ref="G818:H818"/>
    <mergeCell ref="D819:F819"/>
    <mergeCell ref="G819:H819"/>
    <mergeCell ref="D810:F810"/>
    <mergeCell ref="D811:F811"/>
    <mergeCell ref="D812:F812"/>
    <mergeCell ref="D813:F813"/>
    <mergeCell ref="D814:G814"/>
    <mergeCell ref="D815:G815"/>
    <mergeCell ref="G845:H845"/>
    <mergeCell ref="A847:B847"/>
    <mergeCell ref="C847:I847"/>
    <mergeCell ref="G851:H851"/>
    <mergeCell ref="A853:B853"/>
    <mergeCell ref="C853:H853"/>
    <mergeCell ref="D820:F820"/>
    <mergeCell ref="G820:H820"/>
    <mergeCell ref="D821:G821"/>
    <mergeCell ref="G839:H839"/>
    <mergeCell ref="A841:B841"/>
    <mergeCell ref="C841:H841"/>
    <mergeCell ref="G869:H869"/>
    <mergeCell ref="A871:B871"/>
    <mergeCell ref="C871:H871"/>
    <mergeCell ref="C872:G872"/>
    <mergeCell ref="G882:H882"/>
    <mergeCell ref="C884:G884"/>
    <mergeCell ref="G857:H857"/>
    <mergeCell ref="A859:B859"/>
    <mergeCell ref="C859:H859"/>
    <mergeCell ref="G863:H863"/>
    <mergeCell ref="A865:B865"/>
    <mergeCell ref="C865:H865"/>
    <mergeCell ref="G958:H958"/>
    <mergeCell ref="A960:B960"/>
    <mergeCell ref="C960:H960"/>
    <mergeCell ref="C962:G962"/>
    <mergeCell ref="G972:H972"/>
    <mergeCell ref="C974:G974"/>
    <mergeCell ref="G894:H894"/>
    <mergeCell ref="G906:H906"/>
    <mergeCell ref="G918:H918"/>
    <mergeCell ref="G928:H928"/>
    <mergeCell ref="G938:H938"/>
    <mergeCell ref="G948:H948"/>
    <mergeCell ref="A1047:B1047"/>
    <mergeCell ref="C1047:H1047"/>
    <mergeCell ref="C1048:H1048"/>
    <mergeCell ref="G1051:H1051"/>
    <mergeCell ref="C1053:H1053"/>
    <mergeCell ref="A1059:B1059"/>
    <mergeCell ref="C1059:H1059"/>
    <mergeCell ref="G984:H984"/>
    <mergeCell ref="G996:H996"/>
    <mergeCell ref="G1008:H1008"/>
    <mergeCell ref="G1017:H1017"/>
    <mergeCell ref="G1027:H1027"/>
    <mergeCell ref="G1045:H1045"/>
    <mergeCell ref="A1077:B1077"/>
    <mergeCell ref="C1077:H1077"/>
    <mergeCell ref="A1083:B1083"/>
    <mergeCell ref="C1083:H1083"/>
    <mergeCell ref="G1087:H1087"/>
    <mergeCell ref="A1090:B1090"/>
    <mergeCell ref="C1090:H1090"/>
    <mergeCell ref="G1063:H1063"/>
    <mergeCell ref="A1065:B1065"/>
    <mergeCell ref="C1065:H1065"/>
    <mergeCell ref="A1071:B1071"/>
    <mergeCell ref="C1071:H1071"/>
    <mergeCell ref="G1075:H1075"/>
    <mergeCell ref="G1117:H1117"/>
    <mergeCell ref="A1119:B1119"/>
    <mergeCell ref="C1119:H1119"/>
    <mergeCell ref="G1123:H1123"/>
    <mergeCell ref="A1125:B1125"/>
    <mergeCell ref="C1125:H1125"/>
    <mergeCell ref="A1096:B1096"/>
    <mergeCell ref="C1096:H1096"/>
    <mergeCell ref="D1099:F1099"/>
    <mergeCell ref="D1100:F1100"/>
    <mergeCell ref="D1102:E1102"/>
    <mergeCell ref="D1103:E1103"/>
    <mergeCell ref="C1131:C1132"/>
    <mergeCell ref="D1131:G1131"/>
    <mergeCell ref="D1132:G1132"/>
    <mergeCell ref="D1133:F1133"/>
    <mergeCell ref="D1134:G1134"/>
    <mergeCell ref="D1143:E1143"/>
    <mergeCell ref="E1126:F1126"/>
    <mergeCell ref="D1127:F1127"/>
    <mergeCell ref="D1128:F1128"/>
    <mergeCell ref="C1129:C1130"/>
    <mergeCell ref="D1129:F1129"/>
    <mergeCell ref="D1130:F1130"/>
    <mergeCell ref="A1171:B1171"/>
    <mergeCell ref="C1171:H1171"/>
    <mergeCell ref="C1154:C1155"/>
    <mergeCell ref="D1154:F1154"/>
    <mergeCell ref="G1154:H1154"/>
    <mergeCell ref="D1155:F1155"/>
    <mergeCell ref="G1155:H1155"/>
    <mergeCell ref="D1156:F1156"/>
    <mergeCell ref="G1148:H1148"/>
    <mergeCell ref="A1150:B1150"/>
    <mergeCell ref="C1150:H1150"/>
    <mergeCell ref="E1151:F1151"/>
    <mergeCell ref="D1152:F1152"/>
    <mergeCell ref="D1153:F1153"/>
    <mergeCell ref="G1153:H1153"/>
    <mergeCell ref="C1172:H1172"/>
    <mergeCell ref="C1173:D1173"/>
    <mergeCell ref="E1174:F1174"/>
    <mergeCell ref="D1177:E1177"/>
    <mergeCell ref="D1178:E1178"/>
    <mergeCell ref="D1179:E1179"/>
    <mergeCell ref="D1157:F1157"/>
    <mergeCell ref="G1157:H1157"/>
    <mergeCell ref="G1158:H1158"/>
    <mergeCell ref="G1169:H1169"/>
    <mergeCell ref="G1187:H1187"/>
    <mergeCell ref="D1188:F1188"/>
    <mergeCell ref="G1201:H1201"/>
    <mergeCell ref="A1202:B1202"/>
    <mergeCell ref="C1202:H1202"/>
    <mergeCell ref="C1203:H1203"/>
    <mergeCell ref="D1180:E1180"/>
    <mergeCell ref="D1182:E1182"/>
    <mergeCell ref="D1183:E1183"/>
    <mergeCell ref="D1184:E1184"/>
    <mergeCell ref="D1185:G1185"/>
    <mergeCell ref="D1186:G1186"/>
    <mergeCell ref="D1212:E1212"/>
    <mergeCell ref="D1213:E1213"/>
    <mergeCell ref="D1214:E1214"/>
    <mergeCell ref="D1215:G1215"/>
    <mergeCell ref="D1216:G1216"/>
    <mergeCell ref="D1217:F1217"/>
    <mergeCell ref="G1217:H1217"/>
    <mergeCell ref="E1204:F1204"/>
    <mergeCell ref="G1204:H1204"/>
    <mergeCell ref="D1207:E1207"/>
    <mergeCell ref="D1208:E1208"/>
    <mergeCell ref="D1209:E1209"/>
    <mergeCell ref="D1210:E1210"/>
    <mergeCell ref="G1268:H1268"/>
    <mergeCell ref="G1240:H1240"/>
    <mergeCell ref="A1242:B1242"/>
    <mergeCell ref="C1242:H1242"/>
    <mergeCell ref="G1249:H1249"/>
    <mergeCell ref="A1251:B1251"/>
    <mergeCell ref="C1251:H1251"/>
    <mergeCell ref="D1218:F1218"/>
    <mergeCell ref="D1219:F1219"/>
    <mergeCell ref="D1228:E1228"/>
    <mergeCell ref="G1233:H1233"/>
    <mergeCell ref="A1236:B1236"/>
    <mergeCell ref="C1236:H1236"/>
  </mergeCells>
  <printOptions horizontalCentered="1"/>
  <pageMargins left="0.6" right="0.6" top="0.6" bottom="0.6" header="0.51180555555555551" footer="0.51180555555555551"/>
  <pageSetup paperSize="9" scale="91" firstPageNumber="0" orientation="portrait" horizontalDpi="300" verticalDpi="300" r:id="rId1"/>
  <headerFooter alignWithMargins="0"/>
  <rowBreaks count="7" manualBreakCount="7">
    <brk id="134" max="16383" man="1"/>
    <brk id="262" max="16383" man="1"/>
    <brk id="386" max="16383" man="1"/>
    <brk id="668" max="16383" man="1"/>
    <brk id="737" max="16383" man="1"/>
    <brk id="802" max="8" man="1"/>
    <brk id="1268" max="8" man="1"/>
  </rowBreaks>
</worksheet>
</file>

<file path=xl/worksheets/sheet8.xml><?xml version="1.0" encoding="utf-8"?>
<worksheet xmlns="http://schemas.openxmlformats.org/spreadsheetml/2006/main" xmlns:r="http://schemas.openxmlformats.org/officeDocument/2006/relationships">
  <dimension ref="A1:N509"/>
  <sheetViews>
    <sheetView view="pageBreakPreview" zoomScaleSheetLayoutView="100" workbookViewId="0">
      <pane ySplit="1" topLeftCell="A2" activePane="bottomLeft" state="frozen"/>
      <selection pane="bottomLeft" activeCell="I495" sqref="I495"/>
    </sheetView>
  </sheetViews>
  <sheetFormatPr defaultColWidth="11.140625" defaultRowHeight="15"/>
  <cols>
    <col min="1" max="1" width="3" style="638" customWidth="1"/>
    <col min="2" max="2" width="2.85546875" style="629" customWidth="1"/>
    <col min="3" max="3" width="40.7109375" style="629" customWidth="1"/>
    <col min="4" max="4" width="7.85546875" style="629" customWidth="1"/>
    <col min="5" max="5" width="4.85546875" style="629" customWidth="1"/>
    <col min="6" max="6" width="8.85546875" style="639" customWidth="1"/>
    <col min="7" max="7" width="1.85546875" style="629" customWidth="1"/>
    <col min="8" max="8" width="8" style="629" customWidth="1"/>
    <col min="9" max="9" width="10.85546875" style="639" customWidth="1"/>
    <col min="10" max="10" width="5.85546875" style="629" customWidth="1"/>
    <col min="11" max="11" width="8.5703125" style="629" customWidth="1"/>
    <col min="12" max="12" width="27.5703125" style="629" customWidth="1"/>
    <col min="13" max="13" width="13.28515625" style="629" customWidth="1"/>
    <col min="14" max="64" width="8.5703125" style="629" customWidth="1"/>
    <col min="65" max="16384" width="11.140625" style="629"/>
  </cols>
  <sheetData>
    <row r="1" spans="1:14" ht="15.75" customHeight="1">
      <c r="A1" s="2124" t="s">
        <v>1000</v>
      </c>
      <c r="B1" s="2124"/>
      <c r="C1" s="2124"/>
      <c r="D1" s="2124"/>
      <c r="E1" s="2124"/>
      <c r="F1" s="2124"/>
      <c r="G1" s="2124"/>
      <c r="H1" s="2124"/>
      <c r="I1" s="2124"/>
      <c r="L1" s="630" t="e">
        <f>#REF!</f>
        <v>#REF!</v>
      </c>
      <c r="M1" s="629">
        <v>375000000</v>
      </c>
      <c r="N1" s="630" t="e">
        <f>+M1-L1</f>
        <v>#REF!</v>
      </c>
    </row>
    <row r="2" spans="1:14">
      <c r="A2" s="2124" t="s">
        <v>2363</v>
      </c>
      <c r="B2" s="2124"/>
      <c r="C2" s="2124"/>
      <c r="D2" s="2124"/>
      <c r="E2" s="2124"/>
      <c r="F2" s="2124"/>
      <c r="G2" s="2124"/>
      <c r="H2" s="2124"/>
      <c r="I2" s="2124"/>
    </row>
    <row r="3" spans="1:14" ht="16.7" customHeight="1">
      <c r="A3" s="2124" t="s">
        <v>2364</v>
      </c>
      <c r="B3" s="2124"/>
      <c r="C3" s="631" t="s">
        <v>937</v>
      </c>
      <c r="D3" s="631" t="s">
        <v>2365</v>
      </c>
      <c r="E3" s="631" t="s">
        <v>30</v>
      </c>
      <c r="F3" s="632" t="s">
        <v>29</v>
      </c>
      <c r="G3" s="2125" t="s">
        <v>1027</v>
      </c>
      <c r="H3" s="2125"/>
      <c r="I3" s="632" t="s">
        <v>2366</v>
      </c>
    </row>
    <row r="4" spans="1:14" ht="95.1" customHeight="1">
      <c r="A4" s="1629">
        <v>1</v>
      </c>
      <c r="B4" s="1630"/>
      <c r="C4" s="2113" t="s">
        <v>2655</v>
      </c>
      <c r="D4" s="2113"/>
      <c r="E4" s="2113"/>
      <c r="F4" s="2113"/>
      <c r="G4" s="2113"/>
      <c r="H4" s="2113"/>
      <c r="I4" s="633"/>
    </row>
    <row r="5" spans="1:14">
      <c r="A5" s="1629"/>
      <c r="B5" s="1630" t="s">
        <v>294</v>
      </c>
      <c r="C5" s="634" t="s">
        <v>2367</v>
      </c>
      <c r="D5" s="1630"/>
      <c r="E5" s="1630"/>
      <c r="F5" s="633"/>
      <c r="G5" s="1630"/>
      <c r="H5" s="1630"/>
      <c r="I5" s="633"/>
    </row>
    <row r="6" spans="1:14">
      <c r="A6" s="1629"/>
      <c r="B6" s="1630"/>
      <c r="C6" s="1630" t="s">
        <v>2368</v>
      </c>
      <c r="D6" s="1630">
        <v>1</v>
      </c>
      <c r="E6" s="1630" t="s">
        <v>197</v>
      </c>
      <c r="F6" s="633">
        <f>'WS-SOR'!$G$6</f>
        <v>495</v>
      </c>
      <c r="G6" s="1630">
        <v>1</v>
      </c>
      <c r="H6" s="1630" t="s">
        <v>197</v>
      </c>
      <c r="I6" s="633">
        <f t="shared" ref="I6:I7" si="0">IF(G6="",D6*F6,(D6*F6/G6))</f>
        <v>495</v>
      </c>
    </row>
    <row r="7" spans="1:14">
      <c r="A7" s="1629"/>
      <c r="B7" s="1630"/>
      <c r="C7" s="1630" t="str">
        <f>Input!$C$48</f>
        <v>Overheads &amp; Contractors Profit @ 13.615%</v>
      </c>
      <c r="D7" s="1630">
        <f>Input!$D$48</f>
        <v>0.13614999999999999</v>
      </c>
      <c r="E7" s="1630"/>
      <c r="F7" s="633">
        <f>I6</f>
        <v>495</v>
      </c>
      <c r="G7" s="1630"/>
      <c r="H7" s="1630"/>
      <c r="I7" s="633">
        <f t="shared" si="0"/>
        <v>67.39425</v>
      </c>
    </row>
    <row r="8" spans="1:14">
      <c r="A8" s="1629"/>
      <c r="B8" s="1630"/>
      <c r="C8" s="1630" t="s">
        <v>1288</v>
      </c>
      <c r="D8" s="1630"/>
      <c r="E8" s="1630"/>
      <c r="F8" s="633"/>
      <c r="G8" s="1630"/>
      <c r="H8" s="1630"/>
      <c r="I8" s="633">
        <f>SUM(I6:I7)</f>
        <v>562.39425000000006</v>
      </c>
    </row>
    <row r="9" spans="1:14">
      <c r="A9" s="1629"/>
      <c r="B9" s="1630"/>
      <c r="C9" s="1630"/>
      <c r="D9" s="1630"/>
      <c r="E9" s="1630"/>
      <c r="F9" s="633"/>
      <c r="G9" s="2123" t="s">
        <v>1034</v>
      </c>
      <c r="H9" s="2123"/>
      <c r="I9" s="635">
        <f>ROUND(I8,0)</f>
        <v>562</v>
      </c>
    </row>
    <row r="10" spans="1:14">
      <c r="A10" s="1629"/>
      <c r="B10" s="1630"/>
      <c r="C10" s="1630"/>
      <c r="D10" s="1630"/>
      <c r="E10" s="1630"/>
      <c r="F10" s="633"/>
      <c r="G10" s="1630"/>
      <c r="H10" s="1630"/>
      <c r="I10" s="633"/>
    </row>
    <row r="11" spans="1:14">
      <c r="A11" s="1629"/>
      <c r="B11" s="1630" t="s">
        <v>297</v>
      </c>
      <c r="C11" s="634" t="s">
        <v>2369</v>
      </c>
      <c r="D11" s="634"/>
      <c r="E11" s="634"/>
      <c r="F11" s="633"/>
      <c r="G11" s="1630"/>
      <c r="H11" s="1630"/>
      <c r="I11" s="633"/>
    </row>
    <row r="12" spans="1:14">
      <c r="A12" s="1629"/>
      <c r="B12" s="1630"/>
      <c r="C12" s="1630" t="s">
        <v>2370</v>
      </c>
      <c r="D12" s="1630">
        <v>1</v>
      </c>
      <c r="E12" s="1630" t="s">
        <v>197</v>
      </c>
      <c r="F12" s="633">
        <f>'WS-SOR'!$G$8</f>
        <v>828</v>
      </c>
      <c r="G12" s="1630">
        <v>1</v>
      </c>
      <c r="H12" s="1630" t="s">
        <v>197</v>
      </c>
      <c r="I12" s="633">
        <f t="shared" ref="I12:I13" si="1">IF(G12="",D12*F12,(D12*F12/G12))</f>
        <v>828</v>
      </c>
    </row>
    <row r="13" spans="1:14">
      <c r="A13" s="1629"/>
      <c r="B13" s="1630"/>
      <c r="C13" s="1630" t="str">
        <f>Input!$C$48</f>
        <v>Overheads &amp; Contractors Profit @ 13.615%</v>
      </c>
      <c r="D13" s="1630">
        <f>Input!$D$48</f>
        <v>0.13614999999999999</v>
      </c>
      <c r="E13" s="1630"/>
      <c r="F13" s="633">
        <f>I12</f>
        <v>828</v>
      </c>
      <c r="G13" s="1630"/>
      <c r="H13" s="1630"/>
      <c r="I13" s="633">
        <f t="shared" si="1"/>
        <v>112.73219999999999</v>
      </c>
    </row>
    <row r="14" spans="1:14">
      <c r="A14" s="1629"/>
      <c r="B14" s="1630"/>
      <c r="C14" s="1630"/>
      <c r="D14" s="1630"/>
      <c r="E14" s="1630"/>
      <c r="F14" s="633"/>
      <c r="G14" s="1630"/>
      <c r="H14" s="1630"/>
      <c r="I14" s="633">
        <f>SUM(I12:I13)</f>
        <v>940.73220000000003</v>
      </c>
    </row>
    <row r="15" spans="1:14">
      <c r="A15" s="1629"/>
      <c r="B15" s="1630"/>
      <c r="C15" s="1630" t="s">
        <v>1288</v>
      </c>
      <c r="D15" s="1630"/>
      <c r="E15" s="1630"/>
      <c r="F15" s="633"/>
      <c r="G15" s="1630"/>
      <c r="H15" s="1630" t="s">
        <v>1511</v>
      </c>
      <c r="I15" s="635">
        <f>ROUND(I14,0)</f>
        <v>941</v>
      </c>
    </row>
    <row r="16" spans="1:14">
      <c r="A16" s="1629"/>
      <c r="B16" s="1630"/>
      <c r="C16" s="1630"/>
      <c r="D16" s="1630"/>
      <c r="E16" s="1630"/>
      <c r="F16" s="633"/>
      <c r="G16" s="1630"/>
      <c r="H16" s="1630"/>
      <c r="I16" s="633"/>
    </row>
    <row r="17" spans="1:9">
      <c r="A17" s="1629"/>
      <c r="B17" s="1630" t="s">
        <v>430</v>
      </c>
      <c r="C17" s="634" t="s">
        <v>2371</v>
      </c>
      <c r="D17" s="1630"/>
      <c r="E17" s="1630"/>
      <c r="F17" s="633"/>
      <c r="G17" s="1630"/>
      <c r="H17" s="1630"/>
      <c r="I17" s="633"/>
    </row>
    <row r="18" spans="1:9">
      <c r="A18" s="1629"/>
      <c r="B18" s="1630"/>
      <c r="C18" s="634" t="s">
        <v>2372</v>
      </c>
      <c r="D18" s="1630">
        <v>1</v>
      </c>
      <c r="E18" s="1630" t="s">
        <v>197</v>
      </c>
      <c r="F18" s="633">
        <f>'WS-SOR'!$G$12</f>
        <v>578</v>
      </c>
      <c r="G18" s="1630">
        <v>1</v>
      </c>
      <c r="H18" s="1630" t="s">
        <v>197</v>
      </c>
      <c r="I18" s="633">
        <f t="shared" ref="I18:I20" si="2">IF(G18="",D18*F18,(D18*F18/G18))</f>
        <v>578</v>
      </c>
    </row>
    <row r="19" spans="1:9">
      <c r="A19" s="1629"/>
      <c r="B19" s="1630"/>
      <c r="C19" s="634" t="s">
        <v>2373</v>
      </c>
      <c r="D19" s="1630">
        <v>1</v>
      </c>
      <c r="E19" s="1630" t="s">
        <v>197</v>
      </c>
      <c r="F19" s="633">
        <f>'WS-SOR'!$G$16</f>
        <v>405</v>
      </c>
      <c r="G19" s="1630">
        <v>1</v>
      </c>
      <c r="H19" s="1630" t="s">
        <v>197</v>
      </c>
      <c r="I19" s="633">
        <f t="shared" si="2"/>
        <v>405</v>
      </c>
    </row>
    <row r="20" spans="1:9">
      <c r="A20" s="1629"/>
      <c r="B20" s="1630"/>
      <c r="C20" s="1630" t="str">
        <f>Input!$C$47</f>
        <v>Add for MA @ 40%</v>
      </c>
      <c r="D20" s="1630">
        <f>Input!$D$47</f>
        <v>0.4</v>
      </c>
      <c r="E20" s="1630"/>
      <c r="F20" s="633">
        <f>I19</f>
        <v>405</v>
      </c>
      <c r="G20" s="1630"/>
      <c r="H20" s="1630"/>
      <c r="I20" s="633">
        <f t="shared" si="2"/>
        <v>162</v>
      </c>
    </row>
    <row r="21" spans="1:9">
      <c r="A21" s="1629"/>
      <c r="B21" s="1630"/>
      <c r="C21" s="1630"/>
      <c r="D21" s="1630"/>
      <c r="E21" s="1630"/>
      <c r="F21" s="633"/>
      <c r="G21" s="1630"/>
      <c r="H21" s="1630"/>
      <c r="I21" s="633">
        <f>SUM(I18:I20)</f>
        <v>1145</v>
      </c>
    </row>
    <row r="22" spans="1:9">
      <c r="A22" s="1629"/>
      <c r="B22" s="1630"/>
      <c r="C22" s="1630" t="str">
        <f>Input!$C$48</f>
        <v>Overheads &amp; Contractors Profit @ 13.615%</v>
      </c>
      <c r="D22" s="1630">
        <f>Input!$D$48</f>
        <v>0.13614999999999999</v>
      </c>
      <c r="E22" s="1630"/>
      <c r="F22" s="633">
        <f>I21</f>
        <v>1145</v>
      </c>
      <c r="G22" s="1630"/>
      <c r="H22" s="1630"/>
      <c r="I22" s="633">
        <f>IF(G22="",D22*F22,(D22*F22/G22))</f>
        <v>155.89175</v>
      </c>
    </row>
    <row r="23" spans="1:9">
      <c r="A23" s="1629"/>
      <c r="B23" s="1630"/>
      <c r="C23" s="1630" t="s">
        <v>1288</v>
      </c>
      <c r="D23" s="1630"/>
      <c r="E23" s="1630"/>
      <c r="F23" s="633"/>
      <c r="G23" s="1630"/>
      <c r="H23" s="1630"/>
      <c r="I23" s="633">
        <f>SUM(I21:I22)</f>
        <v>1300.89175</v>
      </c>
    </row>
    <row r="24" spans="1:9">
      <c r="A24" s="1629"/>
      <c r="B24" s="1630"/>
      <c r="C24" s="1630"/>
      <c r="D24" s="1630"/>
      <c r="E24" s="1630"/>
      <c r="F24" s="633"/>
      <c r="G24" s="1630"/>
      <c r="H24" s="1630" t="s">
        <v>1511</v>
      </c>
      <c r="I24" s="635">
        <f>ROUND(I23,0)</f>
        <v>1301</v>
      </c>
    </row>
    <row r="25" spans="1:9">
      <c r="A25" s="1629"/>
      <c r="B25" s="1630"/>
      <c r="C25" s="1630"/>
      <c r="D25" s="1630"/>
      <c r="E25" s="1630"/>
      <c r="F25" s="633"/>
      <c r="G25" s="1630"/>
      <c r="H25" s="1630"/>
      <c r="I25" s="633"/>
    </row>
    <row r="26" spans="1:9">
      <c r="A26" s="1629"/>
      <c r="B26" s="1630" t="s">
        <v>433</v>
      </c>
      <c r="C26" s="1630" t="s">
        <v>2374</v>
      </c>
      <c r="D26" s="1630"/>
      <c r="E26" s="1630"/>
      <c r="F26" s="633"/>
      <c r="G26" s="1630"/>
      <c r="H26" s="1630"/>
      <c r="I26" s="633"/>
    </row>
    <row r="27" spans="1:9">
      <c r="A27" s="1629"/>
      <c r="B27" s="1630"/>
      <c r="C27" s="1630" t="s">
        <v>2375</v>
      </c>
      <c r="D27" s="1630">
        <v>1</v>
      </c>
      <c r="E27" s="1630" t="s">
        <v>197</v>
      </c>
      <c r="F27" s="633">
        <f>'WS-SOR'!$G$13</f>
        <v>1057</v>
      </c>
      <c r="G27" s="1630">
        <v>1</v>
      </c>
      <c r="H27" s="1630" t="s">
        <v>197</v>
      </c>
      <c r="I27" s="633">
        <f t="shared" ref="I27:I29" si="3">IF(G27="",D27*F27,(D27*F27/G27))</f>
        <v>1057</v>
      </c>
    </row>
    <row r="28" spans="1:9">
      <c r="A28" s="1629"/>
      <c r="B28" s="1630"/>
      <c r="C28" s="1630" t="s">
        <v>2376</v>
      </c>
      <c r="D28" s="1630">
        <v>1</v>
      </c>
      <c r="E28" s="1630" t="s">
        <v>197</v>
      </c>
      <c r="F28" s="633">
        <f>'WS-SOR'!$G$16</f>
        <v>405</v>
      </c>
      <c r="G28" s="1630">
        <v>1</v>
      </c>
      <c r="H28" s="1630" t="s">
        <v>197</v>
      </c>
      <c r="I28" s="633">
        <f t="shared" si="3"/>
        <v>405</v>
      </c>
    </row>
    <row r="29" spans="1:9">
      <c r="A29" s="1629"/>
      <c r="B29" s="1630"/>
      <c r="C29" s="1630" t="str">
        <f>Input!$C$47</f>
        <v>Add for MA @ 40%</v>
      </c>
      <c r="D29" s="1630">
        <f>Input!$D$47</f>
        <v>0.4</v>
      </c>
      <c r="E29" s="1630"/>
      <c r="F29" s="633">
        <f>I28</f>
        <v>405</v>
      </c>
      <c r="G29" s="1630"/>
      <c r="H29" s="1630"/>
      <c r="I29" s="633">
        <f t="shared" si="3"/>
        <v>162</v>
      </c>
    </row>
    <row r="30" spans="1:9">
      <c r="A30" s="1629"/>
      <c r="B30" s="1630"/>
      <c r="C30" s="1630"/>
      <c r="D30" s="1630"/>
      <c r="E30" s="1630"/>
      <c r="F30" s="633"/>
      <c r="G30" s="1630"/>
      <c r="H30" s="1630"/>
      <c r="I30" s="633">
        <f>SUM(I27:I29)</f>
        <v>1624</v>
      </c>
    </row>
    <row r="31" spans="1:9">
      <c r="A31" s="1629"/>
      <c r="B31" s="1630"/>
      <c r="C31" s="1630" t="str">
        <f>Input!$C$48</f>
        <v>Overheads &amp; Contractors Profit @ 13.615%</v>
      </c>
      <c r="D31" s="1630">
        <f>Input!$D$48</f>
        <v>0.13614999999999999</v>
      </c>
      <c r="E31" s="1630"/>
      <c r="F31" s="633">
        <f>I30</f>
        <v>1624</v>
      </c>
      <c r="G31" s="1630"/>
      <c r="H31" s="1630"/>
      <c r="I31" s="633">
        <f>IF(G31="",D31*F31,(D31*F31/G31))</f>
        <v>221.10759999999999</v>
      </c>
    </row>
    <row r="32" spans="1:9">
      <c r="A32" s="1629"/>
      <c r="B32" s="1630"/>
      <c r="C32" s="1630" t="s">
        <v>1288</v>
      </c>
      <c r="D32" s="1630"/>
      <c r="E32" s="1630"/>
      <c r="F32" s="633"/>
      <c r="G32" s="1630"/>
      <c r="H32" s="1630"/>
      <c r="I32" s="633">
        <f>SUM(I30:I31)</f>
        <v>1845.1076</v>
      </c>
    </row>
    <row r="33" spans="1:10">
      <c r="A33" s="1629"/>
      <c r="B33" s="1630"/>
      <c r="C33" s="1630"/>
      <c r="D33" s="1630"/>
      <c r="E33" s="1630"/>
      <c r="F33" s="633"/>
      <c r="G33" s="1630"/>
      <c r="H33" s="1630" t="s">
        <v>1511</v>
      </c>
      <c r="I33" s="633">
        <f>ROUND(I32,0)</f>
        <v>1845</v>
      </c>
    </row>
    <row r="34" spans="1:10">
      <c r="A34" s="1629"/>
      <c r="B34" s="1630"/>
      <c r="C34" s="1630"/>
      <c r="D34" s="1630"/>
      <c r="E34" s="1630"/>
      <c r="F34" s="633"/>
      <c r="G34" s="1630"/>
      <c r="H34" s="1630"/>
      <c r="I34" s="633"/>
    </row>
    <row r="35" spans="1:10">
      <c r="A35" s="1629"/>
      <c r="B35" s="1630" t="s">
        <v>436</v>
      </c>
      <c r="C35" s="1630" t="s">
        <v>2377</v>
      </c>
      <c r="D35" s="1630"/>
      <c r="E35" s="1630"/>
      <c r="F35" s="633"/>
      <c r="G35" s="1630"/>
      <c r="H35" s="1630"/>
      <c r="I35" s="633"/>
    </row>
    <row r="36" spans="1:10">
      <c r="A36" s="1629"/>
      <c r="B36" s="1630"/>
      <c r="C36" s="1630" t="s">
        <v>2378</v>
      </c>
      <c r="D36" s="1630">
        <v>1</v>
      </c>
      <c r="E36" s="1630" t="s">
        <v>197</v>
      </c>
      <c r="F36" s="633">
        <f>'WS-SOR'!$G$14</f>
        <v>1523</v>
      </c>
      <c r="G36" s="1630">
        <v>1</v>
      </c>
      <c r="H36" s="1630" t="s">
        <v>197</v>
      </c>
      <c r="I36" s="633">
        <f t="shared" ref="I36:I38" si="4">IF(G36="",D36*F36,(D36*F36/G36))</f>
        <v>1523</v>
      </c>
    </row>
    <row r="37" spans="1:10">
      <c r="A37" s="1629"/>
      <c r="B37" s="1630"/>
      <c r="C37" s="1630" t="s">
        <v>2373</v>
      </c>
      <c r="D37" s="1630">
        <v>1</v>
      </c>
      <c r="E37" s="1630" t="s">
        <v>197</v>
      </c>
      <c r="F37" s="633">
        <f>'WS-SOR'!$G$16</f>
        <v>405</v>
      </c>
      <c r="G37" s="1630">
        <v>1</v>
      </c>
      <c r="H37" s="1630" t="s">
        <v>197</v>
      </c>
      <c r="I37" s="633">
        <f t="shared" si="4"/>
        <v>405</v>
      </c>
    </row>
    <row r="38" spans="1:10">
      <c r="A38" s="1629"/>
      <c r="B38" s="1630"/>
      <c r="C38" s="1630" t="str">
        <f>Input!$C$47</f>
        <v>Add for MA @ 40%</v>
      </c>
      <c r="D38" s="1630">
        <f>Input!$D$47</f>
        <v>0.4</v>
      </c>
      <c r="E38" s="1630"/>
      <c r="F38" s="633">
        <f>I37</f>
        <v>405</v>
      </c>
      <c r="G38" s="1630"/>
      <c r="H38" s="1630"/>
      <c r="I38" s="633">
        <f t="shared" si="4"/>
        <v>162</v>
      </c>
    </row>
    <row r="39" spans="1:10">
      <c r="A39" s="1629"/>
      <c r="B39" s="1630"/>
      <c r="C39" s="1630"/>
      <c r="D39" s="1630"/>
      <c r="E39" s="1630"/>
      <c r="F39" s="633"/>
      <c r="G39" s="1630"/>
      <c r="H39" s="1630"/>
      <c r="I39" s="633">
        <f>SUM(I36:I38)</f>
        <v>2090</v>
      </c>
    </row>
    <row r="40" spans="1:10">
      <c r="A40" s="1629"/>
      <c r="B40" s="1630"/>
      <c r="C40" s="1630" t="str">
        <f>Input!$C$48</f>
        <v>Overheads &amp; Contractors Profit @ 13.615%</v>
      </c>
      <c r="D40" s="1630">
        <f>Input!$D$48</f>
        <v>0.13614999999999999</v>
      </c>
      <c r="E40" s="1630"/>
      <c r="F40" s="633">
        <f>I39</f>
        <v>2090</v>
      </c>
      <c r="G40" s="1630"/>
      <c r="H40" s="1630"/>
      <c r="I40" s="633">
        <f>IF(G40="",D40*F40,(D40*F40/G40))</f>
        <v>284.55349999999999</v>
      </c>
    </row>
    <row r="41" spans="1:10">
      <c r="A41" s="1629"/>
      <c r="B41" s="1630"/>
      <c r="C41" s="1630" t="s">
        <v>1288</v>
      </c>
      <c r="D41" s="1630"/>
      <c r="E41" s="1630"/>
      <c r="F41" s="633"/>
      <c r="G41" s="1630"/>
      <c r="H41" s="1630"/>
      <c r="I41" s="633">
        <f>SUM(I39:I40)</f>
        <v>2374.5535</v>
      </c>
    </row>
    <row r="42" spans="1:10">
      <c r="A42" s="1629"/>
      <c r="B42" s="1630"/>
      <c r="C42" s="1630"/>
      <c r="D42" s="1630"/>
      <c r="E42" s="1630"/>
      <c r="F42" s="633"/>
      <c r="G42" s="1630"/>
      <c r="H42" s="1630" t="s">
        <v>1511</v>
      </c>
      <c r="I42" s="633">
        <f>ROUND(I41,0)</f>
        <v>2375</v>
      </c>
    </row>
    <row r="43" spans="1:10" ht="186.6" customHeight="1">
      <c r="A43" s="1629">
        <f>A4+1</f>
        <v>2</v>
      </c>
      <c r="B43" s="1630"/>
      <c r="C43" s="2113" t="s">
        <v>2656</v>
      </c>
      <c r="D43" s="2113"/>
      <c r="E43" s="2113"/>
      <c r="F43" s="2113"/>
      <c r="G43" s="2113"/>
      <c r="H43" s="2113"/>
      <c r="I43" s="633"/>
    </row>
    <row r="44" spans="1:10">
      <c r="A44" s="1629"/>
      <c r="B44" s="1630"/>
      <c r="C44" s="634" t="s">
        <v>2379</v>
      </c>
      <c r="D44" s="1630">
        <v>1</v>
      </c>
      <c r="E44" s="1630" t="s">
        <v>39</v>
      </c>
      <c r="F44" s="633">
        <f>'WS-SOR'!$G$18</f>
        <v>8607</v>
      </c>
      <c r="G44" s="1630"/>
      <c r="H44" s="1630" t="s">
        <v>501</v>
      </c>
      <c r="I44" s="633">
        <f t="shared" ref="I44:I45" si="5">IF(G44="",D44*F44,(D44*F44/G44))</f>
        <v>8607</v>
      </c>
    </row>
    <row r="45" spans="1:10">
      <c r="A45" s="1629"/>
      <c r="B45" s="1630"/>
      <c r="C45" s="1630" t="str">
        <f>Input!$C$48</f>
        <v>Overheads &amp; Contractors Profit @ 13.615%</v>
      </c>
      <c r="D45" s="1630">
        <f>Input!$D$48</f>
        <v>0.13614999999999999</v>
      </c>
      <c r="E45" s="1630"/>
      <c r="F45" s="633">
        <f>I44</f>
        <v>8607</v>
      </c>
      <c r="G45" s="1630"/>
      <c r="H45" s="1630"/>
      <c r="I45" s="633">
        <f t="shared" si="5"/>
        <v>1171.8430499999999</v>
      </c>
    </row>
    <row r="46" spans="1:10">
      <c r="A46" s="1629"/>
      <c r="B46" s="1630"/>
      <c r="C46" s="1630"/>
      <c r="D46" s="1630"/>
      <c r="E46" s="1630"/>
      <c r="F46" s="633"/>
      <c r="G46" s="1630"/>
      <c r="H46" s="1630"/>
      <c r="I46" s="633">
        <f>SUM(I44:I45)</f>
        <v>9778.8430499999995</v>
      </c>
    </row>
    <row r="47" spans="1:10">
      <c r="A47" s="1629"/>
      <c r="B47" s="1630"/>
      <c r="C47" s="1630" t="s">
        <v>2380</v>
      </c>
      <c r="D47" s="1630"/>
      <c r="E47" s="1630"/>
      <c r="F47" s="633"/>
      <c r="G47" s="1630"/>
      <c r="H47" s="1630" t="s">
        <v>1511</v>
      </c>
      <c r="I47" s="635">
        <f>ROUND(I46,0)</f>
        <v>9779</v>
      </c>
      <c r="J47" s="629" t="s">
        <v>3901</v>
      </c>
    </row>
    <row r="48" spans="1:10">
      <c r="A48" s="1629"/>
      <c r="B48" s="1630"/>
      <c r="C48" s="1630"/>
      <c r="D48" s="1630"/>
      <c r="E48" s="1630"/>
      <c r="F48" s="633"/>
      <c r="G48" s="1630"/>
      <c r="H48" s="1630"/>
      <c r="I48" s="633"/>
    </row>
    <row r="49" spans="1:10" ht="186.6" customHeight="1">
      <c r="A49" s="1629">
        <f>A43+1</f>
        <v>3</v>
      </c>
      <c r="B49" s="1630"/>
      <c r="C49" s="2113" t="s">
        <v>2657</v>
      </c>
      <c r="D49" s="2113"/>
      <c r="E49" s="2113"/>
      <c r="F49" s="2113"/>
      <c r="G49" s="2113"/>
      <c r="H49" s="2113"/>
      <c r="I49" s="633"/>
    </row>
    <row r="50" spans="1:10">
      <c r="A50" s="1629"/>
      <c r="B50" s="1630"/>
      <c r="C50" s="1630" t="s">
        <v>2381</v>
      </c>
      <c r="D50" s="1630">
        <v>1</v>
      </c>
      <c r="E50" s="1630" t="s">
        <v>39</v>
      </c>
      <c r="F50" s="633">
        <f>'WS-SOR'!$G$19</f>
        <v>13919</v>
      </c>
      <c r="G50" s="1630"/>
      <c r="H50" s="1630" t="s">
        <v>501</v>
      </c>
      <c r="I50" s="633">
        <f t="shared" ref="I50:I51" si="6">IF(G50="",D50*F50,(D50*F50/G50))</f>
        <v>13919</v>
      </c>
    </row>
    <row r="51" spans="1:10">
      <c r="A51" s="1629"/>
      <c r="B51" s="1630"/>
      <c r="C51" s="1630" t="str">
        <f>Input!$C$48</f>
        <v>Overheads &amp; Contractors Profit @ 13.615%</v>
      </c>
      <c r="D51" s="1630">
        <f>Input!$D$48</f>
        <v>0.13614999999999999</v>
      </c>
      <c r="E51" s="1630"/>
      <c r="F51" s="633">
        <f>I50</f>
        <v>13919</v>
      </c>
      <c r="G51" s="1630"/>
      <c r="H51" s="1630"/>
      <c r="I51" s="633">
        <f t="shared" si="6"/>
        <v>1895.0718499999998</v>
      </c>
    </row>
    <row r="52" spans="1:10">
      <c r="A52" s="1629"/>
      <c r="B52" s="1630"/>
      <c r="C52" s="1630"/>
      <c r="D52" s="1630"/>
      <c r="E52" s="1630"/>
      <c r="F52" s="633"/>
      <c r="G52" s="1630"/>
      <c r="H52" s="1630"/>
      <c r="I52" s="633">
        <f>SUM(I50:I51)</f>
        <v>15814.07185</v>
      </c>
    </row>
    <row r="53" spans="1:10">
      <c r="A53" s="1629"/>
      <c r="B53" s="1630"/>
      <c r="C53" s="1630" t="s">
        <v>2380</v>
      </c>
      <c r="D53" s="1630"/>
      <c r="E53" s="1630"/>
      <c r="F53" s="633"/>
      <c r="G53" s="1630"/>
      <c r="H53" s="1630" t="s">
        <v>1511</v>
      </c>
      <c r="I53" s="635">
        <f>ROUND(I52,0)</f>
        <v>15814</v>
      </c>
    </row>
    <row r="54" spans="1:10">
      <c r="A54" s="1629"/>
      <c r="B54" s="1630"/>
      <c r="C54" s="1630"/>
      <c r="D54" s="1630"/>
      <c r="E54" s="1630"/>
      <c r="F54" s="633"/>
      <c r="G54" s="1630"/>
      <c r="H54" s="1630"/>
      <c r="I54" s="633"/>
    </row>
    <row r="55" spans="1:10" ht="119.25" customHeight="1">
      <c r="A55" s="1629">
        <f>A49+1</f>
        <v>4</v>
      </c>
      <c r="B55" s="1630"/>
      <c r="C55" s="2115" t="s">
        <v>2658</v>
      </c>
      <c r="D55" s="2116"/>
      <c r="E55" s="2116"/>
      <c r="F55" s="2116"/>
      <c r="G55" s="2116"/>
      <c r="H55" s="2117"/>
      <c r="I55" s="633"/>
    </row>
    <row r="56" spans="1:10" ht="15.75" customHeight="1">
      <c r="A56" s="1629"/>
      <c r="B56" s="1630"/>
      <c r="C56" s="2122" t="s">
        <v>2382</v>
      </c>
      <c r="D56" s="2122">
        <v>1</v>
      </c>
      <c r="E56" s="2122" t="s">
        <v>39</v>
      </c>
      <c r="F56" s="2122">
        <f>'WS-SOR'!$G$20</f>
        <v>4448</v>
      </c>
      <c r="G56" s="2122"/>
      <c r="H56" s="2122" t="s">
        <v>501</v>
      </c>
      <c r="I56" s="633">
        <f t="shared" ref="I56:I57" si="7">IF(G56="",D56*F56,(D56*F56/G56))</f>
        <v>4448</v>
      </c>
    </row>
    <row r="57" spans="1:10">
      <c r="A57" s="1629"/>
      <c r="B57" s="1630"/>
      <c r="C57" s="1630" t="str">
        <f>Input!$C$48</f>
        <v>Overheads &amp; Contractors Profit @ 13.615%</v>
      </c>
      <c r="D57" s="1630">
        <f>Input!$D$48</f>
        <v>0.13614999999999999</v>
      </c>
      <c r="E57" s="1630"/>
      <c r="F57" s="633">
        <f>I56</f>
        <v>4448</v>
      </c>
      <c r="G57" s="1630"/>
      <c r="H57" s="1630"/>
      <c r="I57" s="633">
        <f t="shared" si="7"/>
        <v>605.59519999999998</v>
      </c>
    </row>
    <row r="58" spans="1:10">
      <c r="A58" s="1629"/>
      <c r="B58" s="1630"/>
      <c r="C58" s="1630"/>
      <c r="D58" s="1630"/>
      <c r="E58" s="1630"/>
      <c r="F58" s="633"/>
      <c r="G58" s="1630"/>
      <c r="H58" s="1630"/>
      <c r="I58" s="633">
        <f>SUM(I56:I57)</f>
        <v>5053.5951999999997</v>
      </c>
    </row>
    <row r="59" spans="1:10">
      <c r="A59" s="1629"/>
      <c r="B59" s="1630"/>
      <c r="C59" s="1630" t="s">
        <v>2380</v>
      </c>
      <c r="D59" s="1630"/>
      <c r="E59" s="1630"/>
      <c r="F59" s="633"/>
      <c r="G59" s="1630"/>
      <c r="H59" s="1630" t="s">
        <v>1511</v>
      </c>
      <c r="I59" s="635">
        <f>ROUND(I58,0)</f>
        <v>5054</v>
      </c>
      <c r="J59" s="629" t="s">
        <v>3901</v>
      </c>
    </row>
    <row r="60" spans="1:10">
      <c r="A60" s="1629"/>
      <c r="B60" s="1630"/>
      <c r="C60" s="1630"/>
      <c r="D60" s="1630"/>
      <c r="E60" s="1630"/>
      <c r="F60" s="633"/>
      <c r="G60" s="1630"/>
      <c r="H60" s="1630"/>
      <c r="I60" s="633"/>
    </row>
    <row r="61" spans="1:10">
      <c r="A61" s="1629"/>
      <c r="B61" s="1630"/>
      <c r="C61" s="2113"/>
      <c r="D61" s="2113"/>
      <c r="E61" s="2113"/>
      <c r="F61" s="2113"/>
      <c r="G61" s="2113"/>
      <c r="H61" s="2113"/>
      <c r="I61" s="633"/>
    </row>
    <row r="62" spans="1:10" ht="95.1" customHeight="1">
      <c r="A62" s="1629">
        <f>A55+1</f>
        <v>5</v>
      </c>
      <c r="B62" s="1630"/>
      <c r="C62" s="2113" t="s">
        <v>2659</v>
      </c>
      <c r="D62" s="2113"/>
      <c r="E62" s="2113"/>
      <c r="F62" s="2113"/>
      <c r="G62" s="2113"/>
      <c r="H62" s="2113"/>
      <c r="I62" s="633"/>
    </row>
    <row r="63" spans="1:10">
      <c r="A63" s="1629"/>
      <c r="B63" s="1630"/>
      <c r="C63" s="1630" t="s">
        <v>2383</v>
      </c>
      <c r="D63" s="1630">
        <v>1</v>
      </c>
      <c r="E63" s="1630" t="s">
        <v>39</v>
      </c>
      <c r="F63" s="633">
        <f>'WS-SOR'!$G$11</f>
        <v>722</v>
      </c>
      <c r="G63" s="1630">
        <v>1</v>
      </c>
      <c r="H63" s="1630" t="s">
        <v>501</v>
      </c>
      <c r="I63" s="633">
        <f>IF(G63="",D63*F63,(D63*F63/G63))</f>
        <v>722</v>
      </c>
    </row>
    <row r="64" spans="1:10">
      <c r="A64" s="1629"/>
      <c r="B64" s="1630"/>
      <c r="C64" s="1630" t="s">
        <v>2384</v>
      </c>
      <c r="D64" s="1630">
        <v>1</v>
      </c>
      <c r="E64" s="1630" t="s">
        <v>39</v>
      </c>
      <c r="F64" s="633">
        <f>'WS-SOR'!$G$22</f>
        <v>146</v>
      </c>
      <c r="G64" s="1630">
        <v>1</v>
      </c>
      <c r="H64" s="1630" t="s">
        <v>39</v>
      </c>
      <c r="I64" s="633">
        <f>-IF(G64="",D64*F64,(D64*F64/G64))</f>
        <v>-146</v>
      </c>
    </row>
    <row r="65" spans="1:9">
      <c r="A65" s="1629"/>
      <c r="B65" s="1630"/>
      <c r="C65" s="1630" t="s">
        <v>2385</v>
      </c>
      <c r="D65" s="1630">
        <v>1</v>
      </c>
      <c r="E65" s="1630" t="s">
        <v>39</v>
      </c>
      <c r="F65" s="633">
        <f>'WS-SOR'!$G$110</f>
        <v>100</v>
      </c>
      <c r="G65" s="1630">
        <v>1</v>
      </c>
      <c r="H65" s="1630" t="s">
        <v>39</v>
      </c>
      <c r="I65" s="633">
        <f>IF(G65="",D65*F65,(D65*F65/G65))</f>
        <v>100</v>
      </c>
    </row>
    <row r="66" spans="1:9">
      <c r="A66" s="1629"/>
      <c r="B66" s="1630"/>
      <c r="C66" s="1630"/>
      <c r="D66" s="1630"/>
      <c r="E66" s="1630"/>
      <c r="F66" s="633"/>
      <c r="G66" s="1630"/>
      <c r="H66" s="1630"/>
      <c r="I66" s="633">
        <f>SUM(I63:I65)</f>
        <v>676</v>
      </c>
    </row>
    <row r="67" spans="1:9">
      <c r="A67" s="1629"/>
      <c r="B67" s="1630"/>
      <c r="C67" s="1630" t="str">
        <f>Input!$C$48</f>
        <v>Overheads &amp; Contractors Profit @ 13.615%</v>
      </c>
      <c r="D67" s="1630">
        <f>Input!$D$48</f>
        <v>0.13614999999999999</v>
      </c>
      <c r="E67" s="1630"/>
      <c r="F67" s="633">
        <f>I66</f>
        <v>676</v>
      </c>
      <c r="G67" s="1630"/>
      <c r="H67" s="1630"/>
      <c r="I67" s="633">
        <f>IF(G67="",D67*F67,(D67*F67/G67))</f>
        <v>92.037399999999991</v>
      </c>
    </row>
    <row r="68" spans="1:9">
      <c r="A68" s="1629"/>
      <c r="B68" s="1630"/>
      <c r="C68" s="1630"/>
      <c r="D68" s="1630"/>
      <c r="E68" s="1630"/>
      <c r="F68" s="633"/>
      <c r="G68" s="1630"/>
      <c r="H68" s="1630"/>
      <c r="I68" s="633">
        <f>SUM(I66:I67)</f>
        <v>768.03739999999993</v>
      </c>
    </row>
    <row r="69" spans="1:9" ht="15.75" customHeight="1">
      <c r="A69" s="1629"/>
      <c r="B69" s="1630"/>
      <c r="C69" s="2122" t="s">
        <v>2380</v>
      </c>
      <c r="D69" s="2122"/>
      <c r="E69" s="2122"/>
      <c r="F69" s="2122"/>
      <c r="G69" s="2122"/>
      <c r="H69" s="2122" t="s">
        <v>1511</v>
      </c>
      <c r="I69" s="635">
        <f>ROUND(I68,0)</f>
        <v>768</v>
      </c>
    </row>
    <row r="70" spans="1:9">
      <c r="A70" s="1629"/>
      <c r="B70" s="1630"/>
      <c r="C70" s="1630"/>
      <c r="D70" s="1630"/>
      <c r="E70" s="1630"/>
      <c r="F70" s="633"/>
      <c r="G70" s="1630"/>
      <c r="H70" s="1630"/>
      <c r="I70" s="633"/>
    </row>
    <row r="71" spans="1:9" ht="55.9" customHeight="1">
      <c r="A71" s="1629">
        <f>A62+1</f>
        <v>6</v>
      </c>
      <c r="B71" s="1630"/>
      <c r="C71" s="2113" t="s">
        <v>2660</v>
      </c>
      <c r="D71" s="2113"/>
      <c r="E71" s="2113"/>
      <c r="F71" s="2113"/>
      <c r="G71" s="2113"/>
      <c r="H71" s="2113"/>
      <c r="I71" s="633"/>
    </row>
    <row r="72" spans="1:9">
      <c r="A72" s="1629"/>
      <c r="B72" s="1630"/>
      <c r="C72" s="1630" t="s">
        <v>2386</v>
      </c>
      <c r="D72" s="1630">
        <v>1</v>
      </c>
      <c r="E72" s="1630" t="s">
        <v>39</v>
      </c>
      <c r="F72" s="633">
        <f>'WS-SOR'!$G$81</f>
        <v>117</v>
      </c>
      <c r="G72" s="1630">
        <v>1</v>
      </c>
      <c r="H72" s="1630" t="s">
        <v>501</v>
      </c>
      <c r="I72" s="633">
        <f t="shared" ref="I72:I73" si="8">IF(G72="",D72*F72,(D72*F72/G72))</f>
        <v>117</v>
      </c>
    </row>
    <row r="73" spans="1:9">
      <c r="A73" s="1629"/>
      <c r="B73" s="1630"/>
      <c r="C73" s="1630" t="str">
        <f>Input!$C$48</f>
        <v>Overheads &amp; Contractors Profit @ 13.615%</v>
      </c>
      <c r="D73" s="1630">
        <f>Input!$D$48</f>
        <v>0.13614999999999999</v>
      </c>
      <c r="E73" s="1630"/>
      <c r="F73" s="633">
        <f>I72</f>
        <v>117</v>
      </c>
      <c r="G73" s="1630"/>
      <c r="H73" s="1630"/>
      <c r="I73" s="633">
        <f t="shared" si="8"/>
        <v>15.929549999999999</v>
      </c>
    </row>
    <row r="74" spans="1:9">
      <c r="A74" s="1629"/>
      <c r="B74" s="1630"/>
      <c r="C74" s="1630"/>
      <c r="D74" s="1630"/>
      <c r="E74" s="1630"/>
      <c r="F74" s="633"/>
      <c r="G74" s="1630"/>
      <c r="H74" s="1630"/>
      <c r="I74" s="633">
        <f>SUM(I72:I73)</f>
        <v>132.92955000000001</v>
      </c>
    </row>
    <row r="75" spans="1:9">
      <c r="A75" s="1629"/>
      <c r="B75" s="1630"/>
      <c r="C75" s="1630" t="s">
        <v>2380</v>
      </c>
      <c r="D75" s="1630"/>
      <c r="E75" s="1630"/>
      <c r="F75" s="633"/>
      <c r="G75" s="1630"/>
      <c r="H75" s="1630" t="s">
        <v>1511</v>
      </c>
      <c r="I75" s="633">
        <f>ROUND(I74,0)</f>
        <v>133</v>
      </c>
    </row>
    <row r="76" spans="1:9">
      <c r="A76" s="1629"/>
      <c r="B76" s="1630"/>
      <c r="C76" s="1630"/>
      <c r="D76" s="1630"/>
      <c r="E76" s="1630"/>
      <c r="F76" s="633"/>
      <c r="G76" s="1630"/>
      <c r="H76" s="1630"/>
      <c r="I76" s="633"/>
    </row>
    <row r="77" spans="1:9" ht="69" customHeight="1">
      <c r="A77" s="1629">
        <f>1+A62</f>
        <v>6</v>
      </c>
      <c r="B77" s="1630"/>
      <c r="C77" s="2113" t="s">
        <v>2661</v>
      </c>
      <c r="D77" s="2113"/>
      <c r="E77" s="2113"/>
      <c r="F77" s="2113"/>
      <c r="G77" s="2113"/>
      <c r="H77" s="2113"/>
      <c r="I77" s="633"/>
    </row>
    <row r="78" spans="1:9">
      <c r="A78" s="1629"/>
      <c r="B78" s="1630"/>
      <c r="C78" s="1630" t="s">
        <v>2387</v>
      </c>
      <c r="D78" s="1630">
        <v>1</v>
      </c>
      <c r="E78" s="1630" t="s">
        <v>39</v>
      </c>
      <c r="F78" s="633">
        <f>'WS-SOR'!$G$82</f>
        <v>165</v>
      </c>
      <c r="G78" s="1630">
        <v>1</v>
      </c>
      <c r="H78" s="1630" t="s">
        <v>501</v>
      </c>
      <c r="I78" s="633">
        <f t="shared" ref="I78:I79" si="9">IF(G78="",D78*F78,(D78*F78/G78))</f>
        <v>165</v>
      </c>
    </row>
    <row r="79" spans="1:9">
      <c r="A79" s="1629"/>
      <c r="B79" s="1630"/>
      <c r="C79" s="1630" t="str">
        <f>Input!$C$48</f>
        <v>Overheads &amp; Contractors Profit @ 13.615%</v>
      </c>
      <c r="D79" s="1630">
        <f>Input!$D$48</f>
        <v>0.13614999999999999</v>
      </c>
      <c r="E79" s="1630"/>
      <c r="F79" s="633">
        <f>I78</f>
        <v>165</v>
      </c>
      <c r="G79" s="1630"/>
      <c r="H79" s="1630"/>
      <c r="I79" s="633">
        <f t="shared" si="9"/>
        <v>22.464749999999999</v>
      </c>
    </row>
    <row r="80" spans="1:9">
      <c r="A80" s="1629"/>
      <c r="B80" s="1630"/>
      <c r="C80" s="1630"/>
      <c r="D80" s="1630"/>
      <c r="E80" s="1630"/>
      <c r="F80" s="633"/>
      <c r="G80" s="1630"/>
      <c r="H80" s="1630"/>
      <c r="I80" s="633">
        <f>SUM(I78:I79)</f>
        <v>187.46475000000001</v>
      </c>
    </row>
    <row r="81" spans="1:9">
      <c r="A81" s="1629"/>
      <c r="B81" s="1630"/>
      <c r="C81" s="1630" t="s">
        <v>2380</v>
      </c>
      <c r="D81" s="1630"/>
      <c r="E81" s="1630"/>
      <c r="F81" s="633"/>
      <c r="G81" s="1630"/>
      <c r="H81" s="1630" t="s">
        <v>1511</v>
      </c>
      <c r="I81" s="635">
        <f>ROUND(I80,0)</f>
        <v>187</v>
      </c>
    </row>
    <row r="82" spans="1:9">
      <c r="A82" s="1629"/>
      <c r="B82" s="1630"/>
      <c r="C82" s="1630"/>
      <c r="D82" s="1630"/>
      <c r="E82" s="1630"/>
      <c r="F82" s="633"/>
      <c r="G82" s="1630"/>
      <c r="H82" s="1630"/>
      <c r="I82" s="633"/>
    </row>
    <row r="83" spans="1:9" ht="186.6" customHeight="1">
      <c r="A83" s="1629">
        <f>A77+1</f>
        <v>7</v>
      </c>
      <c r="B83" s="1630"/>
      <c r="C83" s="2113" t="s">
        <v>2662</v>
      </c>
      <c r="D83" s="2113"/>
      <c r="E83" s="2113"/>
      <c r="F83" s="2113"/>
      <c r="G83" s="2113"/>
      <c r="H83" s="2113"/>
      <c r="I83" s="633"/>
    </row>
    <row r="84" spans="1:9">
      <c r="A84" s="1629"/>
      <c r="B84" s="1630"/>
      <c r="C84" s="636" t="s">
        <v>2663</v>
      </c>
      <c r="D84" s="1630">
        <v>1</v>
      </c>
      <c r="E84" s="1630" t="s">
        <v>39</v>
      </c>
      <c r="F84" s="633">
        <f>'WS-SOR'!$G$24</f>
        <v>2101</v>
      </c>
      <c r="G84" s="1630">
        <v>1</v>
      </c>
      <c r="H84" s="1630" t="s">
        <v>501</v>
      </c>
      <c r="I84" s="633">
        <f t="shared" ref="I84:I98" si="10">IF(G84="",D84*F84,(D84*F84/G84))</f>
        <v>2101</v>
      </c>
    </row>
    <row r="85" spans="1:9" ht="30">
      <c r="A85" s="1629"/>
      <c r="B85" s="1630"/>
      <c r="C85" s="634" t="s">
        <v>2388</v>
      </c>
      <c r="D85" s="1630">
        <f>Input!$D$47</f>
        <v>0.4</v>
      </c>
      <c r="E85" s="1630"/>
      <c r="F85" s="633">
        <f>'WS-SOR'!$H$24</f>
        <v>527</v>
      </c>
      <c r="G85" s="1630"/>
      <c r="H85" s="1630"/>
      <c r="I85" s="633">
        <f t="shared" si="10"/>
        <v>210.8</v>
      </c>
    </row>
    <row r="86" spans="1:9">
      <c r="A86" s="1629"/>
      <c r="B86" s="1630"/>
      <c r="C86" s="636" t="s">
        <v>2664</v>
      </c>
      <c r="D86" s="1630">
        <v>1</v>
      </c>
      <c r="E86" s="1630" t="s">
        <v>39</v>
      </c>
      <c r="F86" s="633">
        <f>'WS-SOR'!$G$25</f>
        <v>321</v>
      </c>
      <c r="G86" s="1630">
        <v>1</v>
      </c>
      <c r="H86" s="1630" t="s">
        <v>501</v>
      </c>
      <c r="I86" s="633">
        <f t="shared" si="10"/>
        <v>321</v>
      </c>
    </row>
    <row r="87" spans="1:9">
      <c r="A87" s="1629"/>
      <c r="B87" s="1630"/>
      <c r="C87" s="637" t="s">
        <v>2665</v>
      </c>
      <c r="D87" s="1630">
        <v>1</v>
      </c>
      <c r="E87" s="1630" t="s">
        <v>39</v>
      </c>
      <c r="F87" s="633">
        <f>'WS-SOR'!$G$26</f>
        <v>96</v>
      </c>
      <c r="G87" s="1630">
        <v>1</v>
      </c>
      <c r="H87" s="1630" t="s">
        <v>501</v>
      </c>
      <c r="I87" s="633">
        <f t="shared" si="10"/>
        <v>96</v>
      </c>
    </row>
    <row r="88" spans="1:9" ht="29.25">
      <c r="A88" s="1629"/>
      <c r="B88" s="1630"/>
      <c r="C88" s="637" t="s">
        <v>2666</v>
      </c>
      <c r="D88" s="1630">
        <v>1</v>
      </c>
      <c r="E88" s="1630" t="s">
        <v>39</v>
      </c>
      <c r="F88" s="633">
        <f>'WS-SOR'!$G$74</f>
        <v>1679</v>
      </c>
      <c r="G88" s="1630">
        <v>1</v>
      </c>
      <c r="H88" s="1630" t="s">
        <v>501</v>
      </c>
      <c r="I88" s="633">
        <f t="shared" si="10"/>
        <v>1679</v>
      </c>
    </row>
    <row r="89" spans="1:9" ht="29.25">
      <c r="A89" s="1629"/>
      <c r="B89" s="1630"/>
      <c r="C89" s="637" t="s">
        <v>2731</v>
      </c>
      <c r="D89" s="1630">
        <v>1</v>
      </c>
      <c r="E89" s="1630" t="s">
        <v>39</v>
      </c>
      <c r="F89" s="633">
        <f>'WS-SOR'!$G$42</f>
        <v>251</v>
      </c>
      <c r="G89" s="1630">
        <v>1</v>
      </c>
      <c r="H89" s="1630" t="s">
        <v>501</v>
      </c>
      <c r="I89" s="633">
        <f t="shared" si="10"/>
        <v>251</v>
      </c>
    </row>
    <row r="90" spans="1:9" ht="30">
      <c r="A90" s="1629"/>
      <c r="B90" s="1630"/>
      <c r="C90" s="634" t="s">
        <v>2389</v>
      </c>
      <c r="D90" s="1630">
        <f>Input!$D$47</f>
        <v>0.4</v>
      </c>
      <c r="E90" s="1630"/>
      <c r="F90" s="633">
        <f>'WS-SOR'!$H$42</f>
        <v>128</v>
      </c>
      <c r="G90" s="1630"/>
      <c r="H90" s="1630"/>
      <c r="I90" s="633">
        <f t="shared" si="10"/>
        <v>51.2</v>
      </c>
    </row>
    <row r="91" spans="1:9" ht="30">
      <c r="A91" s="1629"/>
      <c r="B91" s="1630"/>
      <c r="C91" s="634" t="s">
        <v>2390</v>
      </c>
      <c r="D91" s="1630">
        <v>1</v>
      </c>
      <c r="E91" s="1630" t="s">
        <v>39</v>
      </c>
      <c r="F91" s="633">
        <f>'WS-SOR'!$G$91</f>
        <v>119</v>
      </c>
      <c r="G91" s="1630">
        <v>1</v>
      </c>
      <c r="H91" s="1630" t="s">
        <v>501</v>
      </c>
      <c r="I91" s="633">
        <f t="shared" si="10"/>
        <v>119</v>
      </c>
    </row>
    <row r="92" spans="1:9" ht="30">
      <c r="A92" s="1629"/>
      <c r="B92" s="1630"/>
      <c r="C92" s="634" t="s">
        <v>2391</v>
      </c>
      <c r="D92" s="1630">
        <f>Input!$D$47</f>
        <v>0.4</v>
      </c>
      <c r="E92" s="1630"/>
      <c r="F92" s="633">
        <f>'WS-SOR'!$H$91</f>
        <v>0</v>
      </c>
      <c r="G92" s="1630"/>
      <c r="H92" s="1630"/>
      <c r="I92" s="633">
        <f t="shared" si="10"/>
        <v>0</v>
      </c>
    </row>
    <row r="93" spans="1:9">
      <c r="A93" s="1629"/>
      <c r="B93" s="1630"/>
      <c r="C93" s="636" t="s">
        <v>2667</v>
      </c>
      <c r="D93" s="1630">
        <v>1</v>
      </c>
      <c r="E93" s="1630" t="s">
        <v>39</v>
      </c>
      <c r="F93" s="633">
        <f>'WS-SOR'!$G$45</f>
        <v>74</v>
      </c>
      <c r="G93" s="1630">
        <v>1</v>
      </c>
      <c r="H93" s="1630" t="s">
        <v>501</v>
      </c>
      <c r="I93" s="633">
        <f t="shared" si="10"/>
        <v>74</v>
      </c>
    </row>
    <row r="94" spans="1:9" ht="30">
      <c r="A94" s="1629"/>
      <c r="B94" s="1630"/>
      <c r="C94" s="634" t="s">
        <v>2392</v>
      </c>
      <c r="D94" s="1630">
        <f>Input!$D$47</f>
        <v>0.4</v>
      </c>
      <c r="E94" s="1630"/>
      <c r="F94" s="633">
        <f>'WS-SOR'!$H$45</f>
        <v>0</v>
      </c>
      <c r="G94" s="1630"/>
      <c r="H94" s="1630"/>
      <c r="I94" s="633">
        <f t="shared" si="10"/>
        <v>0</v>
      </c>
    </row>
    <row r="95" spans="1:9">
      <c r="A95" s="1629"/>
      <c r="B95" s="1630"/>
      <c r="C95" s="636" t="s">
        <v>2668</v>
      </c>
      <c r="D95" s="1630">
        <v>1</v>
      </c>
      <c r="E95" s="1630" t="s">
        <v>39</v>
      </c>
      <c r="F95" s="633">
        <f>'WS-SOR'!$H$86</f>
        <v>62</v>
      </c>
      <c r="G95" s="1630">
        <v>1</v>
      </c>
      <c r="H95" s="1630" t="s">
        <v>501</v>
      </c>
      <c r="I95" s="633">
        <f t="shared" si="10"/>
        <v>62</v>
      </c>
    </row>
    <row r="96" spans="1:9" ht="30">
      <c r="A96" s="1629"/>
      <c r="B96" s="1630"/>
      <c r="C96" s="634" t="s">
        <v>2393</v>
      </c>
      <c r="D96" s="1630">
        <f>Input!$D$47</f>
        <v>0.4</v>
      </c>
      <c r="E96" s="1630"/>
      <c r="F96" s="633">
        <f>I95</f>
        <v>62</v>
      </c>
      <c r="G96" s="1630"/>
      <c r="H96" s="1630"/>
      <c r="I96" s="633">
        <f t="shared" si="10"/>
        <v>24.8</v>
      </c>
    </row>
    <row r="97" spans="1:9" ht="27.75">
      <c r="A97" s="1629"/>
      <c r="B97" s="1630"/>
      <c r="C97" s="637" t="s">
        <v>2669</v>
      </c>
      <c r="D97" s="1630">
        <v>2</v>
      </c>
      <c r="E97" s="1630" t="s">
        <v>36</v>
      </c>
      <c r="F97" s="633">
        <f>'WS-SOR'!$G$90</f>
        <v>29</v>
      </c>
      <c r="G97" s="1630">
        <v>1</v>
      </c>
      <c r="H97" s="1630" t="s">
        <v>501</v>
      </c>
      <c r="I97" s="633">
        <f t="shared" si="10"/>
        <v>58</v>
      </c>
    </row>
    <row r="98" spans="1:9" ht="30">
      <c r="A98" s="1629"/>
      <c r="B98" s="1630"/>
      <c r="C98" s="634" t="s">
        <v>2394</v>
      </c>
      <c r="D98" s="1630">
        <f>Input!$D$47</f>
        <v>0.4</v>
      </c>
      <c r="E98" s="1630"/>
      <c r="F98" s="633">
        <f>'WS-SOR'!$H$90</f>
        <v>0</v>
      </c>
      <c r="G98" s="1630"/>
      <c r="H98" s="1630"/>
      <c r="I98" s="633">
        <f t="shared" si="10"/>
        <v>0</v>
      </c>
    </row>
    <row r="99" spans="1:9">
      <c r="A99" s="1629"/>
      <c r="B99" s="1630"/>
      <c r="C99" s="1630"/>
      <c r="D99" s="1630"/>
      <c r="E99" s="1630"/>
      <c r="F99" s="633"/>
      <c r="G99" s="1630"/>
      <c r="H99" s="1630"/>
      <c r="I99" s="633">
        <f>SUM(I84:I98)</f>
        <v>5047.8</v>
      </c>
    </row>
    <row r="100" spans="1:9">
      <c r="A100" s="1629"/>
      <c r="B100" s="1630"/>
      <c r="C100" s="1630" t="str">
        <f>Input!$C$48</f>
        <v>Overheads &amp; Contractors Profit @ 13.615%</v>
      </c>
      <c r="D100" s="1630">
        <f>Input!$D$48</f>
        <v>0.13614999999999999</v>
      </c>
      <c r="E100" s="1630"/>
      <c r="F100" s="633">
        <f>I99</f>
        <v>5047.8</v>
      </c>
      <c r="G100" s="1630"/>
      <c r="H100" s="1630"/>
      <c r="I100" s="633">
        <f>IF(G100="",D100*F100,(D100*F100/G100))</f>
        <v>687.25797</v>
      </c>
    </row>
    <row r="101" spans="1:9">
      <c r="A101" s="1629"/>
      <c r="B101" s="1630"/>
      <c r="C101" s="1630"/>
      <c r="D101" s="1630"/>
      <c r="E101" s="1630"/>
      <c r="F101" s="633"/>
      <c r="G101" s="1630"/>
      <c r="H101" s="1630"/>
      <c r="I101" s="633">
        <f>SUM(I99:I100)</f>
        <v>5735.0579699999998</v>
      </c>
    </row>
    <row r="102" spans="1:9">
      <c r="A102" s="1629"/>
      <c r="B102" s="1630"/>
      <c r="C102" s="1630" t="s">
        <v>2380</v>
      </c>
      <c r="D102" s="1630"/>
      <c r="E102" s="1630"/>
      <c r="F102" s="633"/>
      <c r="G102" s="1630"/>
      <c r="H102" s="1630"/>
      <c r="I102" s="633">
        <f>ROUND(I101,0)</f>
        <v>5735</v>
      </c>
    </row>
    <row r="103" spans="1:9">
      <c r="A103" s="1629"/>
      <c r="B103" s="1630"/>
      <c r="C103" s="1630"/>
      <c r="D103" s="1630"/>
      <c r="E103" s="1630"/>
      <c r="F103" s="633"/>
      <c r="G103" s="1630"/>
      <c r="H103" s="1630"/>
      <c r="I103" s="633"/>
    </row>
    <row r="104" spans="1:9" ht="112.5" customHeight="1">
      <c r="A104" s="1629">
        <f>A83+1</f>
        <v>8</v>
      </c>
      <c r="B104" s="1630"/>
      <c r="C104" s="2121" t="s">
        <v>3605</v>
      </c>
      <c r="D104" s="2121"/>
      <c r="E104" s="2121"/>
      <c r="F104" s="2121"/>
      <c r="G104" s="2121"/>
      <c r="H104" s="2121"/>
      <c r="I104" s="633"/>
    </row>
    <row r="105" spans="1:9" ht="30">
      <c r="A105" s="1629"/>
      <c r="B105" s="1630"/>
      <c r="C105" s="634" t="s">
        <v>2395</v>
      </c>
      <c r="D105" s="1630">
        <v>1</v>
      </c>
      <c r="E105" s="1630" t="s">
        <v>1509</v>
      </c>
      <c r="F105" s="633">
        <f>'WS-SOR'!$G$27</f>
        <v>2008</v>
      </c>
      <c r="G105" s="1630">
        <v>1</v>
      </c>
      <c r="H105" s="634" t="s">
        <v>501</v>
      </c>
      <c r="I105" s="633">
        <f t="shared" ref="I105:I117" si="11">IF(G105="",D105*F105,(D105*F105/G105))</f>
        <v>2008</v>
      </c>
    </row>
    <row r="106" spans="1:9" ht="30">
      <c r="A106" s="1629"/>
      <c r="B106" s="1630"/>
      <c r="C106" s="634" t="s">
        <v>2396</v>
      </c>
      <c r="D106" s="1630">
        <f>Input!$D$47</f>
        <v>0.4</v>
      </c>
      <c r="E106" s="1630"/>
      <c r="F106" s="633">
        <f>'WS-SOR'!$H$27</f>
        <v>370</v>
      </c>
      <c r="G106" s="1630"/>
      <c r="H106" s="637"/>
      <c r="I106" s="633">
        <f t="shared" si="11"/>
        <v>148</v>
      </c>
    </row>
    <row r="107" spans="1:9" ht="30">
      <c r="A107" s="1629"/>
      <c r="B107" s="1630"/>
      <c r="C107" s="634" t="s">
        <v>2397</v>
      </c>
      <c r="D107" s="1630">
        <v>1</v>
      </c>
      <c r="E107" s="1630" t="s">
        <v>1509</v>
      </c>
      <c r="F107" s="633">
        <f>'WS-SOR'!$G$74</f>
        <v>1679</v>
      </c>
      <c r="G107" s="1630">
        <v>1</v>
      </c>
      <c r="H107" s="634" t="s">
        <v>501</v>
      </c>
      <c r="I107" s="633">
        <f t="shared" si="11"/>
        <v>1679</v>
      </c>
    </row>
    <row r="108" spans="1:9" ht="42">
      <c r="A108" s="1629"/>
      <c r="B108" s="1630"/>
      <c r="C108" s="637" t="s">
        <v>3606</v>
      </c>
      <c r="D108" s="1630">
        <v>1</v>
      </c>
      <c r="E108" s="1630" t="s">
        <v>1509</v>
      </c>
      <c r="F108" s="633">
        <f>'WS-SOR'!$G$28</f>
        <v>1235</v>
      </c>
      <c r="G108" s="1630">
        <v>1</v>
      </c>
      <c r="H108" s="634" t="s">
        <v>501</v>
      </c>
      <c r="I108" s="633">
        <f t="shared" si="11"/>
        <v>1235</v>
      </c>
    </row>
    <row r="109" spans="1:9" ht="45">
      <c r="A109" s="1629"/>
      <c r="B109" s="1630"/>
      <c r="C109" s="634" t="s">
        <v>2398</v>
      </c>
      <c r="D109" s="1630">
        <f>Input!$D$47</f>
        <v>0.4</v>
      </c>
      <c r="E109" s="1630"/>
      <c r="F109" s="633">
        <f>'WS-SOR'!$H$28</f>
        <v>108</v>
      </c>
      <c r="G109" s="1630"/>
      <c r="H109" s="637"/>
      <c r="I109" s="633">
        <f t="shared" si="11"/>
        <v>43.2</v>
      </c>
    </row>
    <row r="110" spans="1:9" ht="29.25">
      <c r="A110" s="1629"/>
      <c r="B110" s="1630"/>
      <c r="C110" s="637" t="s">
        <v>3607</v>
      </c>
      <c r="D110" s="1630">
        <v>1</v>
      </c>
      <c r="E110" s="1630" t="s">
        <v>39</v>
      </c>
      <c r="F110" s="633">
        <f>'WS-SOR'!$G$42</f>
        <v>251</v>
      </c>
      <c r="G110" s="1630">
        <v>1</v>
      </c>
      <c r="H110" s="634" t="s">
        <v>501</v>
      </c>
      <c r="I110" s="633">
        <f t="shared" si="11"/>
        <v>251</v>
      </c>
    </row>
    <row r="111" spans="1:9" ht="30">
      <c r="A111" s="1629"/>
      <c r="B111" s="1630"/>
      <c r="C111" s="634" t="s">
        <v>2389</v>
      </c>
      <c r="D111" s="1630">
        <f>Input!$D$47</f>
        <v>0.4</v>
      </c>
      <c r="E111" s="1630"/>
      <c r="F111" s="633">
        <f>'WS-SOR'!$H$42</f>
        <v>128</v>
      </c>
      <c r="G111" s="1630"/>
      <c r="H111" s="637"/>
      <c r="I111" s="633">
        <f t="shared" si="11"/>
        <v>51.2</v>
      </c>
    </row>
    <row r="112" spans="1:9" ht="30">
      <c r="A112" s="1629"/>
      <c r="B112" s="1630"/>
      <c r="C112" s="634" t="s">
        <v>2399</v>
      </c>
      <c r="D112" s="1630">
        <v>1</v>
      </c>
      <c r="E112" s="1630" t="s">
        <v>1509</v>
      </c>
      <c r="F112" s="633">
        <f>'WS-SOR'!$G$91</f>
        <v>119</v>
      </c>
      <c r="G112" s="1630">
        <v>1</v>
      </c>
      <c r="H112" s="634" t="s">
        <v>501</v>
      </c>
      <c r="I112" s="633">
        <f t="shared" si="11"/>
        <v>119</v>
      </c>
    </row>
    <row r="113" spans="1:10" ht="30">
      <c r="A113" s="1629"/>
      <c r="B113" s="1630"/>
      <c r="C113" s="634" t="s">
        <v>2400</v>
      </c>
      <c r="D113" s="1630">
        <f>Input!$D$47</f>
        <v>0.4</v>
      </c>
      <c r="E113" s="1630"/>
      <c r="F113" s="633">
        <f>'WS-SOR'!$H$91</f>
        <v>0</v>
      </c>
      <c r="G113" s="1630"/>
      <c r="H113" s="637"/>
      <c r="I113" s="633">
        <f t="shared" si="11"/>
        <v>0</v>
      </c>
    </row>
    <row r="114" spans="1:10">
      <c r="A114" s="1629"/>
      <c r="B114" s="1630"/>
      <c r="C114" s="637" t="s">
        <v>3608</v>
      </c>
      <c r="D114" s="1630">
        <v>1</v>
      </c>
      <c r="E114" s="1630" t="s">
        <v>39</v>
      </c>
      <c r="F114" s="633">
        <f>'WS-SOR'!$H$86</f>
        <v>62</v>
      </c>
      <c r="G114" s="1630">
        <v>1</v>
      </c>
      <c r="H114" s="634" t="s">
        <v>501</v>
      </c>
      <c r="I114" s="633">
        <f t="shared" si="11"/>
        <v>62</v>
      </c>
    </row>
    <row r="115" spans="1:10" ht="30">
      <c r="A115" s="1629"/>
      <c r="B115" s="1630"/>
      <c r="C115" s="634" t="s">
        <v>2393</v>
      </c>
      <c r="D115" s="1630">
        <f>Input!$D$47</f>
        <v>0.4</v>
      </c>
      <c r="E115" s="1630"/>
      <c r="F115" s="633">
        <f>I114</f>
        <v>62</v>
      </c>
      <c r="G115" s="1630"/>
      <c r="H115" s="637"/>
      <c r="I115" s="633">
        <f t="shared" si="11"/>
        <v>24.8</v>
      </c>
    </row>
    <row r="116" spans="1:10" ht="30">
      <c r="A116" s="1629"/>
      <c r="B116" s="1630"/>
      <c r="C116" s="634" t="s">
        <v>2401</v>
      </c>
      <c r="D116" s="1630">
        <v>2</v>
      </c>
      <c r="E116" s="1630" t="s">
        <v>955</v>
      </c>
      <c r="F116" s="633">
        <f>'WS-SOR'!$G$90</f>
        <v>29</v>
      </c>
      <c r="G116" s="1630">
        <v>1</v>
      </c>
      <c r="H116" s="634" t="s">
        <v>501</v>
      </c>
      <c r="I116" s="633">
        <f t="shared" si="11"/>
        <v>58</v>
      </c>
    </row>
    <row r="117" spans="1:10" ht="30">
      <c r="A117" s="1629"/>
      <c r="B117" s="1630"/>
      <c r="C117" s="634" t="s">
        <v>2394</v>
      </c>
      <c r="D117" s="1630">
        <f>Input!$D$47</f>
        <v>0.4</v>
      </c>
      <c r="E117" s="1630"/>
      <c r="F117" s="633">
        <f>'WS-SOR'!$H$90</f>
        <v>0</v>
      </c>
      <c r="G117" s="1630"/>
      <c r="H117" s="1630"/>
      <c r="I117" s="633">
        <f t="shared" si="11"/>
        <v>0</v>
      </c>
    </row>
    <row r="118" spans="1:10">
      <c r="A118" s="1629"/>
      <c r="B118" s="1630"/>
      <c r="C118" s="1630"/>
      <c r="D118" s="1630"/>
      <c r="E118" s="1630"/>
      <c r="F118" s="633"/>
      <c r="G118" s="1630"/>
      <c r="H118" s="1630"/>
      <c r="I118" s="633">
        <f>SUM(I105:I117)</f>
        <v>5679.2</v>
      </c>
    </row>
    <row r="119" spans="1:10">
      <c r="A119" s="1629"/>
      <c r="B119" s="1630"/>
      <c r="C119" s="1630" t="str">
        <f>Input!$C$48</f>
        <v>Overheads &amp; Contractors Profit @ 13.615%</v>
      </c>
      <c r="D119" s="1630">
        <f>Input!$D$48</f>
        <v>0.13614999999999999</v>
      </c>
      <c r="E119" s="1630"/>
      <c r="F119" s="633">
        <f>I118</f>
        <v>5679.2</v>
      </c>
      <c r="G119" s="1630"/>
      <c r="H119" s="1630"/>
      <c r="I119" s="633">
        <f>IF(G119="",D119*F119,(D119*F119/G119))</f>
        <v>773.22307999999998</v>
      </c>
    </row>
    <row r="120" spans="1:10">
      <c r="A120" s="1629"/>
      <c r="B120" s="1630"/>
      <c r="C120" s="1630"/>
      <c r="D120" s="1630"/>
      <c r="E120" s="1630"/>
      <c r="F120" s="633"/>
      <c r="G120" s="1630"/>
      <c r="H120" s="1630"/>
      <c r="I120" s="633">
        <f>SUM(I118:I119)</f>
        <v>6452.4230799999996</v>
      </c>
    </row>
    <row r="121" spans="1:10">
      <c r="A121" s="1629"/>
      <c r="B121" s="1630"/>
      <c r="C121" s="1630" t="s">
        <v>2380</v>
      </c>
      <c r="D121" s="1630"/>
      <c r="E121" s="1630"/>
      <c r="F121" s="633"/>
      <c r="G121" s="1630"/>
      <c r="H121" s="1630"/>
      <c r="I121" s="635">
        <f>ROUND(I120,0)</f>
        <v>6452</v>
      </c>
      <c r="J121" s="629" t="s">
        <v>3901</v>
      </c>
    </row>
    <row r="122" spans="1:10">
      <c r="A122" s="1629"/>
      <c r="B122" s="1630"/>
      <c r="C122" s="1630"/>
      <c r="D122" s="1630"/>
      <c r="E122" s="1630"/>
      <c r="F122" s="633"/>
      <c r="G122" s="1630"/>
      <c r="H122" s="1630"/>
      <c r="I122" s="633"/>
    </row>
    <row r="123" spans="1:10" ht="144" customHeight="1">
      <c r="A123" s="1629">
        <f>A104+1</f>
        <v>9</v>
      </c>
      <c r="B123" s="1630"/>
      <c r="C123" s="2115" t="s">
        <v>3609</v>
      </c>
      <c r="D123" s="2116"/>
      <c r="E123" s="2116"/>
      <c r="F123" s="2116"/>
      <c r="G123" s="2116"/>
      <c r="H123" s="2117"/>
      <c r="I123" s="633"/>
    </row>
    <row r="124" spans="1:10" ht="30">
      <c r="A124" s="1629"/>
      <c r="B124" s="1630"/>
      <c r="C124" s="634" t="s">
        <v>2402</v>
      </c>
      <c r="D124" s="1630">
        <v>1</v>
      </c>
      <c r="E124" s="1630" t="s">
        <v>39</v>
      </c>
      <c r="F124" s="633">
        <f>'WS-SOR'!$G$29</f>
        <v>2223</v>
      </c>
      <c r="G124" s="1630">
        <v>1</v>
      </c>
      <c r="H124" s="634" t="s">
        <v>501</v>
      </c>
      <c r="I124" s="633">
        <f t="shared" ref="I124:I129" si="12">IF(G124="",D124*F124,(D124*F124/G124))</f>
        <v>2223</v>
      </c>
    </row>
    <row r="125" spans="1:10" ht="30">
      <c r="A125" s="1629"/>
      <c r="B125" s="1630"/>
      <c r="C125" s="634" t="s">
        <v>2403</v>
      </c>
      <c r="D125" s="1630">
        <f>Input!$D$47</f>
        <v>0.4</v>
      </c>
      <c r="E125" s="1630"/>
      <c r="F125" s="633">
        <f>'WS-SOR'!$H$29</f>
        <v>527</v>
      </c>
      <c r="G125" s="1630"/>
      <c r="H125" s="637"/>
      <c r="I125" s="633">
        <f t="shared" si="12"/>
        <v>210.8</v>
      </c>
    </row>
    <row r="126" spans="1:10" ht="30">
      <c r="A126" s="1629"/>
      <c r="B126" s="1630"/>
      <c r="C126" s="634" t="s">
        <v>2404</v>
      </c>
      <c r="D126" s="1630">
        <v>1</v>
      </c>
      <c r="E126" s="1630" t="s">
        <v>39</v>
      </c>
      <c r="F126" s="633">
        <f>'WS-SOR'!$G$42</f>
        <v>251</v>
      </c>
      <c r="G126" s="1630">
        <v>1</v>
      </c>
      <c r="H126" s="634" t="s">
        <v>501</v>
      </c>
      <c r="I126" s="633">
        <f t="shared" si="12"/>
        <v>251</v>
      </c>
    </row>
    <row r="127" spans="1:10" ht="30">
      <c r="A127" s="1629"/>
      <c r="B127" s="1630"/>
      <c r="C127" s="634" t="s">
        <v>2405</v>
      </c>
      <c r="D127" s="1630">
        <f>Input!$D$47</f>
        <v>0.4</v>
      </c>
      <c r="E127" s="1630"/>
      <c r="F127" s="633">
        <f>'WS-SOR'!$H$42</f>
        <v>128</v>
      </c>
      <c r="G127" s="1630"/>
      <c r="H127" s="637"/>
      <c r="I127" s="633">
        <f t="shared" si="12"/>
        <v>51.2</v>
      </c>
    </row>
    <row r="128" spans="1:10" ht="30">
      <c r="A128" s="1629"/>
      <c r="B128" s="1630"/>
      <c r="C128" s="634" t="s">
        <v>2390</v>
      </c>
      <c r="D128" s="1630">
        <v>1</v>
      </c>
      <c r="E128" s="1630" t="s">
        <v>39</v>
      </c>
      <c r="F128" s="633">
        <f>'WS-SOR'!$G$91</f>
        <v>119</v>
      </c>
      <c r="G128" s="1630">
        <v>1</v>
      </c>
      <c r="H128" s="634" t="s">
        <v>501</v>
      </c>
      <c r="I128" s="633">
        <f t="shared" si="12"/>
        <v>119</v>
      </c>
    </row>
    <row r="129" spans="1:9" ht="30">
      <c r="A129" s="1629"/>
      <c r="B129" s="1630"/>
      <c r="C129" s="634" t="s">
        <v>2400</v>
      </c>
      <c r="D129" s="1630">
        <f>Input!$D$47</f>
        <v>0.4</v>
      </c>
      <c r="E129" s="1630"/>
      <c r="F129" s="633">
        <f>'WS-SOR'!$H$91</f>
        <v>0</v>
      </c>
      <c r="G129" s="1630"/>
      <c r="H129" s="637"/>
      <c r="I129" s="633">
        <f t="shared" si="12"/>
        <v>0</v>
      </c>
    </row>
    <row r="130" spans="1:9" ht="30">
      <c r="A130" s="1629"/>
      <c r="B130" s="1630"/>
      <c r="C130" s="634" t="s">
        <v>2406</v>
      </c>
      <c r="D130" s="1630">
        <v>1</v>
      </c>
      <c r="E130" s="1630" t="s">
        <v>39</v>
      </c>
      <c r="F130" s="633">
        <f>'WS-SOR'!$G$88</f>
        <v>45</v>
      </c>
      <c r="G130" s="1630">
        <v>1</v>
      </c>
      <c r="H130" s="634" t="s">
        <v>501</v>
      </c>
      <c r="I130" s="633">
        <f>-IF(G130="",D130*F130,(D130*F130/G130))</f>
        <v>-45</v>
      </c>
    </row>
    <row r="131" spans="1:9" ht="30">
      <c r="A131" s="1629"/>
      <c r="B131" s="1630"/>
      <c r="C131" s="634" t="s">
        <v>2407</v>
      </c>
      <c r="D131" s="1630">
        <v>1</v>
      </c>
      <c r="E131" s="1630" t="s">
        <v>39</v>
      </c>
      <c r="F131" s="633">
        <f>'WS-SOR'!$G$72</f>
        <v>31</v>
      </c>
      <c r="G131" s="1630">
        <v>1</v>
      </c>
      <c r="H131" s="634" t="s">
        <v>501</v>
      </c>
      <c r="I131" s="633">
        <f>IF(G131="",D131*F131,(D131*F131/G131))</f>
        <v>31</v>
      </c>
    </row>
    <row r="132" spans="1:9">
      <c r="A132" s="1629"/>
      <c r="B132" s="1630"/>
      <c r="C132" s="1630"/>
      <c r="D132" s="1630"/>
      <c r="E132" s="1630"/>
      <c r="F132" s="633"/>
      <c r="G132" s="1630"/>
      <c r="H132" s="1630"/>
      <c r="I132" s="633">
        <f>SUM(I124:I131)</f>
        <v>2841</v>
      </c>
    </row>
    <row r="133" spans="1:9">
      <c r="A133" s="1629"/>
      <c r="B133" s="1630"/>
      <c r="C133" s="1630" t="str">
        <f>Input!$C$48</f>
        <v>Overheads &amp; Contractors Profit @ 13.615%</v>
      </c>
      <c r="D133" s="1630">
        <f>Input!$D$48</f>
        <v>0.13614999999999999</v>
      </c>
      <c r="E133" s="1630"/>
      <c r="F133" s="633">
        <f>I132</f>
        <v>2841</v>
      </c>
      <c r="G133" s="1630"/>
      <c r="H133" s="1630"/>
      <c r="I133" s="633">
        <f>IF(G133="",D133*F133,(D133*F133/G133))</f>
        <v>386.80214999999998</v>
      </c>
    </row>
    <row r="134" spans="1:9">
      <c r="A134" s="1629"/>
      <c r="B134" s="1630"/>
      <c r="C134" s="1630"/>
      <c r="D134" s="1630"/>
      <c r="E134" s="1630"/>
      <c r="F134" s="633"/>
      <c r="G134" s="1630"/>
      <c r="H134" s="1630"/>
      <c r="I134" s="633">
        <f>SUM(I132:I133)</f>
        <v>3227.80215</v>
      </c>
    </row>
    <row r="135" spans="1:9">
      <c r="A135" s="1629"/>
      <c r="B135" s="1630"/>
      <c r="C135" s="1630" t="s">
        <v>2380</v>
      </c>
      <c r="D135" s="1630"/>
      <c r="E135" s="1630"/>
      <c r="F135" s="633"/>
      <c r="G135" s="1630"/>
      <c r="H135" s="1630" t="s">
        <v>1511</v>
      </c>
      <c r="I135" s="635">
        <f>ROUND(I134,0)</f>
        <v>3228</v>
      </c>
    </row>
    <row r="136" spans="1:9">
      <c r="A136" s="1629"/>
      <c r="B136" s="1630"/>
      <c r="C136" s="1630"/>
      <c r="D136" s="1630"/>
      <c r="E136" s="1630"/>
      <c r="F136" s="633"/>
      <c r="G136" s="1630"/>
      <c r="H136" s="1630"/>
      <c r="I136" s="633"/>
    </row>
    <row r="137" spans="1:9" ht="42.95" customHeight="1">
      <c r="A137" s="1629">
        <f>A123+1</f>
        <v>10</v>
      </c>
      <c r="B137" s="1630"/>
      <c r="C137" s="2113" t="s">
        <v>3610</v>
      </c>
      <c r="D137" s="2113"/>
      <c r="E137" s="2113"/>
      <c r="F137" s="2113"/>
      <c r="G137" s="2113"/>
      <c r="H137" s="2113"/>
      <c r="I137" s="633"/>
    </row>
    <row r="138" spans="1:9">
      <c r="A138" s="1629"/>
      <c r="B138" s="1630"/>
      <c r="C138" s="636" t="s">
        <v>3611</v>
      </c>
      <c r="D138" s="1630">
        <v>1</v>
      </c>
      <c r="E138" s="1630" t="s">
        <v>39</v>
      </c>
      <c r="F138" s="633">
        <f>'WS-SOR'!$G$44</f>
        <v>601</v>
      </c>
      <c r="G138" s="1630">
        <v>1</v>
      </c>
      <c r="H138" s="1630" t="s">
        <v>501</v>
      </c>
      <c r="I138" s="633">
        <f t="shared" ref="I138:I139" si="13">IF(G138="",D138*F138,(D138*F138/G138))</f>
        <v>601</v>
      </c>
    </row>
    <row r="139" spans="1:9">
      <c r="A139" s="1629"/>
      <c r="B139" s="1630"/>
      <c r="C139" s="1630" t="str">
        <f>Input!$C$47</f>
        <v>Add for MA @ 40%</v>
      </c>
      <c r="D139" s="1630">
        <f>Input!$D$47</f>
        <v>0.4</v>
      </c>
      <c r="E139" s="1630"/>
      <c r="F139" s="633">
        <f>'WS-SOR'!$H$44</f>
        <v>128</v>
      </c>
      <c r="G139" s="1630"/>
      <c r="H139" s="1630"/>
      <c r="I139" s="633">
        <f t="shared" si="13"/>
        <v>51.2</v>
      </c>
    </row>
    <row r="140" spans="1:9">
      <c r="A140" s="1629"/>
      <c r="B140" s="1630"/>
      <c r="C140" s="1630"/>
      <c r="D140" s="1630"/>
      <c r="E140" s="1630"/>
      <c r="F140" s="633"/>
      <c r="G140" s="1630"/>
      <c r="H140" s="1630"/>
      <c r="I140" s="633">
        <f>SUM(I138:I139)</f>
        <v>652.20000000000005</v>
      </c>
    </row>
    <row r="141" spans="1:9">
      <c r="A141" s="1629"/>
      <c r="B141" s="1630"/>
      <c r="C141" s="1630" t="str">
        <f>Input!$C$48</f>
        <v>Overheads &amp; Contractors Profit @ 13.615%</v>
      </c>
      <c r="D141" s="1630">
        <f>Input!$D$48</f>
        <v>0.13614999999999999</v>
      </c>
      <c r="E141" s="1630"/>
      <c r="F141" s="633">
        <f>I140</f>
        <v>652.20000000000005</v>
      </c>
      <c r="G141" s="1630"/>
      <c r="H141" s="1630"/>
      <c r="I141" s="633">
        <f>IF(G141="",D141*F141,(D141*F141/G141))</f>
        <v>88.797030000000007</v>
      </c>
    </row>
    <row r="142" spans="1:9">
      <c r="A142" s="1629"/>
      <c r="B142" s="1630"/>
      <c r="C142" s="1630"/>
      <c r="D142" s="1630"/>
      <c r="E142" s="1630"/>
      <c r="F142" s="633"/>
      <c r="G142" s="1630"/>
      <c r="H142" s="1630"/>
      <c r="I142" s="633">
        <f>SUM(I140:I141)</f>
        <v>740.99703</v>
      </c>
    </row>
    <row r="143" spans="1:9">
      <c r="A143" s="1629"/>
      <c r="B143" s="1630"/>
      <c r="C143" s="1630" t="s">
        <v>2380</v>
      </c>
      <c r="D143" s="1630"/>
      <c r="E143" s="1630"/>
      <c r="F143" s="633"/>
      <c r="G143" s="1630"/>
      <c r="H143" s="1630" t="s">
        <v>1511</v>
      </c>
      <c r="I143" s="635">
        <f>ROUND(I142,0)</f>
        <v>741</v>
      </c>
    </row>
    <row r="144" spans="1:9">
      <c r="A144" s="1629"/>
      <c r="B144" s="1630"/>
      <c r="C144" s="1630"/>
      <c r="D144" s="1630"/>
      <c r="E144" s="1630"/>
      <c r="F144" s="633"/>
      <c r="G144" s="1630"/>
      <c r="H144" s="1630"/>
      <c r="I144" s="633"/>
    </row>
    <row r="145" spans="1:9">
      <c r="A145" s="1629"/>
      <c r="B145" s="1630"/>
      <c r="C145" s="1630"/>
      <c r="D145" s="1630"/>
      <c r="E145" s="1630"/>
      <c r="F145" s="633"/>
      <c r="G145" s="1630"/>
      <c r="H145" s="1630"/>
      <c r="I145" s="633"/>
    </row>
    <row r="146" spans="1:9" ht="55.9" customHeight="1">
      <c r="A146" s="1629">
        <f>A137+1</f>
        <v>11</v>
      </c>
      <c r="B146" s="1630"/>
      <c r="C146" s="2113" t="s">
        <v>3612</v>
      </c>
      <c r="D146" s="2113"/>
      <c r="E146" s="2113"/>
      <c r="F146" s="2113"/>
      <c r="G146" s="2113"/>
      <c r="H146" s="2113"/>
      <c r="I146" s="633"/>
    </row>
    <row r="147" spans="1:9">
      <c r="A147" s="1629"/>
      <c r="B147" s="1630"/>
      <c r="C147" s="1630" t="s">
        <v>2408</v>
      </c>
      <c r="D147" s="1630">
        <v>1</v>
      </c>
      <c r="E147" s="1630" t="s">
        <v>39</v>
      </c>
      <c r="F147" s="633">
        <f>'WS-SOR'!$G$92</f>
        <v>544</v>
      </c>
      <c r="G147" s="1630"/>
      <c r="H147" s="1630" t="s">
        <v>501</v>
      </c>
      <c r="I147" s="633">
        <f t="shared" ref="I147:I148" si="14">IF(G147="",D147*F147,(D147*F147/G147))</f>
        <v>544</v>
      </c>
    </row>
    <row r="148" spans="1:9">
      <c r="A148" s="1629"/>
      <c r="B148" s="1630"/>
      <c r="C148" s="1630" t="str">
        <f>Input!$C$47</f>
        <v>Add for MA @ 40%</v>
      </c>
      <c r="D148" s="1630">
        <f>Input!$D$47</f>
        <v>0.4</v>
      </c>
      <c r="E148" s="1630"/>
      <c r="F148" s="633">
        <f>'WS-SOR'!$H$92</f>
        <v>0</v>
      </c>
      <c r="G148" s="1630"/>
      <c r="H148" s="1630"/>
      <c r="I148" s="633">
        <f t="shared" si="14"/>
        <v>0</v>
      </c>
    </row>
    <row r="149" spans="1:9">
      <c r="A149" s="1629"/>
      <c r="B149" s="1630"/>
      <c r="C149" s="1630"/>
      <c r="D149" s="1630"/>
      <c r="E149" s="1630"/>
      <c r="F149" s="633"/>
      <c r="G149" s="1630"/>
      <c r="H149" s="1630"/>
      <c r="I149" s="633">
        <f>SUM(I147:I148)</f>
        <v>544</v>
      </c>
    </row>
    <row r="150" spans="1:9">
      <c r="A150" s="1629"/>
      <c r="B150" s="1630"/>
      <c r="C150" s="1630" t="str">
        <f>Input!$C$48</f>
        <v>Overheads &amp; Contractors Profit @ 13.615%</v>
      </c>
      <c r="D150" s="1630">
        <f>Input!$D$48</f>
        <v>0.13614999999999999</v>
      </c>
      <c r="E150" s="1630"/>
      <c r="F150" s="633">
        <f>I149</f>
        <v>544</v>
      </c>
      <c r="G150" s="1630"/>
      <c r="H150" s="1630"/>
      <c r="I150" s="633">
        <f>IF(G150="",D150*F150,(D150*F150/G150))</f>
        <v>74.065599999999989</v>
      </c>
    </row>
    <row r="151" spans="1:9">
      <c r="A151" s="1629"/>
      <c r="B151" s="1630"/>
      <c r="C151" s="1630"/>
      <c r="D151" s="1630"/>
      <c r="E151" s="1630"/>
      <c r="F151" s="633"/>
      <c r="G151" s="1630"/>
      <c r="H151" s="1630"/>
      <c r="I151" s="633">
        <f>SUM(I149:I150)</f>
        <v>618.06560000000002</v>
      </c>
    </row>
    <row r="152" spans="1:9">
      <c r="A152" s="1629"/>
      <c r="B152" s="1630"/>
      <c r="C152" s="1630" t="s">
        <v>2380</v>
      </c>
      <c r="D152" s="1630"/>
      <c r="E152" s="1630"/>
      <c r="F152" s="633"/>
      <c r="G152" s="1630"/>
      <c r="H152" s="1630" t="s">
        <v>1511</v>
      </c>
      <c r="I152" s="635">
        <f>ROUND(I151,0)</f>
        <v>618</v>
      </c>
    </row>
    <row r="153" spans="1:9">
      <c r="A153" s="1629"/>
      <c r="B153" s="1630"/>
      <c r="C153" s="1630"/>
      <c r="D153" s="1630"/>
      <c r="E153" s="1630"/>
      <c r="F153" s="633"/>
      <c r="G153" s="1630"/>
      <c r="H153" s="1630"/>
      <c r="I153" s="633"/>
    </row>
    <row r="154" spans="1:9" ht="55.9" customHeight="1">
      <c r="A154" s="1629">
        <f>A146+1</f>
        <v>12</v>
      </c>
      <c r="B154" s="1630"/>
      <c r="C154" s="2113" t="s">
        <v>3613</v>
      </c>
      <c r="D154" s="2113"/>
      <c r="E154" s="2113"/>
      <c r="F154" s="2113"/>
      <c r="G154" s="2113"/>
      <c r="H154" s="2113"/>
      <c r="I154" s="633"/>
    </row>
    <row r="155" spans="1:9">
      <c r="A155" s="1629"/>
      <c r="B155" s="1630"/>
      <c r="C155" s="1630" t="s">
        <v>2409</v>
      </c>
      <c r="D155" s="1630">
        <v>1</v>
      </c>
      <c r="E155" s="1630" t="s">
        <v>39</v>
      </c>
      <c r="F155" s="633">
        <f>'WS-SOR'!$G$114</f>
        <v>421</v>
      </c>
      <c r="G155" s="1630"/>
      <c r="H155" s="1630" t="s">
        <v>501</v>
      </c>
      <c r="I155" s="633">
        <f t="shared" ref="I155:I156" si="15">IF(G155="",D155*F155,(D155*F155/G155))</f>
        <v>421</v>
      </c>
    </row>
    <row r="156" spans="1:9">
      <c r="A156" s="1629"/>
      <c r="B156" s="1630"/>
      <c r="C156" s="1630" t="str">
        <f>Input!$C$47</f>
        <v>Add for MA @ 40%</v>
      </c>
      <c r="D156" s="1630">
        <f>Input!$D$47</f>
        <v>0.4</v>
      </c>
      <c r="E156" s="1630"/>
      <c r="F156" s="633">
        <f>'WS-SOR'!$H$89</f>
        <v>0</v>
      </c>
      <c r="G156" s="1630"/>
      <c r="H156" s="1630"/>
      <c r="I156" s="633">
        <f t="shared" si="15"/>
        <v>0</v>
      </c>
    </row>
    <row r="157" spans="1:9">
      <c r="A157" s="1629"/>
      <c r="B157" s="1630"/>
      <c r="C157" s="1630"/>
      <c r="D157" s="1630"/>
      <c r="E157" s="1630"/>
      <c r="F157" s="633"/>
      <c r="G157" s="1630"/>
      <c r="H157" s="1630"/>
      <c r="I157" s="633">
        <f>SUM(I155:I156)</f>
        <v>421</v>
      </c>
    </row>
    <row r="158" spans="1:9">
      <c r="A158" s="1629"/>
      <c r="B158" s="1630"/>
      <c r="C158" s="1630" t="str">
        <f>Input!$C$48</f>
        <v>Overheads &amp; Contractors Profit @ 13.615%</v>
      </c>
      <c r="D158" s="1630">
        <f>Input!$D$48</f>
        <v>0.13614999999999999</v>
      </c>
      <c r="E158" s="1630"/>
      <c r="F158" s="633">
        <f>I157</f>
        <v>421</v>
      </c>
      <c r="G158" s="1630"/>
      <c r="H158" s="1630"/>
      <c r="I158" s="633">
        <f>IF(G158="",D158*F158,(D158*F158/G158))</f>
        <v>57.31915</v>
      </c>
    </row>
    <row r="159" spans="1:9">
      <c r="A159" s="1629"/>
      <c r="B159" s="1630"/>
      <c r="C159" s="1630"/>
      <c r="D159" s="1630"/>
      <c r="E159" s="1630"/>
      <c r="F159" s="633"/>
      <c r="G159" s="1630"/>
      <c r="H159" s="1630"/>
      <c r="I159" s="633">
        <f>SUM(I157:I158)</f>
        <v>478.31914999999998</v>
      </c>
    </row>
    <row r="160" spans="1:9">
      <c r="A160" s="1629"/>
      <c r="B160" s="1630"/>
      <c r="C160" s="1630" t="s">
        <v>2380</v>
      </c>
      <c r="D160" s="1630"/>
      <c r="E160" s="1630"/>
      <c r="F160" s="633"/>
      <c r="G160" s="1630"/>
      <c r="H160" s="1630" t="s">
        <v>1511</v>
      </c>
      <c r="I160" s="635">
        <f>ROUND(I159,0)</f>
        <v>478</v>
      </c>
    </row>
    <row r="161" spans="1:9">
      <c r="A161" s="1629"/>
      <c r="B161" s="1630"/>
      <c r="C161" s="1630"/>
      <c r="D161" s="1630"/>
      <c r="E161" s="1630"/>
      <c r="F161" s="633"/>
      <c r="G161" s="1630"/>
      <c r="H161" s="1630"/>
      <c r="I161" s="633"/>
    </row>
    <row r="162" spans="1:9" ht="42.95" customHeight="1">
      <c r="A162" s="1629">
        <f>A154+1</f>
        <v>13</v>
      </c>
      <c r="B162" s="1630"/>
      <c r="C162" s="2113" t="s">
        <v>3614</v>
      </c>
      <c r="D162" s="2113"/>
      <c r="E162" s="2113"/>
      <c r="F162" s="2113"/>
      <c r="G162" s="2113"/>
      <c r="H162" s="2113"/>
      <c r="I162" s="633"/>
    </row>
    <row r="163" spans="1:9">
      <c r="A163" s="1629"/>
      <c r="B163" s="1630"/>
      <c r="C163" s="1630" t="s">
        <v>3574</v>
      </c>
      <c r="D163" s="1630">
        <v>1</v>
      </c>
      <c r="E163" s="1630" t="s">
        <v>39</v>
      </c>
      <c r="F163" s="633">
        <v>430</v>
      </c>
      <c r="G163" s="1630"/>
      <c r="H163" s="1630" t="s">
        <v>501</v>
      </c>
      <c r="I163" s="633">
        <f t="shared" ref="I163:I164" si="16">IF(G163="",D163*F163,(D163*F163/G163))</f>
        <v>430</v>
      </c>
    </row>
    <row r="164" spans="1:9">
      <c r="A164" s="1629"/>
      <c r="B164" s="1630"/>
      <c r="C164" s="1630" t="str">
        <f>Input!$C$47</f>
        <v>Add for MA @ 40%</v>
      </c>
      <c r="D164" s="1630">
        <f>Input!$D$47</f>
        <v>0.4</v>
      </c>
      <c r="E164" s="1630"/>
      <c r="F164" s="633">
        <f>'WS-SOR'!$H$89</f>
        <v>0</v>
      </c>
      <c r="G164" s="1630"/>
      <c r="H164" s="1630"/>
      <c r="I164" s="633">
        <f t="shared" si="16"/>
        <v>0</v>
      </c>
    </row>
    <row r="165" spans="1:9">
      <c r="A165" s="1629"/>
      <c r="B165" s="1630"/>
      <c r="C165" s="1630"/>
      <c r="D165" s="1630"/>
      <c r="E165" s="1630"/>
      <c r="F165" s="633"/>
      <c r="G165" s="1630"/>
      <c r="H165" s="1630"/>
      <c r="I165" s="633">
        <f>SUM(I163:I164)</f>
        <v>430</v>
      </c>
    </row>
    <row r="166" spans="1:9">
      <c r="A166" s="1629"/>
      <c r="B166" s="1630"/>
      <c r="C166" s="1630" t="str">
        <f>Input!$C$48</f>
        <v>Overheads &amp; Contractors Profit @ 13.615%</v>
      </c>
      <c r="D166" s="1630">
        <f>Input!$D$48</f>
        <v>0.13614999999999999</v>
      </c>
      <c r="E166" s="1630"/>
      <c r="F166" s="633">
        <f>I165</f>
        <v>430</v>
      </c>
      <c r="G166" s="1630"/>
      <c r="H166" s="1630"/>
      <c r="I166" s="633">
        <f>IF(G166="",D166*F166,(D166*F166/G166))</f>
        <v>58.544499999999999</v>
      </c>
    </row>
    <row r="167" spans="1:9">
      <c r="A167" s="1629"/>
      <c r="B167" s="1630"/>
      <c r="C167" s="1630"/>
      <c r="D167" s="1630"/>
      <c r="E167" s="1630"/>
      <c r="F167" s="633"/>
      <c r="G167" s="1630"/>
      <c r="H167" s="1630"/>
      <c r="I167" s="633">
        <f>SUM(I165:I166)</f>
        <v>488.54449999999997</v>
      </c>
    </row>
    <row r="168" spans="1:9">
      <c r="A168" s="1629"/>
      <c r="B168" s="1630"/>
      <c r="C168" s="1630" t="s">
        <v>2380</v>
      </c>
      <c r="D168" s="1630"/>
      <c r="E168" s="1630"/>
      <c r="F168" s="633"/>
      <c r="G168" s="1630"/>
      <c r="H168" s="1630" t="s">
        <v>1511</v>
      </c>
      <c r="I168" s="635">
        <f>ROUND(I167,0)</f>
        <v>489</v>
      </c>
    </row>
    <row r="169" spans="1:9">
      <c r="A169" s="1629"/>
      <c r="B169" s="1630"/>
      <c r="C169" s="1630"/>
      <c r="D169" s="1630"/>
      <c r="E169" s="1630"/>
      <c r="F169" s="633"/>
      <c r="G169" s="1630"/>
      <c r="H169" s="1630"/>
      <c r="I169" s="633"/>
    </row>
    <row r="170" spans="1:9" ht="42.95" customHeight="1">
      <c r="A170" s="1629">
        <f>1+A162</f>
        <v>14</v>
      </c>
      <c r="B170" s="1630"/>
      <c r="C170" s="2113" t="s">
        <v>3615</v>
      </c>
      <c r="D170" s="2113"/>
      <c r="E170" s="2113"/>
      <c r="F170" s="2113"/>
      <c r="G170" s="2113"/>
      <c r="H170" s="2113"/>
      <c r="I170" s="633"/>
    </row>
    <row r="171" spans="1:9">
      <c r="A171" s="1629"/>
      <c r="B171" s="1630"/>
      <c r="C171" s="1630" t="s">
        <v>2409</v>
      </c>
      <c r="D171" s="1630">
        <v>1</v>
      </c>
      <c r="E171" s="1630" t="s">
        <v>39</v>
      </c>
      <c r="F171" s="633">
        <v>653</v>
      </c>
      <c r="G171" s="1630"/>
      <c r="H171" s="1630" t="s">
        <v>501</v>
      </c>
      <c r="I171" s="633">
        <f t="shared" ref="I171:I172" si="17">IF(G171="",D171*F171,(D171*F171/G171))</f>
        <v>653</v>
      </c>
    </row>
    <row r="172" spans="1:9">
      <c r="A172" s="1629"/>
      <c r="B172" s="1630"/>
      <c r="C172" s="1630" t="str">
        <f>Input!$C$47</f>
        <v>Add for MA @ 40%</v>
      </c>
      <c r="D172" s="1630">
        <f>Input!$D$47</f>
        <v>0.4</v>
      </c>
      <c r="E172" s="1630"/>
      <c r="F172" s="633"/>
      <c r="G172" s="1630"/>
      <c r="H172" s="1630"/>
      <c r="I172" s="633">
        <f t="shared" si="17"/>
        <v>0</v>
      </c>
    </row>
    <row r="173" spans="1:9">
      <c r="A173" s="1629"/>
      <c r="B173" s="1630"/>
      <c r="C173" s="1630"/>
      <c r="D173" s="1630"/>
      <c r="E173" s="1630"/>
      <c r="F173" s="633"/>
      <c r="G173" s="1630"/>
      <c r="H173" s="1630"/>
      <c r="I173" s="633">
        <f>SUM(I171:I172)</f>
        <v>653</v>
      </c>
    </row>
    <row r="174" spans="1:9">
      <c r="A174" s="1629"/>
      <c r="B174" s="1630"/>
      <c r="C174" s="1630" t="str">
        <f>Input!$C$48</f>
        <v>Overheads &amp; Contractors Profit @ 13.615%</v>
      </c>
      <c r="D174" s="1630">
        <f>Input!$D$48</f>
        <v>0.13614999999999999</v>
      </c>
      <c r="E174" s="1630"/>
      <c r="F174" s="633">
        <f>I173</f>
        <v>653</v>
      </c>
      <c r="G174" s="1630"/>
      <c r="H174" s="1630"/>
      <c r="I174" s="633">
        <f>IF(G174="",D174*F174,(D174*F174/G174))</f>
        <v>88.90594999999999</v>
      </c>
    </row>
    <row r="175" spans="1:9">
      <c r="A175" s="1629"/>
      <c r="B175" s="1630"/>
      <c r="C175" s="1630"/>
      <c r="D175" s="1630"/>
      <c r="E175" s="1630"/>
      <c r="F175" s="633"/>
      <c r="G175" s="1630"/>
      <c r="H175" s="1630"/>
      <c r="I175" s="633">
        <f>SUM(I173:I174)</f>
        <v>741.90594999999996</v>
      </c>
    </row>
    <row r="176" spans="1:9">
      <c r="A176" s="1629"/>
      <c r="B176" s="1630"/>
      <c r="C176" s="1630" t="s">
        <v>2380</v>
      </c>
      <c r="D176" s="1630"/>
      <c r="E176" s="1630"/>
      <c r="F176" s="633"/>
      <c r="G176" s="1630"/>
      <c r="H176" s="1630" t="s">
        <v>1511</v>
      </c>
      <c r="I176" s="635">
        <f>ROUND(I175,0)</f>
        <v>742</v>
      </c>
    </row>
    <row r="177" spans="1:9">
      <c r="A177" s="1629"/>
      <c r="B177" s="1630"/>
      <c r="C177" s="1630"/>
      <c r="D177" s="1630"/>
      <c r="E177" s="1630"/>
      <c r="F177" s="633"/>
      <c r="G177" s="1630"/>
      <c r="H177" s="1630"/>
      <c r="I177" s="633"/>
    </row>
    <row r="178" spans="1:9" ht="82.15" customHeight="1">
      <c r="A178" s="1629">
        <f>1+A170</f>
        <v>15</v>
      </c>
      <c r="B178" s="1630"/>
      <c r="C178" s="2113" t="s">
        <v>3616</v>
      </c>
      <c r="D178" s="2113"/>
      <c r="E178" s="2113"/>
      <c r="F178" s="2113"/>
      <c r="G178" s="2113"/>
      <c r="H178" s="2113"/>
      <c r="I178" s="633"/>
    </row>
    <row r="179" spans="1:9" ht="26.25">
      <c r="A179" s="1629"/>
      <c r="B179" s="1630"/>
      <c r="C179" s="637" t="s">
        <v>3617</v>
      </c>
      <c r="D179" s="1630">
        <v>1</v>
      </c>
      <c r="E179" s="1630" t="s">
        <v>39</v>
      </c>
      <c r="F179" s="633">
        <f>'WS-SOR'!$G$39</f>
        <v>261</v>
      </c>
      <c r="G179" s="1630"/>
      <c r="H179" s="1630" t="s">
        <v>501</v>
      </c>
      <c r="I179" s="633">
        <f t="shared" ref="I179:I180" si="18">IF(G179="",D179*F179,(D179*F179/G179))</f>
        <v>261</v>
      </c>
    </row>
    <row r="180" spans="1:9">
      <c r="A180" s="1629"/>
      <c r="B180" s="1630"/>
      <c r="C180" s="1630" t="str">
        <f>Input!$C$47</f>
        <v>Add for MA @ 40%</v>
      </c>
      <c r="D180" s="1630">
        <f>Input!$D$47</f>
        <v>0.4</v>
      </c>
      <c r="E180" s="1630"/>
      <c r="F180" s="633">
        <f>'WS-SOR'!$H$39</f>
        <v>64</v>
      </c>
      <c r="G180" s="1630"/>
      <c r="H180" s="1630"/>
      <c r="I180" s="633">
        <f t="shared" si="18"/>
        <v>25.6</v>
      </c>
    </row>
    <row r="181" spans="1:9">
      <c r="A181" s="1629"/>
      <c r="B181" s="1630"/>
      <c r="C181" s="1630"/>
      <c r="D181" s="1630"/>
      <c r="E181" s="1630"/>
      <c r="F181" s="633"/>
      <c r="G181" s="1630"/>
      <c r="H181" s="1630"/>
      <c r="I181" s="633">
        <f>SUM(I179:I180)</f>
        <v>286.60000000000002</v>
      </c>
    </row>
    <row r="182" spans="1:9">
      <c r="A182" s="1629"/>
      <c r="B182" s="1630"/>
      <c r="C182" s="1630" t="str">
        <f>Input!$C$48</f>
        <v>Overheads &amp; Contractors Profit @ 13.615%</v>
      </c>
      <c r="D182" s="1630">
        <f>Input!$D$48</f>
        <v>0.13614999999999999</v>
      </c>
      <c r="E182" s="1630"/>
      <c r="F182" s="633">
        <f>I181</f>
        <v>286.60000000000002</v>
      </c>
      <c r="G182" s="1630"/>
      <c r="H182" s="1630"/>
      <c r="I182" s="633">
        <f>IF(G182="",D182*F182,(D182*F182/G182))</f>
        <v>39.020589999999999</v>
      </c>
    </row>
    <row r="183" spans="1:9">
      <c r="A183" s="1629"/>
      <c r="B183" s="1630"/>
      <c r="C183" s="1630"/>
      <c r="D183" s="1630"/>
      <c r="E183" s="1630"/>
      <c r="F183" s="633"/>
      <c r="G183" s="1630"/>
      <c r="H183" s="1630"/>
      <c r="I183" s="633">
        <f>SUM(I181:I182)</f>
        <v>325.62058999999999</v>
      </c>
    </row>
    <row r="184" spans="1:9">
      <c r="A184" s="1629"/>
      <c r="B184" s="1630"/>
      <c r="C184" s="1630" t="s">
        <v>2380</v>
      </c>
      <c r="D184" s="1630"/>
      <c r="E184" s="1630"/>
      <c r="F184" s="633"/>
      <c r="G184" s="1630"/>
      <c r="H184" s="1630" t="s">
        <v>1511</v>
      </c>
      <c r="I184" s="635">
        <f>ROUND(I183,0)</f>
        <v>326</v>
      </c>
    </row>
    <row r="185" spans="1:9">
      <c r="A185" s="1629"/>
      <c r="B185" s="1630"/>
      <c r="C185" s="1630"/>
      <c r="D185" s="1630"/>
      <c r="E185" s="1630"/>
      <c r="F185" s="633"/>
      <c r="G185" s="1630"/>
      <c r="H185" s="1630"/>
      <c r="I185" s="633"/>
    </row>
    <row r="186" spans="1:9" ht="82.15" customHeight="1">
      <c r="A186" s="1642">
        <f>1+A178</f>
        <v>16</v>
      </c>
      <c r="B186" s="1641"/>
      <c r="C186" s="2118" t="s">
        <v>3626</v>
      </c>
      <c r="D186" s="2119"/>
      <c r="E186" s="2119"/>
      <c r="F186" s="2119"/>
      <c r="G186" s="2119"/>
      <c r="H186" s="2120"/>
      <c r="I186" s="633"/>
    </row>
    <row r="187" spans="1:9" ht="26.25">
      <c r="A187" s="1642"/>
      <c r="B187" s="1641"/>
      <c r="C187" s="637" t="s">
        <v>3627</v>
      </c>
      <c r="D187" s="1641">
        <v>1</v>
      </c>
      <c r="E187" s="1641" t="s">
        <v>39</v>
      </c>
      <c r="F187" s="633">
        <v>634</v>
      </c>
      <c r="G187" s="1641"/>
      <c r="H187" s="1641" t="s">
        <v>501</v>
      </c>
      <c r="I187" s="633">
        <f t="shared" ref="I187:I188" si="19">IF(G187="",D187*F187,(D187*F187/G187))</f>
        <v>634</v>
      </c>
    </row>
    <row r="188" spans="1:9">
      <c r="A188" s="1642"/>
      <c r="B188" s="1641"/>
      <c r="C188" s="1641" t="str">
        <f>Input!$C$47</f>
        <v>Add for MA @ 40%</v>
      </c>
      <c r="D188" s="1641">
        <f>Input!$D$47</f>
        <v>0.4</v>
      </c>
      <c r="E188" s="1641"/>
      <c r="F188" s="633">
        <f>'WS-SOR'!$H$39</f>
        <v>64</v>
      </c>
      <c r="G188" s="1641"/>
      <c r="H188" s="1641"/>
      <c r="I188" s="633">
        <f t="shared" si="19"/>
        <v>25.6</v>
      </c>
    </row>
    <row r="189" spans="1:9">
      <c r="A189" s="1642"/>
      <c r="B189" s="1641"/>
      <c r="C189" s="1641"/>
      <c r="D189" s="1641"/>
      <c r="E189" s="1641"/>
      <c r="F189" s="633"/>
      <c r="G189" s="1641"/>
      <c r="H189" s="1641"/>
      <c r="I189" s="633">
        <f>SUM(I187:I188)</f>
        <v>659.6</v>
      </c>
    </row>
    <row r="190" spans="1:9">
      <c r="A190" s="1642"/>
      <c r="B190" s="1641"/>
      <c r="C190" s="1641" t="str">
        <f>Input!$C$48</f>
        <v>Overheads &amp; Contractors Profit @ 13.615%</v>
      </c>
      <c r="D190" s="1641">
        <f>Input!$D$48</f>
        <v>0.13614999999999999</v>
      </c>
      <c r="E190" s="1641"/>
      <c r="F190" s="633">
        <f>I189</f>
        <v>659.6</v>
      </c>
      <c r="G190" s="1641"/>
      <c r="H190" s="1641"/>
      <c r="I190" s="633">
        <f>IF(G190="",D190*F190,(D190*F190/G190))</f>
        <v>89.804540000000003</v>
      </c>
    </row>
    <row r="191" spans="1:9">
      <c r="A191" s="1642"/>
      <c r="B191" s="1641"/>
      <c r="C191" s="1641"/>
      <c r="D191" s="1641"/>
      <c r="E191" s="1641"/>
      <c r="F191" s="633"/>
      <c r="G191" s="1641"/>
      <c r="H191" s="1641"/>
      <c r="I191" s="633">
        <f>SUM(I189:I190)</f>
        <v>749.40454</v>
      </c>
    </row>
    <row r="192" spans="1:9">
      <c r="A192" s="1642"/>
      <c r="B192" s="1641"/>
      <c r="C192" s="1641" t="s">
        <v>2380</v>
      </c>
      <c r="D192" s="1641"/>
      <c r="E192" s="1641"/>
      <c r="F192" s="633"/>
      <c r="G192" s="1641"/>
      <c r="H192" s="1641" t="s">
        <v>1511</v>
      </c>
      <c r="I192" s="635">
        <f>ROUND(I191,0)</f>
        <v>749</v>
      </c>
    </row>
    <row r="193" spans="1:10" ht="55.9" customHeight="1">
      <c r="A193" s="1629">
        <f>A178+1</f>
        <v>16</v>
      </c>
      <c r="B193" s="1630"/>
      <c r="C193" s="2113" t="s">
        <v>2670</v>
      </c>
      <c r="D193" s="2113"/>
      <c r="E193" s="2113"/>
      <c r="F193" s="2113"/>
      <c r="G193" s="2113"/>
      <c r="H193" s="2113"/>
      <c r="I193" s="633"/>
    </row>
    <row r="194" spans="1:10">
      <c r="A194" s="1629"/>
      <c r="B194" s="1630"/>
      <c r="C194" s="636" t="s">
        <v>2671</v>
      </c>
      <c r="D194" s="1630">
        <v>1</v>
      </c>
      <c r="E194" s="1630" t="s">
        <v>39</v>
      </c>
      <c r="F194" s="633">
        <f>'WS-SOR'!$G$41</f>
        <v>287</v>
      </c>
      <c r="G194" s="1630"/>
      <c r="H194" s="1630" t="s">
        <v>501</v>
      </c>
      <c r="I194" s="633">
        <f t="shared" ref="I194:I195" si="20">IF(G194="",D194*F194,(D194*F194/G194))</f>
        <v>287</v>
      </c>
    </row>
    <row r="195" spans="1:10">
      <c r="A195" s="1629"/>
      <c r="B195" s="1630"/>
      <c r="C195" s="1630" t="str">
        <f>Input!$C$47</f>
        <v>Add for MA @ 40%</v>
      </c>
      <c r="D195" s="1630">
        <f>Input!$D$47</f>
        <v>0.4</v>
      </c>
      <c r="E195" s="1630"/>
      <c r="F195" s="633">
        <f>'WS-SOR'!$H$41</f>
        <v>64</v>
      </c>
      <c r="G195" s="1630"/>
      <c r="H195" s="1630"/>
      <c r="I195" s="633">
        <f t="shared" si="20"/>
        <v>25.6</v>
      </c>
    </row>
    <row r="196" spans="1:10">
      <c r="A196" s="1629"/>
      <c r="B196" s="1630"/>
      <c r="C196" s="1630"/>
      <c r="D196" s="1630"/>
      <c r="E196" s="1630"/>
      <c r="F196" s="633"/>
      <c r="G196" s="1630"/>
      <c r="H196" s="1630"/>
      <c r="I196" s="633">
        <f>SUM(I194:I195)</f>
        <v>312.60000000000002</v>
      </c>
    </row>
    <row r="197" spans="1:10">
      <c r="A197" s="1629"/>
      <c r="B197" s="1630"/>
      <c r="C197" s="1630" t="str">
        <f>Input!$C$48</f>
        <v>Overheads &amp; Contractors Profit @ 13.615%</v>
      </c>
      <c r="D197" s="1630">
        <f>Input!$D$48</f>
        <v>0.13614999999999999</v>
      </c>
      <c r="E197" s="1630"/>
      <c r="F197" s="633">
        <f>I196</f>
        <v>312.60000000000002</v>
      </c>
      <c r="G197" s="1630"/>
      <c r="H197" s="1630"/>
      <c r="I197" s="633">
        <f>IF(G197="",D197*F197,(D197*F197/G197))</f>
        <v>42.560490000000001</v>
      </c>
    </row>
    <row r="198" spans="1:10">
      <c r="A198" s="1629"/>
      <c r="B198" s="1630"/>
      <c r="C198" s="1630"/>
      <c r="D198" s="1630"/>
      <c r="E198" s="1630"/>
      <c r="F198" s="633"/>
      <c r="G198" s="1630"/>
      <c r="H198" s="1630"/>
      <c r="I198" s="633">
        <f>SUM(I196:I197)</f>
        <v>355.16049000000004</v>
      </c>
    </row>
    <row r="199" spans="1:10">
      <c r="A199" s="1629"/>
      <c r="B199" s="1630"/>
      <c r="C199" s="1630" t="s">
        <v>2380</v>
      </c>
      <c r="D199" s="1630"/>
      <c r="E199" s="1630"/>
      <c r="F199" s="633"/>
      <c r="G199" s="1630"/>
      <c r="H199" s="1630" t="s">
        <v>1511</v>
      </c>
      <c r="I199" s="633">
        <f>ROUND(I198,0)</f>
        <v>355</v>
      </c>
    </row>
    <row r="200" spans="1:10">
      <c r="A200" s="1629"/>
      <c r="B200" s="1630"/>
      <c r="C200" s="1630"/>
      <c r="D200" s="1630"/>
      <c r="E200" s="1630"/>
      <c r="F200" s="633"/>
      <c r="G200" s="1630"/>
      <c r="H200" s="1630"/>
      <c r="I200" s="633"/>
    </row>
    <row r="201" spans="1:10" ht="69" customHeight="1">
      <c r="A201" s="1629">
        <f>1+A178</f>
        <v>16</v>
      </c>
      <c r="B201" s="1630"/>
      <c r="C201" s="2113" t="s">
        <v>3618</v>
      </c>
      <c r="D201" s="2113"/>
      <c r="E201" s="2113"/>
      <c r="F201" s="2113"/>
      <c r="G201" s="2113"/>
      <c r="H201" s="2113"/>
      <c r="I201" s="633"/>
    </row>
    <row r="202" spans="1:10">
      <c r="A202" s="1629"/>
      <c r="B202" s="1630"/>
      <c r="C202" s="636" t="s">
        <v>3619</v>
      </c>
      <c r="D202" s="1630">
        <v>1</v>
      </c>
      <c r="E202" s="1630" t="s">
        <v>39</v>
      </c>
      <c r="F202" s="633">
        <f>'WS-SOR'!$G$40</f>
        <v>3400</v>
      </c>
      <c r="G202" s="1630"/>
      <c r="H202" s="1630" t="s">
        <v>501</v>
      </c>
      <c r="I202" s="633">
        <f t="shared" ref="I202:I203" si="21">IF(G202="",D202*F202,(D202*F202/G202))</f>
        <v>3400</v>
      </c>
    </row>
    <row r="203" spans="1:10">
      <c r="A203" s="1629"/>
      <c r="B203" s="1630"/>
      <c r="C203" s="1630" t="str">
        <f>Input!$C$47</f>
        <v>Add for MA @ 40%</v>
      </c>
      <c r="D203" s="1630">
        <f>Input!$D$47</f>
        <v>0.4</v>
      </c>
      <c r="E203" s="1630"/>
      <c r="F203" s="633">
        <f>'WS-SOR'!$H$40</f>
        <v>64</v>
      </c>
      <c r="G203" s="1630"/>
      <c r="H203" s="1630"/>
      <c r="I203" s="633">
        <f t="shared" si="21"/>
        <v>25.6</v>
      </c>
    </row>
    <row r="204" spans="1:10">
      <c r="A204" s="1629"/>
      <c r="B204" s="1630"/>
      <c r="C204" s="1630"/>
      <c r="D204" s="1630"/>
      <c r="E204" s="1630"/>
      <c r="F204" s="633"/>
      <c r="G204" s="1630"/>
      <c r="H204" s="1630"/>
      <c r="I204" s="633">
        <f>SUM(I202:I203)</f>
        <v>3425.6</v>
      </c>
    </row>
    <row r="205" spans="1:10">
      <c r="A205" s="1629"/>
      <c r="B205" s="1630"/>
      <c r="C205" s="1630" t="str">
        <f>Input!$C$48</f>
        <v>Overheads &amp; Contractors Profit @ 13.615%</v>
      </c>
      <c r="D205" s="1630">
        <f>Input!$D$48</f>
        <v>0.13614999999999999</v>
      </c>
      <c r="E205" s="1630"/>
      <c r="F205" s="633">
        <f>I204</f>
        <v>3425.6</v>
      </c>
      <c r="G205" s="1630"/>
      <c r="H205" s="1630"/>
      <c r="I205" s="633">
        <f>IF(G205="",D205*F205,(D205*F205/G205))</f>
        <v>466.39543999999995</v>
      </c>
    </row>
    <row r="206" spans="1:10">
      <c r="A206" s="1629"/>
      <c r="B206" s="1630"/>
      <c r="C206" s="1630"/>
      <c r="D206" s="1630"/>
      <c r="E206" s="1630"/>
      <c r="F206" s="633"/>
      <c r="G206" s="1630"/>
      <c r="H206" s="1630"/>
      <c r="I206" s="633">
        <f>SUM(I204:I205)</f>
        <v>3891.9954399999997</v>
      </c>
    </row>
    <row r="207" spans="1:10">
      <c r="A207" s="1629"/>
      <c r="B207" s="1630"/>
      <c r="C207" s="1630" t="s">
        <v>2380</v>
      </c>
      <c r="D207" s="1630"/>
      <c r="E207" s="1630"/>
      <c r="F207" s="633"/>
      <c r="G207" s="1630"/>
      <c r="H207" s="1630" t="s">
        <v>1511</v>
      </c>
      <c r="I207" s="635">
        <f>ROUND(I206,0)</f>
        <v>3892</v>
      </c>
      <c r="J207" s="629" t="s">
        <v>3901</v>
      </c>
    </row>
    <row r="208" spans="1:10">
      <c r="A208" s="1629"/>
      <c r="B208" s="1630"/>
      <c r="C208" s="1630"/>
      <c r="D208" s="1630"/>
      <c r="E208" s="1630"/>
      <c r="F208" s="633"/>
      <c r="G208" s="1630"/>
      <c r="H208" s="1630"/>
      <c r="I208" s="633"/>
    </row>
    <row r="209" spans="1:10" ht="108.2" customHeight="1">
      <c r="A209" s="1629">
        <f>A201+1</f>
        <v>17</v>
      </c>
      <c r="B209" s="1630"/>
      <c r="C209" s="2113" t="s">
        <v>3567</v>
      </c>
      <c r="D209" s="2113"/>
      <c r="E209" s="2113"/>
      <c r="F209" s="2113"/>
      <c r="G209" s="2113"/>
      <c r="H209" s="2113"/>
      <c r="I209" s="633"/>
    </row>
    <row r="210" spans="1:10">
      <c r="A210" s="1629"/>
      <c r="B210" s="1630" t="s">
        <v>294</v>
      </c>
      <c r="C210" s="1641" t="s">
        <v>2410</v>
      </c>
      <c r="D210" s="1630"/>
      <c r="E210" s="1630"/>
      <c r="F210" s="633"/>
      <c r="G210" s="1630"/>
      <c r="H210" s="1630"/>
      <c r="I210" s="633"/>
    </row>
    <row r="211" spans="1:10">
      <c r="A211" s="1629"/>
      <c r="B211" s="1630"/>
      <c r="C211" s="1630" t="s">
        <v>2411</v>
      </c>
      <c r="D211" s="1630"/>
      <c r="E211" s="1630"/>
      <c r="F211" s="633"/>
      <c r="G211" s="1630"/>
      <c r="H211" s="1630"/>
      <c r="I211" s="633"/>
    </row>
    <row r="212" spans="1:10">
      <c r="A212" s="1629"/>
      <c r="B212" s="1630"/>
      <c r="C212" s="636" t="s">
        <v>3568</v>
      </c>
      <c r="D212" s="1630">
        <v>6</v>
      </c>
      <c r="E212" s="1630" t="s">
        <v>197</v>
      </c>
      <c r="F212" s="633">
        <f>'WS-SOR'!$G$67</f>
        <v>290</v>
      </c>
      <c r="G212" s="1630">
        <f>'WS-SOR'!$I$67</f>
        <v>3</v>
      </c>
      <c r="H212" s="1630" t="s">
        <v>197</v>
      </c>
      <c r="I212" s="633">
        <f t="shared" ref="I212:I215" si="22">IF(G212="",D212*F212,(D212*F212/G212))</f>
        <v>580</v>
      </c>
    </row>
    <row r="213" spans="1:10">
      <c r="A213" s="1629"/>
      <c r="B213" s="1630"/>
      <c r="C213" s="636" t="s">
        <v>3569</v>
      </c>
      <c r="D213" s="1630">
        <v>3</v>
      </c>
      <c r="E213" s="1630" t="s">
        <v>36</v>
      </c>
      <c r="F213" s="633">
        <f>'WS-SOR'!$G$77</f>
        <v>18</v>
      </c>
      <c r="G213" s="1630"/>
      <c r="H213" s="1630" t="s">
        <v>501</v>
      </c>
      <c r="I213" s="633">
        <f t="shared" si="22"/>
        <v>54</v>
      </c>
    </row>
    <row r="214" spans="1:10">
      <c r="A214" s="1629"/>
      <c r="B214" s="1630"/>
      <c r="C214" s="636" t="s">
        <v>3570</v>
      </c>
      <c r="D214" s="1630">
        <v>6</v>
      </c>
      <c r="E214" s="1630" t="s">
        <v>197</v>
      </c>
      <c r="F214" s="633">
        <f>'WS-SOR'!$H$83</f>
        <v>99</v>
      </c>
      <c r="G214" s="1630">
        <v>1</v>
      </c>
      <c r="H214" s="1630" t="s">
        <v>197</v>
      </c>
      <c r="I214" s="633">
        <f t="shared" si="22"/>
        <v>594</v>
      </c>
    </row>
    <row r="215" spans="1:10">
      <c r="A215" s="1629"/>
      <c r="B215" s="1630"/>
      <c r="C215" s="1630" t="str">
        <f>Input!C$47</f>
        <v>Add for MA @ 40%</v>
      </c>
      <c r="D215" s="1630">
        <f>Input!D47</f>
        <v>0.4</v>
      </c>
      <c r="E215" s="1630"/>
      <c r="F215" s="633">
        <f>I214</f>
        <v>594</v>
      </c>
      <c r="G215" s="1630"/>
      <c r="H215" s="1630"/>
      <c r="I215" s="633">
        <f t="shared" si="22"/>
        <v>237.60000000000002</v>
      </c>
    </row>
    <row r="216" spans="1:10">
      <c r="A216" s="1629"/>
      <c r="B216" s="1630"/>
      <c r="C216" s="1630"/>
      <c r="D216" s="1630"/>
      <c r="E216" s="1630"/>
      <c r="F216" s="633"/>
      <c r="G216" s="1630"/>
      <c r="H216" s="1630"/>
      <c r="I216" s="633">
        <f>SUM(I212:I215)</f>
        <v>1465.6</v>
      </c>
    </row>
    <row r="217" spans="1:10">
      <c r="A217" s="1629"/>
      <c r="B217" s="1630"/>
      <c r="C217" s="1630" t="s">
        <v>1288</v>
      </c>
      <c r="D217" s="1630"/>
      <c r="E217" s="1630"/>
      <c r="F217" s="633"/>
      <c r="G217" s="1630"/>
      <c r="H217" s="1630"/>
      <c r="I217" s="633">
        <f>ROUND(I216/6,2)</f>
        <v>244.27</v>
      </c>
    </row>
    <row r="218" spans="1:10">
      <c r="A218" s="1629"/>
      <c r="B218" s="1630"/>
      <c r="C218" s="1630" t="str">
        <f>Input!$C$48</f>
        <v>Overheads &amp; Contractors Profit @ 13.615%</v>
      </c>
      <c r="D218" s="1630">
        <f>Input!$D$48</f>
        <v>0.13614999999999999</v>
      </c>
      <c r="E218" s="1630"/>
      <c r="F218" s="633">
        <f>I217</f>
        <v>244.27</v>
      </c>
      <c r="G218" s="1630"/>
      <c r="H218" s="1630"/>
      <c r="I218" s="633">
        <f>IF(G218="",D218*F218,(D218*F218/G218))</f>
        <v>33.257360499999997</v>
      </c>
    </row>
    <row r="219" spans="1:10">
      <c r="A219" s="1629"/>
      <c r="B219" s="1630"/>
      <c r="C219" s="1630"/>
      <c r="D219" s="1630"/>
      <c r="E219" s="1630"/>
      <c r="F219" s="633"/>
      <c r="G219" s="1630"/>
      <c r="H219" s="1630"/>
      <c r="I219" s="633">
        <f>SUM(I217:I218)</f>
        <v>277.52736049999999</v>
      </c>
    </row>
    <row r="220" spans="1:10">
      <c r="A220" s="1629"/>
      <c r="B220" s="1630"/>
      <c r="C220" s="1630"/>
      <c r="D220" s="1630"/>
      <c r="E220" s="1630"/>
      <c r="F220" s="633"/>
      <c r="G220" s="1630"/>
      <c r="H220" s="1630" t="s">
        <v>1511</v>
      </c>
      <c r="I220" s="635">
        <f>ROUND(I219,0)</f>
        <v>278</v>
      </c>
      <c r="J220" s="629" t="s">
        <v>3901</v>
      </c>
    </row>
    <row r="221" spans="1:10">
      <c r="A221" s="1629"/>
      <c r="B221" s="1630"/>
      <c r="C221" s="1630"/>
      <c r="D221" s="1630"/>
      <c r="E221" s="1630"/>
      <c r="F221" s="633"/>
      <c r="G221" s="1630"/>
      <c r="H221" s="1630"/>
      <c r="I221" s="633"/>
    </row>
    <row r="222" spans="1:10">
      <c r="A222" s="1629"/>
      <c r="B222" s="1630" t="s">
        <v>297</v>
      </c>
      <c r="C222" s="1630" t="s">
        <v>2412</v>
      </c>
      <c r="D222" s="1630"/>
      <c r="E222" s="1630"/>
      <c r="F222" s="633"/>
      <c r="G222" s="1630"/>
      <c r="H222" s="1630"/>
      <c r="I222" s="633"/>
    </row>
    <row r="223" spans="1:10">
      <c r="A223" s="1629"/>
      <c r="B223" s="1630"/>
      <c r="C223" s="1630" t="s">
        <v>2411</v>
      </c>
      <c r="D223" s="1630"/>
      <c r="E223" s="1630"/>
      <c r="F223" s="633"/>
      <c r="G223" s="1630"/>
      <c r="H223" s="1630"/>
      <c r="I223" s="633"/>
    </row>
    <row r="224" spans="1:10">
      <c r="A224" s="1629"/>
      <c r="B224" s="1630"/>
      <c r="C224" s="636" t="s">
        <v>3571</v>
      </c>
      <c r="D224" s="1630">
        <v>6</v>
      </c>
      <c r="E224" s="1630" t="s">
        <v>197</v>
      </c>
      <c r="F224" s="633">
        <f>'WS-SOR'!$G$68</f>
        <v>460</v>
      </c>
      <c r="G224" s="1630">
        <f>'WS-SOR'!$I$68</f>
        <v>3</v>
      </c>
      <c r="H224" s="1630" t="s">
        <v>197</v>
      </c>
      <c r="I224" s="633">
        <f t="shared" ref="I224:I227" si="23">IF(G224="",D224*F224,(D224*F224/G224))</f>
        <v>920</v>
      </c>
    </row>
    <row r="225" spans="1:9">
      <c r="A225" s="1629"/>
      <c r="B225" s="1630"/>
      <c r="C225" s="636" t="s">
        <v>3572</v>
      </c>
      <c r="D225" s="1630">
        <v>3</v>
      </c>
      <c r="E225" s="1630" t="s">
        <v>36</v>
      </c>
      <c r="F225" s="633">
        <f>'WS-SOR'!$G$78</f>
        <v>20</v>
      </c>
      <c r="G225" s="1630"/>
      <c r="H225" s="1630" t="s">
        <v>501</v>
      </c>
      <c r="I225" s="633">
        <f t="shared" si="23"/>
        <v>60</v>
      </c>
    </row>
    <row r="226" spans="1:9">
      <c r="A226" s="1629"/>
      <c r="B226" s="1630"/>
      <c r="C226" s="636" t="s">
        <v>3573</v>
      </c>
      <c r="D226" s="1630">
        <v>6</v>
      </c>
      <c r="E226" s="1630" t="s">
        <v>197</v>
      </c>
      <c r="F226" s="633">
        <f>'WS-SOR'!$H$83</f>
        <v>99</v>
      </c>
      <c r="G226" s="1630">
        <v>1</v>
      </c>
      <c r="H226" s="1630" t="s">
        <v>197</v>
      </c>
      <c r="I226" s="633">
        <f t="shared" si="23"/>
        <v>594</v>
      </c>
    </row>
    <row r="227" spans="1:9">
      <c r="A227" s="1629"/>
      <c r="B227" s="1630"/>
      <c r="C227" s="1630" t="str">
        <f>Input!C$47</f>
        <v>Add for MA @ 40%</v>
      </c>
      <c r="D227" s="1630">
        <f>Input!D47</f>
        <v>0.4</v>
      </c>
      <c r="E227" s="1630"/>
      <c r="F227" s="633">
        <f>I226</f>
        <v>594</v>
      </c>
      <c r="G227" s="1630"/>
      <c r="H227" s="1630"/>
      <c r="I227" s="633">
        <f t="shared" si="23"/>
        <v>237.60000000000002</v>
      </c>
    </row>
    <row r="228" spans="1:9">
      <c r="A228" s="1629"/>
      <c r="B228" s="1630"/>
      <c r="C228" s="1630"/>
      <c r="D228" s="1630"/>
      <c r="E228" s="1630"/>
      <c r="F228" s="633"/>
      <c r="G228" s="1630"/>
      <c r="H228" s="1630"/>
      <c r="I228" s="633">
        <f>SUM(I224:I227)</f>
        <v>1811.6</v>
      </c>
    </row>
    <row r="229" spans="1:9">
      <c r="A229" s="1629"/>
      <c r="B229" s="1630"/>
      <c r="C229" s="1630" t="s">
        <v>1288</v>
      </c>
      <c r="D229" s="1630"/>
      <c r="E229" s="1630"/>
      <c r="F229" s="633"/>
      <c r="G229" s="1630"/>
      <c r="H229" s="1630"/>
      <c r="I229" s="633">
        <f>ROUND(I228/6,2)</f>
        <v>301.93</v>
      </c>
    </row>
    <row r="230" spans="1:9">
      <c r="A230" s="1629"/>
      <c r="B230" s="1630"/>
      <c r="C230" s="1630" t="str">
        <f>Input!$C$48</f>
        <v>Overheads &amp; Contractors Profit @ 13.615%</v>
      </c>
      <c r="D230" s="1630">
        <f>Input!$D$48</f>
        <v>0.13614999999999999</v>
      </c>
      <c r="E230" s="1630"/>
      <c r="F230" s="633">
        <f>I229</f>
        <v>301.93</v>
      </c>
      <c r="G230" s="1630"/>
      <c r="H230" s="1630"/>
      <c r="I230" s="633">
        <f>IF(G230="",D230*F230,(D230*F230/G230))</f>
        <v>41.107769499999996</v>
      </c>
    </row>
    <row r="231" spans="1:9">
      <c r="A231" s="1629"/>
      <c r="B231" s="1630"/>
      <c r="C231" s="1630"/>
      <c r="D231" s="1630"/>
      <c r="E231" s="1630"/>
      <c r="F231" s="633"/>
      <c r="G231" s="1630"/>
      <c r="H231" s="1630"/>
      <c r="I231" s="633">
        <f>SUM(I229:I230)</f>
        <v>343.03776950000002</v>
      </c>
    </row>
    <row r="232" spans="1:9">
      <c r="A232" s="1629"/>
      <c r="B232" s="1630"/>
      <c r="C232" s="1630"/>
      <c r="D232" s="1630"/>
      <c r="E232" s="1630"/>
      <c r="F232" s="633"/>
      <c r="G232" s="1630"/>
      <c r="H232" s="1630" t="s">
        <v>1511</v>
      </c>
      <c r="I232" s="635">
        <f>ROUND(I231,0)</f>
        <v>343</v>
      </c>
    </row>
    <row r="233" spans="1:9">
      <c r="A233" s="1629"/>
      <c r="B233" s="1630"/>
      <c r="C233" s="1630"/>
      <c r="D233" s="1630"/>
      <c r="E233" s="1630"/>
      <c r="F233" s="633"/>
      <c r="G233" s="1630"/>
      <c r="H233" s="1630"/>
      <c r="I233" s="633"/>
    </row>
    <row r="234" spans="1:9">
      <c r="A234" s="1629"/>
      <c r="B234" s="1630" t="s">
        <v>430</v>
      </c>
      <c r="C234" s="1858" t="s">
        <v>2413</v>
      </c>
      <c r="D234" s="1630"/>
      <c r="E234" s="1630"/>
      <c r="F234" s="633"/>
      <c r="G234" s="1630"/>
      <c r="H234" s="1630"/>
      <c r="I234" s="633"/>
    </row>
    <row r="235" spans="1:9">
      <c r="A235" s="1629"/>
      <c r="B235" s="1630"/>
      <c r="C235" s="1630" t="s">
        <v>2411</v>
      </c>
      <c r="D235" s="1630"/>
      <c r="E235" s="1630"/>
      <c r="F235" s="633"/>
      <c r="G235" s="1630"/>
      <c r="H235" s="1630"/>
      <c r="I235" s="633"/>
    </row>
    <row r="236" spans="1:9">
      <c r="A236" s="1629"/>
      <c r="B236" s="1630"/>
      <c r="C236" s="636" t="s">
        <v>2672</v>
      </c>
      <c r="D236" s="1630">
        <v>6</v>
      </c>
      <c r="E236" s="1630" t="s">
        <v>197</v>
      </c>
      <c r="F236" s="633">
        <f>'WS-SOR'!$G$69</f>
        <v>549</v>
      </c>
      <c r="G236" s="1630">
        <f>'WS-SOR'!$I$69</f>
        <v>3</v>
      </c>
      <c r="H236" s="1630" t="s">
        <v>197</v>
      </c>
      <c r="I236" s="633">
        <f t="shared" ref="I236:I239" si="24">IF(G236="",D236*F236,(D236*F236/G236))</f>
        <v>1098</v>
      </c>
    </row>
    <row r="237" spans="1:9">
      <c r="A237" s="1629"/>
      <c r="B237" s="1630"/>
      <c r="C237" s="636" t="s">
        <v>2673</v>
      </c>
      <c r="D237" s="1630">
        <v>3</v>
      </c>
      <c r="E237" s="1630" t="s">
        <v>36</v>
      </c>
      <c r="F237" s="633">
        <f>'WS-SOR'!$G$79</f>
        <v>21</v>
      </c>
      <c r="G237" s="1630"/>
      <c r="H237" s="1630" t="s">
        <v>501</v>
      </c>
      <c r="I237" s="633">
        <f t="shared" si="24"/>
        <v>63</v>
      </c>
    </row>
    <row r="238" spans="1:9">
      <c r="A238" s="1629"/>
      <c r="B238" s="1630"/>
      <c r="C238" s="636" t="s">
        <v>2674</v>
      </c>
      <c r="D238" s="1630">
        <v>6</v>
      </c>
      <c r="E238" s="1630" t="s">
        <v>197</v>
      </c>
      <c r="F238" s="633">
        <f>'WS-SOR'!$H$83</f>
        <v>99</v>
      </c>
      <c r="G238" s="1630">
        <v>1</v>
      </c>
      <c r="H238" s="1630" t="s">
        <v>197</v>
      </c>
      <c r="I238" s="633">
        <f t="shared" si="24"/>
        <v>594</v>
      </c>
    </row>
    <row r="239" spans="1:9">
      <c r="A239" s="1629"/>
      <c r="B239" s="1630"/>
      <c r="C239" s="1630" t="str">
        <f>Input!C$47</f>
        <v>Add for MA @ 40%</v>
      </c>
      <c r="D239" s="1630">
        <f>Input!D47</f>
        <v>0.4</v>
      </c>
      <c r="E239" s="1630"/>
      <c r="F239" s="633">
        <f>I238</f>
        <v>594</v>
      </c>
      <c r="G239" s="1630"/>
      <c r="H239" s="1630"/>
      <c r="I239" s="633">
        <f t="shared" si="24"/>
        <v>237.60000000000002</v>
      </c>
    </row>
    <row r="240" spans="1:9">
      <c r="A240" s="1629"/>
      <c r="B240" s="1630"/>
      <c r="C240" s="1630"/>
      <c r="D240" s="1630"/>
      <c r="E240" s="1630"/>
      <c r="F240" s="633"/>
      <c r="G240" s="1630"/>
      <c r="H240" s="1630"/>
      <c r="I240" s="633">
        <f>SUM(I236:I239)</f>
        <v>1992.6</v>
      </c>
    </row>
    <row r="241" spans="1:9">
      <c r="A241" s="1629"/>
      <c r="B241" s="1630"/>
      <c r="C241" s="1630" t="s">
        <v>1288</v>
      </c>
      <c r="D241" s="1630"/>
      <c r="E241" s="1630"/>
      <c r="F241" s="633"/>
      <c r="G241" s="1630"/>
      <c r="H241" s="1630"/>
      <c r="I241" s="633">
        <f>ROUND(I240/6,2)</f>
        <v>332.1</v>
      </c>
    </row>
    <row r="242" spans="1:9">
      <c r="A242" s="1629"/>
      <c r="B242" s="1630"/>
      <c r="C242" s="1630" t="str">
        <f>Input!$C$48</f>
        <v>Overheads &amp; Contractors Profit @ 13.615%</v>
      </c>
      <c r="D242" s="1630">
        <f>Input!$D$48</f>
        <v>0.13614999999999999</v>
      </c>
      <c r="E242" s="1630"/>
      <c r="F242" s="633">
        <f>I241</f>
        <v>332.1</v>
      </c>
      <c r="G242" s="1630"/>
      <c r="H242" s="1630"/>
      <c r="I242" s="633">
        <f>IF(G242="",D242*F242,(D242*F242/G242))</f>
        <v>45.215415</v>
      </c>
    </row>
    <row r="243" spans="1:9">
      <c r="A243" s="1629"/>
      <c r="B243" s="1630"/>
      <c r="C243" s="1630"/>
      <c r="D243" s="1630"/>
      <c r="E243" s="1630"/>
      <c r="F243" s="633"/>
      <c r="G243" s="1630"/>
      <c r="H243" s="1630"/>
      <c r="I243" s="633">
        <f>SUM(I241:I242)</f>
        <v>377.31541500000003</v>
      </c>
    </row>
    <row r="244" spans="1:9">
      <c r="A244" s="1629"/>
      <c r="B244" s="1630"/>
      <c r="C244" s="1630"/>
      <c r="D244" s="1630"/>
      <c r="E244" s="1630"/>
      <c r="F244" s="633"/>
      <c r="G244" s="1630"/>
      <c r="H244" s="1630" t="s">
        <v>1511</v>
      </c>
      <c r="I244" s="635">
        <f>ROUND(I243,0)</f>
        <v>377</v>
      </c>
    </row>
    <row r="245" spans="1:9">
      <c r="A245" s="1629"/>
      <c r="B245" s="1630"/>
      <c r="C245" s="1630"/>
      <c r="D245" s="1630"/>
      <c r="E245" s="1630"/>
      <c r="F245" s="633"/>
      <c r="G245" s="1630"/>
      <c r="H245" s="1630"/>
      <c r="I245" s="633"/>
    </row>
    <row r="246" spans="1:9">
      <c r="A246" s="1629"/>
      <c r="B246" s="1630" t="s">
        <v>433</v>
      </c>
      <c r="C246" s="1630" t="s">
        <v>2414</v>
      </c>
      <c r="D246" s="1630"/>
      <c r="E246" s="1630"/>
      <c r="F246" s="633"/>
      <c r="G246" s="1630"/>
      <c r="H246" s="1630"/>
      <c r="I246" s="633"/>
    </row>
    <row r="247" spans="1:9">
      <c r="A247" s="1629"/>
      <c r="B247" s="1630"/>
      <c r="C247" s="1630" t="s">
        <v>2411</v>
      </c>
      <c r="D247" s="1630"/>
      <c r="E247" s="1630"/>
      <c r="F247" s="633"/>
      <c r="G247" s="1630"/>
      <c r="H247" s="1630"/>
      <c r="I247" s="633"/>
    </row>
    <row r="248" spans="1:9">
      <c r="A248" s="1629"/>
      <c r="B248" s="1630"/>
      <c r="C248" s="636" t="s">
        <v>2675</v>
      </c>
      <c r="D248" s="1630">
        <v>6</v>
      </c>
      <c r="E248" s="1630" t="s">
        <v>197</v>
      </c>
      <c r="F248" s="633">
        <f>'WS-SOR'!$G$70</f>
        <v>1306</v>
      </c>
      <c r="G248" s="1630">
        <f>'WS-SOR'!$I$69</f>
        <v>3</v>
      </c>
      <c r="H248" s="1630" t="s">
        <v>197</v>
      </c>
      <c r="I248" s="633">
        <f t="shared" ref="I248:I251" si="25">IF(G248="",D248*F248,(D248*F248/G248))</f>
        <v>2612</v>
      </c>
    </row>
    <row r="249" spans="1:9">
      <c r="A249" s="1629"/>
      <c r="B249" s="1630"/>
      <c r="C249" s="636" t="s">
        <v>2676</v>
      </c>
      <c r="D249" s="1630">
        <v>3</v>
      </c>
      <c r="E249" s="1630" t="s">
        <v>36</v>
      </c>
      <c r="F249" s="633">
        <f>'WS-SOR'!$G$80</f>
        <v>41</v>
      </c>
      <c r="G249" s="1630"/>
      <c r="H249" s="1630" t="s">
        <v>501</v>
      </c>
      <c r="I249" s="633">
        <f t="shared" si="25"/>
        <v>123</v>
      </c>
    </row>
    <row r="250" spans="1:9">
      <c r="A250" s="1629"/>
      <c r="B250" s="1630"/>
      <c r="C250" s="636" t="s">
        <v>2677</v>
      </c>
      <c r="D250" s="1630">
        <v>6</v>
      </c>
      <c r="E250" s="1630" t="s">
        <v>197</v>
      </c>
      <c r="F250" s="633">
        <f>'WS-SOR'!$H$83</f>
        <v>99</v>
      </c>
      <c r="G250" s="1630">
        <v>1</v>
      </c>
      <c r="H250" s="1630" t="s">
        <v>197</v>
      </c>
      <c r="I250" s="633">
        <f t="shared" si="25"/>
        <v>594</v>
      </c>
    </row>
    <row r="251" spans="1:9">
      <c r="A251" s="1629"/>
      <c r="B251" s="1630"/>
      <c r="C251" s="1630" t="str">
        <f>Input!C$47</f>
        <v>Add for MA @ 40%</v>
      </c>
      <c r="D251" s="1630">
        <f>Input!D47</f>
        <v>0.4</v>
      </c>
      <c r="E251" s="1630"/>
      <c r="F251" s="633">
        <f>I250</f>
        <v>594</v>
      </c>
      <c r="G251" s="1630"/>
      <c r="H251" s="1630"/>
      <c r="I251" s="633">
        <f t="shared" si="25"/>
        <v>237.60000000000002</v>
      </c>
    </row>
    <row r="252" spans="1:9">
      <c r="A252" s="1629"/>
      <c r="B252" s="1630"/>
      <c r="C252" s="1630"/>
      <c r="D252" s="1630"/>
      <c r="E252" s="1630"/>
      <c r="F252" s="633"/>
      <c r="G252" s="1630"/>
      <c r="H252" s="1630"/>
      <c r="I252" s="633">
        <f>SUM(I248:I251)</f>
        <v>3566.6</v>
      </c>
    </row>
    <row r="253" spans="1:9">
      <c r="A253" s="1629"/>
      <c r="B253" s="1630"/>
      <c r="C253" s="1630" t="s">
        <v>1288</v>
      </c>
      <c r="D253" s="1630"/>
      <c r="E253" s="1630"/>
      <c r="F253" s="633"/>
      <c r="G253" s="1630"/>
      <c r="H253" s="1630"/>
      <c r="I253" s="633">
        <f>ROUND(I252/6,2)</f>
        <v>594.42999999999995</v>
      </c>
    </row>
    <row r="254" spans="1:9">
      <c r="A254" s="1629"/>
      <c r="B254" s="1630"/>
      <c r="C254" s="1630" t="str">
        <f>Input!$C$48</f>
        <v>Overheads &amp; Contractors Profit @ 13.615%</v>
      </c>
      <c r="D254" s="1630">
        <f>Input!$D$48</f>
        <v>0.13614999999999999</v>
      </c>
      <c r="E254" s="1630"/>
      <c r="F254" s="633">
        <f>I253</f>
        <v>594.42999999999995</v>
      </c>
      <c r="G254" s="1630"/>
      <c r="H254" s="1630"/>
      <c r="I254" s="633">
        <f>IF(G254="",D254*F254,(D254*F254/G254))</f>
        <v>80.93164449999999</v>
      </c>
    </row>
    <row r="255" spans="1:9">
      <c r="A255" s="1629"/>
      <c r="B255" s="1630"/>
      <c r="C255" s="1630"/>
      <c r="D255" s="1630"/>
      <c r="E255" s="1630"/>
      <c r="F255" s="633"/>
      <c r="G255" s="1630"/>
      <c r="H255" s="1630"/>
      <c r="I255" s="633">
        <f>SUM(I253:I254)</f>
        <v>675.3616444999999</v>
      </c>
    </row>
    <row r="256" spans="1:9">
      <c r="A256" s="1629"/>
      <c r="B256" s="1630"/>
      <c r="C256" s="1630"/>
      <c r="D256" s="1630"/>
      <c r="E256" s="1630"/>
      <c r="F256" s="633"/>
      <c r="G256" s="1630"/>
      <c r="H256" s="1630" t="s">
        <v>1511</v>
      </c>
      <c r="I256" s="635">
        <f>ROUND(I255,0)</f>
        <v>675</v>
      </c>
    </row>
    <row r="257" spans="1:9">
      <c r="A257" s="1629"/>
      <c r="B257" s="1630"/>
      <c r="C257" s="1630"/>
      <c r="D257" s="1630"/>
      <c r="E257" s="1630"/>
      <c r="F257" s="633"/>
      <c r="G257" s="1630"/>
      <c r="H257" s="1630"/>
      <c r="I257" s="633"/>
    </row>
    <row r="258" spans="1:9" ht="82.15" customHeight="1">
      <c r="A258" s="1629">
        <f>A209+1</f>
        <v>18</v>
      </c>
      <c r="B258" s="1630"/>
      <c r="C258" s="2113" t="s">
        <v>2678</v>
      </c>
      <c r="D258" s="2113"/>
      <c r="E258" s="2113"/>
      <c r="F258" s="2113"/>
      <c r="G258" s="2113"/>
      <c r="H258" s="2113"/>
      <c r="I258" s="633"/>
    </row>
    <row r="259" spans="1:9">
      <c r="A259" s="1629"/>
      <c r="B259" s="1630" t="s">
        <v>294</v>
      </c>
      <c r="C259" s="1630" t="s">
        <v>2415</v>
      </c>
      <c r="D259" s="1630"/>
      <c r="E259" s="1630"/>
      <c r="F259" s="633"/>
      <c r="G259" s="1630"/>
      <c r="H259" s="1630"/>
      <c r="I259" s="633"/>
    </row>
    <row r="260" spans="1:9">
      <c r="A260" s="1629"/>
      <c r="B260" s="1630"/>
      <c r="C260" s="636" t="s">
        <v>2679</v>
      </c>
      <c r="D260" s="1630">
        <v>1</v>
      </c>
      <c r="E260" s="1630" t="s">
        <v>39</v>
      </c>
      <c r="F260" s="633">
        <f>'WS-SOR'!$G$94</f>
        <v>149</v>
      </c>
      <c r="G260" s="1630"/>
      <c r="H260" s="1630" t="s">
        <v>501</v>
      </c>
      <c r="I260" s="633">
        <f t="shared" ref="I260:I261" si="26">IF(G260="",D260*F260,(D260*F260/G260))</f>
        <v>149</v>
      </c>
    </row>
    <row r="261" spans="1:9">
      <c r="A261" s="1629"/>
      <c r="B261" s="1630"/>
      <c r="C261" s="1630" t="str">
        <f>Input!$C$48</f>
        <v>Overheads &amp; Contractors Profit @ 13.615%</v>
      </c>
      <c r="D261" s="1630">
        <f>Input!$D$48</f>
        <v>0.13614999999999999</v>
      </c>
      <c r="E261" s="1630"/>
      <c r="F261" s="633">
        <f>I260</f>
        <v>149</v>
      </c>
      <c r="G261" s="1630"/>
      <c r="H261" s="1630"/>
      <c r="I261" s="633">
        <f t="shared" si="26"/>
        <v>20.286349999999999</v>
      </c>
    </row>
    <row r="262" spans="1:9">
      <c r="A262" s="1629"/>
      <c r="B262" s="1630"/>
      <c r="C262" s="1630" t="s">
        <v>1288</v>
      </c>
      <c r="D262" s="1630"/>
      <c r="E262" s="1630"/>
      <c r="F262" s="633"/>
      <c r="G262" s="1630"/>
      <c r="H262" s="1630"/>
      <c r="I262" s="633">
        <f>SUM(I260:I261)</f>
        <v>169.28635</v>
      </c>
    </row>
    <row r="263" spans="1:9">
      <c r="A263" s="1629"/>
      <c r="B263" s="1630"/>
      <c r="C263" s="1630"/>
      <c r="D263" s="1630"/>
      <c r="E263" s="1630"/>
      <c r="F263" s="633"/>
      <c r="G263" s="1630"/>
      <c r="H263" s="1630" t="s">
        <v>1511</v>
      </c>
      <c r="I263" s="633">
        <f>ROUND(I262,0)</f>
        <v>169</v>
      </c>
    </row>
    <row r="264" spans="1:9">
      <c r="A264" s="1629"/>
      <c r="B264" s="1630"/>
      <c r="C264" s="1630"/>
      <c r="D264" s="1630"/>
      <c r="E264" s="1630"/>
      <c r="F264" s="633"/>
      <c r="G264" s="1630"/>
      <c r="H264" s="1630"/>
      <c r="I264" s="633"/>
    </row>
    <row r="265" spans="1:9">
      <c r="A265" s="1629"/>
      <c r="B265" s="1630" t="s">
        <v>297</v>
      </c>
      <c r="C265" s="1858" t="s">
        <v>2416</v>
      </c>
      <c r="D265" s="1630"/>
      <c r="E265" s="1630"/>
      <c r="F265" s="633"/>
      <c r="G265" s="1630"/>
      <c r="H265" s="1630"/>
      <c r="I265" s="633"/>
    </row>
    <row r="266" spans="1:9">
      <c r="A266" s="1629"/>
      <c r="B266" s="1630"/>
      <c r="C266" s="636" t="s">
        <v>2680</v>
      </c>
      <c r="D266" s="1630">
        <v>1</v>
      </c>
      <c r="E266" s="1630" t="s">
        <v>39</v>
      </c>
      <c r="F266" s="633">
        <f>'WS-SOR'!$G$95</f>
        <v>171</v>
      </c>
      <c r="G266" s="1630"/>
      <c r="H266" s="1630" t="s">
        <v>501</v>
      </c>
      <c r="I266" s="633">
        <f t="shared" ref="I266:I267" si="27">IF(G266="",D266*F266,(D266*F266/G266))</f>
        <v>171</v>
      </c>
    </row>
    <row r="267" spans="1:9">
      <c r="A267" s="1629"/>
      <c r="B267" s="1630"/>
      <c r="C267" s="1630" t="str">
        <f>Input!$C$48</f>
        <v>Overheads &amp; Contractors Profit @ 13.615%</v>
      </c>
      <c r="D267" s="1630">
        <f>Input!$D$48</f>
        <v>0.13614999999999999</v>
      </c>
      <c r="E267" s="1630"/>
      <c r="F267" s="633">
        <f>I266</f>
        <v>171</v>
      </c>
      <c r="G267" s="1630"/>
      <c r="H267" s="1630"/>
      <c r="I267" s="633">
        <f t="shared" si="27"/>
        <v>23.281649999999999</v>
      </c>
    </row>
    <row r="268" spans="1:9">
      <c r="A268" s="1629"/>
      <c r="B268" s="1630"/>
      <c r="C268" s="1630" t="s">
        <v>1288</v>
      </c>
      <c r="D268" s="1630"/>
      <c r="E268" s="1630"/>
      <c r="F268" s="633"/>
      <c r="G268" s="1630"/>
      <c r="H268" s="1630"/>
      <c r="I268" s="633">
        <f>SUM(I266:I267)</f>
        <v>194.28165000000001</v>
      </c>
    </row>
    <row r="269" spans="1:9">
      <c r="A269" s="1629"/>
      <c r="B269" s="1630"/>
      <c r="C269" s="1630"/>
      <c r="D269" s="1630"/>
      <c r="E269" s="1630"/>
      <c r="F269" s="633"/>
      <c r="G269" s="1630"/>
      <c r="H269" s="1630" t="s">
        <v>1511</v>
      </c>
      <c r="I269" s="633">
        <f>ROUND(I268,0)</f>
        <v>194</v>
      </c>
    </row>
    <row r="270" spans="1:9">
      <c r="A270" s="1629"/>
      <c r="B270" s="1630"/>
      <c r="C270" s="1630"/>
      <c r="D270" s="1630"/>
      <c r="E270" s="1630"/>
      <c r="F270" s="633"/>
      <c r="G270" s="1630"/>
      <c r="H270" s="1630"/>
      <c r="I270" s="633"/>
    </row>
    <row r="271" spans="1:9">
      <c r="A271" s="1629"/>
      <c r="B271" s="1630" t="s">
        <v>430</v>
      </c>
      <c r="C271" s="1630" t="s">
        <v>2417</v>
      </c>
      <c r="D271" s="1630"/>
      <c r="E271" s="1630"/>
      <c r="F271" s="633"/>
      <c r="G271" s="1630"/>
      <c r="H271" s="1630"/>
      <c r="I271" s="633"/>
    </row>
    <row r="272" spans="1:9">
      <c r="A272" s="1629"/>
      <c r="B272" s="1630"/>
      <c r="C272" s="636" t="s">
        <v>2681</v>
      </c>
      <c r="D272" s="1630">
        <v>1</v>
      </c>
      <c r="E272" s="1630" t="s">
        <v>39</v>
      </c>
      <c r="F272" s="633">
        <f>'WS-SOR'!$G$96</f>
        <v>226</v>
      </c>
      <c r="G272" s="1630"/>
      <c r="H272" s="1630" t="s">
        <v>501</v>
      </c>
      <c r="I272" s="633">
        <f t="shared" ref="I272:I273" si="28">IF(G272="",D272*F272,(D272*F272/G272))</f>
        <v>226</v>
      </c>
    </row>
    <row r="273" spans="1:9">
      <c r="A273" s="1629"/>
      <c r="B273" s="1630"/>
      <c r="C273" s="1630" t="str">
        <f>Input!$C$48</f>
        <v>Overheads &amp; Contractors Profit @ 13.615%</v>
      </c>
      <c r="D273" s="1630">
        <f>Input!$D$48</f>
        <v>0.13614999999999999</v>
      </c>
      <c r="E273" s="1630"/>
      <c r="F273" s="633">
        <f>I272</f>
        <v>226</v>
      </c>
      <c r="G273" s="1630"/>
      <c r="H273" s="1630"/>
      <c r="I273" s="633">
        <f t="shared" si="28"/>
        <v>30.7699</v>
      </c>
    </row>
    <row r="274" spans="1:9">
      <c r="A274" s="1629"/>
      <c r="B274" s="1630"/>
      <c r="C274" s="1630" t="s">
        <v>1288</v>
      </c>
      <c r="D274" s="1630"/>
      <c r="E274" s="1630"/>
      <c r="F274" s="633"/>
      <c r="G274" s="1630"/>
      <c r="H274" s="1630"/>
      <c r="I274" s="633">
        <f>SUM(I272:I273)</f>
        <v>256.76990000000001</v>
      </c>
    </row>
    <row r="275" spans="1:9">
      <c r="A275" s="1629"/>
      <c r="B275" s="1630"/>
      <c r="C275" s="1630"/>
      <c r="D275" s="1630"/>
      <c r="E275" s="1630"/>
      <c r="F275" s="633"/>
      <c r="G275" s="1630"/>
      <c r="H275" s="1630" t="s">
        <v>1511</v>
      </c>
      <c r="I275" s="633">
        <f>ROUND(I274,0)</f>
        <v>257</v>
      </c>
    </row>
    <row r="276" spans="1:9">
      <c r="A276" s="1629"/>
      <c r="B276" s="1630"/>
      <c r="C276" s="1630"/>
      <c r="D276" s="1630"/>
      <c r="E276" s="1630"/>
      <c r="F276" s="633"/>
      <c r="G276" s="1630"/>
      <c r="H276" s="1630"/>
      <c r="I276" s="633"/>
    </row>
    <row r="277" spans="1:9">
      <c r="A277" s="1629"/>
      <c r="B277" s="1630" t="s">
        <v>433</v>
      </c>
      <c r="C277" s="1653" t="s">
        <v>2418</v>
      </c>
      <c r="D277" s="1630"/>
      <c r="E277" s="1630"/>
      <c r="F277" s="633"/>
      <c r="G277" s="1630"/>
      <c r="H277" s="1630"/>
      <c r="I277" s="633"/>
    </row>
    <row r="278" spans="1:9">
      <c r="A278" s="1629"/>
      <c r="B278" s="1630"/>
      <c r="C278" s="636" t="s">
        <v>2682</v>
      </c>
      <c r="D278" s="1630">
        <v>1</v>
      </c>
      <c r="E278" s="1630" t="s">
        <v>39</v>
      </c>
      <c r="F278" s="633">
        <f>'WS-SOR'!$G$97</f>
        <v>308</v>
      </c>
      <c r="G278" s="1630"/>
      <c r="H278" s="1630" t="s">
        <v>501</v>
      </c>
      <c r="I278" s="633">
        <f t="shared" ref="I278:I279" si="29">IF(G278="",D278*F278,(D278*F278/G278))</f>
        <v>308</v>
      </c>
    </row>
    <row r="279" spans="1:9">
      <c r="A279" s="1629"/>
      <c r="B279" s="1630"/>
      <c r="C279" s="1630" t="str">
        <f>Input!$C$48</f>
        <v>Overheads &amp; Contractors Profit @ 13.615%</v>
      </c>
      <c r="D279" s="1630">
        <f>Input!$D$48</f>
        <v>0.13614999999999999</v>
      </c>
      <c r="E279" s="1630"/>
      <c r="F279" s="633">
        <f>I278</f>
        <v>308</v>
      </c>
      <c r="G279" s="1630"/>
      <c r="H279" s="1630"/>
      <c r="I279" s="633">
        <f t="shared" si="29"/>
        <v>41.934199999999997</v>
      </c>
    </row>
    <row r="280" spans="1:9">
      <c r="A280" s="1629"/>
      <c r="B280" s="1630"/>
      <c r="C280" s="1630" t="s">
        <v>1288</v>
      </c>
      <c r="D280" s="1630"/>
      <c r="E280" s="1630"/>
      <c r="F280" s="633"/>
      <c r="G280" s="1630"/>
      <c r="H280" s="1630"/>
      <c r="I280" s="633">
        <f>SUM(I278:I279)</f>
        <v>349.93419999999998</v>
      </c>
    </row>
    <row r="281" spans="1:9">
      <c r="A281" s="1629"/>
      <c r="B281" s="1630"/>
      <c r="C281" s="1630"/>
      <c r="D281" s="1630"/>
      <c r="E281" s="1630"/>
      <c r="F281" s="633"/>
      <c r="G281" s="1630"/>
      <c r="H281" s="1630" t="s">
        <v>1511</v>
      </c>
      <c r="I281" s="633">
        <f>ROUND(I280,0)</f>
        <v>350</v>
      </c>
    </row>
    <row r="282" spans="1:9">
      <c r="A282" s="1629"/>
      <c r="B282" s="1630"/>
      <c r="C282" s="1630"/>
      <c r="D282" s="1630"/>
      <c r="E282" s="1630"/>
      <c r="F282" s="633"/>
      <c r="G282" s="1630"/>
      <c r="H282" s="1630"/>
      <c r="I282" s="633"/>
    </row>
    <row r="283" spans="1:9">
      <c r="A283" s="1629"/>
      <c r="B283" s="1630" t="s">
        <v>436</v>
      </c>
      <c r="C283" s="1630" t="s">
        <v>2419</v>
      </c>
      <c r="D283" s="1630"/>
      <c r="E283" s="1630"/>
      <c r="F283" s="633"/>
      <c r="G283" s="1630"/>
      <c r="H283" s="1630"/>
      <c r="I283" s="633"/>
    </row>
    <row r="284" spans="1:9">
      <c r="A284" s="1629"/>
      <c r="B284" s="1630"/>
      <c r="C284" s="636" t="s">
        <v>2683</v>
      </c>
      <c r="D284" s="1630">
        <v>1</v>
      </c>
      <c r="E284" s="1630" t="s">
        <v>39</v>
      </c>
      <c r="F284" s="633">
        <f>'WS-SOR'!$G$98</f>
        <v>382</v>
      </c>
      <c r="G284" s="1630"/>
      <c r="H284" s="1630" t="s">
        <v>501</v>
      </c>
      <c r="I284" s="633">
        <f t="shared" ref="I284:I285" si="30">IF(G284="",D284*F284,(D284*F284/G284))</f>
        <v>382</v>
      </c>
    </row>
    <row r="285" spans="1:9">
      <c r="A285" s="1629"/>
      <c r="B285" s="1630"/>
      <c r="C285" s="1630" t="str">
        <f>Input!$C$48</f>
        <v>Overheads &amp; Contractors Profit @ 13.615%</v>
      </c>
      <c r="D285" s="1630">
        <f>Input!$D$48</f>
        <v>0.13614999999999999</v>
      </c>
      <c r="E285" s="1630"/>
      <c r="F285" s="633">
        <f>I284</f>
        <v>382</v>
      </c>
      <c r="G285" s="1630"/>
      <c r="H285" s="1630"/>
      <c r="I285" s="633">
        <f t="shared" si="30"/>
        <v>52.009299999999996</v>
      </c>
    </row>
    <row r="286" spans="1:9">
      <c r="A286" s="1629"/>
      <c r="B286" s="1630"/>
      <c r="C286" s="1630" t="s">
        <v>1288</v>
      </c>
      <c r="D286" s="1630"/>
      <c r="E286" s="1630"/>
      <c r="F286" s="633"/>
      <c r="G286" s="1630"/>
      <c r="H286" s="1630"/>
      <c r="I286" s="633">
        <f>SUM(I284:I285)</f>
        <v>434.0093</v>
      </c>
    </row>
    <row r="287" spans="1:9">
      <c r="A287" s="1629"/>
      <c r="B287" s="1630"/>
      <c r="C287" s="1630"/>
      <c r="D287" s="1630"/>
      <c r="E287" s="1630"/>
      <c r="F287" s="633"/>
      <c r="G287" s="1630"/>
      <c r="H287" s="1630" t="s">
        <v>1511</v>
      </c>
      <c r="I287" s="633">
        <f>ROUND(I286,0)</f>
        <v>434</v>
      </c>
    </row>
    <row r="288" spans="1:9">
      <c r="A288" s="1629"/>
      <c r="B288" s="1630"/>
      <c r="C288" s="1630"/>
      <c r="D288" s="1630"/>
      <c r="E288" s="1630"/>
      <c r="F288" s="633"/>
      <c r="G288" s="1630"/>
      <c r="H288" s="1630"/>
      <c r="I288" s="633"/>
    </row>
    <row r="289" spans="1:9">
      <c r="A289" s="1629"/>
      <c r="B289" s="1630" t="s">
        <v>439</v>
      </c>
      <c r="C289" s="1630" t="s">
        <v>2420</v>
      </c>
      <c r="D289" s="1630"/>
      <c r="E289" s="1630"/>
      <c r="F289" s="633"/>
      <c r="G289" s="1630"/>
      <c r="H289" s="1630"/>
      <c r="I289" s="633"/>
    </row>
    <row r="290" spans="1:9">
      <c r="A290" s="1629"/>
      <c r="B290" s="1630"/>
      <c r="C290" s="636" t="s">
        <v>2684</v>
      </c>
      <c r="D290" s="1630">
        <v>1</v>
      </c>
      <c r="E290" s="1630" t="s">
        <v>39</v>
      </c>
      <c r="F290" s="633">
        <f>'WS-SOR'!$G$99</f>
        <v>556</v>
      </c>
      <c r="G290" s="1630"/>
      <c r="H290" s="1630" t="s">
        <v>501</v>
      </c>
      <c r="I290" s="633">
        <f t="shared" ref="I290:I291" si="31">IF(G290="",D290*F290,(D290*F290/G290))</f>
        <v>556</v>
      </c>
    </row>
    <row r="291" spans="1:9">
      <c r="A291" s="1629"/>
      <c r="B291" s="1630"/>
      <c r="C291" s="1630" t="str">
        <f>Input!$C$48</f>
        <v>Overheads &amp; Contractors Profit @ 13.615%</v>
      </c>
      <c r="D291" s="1630">
        <f>Input!$D$48</f>
        <v>0.13614999999999999</v>
      </c>
      <c r="E291" s="1630"/>
      <c r="F291" s="633">
        <f>I290</f>
        <v>556</v>
      </c>
      <c r="G291" s="1630"/>
      <c r="H291" s="1630"/>
      <c r="I291" s="633">
        <f t="shared" si="31"/>
        <v>75.699399999999997</v>
      </c>
    </row>
    <row r="292" spans="1:9">
      <c r="A292" s="1629"/>
      <c r="B292" s="1630"/>
      <c r="C292" s="1630" t="s">
        <v>1288</v>
      </c>
      <c r="D292" s="1630"/>
      <c r="E292" s="1630"/>
      <c r="F292" s="633"/>
      <c r="G292" s="1630"/>
      <c r="H292" s="1630"/>
      <c r="I292" s="633">
        <f>SUM(I290:I291)</f>
        <v>631.69939999999997</v>
      </c>
    </row>
    <row r="293" spans="1:9">
      <c r="A293" s="1629"/>
      <c r="B293" s="1630"/>
      <c r="C293" s="1630"/>
      <c r="D293" s="1630"/>
      <c r="E293" s="1630"/>
      <c r="F293" s="633"/>
      <c r="G293" s="1630"/>
      <c r="H293" s="1630" t="s">
        <v>1511</v>
      </c>
      <c r="I293" s="633">
        <f>ROUND(I292,0)</f>
        <v>632</v>
      </c>
    </row>
    <row r="294" spans="1:9">
      <c r="A294" s="1629"/>
      <c r="B294" s="1630"/>
      <c r="C294" s="1630"/>
      <c r="D294" s="1630"/>
      <c r="E294" s="1630"/>
      <c r="F294" s="633"/>
      <c r="G294" s="1630"/>
      <c r="H294" s="1630"/>
      <c r="I294" s="633"/>
    </row>
    <row r="295" spans="1:9" ht="82.15" customHeight="1">
      <c r="A295" s="1629">
        <f>+A258+1</f>
        <v>19</v>
      </c>
      <c r="B295" s="1630"/>
      <c r="C295" s="2113" t="s">
        <v>2685</v>
      </c>
      <c r="D295" s="2113"/>
      <c r="E295" s="2113"/>
      <c r="F295" s="2113"/>
      <c r="G295" s="2113"/>
      <c r="H295" s="2113"/>
      <c r="I295" s="633"/>
    </row>
    <row r="296" spans="1:9">
      <c r="A296" s="1629"/>
      <c r="B296" s="1630" t="s">
        <v>294</v>
      </c>
      <c r="C296" s="1630" t="s">
        <v>2415</v>
      </c>
      <c r="D296" s="1630"/>
      <c r="E296" s="1630"/>
      <c r="F296" s="633"/>
      <c r="G296" s="1630"/>
      <c r="H296" s="1630"/>
      <c r="I296" s="633"/>
    </row>
    <row r="297" spans="1:9">
      <c r="A297" s="1629"/>
      <c r="B297" s="1630"/>
      <c r="C297" s="636" t="s">
        <v>2686</v>
      </c>
      <c r="D297" s="1630">
        <v>1</v>
      </c>
      <c r="E297" s="1630" t="s">
        <v>39</v>
      </c>
      <c r="F297" s="633">
        <f>'WS-SOR'!$G$100</f>
        <v>166</v>
      </c>
      <c r="G297" s="1630"/>
      <c r="H297" s="1630" t="s">
        <v>501</v>
      </c>
      <c r="I297" s="633">
        <f t="shared" ref="I297:I298" si="32">IF(G297="",D297*F297,(D297*F297/G297))</f>
        <v>166</v>
      </c>
    </row>
    <row r="298" spans="1:9">
      <c r="A298" s="1629"/>
      <c r="B298" s="1630"/>
      <c r="C298" s="1630" t="str">
        <f>Input!$C$48</f>
        <v>Overheads &amp; Contractors Profit @ 13.615%</v>
      </c>
      <c r="D298" s="1630">
        <f>Input!$D$48</f>
        <v>0.13614999999999999</v>
      </c>
      <c r="E298" s="1630"/>
      <c r="F298" s="633">
        <f>I297</f>
        <v>166</v>
      </c>
      <c r="G298" s="1630"/>
      <c r="H298" s="1630"/>
      <c r="I298" s="633">
        <f t="shared" si="32"/>
        <v>22.600899999999999</v>
      </c>
    </row>
    <row r="299" spans="1:9">
      <c r="A299" s="1629"/>
      <c r="B299" s="1630"/>
      <c r="C299" s="1630" t="s">
        <v>1288</v>
      </c>
      <c r="D299" s="1630"/>
      <c r="E299" s="1630"/>
      <c r="F299" s="633"/>
      <c r="G299" s="1630"/>
      <c r="H299" s="1630"/>
      <c r="I299" s="633">
        <f>SUM(I297:I298)</f>
        <v>188.6009</v>
      </c>
    </row>
    <row r="300" spans="1:9">
      <c r="A300" s="1629"/>
      <c r="B300" s="1630"/>
      <c r="C300" s="1630"/>
      <c r="D300" s="1630"/>
      <c r="E300" s="1630"/>
      <c r="F300" s="633"/>
      <c r="G300" s="1630"/>
      <c r="H300" s="1630" t="s">
        <v>1511</v>
      </c>
      <c r="I300" s="635">
        <f>ROUND(I299,0)</f>
        <v>189</v>
      </c>
    </row>
    <row r="301" spans="1:9">
      <c r="A301" s="1629"/>
      <c r="B301" s="1630"/>
      <c r="C301" s="1630"/>
      <c r="D301" s="1630"/>
      <c r="E301" s="1630"/>
      <c r="F301" s="633"/>
      <c r="G301" s="1630"/>
      <c r="H301" s="1630"/>
      <c r="I301" s="633"/>
    </row>
    <row r="302" spans="1:9">
      <c r="A302" s="1629"/>
      <c r="B302" s="1630" t="s">
        <v>297</v>
      </c>
      <c r="C302" s="1630" t="s">
        <v>2416</v>
      </c>
      <c r="D302" s="1630"/>
      <c r="E302" s="1630"/>
      <c r="F302" s="633"/>
      <c r="G302" s="1630"/>
      <c r="H302" s="1630"/>
      <c r="I302" s="633"/>
    </row>
    <row r="303" spans="1:9">
      <c r="A303" s="1629"/>
      <c r="B303" s="1630"/>
      <c r="C303" s="636" t="s">
        <v>2687</v>
      </c>
      <c r="D303" s="1630">
        <v>1</v>
      </c>
      <c r="E303" s="1630" t="s">
        <v>39</v>
      </c>
      <c r="F303" s="633">
        <f>'WS-SOR'!$G$101</f>
        <v>201</v>
      </c>
      <c r="G303" s="1630"/>
      <c r="H303" s="1630" t="s">
        <v>501</v>
      </c>
      <c r="I303" s="633">
        <f t="shared" ref="I303:I304" si="33">IF(G303="",D303*F303,(D303*F303/G303))</f>
        <v>201</v>
      </c>
    </row>
    <row r="304" spans="1:9">
      <c r="A304" s="1629"/>
      <c r="B304" s="1630"/>
      <c r="C304" s="1630" t="str">
        <f>Input!$C$48</f>
        <v>Overheads &amp; Contractors Profit @ 13.615%</v>
      </c>
      <c r="D304" s="1630">
        <f>Input!$D$48</f>
        <v>0.13614999999999999</v>
      </c>
      <c r="E304" s="1630"/>
      <c r="F304" s="633">
        <f>I303</f>
        <v>201</v>
      </c>
      <c r="G304" s="1630"/>
      <c r="H304" s="1630"/>
      <c r="I304" s="633">
        <f t="shared" si="33"/>
        <v>27.366149999999998</v>
      </c>
    </row>
    <row r="305" spans="1:9">
      <c r="A305" s="1629"/>
      <c r="B305" s="1630"/>
      <c r="C305" s="1630" t="s">
        <v>1288</v>
      </c>
      <c r="D305" s="1630"/>
      <c r="E305" s="1630"/>
      <c r="F305" s="633"/>
      <c r="G305" s="1630"/>
      <c r="H305" s="1630"/>
      <c r="I305" s="633">
        <f>SUM(I303:I304)</f>
        <v>228.36615</v>
      </c>
    </row>
    <row r="306" spans="1:9">
      <c r="A306" s="1629"/>
      <c r="B306" s="1630"/>
      <c r="C306" s="1630"/>
      <c r="D306" s="1630"/>
      <c r="E306" s="1630"/>
      <c r="F306" s="633"/>
      <c r="G306" s="1630"/>
      <c r="H306" s="1630" t="s">
        <v>1511</v>
      </c>
      <c r="I306" s="635">
        <f>ROUND(I305,0)</f>
        <v>228</v>
      </c>
    </row>
    <row r="307" spans="1:9">
      <c r="A307" s="1629"/>
      <c r="B307" s="1630"/>
      <c r="C307" s="1630"/>
      <c r="D307" s="1630"/>
      <c r="E307" s="1630"/>
      <c r="F307" s="633"/>
      <c r="G307" s="1630"/>
      <c r="H307" s="1630"/>
      <c r="I307" s="633"/>
    </row>
    <row r="308" spans="1:9">
      <c r="A308" s="1629"/>
      <c r="B308" s="1630" t="s">
        <v>430</v>
      </c>
      <c r="C308" s="1630" t="s">
        <v>2417</v>
      </c>
      <c r="D308" s="1630"/>
      <c r="E308" s="1630"/>
      <c r="F308" s="633"/>
      <c r="G308" s="1630"/>
      <c r="H308" s="1630"/>
      <c r="I308" s="633"/>
    </row>
    <row r="309" spans="1:9">
      <c r="A309" s="1629"/>
      <c r="B309" s="1630"/>
      <c r="C309" s="636" t="s">
        <v>2688</v>
      </c>
      <c r="D309" s="1630">
        <v>1</v>
      </c>
      <c r="E309" s="1630" t="s">
        <v>39</v>
      </c>
      <c r="F309" s="633">
        <f>'WS-SOR'!$G$102</f>
        <v>241</v>
      </c>
      <c r="G309" s="1630"/>
      <c r="H309" s="1630" t="s">
        <v>501</v>
      </c>
      <c r="I309" s="633">
        <f t="shared" ref="I309:I310" si="34">IF(G309="",D309*F309,(D309*F309/G309))</f>
        <v>241</v>
      </c>
    </row>
    <row r="310" spans="1:9">
      <c r="A310" s="1629"/>
      <c r="B310" s="1630"/>
      <c r="C310" s="1630" t="str">
        <f>Input!$C$48</f>
        <v>Overheads &amp; Contractors Profit @ 13.615%</v>
      </c>
      <c r="D310" s="1630">
        <f>Input!$D$48</f>
        <v>0.13614999999999999</v>
      </c>
      <c r="E310" s="1630"/>
      <c r="F310" s="633">
        <f>I309</f>
        <v>241</v>
      </c>
      <c r="G310" s="1630"/>
      <c r="H310" s="1630"/>
      <c r="I310" s="633">
        <f t="shared" si="34"/>
        <v>32.812149999999995</v>
      </c>
    </row>
    <row r="311" spans="1:9">
      <c r="A311" s="1629"/>
      <c r="B311" s="1630"/>
      <c r="C311" s="1630" t="s">
        <v>1288</v>
      </c>
      <c r="D311" s="1630"/>
      <c r="E311" s="1630"/>
      <c r="F311" s="633"/>
      <c r="G311" s="1630"/>
      <c r="H311" s="1630"/>
      <c r="I311" s="633">
        <f>SUM(I309:I310)</f>
        <v>273.81214999999997</v>
      </c>
    </row>
    <row r="312" spans="1:9">
      <c r="A312" s="1629"/>
      <c r="B312" s="1630"/>
      <c r="C312" s="1630"/>
      <c r="D312" s="1630"/>
      <c r="E312" s="1630"/>
      <c r="F312" s="633"/>
      <c r="G312" s="1630"/>
      <c r="H312" s="1630" t="s">
        <v>1511</v>
      </c>
      <c r="I312" s="633">
        <f>ROUND(I311,0)</f>
        <v>274</v>
      </c>
    </row>
    <row r="313" spans="1:9">
      <c r="A313" s="1629"/>
      <c r="B313" s="1630"/>
      <c r="C313" s="1630"/>
      <c r="D313" s="1630"/>
      <c r="E313" s="1630"/>
      <c r="F313" s="633"/>
      <c r="G313" s="1630"/>
      <c r="H313" s="1630"/>
      <c r="I313" s="633"/>
    </row>
    <row r="314" spans="1:9">
      <c r="A314" s="1629"/>
      <c r="B314" s="1630" t="s">
        <v>433</v>
      </c>
      <c r="C314" s="1641" t="s">
        <v>2418</v>
      </c>
      <c r="D314" s="1630"/>
      <c r="E314" s="1630"/>
      <c r="F314" s="633"/>
      <c r="G314" s="1630"/>
      <c r="H314" s="1630"/>
      <c r="I314" s="633"/>
    </row>
    <row r="315" spans="1:9">
      <c r="A315" s="1629"/>
      <c r="B315" s="1630"/>
      <c r="C315" s="636" t="s">
        <v>2689</v>
      </c>
      <c r="D315" s="1630">
        <v>1</v>
      </c>
      <c r="E315" s="1630" t="s">
        <v>39</v>
      </c>
      <c r="F315" s="633">
        <f>'WS-SOR'!$G$103</f>
        <v>328</v>
      </c>
      <c r="G315" s="1630"/>
      <c r="H315" s="1630" t="s">
        <v>501</v>
      </c>
      <c r="I315" s="633">
        <f t="shared" ref="I315:I316" si="35">IF(G315="",D315*F315,(D315*F315/G315))</f>
        <v>328</v>
      </c>
    </row>
    <row r="316" spans="1:9">
      <c r="A316" s="1629"/>
      <c r="B316" s="1630"/>
      <c r="C316" s="1630" t="str">
        <f>Input!$C$48</f>
        <v>Overheads &amp; Contractors Profit @ 13.615%</v>
      </c>
      <c r="D316" s="1630">
        <f>Input!$D$48</f>
        <v>0.13614999999999999</v>
      </c>
      <c r="E316" s="1630"/>
      <c r="F316" s="633">
        <f>I315</f>
        <v>328</v>
      </c>
      <c r="G316" s="1630"/>
      <c r="H316" s="1630"/>
      <c r="I316" s="633">
        <f t="shared" si="35"/>
        <v>44.657199999999996</v>
      </c>
    </row>
    <row r="317" spans="1:9">
      <c r="A317" s="1629"/>
      <c r="B317" s="1630"/>
      <c r="C317" s="1630" t="s">
        <v>1288</v>
      </c>
      <c r="D317" s="1630"/>
      <c r="E317" s="1630"/>
      <c r="F317" s="633"/>
      <c r="G317" s="1630"/>
      <c r="H317" s="1630"/>
      <c r="I317" s="633">
        <f>SUM(I315:I316)</f>
        <v>372.65719999999999</v>
      </c>
    </row>
    <row r="318" spans="1:9">
      <c r="A318" s="1629"/>
      <c r="B318" s="1630"/>
      <c r="C318" s="1630"/>
      <c r="D318" s="1630"/>
      <c r="E318" s="1630"/>
      <c r="F318" s="633"/>
      <c r="G318" s="1630"/>
      <c r="H318" s="1630" t="s">
        <v>1511</v>
      </c>
      <c r="I318" s="633">
        <f>ROUND(I317,0)</f>
        <v>373</v>
      </c>
    </row>
    <row r="319" spans="1:9">
      <c r="A319" s="1629"/>
      <c r="B319" s="1630"/>
      <c r="C319" s="1630"/>
      <c r="D319" s="1630"/>
      <c r="E319" s="1630"/>
      <c r="F319" s="633"/>
      <c r="G319" s="1630"/>
      <c r="H319" s="1630"/>
      <c r="I319" s="633"/>
    </row>
    <row r="320" spans="1:9">
      <c r="A320" s="1629"/>
      <c r="B320" s="1630" t="s">
        <v>436</v>
      </c>
      <c r="C320" s="1630" t="s">
        <v>2419</v>
      </c>
      <c r="D320" s="1630"/>
      <c r="E320" s="1630"/>
      <c r="F320" s="633"/>
      <c r="G320" s="1630"/>
      <c r="H320" s="1630"/>
      <c r="I320" s="633"/>
    </row>
    <row r="321" spans="1:9">
      <c r="A321" s="1629"/>
      <c r="B321" s="1630"/>
      <c r="C321" s="636" t="s">
        <v>2690</v>
      </c>
      <c r="D321" s="1630">
        <v>1</v>
      </c>
      <c r="E321" s="1630" t="s">
        <v>39</v>
      </c>
      <c r="F321" s="633">
        <f>'WS-SOR'!$G$104</f>
        <v>407</v>
      </c>
      <c r="G321" s="1630"/>
      <c r="H321" s="1630" t="s">
        <v>501</v>
      </c>
      <c r="I321" s="633">
        <f t="shared" ref="I321:I322" si="36">IF(G321="",D321*F321,(D321*F321/G321))</f>
        <v>407</v>
      </c>
    </row>
    <row r="322" spans="1:9">
      <c r="A322" s="1629"/>
      <c r="B322" s="1630"/>
      <c r="C322" s="1630" t="str">
        <f>Input!$C$48</f>
        <v>Overheads &amp; Contractors Profit @ 13.615%</v>
      </c>
      <c r="D322" s="1630">
        <f>Input!$D$48</f>
        <v>0.13614999999999999</v>
      </c>
      <c r="E322" s="1630"/>
      <c r="F322" s="633">
        <f>I321</f>
        <v>407</v>
      </c>
      <c r="G322" s="1630"/>
      <c r="H322" s="1630"/>
      <c r="I322" s="633">
        <f t="shared" si="36"/>
        <v>55.413049999999998</v>
      </c>
    </row>
    <row r="323" spans="1:9">
      <c r="A323" s="1629"/>
      <c r="B323" s="1630"/>
      <c r="C323" s="1630" t="s">
        <v>1288</v>
      </c>
      <c r="D323" s="1630"/>
      <c r="E323" s="1630"/>
      <c r="F323" s="633"/>
      <c r="G323" s="1630"/>
      <c r="H323" s="1630"/>
      <c r="I323" s="633">
        <f>SUM(I321:I322)</f>
        <v>462.41305</v>
      </c>
    </row>
    <row r="324" spans="1:9">
      <c r="A324" s="1629"/>
      <c r="B324" s="1630"/>
      <c r="C324" s="1630"/>
      <c r="D324" s="1630"/>
      <c r="E324" s="1630"/>
      <c r="F324" s="633"/>
      <c r="G324" s="1630"/>
      <c r="H324" s="1630" t="s">
        <v>1511</v>
      </c>
      <c r="I324" s="633">
        <f>ROUND(I323,0)</f>
        <v>462</v>
      </c>
    </row>
    <row r="325" spans="1:9">
      <c r="A325" s="1629"/>
      <c r="B325" s="1630"/>
      <c r="C325" s="1630"/>
      <c r="D325" s="1630"/>
      <c r="E325" s="1630"/>
      <c r="F325" s="633"/>
      <c r="G325" s="1630"/>
      <c r="H325" s="1630"/>
      <c r="I325" s="633"/>
    </row>
    <row r="326" spans="1:9">
      <c r="A326" s="1629"/>
      <c r="B326" s="1630" t="s">
        <v>439</v>
      </c>
      <c r="C326" s="1630" t="s">
        <v>2420</v>
      </c>
      <c r="D326" s="1630"/>
      <c r="E326" s="1630"/>
      <c r="F326" s="633"/>
      <c r="G326" s="1630"/>
      <c r="H326" s="1630"/>
      <c r="I326" s="633"/>
    </row>
    <row r="327" spans="1:9">
      <c r="A327" s="1629"/>
      <c r="B327" s="1630"/>
      <c r="C327" s="636" t="s">
        <v>2691</v>
      </c>
      <c r="D327" s="1630">
        <v>1</v>
      </c>
      <c r="E327" s="1630" t="s">
        <v>39</v>
      </c>
      <c r="F327" s="633">
        <f>'WS-SOR'!$G$105</f>
        <v>593</v>
      </c>
      <c r="G327" s="1630"/>
      <c r="H327" s="1630" t="s">
        <v>501</v>
      </c>
      <c r="I327" s="633">
        <f t="shared" ref="I327:I328" si="37">IF(G327="",D327*F327,(D327*F327/G327))</f>
        <v>593</v>
      </c>
    </row>
    <row r="328" spans="1:9">
      <c r="A328" s="1629"/>
      <c r="B328" s="1630"/>
      <c r="C328" s="1630" t="str">
        <f>Input!$C$48</f>
        <v>Overheads &amp; Contractors Profit @ 13.615%</v>
      </c>
      <c r="D328" s="1630">
        <f>Input!$D$48</f>
        <v>0.13614999999999999</v>
      </c>
      <c r="E328" s="1630"/>
      <c r="F328" s="633">
        <f>I327</f>
        <v>593</v>
      </c>
      <c r="G328" s="1630"/>
      <c r="H328" s="1630"/>
      <c r="I328" s="633">
        <f t="shared" si="37"/>
        <v>80.736949999999993</v>
      </c>
    </row>
    <row r="329" spans="1:9">
      <c r="A329" s="1629"/>
      <c r="B329" s="1630"/>
      <c r="C329" s="1630" t="s">
        <v>1288</v>
      </c>
      <c r="D329" s="1630"/>
      <c r="E329" s="1630"/>
      <c r="F329" s="633"/>
      <c r="G329" s="1630"/>
      <c r="H329" s="1630"/>
      <c r="I329" s="633">
        <f>SUM(I327:I328)</f>
        <v>673.73694999999998</v>
      </c>
    </row>
    <row r="330" spans="1:9">
      <c r="A330" s="1629"/>
      <c r="B330" s="1630"/>
      <c r="C330" s="1630"/>
      <c r="D330" s="1630"/>
      <c r="E330" s="1630"/>
      <c r="F330" s="633"/>
      <c r="G330" s="1630"/>
      <c r="H330" s="1630" t="s">
        <v>1511</v>
      </c>
      <c r="I330" s="633">
        <f>ROUND(I329,0)</f>
        <v>674</v>
      </c>
    </row>
    <row r="331" spans="1:9">
      <c r="A331" s="1629"/>
      <c r="B331" s="1630"/>
      <c r="C331" s="1630"/>
      <c r="D331" s="1630"/>
      <c r="E331" s="1630"/>
      <c r="F331" s="633"/>
      <c r="G331" s="1630"/>
      <c r="H331" s="1630"/>
      <c r="I331" s="633"/>
    </row>
    <row r="332" spans="1:9" ht="108.2" customHeight="1">
      <c r="A332" s="1629">
        <f>A295+1</f>
        <v>20</v>
      </c>
      <c r="B332" s="1630"/>
      <c r="C332" s="2113" t="s">
        <v>2692</v>
      </c>
      <c r="D332" s="2113"/>
      <c r="E332" s="2113"/>
      <c r="F332" s="2113"/>
      <c r="G332" s="2113"/>
      <c r="H332" s="2113"/>
      <c r="I332" s="633"/>
    </row>
    <row r="333" spans="1:9">
      <c r="A333" s="1629"/>
      <c r="B333" s="1630" t="s">
        <v>294</v>
      </c>
      <c r="C333" s="1630" t="s">
        <v>776</v>
      </c>
      <c r="D333" s="1630"/>
      <c r="E333" s="1630"/>
      <c r="F333" s="633"/>
      <c r="G333" s="1630"/>
      <c r="H333" s="1630"/>
      <c r="I333" s="633"/>
    </row>
    <row r="334" spans="1:9">
      <c r="A334" s="1629"/>
      <c r="B334" s="1630"/>
      <c r="C334" s="636" t="s">
        <v>2693</v>
      </c>
      <c r="D334" s="1630">
        <v>1</v>
      </c>
      <c r="E334" s="1630" t="s">
        <v>197</v>
      </c>
      <c r="F334" s="633">
        <f>'WS-SOR'!$G$48</f>
        <v>215</v>
      </c>
      <c r="G334" s="1630">
        <v>1</v>
      </c>
      <c r="H334" s="1630" t="s">
        <v>197</v>
      </c>
      <c r="I334" s="633">
        <f t="shared" ref="I334:I335" si="38">IF(G334="",D334*F334,(D334*F334/G334))</f>
        <v>215</v>
      </c>
    </row>
    <row r="335" spans="1:9">
      <c r="A335" s="1629"/>
      <c r="B335" s="1630"/>
      <c r="C335" s="1630" t="str">
        <f>Input!$C$47</f>
        <v>Add for MA @ 40%</v>
      </c>
      <c r="D335" s="1630">
        <f>Input!$D$47</f>
        <v>0.4</v>
      </c>
      <c r="E335" s="1630"/>
      <c r="F335" s="633">
        <f>'WS-SOR'!$H$48</f>
        <v>0</v>
      </c>
      <c r="G335" s="1630"/>
      <c r="H335" s="1630"/>
      <c r="I335" s="633">
        <f t="shared" si="38"/>
        <v>0</v>
      </c>
    </row>
    <row r="336" spans="1:9">
      <c r="A336" s="1629"/>
      <c r="B336" s="1630"/>
      <c r="C336" s="1630"/>
      <c r="D336" s="1630"/>
      <c r="E336" s="1630"/>
      <c r="F336" s="633"/>
      <c r="G336" s="1630"/>
      <c r="H336" s="1630"/>
      <c r="I336" s="633">
        <f>SUM(I334:I335)</f>
        <v>215</v>
      </c>
    </row>
    <row r="337" spans="1:9">
      <c r="A337" s="1629"/>
      <c r="B337" s="1630"/>
      <c r="C337" s="1630" t="str">
        <f>Input!$C$48</f>
        <v>Overheads &amp; Contractors Profit @ 13.615%</v>
      </c>
      <c r="D337" s="1630">
        <f>Input!$D$48</f>
        <v>0.13614999999999999</v>
      </c>
      <c r="E337" s="1630"/>
      <c r="F337" s="633">
        <f>I336</f>
        <v>215</v>
      </c>
      <c r="G337" s="1630"/>
      <c r="H337" s="1630"/>
      <c r="I337" s="633">
        <f>IF(G337="",D337*F337,(D337*F337/G337))</f>
        <v>29.27225</v>
      </c>
    </row>
    <row r="338" spans="1:9">
      <c r="A338" s="1629"/>
      <c r="B338" s="1630"/>
      <c r="C338" s="1630"/>
      <c r="D338" s="1630"/>
      <c r="E338" s="1630"/>
      <c r="F338" s="633"/>
      <c r="G338" s="1630"/>
      <c r="H338" s="1630"/>
      <c r="I338" s="633">
        <f>SUM(I336:I337)</f>
        <v>244.27224999999999</v>
      </c>
    </row>
    <row r="339" spans="1:9">
      <c r="A339" s="1629"/>
      <c r="B339" s="1630"/>
      <c r="C339" s="1630" t="s">
        <v>1288</v>
      </c>
      <c r="D339" s="1630"/>
      <c r="E339" s="1630"/>
      <c r="F339" s="633"/>
      <c r="G339" s="1630"/>
      <c r="H339" s="1630" t="s">
        <v>1511</v>
      </c>
      <c r="I339" s="633">
        <f>ROUND(I338,0)</f>
        <v>244</v>
      </c>
    </row>
    <row r="340" spans="1:9">
      <c r="A340" s="1629"/>
      <c r="B340" s="1630"/>
      <c r="C340" s="1630"/>
      <c r="D340" s="1630"/>
      <c r="E340" s="1630"/>
      <c r="F340" s="633"/>
      <c r="G340" s="1630"/>
      <c r="H340" s="1630"/>
      <c r="I340" s="633"/>
    </row>
    <row r="341" spans="1:9">
      <c r="A341" s="1629"/>
      <c r="B341" s="1630" t="s">
        <v>297</v>
      </c>
      <c r="C341" s="1630" t="s">
        <v>778</v>
      </c>
      <c r="D341" s="1630"/>
      <c r="E341" s="1630"/>
      <c r="F341" s="633"/>
      <c r="G341" s="1630"/>
      <c r="H341" s="1630"/>
      <c r="I341" s="633"/>
    </row>
    <row r="342" spans="1:9">
      <c r="A342" s="1629"/>
      <c r="B342" s="1630"/>
      <c r="C342" s="636" t="s">
        <v>2694</v>
      </c>
      <c r="D342" s="1630">
        <v>1</v>
      </c>
      <c r="E342" s="1630" t="s">
        <v>197</v>
      </c>
      <c r="F342" s="633">
        <f>'WS-SOR'!$G$49</f>
        <v>240</v>
      </c>
      <c r="G342" s="1630">
        <v>1</v>
      </c>
      <c r="H342" s="1630" t="s">
        <v>197</v>
      </c>
      <c r="I342" s="633">
        <f t="shared" ref="I342:I343" si="39">IF(G342="",D342*F342,(D342*F342/G342))</f>
        <v>240</v>
      </c>
    </row>
    <row r="343" spans="1:9">
      <c r="A343" s="1629"/>
      <c r="B343" s="1630"/>
      <c r="C343" s="1630" t="str">
        <f>Input!$C$47</f>
        <v>Add for MA @ 40%</v>
      </c>
      <c r="D343" s="1630">
        <f>Input!$D$47</f>
        <v>0.4</v>
      </c>
      <c r="E343" s="1630"/>
      <c r="F343" s="633">
        <f>'WS-SOR'!$H$50</f>
        <v>0</v>
      </c>
      <c r="G343" s="1630"/>
      <c r="H343" s="1630"/>
      <c r="I343" s="633">
        <f t="shared" si="39"/>
        <v>0</v>
      </c>
    </row>
    <row r="344" spans="1:9">
      <c r="A344" s="1629"/>
      <c r="B344" s="1630"/>
      <c r="C344" s="1630"/>
      <c r="D344" s="1630"/>
      <c r="E344" s="1630"/>
      <c r="F344" s="633"/>
      <c r="G344" s="1630"/>
      <c r="H344" s="1630"/>
      <c r="I344" s="633">
        <f>SUM(I342:I343)</f>
        <v>240</v>
      </c>
    </row>
    <row r="345" spans="1:9">
      <c r="A345" s="1629"/>
      <c r="B345" s="1630"/>
      <c r="C345" s="1630" t="str">
        <f>Input!$C$48</f>
        <v>Overheads &amp; Contractors Profit @ 13.615%</v>
      </c>
      <c r="D345" s="1630">
        <f>Input!$D$48</f>
        <v>0.13614999999999999</v>
      </c>
      <c r="E345" s="1630"/>
      <c r="F345" s="633">
        <f>I344</f>
        <v>240</v>
      </c>
      <c r="G345" s="1630"/>
      <c r="H345" s="1630"/>
      <c r="I345" s="633">
        <f>IF(G345="",D345*F345,(D345*F345/G345))</f>
        <v>32.676000000000002</v>
      </c>
    </row>
    <row r="346" spans="1:9">
      <c r="A346" s="1629"/>
      <c r="B346" s="1630"/>
      <c r="C346" s="1630"/>
      <c r="D346" s="1630"/>
      <c r="E346" s="1630"/>
      <c r="F346" s="633"/>
      <c r="G346" s="1630"/>
      <c r="H346" s="1630"/>
      <c r="I346" s="633">
        <f>SUM(I344:I345)</f>
        <v>272.67599999999999</v>
      </c>
    </row>
    <row r="347" spans="1:9">
      <c r="A347" s="1629"/>
      <c r="B347" s="1630"/>
      <c r="C347" s="1630" t="s">
        <v>1288</v>
      </c>
      <c r="D347" s="1630"/>
      <c r="E347" s="1630"/>
      <c r="F347" s="633"/>
      <c r="G347" s="1630"/>
      <c r="H347" s="1630" t="s">
        <v>1511</v>
      </c>
      <c r="I347" s="633">
        <f>ROUND(I346,0)</f>
        <v>273</v>
      </c>
    </row>
    <row r="348" spans="1:9">
      <c r="A348" s="1629"/>
      <c r="B348" s="1630"/>
      <c r="C348" s="1630"/>
      <c r="D348" s="1630"/>
      <c r="E348" s="1630"/>
      <c r="F348" s="633"/>
      <c r="G348" s="1630"/>
      <c r="H348" s="1630"/>
      <c r="I348" s="633"/>
    </row>
    <row r="349" spans="1:9">
      <c r="A349" s="1629"/>
      <c r="B349" s="1630" t="s">
        <v>430</v>
      </c>
      <c r="C349" s="1630" t="s">
        <v>780</v>
      </c>
      <c r="D349" s="1630"/>
      <c r="E349" s="1630"/>
      <c r="F349" s="633"/>
      <c r="G349" s="1630"/>
      <c r="H349" s="1630"/>
      <c r="I349" s="633"/>
    </row>
    <row r="350" spans="1:9">
      <c r="A350" s="1629"/>
      <c r="B350" s="1630"/>
      <c r="C350" s="637" t="s">
        <v>2695</v>
      </c>
      <c r="D350" s="1630">
        <v>1</v>
      </c>
      <c r="E350" s="1630" t="s">
        <v>197</v>
      </c>
      <c r="F350" s="633">
        <f>'WS-SOR'!$G$50</f>
        <v>314</v>
      </c>
      <c r="G350" s="1630">
        <v>1</v>
      </c>
      <c r="H350" s="1630" t="s">
        <v>197</v>
      </c>
      <c r="I350" s="633">
        <f t="shared" ref="I350:I351" si="40">IF(G350="",D350*F350,(D350*F350/G350))</f>
        <v>314</v>
      </c>
    </row>
    <row r="351" spans="1:9">
      <c r="A351" s="1629"/>
      <c r="B351" s="1630"/>
      <c r="C351" s="1630" t="str">
        <f>Input!$C$47</f>
        <v>Add for MA @ 40%</v>
      </c>
      <c r="D351" s="1630">
        <f>Input!$D$47</f>
        <v>0.4</v>
      </c>
      <c r="E351" s="1630"/>
      <c r="F351" s="633">
        <f>'WS-SOR'!$H$50</f>
        <v>0</v>
      </c>
      <c r="G351" s="1630"/>
      <c r="H351" s="1630"/>
      <c r="I351" s="633">
        <f t="shared" si="40"/>
        <v>0</v>
      </c>
    </row>
    <row r="352" spans="1:9">
      <c r="A352" s="1629"/>
      <c r="B352" s="1630"/>
      <c r="C352" s="1630"/>
      <c r="D352" s="1630"/>
      <c r="E352" s="1630"/>
      <c r="F352" s="633"/>
      <c r="G352" s="1630"/>
      <c r="H352" s="1630"/>
      <c r="I352" s="633">
        <f>SUM(I350:I351)</f>
        <v>314</v>
      </c>
    </row>
    <row r="353" spans="1:9">
      <c r="A353" s="1629"/>
      <c r="B353" s="1630"/>
      <c r="C353" s="1630" t="str">
        <f>Input!$C$48</f>
        <v>Overheads &amp; Contractors Profit @ 13.615%</v>
      </c>
      <c r="D353" s="1630">
        <f>Input!$D$48</f>
        <v>0.13614999999999999</v>
      </c>
      <c r="E353" s="1630"/>
      <c r="F353" s="633">
        <f>I352</f>
        <v>314</v>
      </c>
      <c r="G353" s="1630"/>
      <c r="H353" s="1630"/>
      <c r="I353" s="633">
        <f>IF(G353="",D353*F353,(D353*F353/G353))</f>
        <v>42.751100000000001</v>
      </c>
    </row>
    <row r="354" spans="1:9">
      <c r="A354" s="1629"/>
      <c r="B354" s="1630"/>
      <c r="C354" s="1630"/>
      <c r="D354" s="1630"/>
      <c r="E354" s="1630"/>
      <c r="F354" s="633"/>
      <c r="G354" s="1630"/>
      <c r="H354" s="1630"/>
      <c r="I354" s="633">
        <f>SUM(I352:I353)</f>
        <v>356.75110000000001</v>
      </c>
    </row>
    <row r="355" spans="1:9">
      <c r="A355" s="1629"/>
      <c r="B355" s="1630"/>
      <c r="C355" s="1630" t="s">
        <v>1288</v>
      </c>
      <c r="D355" s="1630"/>
      <c r="E355" s="1630"/>
      <c r="F355" s="633"/>
      <c r="G355" s="1630"/>
      <c r="H355" s="1630" t="s">
        <v>1511</v>
      </c>
      <c r="I355" s="633">
        <f>ROUND(I354,0)</f>
        <v>357</v>
      </c>
    </row>
    <row r="356" spans="1:9">
      <c r="A356" s="1629"/>
      <c r="B356" s="1630"/>
      <c r="C356" s="1630"/>
      <c r="D356" s="1630"/>
      <c r="E356" s="1630"/>
      <c r="F356" s="633"/>
      <c r="G356" s="1630"/>
      <c r="H356" s="1630"/>
      <c r="I356" s="633"/>
    </row>
    <row r="357" spans="1:9">
      <c r="A357" s="1629"/>
      <c r="B357" s="1630" t="s">
        <v>433</v>
      </c>
      <c r="C357" s="1630" t="s">
        <v>782</v>
      </c>
      <c r="D357" s="1630"/>
      <c r="E357" s="1630"/>
      <c r="F357" s="633"/>
      <c r="G357" s="1630"/>
      <c r="H357" s="1630"/>
      <c r="I357" s="633"/>
    </row>
    <row r="358" spans="1:9">
      <c r="A358" s="1629"/>
      <c r="B358" s="1630"/>
      <c r="C358" s="637" t="s">
        <v>2696</v>
      </c>
      <c r="D358" s="1630">
        <v>1</v>
      </c>
      <c r="E358" s="1630" t="s">
        <v>197</v>
      </c>
      <c r="F358" s="633">
        <f>'WS-SOR'!$G$51</f>
        <v>439</v>
      </c>
      <c r="G358" s="1630">
        <v>1</v>
      </c>
      <c r="H358" s="1630" t="s">
        <v>197</v>
      </c>
      <c r="I358" s="633">
        <f t="shared" ref="I358:I359" si="41">IF(G358="",D358*F358,(D358*F358/G358))</f>
        <v>439</v>
      </c>
    </row>
    <row r="359" spans="1:9">
      <c r="A359" s="1629"/>
      <c r="B359" s="1630"/>
      <c r="C359" s="1630" t="str">
        <f>Input!$C$47</f>
        <v>Add for MA @ 40%</v>
      </c>
      <c r="D359" s="1630">
        <f>Input!$D$47</f>
        <v>0.4</v>
      </c>
      <c r="E359" s="1630"/>
      <c r="F359" s="633">
        <f>'WS-SOR'!$H$51</f>
        <v>0</v>
      </c>
      <c r="G359" s="1630"/>
      <c r="H359" s="1630"/>
      <c r="I359" s="633">
        <f t="shared" si="41"/>
        <v>0</v>
      </c>
    </row>
    <row r="360" spans="1:9">
      <c r="A360" s="1629"/>
      <c r="B360" s="1630"/>
      <c r="C360" s="1630"/>
      <c r="D360" s="1630"/>
      <c r="E360" s="1630"/>
      <c r="F360" s="633"/>
      <c r="G360" s="1630"/>
      <c r="H360" s="1630"/>
      <c r="I360" s="633">
        <f>SUM(I358:I359)</f>
        <v>439</v>
      </c>
    </row>
    <row r="361" spans="1:9">
      <c r="A361" s="1629"/>
      <c r="B361" s="1630"/>
      <c r="C361" s="1630" t="str">
        <f>Input!$C$48</f>
        <v>Overheads &amp; Contractors Profit @ 13.615%</v>
      </c>
      <c r="D361" s="1630">
        <f>Input!$D$48</f>
        <v>0.13614999999999999</v>
      </c>
      <c r="E361" s="1630"/>
      <c r="F361" s="633">
        <f>I360</f>
        <v>439</v>
      </c>
      <c r="G361" s="1630"/>
      <c r="H361" s="1630"/>
      <c r="I361" s="633">
        <f>IF(G361="",D361*F361,(D361*F361/G361))</f>
        <v>59.769849999999998</v>
      </c>
    </row>
    <row r="362" spans="1:9">
      <c r="A362" s="1629"/>
      <c r="B362" s="1630"/>
      <c r="C362" s="1630"/>
      <c r="D362" s="1630"/>
      <c r="E362" s="1630"/>
      <c r="F362" s="633"/>
      <c r="G362" s="1630"/>
      <c r="H362" s="1630"/>
      <c r="I362" s="633">
        <f>SUM(I360:I361)</f>
        <v>498.76985000000002</v>
      </c>
    </row>
    <row r="363" spans="1:9">
      <c r="A363" s="1629"/>
      <c r="B363" s="1630"/>
      <c r="C363" s="1630" t="s">
        <v>1288</v>
      </c>
      <c r="D363" s="1630"/>
      <c r="E363" s="1630"/>
      <c r="F363" s="633"/>
      <c r="G363" s="1630"/>
      <c r="H363" s="1630" t="s">
        <v>1511</v>
      </c>
      <c r="I363" s="633">
        <f>ROUND(I362,0)</f>
        <v>499</v>
      </c>
    </row>
    <row r="364" spans="1:9">
      <c r="A364" s="1629"/>
      <c r="B364" s="1630"/>
      <c r="C364" s="1630"/>
      <c r="D364" s="1630"/>
      <c r="E364" s="1630"/>
      <c r="F364" s="633"/>
      <c r="G364" s="1630"/>
      <c r="H364" s="1630"/>
      <c r="I364" s="633"/>
    </row>
    <row r="365" spans="1:9">
      <c r="A365" s="1629"/>
      <c r="B365" s="1630" t="s">
        <v>436</v>
      </c>
      <c r="C365" s="1630" t="s">
        <v>784</v>
      </c>
      <c r="D365" s="1630"/>
      <c r="E365" s="1630"/>
      <c r="F365" s="633"/>
      <c r="G365" s="1630"/>
      <c r="H365" s="1630"/>
      <c r="I365" s="633"/>
    </row>
    <row r="366" spans="1:9">
      <c r="A366" s="1629"/>
      <c r="B366" s="1630"/>
      <c r="C366" s="637" t="s">
        <v>2697</v>
      </c>
      <c r="D366" s="1630">
        <v>1</v>
      </c>
      <c r="E366" s="1630" t="s">
        <v>197</v>
      </c>
      <c r="F366" s="633">
        <f>'WS-SOR'!$G$52</f>
        <v>492</v>
      </c>
      <c r="G366" s="1630">
        <v>1</v>
      </c>
      <c r="H366" s="1630" t="s">
        <v>197</v>
      </c>
      <c r="I366" s="633">
        <f t="shared" ref="I366:I367" si="42">IF(G366="",D366*F366,(D366*F366/G366))</f>
        <v>492</v>
      </c>
    </row>
    <row r="367" spans="1:9">
      <c r="A367" s="1629"/>
      <c r="B367" s="1630"/>
      <c r="C367" s="1630" t="str">
        <f>Input!$C$47</f>
        <v>Add for MA @ 40%</v>
      </c>
      <c r="D367" s="1630">
        <f>Input!$D$47</f>
        <v>0.4</v>
      </c>
      <c r="E367" s="1630"/>
      <c r="F367" s="633">
        <f>'WS-SOR'!$H$52</f>
        <v>0</v>
      </c>
      <c r="G367" s="1630"/>
      <c r="H367" s="1630"/>
      <c r="I367" s="633">
        <f t="shared" si="42"/>
        <v>0</v>
      </c>
    </row>
    <row r="368" spans="1:9">
      <c r="A368" s="1629"/>
      <c r="B368" s="1630"/>
      <c r="C368" s="1630"/>
      <c r="D368" s="1630"/>
      <c r="E368" s="1630"/>
      <c r="F368" s="633"/>
      <c r="G368" s="1630"/>
      <c r="H368" s="1630"/>
      <c r="I368" s="633">
        <f>SUM(I366:I367)</f>
        <v>492</v>
      </c>
    </row>
    <row r="369" spans="1:9">
      <c r="A369" s="1629"/>
      <c r="B369" s="1630"/>
      <c r="C369" s="1630" t="str">
        <f>Input!$C$48</f>
        <v>Overheads &amp; Contractors Profit @ 13.615%</v>
      </c>
      <c r="D369" s="1630">
        <f>Input!$D$48</f>
        <v>0.13614999999999999</v>
      </c>
      <c r="E369" s="1630"/>
      <c r="F369" s="633">
        <f>I368</f>
        <v>492</v>
      </c>
      <c r="G369" s="1630"/>
      <c r="H369" s="1630"/>
      <c r="I369" s="633">
        <f>IF(G369="",D369*F369,(D369*F369/G369))</f>
        <v>66.985799999999998</v>
      </c>
    </row>
    <row r="370" spans="1:9">
      <c r="A370" s="1629"/>
      <c r="B370" s="1630"/>
      <c r="C370" s="1630"/>
      <c r="D370" s="1630"/>
      <c r="E370" s="1630"/>
      <c r="F370" s="633"/>
      <c r="G370" s="1630"/>
      <c r="H370" s="1630"/>
      <c r="I370" s="633">
        <f>SUM(I368:I369)</f>
        <v>558.98580000000004</v>
      </c>
    </row>
    <row r="371" spans="1:9">
      <c r="A371" s="1629"/>
      <c r="B371" s="1630"/>
      <c r="C371" s="1630" t="s">
        <v>1288</v>
      </c>
      <c r="D371" s="1630"/>
      <c r="E371" s="1630"/>
      <c r="F371" s="633"/>
      <c r="G371" s="1630"/>
      <c r="H371" s="1630" t="s">
        <v>1511</v>
      </c>
      <c r="I371" s="633">
        <f>ROUND(I370,0)</f>
        <v>559</v>
      </c>
    </row>
    <row r="372" spans="1:9">
      <c r="A372" s="1629"/>
      <c r="B372" s="1630"/>
      <c r="C372" s="1630"/>
      <c r="D372" s="1630"/>
      <c r="E372" s="1630"/>
      <c r="F372" s="633"/>
      <c r="G372" s="1630"/>
      <c r="H372" s="1630"/>
      <c r="I372" s="633"/>
    </row>
    <row r="373" spans="1:9">
      <c r="A373" s="1629"/>
      <c r="B373" s="1630" t="s">
        <v>439</v>
      </c>
      <c r="C373" s="1630" t="s">
        <v>786</v>
      </c>
      <c r="D373" s="1630"/>
      <c r="E373" s="1630"/>
      <c r="F373" s="633"/>
      <c r="G373" s="1630"/>
      <c r="H373" s="1630"/>
      <c r="I373" s="633"/>
    </row>
    <row r="374" spans="1:9">
      <c r="A374" s="1629"/>
      <c r="B374" s="1630"/>
      <c r="C374" s="637" t="s">
        <v>2698</v>
      </c>
      <c r="D374" s="1630">
        <v>1</v>
      </c>
      <c r="E374" s="1630" t="s">
        <v>197</v>
      </c>
      <c r="F374" s="633">
        <f>'WS-SOR'!$G$53</f>
        <v>527</v>
      </c>
      <c r="G374" s="1630">
        <v>1</v>
      </c>
      <c r="H374" s="1630" t="s">
        <v>197</v>
      </c>
      <c r="I374" s="633">
        <f t="shared" ref="I374:I375" si="43">IF(G374="",D374*F374,(D374*F374/G374))</f>
        <v>527</v>
      </c>
    </row>
    <row r="375" spans="1:9">
      <c r="A375" s="1629"/>
      <c r="B375" s="1630"/>
      <c r="C375" s="637" t="str">
        <f>Input!$C$47</f>
        <v>Add for MA @ 40%</v>
      </c>
      <c r="D375" s="1630">
        <f>Input!$D$47</f>
        <v>0.4</v>
      </c>
      <c r="E375" s="1630"/>
      <c r="F375" s="633">
        <f>'WS-SOR'!$H$53</f>
        <v>0</v>
      </c>
      <c r="G375" s="1630"/>
      <c r="H375" s="1630"/>
      <c r="I375" s="633">
        <f t="shared" si="43"/>
        <v>0</v>
      </c>
    </row>
    <row r="376" spans="1:9">
      <c r="A376" s="1629"/>
      <c r="B376" s="1630"/>
      <c r="C376" s="1630"/>
      <c r="D376" s="1630"/>
      <c r="E376" s="1630"/>
      <c r="F376" s="633"/>
      <c r="G376" s="1630"/>
      <c r="H376" s="1630"/>
      <c r="I376" s="633">
        <f>SUM(I374:I375)</f>
        <v>527</v>
      </c>
    </row>
    <row r="377" spans="1:9">
      <c r="A377" s="1629"/>
      <c r="B377" s="1630"/>
      <c r="C377" s="1630" t="str">
        <f>Input!$C$48</f>
        <v>Overheads &amp; Contractors Profit @ 13.615%</v>
      </c>
      <c r="D377" s="1630">
        <f>Input!$D$48</f>
        <v>0.13614999999999999</v>
      </c>
      <c r="E377" s="1630"/>
      <c r="F377" s="633">
        <f>I376</f>
        <v>527</v>
      </c>
      <c r="G377" s="1630"/>
      <c r="H377" s="1630"/>
      <c r="I377" s="633">
        <f>IF(G377="",D377*F377,(D377*F377/G377))</f>
        <v>71.751049999999992</v>
      </c>
    </row>
    <row r="378" spans="1:9">
      <c r="A378" s="1629"/>
      <c r="B378" s="1630"/>
      <c r="C378" s="1630"/>
      <c r="D378" s="1630"/>
      <c r="E378" s="1630"/>
      <c r="F378" s="633"/>
      <c r="G378" s="1630"/>
      <c r="H378" s="1630"/>
      <c r="I378" s="633">
        <f>SUM(I376:I377)</f>
        <v>598.75104999999996</v>
      </c>
    </row>
    <row r="379" spans="1:9">
      <c r="A379" s="1629"/>
      <c r="B379" s="1630"/>
      <c r="C379" s="1630" t="s">
        <v>1288</v>
      </c>
      <c r="D379" s="1630"/>
      <c r="E379" s="1630"/>
      <c r="F379" s="633"/>
      <c r="G379" s="1630"/>
      <c r="H379" s="1630" t="s">
        <v>1511</v>
      </c>
      <c r="I379" s="633">
        <f>ROUND(I378,0)</f>
        <v>599</v>
      </c>
    </row>
    <row r="380" spans="1:9">
      <c r="A380" s="1629"/>
      <c r="B380" s="1630"/>
      <c r="C380" s="1630"/>
      <c r="D380" s="1630"/>
      <c r="E380" s="1630"/>
      <c r="F380" s="633"/>
      <c r="G380" s="1630"/>
      <c r="H380" s="1630"/>
      <c r="I380" s="633"/>
    </row>
    <row r="381" spans="1:9" ht="121.35" customHeight="1">
      <c r="A381" s="1629">
        <f>+A332+1</f>
        <v>21</v>
      </c>
      <c r="B381" s="1630"/>
      <c r="C381" s="2113" t="s">
        <v>2699</v>
      </c>
      <c r="D381" s="2113"/>
      <c r="E381" s="2113"/>
      <c r="F381" s="2113"/>
      <c r="G381" s="2113"/>
      <c r="H381" s="2113"/>
      <c r="I381" s="633"/>
    </row>
    <row r="382" spans="1:9">
      <c r="A382" s="1629"/>
      <c r="B382" s="1630"/>
      <c r="C382" s="637" t="s">
        <v>2700</v>
      </c>
      <c r="D382" s="1630">
        <v>1</v>
      </c>
      <c r="E382" s="1630" t="s">
        <v>197</v>
      </c>
      <c r="F382" s="633">
        <f>'WS-SOR'!$G$54</f>
        <v>936</v>
      </c>
      <c r="G382" s="1630">
        <v>1</v>
      </c>
      <c r="H382" s="1630" t="s">
        <v>197</v>
      </c>
      <c r="I382" s="633">
        <f t="shared" ref="I382:I383" si="44">IF(G382="",D382*F382,(D382*F382/G382))</f>
        <v>936</v>
      </c>
    </row>
    <row r="383" spans="1:9">
      <c r="A383" s="1629"/>
      <c r="B383" s="1630"/>
      <c r="C383" s="1630" t="str">
        <f>Input!$C$48</f>
        <v>Overheads &amp; Contractors Profit @ 13.615%</v>
      </c>
      <c r="D383" s="1630">
        <f>Input!$D$48</f>
        <v>0.13614999999999999</v>
      </c>
      <c r="E383" s="1630"/>
      <c r="F383" s="633">
        <f>I382</f>
        <v>936</v>
      </c>
      <c r="G383" s="1630"/>
      <c r="H383" s="1630"/>
      <c r="I383" s="633">
        <f t="shared" si="44"/>
        <v>127.43639999999999</v>
      </c>
    </row>
    <row r="384" spans="1:9">
      <c r="A384" s="1629"/>
      <c r="B384" s="1630"/>
      <c r="C384" s="1630"/>
      <c r="D384" s="1630"/>
      <c r="E384" s="1630"/>
      <c r="F384" s="633"/>
      <c r="G384" s="1630"/>
      <c r="H384" s="1630"/>
      <c r="I384" s="633">
        <f>SUM(I382:I383)</f>
        <v>1063.4364</v>
      </c>
    </row>
    <row r="385" spans="1:9">
      <c r="A385" s="1629"/>
      <c r="B385" s="1630"/>
      <c r="C385" s="1630" t="s">
        <v>1288</v>
      </c>
      <c r="D385" s="1630"/>
      <c r="E385" s="1630"/>
      <c r="F385" s="633"/>
      <c r="G385" s="1630"/>
      <c r="H385" s="1630" t="s">
        <v>1511</v>
      </c>
      <c r="I385" s="633">
        <f>ROUND(I384,0)</f>
        <v>1063</v>
      </c>
    </row>
    <row r="386" spans="1:9">
      <c r="A386" s="1629"/>
      <c r="B386" s="1630"/>
      <c r="C386" s="1630"/>
      <c r="D386" s="1630"/>
      <c r="E386" s="1630"/>
      <c r="F386" s="633"/>
      <c r="G386" s="1630"/>
      <c r="H386" s="1630"/>
      <c r="I386" s="633"/>
    </row>
    <row r="387" spans="1:9" ht="55.9" customHeight="1">
      <c r="A387" s="1629">
        <f>1+A295</f>
        <v>20</v>
      </c>
      <c r="B387" s="1630"/>
      <c r="C387" s="2113" t="s">
        <v>2701</v>
      </c>
      <c r="D387" s="2113"/>
      <c r="E387" s="2113"/>
      <c r="F387" s="2113"/>
      <c r="G387" s="2113"/>
      <c r="H387" s="2113"/>
      <c r="I387" s="633"/>
    </row>
    <row r="388" spans="1:9">
      <c r="A388" s="1629"/>
      <c r="B388" s="1630" t="s">
        <v>294</v>
      </c>
      <c r="C388" s="634" t="s">
        <v>776</v>
      </c>
      <c r="D388" s="1630"/>
      <c r="E388" s="1630"/>
      <c r="F388" s="633"/>
      <c r="G388" s="1630"/>
      <c r="H388" s="1630"/>
      <c r="I388" s="633"/>
    </row>
    <row r="389" spans="1:9">
      <c r="A389" s="1629"/>
      <c r="B389" s="1630"/>
      <c r="C389" s="637" t="s">
        <v>2702</v>
      </c>
      <c r="D389" s="1630">
        <v>1</v>
      </c>
      <c r="E389" s="1630" t="s">
        <v>39</v>
      </c>
      <c r="F389" s="633">
        <f>'WS-SOR'!$G$57</f>
        <v>675</v>
      </c>
      <c r="G389" s="1630"/>
      <c r="H389" s="1630" t="s">
        <v>501</v>
      </c>
      <c r="I389" s="633">
        <f t="shared" ref="I389:I390" si="45">IF(G389="",D389*F389,(D389*F389/G389))</f>
        <v>675</v>
      </c>
    </row>
    <row r="390" spans="1:9">
      <c r="A390" s="1629"/>
      <c r="B390" s="1630"/>
      <c r="C390" s="1630" t="str">
        <f>Input!$C$48</f>
        <v>Overheads &amp; Contractors Profit @ 13.615%</v>
      </c>
      <c r="D390" s="1630">
        <f>Input!$D$48</f>
        <v>0.13614999999999999</v>
      </c>
      <c r="E390" s="1630"/>
      <c r="F390" s="633">
        <f>I389</f>
        <v>675</v>
      </c>
      <c r="G390" s="1630"/>
      <c r="H390" s="1630"/>
      <c r="I390" s="633">
        <f t="shared" si="45"/>
        <v>91.90124999999999</v>
      </c>
    </row>
    <row r="391" spans="1:9">
      <c r="A391" s="1629"/>
      <c r="B391" s="1630"/>
      <c r="C391" s="1630"/>
      <c r="D391" s="1630"/>
      <c r="E391" s="1630"/>
      <c r="F391" s="633"/>
      <c r="G391" s="1630"/>
      <c r="H391" s="1630"/>
      <c r="I391" s="633">
        <f>SUM(I389:I390)</f>
        <v>766.90125</v>
      </c>
    </row>
    <row r="392" spans="1:9">
      <c r="A392" s="1629"/>
      <c r="B392" s="1630"/>
      <c r="C392" s="1630" t="s">
        <v>2380</v>
      </c>
      <c r="D392" s="1630"/>
      <c r="E392" s="1630"/>
      <c r="F392" s="633"/>
      <c r="G392" s="1630"/>
      <c r="H392" s="1630" t="s">
        <v>1511</v>
      </c>
      <c r="I392" s="633">
        <f>ROUND(I391,0)</f>
        <v>767</v>
      </c>
    </row>
    <row r="393" spans="1:9">
      <c r="A393" s="1629"/>
      <c r="B393" s="1630"/>
      <c r="C393" s="1630"/>
      <c r="D393" s="1630"/>
      <c r="E393" s="1630"/>
      <c r="F393" s="633"/>
      <c r="G393" s="1630"/>
      <c r="H393" s="1630"/>
      <c r="I393" s="633"/>
    </row>
    <row r="394" spans="1:9">
      <c r="A394" s="1629"/>
      <c r="B394" s="1630" t="s">
        <v>297</v>
      </c>
      <c r="C394" s="1732" t="s">
        <v>778</v>
      </c>
      <c r="D394" s="1630"/>
      <c r="E394" s="1630"/>
      <c r="F394" s="633"/>
      <c r="G394" s="1630"/>
      <c r="H394" s="1630"/>
      <c r="I394" s="633"/>
    </row>
    <row r="395" spans="1:9">
      <c r="A395" s="1629"/>
      <c r="B395" s="1630"/>
      <c r="C395" s="637" t="s">
        <v>2703</v>
      </c>
      <c r="D395" s="1630">
        <v>1</v>
      </c>
      <c r="E395" s="1630" t="s">
        <v>39</v>
      </c>
      <c r="F395" s="633">
        <f>'WS-SOR'!$G$58</f>
        <v>909</v>
      </c>
      <c r="G395" s="1630"/>
      <c r="H395" s="1630" t="s">
        <v>501</v>
      </c>
      <c r="I395" s="633">
        <f t="shared" ref="I395:I396" si="46">IF(G395="",D395*F395,(D395*F395/G395))</f>
        <v>909</v>
      </c>
    </row>
    <row r="396" spans="1:9">
      <c r="A396" s="1629"/>
      <c r="B396" s="1630"/>
      <c r="C396" s="1630" t="str">
        <f>Input!$C$48</f>
        <v>Overheads &amp; Contractors Profit @ 13.615%</v>
      </c>
      <c r="D396" s="1630">
        <f>Input!$D$48</f>
        <v>0.13614999999999999</v>
      </c>
      <c r="E396" s="1630"/>
      <c r="F396" s="633">
        <f>I395</f>
        <v>909</v>
      </c>
      <c r="G396" s="1630"/>
      <c r="H396" s="1630"/>
      <c r="I396" s="633">
        <f t="shared" si="46"/>
        <v>123.76034999999999</v>
      </c>
    </row>
    <row r="397" spans="1:9">
      <c r="A397" s="1629"/>
      <c r="B397" s="1630"/>
      <c r="C397" s="1630"/>
      <c r="D397" s="1630"/>
      <c r="E397" s="1630"/>
      <c r="F397" s="633"/>
      <c r="G397" s="1630"/>
      <c r="H397" s="1630"/>
      <c r="I397" s="633">
        <f>SUM(I395:I396)</f>
        <v>1032.76035</v>
      </c>
    </row>
    <row r="398" spans="1:9">
      <c r="A398" s="1629"/>
      <c r="B398" s="1630"/>
      <c r="C398" s="1630" t="s">
        <v>2380</v>
      </c>
      <c r="D398" s="1630"/>
      <c r="E398" s="1630"/>
      <c r="F398" s="633"/>
      <c r="G398" s="1630"/>
      <c r="H398" s="1630" t="s">
        <v>1511</v>
      </c>
      <c r="I398" s="633">
        <f>ROUND(I397,0)</f>
        <v>1033</v>
      </c>
    </row>
    <row r="399" spans="1:9">
      <c r="A399" s="1629"/>
      <c r="B399" s="1630"/>
      <c r="C399" s="1630"/>
      <c r="D399" s="1630"/>
      <c r="E399" s="1630"/>
      <c r="F399" s="633"/>
      <c r="G399" s="1630"/>
      <c r="H399" s="1630"/>
      <c r="I399" s="633"/>
    </row>
    <row r="400" spans="1:9">
      <c r="A400" s="1629"/>
      <c r="B400" s="1630"/>
      <c r="C400" s="1630"/>
      <c r="D400" s="1630"/>
      <c r="E400" s="1630"/>
      <c r="F400" s="633"/>
      <c r="G400" s="1630"/>
      <c r="H400" s="1630"/>
      <c r="I400" s="633"/>
    </row>
    <row r="401" spans="1:9">
      <c r="A401" s="1629"/>
      <c r="B401" s="1630" t="s">
        <v>294</v>
      </c>
      <c r="C401" s="1630" t="s">
        <v>780</v>
      </c>
      <c r="D401" s="1630"/>
      <c r="E401" s="1630"/>
      <c r="F401" s="633"/>
      <c r="G401" s="1630"/>
      <c r="H401" s="1630"/>
      <c r="I401" s="633"/>
    </row>
    <row r="402" spans="1:9">
      <c r="A402" s="1629"/>
      <c r="B402" s="1630"/>
      <c r="C402" s="637" t="s">
        <v>2704</v>
      </c>
      <c r="D402" s="1630">
        <v>1</v>
      </c>
      <c r="E402" s="1630" t="s">
        <v>39</v>
      </c>
      <c r="F402" s="633">
        <f>'WS-SOR'!$G$59</f>
        <v>1306</v>
      </c>
      <c r="G402" s="1630"/>
      <c r="H402" s="1630" t="s">
        <v>501</v>
      </c>
      <c r="I402" s="633">
        <f t="shared" ref="I402:I403" si="47">IF(G402="",D402*F402,(D402*F402/G402))</f>
        <v>1306</v>
      </c>
    </row>
    <row r="403" spans="1:9">
      <c r="A403" s="1629"/>
      <c r="B403" s="1630"/>
      <c r="C403" s="1630" t="str">
        <f>Input!$C$48</f>
        <v>Overheads &amp; Contractors Profit @ 13.615%</v>
      </c>
      <c r="D403" s="1630">
        <f>Input!$D$48</f>
        <v>0.13614999999999999</v>
      </c>
      <c r="E403" s="1630"/>
      <c r="F403" s="633">
        <f>I402</f>
        <v>1306</v>
      </c>
      <c r="G403" s="1630"/>
      <c r="H403" s="1630"/>
      <c r="I403" s="633">
        <f t="shared" si="47"/>
        <v>177.81189999999998</v>
      </c>
    </row>
    <row r="404" spans="1:9">
      <c r="A404" s="1629"/>
      <c r="B404" s="1630"/>
      <c r="C404" s="1630"/>
      <c r="D404" s="1630"/>
      <c r="E404" s="1630"/>
      <c r="F404" s="633"/>
      <c r="G404" s="1630"/>
      <c r="H404" s="1630"/>
      <c r="I404" s="633">
        <f>SUM(I402:I403)</f>
        <v>1483.8118999999999</v>
      </c>
    </row>
    <row r="405" spans="1:9">
      <c r="A405" s="1629"/>
      <c r="B405" s="1630"/>
      <c r="C405" s="1630" t="s">
        <v>2380</v>
      </c>
      <c r="D405" s="1630"/>
      <c r="E405" s="1630"/>
      <c r="F405" s="633"/>
      <c r="G405" s="1630"/>
      <c r="H405" s="1630" t="s">
        <v>1511</v>
      </c>
      <c r="I405" s="635">
        <f>ROUND(I404,0)</f>
        <v>1484</v>
      </c>
    </row>
    <row r="406" spans="1:9">
      <c r="A406" s="1629"/>
      <c r="B406" s="1630"/>
      <c r="C406" s="1630"/>
      <c r="D406" s="1630"/>
      <c r="E406" s="1630"/>
      <c r="F406" s="633"/>
      <c r="G406" s="1630"/>
      <c r="H406" s="1630"/>
      <c r="I406" s="633"/>
    </row>
    <row r="407" spans="1:9">
      <c r="A407" s="1629"/>
      <c r="B407" s="1630" t="s">
        <v>297</v>
      </c>
      <c r="C407" s="1630" t="s">
        <v>782</v>
      </c>
      <c r="D407" s="1630"/>
      <c r="E407" s="1630"/>
      <c r="F407" s="633"/>
      <c r="G407" s="1630"/>
      <c r="H407" s="1630"/>
      <c r="I407" s="633"/>
    </row>
    <row r="408" spans="1:9">
      <c r="A408" s="1629"/>
      <c r="B408" s="1630"/>
      <c r="C408" s="637" t="s">
        <v>2705</v>
      </c>
      <c r="D408" s="1630">
        <v>1</v>
      </c>
      <c r="E408" s="1630" t="s">
        <v>39</v>
      </c>
      <c r="F408" s="633">
        <f>'WS-SOR'!$G$60</f>
        <v>1985</v>
      </c>
      <c r="G408" s="1630"/>
      <c r="H408" s="1630" t="s">
        <v>501</v>
      </c>
      <c r="I408" s="633">
        <f t="shared" ref="I408:I409" si="48">IF(G408="",D408*F408,(D408*F408/G408))</f>
        <v>1985</v>
      </c>
    </row>
    <row r="409" spans="1:9">
      <c r="A409" s="1629"/>
      <c r="B409" s="1630"/>
      <c r="C409" s="1630" t="str">
        <f>Input!$C$48</f>
        <v>Overheads &amp; Contractors Profit @ 13.615%</v>
      </c>
      <c r="D409" s="1630">
        <f>Input!$D$48</f>
        <v>0.13614999999999999</v>
      </c>
      <c r="E409" s="1630"/>
      <c r="F409" s="633">
        <f>I408</f>
        <v>1985</v>
      </c>
      <c r="G409" s="1630"/>
      <c r="H409" s="1630"/>
      <c r="I409" s="633">
        <f t="shared" si="48"/>
        <v>270.25774999999999</v>
      </c>
    </row>
    <row r="410" spans="1:9">
      <c r="A410" s="1629"/>
      <c r="B410" s="1630"/>
      <c r="C410" s="1630"/>
      <c r="D410" s="1630"/>
      <c r="E410" s="1630"/>
      <c r="F410" s="633"/>
      <c r="G410" s="1630"/>
      <c r="H410" s="1630"/>
      <c r="I410" s="633">
        <f>SUM(I408:I409)</f>
        <v>2255.2577499999998</v>
      </c>
    </row>
    <row r="411" spans="1:9">
      <c r="A411" s="1629"/>
      <c r="B411" s="1630"/>
      <c r="C411" s="1630" t="s">
        <v>2380</v>
      </c>
      <c r="D411" s="1630"/>
      <c r="E411" s="1630"/>
      <c r="F411" s="633"/>
      <c r="G411" s="1630"/>
      <c r="H411" s="1630" t="s">
        <v>1511</v>
      </c>
      <c r="I411" s="635">
        <f>ROUND(I410,0)</f>
        <v>2255</v>
      </c>
    </row>
    <row r="412" spans="1:9">
      <c r="A412" s="1629"/>
      <c r="B412" s="1630"/>
      <c r="C412" s="1630"/>
      <c r="D412" s="1630"/>
      <c r="E412" s="1630"/>
      <c r="F412" s="633"/>
      <c r="G412" s="1630"/>
      <c r="H412" s="1630"/>
      <c r="I412" s="633"/>
    </row>
    <row r="413" spans="1:9">
      <c r="A413" s="2114"/>
      <c r="B413" s="2114"/>
      <c r="C413" s="2114"/>
      <c r="D413" s="2114"/>
      <c r="E413" s="2114"/>
      <c r="F413" s="2114"/>
      <c r="G413" s="2114"/>
      <c r="H413" s="2114"/>
      <c r="I413" s="2114"/>
    </row>
    <row r="414" spans="1:9">
      <c r="A414" s="1629"/>
      <c r="B414" s="1630" t="s">
        <v>430</v>
      </c>
      <c r="C414" s="1630" t="s">
        <v>784</v>
      </c>
      <c r="D414" s="1630"/>
      <c r="E414" s="1630"/>
      <c r="F414" s="633"/>
      <c r="G414" s="1630"/>
      <c r="H414" s="1630"/>
      <c r="I414" s="633"/>
    </row>
    <row r="415" spans="1:9">
      <c r="A415" s="1629"/>
      <c r="B415" s="1630"/>
      <c r="C415" s="637" t="s">
        <v>2706</v>
      </c>
      <c r="D415" s="1630">
        <v>1</v>
      </c>
      <c r="E415" s="1630" t="s">
        <v>39</v>
      </c>
      <c r="F415" s="633">
        <f>'WS-SOR'!$G$61</f>
        <v>2677</v>
      </c>
      <c r="G415" s="1630"/>
      <c r="H415" s="1630" t="s">
        <v>501</v>
      </c>
      <c r="I415" s="633">
        <f t="shared" ref="I415:I416" si="49">IF(G415="",D415*F415,(D415*F415/G415))</f>
        <v>2677</v>
      </c>
    </row>
    <row r="416" spans="1:9">
      <c r="A416" s="1629"/>
      <c r="B416" s="1630"/>
      <c r="C416" s="1630" t="str">
        <f>Input!$C$48</f>
        <v>Overheads &amp; Contractors Profit @ 13.615%</v>
      </c>
      <c r="D416" s="1630">
        <f>Input!$D$48</f>
        <v>0.13614999999999999</v>
      </c>
      <c r="E416" s="1630"/>
      <c r="F416" s="633">
        <f>I415</f>
        <v>2677</v>
      </c>
      <c r="G416" s="1630"/>
      <c r="H416" s="1630"/>
      <c r="I416" s="633">
        <f t="shared" si="49"/>
        <v>364.47354999999999</v>
      </c>
    </row>
    <row r="417" spans="1:9">
      <c r="A417" s="1629"/>
      <c r="B417" s="1630"/>
      <c r="C417" s="1630"/>
      <c r="D417" s="1630"/>
      <c r="E417" s="1630"/>
      <c r="F417" s="633"/>
      <c r="G417" s="1630"/>
      <c r="H417" s="1630"/>
      <c r="I417" s="633">
        <f>SUM(I415:I416)</f>
        <v>3041.4735500000002</v>
      </c>
    </row>
    <row r="418" spans="1:9">
      <c r="A418" s="1629"/>
      <c r="B418" s="1630"/>
      <c r="C418" s="1630" t="s">
        <v>2380</v>
      </c>
      <c r="D418" s="1630"/>
      <c r="E418" s="1630"/>
      <c r="F418" s="633"/>
      <c r="G418" s="1630"/>
      <c r="H418" s="1630" t="s">
        <v>1511</v>
      </c>
      <c r="I418" s="635">
        <f>ROUND(I417,0)</f>
        <v>3041</v>
      </c>
    </row>
    <row r="419" spans="1:9">
      <c r="A419" s="1629"/>
      <c r="B419" s="1630"/>
      <c r="C419" s="1630"/>
      <c r="D419" s="1630"/>
      <c r="E419" s="1630"/>
      <c r="F419" s="633"/>
      <c r="G419" s="1630"/>
      <c r="H419" s="1630"/>
      <c r="I419" s="633"/>
    </row>
    <row r="420" spans="1:9">
      <c r="A420" s="1629"/>
      <c r="B420" s="1630" t="s">
        <v>433</v>
      </c>
      <c r="C420" s="1630" t="s">
        <v>786</v>
      </c>
      <c r="D420" s="1630"/>
      <c r="E420" s="1630"/>
      <c r="F420" s="633"/>
      <c r="G420" s="1630"/>
      <c r="H420" s="1630"/>
      <c r="I420" s="633"/>
    </row>
    <row r="421" spans="1:9">
      <c r="A421" s="1629"/>
      <c r="B421" s="1630"/>
      <c r="C421" s="637" t="s">
        <v>2707</v>
      </c>
      <c r="D421" s="1630">
        <v>1</v>
      </c>
      <c r="E421" s="1630" t="s">
        <v>39</v>
      </c>
      <c r="F421" s="633">
        <f>'WS-SOR'!$G$62</f>
        <v>3926</v>
      </c>
      <c r="G421" s="1630"/>
      <c r="H421" s="1630" t="s">
        <v>501</v>
      </c>
      <c r="I421" s="633">
        <f t="shared" ref="I421:I422" si="50">IF(G421="",D421*F421,(D421*F421/G421))</f>
        <v>3926</v>
      </c>
    </row>
    <row r="422" spans="1:9">
      <c r="A422" s="1629"/>
      <c r="B422" s="1630"/>
      <c r="C422" s="1630" t="str">
        <f>Input!$C$48</f>
        <v>Overheads &amp; Contractors Profit @ 13.615%</v>
      </c>
      <c r="D422" s="1630">
        <f>Input!$D$48</f>
        <v>0.13614999999999999</v>
      </c>
      <c r="E422" s="1630"/>
      <c r="F422" s="633">
        <f>I421</f>
        <v>3926</v>
      </c>
      <c r="G422" s="1630"/>
      <c r="H422" s="1630"/>
      <c r="I422" s="633">
        <f t="shared" si="50"/>
        <v>534.5249</v>
      </c>
    </row>
    <row r="423" spans="1:9">
      <c r="A423" s="1629"/>
      <c r="B423" s="1630"/>
      <c r="C423" s="1630"/>
      <c r="D423" s="1630"/>
      <c r="E423" s="1630"/>
      <c r="F423" s="633"/>
      <c r="G423" s="1630"/>
      <c r="H423" s="1630"/>
      <c r="I423" s="633">
        <f>SUM(I421:I422)</f>
        <v>4460.5249000000003</v>
      </c>
    </row>
    <row r="424" spans="1:9">
      <c r="A424" s="1629"/>
      <c r="B424" s="1630"/>
      <c r="C424" s="1630" t="s">
        <v>2380</v>
      </c>
      <c r="D424" s="1630"/>
      <c r="E424" s="1630"/>
      <c r="F424" s="633"/>
      <c r="G424" s="1630"/>
      <c r="H424" s="1630" t="s">
        <v>1511</v>
      </c>
      <c r="I424" s="635">
        <f>ROUND(I423,0)</f>
        <v>4461</v>
      </c>
    </row>
    <row r="425" spans="1:9">
      <c r="A425" s="1629"/>
      <c r="B425" s="1630"/>
      <c r="C425" s="1630"/>
      <c r="D425" s="1630"/>
      <c r="E425" s="1630"/>
      <c r="F425" s="633"/>
      <c r="G425" s="1630"/>
      <c r="H425" s="1630"/>
      <c r="I425" s="633"/>
    </row>
    <row r="426" spans="1:9">
      <c r="A426" s="1629"/>
      <c r="B426" s="1630" t="s">
        <v>442</v>
      </c>
      <c r="C426" s="1630" t="s">
        <v>2421</v>
      </c>
      <c r="D426" s="1630"/>
      <c r="E426" s="1630"/>
      <c r="F426" s="633"/>
      <c r="G426" s="1630"/>
      <c r="H426" s="1630"/>
      <c r="I426" s="633"/>
    </row>
    <row r="427" spans="1:9">
      <c r="A427" s="1629"/>
      <c r="B427" s="1630"/>
      <c r="C427" s="637" t="s">
        <v>2708</v>
      </c>
      <c r="D427" s="1630">
        <v>1</v>
      </c>
      <c r="E427" s="1630" t="s">
        <v>39</v>
      </c>
      <c r="F427" s="633">
        <f>'WS-SOR'!$G$63</f>
        <v>6060</v>
      </c>
      <c r="G427" s="1630"/>
      <c r="H427" s="1630" t="s">
        <v>501</v>
      </c>
      <c r="I427" s="633">
        <f t="shared" ref="I427:I428" si="51">IF(G427="",D427*F427,(D427*F427/G427))</f>
        <v>6060</v>
      </c>
    </row>
    <row r="428" spans="1:9">
      <c r="A428" s="1629"/>
      <c r="B428" s="1630"/>
      <c r="C428" s="1630" t="str">
        <f>Input!$C$48</f>
        <v>Overheads &amp; Contractors Profit @ 13.615%</v>
      </c>
      <c r="D428" s="1630">
        <f>Input!$D$48</f>
        <v>0.13614999999999999</v>
      </c>
      <c r="E428" s="1630"/>
      <c r="F428" s="633">
        <f>I427</f>
        <v>6060</v>
      </c>
      <c r="G428" s="1630"/>
      <c r="H428" s="1630"/>
      <c r="I428" s="633">
        <f t="shared" si="51"/>
        <v>825.06899999999996</v>
      </c>
    </row>
    <row r="429" spans="1:9">
      <c r="A429" s="1629"/>
      <c r="B429" s="1630"/>
      <c r="C429" s="1630"/>
      <c r="D429" s="1630"/>
      <c r="E429" s="1630"/>
      <c r="F429" s="633"/>
      <c r="G429" s="1630"/>
      <c r="H429" s="1630"/>
      <c r="I429" s="633">
        <f>SUM(I427:I428)</f>
        <v>6885.0689999999995</v>
      </c>
    </row>
    <row r="430" spans="1:9">
      <c r="A430" s="1629"/>
      <c r="B430" s="1630"/>
      <c r="C430" s="1630" t="s">
        <v>2380</v>
      </c>
      <c r="D430" s="1630"/>
      <c r="E430" s="1630"/>
      <c r="F430" s="633"/>
      <c r="G430" s="1630"/>
      <c r="H430" s="1630" t="s">
        <v>1511</v>
      </c>
      <c r="I430" s="633">
        <f>ROUND(I429,0)</f>
        <v>6885</v>
      </c>
    </row>
    <row r="431" spans="1:9">
      <c r="A431" s="1629"/>
      <c r="B431" s="1630"/>
      <c r="C431" s="1630"/>
      <c r="D431" s="1630"/>
      <c r="E431" s="1630"/>
      <c r="F431" s="633"/>
      <c r="G431" s="1630"/>
      <c r="H431" s="1630"/>
      <c r="I431" s="633"/>
    </row>
    <row r="432" spans="1:9">
      <c r="A432" s="1629"/>
      <c r="B432" s="1630" t="s">
        <v>445</v>
      </c>
      <c r="C432" s="1630" t="s">
        <v>2422</v>
      </c>
      <c r="D432" s="1630"/>
      <c r="E432" s="1630"/>
      <c r="F432" s="633"/>
      <c r="G432" s="1630"/>
      <c r="H432" s="1630"/>
      <c r="I432" s="633"/>
    </row>
    <row r="433" spans="1:9" ht="27">
      <c r="A433" s="1629"/>
      <c r="B433" s="1630"/>
      <c r="C433" s="637" t="s">
        <v>2709</v>
      </c>
      <c r="D433" s="1630">
        <v>1</v>
      </c>
      <c r="E433" s="1630" t="s">
        <v>39</v>
      </c>
      <c r="F433" s="633">
        <f>'WS-SOR'!$G$64</f>
        <v>8983</v>
      </c>
      <c r="G433" s="1630"/>
      <c r="H433" s="1630" t="s">
        <v>501</v>
      </c>
      <c r="I433" s="633">
        <f t="shared" ref="I433:I434" si="52">IF(G433="",D433*F433,(D433*F433/G433))</f>
        <v>8983</v>
      </c>
    </row>
    <row r="434" spans="1:9">
      <c r="A434" s="1629"/>
      <c r="B434" s="1630"/>
      <c r="C434" s="1630" t="str">
        <f>Input!$C$48</f>
        <v>Overheads &amp; Contractors Profit @ 13.615%</v>
      </c>
      <c r="D434" s="1630">
        <f>Input!$D$48</f>
        <v>0.13614999999999999</v>
      </c>
      <c r="E434" s="1630"/>
      <c r="F434" s="633">
        <f>I433</f>
        <v>8983</v>
      </c>
      <c r="G434" s="1630"/>
      <c r="H434" s="1630"/>
      <c r="I434" s="633">
        <f t="shared" si="52"/>
        <v>1223.0354499999999</v>
      </c>
    </row>
    <row r="435" spans="1:9">
      <c r="A435" s="1629"/>
      <c r="B435" s="1630"/>
      <c r="C435" s="1630"/>
      <c r="D435" s="1630"/>
      <c r="E435" s="1630"/>
      <c r="F435" s="633"/>
      <c r="G435" s="1630"/>
      <c r="H435" s="1630"/>
      <c r="I435" s="633">
        <f>SUM(I433:I434)</f>
        <v>10206.035449999999</v>
      </c>
    </row>
    <row r="436" spans="1:9">
      <c r="A436" s="1629"/>
      <c r="B436" s="1630"/>
      <c r="C436" s="1630" t="s">
        <v>2380</v>
      </c>
      <c r="D436" s="1630"/>
      <c r="E436" s="1630"/>
      <c r="F436" s="633"/>
      <c r="G436" s="1630"/>
      <c r="H436" s="1630" t="s">
        <v>1511</v>
      </c>
      <c r="I436" s="633">
        <f>ROUND(I435,0)</f>
        <v>10206</v>
      </c>
    </row>
    <row r="437" spans="1:9">
      <c r="A437" s="1629"/>
      <c r="B437" s="1630"/>
      <c r="C437" s="1630"/>
      <c r="D437" s="1630"/>
      <c r="E437" s="1630"/>
      <c r="F437" s="633"/>
      <c r="G437" s="1630"/>
      <c r="H437" s="1630"/>
      <c r="I437" s="633"/>
    </row>
    <row r="438" spans="1:9" ht="82.15" customHeight="1">
      <c r="A438" s="1629">
        <f>A387+1</f>
        <v>21</v>
      </c>
      <c r="B438" s="1630"/>
      <c r="C438" s="2113" t="s">
        <v>2710</v>
      </c>
      <c r="D438" s="2113"/>
      <c r="E438" s="2113"/>
      <c r="F438" s="2113"/>
      <c r="G438" s="2113"/>
      <c r="H438" s="2113"/>
      <c r="I438" s="633"/>
    </row>
    <row r="439" spans="1:9">
      <c r="A439" s="1629"/>
      <c r="B439" s="1630"/>
      <c r="C439" s="636" t="s">
        <v>2711</v>
      </c>
      <c r="D439" s="1630">
        <v>1</v>
      </c>
      <c r="E439" s="1630" t="s">
        <v>138</v>
      </c>
      <c r="F439" s="633">
        <f>'WS-SOR'!$G$71</f>
        <v>9</v>
      </c>
      <c r="G439" s="1630">
        <v>1</v>
      </c>
      <c r="H439" s="1630" t="s">
        <v>138</v>
      </c>
      <c r="I439" s="633">
        <f t="shared" ref="I439:I440" si="53">IF(G439="",D439*F439,(D439*F439/G439))</f>
        <v>9</v>
      </c>
    </row>
    <row r="440" spans="1:9">
      <c r="A440" s="1629"/>
      <c r="B440" s="1630"/>
      <c r="C440" s="1630" t="str">
        <f>Input!$C$47</f>
        <v>Add for MA @ 40%</v>
      </c>
      <c r="D440" s="1630">
        <f>Input!$D$47</f>
        <v>0.4</v>
      </c>
      <c r="E440" s="1630"/>
      <c r="F440" s="633">
        <f>'WS-SOR'!$H$71</f>
        <v>0</v>
      </c>
      <c r="G440" s="1630"/>
      <c r="H440" s="1630"/>
      <c r="I440" s="633">
        <f t="shared" si="53"/>
        <v>0</v>
      </c>
    </row>
    <row r="441" spans="1:9">
      <c r="A441" s="1629"/>
      <c r="B441" s="1630"/>
      <c r="C441" s="1630"/>
      <c r="D441" s="1630"/>
      <c r="E441" s="1630"/>
      <c r="F441" s="633"/>
      <c r="G441" s="1630"/>
      <c r="H441" s="1630"/>
      <c r="I441" s="633">
        <f>SUM(I439:I440)</f>
        <v>9</v>
      </c>
    </row>
    <row r="442" spans="1:9">
      <c r="A442" s="1629"/>
      <c r="B442" s="1630"/>
      <c r="C442" s="1630" t="str">
        <f>Input!$C$48</f>
        <v>Overheads &amp; Contractors Profit @ 13.615%</v>
      </c>
      <c r="D442" s="1630">
        <f>Input!$D$48</f>
        <v>0.13614999999999999</v>
      </c>
      <c r="E442" s="1630"/>
      <c r="F442" s="633">
        <f>I441</f>
        <v>9</v>
      </c>
      <c r="G442" s="1630"/>
      <c r="H442" s="1630"/>
      <c r="I442" s="633">
        <f>IF(G442="",D442*F442,(D442*F442/G442))</f>
        <v>1.2253499999999999</v>
      </c>
    </row>
    <row r="443" spans="1:9">
      <c r="A443" s="1629"/>
      <c r="B443" s="1630"/>
      <c r="C443" s="1630" t="s">
        <v>2423</v>
      </c>
      <c r="D443" s="1630"/>
      <c r="E443" s="1630"/>
      <c r="F443" s="633"/>
      <c r="G443" s="1630"/>
      <c r="H443" s="1630"/>
      <c r="I443" s="633">
        <f>ROUND(SUM(I441:I442),2)</f>
        <v>10.23</v>
      </c>
    </row>
    <row r="444" spans="1:9">
      <c r="A444" s="1629"/>
      <c r="B444" s="1630"/>
      <c r="C444" s="1630"/>
      <c r="D444" s="1630"/>
      <c r="E444" s="1630"/>
      <c r="F444" s="633"/>
      <c r="G444" s="1630"/>
      <c r="H444" s="1630"/>
      <c r="I444" s="633"/>
    </row>
    <row r="445" spans="1:9" ht="95.1" customHeight="1">
      <c r="A445" s="1629">
        <f>A438+1</f>
        <v>22</v>
      </c>
      <c r="B445" s="1630"/>
      <c r="C445" s="2113" t="s">
        <v>3620</v>
      </c>
      <c r="D445" s="2113"/>
      <c r="E445" s="2113"/>
      <c r="F445" s="2113"/>
      <c r="G445" s="2113"/>
      <c r="H445" s="2113"/>
      <c r="I445" s="633"/>
    </row>
    <row r="446" spans="1:9">
      <c r="A446" s="1629"/>
      <c r="B446" s="1630"/>
      <c r="C446" s="636" t="s">
        <v>3621</v>
      </c>
      <c r="D446" s="1630">
        <v>1</v>
      </c>
      <c r="E446" s="1630" t="s">
        <v>1509</v>
      </c>
      <c r="F446" s="633">
        <f>'WS-SOR'!$G$35</f>
        <v>4871</v>
      </c>
      <c r="G446" s="1630"/>
      <c r="H446" s="1630" t="s">
        <v>501</v>
      </c>
      <c r="I446" s="633">
        <f t="shared" ref="I446:I447" si="54">IF(G446="",D446*F446,(D446*F446/G446))</f>
        <v>4871</v>
      </c>
    </row>
    <row r="447" spans="1:9">
      <c r="A447" s="1629"/>
      <c r="B447" s="1630"/>
      <c r="C447" s="1630" t="str">
        <f>Input!$C$47</f>
        <v>Add for MA @ 40%</v>
      </c>
      <c r="D447" s="1630">
        <f>Input!$D$47</f>
        <v>0.4</v>
      </c>
      <c r="E447" s="1630"/>
      <c r="F447" s="633">
        <f>'WS-SOR'!$H$35</f>
        <v>0</v>
      </c>
      <c r="G447" s="1630"/>
      <c r="H447" s="1630"/>
      <c r="I447" s="633">
        <f t="shared" si="54"/>
        <v>0</v>
      </c>
    </row>
    <row r="448" spans="1:9">
      <c r="A448" s="1629"/>
      <c r="B448" s="1630"/>
      <c r="C448" s="1630"/>
      <c r="D448" s="1630"/>
      <c r="E448" s="1630"/>
      <c r="F448" s="633"/>
      <c r="G448" s="1630"/>
      <c r="H448" s="1630"/>
      <c r="I448" s="633">
        <f>SUM(I446:I447)</f>
        <v>4871</v>
      </c>
    </row>
    <row r="449" spans="1:9">
      <c r="A449" s="1629"/>
      <c r="B449" s="1630"/>
      <c r="C449" s="1630" t="str">
        <f>Input!$C$48</f>
        <v>Overheads &amp; Contractors Profit @ 13.615%</v>
      </c>
      <c r="D449" s="1630">
        <f>Input!$D$48</f>
        <v>0.13614999999999999</v>
      </c>
      <c r="E449" s="1630"/>
      <c r="F449" s="633">
        <f>I448</f>
        <v>4871</v>
      </c>
      <c r="G449" s="1630"/>
      <c r="H449" s="1630"/>
      <c r="I449" s="633">
        <f>IF(G449="",D449*F449,(D449*F449/G449))</f>
        <v>663.18664999999999</v>
      </c>
    </row>
    <row r="450" spans="1:9">
      <c r="A450" s="1629"/>
      <c r="B450" s="1630"/>
      <c r="C450" s="1630"/>
      <c r="D450" s="1630"/>
      <c r="E450" s="1630"/>
      <c r="F450" s="633"/>
      <c r="G450" s="1630"/>
      <c r="H450" s="1630"/>
      <c r="I450" s="633">
        <f>SUM(I448:I449)</f>
        <v>5534.1866499999996</v>
      </c>
    </row>
    <row r="451" spans="1:9">
      <c r="A451" s="1629"/>
      <c r="B451" s="1630"/>
      <c r="C451" s="1630" t="s">
        <v>2380</v>
      </c>
      <c r="D451" s="1630"/>
      <c r="E451" s="1630"/>
      <c r="F451" s="633"/>
      <c r="G451" s="1630"/>
      <c r="H451" s="1630" t="s">
        <v>1511</v>
      </c>
      <c r="I451" s="635">
        <f>ROUND(I450,0)</f>
        <v>5534</v>
      </c>
    </row>
    <row r="452" spans="1:9">
      <c r="A452" s="1629"/>
      <c r="B452" s="1630"/>
      <c r="C452" s="1630"/>
      <c r="D452" s="1630"/>
      <c r="E452" s="1630"/>
      <c r="F452" s="633"/>
      <c r="G452" s="1630"/>
      <c r="H452" s="1630"/>
      <c r="I452" s="633"/>
    </row>
    <row r="453" spans="1:9" ht="95.1" customHeight="1">
      <c r="A453" s="1629">
        <f>+A445+1</f>
        <v>23</v>
      </c>
      <c r="B453" s="1630"/>
      <c r="C453" s="2113" t="s">
        <v>2712</v>
      </c>
      <c r="D453" s="2113"/>
      <c r="E453" s="2113"/>
      <c r="F453" s="2113"/>
      <c r="G453" s="2113"/>
      <c r="H453" s="2113"/>
      <c r="I453" s="633"/>
    </row>
    <row r="454" spans="1:9">
      <c r="A454" s="1629"/>
      <c r="B454" s="1630"/>
      <c r="C454" s="636" t="s">
        <v>2713</v>
      </c>
      <c r="D454" s="1630">
        <v>1</v>
      </c>
      <c r="E454" s="1630" t="s">
        <v>1509</v>
      </c>
      <c r="F454" s="633">
        <f>'WS-SOR'!$G$34</f>
        <v>7277</v>
      </c>
      <c r="G454" s="1630"/>
      <c r="H454" s="1630" t="s">
        <v>501</v>
      </c>
      <c r="I454" s="633">
        <f t="shared" ref="I454:I455" si="55">IF(G454="",D454*F454,(D454*F454/G454))</f>
        <v>7277</v>
      </c>
    </row>
    <row r="455" spans="1:9">
      <c r="A455" s="1629"/>
      <c r="B455" s="1630"/>
      <c r="C455" s="1630" t="str">
        <f>Input!$C$47</f>
        <v>Add for MA @ 40%</v>
      </c>
      <c r="D455" s="1630">
        <f>Input!$D$47</f>
        <v>0.4</v>
      </c>
      <c r="E455" s="1630"/>
      <c r="F455" s="633">
        <f>'WS-SOR'!$H$34</f>
        <v>0</v>
      </c>
      <c r="G455" s="1630"/>
      <c r="H455" s="1630"/>
      <c r="I455" s="633">
        <f t="shared" si="55"/>
        <v>0</v>
      </c>
    </row>
    <row r="456" spans="1:9">
      <c r="A456" s="1629"/>
      <c r="B456" s="1630"/>
      <c r="C456" s="1630"/>
      <c r="D456" s="1630"/>
      <c r="E456" s="1630"/>
      <c r="F456" s="633"/>
      <c r="G456" s="1630"/>
      <c r="H456" s="1630"/>
      <c r="I456" s="633">
        <f>SUM(I454:I455)</f>
        <v>7277</v>
      </c>
    </row>
    <row r="457" spans="1:9">
      <c r="A457" s="1629"/>
      <c r="B457" s="1630"/>
      <c r="C457" s="1630" t="str">
        <f>Input!$C$48</f>
        <v>Overheads &amp; Contractors Profit @ 13.615%</v>
      </c>
      <c r="D457" s="1630">
        <f>Input!$D$48</f>
        <v>0.13614999999999999</v>
      </c>
      <c r="E457" s="1630"/>
      <c r="F457" s="633">
        <f>I456</f>
        <v>7277</v>
      </c>
      <c r="G457" s="1630"/>
      <c r="H457" s="1630"/>
      <c r="I457" s="633">
        <f>IF(G457="",D457*F457,(D457*F457/G457))</f>
        <v>990.7635499999999</v>
      </c>
    </row>
    <row r="458" spans="1:9">
      <c r="A458" s="1629"/>
      <c r="B458" s="1630"/>
      <c r="C458" s="1630"/>
      <c r="D458" s="1630"/>
      <c r="E458" s="1630"/>
      <c r="F458" s="633"/>
      <c r="G458" s="1630"/>
      <c r="H458" s="1630"/>
      <c r="I458" s="633">
        <f>SUM(I456:I457)</f>
        <v>8267.7635499999997</v>
      </c>
    </row>
    <row r="459" spans="1:9">
      <c r="A459" s="1629"/>
      <c r="B459" s="1630"/>
      <c r="C459" s="1630" t="s">
        <v>2380</v>
      </c>
      <c r="D459" s="1630"/>
      <c r="E459" s="1630"/>
      <c r="F459" s="633"/>
      <c r="G459" s="1630"/>
      <c r="H459" s="1630" t="s">
        <v>1511</v>
      </c>
      <c r="I459" s="633">
        <f>ROUND(I458,0)</f>
        <v>8268</v>
      </c>
    </row>
    <row r="460" spans="1:9">
      <c r="A460" s="1629"/>
      <c r="B460" s="1630"/>
      <c r="C460" s="1630"/>
      <c r="D460" s="1630"/>
      <c r="E460" s="1630"/>
      <c r="F460" s="633"/>
      <c r="G460" s="1630"/>
      <c r="H460" s="1630"/>
      <c r="I460" s="633"/>
    </row>
    <row r="461" spans="1:9" ht="127.5" customHeight="1">
      <c r="A461" s="1629">
        <f>A453+1</f>
        <v>24</v>
      </c>
      <c r="B461" s="1630"/>
      <c r="C461" s="2113" t="s">
        <v>2714</v>
      </c>
      <c r="D461" s="2113"/>
      <c r="E461" s="2113"/>
      <c r="F461" s="2113"/>
      <c r="G461" s="2113"/>
      <c r="H461" s="2113"/>
      <c r="I461" s="633"/>
    </row>
    <row r="462" spans="1:9">
      <c r="A462" s="1629"/>
      <c r="B462" s="1630"/>
      <c r="C462" s="636" t="s">
        <v>2715</v>
      </c>
      <c r="D462" s="1630">
        <v>1</v>
      </c>
      <c r="E462" s="1630" t="s">
        <v>1509</v>
      </c>
      <c r="F462" s="633">
        <f>'WS-SOR'!$G$32</f>
        <v>1049</v>
      </c>
      <c r="G462" s="1630"/>
      <c r="H462" s="1630" t="s">
        <v>501</v>
      </c>
      <c r="I462" s="633">
        <f t="shared" ref="I462:I467" si="56">IF(G462="",D462*F462,(D462*F462/G462))</f>
        <v>1049</v>
      </c>
    </row>
    <row r="463" spans="1:9">
      <c r="A463" s="1629"/>
      <c r="B463" s="1630"/>
      <c r="C463" s="1630" t="str">
        <f>Input!$C$47</f>
        <v>Add for MA @ 40%</v>
      </c>
      <c r="D463" s="1630">
        <f>Input!$D$47</f>
        <v>0.4</v>
      </c>
      <c r="E463" s="1630"/>
      <c r="F463" s="633">
        <f>'WS-SOR'!$H$32</f>
        <v>211</v>
      </c>
      <c r="G463" s="1630"/>
      <c r="H463" s="1630"/>
      <c r="I463" s="633">
        <f t="shared" si="56"/>
        <v>84.4</v>
      </c>
    </row>
    <row r="464" spans="1:9" ht="29.25">
      <c r="A464" s="1629"/>
      <c r="B464" s="1630"/>
      <c r="C464" s="637" t="s">
        <v>2716</v>
      </c>
      <c r="D464" s="1630">
        <v>1</v>
      </c>
      <c r="E464" s="1630" t="s">
        <v>1509</v>
      </c>
      <c r="F464" s="633">
        <f>'WS-SOR'!$G$91</f>
        <v>119</v>
      </c>
      <c r="G464" s="1630"/>
      <c r="H464" s="1630" t="s">
        <v>501</v>
      </c>
      <c r="I464" s="633">
        <f t="shared" si="56"/>
        <v>119</v>
      </c>
    </row>
    <row r="465" spans="1:9">
      <c r="A465" s="1629"/>
      <c r="B465" s="1630"/>
      <c r="C465" s="1630" t="str">
        <f>Input!$C$47</f>
        <v>Add for MA @ 40%</v>
      </c>
      <c r="D465" s="1630">
        <f>Input!$D$47</f>
        <v>0.4</v>
      </c>
      <c r="E465" s="1630"/>
      <c r="F465" s="633">
        <f>'WS-SOR'!$H$91</f>
        <v>0</v>
      </c>
      <c r="G465" s="1630"/>
      <c r="H465" s="1630"/>
      <c r="I465" s="633">
        <f t="shared" si="56"/>
        <v>0</v>
      </c>
    </row>
    <row r="466" spans="1:9" ht="27">
      <c r="A466" s="1629"/>
      <c r="B466" s="1630"/>
      <c r="C466" s="637" t="s">
        <v>2717</v>
      </c>
      <c r="D466" s="1630">
        <v>1</v>
      </c>
      <c r="E466" s="1630" t="s">
        <v>1509</v>
      </c>
      <c r="F466" s="633">
        <f>'WS-SOR'!$G$41</f>
        <v>287</v>
      </c>
      <c r="G466" s="1630"/>
      <c r="H466" s="1630" t="s">
        <v>501</v>
      </c>
      <c r="I466" s="633">
        <f t="shared" si="56"/>
        <v>287</v>
      </c>
    </row>
    <row r="467" spans="1:9" ht="30">
      <c r="A467" s="1629"/>
      <c r="B467" s="1630"/>
      <c r="C467" s="634" t="s">
        <v>2424</v>
      </c>
      <c r="D467" s="1630">
        <v>1</v>
      </c>
      <c r="E467" s="1630" t="s">
        <v>1509</v>
      </c>
      <c r="F467" s="633">
        <f>'WS-SOR'!$G$72</f>
        <v>31</v>
      </c>
      <c r="G467" s="1630"/>
      <c r="H467" s="1630" t="s">
        <v>501</v>
      </c>
      <c r="I467" s="633">
        <f t="shared" si="56"/>
        <v>31</v>
      </c>
    </row>
    <row r="468" spans="1:9">
      <c r="A468" s="1629"/>
      <c r="B468" s="1630"/>
      <c r="C468" s="1630" t="s">
        <v>2425</v>
      </c>
      <c r="D468" s="1630"/>
      <c r="E468" s="1630"/>
      <c r="F468" s="633"/>
      <c r="G468" s="1630"/>
      <c r="H468" s="1630"/>
      <c r="I468" s="633">
        <f>SUM(I462:I467)</f>
        <v>1570.4</v>
      </c>
    </row>
    <row r="469" spans="1:9">
      <c r="A469" s="1629"/>
      <c r="B469" s="1630"/>
      <c r="C469" s="1630" t="str">
        <f>Input!$C$48</f>
        <v>Overheads &amp; Contractors Profit @ 13.615%</v>
      </c>
      <c r="D469" s="1630">
        <f>Input!$D$48</f>
        <v>0.13614999999999999</v>
      </c>
      <c r="E469" s="1630"/>
      <c r="F469" s="633">
        <f>I468</f>
        <v>1570.4</v>
      </c>
      <c r="G469" s="1630"/>
      <c r="H469" s="1630"/>
      <c r="I469" s="633">
        <f>IF(G469="",D469*F469,(D469*F469/G469))</f>
        <v>213.80995999999999</v>
      </c>
    </row>
    <row r="470" spans="1:9">
      <c r="A470" s="1629"/>
      <c r="B470" s="1630"/>
      <c r="C470" s="1630"/>
      <c r="D470" s="1630"/>
      <c r="E470" s="1630"/>
      <c r="F470" s="633"/>
      <c r="G470" s="1630"/>
      <c r="H470" s="1630"/>
      <c r="I470" s="633">
        <f>SUM(I468:I469)</f>
        <v>1784.2099600000001</v>
      </c>
    </row>
    <row r="471" spans="1:9">
      <c r="A471" s="1629"/>
      <c r="B471" s="1630"/>
      <c r="C471" s="1630" t="s">
        <v>2380</v>
      </c>
      <c r="D471" s="1630"/>
      <c r="E471" s="1630"/>
      <c r="F471" s="633"/>
      <c r="G471" s="1630"/>
      <c r="H471" s="1630" t="s">
        <v>1065</v>
      </c>
      <c r="I471" s="633">
        <f>ROUND(I470,0)</f>
        <v>1784</v>
      </c>
    </row>
    <row r="472" spans="1:9">
      <c r="A472" s="1629"/>
      <c r="B472" s="1630"/>
      <c r="C472" s="1630"/>
      <c r="D472" s="1630"/>
      <c r="E472" s="1630"/>
      <c r="F472" s="633"/>
      <c r="G472" s="1630"/>
      <c r="H472" s="1630"/>
      <c r="I472" s="633"/>
    </row>
    <row r="473" spans="1:9" ht="140.25" customHeight="1">
      <c r="A473" s="1629">
        <f>1+A445</f>
        <v>23</v>
      </c>
      <c r="B473" s="1630"/>
      <c r="C473" s="2113" t="s">
        <v>2718</v>
      </c>
      <c r="D473" s="2113"/>
      <c r="E473" s="2113"/>
      <c r="F473" s="2113"/>
      <c r="G473" s="2113"/>
      <c r="H473" s="2113"/>
      <c r="I473" s="633"/>
    </row>
    <row r="474" spans="1:9">
      <c r="A474" s="1629"/>
      <c r="B474" s="1630"/>
      <c r="C474" s="636" t="s">
        <v>2719</v>
      </c>
      <c r="D474" s="1630">
        <v>1</v>
      </c>
      <c r="E474" s="1630" t="s">
        <v>1509</v>
      </c>
      <c r="F474" s="633">
        <f>'WS-SOR'!$G$33</f>
        <v>3809</v>
      </c>
      <c r="G474" s="1630"/>
      <c r="H474" s="1630" t="s">
        <v>501</v>
      </c>
      <c r="I474" s="633">
        <f t="shared" ref="I474:I479" si="57">IF(G474="",D474*F474,(D474*F474/G474))</f>
        <v>3809</v>
      </c>
    </row>
    <row r="475" spans="1:9">
      <c r="A475" s="1629"/>
      <c r="B475" s="1630"/>
      <c r="C475" s="1630" t="str">
        <f>Input!$C$47</f>
        <v>Add for MA @ 40%</v>
      </c>
      <c r="D475" s="1630">
        <f>Input!$D$47</f>
        <v>0.4</v>
      </c>
      <c r="E475" s="1630"/>
      <c r="F475" s="633">
        <f>'WS-SOR'!$H$33</f>
        <v>211</v>
      </c>
      <c r="G475" s="1630"/>
      <c r="H475" s="1630"/>
      <c r="I475" s="633">
        <f t="shared" si="57"/>
        <v>84.4</v>
      </c>
    </row>
    <row r="476" spans="1:9">
      <c r="A476" s="1629"/>
      <c r="B476" s="1630"/>
      <c r="C476" s="636" t="s">
        <v>2720</v>
      </c>
      <c r="D476" s="1630">
        <v>1</v>
      </c>
      <c r="E476" s="1630" t="s">
        <v>1509</v>
      </c>
      <c r="F476" s="633">
        <f>'WS-SOR'!$G$91</f>
        <v>119</v>
      </c>
      <c r="G476" s="1630"/>
      <c r="H476" s="1630" t="s">
        <v>501</v>
      </c>
      <c r="I476" s="633">
        <f t="shared" si="57"/>
        <v>119</v>
      </c>
    </row>
    <row r="477" spans="1:9">
      <c r="A477" s="1629"/>
      <c r="B477" s="1630"/>
      <c r="C477" s="1630" t="str">
        <f>Input!$C$47</f>
        <v>Add for MA @ 40%</v>
      </c>
      <c r="D477" s="1630">
        <f>Input!$D$47</f>
        <v>0.4</v>
      </c>
      <c r="E477" s="1630"/>
      <c r="F477" s="633">
        <f>'WS-SOR'!$H$91</f>
        <v>0</v>
      </c>
      <c r="G477" s="1630"/>
      <c r="H477" s="1630"/>
      <c r="I477" s="633">
        <f t="shared" si="57"/>
        <v>0</v>
      </c>
    </row>
    <row r="478" spans="1:9" ht="27">
      <c r="A478" s="1629"/>
      <c r="B478" s="1630"/>
      <c r="C478" s="637" t="s">
        <v>2721</v>
      </c>
      <c r="D478" s="1630">
        <v>1</v>
      </c>
      <c r="E478" s="1630" t="s">
        <v>1509</v>
      </c>
      <c r="F478" s="633">
        <f>'WS-SOR'!$G$41</f>
        <v>287</v>
      </c>
      <c r="G478" s="1630"/>
      <c r="H478" s="1630" t="s">
        <v>501</v>
      </c>
      <c r="I478" s="633">
        <f t="shared" si="57"/>
        <v>287</v>
      </c>
    </row>
    <row r="479" spans="1:9" ht="27">
      <c r="A479" s="1629"/>
      <c r="B479" s="1630"/>
      <c r="C479" s="637" t="s">
        <v>2722</v>
      </c>
      <c r="D479" s="1630">
        <v>1</v>
      </c>
      <c r="E479" s="1630" t="s">
        <v>1509</v>
      </c>
      <c r="F479" s="633">
        <f>'WS-SOR'!$G$72</f>
        <v>31</v>
      </c>
      <c r="G479" s="1630"/>
      <c r="H479" s="1630" t="s">
        <v>501</v>
      </c>
      <c r="I479" s="633">
        <f t="shared" si="57"/>
        <v>31</v>
      </c>
    </row>
    <row r="480" spans="1:9">
      <c r="A480" s="1629"/>
      <c r="B480" s="1630"/>
      <c r="C480" s="1630"/>
      <c r="D480" s="1630"/>
      <c r="E480" s="1630"/>
      <c r="F480" s="633"/>
      <c r="G480" s="1630"/>
      <c r="H480" s="1630"/>
      <c r="I480" s="633">
        <f>SUM(I474:I479)</f>
        <v>4330.3999999999996</v>
      </c>
    </row>
    <row r="481" spans="1:10">
      <c r="A481" s="1629"/>
      <c r="B481" s="1630"/>
      <c r="C481" s="1630" t="str">
        <f>Input!$C$48</f>
        <v>Overheads &amp; Contractors Profit @ 13.615%</v>
      </c>
      <c r="D481" s="1630">
        <f>Input!$D$48</f>
        <v>0.13614999999999999</v>
      </c>
      <c r="E481" s="1630"/>
      <c r="F481" s="633">
        <f>I480</f>
        <v>4330.3999999999996</v>
      </c>
      <c r="G481" s="1630"/>
      <c r="H481" s="1630"/>
      <c r="I481" s="633">
        <f>IF(G481="",D481*F481,(D481*F481/G481))</f>
        <v>589.58395999999993</v>
      </c>
    </row>
    <row r="482" spans="1:10">
      <c r="A482" s="1629"/>
      <c r="B482" s="1630"/>
      <c r="C482" s="1630"/>
      <c r="D482" s="1630"/>
      <c r="E482" s="1630"/>
      <c r="F482" s="633"/>
      <c r="G482" s="1630"/>
      <c r="H482" s="1630"/>
      <c r="I482" s="633">
        <f>SUM(I480:I481)</f>
        <v>4919.9839599999996</v>
      </c>
    </row>
    <row r="483" spans="1:10">
      <c r="A483" s="1629"/>
      <c r="B483" s="1630"/>
      <c r="C483" s="1630" t="s">
        <v>2380</v>
      </c>
      <c r="D483" s="1630"/>
      <c r="E483" s="1630"/>
      <c r="F483" s="633"/>
      <c r="G483" s="1630"/>
      <c r="H483" s="1630" t="s">
        <v>1065</v>
      </c>
      <c r="I483" s="635">
        <f>ROUND(I482,0)</f>
        <v>4920</v>
      </c>
    </row>
    <row r="484" spans="1:10">
      <c r="A484" s="1629"/>
      <c r="B484" s="1630"/>
      <c r="C484" s="1630"/>
      <c r="D484" s="1630"/>
      <c r="E484" s="1630"/>
      <c r="F484" s="633"/>
      <c r="G484" s="1630"/>
      <c r="H484" s="1630"/>
      <c r="I484" s="633"/>
    </row>
    <row r="485" spans="1:10" ht="69" customHeight="1">
      <c r="A485" s="1629">
        <f>A473+1</f>
        <v>24</v>
      </c>
      <c r="B485" s="1630"/>
      <c r="C485" s="2113" t="s">
        <v>2723</v>
      </c>
      <c r="D485" s="2113"/>
      <c r="E485" s="2113"/>
      <c r="F485" s="2113"/>
      <c r="G485" s="2113"/>
      <c r="H485" s="2113"/>
      <c r="I485" s="633"/>
    </row>
    <row r="486" spans="1:10">
      <c r="A486" s="1629"/>
      <c r="B486" s="1630"/>
      <c r="C486" s="636" t="s">
        <v>2724</v>
      </c>
      <c r="D486" s="1630">
        <f>1.2*0.6</f>
        <v>0.72</v>
      </c>
      <c r="E486" s="1630" t="s">
        <v>46</v>
      </c>
      <c r="F486" s="633">
        <f>'WS-SOR'!$G$107</f>
        <v>1015</v>
      </c>
      <c r="G486" s="1630">
        <v>1</v>
      </c>
      <c r="H486" s="1630" t="s">
        <v>46</v>
      </c>
      <c r="I486" s="633">
        <f t="shared" ref="I486:I491" si="58">IF(G486="",D486*F486,(D486*F486/G486))</f>
        <v>730.8</v>
      </c>
    </row>
    <row r="487" spans="1:10">
      <c r="A487" s="1629"/>
      <c r="B487" s="1630"/>
      <c r="C487" s="636" t="s">
        <v>2725</v>
      </c>
      <c r="D487" s="1630">
        <v>1.2</v>
      </c>
      <c r="E487" s="1630" t="s">
        <v>197</v>
      </c>
      <c r="F487" s="633">
        <f>'WS-SOR'!$H$85</f>
        <v>40</v>
      </c>
      <c r="G487" s="1630">
        <v>1</v>
      </c>
      <c r="H487" s="1630" t="s">
        <v>197</v>
      </c>
      <c r="I487" s="633">
        <f t="shared" si="58"/>
        <v>48</v>
      </c>
    </row>
    <row r="488" spans="1:10">
      <c r="A488" s="1629"/>
      <c r="B488" s="1630"/>
      <c r="C488" s="1630" t="str">
        <f>Input!$C$47</f>
        <v>Add for MA @ 40%</v>
      </c>
      <c r="D488" s="1630">
        <f>Input!$D$47</f>
        <v>0.4</v>
      </c>
      <c r="E488" s="1630"/>
      <c r="F488" s="633">
        <f>I487</f>
        <v>48</v>
      </c>
      <c r="G488" s="1630"/>
      <c r="H488" s="1630"/>
      <c r="I488" s="633">
        <f t="shared" si="58"/>
        <v>19.200000000000003</v>
      </c>
    </row>
    <row r="489" spans="1:10">
      <c r="A489" s="1629"/>
      <c r="B489" s="1630"/>
      <c r="C489" s="636" t="s">
        <v>2726</v>
      </c>
      <c r="D489" s="1630">
        <v>2.4</v>
      </c>
      <c r="E489" s="1630" t="s">
        <v>197</v>
      </c>
      <c r="F489" s="633">
        <f>'Civil-SOR'!$G$199</f>
        <v>590</v>
      </c>
      <c r="G489" s="1630">
        <v>1</v>
      </c>
      <c r="H489" s="1630" t="s">
        <v>197</v>
      </c>
      <c r="I489" s="633">
        <f t="shared" si="58"/>
        <v>1416</v>
      </c>
    </row>
    <row r="490" spans="1:10" ht="30">
      <c r="A490" s="1629"/>
      <c r="B490" s="1630"/>
      <c r="C490" s="634" t="s">
        <v>2426</v>
      </c>
      <c r="D490" s="1630">
        <f>1.2*0.6</f>
        <v>0.72</v>
      </c>
      <c r="E490" s="1630" t="s">
        <v>46</v>
      </c>
      <c r="F490" s="633">
        <f>'C-data'!$F$3703</f>
        <v>862.6</v>
      </c>
      <c r="G490" s="1630">
        <v>10</v>
      </c>
      <c r="H490" s="1630" t="s">
        <v>46</v>
      </c>
      <c r="I490" s="633">
        <f t="shared" si="58"/>
        <v>62.107199999999999</v>
      </c>
    </row>
    <row r="491" spans="1:10">
      <c r="A491" s="1629"/>
      <c r="B491" s="1630"/>
      <c r="C491" s="1630" t="str">
        <f>Input!$C$47</f>
        <v>Add for MA @ 40%</v>
      </c>
      <c r="D491" s="1630">
        <f>Input!$D$47</f>
        <v>0.4</v>
      </c>
      <c r="E491" s="1630"/>
      <c r="F491" s="633">
        <f>I490</f>
        <v>62.107199999999999</v>
      </c>
      <c r="G491" s="1630"/>
      <c r="H491" s="1630"/>
      <c r="I491" s="633">
        <f t="shared" si="58"/>
        <v>24.842880000000001</v>
      </c>
    </row>
    <row r="492" spans="1:10">
      <c r="A492" s="1629"/>
      <c r="B492" s="1630"/>
      <c r="C492" s="1630"/>
      <c r="D492" s="1630"/>
      <c r="E492" s="1630"/>
      <c r="F492" s="633"/>
      <c r="G492" s="1630"/>
      <c r="H492" s="1630"/>
      <c r="I492" s="633">
        <f>SUM(I486:I491)</f>
        <v>2300.9500800000001</v>
      </c>
    </row>
    <row r="493" spans="1:10">
      <c r="A493" s="1629"/>
      <c r="B493" s="1630"/>
      <c r="C493" s="1630" t="str">
        <f>Input!$C$48</f>
        <v>Overheads &amp; Contractors Profit @ 13.615%</v>
      </c>
      <c r="D493" s="1630">
        <f>Input!$D$48</f>
        <v>0.13614999999999999</v>
      </c>
      <c r="E493" s="1630"/>
      <c r="F493" s="633">
        <f>I492</f>
        <v>2300.9500800000001</v>
      </c>
      <c r="G493" s="1630"/>
      <c r="H493" s="1630"/>
      <c r="I493" s="633">
        <f>IF(G493="",D493*F493,(D493*F493/G493))</f>
        <v>313.27435339199997</v>
      </c>
    </row>
    <row r="494" spans="1:10">
      <c r="A494" s="1629"/>
      <c r="B494" s="1630"/>
      <c r="C494" s="1630"/>
      <c r="D494" s="1630"/>
      <c r="E494" s="1630"/>
      <c r="F494" s="633"/>
      <c r="G494" s="1630"/>
      <c r="H494" s="1630"/>
      <c r="I494" s="633">
        <f>SUM(I492:I493)</f>
        <v>2614.2244333919998</v>
      </c>
    </row>
    <row r="495" spans="1:10">
      <c r="A495" s="1629"/>
      <c r="B495" s="1630"/>
      <c r="C495" s="1630" t="s">
        <v>2380</v>
      </c>
      <c r="D495" s="1630"/>
      <c r="E495" s="1630"/>
      <c r="F495" s="633"/>
      <c r="G495" s="1630"/>
      <c r="H495" s="1630" t="s">
        <v>1065</v>
      </c>
      <c r="I495" s="635">
        <f>ROUND(I494,0)</f>
        <v>2614</v>
      </c>
      <c r="J495" s="629" t="s">
        <v>3901</v>
      </c>
    </row>
    <row r="496" spans="1:10">
      <c r="A496" s="1629"/>
      <c r="B496" s="1630"/>
      <c r="C496" s="1630"/>
      <c r="D496" s="1630"/>
      <c r="E496" s="1630"/>
      <c r="F496" s="633"/>
      <c r="G496" s="1630"/>
      <c r="H496" s="1630"/>
      <c r="I496" s="633"/>
    </row>
    <row r="497" spans="1:9" ht="79.5" customHeight="1">
      <c r="A497" s="1629">
        <f>A485+1</f>
        <v>25</v>
      </c>
      <c r="B497" s="1630"/>
      <c r="C497" s="2113" t="s">
        <v>2727</v>
      </c>
      <c r="D497" s="2113"/>
      <c r="E497" s="2113"/>
      <c r="F497" s="2113"/>
      <c r="G497" s="2113"/>
      <c r="H497" s="2113"/>
      <c r="I497" s="633"/>
    </row>
    <row r="498" spans="1:9">
      <c r="A498" s="1629"/>
      <c r="B498" s="1630"/>
      <c r="C498" s="636" t="s">
        <v>2728</v>
      </c>
      <c r="D498" s="1630">
        <v>1</v>
      </c>
      <c r="E498" s="1630" t="s">
        <v>1509</v>
      </c>
      <c r="F498" s="633">
        <f>'WS-SOR'!$G$37</f>
        <v>524</v>
      </c>
      <c r="G498" s="1630">
        <v>1</v>
      </c>
      <c r="H498" s="1630" t="s">
        <v>501</v>
      </c>
      <c r="I498" s="633">
        <f>IF(G498="",D498*F498,(D498*F498/G498))</f>
        <v>524</v>
      </c>
    </row>
    <row r="499" spans="1:9">
      <c r="A499" s="1629"/>
      <c r="B499" s="1630"/>
      <c r="C499" s="1630" t="s">
        <v>2427</v>
      </c>
      <c r="D499" s="1630" t="s">
        <v>2428</v>
      </c>
      <c r="E499" s="1630"/>
      <c r="F499" s="633">
        <f t="shared" ref="F499:F500" si="59">I498</f>
        <v>524</v>
      </c>
      <c r="G499" s="1630"/>
      <c r="H499" s="1630"/>
      <c r="I499" s="633">
        <f>ROUND(I498/0.6096,2)</f>
        <v>859.58</v>
      </c>
    </row>
    <row r="500" spans="1:9">
      <c r="A500" s="1629"/>
      <c r="B500" s="1630"/>
      <c r="C500" s="1630" t="str">
        <f>Input!$C$48</f>
        <v>Overheads &amp; Contractors Profit @ 13.615%</v>
      </c>
      <c r="D500" s="1630">
        <f>Input!$D$48</f>
        <v>0.13614999999999999</v>
      </c>
      <c r="E500" s="1630"/>
      <c r="F500" s="633">
        <f t="shared" si="59"/>
        <v>859.58</v>
      </c>
      <c r="G500" s="1630"/>
      <c r="H500" s="1630"/>
      <c r="I500" s="633">
        <f>IF(G500="",D500*F500,(D500*F500/G500))</f>
        <v>117.031817</v>
      </c>
    </row>
    <row r="501" spans="1:9">
      <c r="A501" s="1629"/>
      <c r="B501" s="1630"/>
      <c r="C501" s="1630"/>
      <c r="D501" s="1630"/>
      <c r="E501" s="1630"/>
      <c r="F501" s="633"/>
      <c r="G501" s="1630"/>
      <c r="H501" s="1630"/>
      <c r="I501" s="633">
        <f>SUM(I499:I500)</f>
        <v>976.61181700000009</v>
      </c>
    </row>
    <row r="502" spans="1:9">
      <c r="A502" s="1629"/>
      <c r="B502" s="1630"/>
      <c r="C502" s="1630"/>
      <c r="D502" s="1630"/>
      <c r="E502" s="1630"/>
      <c r="F502" s="633"/>
      <c r="G502" s="1630"/>
      <c r="H502" s="1630" t="s">
        <v>1065</v>
      </c>
      <c r="I502" s="633">
        <f>ROUND(I501,0)</f>
        <v>977</v>
      </c>
    </row>
    <row r="503" spans="1:9" ht="69" customHeight="1">
      <c r="A503" s="1629">
        <f>1+A485</f>
        <v>25</v>
      </c>
      <c r="B503" s="1630"/>
      <c r="C503" s="2113" t="s">
        <v>2729</v>
      </c>
      <c r="D503" s="2113"/>
      <c r="E503" s="2113"/>
      <c r="F503" s="2113"/>
      <c r="G503" s="2113"/>
      <c r="H503" s="2113"/>
      <c r="I503" s="633"/>
    </row>
    <row r="504" spans="1:9">
      <c r="A504" s="1629"/>
      <c r="B504" s="1630"/>
      <c r="C504" s="636" t="s">
        <v>2730</v>
      </c>
      <c r="D504" s="1630">
        <v>1</v>
      </c>
      <c r="E504" s="1630" t="s">
        <v>1509</v>
      </c>
      <c r="F504" s="633">
        <f>'WS-SOR'!$G$21</f>
        <v>90</v>
      </c>
      <c r="G504" s="1630">
        <v>1</v>
      </c>
      <c r="H504" s="1630" t="s">
        <v>501</v>
      </c>
      <c r="I504" s="633">
        <f t="shared" ref="I504:I505" si="60">IF(G504="",D504*F504,(D504*F504/G504))</f>
        <v>90</v>
      </c>
    </row>
    <row r="505" spans="1:9">
      <c r="A505" s="1629"/>
      <c r="B505" s="1630"/>
      <c r="C505" s="1630" t="str">
        <f>Input!$C$47</f>
        <v>Add for MA @ 40%</v>
      </c>
      <c r="D505" s="1630">
        <f>Input!$D$47</f>
        <v>0.4</v>
      </c>
      <c r="E505" s="1630"/>
      <c r="F505" s="633">
        <f>'WS-SOR'!$H$21</f>
        <v>0</v>
      </c>
      <c r="G505" s="1630"/>
      <c r="H505" s="1630"/>
      <c r="I505" s="633">
        <f t="shared" si="60"/>
        <v>0</v>
      </c>
    </row>
    <row r="506" spans="1:9">
      <c r="A506" s="1629"/>
      <c r="B506" s="1630"/>
      <c r="C506" s="1630"/>
      <c r="D506" s="1630"/>
      <c r="E506" s="1630"/>
      <c r="F506" s="633"/>
      <c r="G506" s="1630"/>
      <c r="H506" s="1630"/>
      <c r="I506" s="633">
        <f>SUM(I504:I505)</f>
        <v>90</v>
      </c>
    </row>
    <row r="507" spans="1:9">
      <c r="A507" s="1629"/>
      <c r="B507" s="1630"/>
      <c r="C507" s="1630" t="str">
        <f>Input!$C$48</f>
        <v>Overheads &amp; Contractors Profit @ 13.615%</v>
      </c>
      <c r="D507" s="1630">
        <f>Input!$D$48</f>
        <v>0.13614999999999999</v>
      </c>
      <c r="E507" s="1630"/>
      <c r="F507" s="633">
        <f>I506</f>
        <v>90</v>
      </c>
      <c r="G507" s="1630"/>
      <c r="H507" s="1630"/>
      <c r="I507" s="633">
        <f>IF(G507="",D507*F507,(D507*F507/G507))</f>
        <v>12.253499999999999</v>
      </c>
    </row>
    <row r="508" spans="1:9">
      <c r="A508" s="1629"/>
      <c r="B508" s="1630"/>
      <c r="C508" s="1630"/>
      <c r="D508" s="1630"/>
      <c r="E508" s="1630"/>
      <c r="F508" s="633"/>
      <c r="G508" s="1630"/>
      <c r="H508" s="1630"/>
      <c r="I508" s="633">
        <f>SUM(I506:I507)</f>
        <v>102.2535</v>
      </c>
    </row>
    <row r="509" spans="1:9">
      <c r="A509" s="1629"/>
      <c r="B509" s="1630"/>
      <c r="C509" s="1630" t="s">
        <v>2380</v>
      </c>
      <c r="D509" s="1630"/>
      <c r="E509" s="1630"/>
      <c r="F509" s="633"/>
      <c r="G509" s="1630"/>
      <c r="H509" s="1630" t="s">
        <v>1065</v>
      </c>
      <c r="I509" s="635">
        <f>ROUND(I508,0)</f>
        <v>102</v>
      </c>
    </row>
  </sheetData>
  <sheetProtection selectLockedCells="1" selectUnlockedCells="1"/>
  <mergeCells count="42">
    <mergeCell ref="G9:H9"/>
    <mergeCell ref="A1:I1"/>
    <mergeCell ref="A2:I2"/>
    <mergeCell ref="A3:B3"/>
    <mergeCell ref="G3:H3"/>
    <mergeCell ref="C4:H4"/>
    <mergeCell ref="C104:H104"/>
    <mergeCell ref="C43:H43"/>
    <mergeCell ref="C49:H49"/>
    <mergeCell ref="C55:H55"/>
    <mergeCell ref="C56:H56"/>
    <mergeCell ref="C61:H61"/>
    <mergeCell ref="C62:H62"/>
    <mergeCell ref="C69:H69"/>
    <mergeCell ref="C71:H71"/>
    <mergeCell ref="C77:H77"/>
    <mergeCell ref="C83:H83"/>
    <mergeCell ref="C295:H295"/>
    <mergeCell ref="C123:H123"/>
    <mergeCell ref="C137:H137"/>
    <mergeCell ref="C146:H146"/>
    <mergeCell ref="C154:H154"/>
    <mergeCell ref="C162:H162"/>
    <mergeCell ref="C170:H170"/>
    <mergeCell ref="C178:H178"/>
    <mergeCell ref="C193:H193"/>
    <mergeCell ref="C201:H201"/>
    <mergeCell ref="C209:H209"/>
    <mergeCell ref="C258:H258"/>
    <mergeCell ref="C186:H186"/>
    <mergeCell ref="C503:H503"/>
    <mergeCell ref="C332:H332"/>
    <mergeCell ref="C381:H381"/>
    <mergeCell ref="C387:H387"/>
    <mergeCell ref="A413:I413"/>
    <mergeCell ref="C438:H438"/>
    <mergeCell ref="C445:H445"/>
    <mergeCell ref="C453:H453"/>
    <mergeCell ref="C461:H461"/>
    <mergeCell ref="C473:H473"/>
    <mergeCell ref="C485:H485"/>
    <mergeCell ref="C497:H497"/>
  </mergeCells>
  <printOptions horizontalCentered="1"/>
  <pageMargins left="0.6" right="0.6" top="0.5" bottom="0.6" header="0.51180555555555551" footer="0.51180555555555551"/>
  <pageSetup paperSize="9" firstPageNumber="0" orientation="portrait" horizontalDpi="300" verticalDpi="300" r:id="rId1"/>
  <headerFooter alignWithMargins="0"/>
  <rowBreaks count="7" manualBreakCount="7">
    <brk id="77" max="16383" man="1"/>
    <brk id="103" max="16383" man="1"/>
    <brk id="122" max="16383" man="1"/>
    <brk id="184" max="16383" man="1"/>
    <brk id="208" max="8" man="1"/>
    <brk id="238" max="16383" man="1"/>
    <brk id="415" max="16383" man="1"/>
  </rowBreaks>
</worksheet>
</file>

<file path=xl/worksheets/sheet9.xml><?xml version="1.0" encoding="utf-8"?>
<worksheet xmlns="http://schemas.openxmlformats.org/spreadsheetml/2006/main" xmlns:r="http://schemas.openxmlformats.org/officeDocument/2006/relationships">
  <dimension ref="A1:N350"/>
  <sheetViews>
    <sheetView view="pageBreakPreview" zoomScaleSheetLayoutView="100" workbookViewId="0"/>
  </sheetViews>
  <sheetFormatPr defaultColWidth="11" defaultRowHeight="15"/>
  <cols>
    <col min="1" max="1" width="4.85546875" style="328" customWidth="1"/>
    <col min="2" max="2" width="3.42578125" style="328" customWidth="1"/>
    <col min="3" max="3" width="35.7109375" style="328" customWidth="1"/>
    <col min="4" max="4" width="9.85546875" style="328" customWidth="1"/>
    <col min="5" max="5" width="11.85546875" style="328" customWidth="1"/>
    <col min="6" max="6" width="12.85546875" style="328" customWidth="1"/>
    <col min="7" max="7" width="10.42578125" style="328" customWidth="1"/>
    <col min="8" max="8" width="7.42578125" style="328" customWidth="1"/>
    <col min="9" max="9" width="7.85546875" style="328" customWidth="1"/>
    <col min="10" max="10" width="8" style="328" customWidth="1"/>
    <col min="11" max="11" width="7.42578125" style="328" customWidth="1"/>
    <col min="12" max="12" width="7.85546875" style="328" customWidth="1"/>
    <col min="13" max="13" width="1.5703125" style="328" customWidth="1"/>
    <col min="14" max="14" width="4.42578125" style="328" customWidth="1"/>
    <col min="15" max="64" width="8" style="328" customWidth="1"/>
    <col min="65" max="16384" width="11" style="328"/>
  </cols>
  <sheetData>
    <row r="1" spans="1:14" ht="15" customHeight="1">
      <c r="A1" s="2133" t="s">
        <v>2449</v>
      </c>
      <c r="B1" s="2133"/>
      <c r="C1" s="2133"/>
      <c r="D1" s="2133"/>
      <c r="E1" s="2133"/>
      <c r="F1" s="2133"/>
      <c r="G1" s="2133"/>
      <c r="H1" s="2133"/>
      <c r="I1" s="2133"/>
      <c r="J1" s="2133"/>
    </row>
    <row r="2" spans="1:14" ht="38.25" customHeight="1">
      <c r="A2" s="332" t="s">
        <v>25</v>
      </c>
      <c r="B2" s="332"/>
      <c r="C2" s="332" t="s">
        <v>26</v>
      </c>
      <c r="D2" s="2128" t="s">
        <v>27</v>
      </c>
      <c r="E2" s="2128"/>
      <c r="F2" s="2128" t="s">
        <v>28</v>
      </c>
      <c r="G2" s="2134" t="s">
        <v>29</v>
      </c>
      <c r="H2" s="2135" t="s">
        <v>30</v>
      </c>
      <c r="I2" s="2135"/>
      <c r="J2" s="471"/>
      <c r="K2" s="2"/>
      <c r="L2" s="2"/>
      <c r="M2" s="2"/>
      <c r="N2" s="2"/>
    </row>
    <row r="3" spans="1:14" ht="15.75" customHeight="1">
      <c r="A3" s="332"/>
      <c r="B3" s="332"/>
      <c r="C3" s="332"/>
      <c r="D3" s="332" t="s">
        <v>31</v>
      </c>
      <c r="E3" s="332" t="s">
        <v>32</v>
      </c>
      <c r="F3" s="2128"/>
      <c r="G3" s="2134"/>
      <c r="H3" s="2135"/>
      <c r="I3" s="2135"/>
      <c r="J3" s="471"/>
      <c r="K3" s="2"/>
      <c r="L3" s="2"/>
      <c r="M3" s="2"/>
      <c r="N3" s="2"/>
    </row>
    <row r="4" spans="1:14" ht="15.75" customHeight="1">
      <c r="A4" s="347">
        <v>1</v>
      </c>
      <c r="B4" s="332"/>
      <c r="C4" s="546" t="s">
        <v>33</v>
      </c>
      <c r="D4" s="524" t="s">
        <v>34</v>
      </c>
      <c r="E4" s="547">
        <v>14</v>
      </c>
      <c r="F4" s="502" t="s">
        <v>2450</v>
      </c>
      <c r="G4" s="526">
        <v>5000</v>
      </c>
      <c r="H4" s="548">
        <v>1000</v>
      </c>
      <c r="I4" s="364" t="s">
        <v>36</v>
      </c>
      <c r="J4" s="471"/>
      <c r="K4" s="2"/>
      <c r="L4" s="2"/>
      <c r="M4" s="2"/>
      <c r="N4" s="2"/>
    </row>
    <row r="5" spans="1:14" ht="25.35" customHeight="1">
      <c r="A5" s="347">
        <f t="shared" ref="A5:A7" si="0">A4+1</f>
        <v>2</v>
      </c>
      <c r="B5" s="332"/>
      <c r="C5" s="477" t="s">
        <v>37</v>
      </c>
      <c r="D5" s="477"/>
      <c r="E5" s="547">
        <v>14</v>
      </c>
      <c r="F5" s="502" t="s">
        <v>2451</v>
      </c>
      <c r="G5" s="526">
        <v>24</v>
      </c>
      <c r="H5" s="548">
        <v>1</v>
      </c>
      <c r="I5" s="364" t="s">
        <v>39</v>
      </c>
      <c r="J5" s="471"/>
      <c r="K5" s="2"/>
      <c r="L5" s="2"/>
      <c r="M5" s="2"/>
      <c r="N5" s="2"/>
    </row>
    <row r="6" spans="1:14" ht="25.35" customHeight="1">
      <c r="A6" s="347">
        <f t="shared" si="0"/>
        <v>3</v>
      </c>
      <c r="B6" s="332"/>
      <c r="C6" s="477" t="s">
        <v>40</v>
      </c>
      <c r="D6" s="477"/>
      <c r="E6" s="547">
        <v>14</v>
      </c>
      <c r="F6" s="502" t="s">
        <v>2452</v>
      </c>
      <c r="G6" s="526">
        <v>11</v>
      </c>
      <c r="H6" s="548">
        <v>1</v>
      </c>
      <c r="I6" s="364" t="s">
        <v>39</v>
      </c>
      <c r="J6" s="471"/>
      <c r="K6" s="2"/>
      <c r="L6" s="2"/>
      <c r="M6" s="2"/>
      <c r="N6" s="2"/>
    </row>
    <row r="7" spans="1:14" ht="25.35" customHeight="1">
      <c r="A7" s="347">
        <f t="shared" si="0"/>
        <v>4</v>
      </c>
      <c r="B7" s="332"/>
      <c r="C7" s="477" t="s">
        <v>42</v>
      </c>
      <c r="D7" s="477"/>
      <c r="E7" s="547">
        <v>14</v>
      </c>
      <c r="F7" s="502" t="s">
        <v>2453</v>
      </c>
      <c r="G7" s="526">
        <v>5</v>
      </c>
      <c r="H7" s="548">
        <v>1</v>
      </c>
      <c r="I7" s="364" t="s">
        <v>39</v>
      </c>
      <c r="J7" s="471"/>
      <c r="K7" s="2"/>
      <c r="L7" s="2"/>
      <c r="M7" s="2"/>
      <c r="N7" s="2"/>
    </row>
    <row r="8" spans="1:14" ht="15.75" customHeight="1">
      <c r="A8" s="347"/>
      <c r="B8" s="332"/>
      <c r="C8" s="477"/>
      <c r="D8" s="477"/>
      <c r="E8" s="547"/>
      <c r="F8" s="502"/>
      <c r="G8" s="526"/>
      <c r="H8" s="548"/>
      <c r="I8" s="364"/>
      <c r="J8" s="471"/>
      <c r="K8" s="2"/>
      <c r="L8" s="2"/>
      <c r="M8" s="2"/>
      <c r="N8" s="2"/>
    </row>
    <row r="9" spans="1:14" ht="25.35" customHeight="1">
      <c r="A9" s="347">
        <f>A7+1</f>
        <v>5</v>
      </c>
      <c r="B9" s="332"/>
      <c r="C9" s="477" t="s">
        <v>44</v>
      </c>
      <c r="D9" s="477"/>
      <c r="E9" s="547">
        <v>15</v>
      </c>
      <c r="F9" s="502" t="s">
        <v>2454</v>
      </c>
      <c r="G9" s="526">
        <v>1650</v>
      </c>
      <c r="H9" s="548">
        <v>10</v>
      </c>
      <c r="I9" s="364" t="s">
        <v>46</v>
      </c>
      <c r="J9" s="471"/>
      <c r="K9" s="2"/>
      <c r="L9" s="2"/>
      <c r="M9" s="2"/>
      <c r="N9" s="2"/>
    </row>
    <row r="10" spans="1:14" ht="25.35" customHeight="1">
      <c r="A10" s="347">
        <f t="shared" ref="A10:A14" si="1">A9+1</f>
        <v>6</v>
      </c>
      <c r="B10" s="332"/>
      <c r="C10" s="477" t="s">
        <v>2455</v>
      </c>
      <c r="D10" s="477"/>
      <c r="E10" s="547">
        <v>15</v>
      </c>
      <c r="F10" s="502" t="s">
        <v>2456</v>
      </c>
      <c r="G10" s="526">
        <v>1380</v>
      </c>
      <c r="H10" s="548">
        <v>10</v>
      </c>
      <c r="I10" s="364" t="s">
        <v>46</v>
      </c>
      <c r="J10" s="471"/>
      <c r="K10" s="2"/>
      <c r="L10" s="2"/>
      <c r="M10" s="2"/>
      <c r="N10" s="2"/>
    </row>
    <row r="11" spans="1:14" ht="36.6" customHeight="1">
      <c r="A11" s="347">
        <f t="shared" si="1"/>
        <v>7</v>
      </c>
      <c r="B11" s="332"/>
      <c r="C11" s="477" t="s">
        <v>49</v>
      </c>
      <c r="D11" s="477"/>
      <c r="E11" s="547">
        <v>16</v>
      </c>
      <c r="F11" s="502" t="s">
        <v>2457</v>
      </c>
      <c r="G11" s="526">
        <v>3438</v>
      </c>
      <c r="H11" s="548">
        <v>1</v>
      </c>
      <c r="I11" s="364" t="s">
        <v>46</v>
      </c>
      <c r="J11" s="471"/>
      <c r="K11" s="2"/>
      <c r="L11" s="2"/>
      <c r="M11" s="2"/>
      <c r="N11" s="2"/>
    </row>
    <row r="12" spans="1:14" ht="36.6" customHeight="1">
      <c r="A12" s="347">
        <f t="shared" si="1"/>
        <v>8</v>
      </c>
      <c r="B12" s="332"/>
      <c r="C12" s="477" t="s">
        <v>51</v>
      </c>
      <c r="D12" s="477"/>
      <c r="E12" s="547">
        <v>16</v>
      </c>
      <c r="F12" s="502" t="s">
        <v>2458</v>
      </c>
      <c r="G12" s="526">
        <v>2988</v>
      </c>
      <c r="H12" s="548">
        <v>1</v>
      </c>
      <c r="I12" s="364" t="s">
        <v>46</v>
      </c>
      <c r="J12" s="471"/>
      <c r="K12" s="2"/>
      <c r="L12" s="2"/>
      <c r="M12" s="2"/>
      <c r="N12" s="2"/>
    </row>
    <row r="13" spans="1:14" ht="25.35" customHeight="1">
      <c r="A13" s="347">
        <f t="shared" si="1"/>
        <v>9</v>
      </c>
      <c r="B13" s="332"/>
      <c r="C13" s="477" t="s">
        <v>53</v>
      </c>
      <c r="D13" s="477"/>
      <c r="E13" s="547">
        <v>16</v>
      </c>
      <c r="F13" s="502" t="s">
        <v>2459</v>
      </c>
      <c r="G13" s="526">
        <v>2540</v>
      </c>
      <c r="H13" s="548">
        <v>1</v>
      </c>
      <c r="I13" s="364" t="s">
        <v>46</v>
      </c>
      <c r="J13" s="471"/>
      <c r="K13" s="2"/>
      <c r="L13" s="2"/>
      <c r="M13" s="2"/>
      <c r="N13" s="2"/>
    </row>
    <row r="14" spans="1:14" ht="25.35" customHeight="1">
      <c r="A14" s="347">
        <f t="shared" si="1"/>
        <v>10</v>
      </c>
      <c r="B14" s="332"/>
      <c r="C14" s="549" t="s">
        <v>55</v>
      </c>
      <c r="D14" s="549"/>
      <c r="E14" s="547">
        <v>16</v>
      </c>
      <c r="F14" s="502" t="s">
        <v>2460</v>
      </c>
      <c r="G14" s="526">
        <v>1165</v>
      </c>
      <c r="H14" s="548">
        <v>1</v>
      </c>
      <c r="I14" s="364" t="s">
        <v>46</v>
      </c>
      <c r="J14" s="471"/>
      <c r="K14" s="2"/>
      <c r="L14" s="2"/>
      <c r="M14" s="2"/>
      <c r="N14" s="2"/>
    </row>
    <row r="15" spans="1:14" ht="15.75" customHeight="1">
      <c r="A15" s="347"/>
      <c r="B15" s="332"/>
      <c r="C15" s="549"/>
      <c r="D15" s="549"/>
      <c r="E15" s="547"/>
      <c r="F15" s="502"/>
      <c r="G15" s="526"/>
      <c r="H15" s="548"/>
      <c r="I15" s="364"/>
      <c r="J15" s="471"/>
      <c r="K15" s="2"/>
      <c r="L15" s="2"/>
      <c r="M15" s="2"/>
      <c r="N15" s="2"/>
    </row>
    <row r="16" spans="1:14" ht="25.35" customHeight="1">
      <c r="A16" s="342">
        <f>A14+1</f>
        <v>11</v>
      </c>
      <c r="B16" s="550"/>
      <c r="C16" s="346" t="s">
        <v>57</v>
      </c>
      <c r="D16" s="346"/>
      <c r="E16" s="547">
        <v>16</v>
      </c>
      <c r="F16" s="502" t="s">
        <v>2461</v>
      </c>
      <c r="G16" s="539">
        <v>450</v>
      </c>
      <c r="H16" s="548">
        <v>1</v>
      </c>
      <c r="I16" s="364" t="s">
        <v>46</v>
      </c>
      <c r="J16" s="348"/>
      <c r="K16" s="2"/>
      <c r="L16" s="2"/>
      <c r="M16" s="2"/>
      <c r="N16" s="2"/>
    </row>
    <row r="17" spans="1:14" ht="25.35" customHeight="1">
      <c r="A17" s="342">
        <f t="shared" ref="A17:A20" si="2">A16+1</f>
        <v>12</v>
      </c>
      <c r="B17" s="550"/>
      <c r="C17" s="346" t="s">
        <v>59</v>
      </c>
      <c r="D17" s="346"/>
      <c r="E17" s="547">
        <v>16</v>
      </c>
      <c r="F17" s="502" t="s">
        <v>2462</v>
      </c>
      <c r="G17" s="526">
        <v>530</v>
      </c>
      <c r="H17" s="548">
        <v>1</v>
      </c>
      <c r="I17" s="364" t="s">
        <v>46</v>
      </c>
      <c r="J17" s="551" t="s">
        <v>2463</v>
      </c>
      <c r="K17" s="2"/>
      <c r="L17" s="2"/>
      <c r="M17" s="2"/>
      <c r="N17" s="2"/>
    </row>
    <row r="18" spans="1:14" ht="47.85" customHeight="1">
      <c r="A18" s="342">
        <f t="shared" si="2"/>
        <v>13</v>
      </c>
      <c r="B18" s="550"/>
      <c r="C18" s="549" t="s">
        <v>61</v>
      </c>
      <c r="D18" s="549"/>
      <c r="E18" s="547">
        <v>17</v>
      </c>
      <c r="F18" s="502" t="s">
        <v>2464</v>
      </c>
      <c r="G18" s="539">
        <v>550</v>
      </c>
      <c r="H18" s="548">
        <v>1</v>
      </c>
      <c r="I18" s="364" t="s">
        <v>46</v>
      </c>
      <c r="J18" s="552">
        <v>600</v>
      </c>
      <c r="K18" s="2"/>
      <c r="L18" s="2"/>
      <c r="M18" s="2"/>
      <c r="N18" s="2"/>
    </row>
    <row r="19" spans="1:14" ht="61.5" customHeight="1">
      <c r="A19" s="342">
        <f t="shared" si="2"/>
        <v>14</v>
      </c>
      <c r="B19" s="550"/>
      <c r="C19" s="549" t="s">
        <v>63</v>
      </c>
      <c r="D19" s="549"/>
      <c r="E19" s="547">
        <v>17</v>
      </c>
      <c r="F19" s="502" t="s">
        <v>2465</v>
      </c>
      <c r="G19" s="539">
        <v>600</v>
      </c>
      <c r="H19" s="548">
        <v>1</v>
      </c>
      <c r="I19" s="364" t="s">
        <v>46</v>
      </c>
      <c r="J19" s="552">
        <v>550</v>
      </c>
      <c r="K19" s="2"/>
      <c r="L19" s="2"/>
      <c r="M19" s="2"/>
      <c r="N19" s="2"/>
    </row>
    <row r="20" spans="1:14" ht="26.25" customHeight="1">
      <c r="A20" s="342">
        <f t="shared" si="2"/>
        <v>15</v>
      </c>
      <c r="B20" s="550"/>
      <c r="C20" s="346" t="s">
        <v>67</v>
      </c>
      <c r="D20" s="346"/>
      <c r="E20" s="547">
        <v>21</v>
      </c>
      <c r="F20" s="502" t="s">
        <v>2466</v>
      </c>
      <c r="G20" s="526">
        <v>430</v>
      </c>
      <c r="H20" s="548">
        <v>1</v>
      </c>
      <c r="I20" s="364" t="s">
        <v>46</v>
      </c>
      <c r="J20" s="348"/>
      <c r="K20" s="2"/>
      <c r="L20" s="2"/>
      <c r="M20" s="543"/>
      <c r="N20" s="2"/>
    </row>
    <row r="21" spans="1:14" ht="15.75" customHeight="1">
      <c r="A21" s="342"/>
      <c r="B21" s="550"/>
      <c r="J21" s="348"/>
      <c r="K21" s="2"/>
      <c r="L21" s="2"/>
      <c r="M21" s="2"/>
      <c r="N21" s="2"/>
    </row>
    <row r="22" spans="1:14" ht="25.35" customHeight="1">
      <c r="A22" s="342">
        <f>A20+1</f>
        <v>16</v>
      </c>
      <c r="B22" s="550"/>
      <c r="C22" s="346" t="s">
        <v>71</v>
      </c>
      <c r="D22" s="346"/>
      <c r="E22" s="521">
        <v>22</v>
      </c>
      <c r="F22" s="502" t="s">
        <v>2467</v>
      </c>
      <c r="G22" s="539">
        <v>302</v>
      </c>
      <c r="H22" s="548">
        <v>1</v>
      </c>
      <c r="I22" s="364" t="s">
        <v>46</v>
      </c>
      <c r="J22" s="348"/>
      <c r="K22" s="2"/>
      <c r="L22" s="2"/>
      <c r="M22" s="2"/>
      <c r="N22" s="2"/>
    </row>
    <row r="23" spans="1:14" ht="15.75" customHeight="1">
      <c r="A23" s="342"/>
      <c r="B23" s="550"/>
      <c r="C23" s="346"/>
      <c r="D23" s="346"/>
      <c r="E23" s="521"/>
      <c r="F23" s="507"/>
      <c r="G23" s="539"/>
      <c r="H23" s="548"/>
      <c r="I23" s="364"/>
      <c r="J23" s="348"/>
      <c r="K23" s="2"/>
      <c r="L23" s="2"/>
      <c r="M23" s="2"/>
      <c r="N23" s="2"/>
    </row>
    <row r="24" spans="1:14" ht="15.75" customHeight="1">
      <c r="A24" s="342">
        <f>A22+1</f>
        <v>17</v>
      </c>
      <c r="B24" s="550"/>
      <c r="C24" s="346" t="s">
        <v>73</v>
      </c>
      <c r="D24" s="346"/>
      <c r="E24" s="521">
        <v>24</v>
      </c>
      <c r="F24" s="507" t="s">
        <v>2468</v>
      </c>
      <c r="G24" s="348">
        <v>80094</v>
      </c>
      <c r="H24" s="548">
        <v>1</v>
      </c>
      <c r="I24" s="364" t="s">
        <v>75</v>
      </c>
      <c r="J24" s="348"/>
      <c r="K24" s="2"/>
      <c r="L24" s="2"/>
      <c r="M24" s="2"/>
      <c r="N24" s="2"/>
    </row>
    <row r="25" spans="1:14" ht="15.75" customHeight="1">
      <c r="A25" s="342">
        <f t="shared" ref="A25:A27" si="3">A24+1</f>
        <v>18</v>
      </c>
      <c r="B25" s="550"/>
      <c r="C25" s="346" t="s">
        <v>76</v>
      </c>
      <c r="D25" s="346"/>
      <c r="E25" s="521">
        <v>24</v>
      </c>
      <c r="F25" s="507" t="s">
        <v>2469</v>
      </c>
      <c r="G25" s="348">
        <v>88994</v>
      </c>
      <c r="H25" s="548">
        <v>1</v>
      </c>
      <c r="I25" s="364" t="s">
        <v>75</v>
      </c>
      <c r="J25" s="348"/>
      <c r="K25" s="2"/>
      <c r="L25" s="2"/>
      <c r="M25" s="2"/>
      <c r="N25" s="2"/>
    </row>
    <row r="26" spans="1:14" ht="15.75" customHeight="1">
      <c r="A26" s="342">
        <f t="shared" si="3"/>
        <v>19</v>
      </c>
      <c r="B26" s="550"/>
      <c r="C26" s="346" t="s">
        <v>78</v>
      </c>
      <c r="D26" s="346"/>
      <c r="E26" s="521">
        <v>24</v>
      </c>
      <c r="F26" s="507" t="s">
        <v>2470</v>
      </c>
      <c r="G26" s="348">
        <v>97894</v>
      </c>
      <c r="H26" s="548">
        <v>1</v>
      </c>
      <c r="I26" s="364" t="s">
        <v>75</v>
      </c>
      <c r="J26" s="348"/>
      <c r="K26" s="2"/>
      <c r="L26" s="2"/>
      <c r="M26" s="2"/>
      <c r="N26" s="2"/>
    </row>
    <row r="27" spans="1:14" ht="15.75" customHeight="1">
      <c r="A27" s="342">
        <f t="shared" si="3"/>
        <v>20</v>
      </c>
      <c r="B27" s="550"/>
      <c r="C27" s="346" t="s">
        <v>80</v>
      </c>
      <c r="D27" s="346"/>
      <c r="E27" s="521">
        <v>24</v>
      </c>
      <c r="F27" s="507" t="s">
        <v>2471</v>
      </c>
      <c r="G27" s="348">
        <v>160189</v>
      </c>
      <c r="H27" s="548">
        <v>1</v>
      </c>
      <c r="I27" s="364" t="s">
        <v>75</v>
      </c>
      <c r="J27" s="348"/>
      <c r="K27" s="2"/>
      <c r="L27" s="2"/>
      <c r="M27" s="2"/>
      <c r="N27" s="2"/>
    </row>
    <row r="28" spans="1:14" ht="15.75" customHeight="1">
      <c r="A28" s="342">
        <f>A25+1</f>
        <v>19</v>
      </c>
      <c r="B28" s="550"/>
      <c r="C28" s="346" t="s">
        <v>82</v>
      </c>
      <c r="D28" s="346"/>
      <c r="E28" s="521">
        <v>24</v>
      </c>
      <c r="F28" s="507" t="s">
        <v>2472</v>
      </c>
      <c r="G28" s="348">
        <v>137941</v>
      </c>
      <c r="H28" s="548">
        <v>1</v>
      </c>
      <c r="I28" s="364" t="s">
        <v>75</v>
      </c>
      <c r="J28" s="348"/>
      <c r="K28" s="2"/>
      <c r="L28" s="2"/>
      <c r="M28" s="2"/>
      <c r="N28" s="2"/>
    </row>
    <row r="29" spans="1:14" ht="15.75" customHeight="1">
      <c r="A29" s="342">
        <f t="shared" ref="A29:A40" si="4">A28+1</f>
        <v>20</v>
      </c>
      <c r="B29" s="550"/>
      <c r="C29" s="346" t="s">
        <v>84</v>
      </c>
      <c r="D29" s="346"/>
      <c r="E29" s="521">
        <v>24</v>
      </c>
      <c r="F29" s="507" t="s">
        <v>2473</v>
      </c>
      <c r="G29" s="348">
        <v>146840</v>
      </c>
      <c r="H29" s="548">
        <v>1</v>
      </c>
      <c r="I29" s="364" t="s">
        <v>75</v>
      </c>
      <c r="J29" s="348"/>
      <c r="K29" s="2"/>
      <c r="L29" s="2"/>
      <c r="M29" s="2"/>
      <c r="N29" s="2"/>
    </row>
    <row r="30" spans="1:14" ht="15.75" customHeight="1">
      <c r="A30" s="342">
        <f t="shared" si="4"/>
        <v>21</v>
      </c>
      <c r="B30" s="550"/>
      <c r="C30" s="346" t="s">
        <v>86</v>
      </c>
      <c r="D30" s="346"/>
      <c r="E30" s="521">
        <v>24</v>
      </c>
      <c r="F30" s="507" t="s">
        <v>2474</v>
      </c>
      <c r="G30" s="348">
        <v>155740</v>
      </c>
      <c r="H30" s="548">
        <v>1</v>
      </c>
      <c r="I30" s="364" t="s">
        <v>75</v>
      </c>
      <c r="J30" s="348"/>
      <c r="K30" s="2"/>
      <c r="L30" s="2"/>
      <c r="M30" s="2"/>
      <c r="N30" s="2"/>
    </row>
    <row r="31" spans="1:14" ht="15.75" customHeight="1">
      <c r="A31" s="342">
        <f t="shared" si="4"/>
        <v>22</v>
      </c>
      <c r="B31" s="550"/>
      <c r="C31" s="346" t="s">
        <v>88</v>
      </c>
      <c r="D31" s="346"/>
      <c r="E31" s="521">
        <v>24</v>
      </c>
      <c r="F31" s="507" t="s">
        <v>2475</v>
      </c>
      <c r="G31" s="348">
        <v>173539</v>
      </c>
      <c r="H31" s="548">
        <v>1</v>
      </c>
      <c r="I31" s="364" t="s">
        <v>75</v>
      </c>
      <c r="J31" s="348"/>
      <c r="K31" s="2"/>
      <c r="L31" s="2"/>
      <c r="M31" s="2"/>
      <c r="N31" s="2"/>
    </row>
    <row r="32" spans="1:14" ht="15.75" customHeight="1">
      <c r="A32" s="342">
        <f t="shared" si="4"/>
        <v>23</v>
      </c>
      <c r="B32" s="550"/>
      <c r="C32" s="346" t="s">
        <v>90</v>
      </c>
      <c r="D32" s="346"/>
      <c r="E32" s="521">
        <v>24</v>
      </c>
      <c r="F32" s="507" t="s">
        <v>2476</v>
      </c>
      <c r="G32" s="348">
        <v>49394</v>
      </c>
      <c r="H32" s="548">
        <v>1</v>
      </c>
      <c r="I32" s="364" t="s">
        <v>75</v>
      </c>
      <c r="J32" s="348"/>
      <c r="K32" s="2"/>
      <c r="L32" s="2"/>
      <c r="M32" s="2"/>
      <c r="N32" s="2"/>
    </row>
    <row r="33" spans="1:14" ht="15.75" customHeight="1">
      <c r="A33" s="342">
        <f t="shared" si="4"/>
        <v>24</v>
      </c>
      <c r="B33" s="550"/>
      <c r="C33" s="553" t="s">
        <v>92</v>
      </c>
      <c r="D33" s="553"/>
      <c r="E33" s="521">
        <v>24</v>
      </c>
      <c r="F33" s="507" t="s">
        <v>2477</v>
      </c>
      <c r="G33" s="539">
        <v>222</v>
      </c>
      <c r="H33" s="548">
        <v>1</v>
      </c>
      <c r="I33" s="364" t="s">
        <v>94</v>
      </c>
      <c r="J33" s="348"/>
      <c r="K33" s="2"/>
      <c r="L33" s="2"/>
      <c r="M33" s="2"/>
      <c r="N33" s="2"/>
    </row>
    <row r="34" spans="1:14" ht="25.35" customHeight="1">
      <c r="A34" s="342">
        <f t="shared" si="4"/>
        <v>25</v>
      </c>
      <c r="B34" s="550"/>
      <c r="C34" s="553" t="s">
        <v>95</v>
      </c>
      <c r="D34" s="553"/>
      <c r="E34" s="521">
        <v>24</v>
      </c>
      <c r="F34" s="507" t="s">
        <v>2478</v>
      </c>
      <c r="G34" s="539">
        <v>60</v>
      </c>
      <c r="H34" s="548">
        <v>1</v>
      </c>
      <c r="I34" s="364" t="s">
        <v>97</v>
      </c>
      <c r="J34" s="348"/>
      <c r="K34" s="2"/>
      <c r="L34" s="2"/>
      <c r="M34" s="2"/>
      <c r="N34" s="2"/>
    </row>
    <row r="35" spans="1:14" ht="25.35" customHeight="1">
      <c r="A35" s="342">
        <f t="shared" si="4"/>
        <v>26</v>
      </c>
      <c r="B35" s="550"/>
      <c r="C35" s="346" t="s">
        <v>98</v>
      </c>
      <c r="D35" s="346"/>
      <c r="E35" s="521">
        <v>24</v>
      </c>
      <c r="F35" s="507" t="s">
        <v>99</v>
      </c>
      <c r="G35" s="539">
        <v>456</v>
      </c>
      <c r="H35" s="548">
        <v>1</v>
      </c>
      <c r="I35" s="364" t="s">
        <v>94</v>
      </c>
      <c r="J35" s="348"/>
      <c r="K35" s="2"/>
      <c r="L35" s="2"/>
      <c r="M35" s="2"/>
      <c r="N35" s="2"/>
    </row>
    <row r="36" spans="1:14" ht="15.75" customHeight="1">
      <c r="A36" s="342">
        <f t="shared" si="4"/>
        <v>27</v>
      </c>
      <c r="B36" s="550"/>
      <c r="C36" s="528" t="s">
        <v>100</v>
      </c>
      <c r="D36" s="528"/>
      <c r="E36" s="521">
        <v>24</v>
      </c>
      <c r="F36" s="342" t="s">
        <v>101</v>
      </c>
      <c r="G36" s="539">
        <v>5</v>
      </c>
      <c r="H36" s="548">
        <v>1</v>
      </c>
      <c r="I36" s="364" t="s">
        <v>39</v>
      </c>
      <c r="J36" s="348"/>
      <c r="K36" s="2"/>
      <c r="L36" s="2"/>
      <c r="M36" s="2"/>
      <c r="N36" s="2"/>
    </row>
    <row r="37" spans="1:14" ht="15.75" customHeight="1">
      <c r="A37" s="342">
        <f t="shared" si="4"/>
        <v>28</v>
      </c>
      <c r="B37" s="550"/>
      <c r="C37" s="554" t="s">
        <v>102</v>
      </c>
      <c r="D37" s="554"/>
      <c r="E37" s="521">
        <v>24</v>
      </c>
      <c r="F37" s="507" t="s">
        <v>103</v>
      </c>
      <c r="G37" s="539">
        <v>10</v>
      </c>
      <c r="H37" s="548">
        <v>1</v>
      </c>
      <c r="I37" s="364" t="s">
        <v>39</v>
      </c>
      <c r="J37" s="348"/>
      <c r="K37" s="2"/>
      <c r="L37" s="2"/>
      <c r="M37" s="2"/>
      <c r="N37" s="2"/>
    </row>
    <row r="38" spans="1:14" ht="15.75" customHeight="1">
      <c r="A38" s="342">
        <f t="shared" si="4"/>
        <v>29</v>
      </c>
      <c r="B38" s="550"/>
      <c r="C38" s="554" t="s">
        <v>104</v>
      </c>
      <c r="D38" s="554"/>
      <c r="E38" s="521">
        <v>24</v>
      </c>
      <c r="F38" s="507" t="s">
        <v>105</v>
      </c>
      <c r="G38" s="539">
        <v>1</v>
      </c>
      <c r="H38" s="548">
        <v>1</v>
      </c>
      <c r="I38" s="364" t="s">
        <v>39</v>
      </c>
      <c r="J38" s="348"/>
      <c r="K38" s="2"/>
      <c r="L38" s="2"/>
      <c r="M38" s="2"/>
      <c r="N38" s="2"/>
    </row>
    <row r="39" spans="1:14" ht="15.75" customHeight="1">
      <c r="A39" s="342">
        <f t="shared" si="4"/>
        <v>30</v>
      </c>
      <c r="B39" s="550"/>
      <c r="C39" s="554" t="s">
        <v>106</v>
      </c>
      <c r="D39" s="554"/>
      <c r="E39" s="521">
        <v>24</v>
      </c>
      <c r="F39" s="507" t="s">
        <v>107</v>
      </c>
      <c r="G39" s="539">
        <v>1</v>
      </c>
      <c r="H39" s="548">
        <v>1</v>
      </c>
      <c r="I39" s="364" t="s">
        <v>39</v>
      </c>
      <c r="J39" s="348"/>
      <c r="K39" s="2"/>
      <c r="L39" s="2"/>
      <c r="M39" s="2"/>
      <c r="N39" s="2"/>
    </row>
    <row r="40" spans="1:14" ht="15.75" customHeight="1">
      <c r="A40" s="342">
        <f t="shared" si="4"/>
        <v>31</v>
      </c>
      <c r="B40" s="550"/>
      <c r="C40" s="554" t="s">
        <v>108</v>
      </c>
      <c r="D40" s="554"/>
      <c r="E40" s="521">
        <v>24</v>
      </c>
      <c r="F40" s="507" t="s">
        <v>109</v>
      </c>
      <c r="G40" s="539">
        <v>1</v>
      </c>
      <c r="H40" s="548">
        <v>1</v>
      </c>
      <c r="I40" s="364" t="s">
        <v>39</v>
      </c>
      <c r="J40" s="348"/>
      <c r="K40" s="2"/>
      <c r="L40" s="2"/>
      <c r="M40" s="2"/>
      <c r="N40" s="2"/>
    </row>
    <row r="41" spans="1:14" ht="15.75" customHeight="1">
      <c r="A41" s="342"/>
      <c r="B41" s="550"/>
      <c r="C41" s="553"/>
      <c r="D41" s="553"/>
      <c r="E41" s="521"/>
      <c r="F41" s="507"/>
      <c r="G41" s="539"/>
      <c r="H41" s="548"/>
      <c r="I41" s="364"/>
      <c r="J41" s="348"/>
      <c r="K41" s="2"/>
      <c r="L41" s="2"/>
      <c r="M41" s="2"/>
      <c r="N41" s="2"/>
    </row>
    <row r="42" spans="1:14" ht="15.75" customHeight="1">
      <c r="A42" s="342">
        <f>A40+1</f>
        <v>32</v>
      </c>
      <c r="B42" s="550"/>
      <c r="C42" s="346" t="s">
        <v>110</v>
      </c>
      <c r="D42" s="346"/>
      <c r="E42" s="521">
        <v>26</v>
      </c>
      <c r="F42" s="502" t="s">
        <v>2479</v>
      </c>
      <c r="G42" s="539">
        <v>3576</v>
      </c>
      <c r="H42" s="548">
        <v>1</v>
      </c>
      <c r="I42" s="364" t="s">
        <v>46</v>
      </c>
      <c r="J42" s="348"/>
      <c r="K42" s="2"/>
      <c r="L42" s="2"/>
      <c r="M42" s="2"/>
      <c r="N42" s="2"/>
    </row>
    <row r="43" spans="1:14" ht="15.75" customHeight="1">
      <c r="A43" s="342">
        <f t="shared" ref="A43:A46" si="5">A42+1</f>
        <v>33</v>
      </c>
      <c r="B43" s="550"/>
      <c r="C43" s="346" t="s">
        <v>112</v>
      </c>
      <c r="D43" s="346"/>
      <c r="E43" s="547">
        <v>26</v>
      </c>
      <c r="F43" s="502" t="s">
        <v>2480</v>
      </c>
      <c r="G43" s="539">
        <v>3129</v>
      </c>
      <c r="H43" s="548">
        <v>1</v>
      </c>
      <c r="I43" s="364" t="s">
        <v>46</v>
      </c>
      <c r="J43" s="348"/>
      <c r="K43" s="2"/>
      <c r="L43" s="2"/>
      <c r="M43" s="2"/>
      <c r="N43" s="2"/>
    </row>
    <row r="44" spans="1:14" ht="15.75" customHeight="1">
      <c r="A44" s="342">
        <f t="shared" si="5"/>
        <v>34</v>
      </c>
      <c r="B44" s="550"/>
      <c r="C44" s="346" t="s">
        <v>114</v>
      </c>
      <c r="D44" s="346"/>
      <c r="E44" s="555">
        <v>27</v>
      </c>
      <c r="F44" s="547" t="s">
        <v>2481</v>
      </c>
      <c r="G44" s="539">
        <v>17</v>
      </c>
      <c r="H44" s="548">
        <v>1</v>
      </c>
      <c r="I44" s="364" t="s">
        <v>46</v>
      </c>
      <c r="J44" s="348"/>
      <c r="K44" s="2"/>
      <c r="L44" s="2"/>
      <c r="M44" s="2"/>
      <c r="N44" s="2"/>
    </row>
    <row r="45" spans="1:14" ht="15.75" customHeight="1">
      <c r="A45" s="342">
        <f t="shared" si="5"/>
        <v>35</v>
      </c>
      <c r="B45" s="550"/>
      <c r="C45" s="343" t="s">
        <v>116</v>
      </c>
      <c r="D45" s="343"/>
      <c r="E45" s="521">
        <v>27</v>
      </c>
      <c r="F45" s="507" t="s">
        <v>2482</v>
      </c>
      <c r="G45" s="539">
        <v>61</v>
      </c>
      <c r="H45" s="548">
        <v>1</v>
      </c>
      <c r="I45" s="364" t="s">
        <v>97</v>
      </c>
      <c r="J45" s="348"/>
      <c r="K45" s="2"/>
      <c r="L45" s="2"/>
      <c r="M45" s="2"/>
      <c r="N45" s="2"/>
    </row>
    <row r="46" spans="1:14" ht="15.75" customHeight="1">
      <c r="A46" s="342">
        <f t="shared" si="5"/>
        <v>36</v>
      </c>
      <c r="B46" s="550"/>
      <c r="C46" s="346" t="s">
        <v>118</v>
      </c>
      <c r="D46" s="346"/>
      <c r="E46" s="521">
        <v>27</v>
      </c>
      <c r="F46" s="507" t="s">
        <v>2483</v>
      </c>
      <c r="G46" s="539">
        <v>391</v>
      </c>
      <c r="H46" s="548">
        <v>1</v>
      </c>
      <c r="I46" s="364" t="s">
        <v>97</v>
      </c>
      <c r="J46" s="348"/>
      <c r="K46" s="2"/>
      <c r="L46" s="2"/>
      <c r="M46" s="2"/>
      <c r="N46" s="2"/>
    </row>
    <row r="47" spans="1:14" ht="15.75" customHeight="1">
      <c r="A47" s="342"/>
      <c r="B47" s="550"/>
      <c r="C47" s="532"/>
      <c r="D47" s="532"/>
      <c r="E47" s="556"/>
      <c r="F47" s="513"/>
      <c r="G47" s="557"/>
      <c r="H47" s="558"/>
      <c r="I47" s="559"/>
      <c r="J47" s="348"/>
      <c r="K47" s="2"/>
      <c r="L47" s="2"/>
      <c r="M47" s="2"/>
      <c r="N47" s="2"/>
    </row>
    <row r="48" spans="1:14" ht="15.75" customHeight="1">
      <c r="A48" s="342">
        <f>A46+1</f>
        <v>37</v>
      </c>
      <c r="B48" s="550"/>
      <c r="C48" s="549" t="s">
        <v>120</v>
      </c>
      <c r="D48" s="549"/>
      <c r="E48" s="521">
        <v>28</v>
      </c>
      <c r="F48" s="507" t="s">
        <v>2484</v>
      </c>
      <c r="G48" s="348">
        <v>558</v>
      </c>
      <c r="H48" s="548">
        <v>1</v>
      </c>
      <c r="I48" s="364" t="s">
        <v>94</v>
      </c>
      <c r="J48" s="348"/>
      <c r="K48" s="2"/>
      <c r="L48" s="2"/>
      <c r="M48" s="2"/>
      <c r="N48" s="2"/>
    </row>
    <row r="49" spans="1:14" ht="15.75" customHeight="1">
      <c r="A49" s="342">
        <f t="shared" ref="A49:A52" si="6">A48+1</f>
        <v>38</v>
      </c>
      <c r="B49" s="550"/>
      <c r="C49" s="549" t="s">
        <v>122</v>
      </c>
      <c r="D49" s="549"/>
      <c r="E49" s="521">
        <v>28</v>
      </c>
      <c r="F49" s="507" t="s">
        <v>2485</v>
      </c>
      <c r="G49" s="348">
        <v>1177</v>
      </c>
      <c r="H49" s="548">
        <v>1</v>
      </c>
      <c r="I49" s="364" t="s">
        <v>94</v>
      </c>
      <c r="J49" s="348"/>
      <c r="K49" s="2"/>
      <c r="L49" s="2"/>
      <c r="M49" s="2"/>
      <c r="N49" s="2"/>
    </row>
    <row r="50" spans="1:14" ht="15.75" customHeight="1">
      <c r="A50" s="342">
        <f t="shared" si="6"/>
        <v>39</v>
      </c>
      <c r="B50" s="550"/>
      <c r="C50" s="346" t="s">
        <v>124</v>
      </c>
      <c r="D50" s="346"/>
      <c r="E50" s="521">
        <v>28</v>
      </c>
      <c r="F50" s="507" t="s">
        <v>2486</v>
      </c>
      <c r="G50" s="348">
        <v>331</v>
      </c>
      <c r="H50" s="548">
        <v>1</v>
      </c>
      <c r="I50" s="364" t="s">
        <v>94</v>
      </c>
      <c r="J50" s="348"/>
      <c r="K50" s="2"/>
      <c r="L50" s="2"/>
      <c r="M50" s="2"/>
      <c r="N50" s="2"/>
    </row>
    <row r="51" spans="1:14" ht="15.75" customHeight="1">
      <c r="A51" s="342">
        <f t="shared" si="6"/>
        <v>40</v>
      </c>
      <c r="B51" s="550"/>
      <c r="C51" s="549" t="s">
        <v>126</v>
      </c>
      <c r="D51" s="549"/>
      <c r="E51" s="521">
        <v>28</v>
      </c>
      <c r="F51" s="507" t="s">
        <v>2487</v>
      </c>
      <c r="G51" s="348">
        <v>1546</v>
      </c>
      <c r="H51" s="548">
        <v>1</v>
      </c>
      <c r="I51" s="364" t="s">
        <v>94</v>
      </c>
      <c r="J51" s="348"/>
      <c r="K51" s="2"/>
      <c r="L51" s="2"/>
      <c r="M51" s="2"/>
      <c r="N51" s="2"/>
    </row>
    <row r="52" spans="1:14" ht="15.75" customHeight="1">
      <c r="A52" s="342">
        <f t="shared" si="6"/>
        <v>41</v>
      </c>
      <c r="B52" s="550"/>
      <c r="C52" s="549" t="s">
        <v>128</v>
      </c>
      <c r="D52" s="549"/>
      <c r="E52" s="521">
        <v>28</v>
      </c>
      <c r="F52" s="507" t="s">
        <v>2488</v>
      </c>
      <c r="G52" s="348">
        <v>747</v>
      </c>
      <c r="H52" s="548">
        <v>1</v>
      </c>
      <c r="I52" s="364" t="s">
        <v>94</v>
      </c>
      <c r="J52" s="348"/>
      <c r="K52" s="2"/>
      <c r="L52" s="2"/>
      <c r="M52" s="2"/>
      <c r="N52" s="2"/>
    </row>
    <row r="53" spans="1:14" ht="15.75" customHeight="1">
      <c r="A53" s="342"/>
      <c r="B53" s="550"/>
      <c r="C53" s="532"/>
      <c r="D53" s="532"/>
      <c r="E53" s="556"/>
      <c r="F53" s="513"/>
      <c r="G53" s="557"/>
      <c r="H53" s="558"/>
      <c r="I53" s="559"/>
      <c r="J53" s="348"/>
      <c r="K53" s="2"/>
      <c r="L53" s="2"/>
      <c r="M53" s="2"/>
      <c r="N53" s="2"/>
    </row>
    <row r="54" spans="1:14" ht="25.35" customHeight="1">
      <c r="A54" s="342">
        <f>A52+1</f>
        <v>42</v>
      </c>
      <c r="B54" s="550"/>
      <c r="C54" s="549" t="s">
        <v>130</v>
      </c>
      <c r="D54" s="549"/>
      <c r="E54" s="547">
        <v>28</v>
      </c>
      <c r="F54" s="502" t="s">
        <v>131</v>
      </c>
      <c r="G54" s="363">
        <v>165</v>
      </c>
      <c r="H54" s="548">
        <v>1</v>
      </c>
      <c r="I54" s="364" t="s">
        <v>97</v>
      </c>
      <c r="J54" s="348"/>
      <c r="K54" s="2"/>
      <c r="L54" s="2"/>
      <c r="M54" s="2"/>
      <c r="N54" s="2"/>
    </row>
    <row r="55" spans="1:14" ht="25.35" customHeight="1">
      <c r="A55" s="342">
        <f t="shared" ref="A55:A74" si="7">A54+1</f>
        <v>43</v>
      </c>
      <c r="B55" s="550"/>
      <c r="C55" s="549" t="s">
        <v>132</v>
      </c>
      <c r="D55" s="549"/>
      <c r="E55" s="547">
        <v>28</v>
      </c>
      <c r="F55" s="502" t="s">
        <v>133</v>
      </c>
      <c r="G55" s="363">
        <v>210</v>
      </c>
      <c r="H55" s="548">
        <v>1</v>
      </c>
      <c r="I55" s="364" t="s">
        <v>97</v>
      </c>
      <c r="J55" s="348"/>
      <c r="K55" s="2"/>
      <c r="L55" s="2"/>
      <c r="M55" s="2"/>
      <c r="N55" s="2"/>
    </row>
    <row r="56" spans="1:14" ht="25.35" customHeight="1">
      <c r="A56" s="342">
        <f t="shared" si="7"/>
        <v>44</v>
      </c>
      <c r="B56" s="550"/>
      <c r="C56" s="346" t="s">
        <v>134</v>
      </c>
      <c r="D56" s="346"/>
      <c r="E56" s="547">
        <v>28</v>
      </c>
      <c r="F56" s="502" t="s">
        <v>135</v>
      </c>
      <c r="G56" s="526">
        <v>45</v>
      </c>
      <c r="H56" s="548">
        <v>1</v>
      </c>
      <c r="I56" s="364" t="s">
        <v>97</v>
      </c>
      <c r="J56" s="348"/>
      <c r="K56" s="2"/>
      <c r="L56" s="2"/>
      <c r="M56" s="2"/>
      <c r="N56" s="2"/>
    </row>
    <row r="57" spans="1:14" ht="15.75" customHeight="1">
      <c r="A57" s="342">
        <f t="shared" si="7"/>
        <v>45</v>
      </c>
      <c r="B57" s="550"/>
      <c r="C57" s="346" t="s">
        <v>136</v>
      </c>
      <c r="D57" s="346"/>
      <c r="E57" s="547">
        <v>28</v>
      </c>
      <c r="F57" s="502" t="s">
        <v>137</v>
      </c>
      <c r="G57" s="526">
        <v>142</v>
      </c>
      <c r="H57" s="548">
        <v>1</v>
      </c>
      <c r="I57" s="364" t="s">
        <v>138</v>
      </c>
      <c r="J57" s="348"/>
      <c r="K57" s="2"/>
      <c r="L57" s="2"/>
      <c r="M57" s="2"/>
      <c r="N57" s="2"/>
    </row>
    <row r="58" spans="1:14" ht="25.35" customHeight="1">
      <c r="A58" s="342">
        <f t="shared" si="7"/>
        <v>46</v>
      </c>
      <c r="B58" s="550"/>
      <c r="C58" s="346" t="s">
        <v>139</v>
      </c>
      <c r="D58" s="346"/>
      <c r="E58" s="547">
        <v>28</v>
      </c>
      <c r="F58" s="502" t="s">
        <v>140</v>
      </c>
      <c r="G58" s="526">
        <v>204</v>
      </c>
      <c r="H58" s="548">
        <v>1</v>
      </c>
      <c r="I58" s="364" t="s">
        <v>138</v>
      </c>
      <c r="J58" s="348"/>
      <c r="K58" s="2"/>
      <c r="L58" s="2"/>
      <c r="M58" s="2"/>
      <c r="N58" s="2"/>
    </row>
    <row r="59" spans="1:14" ht="15.75" customHeight="1">
      <c r="A59" s="342">
        <f t="shared" si="7"/>
        <v>47</v>
      </c>
      <c r="B59" s="550"/>
      <c r="C59" s="346" t="s">
        <v>141</v>
      </c>
      <c r="D59" s="346"/>
      <c r="E59" s="547">
        <v>28</v>
      </c>
      <c r="F59" s="502" t="s">
        <v>142</v>
      </c>
      <c r="G59" s="363">
        <v>158</v>
      </c>
      <c r="H59" s="548">
        <v>1</v>
      </c>
      <c r="I59" s="364" t="s">
        <v>138</v>
      </c>
      <c r="J59" s="348"/>
      <c r="K59" s="2"/>
      <c r="L59" s="2"/>
      <c r="M59" s="2"/>
      <c r="N59" s="2"/>
    </row>
    <row r="60" spans="1:14" ht="15.75" customHeight="1">
      <c r="A60" s="342">
        <f t="shared" si="7"/>
        <v>48</v>
      </c>
      <c r="B60" s="550"/>
      <c r="C60" s="346" t="s">
        <v>143</v>
      </c>
      <c r="D60" s="346"/>
      <c r="E60" s="547">
        <v>28</v>
      </c>
      <c r="F60" s="502" t="s">
        <v>144</v>
      </c>
      <c r="G60" s="363">
        <v>158</v>
      </c>
      <c r="H60" s="548">
        <v>1</v>
      </c>
      <c r="I60" s="364" t="s">
        <v>97</v>
      </c>
      <c r="J60" s="348"/>
      <c r="K60" s="2"/>
      <c r="L60" s="2"/>
      <c r="M60" s="2"/>
      <c r="N60" s="2"/>
    </row>
    <row r="61" spans="1:14" ht="15.75" customHeight="1">
      <c r="A61" s="342">
        <f t="shared" si="7"/>
        <v>49</v>
      </c>
      <c r="B61" s="550"/>
      <c r="C61" s="346" t="s">
        <v>145</v>
      </c>
      <c r="D61" s="346"/>
      <c r="E61" s="547">
        <v>29</v>
      </c>
      <c r="F61" s="502" t="s">
        <v>146</v>
      </c>
      <c r="G61" s="526">
        <v>111</v>
      </c>
      <c r="H61" s="548">
        <v>1</v>
      </c>
      <c r="I61" s="364" t="s">
        <v>138</v>
      </c>
      <c r="J61" s="348"/>
      <c r="K61" s="2"/>
      <c r="L61" s="2"/>
      <c r="M61" s="2"/>
      <c r="N61" s="2"/>
    </row>
    <row r="62" spans="1:14" ht="15.75" customHeight="1">
      <c r="A62" s="342">
        <f t="shared" si="7"/>
        <v>50</v>
      </c>
      <c r="B62" s="550"/>
      <c r="C62" s="346" t="s">
        <v>147</v>
      </c>
      <c r="D62" s="346"/>
      <c r="E62" s="547">
        <v>29</v>
      </c>
      <c r="F62" s="502" t="s">
        <v>148</v>
      </c>
      <c r="G62" s="526">
        <v>63</v>
      </c>
      <c r="H62" s="548">
        <v>1</v>
      </c>
      <c r="I62" s="364" t="s">
        <v>138</v>
      </c>
      <c r="J62" s="348"/>
      <c r="K62" s="2"/>
      <c r="L62" s="2"/>
      <c r="M62" s="2"/>
      <c r="N62" s="2"/>
    </row>
    <row r="63" spans="1:14" ht="15.75" customHeight="1">
      <c r="A63" s="342">
        <f t="shared" si="7"/>
        <v>51</v>
      </c>
      <c r="B63" s="550"/>
      <c r="C63" s="346" t="s">
        <v>149</v>
      </c>
      <c r="D63" s="346"/>
      <c r="E63" s="547">
        <v>29</v>
      </c>
      <c r="F63" s="502" t="s">
        <v>150</v>
      </c>
      <c r="G63" s="526">
        <v>146</v>
      </c>
      <c r="H63" s="548">
        <v>1</v>
      </c>
      <c r="I63" s="364" t="s">
        <v>138</v>
      </c>
      <c r="J63" s="348"/>
      <c r="K63" s="2"/>
      <c r="L63" s="2"/>
      <c r="M63" s="2"/>
      <c r="N63" s="2"/>
    </row>
    <row r="64" spans="1:14" ht="15.75" customHeight="1">
      <c r="A64" s="342">
        <f t="shared" si="7"/>
        <v>52</v>
      </c>
      <c r="B64" s="550"/>
      <c r="C64" s="346" t="s">
        <v>151</v>
      </c>
      <c r="D64" s="346"/>
      <c r="E64" s="547">
        <v>29</v>
      </c>
      <c r="F64" s="502" t="s">
        <v>152</v>
      </c>
      <c r="G64" s="526">
        <v>207</v>
      </c>
      <c r="H64" s="548">
        <v>1</v>
      </c>
      <c r="I64" s="364" t="s">
        <v>153</v>
      </c>
      <c r="J64" s="348"/>
      <c r="K64" s="2"/>
      <c r="L64" s="2"/>
      <c r="M64" s="2"/>
      <c r="N64" s="2"/>
    </row>
    <row r="65" spans="1:14" ht="36.6" customHeight="1">
      <c r="A65" s="342">
        <f t="shared" si="7"/>
        <v>53</v>
      </c>
      <c r="B65" s="550"/>
      <c r="C65" s="346" t="s">
        <v>154</v>
      </c>
      <c r="D65" s="346"/>
      <c r="E65" s="547">
        <v>29</v>
      </c>
      <c r="F65" s="502" t="s">
        <v>155</v>
      </c>
      <c r="G65" s="526">
        <v>90</v>
      </c>
      <c r="H65" s="548">
        <v>1</v>
      </c>
      <c r="I65" s="364" t="s">
        <v>97</v>
      </c>
      <c r="J65" s="348"/>
      <c r="K65" s="2"/>
      <c r="L65" s="2"/>
      <c r="M65" s="2"/>
      <c r="N65" s="2"/>
    </row>
    <row r="66" spans="1:14" ht="15.75" customHeight="1">
      <c r="A66" s="342">
        <f t="shared" si="7"/>
        <v>54</v>
      </c>
      <c r="B66" s="550"/>
      <c r="C66" s="346" t="s">
        <v>156</v>
      </c>
      <c r="D66" s="346"/>
      <c r="E66" s="547">
        <v>29</v>
      </c>
      <c r="F66" s="502" t="s">
        <v>157</v>
      </c>
      <c r="G66" s="526">
        <v>55</v>
      </c>
      <c r="H66" s="548">
        <v>1</v>
      </c>
      <c r="I66" s="364" t="s">
        <v>97</v>
      </c>
      <c r="J66" s="348"/>
      <c r="K66" s="2"/>
      <c r="L66" s="2"/>
      <c r="M66" s="2"/>
      <c r="N66" s="2"/>
    </row>
    <row r="67" spans="1:14" ht="36.6" customHeight="1">
      <c r="A67" s="342">
        <f t="shared" si="7"/>
        <v>55</v>
      </c>
      <c r="B67" s="550"/>
      <c r="C67" s="346" t="s">
        <v>158</v>
      </c>
      <c r="D67" s="346"/>
      <c r="E67" s="547">
        <v>29</v>
      </c>
      <c r="F67" s="502" t="s">
        <v>159</v>
      </c>
      <c r="G67" s="539">
        <v>214</v>
      </c>
      <c r="H67" s="548">
        <v>1</v>
      </c>
      <c r="I67" s="364" t="s">
        <v>138</v>
      </c>
      <c r="J67" s="348"/>
      <c r="K67" s="2"/>
      <c r="L67" s="2"/>
      <c r="M67" s="2"/>
      <c r="N67" s="2"/>
    </row>
    <row r="68" spans="1:14" ht="47.85" customHeight="1">
      <c r="A68" s="342">
        <f t="shared" si="7"/>
        <v>56</v>
      </c>
      <c r="B68" s="550"/>
      <c r="C68" s="530" t="s">
        <v>160</v>
      </c>
      <c r="D68" s="346"/>
      <c r="E68" s="547">
        <v>29</v>
      </c>
      <c r="F68" s="502" t="s">
        <v>161</v>
      </c>
      <c r="G68" s="539">
        <v>225</v>
      </c>
      <c r="H68" s="548">
        <v>1</v>
      </c>
      <c r="I68" s="364" t="s">
        <v>138</v>
      </c>
      <c r="J68" s="348"/>
      <c r="K68" s="2"/>
      <c r="L68" s="2"/>
      <c r="M68" s="2"/>
      <c r="N68" s="2"/>
    </row>
    <row r="69" spans="1:14" ht="25.35" customHeight="1">
      <c r="A69" s="342">
        <f t="shared" si="7"/>
        <v>57</v>
      </c>
      <c r="B69" s="550"/>
      <c r="C69" s="346" t="s">
        <v>162</v>
      </c>
      <c r="D69" s="346"/>
      <c r="E69" s="547">
        <v>29</v>
      </c>
      <c r="F69" s="502" t="s">
        <v>163</v>
      </c>
      <c r="G69" s="526">
        <v>276</v>
      </c>
      <c r="H69" s="548">
        <v>1</v>
      </c>
      <c r="I69" s="364" t="s">
        <v>138</v>
      </c>
      <c r="J69" s="348"/>
      <c r="K69" s="2"/>
      <c r="L69" s="2"/>
      <c r="M69" s="2"/>
      <c r="N69" s="2"/>
    </row>
    <row r="70" spans="1:14" ht="58.9" customHeight="1">
      <c r="A70" s="342">
        <f t="shared" si="7"/>
        <v>58</v>
      </c>
      <c r="B70" s="550"/>
      <c r="C70" s="346" t="s">
        <v>166</v>
      </c>
      <c r="D70" s="346"/>
      <c r="E70" s="547">
        <v>29</v>
      </c>
      <c r="F70" s="502" t="s">
        <v>167</v>
      </c>
      <c r="G70" s="526">
        <v>40</v>
      </c>
      <c r="H70" s="548">
        <v>1</v>
      </c>
      <c r="I70" s="364" t="s">
        <v>97</v>
      </c>
      <c r="J70" s="348"/>
      <c r="K70" s="2"/>
      <c r="L70" s="2"/>
      <c r="M70" s="2"/>
      <c r="N70" s="2"/>
    </row>
    <row r="71" spans="1:14" ht="58.9" customHeight="1">
      <c r="A71" s="342">
        <f t="shared" si="7"/>
        <v>59</v>
      </c>
      <c r="B71" s="550"/>
      <c r="C71" s="346" t="s">
        <v>168</v>
      </c>
      <c r="D71" s="346"/>
      <c r="E71" s="547">
        <v>29</v>
      </c>
      <c r="F71" s="502" t="s">
        <v>169</v>
      </c>
      <c r="G71" s="526">
        <v>52</v>
      </c>
      <c r="H71" s="548">
        <v>1</v>
      </c>
      <c r="I71" s="364" t="s">
        <v>97</v>
      </c>
      <c r="J71" s="348"/>
      <c r="K71" s="2"/>
      <c r="L71" s="2"/>
      <c r="M71" s="2"/>
      <c r="N71" s="2"/>
    </row>
    <row r="72" spans="1:14" ht="15.75" customHeight="1">
      <c r="A72" s="342">
        <f t="shared" si="7"/>
        <v>60</v>
      </c>
      <c r="B72" s="550"/>
      <c r="C72" s="346" t="s">
        <v>170</v>
      </c>
      <c r="D72" s="346"/>
      <c r="E72" s="547">
        <v>30</v>
      </c>
      <c r="F72" s="502" t="s">
        <v>171</v>
      </c>
      <c r="G72" s="526">
        <v>349</v>
      </c>
      <c r="H72" s="548">
        <v>1</v>
      </c>
      <c r="I72" s="364" t="s">
        <v>153</v>
      </c>
      <c r="J72" s="348"/>
      <c r="K72" s="2"/>
      <c r="L72" s="2"/>
      <c r="M72" s="2"/>
      <c r="N72" s="2"/>
    </row>
    <row r="73" spans="1:14" ht="15.75" customHeight="1">
      <c r="A73" s="342">
        <f t="shared" si="7"/>
        <v>61</v>
      </c>
      <c r="B73" s="550"/>
      <c r="C73" s="346" t="s">
        <v>172</v>
      </c>
      <c r="D73" s="346"/>
      <c r="E73" s="547">
        <v>30</v>
      </c>
      <c r="F73" s="502" t="s">
        <v>173</v>
      </c>
      <c r="G73" s="526">
        <v>710</v>
      </c>
      <c r="H73" s="548">
        <v>1</v>
      </c>
      <c r="I73" s="364" t="s">
        <v>153</v>
      </c>
      <c r="J73" s="348"/>
      <c r="K73" s="2"/>
      <c r="L73" s="2"/>
      <c r="M73" s="2"/>
      <c r="N73" s="2"/>
    </row>
    <row r="74" spans="1:14" ht="15.75" customHeight="1">
      <c r="A74" s="342">
        <f t="shared" si="7"/>
        <v>62</v>
      </c>
      <c r="B74" s="550"/>
      <c r="C74" s="346" t="s">
        <v>174</v>
      </c>
      <c r="D74" s="346"/>
      <c r="E74" s="547">
        <v>30</v>
      </c>
      <c r="F74" s="502" t="s">
        <v>175</v>
      </c>
      <c r="G74" s="526">
        <v>868</v>
      </c>
      <c r="H74" s="548">
        <v>1</v>
      </c>
      <c r="I74" s="364" t="s">
        <v>153</v>
      </c>
      <c r="J74" s="348"/>
      <c r="K74" s="2"/>
      <c r="L74" s="2"/>
      <c r="M74" s="2"/>
      <c r="N74" s="2"/>
    </row>
    <row r="75" spans="1:14" ht="15.75" customHeight="1">
      <c r="A75" s="342"/>
      <c r="B75" s="550"/>
      <c r="C75" s="532"/>
      <c r="D75" s="532"/>
      <c r="E75" s="556"/>
      <c r="F75" s="513"/>
      <c r="G75" s="557"/>
      <c r="H75" s="558"/>
      <c r="I75" s="559"/>
      <c r="J75" s="348"/>
      <c r="K75" s="2"/>
      <c r="L75" s="2"/>
      <c r="M75" s="2"/>
      <c r="N75" s="2"/>
    </row>
    <row r="76" spans="1:14" ht="25.35" customHeight="1">
      <c r="A76" s="342">
        <f>A74+1</f>
        <v>63</v>
      </c>
      <c r="B76" s="550"/>
      <c r="C76" s="549" t="s">
        <v>177</v>
      </c>
      <c r="D76" s="549"/>
      <c r="E76" s="521">
        <v>31</v>
      </c>
      <c r="F76" s="507" t="s">
        <v>2489</v>
      </c>
      <c r="G76" s="348">
        <v>862</v>
      </c>
      <c r="H76" s="548">
        <v>1</v>
      </c>
      <c r="I76" s="364" t="s">
        <v>94</v>
      </c>
      <c r="J76" s="348"/>
      <c r="K76" s="2"/>
      <c r="L76" s="2"/>
      <c r="M76" s="2"/>
      <c r="N76" s="2"/>
    </row>
    <row r="77" spans="1:14" ht="15.75" customHeight="1">
      <c r="A77" s="342">
        <f>A76+1</f>
        <v>64</v>
      </c>
      <c r="B77" s="550"/>
      <c r="C77" s="549" t="s">
        <v>180</v>
      </c>
      <c r="D77" s="549"/>
      <c r="E77" s="521">
        <v>31</v>
      </c>
      <c r="F77" s="507" t="s">
        <v>2490</v>
      </c>
      <c r="G77" s="348">
        <v>1212</v>
      </c>
      <c r="H77" s="548">
        <v>1</v>
      </c>
      <c r="I77" s="364" t="s">
        <v>94</v>
      </c>
      <c r="J77" s="348"/>
      <c r="K77" s="2"/>
      <c r="L77" s="2"/>
      <c r="M77" s="2"/>
      <c r="N77" s="2"/>
    </row>
    <row r="78" spans="1:14" ht="15.75" customHeight="1">
      <c r="A78" s="342"/>
      <c r="B78" s="550"/>
      <c r="C78" s="549"/>
      <c r="D78" s="549"/>
      <c r="E78" s="521"/>
      <c r="F78" s="507"/>
      <c r="G78" s="348"/>
      <c r="H78" s="548"/>
      <c r="I78" s="364"/>
      <c r="J78" s="348"/>
      <c r="K78" s="2"/>
      <c r="L78" s="2"/>
      <c r="M78" s="2"/>
      <c r="N78" s="2"/>
    </row>
    <row r="79" spans="1:14" ht="15.75" customHeight="1">
      <c r="A79" s="342">
        <f>A77+1</f>
        <v>65</v>
      </c>
      <c r="B79" s="550"/>
      <c r="C79" s="346" t="s">
        <v>182</v>
      </c>
      <c r="D79" s="346"/>
      <c r="E79" s="521">
        <v>35</v>
      </c>
      <c r="F79" s="507" t="s">
        <v>183</v>
      </c>
      <c r="G79" s="539">
        <v>281</v>
      </c>
      <c r="H79" s="548">
        <v>1</v>
      </c>
      <c r="I79" s="364" t="s">
        <v>94</v>
      </c>
      <c r="J79" s="348"/>
      <c r="K79" s="2"/>
      <c r="L79" s="2"/>
      <c r="M79" s="2"/>
      <c r="N79" s="2"/>
    </row>
    <row r="80" spans="1:14" ht="15.75" customHeight="1">
      <c r="A80" s="342">
        <f t="shared" ref="A80:A107" si="8">A79+1</f>
        <v>66</v>
      </c>
      <c r="B80" s="550"/>
      <c r="C80" s="346" t="s">
        <v>184</v>
      </c>
      <c r="D80" s="346"/>
      <c r="E80" s="521">
        <v>35</v>
      </c>
      <c r="F80" s="507" t="s">
        <v>185</v>
      </c>
      <c r="G80" s="348">
        <v>248</v>
      </c>
      <c r="H80" s="349">
        <v>1</v>
      </c>
      <c r="I80" s="343" t="s">
        <v>94</v>
      </c>
      <c r="J80" s="348"/>
      <c r="K80" s="2"/>
      <c r="L80" s="2"/>
      <c r="M80" s="2"/>
      <c r="N80" s="2"/>
    </row>
    <row r="81" spans="1:14" ht="15.75" customHeight="1">
      <c r="A81" s="342">
        <f t="shared" si="8"/>
        <v>67</v>
      </c>
      <c r="B81" s="550"/>
      <c r="C81" s="346" t="s">
        <v>186</v>
      </c>
      <c r="D81" s="346"/>
      <c r="E81" s="521">
        <v>35</v>
      </c>
      <c r="F81" s="507" t="s">
        <v>187</v>
      </c>
      <c r="G81" s="348">
        <v>456</v>
      </c>
      <c r="H81" s="349">
        <v>1</v>
      </c>
      <c r="I81" s="343" t="s">
        <v>94</v>
      </c>
      <c r="J81" s="348"/>
      <c r="K81" s="2"/>
      <c r="L81" s="2"/>
      <c r="M81" s="2"/>
      <c r="N81" s="2"/>
    </row>
    <row r="82" spans="1:14" ht="15.75" customHeight="1">
      <c r="A82" s="342">
        <f t="shared" si="8"/>
        <v>68</v>
      </c>
      <c r="B82" s="550"/>
      <c r="C82" s="346" t="s">
        <v>189</v>
      </c>
      <c r="D82" s="346"/>
      <c r="E82" s="521">
        <v>35</v>
      </c>
      <c r="F82" s="507" t="s">
        <v>190</v>
      </c>
      <c r="G82" s="348">
        <v>590</v>
      </c>
      <c r="H82" s="349">
        <v>1</v>
      </c>
      <c r="I82" s="343" t="s">
        <v>94</v>
      </c>
      <c r="J82" s="348"/>
      <c r="K82" s="2"/>
      <c r="L82" s="2"/>
      <c r="M82" s="2"/>
      <c r="N82" s="2"/>
    </row>
    <row r="83" spans="1:14" ht="15.75" customHeight="1">
      <c r="A83" s="342">
        <f t="shared" si="8"/>
        <v>69</v>
      </c>
      <c r="B83" s="550"/>
      <c r="C83" s="346" t="s">
        <v>191</v>
      </c>
      <c r="D83" s="346"/>
      <c r="E83" s="521">
        <v>35</v>
      </c>
      <c r="F83" s="507" t="s">
        <v>192</v>
      </c>
      <c r="G83" s="348">
        <v>690</v>
      </c>
      <c r="H83" s="349">
        <v>1</v>
      </c>
      <c r="I83" s="343" t="s">
        <v>94</v>
      </c>
      <c r="J83" s="348"/>
      <c r="K83" s="2"/>
      <c r="L83" s="2"/>
      <c r="M83" s="2"/>
      <c r="N83" s="2"/>
    </row>
    <row r="84" spans="1:14" ht="15.75" customHeight="1">
      <c r="A84" s="342">
        <f t="shared" si="8"/>
        <v>70</v>
      </c>
      <c r="B84" s="550"/>
      <c r="C84" s="346" t="s">
        <v>193</v>
      </c>
      <c r="D84" s="346"/>
      <c r="E84" s="521">
        <v>39</v>
      </c>
      <c r="F84" s="507" t="s">
        <v>194</v>
      </c>
      <c r="G84" s="348">
        <v>26</v>
      </c>
      <c r="H84" s="548">
        <v>1</v>
      </c>
      <c r="I84" s="364" t="s">
        <v>94</v>
      </c>
      <c r="J84" s="348"/>
      <c r="K84" s="2"/>
      <c r="L84" s="2"/>
      <c r="M84" s="2"/>
      <c r="N84" s="2"/>
    </row>
    <row r="85" spans="1:14" ht="15.75" customHeight="1">
      <c r="A85" s="342">
        <f t="shared" si="8"/>
        <v>71</v>
      </c>
      <c r="B85" s="550"/>
      <c r="C85" s="346" t="s">
        <v>195</v>
      </c>
      <c r="D85" s="346"/>
      <c r="E85" s="521">
        <v>38</v>
      </c>
      <c r="F85" s="507" t="s">
        <v>196</v>
      </c>
      <c r="G85" s="348">
        <v>74</v>
      </c>
      <c r="H85" s="349">
        <v>1</v>
      </c>
      <c r="I85" s="343" t="s">
        <v>197</v>
      </c>
      <c r="J85" s="348"/>
      <c r="K85" s="2"/>
      <c r="L85" s="2"/>
      <c r="M85" s="2"/>
      <c r="N85" s="2"/>
    </row>
    <row r="86" spans="1:14" ht="25.35" customHeight="1">
      <c r="A86" s="342">
        <f t="shared" si="8"/>
        <v>72</v>
      </c>
      <c r="B86" s="550"/>
      <c r="C86" s="346" t="s">
        <v>198</v>
      </c>
      <c r="D86" s="346"/>
      <c r="E86" s="521">
        <v>38</v>
      </c>
      <c r="F86" s="507" t="s">
        <v>199</v>
      </c>
      <c r="G86" s="348">
        <v>85</v>
      </c>
      <c r="H86" s="349">
        <v>1</v>
      </c>
      <c r="I86" s="343" t="s">
        <v>197</v>
      </c>
      <c r="J86" s="348"/>
      <c r="K86" s="2"/>
      <c r="L86" s="2"/>
      <c r="M86" s="2"/>
      <c r="N86" s="2"/>
    </row>
    <row r="87" spans="1:14" ht="25.35" customHeight="1">
      <c r="A87" s="342">
        <f t="shared" si="8"/>
        <v>73</v>
      </c>
      <c r="B87" s="550"/>
      <c r="C87" s="346" t="s">
        <v>200</v>
      </c>
      <c r="D87" s="346"/>
      <c r="E87" s="521">
        <v>38</v>
      </c>
      <c r="F87" s="507" t="s">
        <v>201</v>
      </c>
      <c r="G87" s="348">
        <v>84</v>
      </c>
      <c r="H87" s="349">
        <v>1</v>
      </c>
      <c r="I87" s="343" t="s">
        <v>197</v>
      </c>
      <c r="J87" s="348"/>
      <c r="K87" s="2"/>
      <c r="L87" s="2"/>
      <c r="M87" s="2"/>
      <c r="N87" s="2"/>
    </row>
    <row r="88" spans="1:14" ht="25.35" customHeight="1">
      <c r="A88" s="342">
        <f t="shared" si="8"/>
        <v>74</v>
      </c>
      <c r="B88" s="550"/>
      <c r="C88" s="346" t="s">
        <v>202</v>
      </c>
      <c r="D88" s="346"/>
      <c r="E88" s="521">
        <v>38</v>
      </c>
      <c r="F88" s="507" t="s">
        <v>203</v>
      </c>
      <c r="G88" s="348">
        <v>74</v>
      </c>
      <c r="H88" s="349">
        <v>1</v>
      </c>
      <c r="I88" s="343" t="s">
        <v>197</v>
      </c>
      <c r="J88" s="348"/>
      <c r="K88" s="2"/>
      <c r="L88" s="2"/>
      <c r="M88" s="2"/>
      <c r="N88" s="2"/>
    </row>
    <row r="89" spans="1:14" ht="25.35" customHeight="1">
      <c r="A89" s="342">
        <f t="shared" si="8"/>
        <v>75</v>
      </c>
      <c r="B89" s="550"/>
      <c r="C89" s="346" t="s">
        <v>204</v>
      </c>
      <c r="D89" s="346"/>
      <c r="E89" s="521">
        <v>38</v>
      </c>
      <c r="F89" s="507" t="s">
        <v>205</v>
      </c>
      <c r="G89" s="539">
        <v>41</v>
      </c>
      <c r="H89" s="548">
        <v>1</v>
      </c>
      <c r="I89" s="364" t="s">
        <v>197</v>
      </c>
      <c r="J89" s="348"/>
      <c r="K89" s="2"/>
      <c r="L89" s="2"/>
      <c r="M89" s="2"/>
      <c r="N89" s="2"/>
    </row>
    <row r="90" spans="1:14" ht="25.35" customHeight="1">
      <c r="A90" s="342">
        <f t="shared" si="8"/>
        <v>76</v>
      </c>
      <c r="B90" s="550"/>
      <c r="C90" s="346" t="s">
        <v>206</v>
      </c>
      <c r="D90" s="346"/>
      <c r="E90" s="521">
        <v>38</v>
      </c>
      <c r="F90" s="507" t="s">
        <v>207</v>
      </c>
      <c r="G90" s="539">
        <v>54</v>
      </c>
      <c r="H90" s="548">
        <v>1</v>
      </c>
      <c r="I90" s="364" t="s">
        <v>197</v>
      </c>
      <c r="J90" s="348"/>
      <c r="K90" s="2"/>
      <c r="L90" s="2"/>
      <c r="M90" s="2"/>
      <c r="N90" s="2"/>
    </row>
    <row r="91" spans="1:14" ht="25.35" customHeight="1">
      <c r="A91" s="342">
        <f t="shared" si="8"/>
        <v>77</v>
      </c>
      <c r="B91" s="550"/>
      <c r="C91" s="346" t="s">
        <v>208</v>
      </c>
      <c r="D91" s="346"/>
      <c r="E91" s="521">
        <v>38</v>
      </c>
      <c r="F91" s="507" t="s">
        <v>209</v>
      </c>
      <c r="G91" s="348">
        <v>40</v>
      </c>
      <c r="H91" s="349">
        <v>1</v>
      </c>
      <c r="I91" s="343" t="s">
        <v>197</v>
      </c>
      <c r="J91" s="348"/>
      <c r="K91" s="2"/>
      <c r="L91" s="2"/>
      <c r="M91" s="2"/>
      <c r="N91" s="2"/>
    </row>
    <row r="92" spans="1:14" ht="25.35" customHeight="1">
      <c r="A92" s="342">
        <f t="shared" si="8"/>
        <v>78</v>
      </c>
      <c r="B92" s="550"/>
      <c r="C92" s="346" t="s">
        <v>210</v>
      </c>
      <c r="D92" s="346"/>
      <c r="E92" s="521">
        <v>38</v>
      </c>
      <c r="F92" s="521" t="s">
        <v>2491</v>
      </c>
      <c r="G92" s="348">
        <v>47.5</v>
      </c>
      <c r="H92" s="349">
        <v>1</v>
      </c>
      <c r="I92" s="343" t="s">
        <v>197</v>
      </c>
      <c r="J92" s="348"/>
      <c r="K92" s="2"/>
      <c r="L92" s="2"/>
      <c r="M92" s="2"/>
      <c r="N92" s="2"/>
    </row>
    <row r="93" spans="1:14" ht="25.35" customHeight="1">
      <c r="A93" s="342">
        <f t="shared" si="8"/>
        <v>79</v>
      </c>
      <c r="B93" s="550"/>
      <c r="C93" s="346" t="s">
        <v>214</v>
      </c>
      <c r="D93" s="346"/>
      <c r="E93" s="521">
        <v>38</v>
      </c>
      <c r="F93" s="507" t="s">
        <v>215</v>
      </c>
      <c r="G93" s="348">
        <v>46</v>
      </c>
      <c r="H93" s="349">
        <v>1</v>
      </c>
      <c r="I93" s="343" t="s">
        <v>197</v>
      </c>
      <c r="J93" s="348"/>
      <c r="K93" s="2"/>
      <c r="L93" s="2"/>
      <c r="M93" s="2"/>
      <c r="N93" s="2"/>
    </row>
    <row r="94" spans="1:14" ht="15.75" customHeight="1">
      <c r="A94" s="342">
        <f t="shared" si="8"/>
        <v>80</v>
      </c>
      <c r="B94" s="550"/>
      <c r="C94" s="346" t="s">
        <v>216</v>
      </c>
      <c r="D94" s="346"/>
      <c r="E94" s="521">
        <v>38</v>
      </c>
      <c r="F94" s="507" t="s">
        <v>217</v>
      </c>
      <c r="G94" s="348">
        <v>26</v>
      </c>
      <c r="H94" s="548">
        <v>1</v>
      </c>
      <c r="I94" s="364" t="s">
        <v>197</v>
      </c>
      <c r="J94" s="348"/>
      <c r="K94" s="2"/>
      <c r="L94" s="2"/>
      <c r="M94" s="2"/>
      <c r="N94" s="2"/>
    </row>
    <row r="95" spans="1:14" ht="25.35" customHeight="1">
      <c r="A95" s="342">
        <f t="shared" si="8"/>
        <v>81</v>
      </c>
      <c r="B95" s="550"/>
      <c r="C95" s="346" t="s">
        <v>218</v>
      </c>
      <c r="D95" s="346"/>
      <c r="E95" s="521">
        <v>38</v>
      </c>
      <c r="F95" s="507" t="s">
        <v>219</v>
      </c>
      <c r="G95" s="348">
        <v>34</v>
      </c>
      <c r="H95" s="548">
        <v>1</v>
      </c>
      <c r="I95" s="364" t="s">
        <v>197</v>
      </c>
      <c r="J95" s="348"/>
      <c r="K95" s="2"/>
      <c r="L95" s="2"/>
      <c r="M95" s="2"/>
      <c r="N95" s="2"/>
    </row>
    <row r="96" spans="1:14" ht="15.75" customHeight="1">
      <c r="A96" s="342">
        <f t="shared" si="8"/>
        <v>82</v>
      </c>
      <c r="B96" s="550"/>
      <c r="C96" s="346" t="s">
        <v>220</v>
      </c>
      <c r="D96" s="346"/>
      <c r="E96" s="521">
        <v>38</v>
      </c>
      <c r="F96" s="507" t="s">
        <v>221</v>
      </c>
      <c r="G96" s="348">
        <v>2</v>
      </c>
      <c r="H96" s="349">
        <v>1</v>
      </c>
      <c r="I96" s="343" t="s">
        <v>39</v>
      </c>
      <c r="J96" s="348"/>
      <c r="K96" s="2"/>
      <c r="L96" s="2"/>
      <c r="M96" s="2"/>
      <c r="N96" s="2"/>
    </row>
    <row r="97" spans="1:14" ht="15.75" customHeight="1">
      <c r="A97" s="342">
        <f t="shared" si="8"/>
        <v>83</v>
      </c>
      <c r="B97" s="550"/>
      <c r="C97" s="346" t="s">
        <v>222</v>
      </c>
      <c r="D97" s="346"/>
      <c r="E97" s="521">
        <v>38</v>
      </c>
      <c r="F97" s="507" t="s">
        <v>223</v>
      </c>
      <c r="G97" s="348">
        <v>2</v>
      </c>
      <c r="H97" s="349">
        <v>1</v>
      </c>
      <c r="I97" s="343" t="s">
        <v>39</v>
      </c>
      <c r="J97" s="348"/>
      <c r="K97" s="2"/>
      <c r="L97" s="2"/>
      <c r="M97" s="2"/>
      <c r="N97" s="2"/>
    </row>
    <row r="98" spans="1:14" ht="15.75" customHeight="1">
      <c r="A98" s="342">
        <f t="shared" si="8"/>
        <v>84</v>
      </c>
      <c r="B98" s="550"/>
      <c r="C98" s="346" t="s">
        <v>224</v>
      </c>
      <c r="D98" s="346"/>
      <c r="E98" s="521">
        <v>38</v>
      </c>
      <c r="F98" s="507" t="s">
        <v>225</v>
      </c>
      <c r="G98" s="348">
        <v>3</v>
      </c>
      <c r="H98" s="349">
        <v>1</v>
      </c>
      <c r="I98" s="343" t="s">
        <v>39</v>
      </c>
      <c r="J98" s="348"/>
      <c r="K98" s="2"/>
      <c r="L98" s="2"/>
      <c r="M98" s="2"/>
      <c r="N98" s="2"/>
    </row>
    <row r="99" spans="1:14" ht="15.75" customHeight="1">
      <c r="A99" s="342">
        <f t="shared" si="8"/>
        <v>85</v>
      </c>
      <c r="B99" s="550"/>
      <c r="C99" s="346" t="s">
        <v>226</v>
      </c>
      <c r="D99" s="346"/>
      <c r="E99" s="521">
        <v>38</v>
      </c>
      <c r="F99" s="507" t="s">
        <v>227</v>
      </c>
      <c r="G99" s="348">
        <v>2</v>
      </c>
      <c r="H99" s="349">
        <v>1</v>
      </c>
      <c r="I99" s="343" t="s">
        <v>39</v>
      </c>
      <c r="J99" s="348"/>
      <c r="K99" s="2"/>
      <c r="L99" s="2"/>
      <c r="M99" s="2"/>
      <c r="N99" s="2"/>
    </row>
    <row r="100" spans="1:14" ht="15.75" customHeight="1">
      <c r="A100" s="342">
        <f t="shared" si="8"/>
        <v>86</v>
      </c>
      <c r="B100" s="550"/>
      <c r="C100" s="346" t="s">
        <v>228</v>
      </c>
      <c r="D100" s="346"/>
      <c r="E100" s="521">
        <v>38</v>
      </c>
      <c r="F100" s="507" t="s">
        <v>229</v>
      </c>
      <c r="G100" s="348">
        <v>2</v>
      </c>
      <c r="H100" s="349">
        <v>1</v>
      </c>
      <c r="I100" s="343" t="s">
        <v>39</v>
      </c>
      <c r="J100" s="348"/>
      <c r="K100" s="2"/>
      <c r="L100" s="2"/>
      <c r="M100" s="2"/>
      <c r="N100" s="2"/>
    </row>
    <row r="101" spans="1:14" ht="15.75" customHeight="1">
      <c r="A101" s="342">
        <f t="shared" si="8"/>
        <v>87</v>
      </c>
      <c r="B101" s="550"/>
      <c r="C101" s="346" t="s">
        <v>230</v>
      </c>
      <c r="D101" s="346"/>
      <c r="E101" s="521">
        <v>38</v>
      </c>
      <c r="F101" s="507" t="s">
        <v>231</v>
      </c>
      <c r="G101" s="348">
        <v>29</v>
      </c>
      <c r="H101" s="349">
        <v>1</v>
      </c>
      <c r="I101" s="343" t="s">
        <v>232</v>
      </c>
      <c r="J101" s="348"/>
      <c r="K101" s="2"/>
      <c r="L101" s="2"/>
      <c r="M101" s="2"/>
      <c r="N101" s="2"/>
    </row>
    <row r="102" spans="1:14" ht="15.75" customHeight="1">
      <c r="A102" s="342">
        <f t="shared" si="8"/>
        <v>88</v>
      </c>
      <c r="B102" s="550"/>
      <c r="C102" s="346" t="s">
        <v>233</v>
      </c>
      <c r="D102" s="346"/>
      <c r="E102" s="521">
        <v>38</v>
      </c>
      <c r="F102" s="507" t="s">
        <v>234</v>
      </c>
      <c r="G102" s="348">
        <v>5</v>
      </c>
      <c r="H102" s="349">
        <v>1</v>
      </c>
      <c r="I102" s="343" t="s">
        <v>197</v>
      </c>
      <c r="J102" s="348"/>
      <c r="K102" s="2"/>
      <c r="L102" s="2"/>
      <c r="M102" s="2"/>
      <c r="N102" s="2"/>
    </row>
    <row r="103" spans="1:14" ht="15.75" customHeight="1">
      <c r="A103" s="342">
        <f t="shared" si="8"/>
        <v>89</v>
      </c>
      <c r="B103" s="550"/>
      <c r="C103" s="346" t="s">
        <v>235</v>
      </c>
      <c r="D103" s="346"/>
      <c r="E103" s="521">
        <v>38</v>
      </c>
      <c r="F103" s="507" t="s">
        <v>236</v>
      </c>
      <c r="G103" s="348">
        <v>142</v>
      </c>
      <c r="H103" s="349">
        <v>1</v>
      </c>
      <c r="I103" s="343" t="s">
        <v>138</v>
      </c>
      <c r="J103" s="348"/>
      <c r="K103" s="2"/>
      <c r="L103" s="2"/>
      <c r="M103" s="2"/>
      <c r="N103" s="2"/>
    </row>
    <row r="104" spans="1:14" ht="15.75" customHeight="1">
      <c r="A104" s="342">
        <f t="shared" si="8"/>
        <v>90</v>
      </c>
      <c r="B104" s="550"/>
      <c r="C104" s="346" t="s">
        <v>237</v>
      </c>
      <c r="D104" s="346"/>
      <c r="E104" s="521">
        <v>38</v>
      </c>
      <c r="F104" s="507" t="s">
        <v>238</v>
      </c>
      <c r="G104" s="539">
        <v>3</v>
      </c>
      <c r="H104" s="548">
        <v>1</v>
      </c>
      <c r="I104" s="364" t="s">
        <v>39</v>
      </c>
      <c r="J104" s="348"/>
      <c r="K104" s="2"/>
      <c r="L104" s="2"/>
      <c r="M104" s="2"/>
      <c r="N104" s="2"/>
    </row>
    <row r="105" spans="1:14" ht="15.75" customHeight="1">
      <c r="A105" s="342">
        <f t="shared" si="8"/>
        <v>91</v>
      </c>
      <c r="B105" s="550"/>
      <c r="C105" s="346" t="s">
        <v>239</v>
      </c>
      <c r="D105" s="346"/>
      <c r="E105" s="521">
        <v>38</v>
      </c>
      <c r="F105" s="507" t="s">
        <v>240</v>
      </c>
      <c r="G105" s="539">
        <v>12</v>
      </c>
      <c r="H105" s="548">
        <v>1</v>
      </c>
      <c r="I105" s="364" t="s">
        <v>197</v>
      </c>
      <c r="J105" s="348"/>
      <c r="K105" s="2"/>
      <c r="L105" s="2"/>
      <c r="M105" s="2"/>
      <c r="N105" s="2"/>
    </row>
    <row r="106" spans="1:14" ht="25.35" customHeight="1">
      <c r="A106" s="342">
        <f t="shared" si="8"/>
        <v>92</v>
      </c>
      <c r="B106" s="550"/>
      <c r="C106" s="346" t="s">
        <v>241</v>
      </c>
      <c r="D106" s="346"/>
      <c r="E106" s="521">
        <v>38</v>
      </c>
      <c r="F106" s="342" t="s">
        <v>242</v>
      </c>
      <c r="G106" s="348">
        <v>10</v>
      </c>
      <c r="H106" s="548">
        <v>1</v>
      </c>
      <c r="I106" s="364" t="s">
        <v>197</v>
      </c>
      <c r="J106" s="348"/>
      <c r="K106" s="2"/>
      <c r="L106" s="2"/>
      <c r="M106" s="2"/>
      <c r="N106" s="2"/>
    </row>
    <row r="107" spans="1:14" ht="25.35" customHeight="1">
      <c r="A107" s="342">
        <f t="shared" si="8"/>
        <v>93</v>
      </c>
      <c r="B107" s="550"/>
      <c r="C107" s="346" t="s">
        <v>243</v>
      </c>
      <c r="D107" s="346"/>
      <c r="E107" s="342">
        <v>46</v>
      </c>
      <c r="F107" s="342" t="s">
        <v>244</v>
      </c>
      <c r="G107" s="363">
        <v>3849</v>
      </c>
      <c r="H107" s="548">
        <v>1</v>
      </c>
      <c r="I107" s="364" t="s">
        <v>94</v>
      </c>
      <c r="J107" s="348"/>
      <c r="K107" s="2"/>
      <c r="L107" s="2"/>
      <c r="M107" s="2"/>
      <c r="N107" s="2"/>
    </row>
    <row r="108" spans="1:14" ht="15.75" customHeight="1">
      <c r="A108" s="342"/>
      <c r="B108" s="550"/>
      <c r="C108" s="477"/>
      <c r="D108" s="477"/>
      <c r="E108" s="342"/>
      <c r="F108" s="342"/>
      <c r="G108" s="471"/>
      <c r="H108" s="548"/>
      <c r="I108" s="364"/>
      <c r="J108" s="348"/>
      <c r="K108" s="2"/>
      <c r="L108" s="2"/>
      <c r="M108" s="2"/>
      <c r="N108" s="2"/>
    </row>
    <row r="109" spans="1:14" ht="36.6" customHeight="1">
      <c r="A109" s="342">
        <f>A107+1</f>
        <v>94</v>
      </c>
      <c r="B109" s="550"/>
      <c r="C109" s="477" t="s">
        <v>245</v>
      </c>
      <c r="D109" s="477"/>
      <c r="E109" s="342">
        <v>51</v>
      </c>
      <c r="F109" s="342" t="s">
        <v>246</v>
      </c>
      <c r="G109" s="471">
        <v>759</v>
      </c>
      <c r="H109" s="548">
        <v>1</v>
      </c>
      <c r="I109" s="364" t="s">
        <v>197</v>
      </c>
      <c r="J109" s="348"/>
      <c r="K109" s="2"/>
      <c r="L109" s="2"/>
      <c r="M109" s="2"/>
      <c r="N109" s="2"/>
    </row>
    <row r="110" spans="1:14" ht="15.75" customHeight="1">
      <c r="A110" s="342"/>
      <c r="B110" s="550"/>
      <c r="C110" s="477"/>
      <c r="D110" s="477"/>
      <c r="E110" s="342"/>
      <c r="F110" s="342"/>
      <c r="G110" s="471"/>
      <c r="H110" s="548"/>
      <c r="I110" s="364"/>
      <c r="J110" s="348"/>
      <c r="K110" s="2"/>
      <c r="L110" s="2"/>
      <c r="M110" s="2"/>
      <c r="N110" s="2"/>
    </row>
    <row r="111" spans="1:14" ht="15.75" customHeight="1">
      <c r="A111" s="342">
        <f>A109+1</f>
        <v>95</v>
      </c>
      <c r="B111" s="550"/>
      <c r="C111" s="346" t="s">
        <v>247</v>
      </c>
      <c r="D111" s="346"/>
      <c r="E111" s="521">
        <v>53</v>
      </c>
      <c r="F111" s="507" t="s">
        <v>2492</v>
      </c>
      <c r="G111" s="348">
        <v>2003</v>
      </c>
      <c r="H111" s="548">
        <v>1</v>
      </c>
      <c r="I111" s="364" t="s">
        <v>94</v>
      </c>
      <c r="J111" s="348"/>
      <c r="K111" s="2"/>
      <c r="L111" s="2"/>
      <c r="M111" s="2"/>
      <c r="N111" s="2"/>
    </row>
    <row r="112" spans="1:14" ht="15.75" customHeight="1">
      <c r="A112" s="342">
        <f>A111+1</f>
        <v>96</v>
      </c>
      <c r="B112" s="550"/>
      <c r="C112" s="346" t="s">
        <v>249</v>
      </c>
      <c r="D112" s="346"/>
      <c r="E112" s="521">
        <v>53</v>
      </c>
      <c r="F112" s="507" t="s">
        <v>2493</v>
      </c>
      <c r="G112" s="348">
        <v>2188</v>
      </c>
      <c r="H112" s="548">
        <v>1</v>
      </c>
      <c r="I112" s="364" t="s">
        <v>94</v>
      </c>
      <c r="J112" s="348"/>
      <c r="K112" s="2"/>
      <c r="L112" s="2"/>
      <c r="M112" s="2"/>
      <c r="N112" s="2"/>
    </row>
    <row r="113" spans="1:14" ht="15.75" customHeight="1">
      <c r="A113" s="342"/>
      <c r="B113" s="550"/>
      <c r="C113" s="532"/>
      <c r="D113" s="532"/>
      <c r="E113" s="556"/>
      <c r="F113" s="513"/>
      <c r="G113" s="560"/>
      <c r="H113" s="558"/>
      <c r="I113" s="559"/>
      <c r="J113" s="348"/>
      <c r="K113" s="2"/>
      <c r="L113" s="2"/>
      <c r="M113" s="2"/>
      <c r="N113" s="2"/>
    </row>
    <row r="114" spans="1:14" ht="25.35" customHeight="1">
      <c r="A114" s="342">
        <f>A112+1</f>
        <v>97</v>
      </c>
      <c r="B114" s="550"/>
      <c r="C114" s="477" t="s">
        <v>2494</v>
      </c>
      <c r="D114" s="477"/>
      <c r="E114" s="342">
        <v>62</v>
      </c>
      <c r="F114" s="342" t="s">
        <v>252</v>
      </c>
      <c r="G114" s="363">
        <v>7773</v>
      </c>
      <c r="H114" s="548">
        <v>1</v>
      </c>
      <c r="I114" s="364" t="s">
        <v>94</v>
      </c>
      <c r="J114" s="348"/>
      <c r="K114" s="2"/>
      <c r="L114" s="2"/>
      <c r="M114" s="2"/>
      <c r="N114" s="2"/>
    </row>
    <row r="115" spans="1:14" ht="15.75" customHeight="1">
      <c r="A115" s="342">
        <f t="shared" ref="A115:A117" si="9">A114+1</f>
        <v>98</v>
      </c>
      <c r="B115" s="550"/>
      <c r="C115" s="477" t="s">
        <v>253</v>
      </c>
      <c r="D115" s="477"/>
      <c r="E115" s="342">
        <v>63</v>
      </c>
      <c r="F115" s="342" t="s">
        <v>254</v>
      </c>
      <c r="G115" s="363">
        <v>8810</v>
      </c>
      <c r="H115" s="548">
        <v>1</v>
      </c>
      <c r="I115" s="364" t="s">
        <v>94</v>
      </c>
      <c r="J115" s="348"/>
      <c r="K115" s="2"/>
      <c r="L115" s="2"/>
      <c r="M115" s="2"/>
      <c r="N115" s="2"/>
    </row>
    <row r="116" spans="1:14" ht="25.35" customHeight="1">
      <c r="A116" s="342">
        <f t="shared" si="9"/>
        <v>99</v>
      </c>
      <c r="B116" s="550"/>
      <c r="C116" s="477" t="s">
        <v>255</v>
      </c>
      <c r="D116" s="477"/>
      <c r="E116" s="521">
        <v>66</v>
      </c>
      <c r="F116" s="342" t="s">
        <v>256</v>
      </c>
      <c r="G116" s="539">
        <v>10283</v>
      </c>
      <c r="H116" s="548">
        <v>1</v>
      </c>
      <c r="I116" s="364" t="s">
        <v>94</v>
      </c>
      <c r="J116" s="348"/>
      <c r="K116" s="2"/>
      <c r="L116" s="2"/>
      <c r="M116" s="2"/>
      <c r="N116" s="2"/>
    </row>
    <row r="117" spans="1:14" ht="25.35" customHeight="1">
      <c r="A117" s="342">
        <f t="shared" si="9"/>
        <v>100</v>
      </c>
      <c r="B117" s="550"/>
      <c r="C117" s="477" t="s">
        <v>257</v>
      </c>
      <c r="D117" s="477"/>
      <c r="E117" s="521">
        <v>60</v>
      </c>
      <c r="F117" s="342" t="s">
        <v>258</v>
      </c>
      <c r="G117" s="539">
        <v>10968</v>
      </c>
      <c r="H117" s="548">
        <v>1</v>
      </c>
      <c r="I117" s="364" t="s">
        <v>94</v>
      </c>
      <c r="J117" s="348"/>
      <c r="K117" s="2"/>
      <c r="L117" s="2"/>
      <c r="M117" s="2"/>
      <c r="N117" s="2"/>
    </row>
    <row r="118" spans="1:14" ht="15.75" customHeight="1">
      <c r="A118" s="342"/>
      <c r="B118" s="550"/>
      <c r="C118" s="477"/>
      <c r="D118" s="477"/>
      <c r="E118" s="521"/>
      <c r="F118" s="342"/>
      <c r="G118" s="539"/>
      <c r="H118" s="548"/>
      <c r="I118" s="364"/>
      <c r="J118" s="348"/>
      <c r="K118" s="2"/>
      <c r="L118" s="2"/>
      <c r="M118" s="2"/>
      <c r="N118" s="2"/>
    </row>
    <row r="119" spans="1:14" ht="15.75" customHeight="1">
      <c r="A119" s="342"/>
      <c r="B119" s="550"/>
      <c r="C119" s="540" t="s">
        <v>259</v>
      </c>
      <c r="D119" s="346"/>
      <c r="E119" s="521"/>
      <c r="F119" s="342"/>
      <c r="G119" s="539"/>
      <c r="H119" s="548"/>
      <c r="I119" s="364"/>
      <c r="J119" s="348"/>
      <c r="K119" s="2"/>
      <c r="L119" s="2"/>
      <c r="M119" s="2"/>
      <c r="N119" s="2"/>
    </row>
    <row r="120" spans="1:14" ht="15.75" customHeight="1">
      <c r="A120" s="342">
        <f>A117+1</f>
        <v>101</v>
      </c>
      <c r="B120" s="550"/>
      <c r="C120" s="540" t="s">
        <v>260</v>
      </c>
      <c r="D120" s="346"/>
      <c r="E120" s="521"/>
      <c r="F120" s="342"/>
      <c r="G120" s="539"/>
      <c r="H120" s="548"/>
      <c r="I120" s="364"/>
      <c r="J120" s="348"/>
      <c r="K120" s="2"/>
      <c r="L120" s="2"/>
      <c r="M120" s="2"/>
      <c r="N120" s="2"/>
    </row>
    <row r="121" spans="1:14" ht="15.75" customHeight="1">
      <c r="A121" s="342"/>
      <c r="B121" s="550" t="s">
        <v>261</v>
      </c>
      <c r="C121" s="477" t="s">
        <v>2495</v>
      </c>
      <c r="D121" s="477"/>
      <c r="E121" s="521">
        <v>73</v>
      </c>
      <c r="F121" s="561" t="s">
        <v>263</v>
      </c>
      <c r="G121" s="562">
        <v>6681</v>
      </c>
      <c r="H121" s="563">
        <v>1</v>
      </c>
      <c r="I121" s="564" t="s">
        <v>94</v>
      </c>
      <c r="J121" s="348"/>
      <c r="K121" s="2"/>
      <c r="L121" s="2"/>
      <c r="M121" s="2"/>
      <c r="N121" s="2"/>
    </row>
    <row r="122" spans="1:14" ht="15.75" customHeight="1">
      <c r="A122" s="342"/>
      <c r="B122" s="550" t="s">
        <v>264</v>
      </c>
      <c r="C122" s="346" t="s">
        <v>2496</v>
      </c>
      <c r="D122" s="346"/>
      <c r="E122" s="521">
        <v>73</v>
      </c>
      <c r="F122" s="561" t="s">
        <v>266</v>
      </c>
      <c r="G122" s="539">
        <v>5952</v>
      </c>
      <c r="H122" s="548">
        <v>1</v>
      </c>
      <c r="I122" s="364" t="s">
        <v>94</v>
      </c>
      <c r="J122" s="348"/>
      <c r="K122" s="2"/>
      <c r="L122" s="2"/>
      <c r="M122" s="2"/>
      <c r="N122" s="2"/>
    </row>
    <row r="123" spans="1:14" ht="15.75" customHeight="1">
      <c r="A123" s="342">
        <f>A120+1</f>
        <v>102</v>
      </c>
      <c r="B123" s="550"/>
      <c r="C123" s="540" t="s">
        <v>269</v>
      </c>
      <c r="D123" s="346"/>
      <c r="E123" s="521"/>
      <c r="F123" s="342"/>
      <c r="G123" s="539"/>
      <c r="H123" s="548"/>
      <c r="I123" s="364"/>
      <c r="J123" s="348"/>
      <c r="K123" s="2"/>
      <c r="L123" s="2"/>
      <c r="M123" s="2"/>
      <c r="N123" s="2"/>
    </row>
    <row r="124" spans="1:14" ht="15.75" customHeight="1">
      <c r="A124" s="342"/>
      <c r="B124" s="550" t="s">
        <v>261</v>
      </c>
      <c r="C124" s="346" t="s">
        <v>2495</v>
      </c>
      <c r="D124" s="346"/>
      <c r="E124" s="521">
        <v>76</v>
      </c>
      <c r="F124" s="342" t="s">
        <v>271</v>
      </c>
      <c r="G124" s="539">
        <v>8017</v>
      </c>
      <c r="H124" s="548">
        <v>1</v>
      </c>
      <c r="I124" s="364" t="s">
        <v>94</v>
      </c>
      <c r="J124" s="348"/>
      <c r="K124" s="2"/>
      <c r="L124" s="2"/>
      <c r="M124" s="2"/>
      <c r="N124" s="2"/>
    </row>
    <row r="125" spans="1:14" ht="25.35" customHeight="1">
      <c r="A125" s="342"/>
      <c r="B125" s="550" t="s">
        <v>264</v>
      </c>
      <c r="C125" s="346" t="s">
        <v>2497</v>
      </c>
      <c r="D125" s="346"/>
      <c r="E125" s="521">
        <v>76</v>
      </c>
      <c r="F125" s="342" t="s">
        <v>273</v>
      </c>
      <c r="G125" s="539">
        <v>7288</v>
      </c>
      <c r="H125" s="548">
        <v>1</v>
      </c>
      <c r="I125" s="364" t="s">
        <v>94</v>
      </c>
      <c r="J125" s="348"/>
      <c r="K125" s="2"/>
      <c r="L125" s="2"/>
      <c r="M125" s="2"/>
      <c r="N125" s="2"/>
    </row>
    <row r="126" spans="1:14" ht="25.35" customHeight="1">
      <c r="A126" s="342"/>
      <c r="B126" s="550" t="s">
        <v>275</v>
      </c>
      <c r="C126" s="346" t="s">
        <v>278</v>
      </c>
      <c r="D126" s="346"/>
      <c r="E126" s="521">
        <v>76</v>
      </c>
      <c r="F126" s="342" t="s">
        <v>277</v>
      </c>
      <c r="G126" s="539">
        <v>6377</v>
      </c>
      <c r="H126" s="548">
        <v>1</v>
      </c>
      <c r="I126" s="364" t="s">
        <v>94</v>
      </c>
      <c r="J126" s="348"/>
      <c r="K126" s="2"/>
      <c r="L126" s="2"/>
      <c r="M126" s="2"/>
      <c r="N126" s="2"/>
    </row>
    <row r="127" spans="1:14" ht="25.35" customHeight="1">
      <c r="A127" s="342">
        <f>A123+1</f>
        <v>103</v>
      </c>
      <c r="B127" s="550"/>
      <c r="C127" s="477" t="s">
        <v>2498</v>
      </c>
      <c r="D127" s="477"/>
      <c r="E127" s="521">
        <v>83</v>
      </c>
      <c r="F127" s="342" t="s">
        <v>280</v>
      </c>
      <c r="G127" s="539">
        <v>7756</v>
      </c>
      <c r="H127" s="548">
        <v>1</v>
      </c>
      <c r="I127" s="364" t="s">
        <v>94</v>
      </c>
      <c r="J127" s="348"/>
      <c r="K127" s="2"/>
      <c r="L127" s="2"/>
      <c r="M127" s="2"/>
      <c r="N127" s="2"/>
    </row>
    <row r="128" spans="1:14" ht="25.35" customHeight="1">
      <c r="A128" s="342">
        <f t="shared" ref="A128:A130" si="10">A127+1</f>
        <v>104</v>
      </c>
      <c r="B128" s="550"/>
      <c r="C128" s="477" t="s">
        <v>283</v>
      </c>
      <c r="D128" s="477"/>
      <c r="E128" s="521">
        <v>85</v>
      </c>
      <c r="F128" s="342" t="s">
        <v>282</v>
      </c>
      <c r="G128" s="363">
        <v>6783</v>
      </c>
      <c r="H128" s="548">
        <v>1</v>
      </c>
      <c r="I128" s="364" t="s">
        <v>94</v>
      </c>
      <c r="J128" s="348"/>
      <c r="K128" s="2"/>
      <c r="L128" s="2"/>
      <c r="M128" s="2"/>
      <c r="N128" s="2"/>
    </row>
    <row r="129" spans="1:14" ht="25.35" customHeight="1">
      <c r="A129" s="342">
        <f t="shared" si="10"/>
        <v>105</v>
      </c>
      <c r="B129" s="550"/>
      <c r="C129" s="477" t="s">
        <v>286</v>
      </c>
      <c r="D129" s="477"/>
      <c r="E129" s="521">
        <v>89</v>
      </c>
      <c r="F129" s="342" t="s">
        <v>285</v>
      </c>
      <c r="G129" s="539">
        <v>7030</v>
      </c>
      <c r="H129" s="548">
        <v>1</v>
      </c>
      <c r="I129" s="364" t="s">
        <v>94</v>
      </c>
      <c r="J129" s="348"/>
      <c r="K129" s="2"/>
      <c r="L129" s="2"/>
      <c r="M129" s="2"/>
      <c r="N129" s="2"/>
    </row>
    <row r="130" spans="1:14" ht="25.35" customHeight="1">
      <c r="A130" s="342">
        <f t="shared" si="10"/>
        <v>106</v>
      </c>
      <c r="B130" s="550"/>
      <c r="C130" s="477" t="s">
        <v>289</v>
      </c>
      <c r="D130" s="477"/>
      <c r="E130" s="521">
        <v>90</v>
      </c>
      <c r="F130" s="342" t="s">
        <v>288</v>
      </c>
      <c r="G130" s="539">
        <v>7341</v>
      </c>
      <c r="H130" s="548">
        <v>1</v>
      </c>
      <c r="I130" s="364" t="s">
        <v>94</v>
      </c>
      <c r="J130" s="348"/>
      <c r="K130" s="2"/>
      <c r="L130" s="2"/>
      <c r="M130" s="2"/>
      <c r="N130" s="2"/>
    </row>
    <row r="131" spans="1:14" ht="25.35" customHeight="1">
      <c r="A131" s="342"/>
      <c r="B131" s="550"/>
      <c r="C131" s="477" t="s">
        <v>2499</v>
      </c>
      <c r="D131" s="477"/>
      <c r="E131" s="521">
        <v>91</v>
      </c>
      <c r="F131" s="342" t="s">
        <v>291</v>
      </c>
      <c r="G131" s="539">
        <v>7500</v>
      </c>
      <c r="H131" s="548">
        <v>1</v>
      </c>
      <c r="I131" s="364" t="s">
        <v>94</v>
      </c>
      <c r="J131" s="348"/>
      <c r="K131" s="2"/>
      <c r="L131" s="2"/>
      <c r="M131" s="2"/>
      <c r="N131" s="2"/>
    </row>
    <row r="132" spans="1:14" ht="15.75" customHeight="1">
      <c r="A132" s="342">
        <f>A130+1</f>
        <v>107</v>
      </c>
      <c r="B132" s="550"/>
      <c r="C132" s="346" t="s">
        <v>293</v>
      </c>
      <c r="D132" s="346"/>
      <c r="E132" s="343"/>
      <c r="F132" s="342"/>
      <c r="G132" s="343"/>
      <c r="H132" s="343"/>
      <c r="I132" s="343"/>
      <c r="J132" s="348"/>
      <c r="K132" s="2"/>
      <c r="L132" s="2"/>
      <c r="M132" s="2"/>
      <c r="N132" s="2"/>
    </row>
    <row r="133" spans="1:14" ht="15.75" customHeight="1">
      <c r="A133" s="342"/>
      <c r="B133" s="550" t="s">
        <v>294</v>
      </c>
      <c r="C133" s="346" t="s">
        <v>295</v>
      </c>
      <c r="D133" s="346"/>
      <c r="E133" s="521">
        <v>91</v>
      </c>
      <c r="F133" s="342" t="s">
        <v>296</v>
      </c>
      <c r="G133" s="539">
        <v>6924</v>
      </c>
      <c r="H133" s="548">
        <v>1</v>
      </c>
      <c r="I133" s="364" t="s">
        <v>94</v>
      </c>
      <c r="J133" s="348"/>
      <c r="K133" s="2"/>
      <c r="L133" s="2"/>
      <c r="M133" s="2"/>
      <c r="N133" s="2"/>
    </row>
    <row r="134" spans="1:14" ht="15.75" customHeight="1">
      <c r="A134" s="342"/>
      <c r="B134" s="550" t="s">
        <v>297</v>
      </c>
      <c r="C134" s="346" t="s">
        <v>298</v>
      </c>
      <c r="D134" s="346"/>
      <c r="E134" s="521">
        <v>92</v>
      </c>
      <c r="F134" s="342" t="s">
        <v>299</v>
      </c>
      <c r="G134" s="539">
        <v>4737</v>
      </c>
      <c r="H134" s="548">
        <v>1</v>
      </c>
      <c r="I134" s="364" t="s">
        <v>94</v>
      </c>
      <c r="J134" s="348"/>
      <c r="K134" s="2"/>
      <c r="L134" s="2"/>
      <c r="M134" s="2"/>
      <c r="N134" s="2"/>
    </row>
    <row r="135" spans="1:14" ht="15.75" customHeight="1">
      <c r="A135" s="342"/>
      <c r="B135" s="343"/>
      <c r="C135" s="343"/>
      <c r="D135" s="343"/>
      <c r="E135" s="343"/>
      <c r="F135" s="342"/>
      <c r="G135" s="343"/>
      <c r="H135" s="343"/>
      <c r="I135" s="343"/>
      <c r="J135" s="348"/>
      <c r="K135" s="2"/>
      <c r="L135" s="2"/>
      <c r="M135" s="2"/>
      <c r="N135" s="2"/>
    </row>
    <row r="136" spans="1:14" ht="36.6" customHeight="1">
      <c r="A136" s="342">
        <f>A132+1</f>
        <v>108</v>
      </c>
      <c r="B136" s="550"/>
      <c r="C136" s="477" t="s">
        <v>300</v>
      </c>
      <c r="D136" s="477"/>
      <c r="E136" s="521">
        <v>94</v>
      </c>
      <c r="F136" s="342" t="s">
        <v>301</v>
      </c>
      <c r="G136" s="363">
        <v>6606</v>
      </c>
      <c r="H136" s="548">
        <v>1</v>
      </c>
      <c r="I136" s="364" t="s">
        <v>94</v>
      </c>
      <c r="J136" s="348"/>
      <c r="K136" s="2"/>
      <c r="L136" s="2"/>
      <c r="M136" s="2"/>
      <c r="N136" s="2"/>
    </row>
    <row r="137" spans="1:14" ht="36.6" customHeight="1">
      <c r="A137" s="342">
        <f>A136+1</f>
        <v>109</v>
      </c>
      <c r="B137" s="550"/>
      <c r="C137" s="477" t="s">
        <v>302</v>
      </c>
      <c r="D137" s="477"/>
      <c r="E137" s="521">
        <v>95</v>
      </c>
      <c r="F137" s="342" t="s">
        <v>303</v>
      </c>
      <c r="G137" s="363">
        <v>9295</v>
      </c>
      <c r="H137" s="548">
        <v>1</v>
      </c>
      <c r="I137" s="364" t="s">
        <v>94</v>
      </c>
      <c r="J137" s="348"/>
      <c r="K137" s="2"/>
      <c r="L137" s="2"/>
      <c r="M137" s="2"/>
      <c r="N137" s="2"/>
    </row>
    <row r="138" spans="1:14" ht="15.75" customHeight="1">
      <c r="A138" s="342"/>
      <c r="B138" s="550"/>
      <c r="C138" s="477"/>
      <c r="D138" s="477"/>
      <c r="E138" s="521"/>
      <c r="F138" s="342"/>
      <c r="G138" s="363"/>
      <c r="H138" s="548"/>
      <c r="I138" s="364"/>
      <c r="J138" s="348"/>
      <c r="K138" s="2"/>
      <c r="L138" s="2"/>
      <c r="M138" s="2"/>
      <c r="N138" s="2"/>
    </row>
    <row r="139" spans="1:14" ht="25.35" customHeight="1">
      <c r="A139" s="342">
        <f>A137+1</f>
        <v>110</v>
      </c>
      <c r="B139" s="550"/>
      <c r="C139" s="540" t="s">
        <v>304</v>
      </c>
      <c r="D139" s="346"/>
      <c r="E139" s="343"/>
      <c r="F139" s="342"/>
      <c r="G139" s="343"/>
      <c r="H139" s="343"/>
      <c r="I139" s="343"/>
      <c r="J139" s="348"/>
      <c r="K139" s="2"/>
      <c r="L139" s="2"/>
      <c r="M139" s="2"/>
      <c r="N139" s="2"/>
    </row>
    <row r="140" spans="1:14" ht="36.6" customHeight="1">
      <c r="A140" s="342"/>
      <c r="B140" s="550" t="s">
        <v>294</v>
      </c>
      <c r="C140" s="549" t="s">
        <v>305</v>
      </c>
      <c r="D140" s="549"/>
      <c r="E140" s="521">
        <v>95</v>
      </c>
      <c r="F140" s="347" t="s">
        <v>306</v>
      </c>
      <c r="G140" s="539">
        <v>6013</v>
      </c>
      <c r="H140" s="548">
        <v>1</v>
      </c>
      <c r="I140" s="364" t="s">
        <v>94</v>
      </c>
      <c r="J140" s="348"/>
      <c r="K140" s="2"/>
      <c r="L140" s="2"/>
      <c r="M140" s="2"/>
      <c r="N140" s="2"/>
    </row>
    <row r="141" spans="1:14" ht="36.6" customHeight="1">
      <c r="A141" s="342"/>
      <c r="B141" s="550" t="s">
        <v>297</v>
      </c>
      <c r="C141" s="549" t="s">
        <v>307</v>
      </c>
      <c r="D141" s="549"/>
      <c r="E141" s="521">
        <v>91</v>
      </c>
      <c r="F141" s="347" t="s">
        <v>308</v>
      </c>
      <c r="G141" s="539">
        <v>5102</v>
      </c>
      <c r="H141" s="548">
        <v>1</v>
      </c>
      <c r="I141" s="364" t="s">
        <v>94</v>
      </c>
      <c r="J141" s="348"/>
      <c r="K141" s="2"/>
      <c r="L141" s="2"/>
      <c r="M141" s="2"/>
      <c r="N141" s="2"/>
    </row>
    <row r="142" spans="1:14" ht="15.75" customHeight="1">
      <c r="A142" s="342">
        <f>A139+1</f>
        <v>111</v>
      </c>
      <c r="B142" s="550"/>
      <c r="C142" s="346" t="s">
        <v>311</v>
      </c>
      <c r="D142" s="346"/>
      <c r="E142" s="521">
        <v>97</v>
      </c>
      <c r="F142" s="342" t="s">
        <v>312</v>
      </c>
      <c r="G142" s="539">
        <v>7288</v>
      </c>
      <c r="H142" s="548">
        <v>1</v>
      </c>
      <c r="I142" s="364" t="s">
        <v>94</v>
      </c>
      <c r="J142" s="348"/>
      <c r="K142" s="2"/>
      <c r="L142" s="2"/>
      <c r="M142" s="2"/>
      <c r="N142" s="2"/>
    </row>
    <row r="143" spans="1:14" ht="15.75" customHeight="1">
      <c r="A143" s="342">
        <f>A142+1</f>
        <v>112</v>
      </c>
      <c r="B143" s="550"/>
      <c r="C143" s="346" t="s">
        <v>313</v>
      </c>
      <c r="D143" s="346"/>
      <c r="E143" s="521">
        <v>97</v>
      </c>
      <c r="F143" s="342" t="s">
        <v>314</v>
      </c>
      <c r="G143" s="539">
        <v>5891</v>
      </c>
      <c r="H143" s="548">
        <v>1</v>
      </c>
      <c r="I143" s="364" t="s">
        <v>94</v>
      </c>
      <c r="J143" s="348"/>
      <c r="K143" s="2"/>
      <c r="L143" s="2"/>
      <c r="M143" s="2"/>
      <c r="N143" s="2"/>
    </row>
    <row r="144" spans="1:14" ht="15.75" customHeight="1">
      <c r="A144" s="342"/>
      <c r="B144" s="550"/>
      <c r="C144" s="532"/>
      <c r="D144" s="532"/>
      <c r="E144" s="556"/>
      <c r="F144" s="513"/>
      <c r="G144" s="560"/>
      <c r="H144" s="558"/>
      <c r="I144" s="559"/>
      <c r="J144" s="348"/>
      <c r="K144" s="2"/>
      <c r="L144" s="2"/>
      <c r="M144" s="2"/>
      <c r="N144" s="2"/>
    </row>
    <row r="145" spans="1:14" ht="15.75" customHeight="1">
      <c r="A145" s="342">
        <f>A143+1</f>
        <v>113</v>
      </c>
      <c r="B145" s="550"/>
      <c r="C145" s="549" t="s">
        <v>315</v>
      </c>
      <c r="D145" s="549"/>
      <c r="E145" s="521">
        <v>98</v>
      </c>
      <c r="F145" s="507" t="s">
        <v>316</v>
      </c>
      <c r="G145" s="348">
        <v>260</v>
      </c>
      <c r="H145" s="548">
        <v>1</v>
      </c>
      <c r="I145" s="364" t="s">
        <v>39</v>
      </c>
      <c r="J145" s="348"/>
      <c r="K145" s="2"/>
      <c r="L145" s="2"/>
      <c r="M145" s="2"/>
      <c r="N145" s="2"/>
    </row>
    <row r="146" spans="1:14" ht="15.75" customHeight="1">
      <c r="A146" s="342">
        <f t="shared" ref="A146:A173" si="11">A145+1</f>
        <v>114</v>
      </c>
      <c r="B146" s="550"/>
      <c r="C146" s="549" t="s">
        <v>317</v>
      </c>
      <c r="D146" s="549"/>
      <c r="E146" s="521">
        <v>98</v>
      </c>
      <c r="F146" s="507" t="s">
        <v>318</v>
      </c>
      <c r="G146" s="348">
        <v>347</v>
      </c>
      <c r="H146" s="548">
        <v>1</v>
      </c>
      <c r="I146" s="364" t="s">
        <v>39</v>
      </c>
      <c r="J146" s="348"/>
      <c r="K146" s="2"/>
      <c r="L146" s="2"/>
      <c r="M146" s="2"/>
      <c r="N146" s="2"/>
    </row>
    <row r="147" spans="1:14" ht="15.75" customHeight="1">
      <c r="A147" s="342">
        <f t="shared" si="11"/>
        <v>115</v>
      </c>
      <c r="B147" s="550"/>
      <c r="C147" s="549" t="s">
        <v>319</v>
      </c>
      <c r="D147" s="549"/>
      <c r="E147" s="521">
        <v>98</v>
      </c>
      <c r="F147" s="507" t="s">
        <v>320</v>
      </c>
      <c r="G147" s="348">
        <v>114</v>
      </c>
      <c r="H147" s="548">
        <v>1</v>
      </c>
      <c r="I147" s="364" t="s">
        <v>39</v>
      </c>
      <c r="J147" s="348"/>
      <c r="K147" s="2"/>
      <c r="L147" s="2"/>
      <c r="M147" s="2"/>
      <c r="N147" s="2"/>
    </row>
    <row r="148" spans="1:14" ht="15.75" customHeight="1">
      <c r="A148" s="342">
        <f t="shared" si="11"/>
        <v>116</v>
      </c>
      <c r="B148" s="550"/>
      <c r="C148" s="549" t="s">
        <v>321</v>
      </c>
      <c r="D148" s="549"/>
      <c r="E148" s="521">
        <v>98</v>
      </c>
      <c r="F148" s="507" t="s">
        <v>322</v>
      </c>
      <c r="G148" s="348">
        <v>141</v>
      </c>
      <c r="H148" s="548">
        <v>1</v>
      </c>
      <c r="I148" s="364" t="s">
        <v>39</v>
      </c>
      <c r="J148" s="348"/>
      <c r="K148" s="2"/>
      <c r="L148" s="2"/>
      <c r="M148" s="2"/>
      <c r="N148" s="2"/>
    </row>
    <row r="149" spans="1:14" ht="15.75" customHeight="1">
      <c r="A149" s="342">
        <f t="shared" si="11"/>
        <v>117</v>
      </c>
      <c r="B149" s="550"/>
      <c r="C149" s="549" t="s">
        <v>323</v>
      </c>
      <c r="D149" s="549"/>
      <c r="E149" s="521">
        <v>98</v>
      </c>
      <c r="F149" s="507" t="s">
        <v>324</v>
      </c>
      <c r="G149" s="348">
        <v>198</v>
      </c>
      <c r="H149" s="548">
        <v>1</v>
      </c>
      <c r="I149" s="364" t="s">
        <v>39</v>
      </c>
      <c r="J149" s="348"/>
      <c r="K149" s="2"/>
      <c r="L149" s="2"/>
      <c r="M149" s="2"/>
      <c r="N149" s="2"/>
    </row>
    <row r="150" spans="1:14" ht="15.75" customHeight="1">
      <c r="A150" s="342">
        <f t="shared" si="11"/>
        <v>118</v>
      </c>
      <c r="B150" s="550"/>
      <c r="C150" s="549" t="s">
        <v>325</v>
      </c>
      <c r="D150" s="549"/>
      <c r="E150" s="521">
        <v>99</v>
      </c>
      <c r="F150" s="507" t="s">
        <v>326</v>
      </c>
      <c r="G150" s="348">
        <v>26</v>
      </c>
      <c r="H150" s="548">
        <v>1</v>
      </c>
      <c r="I150" s="364" t="s">
        <v>39</v>
      </c>
      <c r="J150" s="348"/>
      <c r="K150" s="2"/>
      <c r="L150" s="2"/>
      <c r="M150" s="2"/>
      <c r="N150" s="2"/>
    </row>
    <row r="151" spans="1:14" ht="15.75" customHeight="1">
      <c r="A151" s="342">
        <f t="shared" si="11"/>
        <v>119</v>
      </c>
      <c r="B151" s="550"/>
      <c r="C151" s="549" t="s">
        <v>327</v>
      </c>
      <c r="D151" s="549"/>
      <c r="E151" s="521">
        <v>99</v>
      </c>
      <c r="F151" s="507" t="s">
        <v>328</v>
      </c>
      <c r="G151" s="348">
        <v>38</v>
      </c>
      <c r="H151" s="548">
        <v>1</v>
      </c>
      <c r="I151" s="364" t="s">
        <v>39</v>
      </c>
      <c r="J151" s="348"/>
      <c r="K151" s="2"/>
      <c r="L151" s="2"/>
      <c r="M151" s="2"/>
      <c r="N151" s="2"/>
    </row>
    <row r="152" spans="1:14" ht="15.75" customHeight="1">
      <c r="A152" s="342">
        <f t="shared" si="11"/>
        <v>120</v>
      </c>
      <c r="B152" s="550"/>
      <c r="C152" s="549" t="s">
        <v>329</v>
      </c>
      <c r="D152" s="549"/>
      <c r="E152" s="521">
        <v>99</v>
      </c>
      <c r="F152" s="507" t="s">
        <v>330</v>
      </c>
      <c r="G152" s="348">
        <v>56</v>
      </c>
      <c r="H152" s="548">
        <v>1</v>
      </c>
      <c r="I152" s="364" t="s">
        <v>39</v>
      </c>
      <c r="J152" s="348"/>
      <c r="K152" s="2"/>
      <c r="L152" s="2"/>
      <c r="M152" s="2"/>
      <c r="N152" s="2"/>
    </row>
    <row r="153" spans="1:14" ht="15.75" customHeight="1">
      <c r="A153" s="342">
        <f t="shared" si="11"/>
        <v>121</v>
      </c>
      <c r="B153" s="550"/>
      <c r="C153" s="549" t="s">
        <v>331</v>
      </c>
      <c r="D153" s="549"/>
      <c r="E153" s="521">
        <v>99</v>
      </c>
      <c r="F153" s="507" t="s">
        <v>332</v>
      </c>
      <c r="G153" s="348">
        <v>383</v>
      </c>
      <c r="H153" s="548">
        <v>1</v>
      </c>
      <c r="I153" s="364" t="s">
        <v>39</v>
      </c>
      <c r="J153" s="348"/>
      <c r="K153" s="2"/>
      <c r="L153" s="2"/>
      <c r="M153" s="2"/>
      <c r="N153" s="2"/>
    </row>
    <row r="154" spans="1:14" ht="15.75" customHeight="1">
      <c r="A154" s="342">
        <f t="shared" si="11"/>
        <v>122</v>
      </c>
      <c r="B154" s="550"/>
      <c r="C154" s="549" t="s">
        <v>333</v>
      </c>
      <c r="D154" s="549"/>
      <c r="E154" s="521">
        <v>99</v>
      </c>
      <c r="F154" s="507" t="s">
        <v>334</v>
      </c>
      <c r="G154" s="348">
        <v>165</v>
      </c>
      <c r="H154" s="548">
        <v>1</v>
      </c>
      <c r="I154" s="364" t="s">
        <v>39</v>
      </c>
      <c r="J154" s="348"/>
      <c r="K154" s="2"/>
      <c r="L154" s="2"/>
      <c r="M154" s="2"/>
      <c r="N154" s="2"/>
    </row>
    <row r="155" spans="1:14" ht="15.75" customHeight="1">
      <c r="A155" s="342">
        <f t="shared" si="11"/>
        <v>123</v>
      </c>
      <c r="B155" s="550"/>
      <c r="C155" s="549" t="s">
        <v>335</v>
      </c>
      <c r="D155" s="549"/>
      <c r="E155" s="521">
        <v>99</v>
      </c>
      <c r="F155" s="507" t="s">
        <v>336</v>
      </c>
      <c r="G155" s="348">
        <v>23</v>
      </c>
      <c r="H155" s="548">
        <v>1</v>
      </c>
      <c r="I155" s="364" t="s">
        <v>39</v>
      </c>
      <c r="J155" s="348"/>
      <c r="K155" s="2"/>
      <c r="L155" s="2"/>
      <c r="M155" s="2"/>
      <c r="N155" s="2"/>
    </row>
    <row r="156" spans="1:14" ht="25.35" customHeight="1">
      <c r="A156" s="342">
        <f t="shared" si="11"/>
        <v>124</v>
      </c>
      <c r="B156" s="550"/>
      <c r="C156" s="549" t="s">
        <v>337</v>
      </c>
      <c r="D156" s="549"/>
      <c r="E156" s="521">
        <v>99</v>
      </c>
      <c r="F156" s="507" t="s">
        <v>338</v>
      </c>
      <c r="G156" s="348">
        <v>44</v>
      </c>
      <c r="H156" s="548">
        <v>1</v>
      </c>
      <c r="I156" s="364" t="s">
        <v>39</v>
      </c>
      <c r="J156" s="348"/>
      <c r="K156" s="2"/>
      <c r="L156" s="2"/>
      <c r="M156" s="2"/>
      <c r="N156" s="2"/>
    </row>
    <row r="157" spans="1:14" ht="15.75" customHeight="1">
      <c r="A157" s="342">
        <f t="shared" si="11"/>
        <v>125</v>
      </c>
      <c r="B157" s="550"/>
      <c r="C157" s="549" t="s">
        <v>339</v>
      </c>
      <c r="D157" s="549"/>
      <c r="E157" s="521">
        <v>99</v>
      </c>
      <c r="F157" s="507" t="s">
        <v>340</v>
      </c>
      <c r="G157" s="348">
        <v>235</v>
      </c>
      <c r="H157" s="548">
        <v>1</v>
      </c>
      <c r="I157" s="364" t="s">
        <v>39</v>
      </c>
      <c r="J157" s="348"/>
      <c r="K157" s="2"/>
      <c r="L157" s="2"/>
      <c r="M157" s="2"/>
      <c r="N157" s="2"/>
    </row>
    <row r="158" spans="1:14" ht="15.75" customHeight="1">
      <c r="A158" s="342">
        <f t="shared" si="11"/>
        <v>126</v>
      </c>
      <c r="B158" s="550"/>
      <c r="C158" s="549" t="s">
        <v>341</v>
      </c>
      <c r="D158" s="549"/>
      <c r="E158" s="521">
        <v>99</v>
      </c>
      <c r="F158" s="507" t="s">
        <v>342</v>
      </c>
      <c r="G158" s="348">
        <v>126</v>
      </c>
      <c r="H158" s="548">
        <v>1</v>
      </c>
      <c r="I158" s="364" t="s">
        <v>39</v>
      </c>
      <c r="J158" s="348"/>
      <c r="K158" s="2"/>
      <c r="L158" s="2"/>
      <c r="M158" s="2"/>
      <c r="N158" s="2"/>
    </row>
    <row r="159" spans="1:14" ht="15.75" customHeight="1">
      <c r="A159" s="342">
        <f t="shared" si="11"/>
        <v>127</v>
      </c>
      <c r="B159" s="550"/>
      <c r="C159" s="549" t="s">
        <v>343</v>
      </c>
      <c r="D159" s="549"/>
      <c r="E159" s="521">
        <v>99</v>
      </c>
      <c r="F159" s="507" t="s">
        <v>344</v>
      </c>
      <c r="G159" s="348">
        <v>140</v>
      </c>
      <c r="H159" s="548">
        <v>1</v>
      </c>
      <c r="I159" s="364" t="s">
        <v>39</v>
      </c>
      <c r="J159" s="348"/>
      <c r="K159" s="2"/>
      <c r="L159" s="2"/>
      <c r="M159" s="2"/>
      <c r="N159" s="2"/>
    </row>
    <row r="160" spans="1:14" ht="15.75" customHeight="1">
      <c r="A160" s="342">
        <f t="shared" si="11"/>
        <v>128</v>
      </c>
      <c r="B160" s="550"/>
      <c r="C160" s="549" t="s">
        <v>345</v>
      </c>
      <c r="D160" s="549"/>
      <c r="E160" s="521">
        <v>99</v>
      </c>
      <c r="F160" s="507" t="s">
        <v>346</v>
      </c>
      <c r="G160" s="348">
        <v>34</v>
      </c>
      <c r="H160" s="548">
        <v>1</v>
      </c>
      <c r="I160" s="364" t="s">
        <v>39</v>
      </c>
      <c r="J160" s="348"/>
      <c r="K160" s="2"/>
      <c r="L160" s="2"/>
      <c r="M160" s="2"/>
      <c r="N160" s="2"/>
    </row>
    <row r="161" spans="1:14" ht="15.75" customHeight="1">
      <c r="A161" s="342">
        <f t="shared" si="11"/>
        <v>129</v>
      </c>
      <c r="B161" s="550"/>
      <c r="C161" s="549" t="s">
        <v>347</v>
      </c>
      <c r="D161" s="549"/>
      <c r="E161" s="521">
        <v>99</v>
      </c>
      <c r="F161" s="507" t="s">
        <v>348</v>
      </c>
      <c r="G161" s="348">
        <v>50</v>
      </c>
      <c r="H161" s="548">
        <v>1</v>
      </c>
      <c r="I161" s="364" t="s">
        <v>39</v>
      </c>
      <c r="J161" s="348"/>
      <c r="K161" s="2"/>
      <c r="L161" s="2"/>
      <c r="M161" s="2"/>
      <c r="N161" s="2"/>
    </row>
    <row r="162" spans="1:14" ht="15.75" customHeight="1">
      <c r="A162" s="342">
        <f t="shared" si="11"/>
        <v>130</v>
      </c>
      <c r="B162" s="550"/>
      <c r="C162" s="549" t="s">
        <v>349</v>
      </c>
      <c r="D162" s="549"/>
      <c r="E162" s="521">
        <v>99</v>
      </c>
      <c r="F162" s="507" t="s">
        <v>350</v>
      </c>
      <c r="G162" s="348">
        <v>335</v>
      </c>
      <c r="H162" s="548">
        <v>1</v>
      </c>
      <c r="I162" s="364" t="s">
        <v>39</v>
      </c>
      <c r="J162" s="348"/>
      <c r="K162" s="2"/>
      <c r="L162" s="2"/>
      <c r="M162" s="2"/>
      <c r="N162" s="2"/>
    </row>
    <row r="163" spans="1:14" ht="15.75" customHeight="1">
      <c r="A163" s="342">
        <f t="shared" si="11"/>
        <v>131</v>
      </c>
      <c r="B163" s="550"/>
      <c r="C163" s="549" t="s">
        <v>351</v>
      </c>
      <c r="D163" s="549"/>
      <c r="E163" s="521">
        <v>99</v>
      </c>
      <c r="F163" s="507" t="s">
        <v>352</v>
      </c>
      <c r="G163" s="348">
        <v>1635</v>
      </c>
      <c r="H163" s="548">
        <v>1</v>
      </c>
      <c r="I163" s="364" t="s">
        <v>39</v>
      </c>
      <c r="J163" s="348"/>
      <c r="K163" s="2"/>
      <c r="L163" s="2"/>
      <c r="M163" s="2"/>
      <c r="N163" s="2"/>
    </row>
    <row r="164" spans="1:14" ht="15.75" customHeight="1">
      <c r="A164" s="342">
        <f t="shared" si="11"/>
        <v>132</v>
      </c>
      <c r="B164" s="550"/>
      <c r="C164" s="549" t="s">
        <v>353</v>
      </c>
      <c r="D164" s="549"/>
      <c r="E164" s="521">
        <v>100</v>
      </c>
      <c r="F164" s="507" t="s">
        <v>354</v>
      </c>
      <c r="G164" s="348">
        <v>1284</v>
      </c>
      <c r="H164" s="548">
        <v>1</v>
      </c>
      <c r="I164" s="364" t="s">
        <v>39</v>
      </c>
      <c r="J164" s="348"/>
      <c r="K164" s="2"/>
      <c r="L164" s="2"/>
      <c r="M164" s="2"/>
      <c r="N164" s="2"/>
    </row>
    <row r="165" spans="1:14" ht="15.75" customHeight="1">
      <c r="A165" s="342">
        <f t="shared" si="11"/>
        <v>133</v>
      </c>
      <c r="B165" s="550"/>
      <c r="C165" s="549" t="s">
        <v>355</v>
      </c>
      <c r="D165" s="549"/>
      <c r="E165" s="521">
        <v>100</v>
      </c>
      <c r="F165" s="507" t="s">
        <v>356</v>
      </c>
      <c r="G165" s="348">
        <v>3522</v>
      </c>
      <c r="H165" s="548">
        <v>1</v>
      </c>
      <c r="I165" s="364" t="s">
        <v>39</v>
      </c>
      <c r="J165" s="348"/>
      <c r="K165" s="2"/>
      <c r="L165" s="2"/>
      <c r="M165" s="2"/>
      <c r="N165" s="2"/>
    </row>
    <row r="166" spans="1:14" ht="15.75" customHeight="1">
      <c r="A166" s="342">
        <f t="shared" si="11"/>
        <v>134</v>
      </c>
      <c r="B166" s="550"/>
      <c r="C166" s="549" t="s">
        <v>357</v>
      </c>
      <c r="D166" s="549"/>
      <c r="E166" s="521">
        <v>100</v>
      </c>
      <c r="F166" s="507" t="s">
        <v>358</v>
      </c>
      <c r="G166" s="348">
        <v>391</v>
      </c>
      <c r="H166" s="548">
        <v>1</v>
      </c>
      <c r="I166" s="364" t="s">
        <v>39</v>
      </c>
      <c r="J166" s="348"/>
      <c r="K166" s="2"/>
      <c r="L166" s="2"/>
      <c r="M166" s="2"/>
      <c r="N166" s="2"/>
    </row>
    <row r="167" spans="1:14" ht="15.75" customHeight="1">
      <c r="A167" s="342">
        <f t="shared" si="11"/>
        <v>135</v>
      </c>
      <c r="B167" s="550"/>
      <c r="C167" s="549" t="s">
        <v>359</v>
      </c>
      <c r="D167" s="549"/>
      <c r="E167" s="521">
        <v>100</v>
      </c>
      <c r="F167" s="507" t="s">
        <v>360</v>
      </c>
      <c r="G167" s="348">
        <v>425</v>
      </c>
      <c r="H167" s="548">
        <v>1</v>
      </c>
      <c r="I167" s="364" t="s">
        <v>39</v>
      </c>
      <c r="J167" s="348"/>
      <c r="K167" s="2"/>
      <c r="L167" s="2"/>
      <c r="M167" s="2"/>
      <c r="N167" s="2"/>
    </row>
    <row r="168" spans="1:14" ht="15.75" customHeight="1">
      <c r="A168" s="342">
        <f t="shared" si="11"/>
        <v>136</v>
      </c>
      <c r="B168" s="550"/>
      <c r="C168" s="549" t="s">
        <v>361</v>
      </c>
      <c r="D168" s="549"/>
      <c r="E168" s="521">
        <v>100</v>
      </c>
      <c r="F168" s="507" t="s">
        <v>362</v>
      </c>
      <c r="G168" s="348">
        <v>151</v>
      </c>
      <c r="H168" s="548">
        <v>1</v>
      </c>
      <c r="I168" s="364" t="s">
        <v>39</v>
      </c>
      <c r="J168" s="348"/>
      <c r="K168" s="2"/>
      <c r="L168" s="2"/>
      <c r="M168" s="2"/>
      <c r="N168" s="2"/>
    </row>
    <row r="169" spans="1:14" ht="15.75" customHeight="1">
      <c r="A169" s="342">
        <f t="shared" si="11"/>
        <v>137</v>
      </c>
      <c r="B169" s="550"/>
      <c r="C169" s="549" t="s">
        <v>363</v>
      </c>
      <c r="D169" s="549"/>
      <c r="E169" s="521">
        <v>100</v>
      </c>
      <c r="F169" s="507" t="s">
        <v>364</v>
      </c>
      <c r="G169" s="348">
        <v>181</v>
      </c>
      <c r="H169" s="548">
        <v>1</v>
      </c>
      <c r="I169" s="364" t="s">
        <v>39</v>
      </c>
      <c r="J169" s="348"/>
      <c r="K169" s="2"/>
      <c r="L169" s="2"/>
      <c r="M169" s="2"/>
      <c r="N169" s="2"/>
    </row>
    <row r="170" spans="1:14" ht="15.75" customHeight="1">
      <c r="A170" s="342">
        <f t="shared" si="11"/>
        <v>138</v>
      </c>
      <c r="B170" s="550"/>
      <c r="C170" s="549" t="s">
        <v>365</v>
      </c>
      <c r="D170" s="549"/>
      <c r="E170" s="521">
        <v>101</v>
      </c>
      <c r="F170" s="507" t="s">
        <v>366</v>
      </c>
      <c r="G170" s="348">
        <v>3788</v>
      </c>
      <c r="H170" s="548">
        <v>1</v>
      </c>
      <c r="I170" s="364" t="s">
        <v>39</v>
      </c>
      <c r="J170" s="348"/>
      <c r="K170" s="2"/>
      <c r="L170" s="2"/>
      <c r="M170" s="2"/>
      <c r="N170" s="2"/>
    </row>
    <row r="171" spans="1:14" ht="15.75" customHeight="1">
      <c r="A171" s="342">
        <f t="shared" si="11"/>
        <v>139</v>
      </c>
      <c r="B171" s="550"/>
      <c r="C171" s="549" t="s">
        <v>367</v>
      </c>
      <c r="D171" s="549"/>
      <c r="E171" s="521">
        <v>101</v>
      </c>
      <c r="F171" s="507" t="s">
        <v>368</v>
      </c>
      <c r="G171" s="348">
        <v>198</v>
      </c>
      <c r="H171" s="548">
        <v>1</v>
      </c>
      <c r="I171" s="364" t="s">
        <v>39</v>
      </c>
      <c r="J171" s="348"/>
      <c r="K171" s="2"/>
      <c r="L171" s="2"/>
      <c r="M171" s="2"/>
      <c r="N171" s="2"/>
    </row>
    <row r="172" spans="1:14" ht="15.75" customHeight="1">
      <c r="A172" s="342">
        <f t="shared" si="11"/>
        <v>140</v>
      </c>
      <c r="B172" s="550"/>
      <c r="C172" s="549" t="s">
        <v>369</v>
      </c>
      <c r="D172" s="549"/>
      <c r="E172" s="521">
        <v>101</v>
      </c>
      <c r="F172" s="507" t="s">
        <v>370</v>
      </c>
      <c r="G172" s="348">
        <v>50</v>
      </c>
      <c r="H172" s="548">
        <v>1</v>
      </c>
      <c r="I172" s="364" t="s">
        <v>39</v>
      </c>
      <c r="J172" s="348"/>
      <c r="K172" s="2"/>
      <c r="L172" s="2"/>
      <c r="M172" s="2"/>
      <c r="N172" s="2"/>
    </row>
    <row r="173" spans="1:14" ht="15.75" customHeight="1">
      <c r="A173" s="342">
        <f t="shared" si="11"/>
        <v>141</v>
      </c>
      <c r="B173" s="550"/>
      <c r="C173" s="549" t="s">
        <v>371</v>
      </c>
      <c r="D173" s="549"/>
      <c r="E173" s="521">
        <v>101</v>
      </c>
      <c r="F173" s="507" t="s">
        <v>372</v>
      </c>
      <c r="G173" s="348">
        <v>63</v>
      </c>
      <c r="H173" s="548">
        <v>1</v>
      </c>
      <c r="I173" s="364" t="s">
        <v>39</v>
      </c>
      <c r="J173" s="348"/>
      <c r="K173" s="2"/>
      <c r="L173" s="2"/>
      <c r="M173" s="2"/>
      <c r="N173" s="2"/>
    </row>
    <row r="174" spans="1:14" ht="15.75" customHeight="1">
      <c r="A174" s="342"/>
      <c r="B174" s="550"/>
      <c r="C174" s="549"/>
      <c r="D174" s="549"/>
      <c r="E174" s="521"/>
      <c r="F174" s="507"/>
      <c r="G174" s="348"/>
      <c r="H174" s="548"/>
      <c r="I174" s="364"/>
      <c r="J174" s="348"/>
      <c r="K174" s="2"/>
      <c r="L174" s="2"/>
      <c r="M174" s="2"/>
      <c r="N174" s="2"/>
    </row>
    <row r="175" spans="1:14" ht="15.75" customHeight="1">
      <c r="A175" s="342">
        <f>A173+1</f>
        <v>142</v>
      </c>
      <c r="B175" s="550"/>
      <c r="C175" s="565" t="s">
        <v>373</v>
      </c>
      <c r="D175" s="565"/>
      <c r="E175" s="521">
        <v>102</v>
      </c>
      <c r="F175" s="507" t="s">
        <v>374</v>
      </c>
      <c r="G175" s="348">
        <v>210</v>
      </c>
      <c r="H175" s="548">
        <v>1</v>
      </c>
      <c r="I175" s="364" t="s">
        <v>138</v>
      </c>
      <c r="J175" s="348"/>
      <c r="K175" s="2"/>
      <c r="L175" s="2"/>
      <c r="M175" s="2"/>
      <c r="N175" s="2"/>
    </row>
    <row r="176" spans="1:14" ht="25.35" customHeight="1">
      <c r="A176" s="342">
        <f t="shared" ref="A176:A177" si="12">A175+1</f>
        <v>143</v>
      </c>
      <c r="B176" s="550"/>
      <c r="C176" s="346" t="s">
        <v>2500</v>
      </c>
      <c r="D176" s="346"/>
      <c r="E176" s="521">
        <v>103</v>
      </c>
      <c r="F176" s="507" t="s">
        <v>376</v>
      </c>
      <c r="G176" s="539">
        <v>228</v>
      </c>
      <c r="H176" s="548">
        <v>1</v>
      </c>
      <c r="I176" s="364" t="s">
        <v>138</v>
      </c>
      <c r="J176" s="348"/>
      <c r="K176" s="2"/>
      <c r="L176" s="2"/>
      <c r="M176" s="2"/>
      <c r="N176" s="2"/>
    </row>
    <row r="177" spans="1:14" ht="25.35" customHeight="1">
      <c r="A177" s="342">
        <f t="shared" si="12"/>
        <v>144</v>
      </c>
      <c r="B177" s="343"/>
      <c r="C177" s="346" t="s">
        <v>380</v>
      </c>
      <c r="D177" s="346"/>
      <c r="E177" s="521">
        <v>105</v>
      </c>
      <c r="F177" s="507" t="s">
        <v>381</v>
      </c>
      <c r="G177" s="539">
        <v>403</v>
      </c>
      <c r="H177" s="548">
        <v>1</v>
      </c>
      <c r="I177" s="364" t="s">
        <v>94</v>
      </c>
      <c r="J177" s="363"/>
      <c r="K177" s="2"/>
      <c r="L177" s="2"/>
      <c r="M177" s="2"/>
      <c r="N177" s="2"/>
    </row>
    <row r="178" spans="1:14" ht="15.75" customHeight="1">
      <c r="B178" s="343"/>
      <c r="J178" s="363"/>
      <c r="K178" s="2"/>
      <c r="L178" s="2"/>
      <c r="M178" s="2"/>
      <c r="N178" s="2"/>
    </row>
    <row r="179" spans="1:14" ht="15.75" customHeight="1">
      <c r="A179" s="542">
        <f>A177+1</f>
        <v>145</v>
      </c>
      <c r="B179" s="343"/>
      <c r="C179" s="346" t="s">
        <v>382</v>
      </c>
      <c r="D179" s="346"/>
      <c r="E179" s="521">
        <v>106</v>
      </c>
      <c r="F179" s="512" t="s">
        <v>383</v>
      </c>
      <c r="G179" s="503">
        <v>31</v>
      </c>
      <c r="H179" s="349">
        <v>1</v>
      </c>
      <c r="I179" s="364" t="s">
        <v>97</v>
      </c>
      <c r="J179" s="363"/>
      <c r="K179" s="2"/>
      <c r="L179" s="2"/>
      <c r="M179" s="2"/>
      <c r="N179" s="2"/>
    </row>
    <row r="180" spans="1:14" ht="15.75" customHeight="1">
      <c r="A180" s="342">
        <f t="shared" ref="A180:A186" si="13">A179+1</f>
        <v>146</v>
      </c>
      <c r="B180" s="343"/>
      <c r="C180" s="549" t="s">
        <v>384</v>
      </c>
      <c r="D180" s="549"/>
      <c r="E180" s="521">
        <v>106</v>
      </c>
      <c r="F180" s="507" t="s">
        <v>385</v>
      </c>
      <c r="G180" s="348">
        <v>321</v>
      </c>
      <c r="H180" s="548">
        <v>1</v>
      </c>
      <c r="I180" s="364" t="s">
        <v>97</v>
      </c>
      <c r="J180" s="363"/>
      <c r="K180" s="2"/>
      <c r="L180" s="2"/>
      <c r="M180" s="2"/>
      <c r="N180" s="2"/>
    </row>
    <row r="181" spans="1:14" ht="15.75" customHeight="1">
      <c r="A181" s="342">
        <f t="shared" si="13"/>
        <v>147</v>
      </c>
      <c r="B181" s="343"/>
      <c r="C181" s="549" t="s">
        <v>386</v>
      </c>
      <c r="D181" s="549"/>
      <c r="E181" s="521">
        <v>106</v>
      </c>
      <c r="F181" s="507" t="s">
        <v>387</v>
      </c>
      <c r="G181" s="348">
        <v>2</v>
      </c>
      <c r="H181" s="548">
        <v>1</v>
      </c>
      <c r="I181" s="364" t="s">
        <v>197</v>
      </c>
      <c r="J181" s="363"/>
      <c r="K181" s="2"/>
      <c r="L181" s="2"/>
      <c r="M181" s="2"/>
      <c r="N181" s="2"/>
    </row>
    <row r="182" spans="1:14" ht="25.35" customHeight="1">
      <c r="A182" s="342">
        <f t="shared" si="13"/>
        <v>148</v>
      </c>
      <c r="B182" s="343"/>
      <c r="C182" s="549" t="s">
        <v>388</v>
      </c>
      <c r="D182" s="549"/>
      <c r="E182" s="521">
        <v>107</v>
      </c>
      <c r="F182" s="507" t="s">
        <v>389</v>
      </c>
      <c r="G182" s="539">
        <v>2820</v>
      </c>
      <c r="H182" s="548">
        <v>1</v>
      </c>
      <c r="I182" s="364" t="s">
        <v>94</v>
      </c>
      <c r="J182" s="363"/>
      <c r="K182" s="2"/>
      <c r="L182" s="2"/>
      <c r="M182" s="2"/>
      <c r="N182" s="2"/>
    </row>
    <row r="183" spans="1:14" ht="25.35" customHeight="1">
      <c r="A183" s="342">
        <f t="shared" si="13"/>
        <v>149</v>
      </c>
      <c r="B183" s="343"/>
      <c r="C183" s="549" t="s">
        <v>390</v>
      </c>
      <c r="D183" s="549"/>
      <c r="E183" s="521">
        <v>107</v>
      </c>
      <c r="F183" s="507" t="s">
        <v>391</v>
      </c>
      <c r="G183" s="539">
        <v>3163</v>
      </c>
      <c r="H183" s="548">
        <v>1</v>
      </c>
      <c r="I183" s="364" t="s">
        <v>94</v>
      </c>
      <c r="J183" s="363"/>
      <c r="K183" s="2"/>
      <c r="L183" s="2"/>
      <c r="M183" s="2"/>
      <c r="N183" s="2"/>
    </row>
    <row r="184" spans="1:14" ht="25.35" customHeight="1">
      <c r="A184" s="342">
        <f t="shared" si="13"/>
        <v>150</v>
      </c>
      <c r="B184" s="343"/>
      <c r="C184" s="549" t="s">
        <v>392</v>
      </c>
      <c r="D184" s="549"/>
      <c r="E184" s="521">
        <v>108</v>
      </c>
      <c r="F184" s="507" t="s">
        <v>393</v>
      </c>
      <c r="G184" s="539">
        <v>620</v>
      </c>
      <c r="H184" s="548">
        <v>1</v>
      </c>
      <c r="I184" s="364" t="s">
        <v>94</v>
      </c>
      <c r="J184" s="363"/>
      <c r="K184" s="2"/>
      <c r="L184" s="2"/>
      <c r="M184" s="2"/>
      <c r="N184" s="2"/>
    </row>
    <row r="185" spans="1:14" ht="15.75" customHeight="1">
      <c r="A185" s="342">
        <f t="shared" si="13"/>
        <v>151</v>
      </c>
      <c r="B185" s="343"/>
      <c r="C185" s="346" t="s">
        <v>394</v>
      </c>
      <c r="D185" s="346"/>
      <c r="E185" s="521">
        <v>108</v>
      </c>
      <c r="F185" s="507" t="s">
        <v>395</v>
      </c>
      <c r="G185" s="539">
        <v>302</v>
      </c>
      <c r="H185" s="548">
        <v>1</v>
      </c>
      <c r="I185" s="364" t="s">
        <v>94</v>
      </c>
      <c r="J185" s="363"/>
      <c r="K185" s="2"/>
      <c r="L185" s="2"/>
      <c r="M185" s="2"/>
      <c r="N185" s="2"/>
    </row>
    <row r="186" spans="1:14" ht="25.35" customHeight="1">
      <c r="A186" s="342">
        <f t="shared" si="13"/>
        <v>152</v>
      </c>
      <c r="B186" s="343"/>
      <c r="C186" s="346" t="s">
        <v>396</v>
      </c>
      <c r="D186" s="346"/>
      <c r="E186" s="521">
        <v>108</v>
      </c>
      <c r="F186" s="507" t="s">
        <v>397</v>
      </c>
      <c r="G186" s="539">
        <v>1112</v>
      </c>
      <c r="H186" s="548">
        <v>1</v>
      </c>
      <c r="I186" s="364" t="s">
        <v>94</v>
      </c>
      <c r="J186" s="363"/>
      <c r="K186" s="2"/>
      <c r="L186" s="2"/>
      <c r="M186" s="2"/>
      <c r="N186" s="2"/>
    </row>
    <row r="187" spans="1:14" ht="15.75" customHeight="1">
      <c r="A187" s="342"/>
      <c r="B187" s="343"/>
      <c r="C187" s="532"/>
      <c r="D187" s="532"/>
      <c r="E187" s="556"/>
      <c r="F187" s="513"/>
      <c r="G187" s="557"/>
      <c r="H187" s="558"/>
      <c r="I187" s="559"/>
      <c r="J187" s="363"/>
      <c r="K187" s="2"/>
      <c r="L187" s="2"/>
      <c r="M187" s="2"/>
      <c r="N187" s="2"/>
    </row>
    <row r="188" spans="1:14" ht="25.35" customHeight="1">
      <c r="A188" s="342">
        <f>A186+1</f>
        <v>153</v>
      </c>
      <c r="B188" s="343"/>
      <c r="C188" s="346" t="s">
        <v>398</v>
      </c>
      <c r="D188" s="346"/>
      <c r="E188" s="502">
        <v>110</v>
      </c>
      <c r="F188" s="502" t="s">
        <v>399</v>
      </c>
      <c r="G188" s="363">
        <v>125</v>
      </c>
      <c r="H188" s="548">
        <v>1</v>
      </c>
      <c r="I188" s="364" t="s">
        <v>400</v>
      </c>
      <c r="J188" s="363"/>
      <c r="K188" s="2"/>
      <c r="L188" s="2"/>
      <c r="M188" s="2"/>
      <c r="N188" s="2"/>
    </row>
    <row r="189" spans="1:14" ht="15.75" customHeight="1">
      <c r="A189" s="342">
        <f>A188+1</f>
        <v>154</v>
      </c>
      <c r="B189" s="343"/>
      <c r="C189" s="346" t="s">
        <v>401</v>
      </c>
      <c r="D189" s="346"/>
      <c r="E189" s="502">
        <v>110</v>
      </c>
      <c r="F189" s="502" t="s">
        <v>402</v>
      </c>
      <c r="G189" s="363">
        <v>116</v>
      </c>
      <c r="H189" s="548">
        <v>1</v>
      </c>
      <c r="I189" s="364" t="s">
        <v>400</v>
      </c>
      <c r="J189" s="363"/>
      <c r="K189" s="2"/>
      <c r="L189" s="2"/>
      <c r="M189" s="2"/>
      <c r="N189" s="2"/>
    </row>
    <row r="190" spans="1:14" ht="15.75" customHeight="1">
      <c r="A190" s="342"/>
      <c r="B190" s="343"/>
      <c r="C190" s="532"/>
      <c r="D190" s="532"/>
      <c r="E190" s="556"/>
      <c r="F190" s="513"/>
      <c r="G190" s="557"/>
      <c r="H190" s="558"/>
      <c r="I190" s="559"/>
      <c r="J190" s="363"/>
      <c r="K190" s="2"/>
      <c r="L190" s="2"/>
      <c r="M190" s="2"/>
      <c r="N190" s="2"/>
    </row>
    <row r="191" spans="1:14" ht="36.6" customHeight="1">
      <c r="A191" s="342">
        <f>A189+1</f>
        <v>155</v>
      </c>
      <c r="B191" s="343"/>
      <c r="C191" s="346" t="s">
        <v>403</v>
      </c>
      <c r="D191" s="346"/>
      <c r="E191" s="521">
        <v>111</v>
      </c>
      <c r="F191" s="502" t="s">
        <v>404</v>
      </c>
      <c r="G191" s="539">
        <v>104</v>
      </c>
      <c r="H191" s="548">
        <v>1</v>
      </c>
      <c r="I191" s="364" t="s">
        <v>197</v>
      </c>
      <c r="J191" s="363"/>
      <c r="K191" s="2"/>
      <c r="L191" s="2"/>
      <c r="M191" s="2"/>
      <c r="N191" s="2"/>
    </row>
    <row r="192" spans="1:14" ht="36.6" customHeight="1">
      <c r="A192" s="342">
        <f t="shared" ref="A192:A201" si="14">A191+1</f>
        <v>156</v>
      </c>
      <c r="B192" s="343"/>
      <c r="C192" s="346" t="s">
        <v>405</v>
      </c>
      <c r="D192" s="346"/>
      <c r="E192" s="521">
        <v>111</v>
      </c>
      <c r="F192" s="502" t="s">
        <v>406</v>
      </c>
      <c r="G192" s="539">
        <v>315</v>
      </c>
      <c r="H192" s="548">
        <v>1</v>
      </c>
      <c r="I192" s="364" t="s">
        <v>197</v>
      </c>
      <c r="J192" s="363"/>
      <c r="K192" s="2"/>
      <c r="L192" s="2"/>
      <c r="M192" s="2"/>
      <c r="N192" s="2"/>
    </row>
    <row r="193" spans="1:14" ht="36.6" customHeight="1">
      <c r="A193" s="342">
        <f t="shared" si="14"/>
        <v>157</v>
      </c>
      <c r="B193" s="343"/>
      <c r="C193" s="346" t="s">
        <v>407</v>
      </c>
      <c r="D193" s="346"/>
      <c r="E193" s="521">
        <v>111</v>
      </c>
      <c r="F193" s="502" t="s">
        <v>408</v>
      </c>
      <c r="G193" s="539">
        <v>408</v>
      </c>
      <c r="H193" s="548">
        <v>1</v>
      </c>
      <c r="I193" s="364" t="s">
        <v>197</v>
      </c>
      <c r="J193" s="363"/>
      <c r="K193" s="2"/>
      <c r="L193" s="2"/>
      <c r="M193" s="2"/>
      <c r="N193" s="2"/>
    </row>
    <row r="194" spans="1:14" ht="36.6" customHeight="1">
      <c r="A194" s="342">
        <f t="shared" si="14"/>
        <v>158</v>
      </c>
      <c r="B194" s="343"/>
      <c r="C194" s="346" t="s">
        <v>409</v>
      </c>
      <c r="D194" s="346"/>
      <c r="E194" s="521">
        <v>111</v>
      </c>
      <c r="F194" s="502" t="s">
        <v>410</v>
      </c>
      <c r="G194" s="539">
        <v>16</v>
      </c>
      <c r="H194" s="548">
        <v>1</v>
      </c>
      <c r="I194" s="364" t="s">
        <v>197</v>
      </c>
      <c r="J194" s="363"/>
      <c r="K194" s="2"/>
      <c r="L194" s="2"/>
      <c r="M194" s="2"/>
      <c r="N194" s="2"/>
    </row>
    <row r="195" spans="1:14" ht="25.35" customHeight="1">
      <c r="A195" s="342">
        <f t="shared" si="14"/>
        <v>159</v>
      </c>
      <c r="B195" s="343"/>
      <c r="C195" s="346" t="s">
        <v>411</v>
      </c>
      <c r="D195" s="346"/>
      <c r="E195" s="521">
        <v>111</v>
      </c>
      <c r="F195" s="502" t="s">
        <v>412</v>
      </c>
      <c r="G195" s="539">
        <v>49</v>
      </c>
      <c r="H195" s="548">
        <v>1</v>
      </c>
      <c r="I195" s="364" t="s">
        <v>197</v>
      </c>
      <c r="J195" s="363"/>
      <c r="K195" s="2"/>
      <c r="L195" s="2"/>
      <c r="M195" s="2"/>
      <c r="N195" s="2"/>
    </row>
    <row r="196" spans="1:14" ht="58.9" customHeight="1">
      <c r="A196" s="342">
        <f t="shared" si="14"/>
        <v>160</v>
      </c>
      <c r="B196" s="343"/>
      <c r="C196" s="346" t="s">
        <v>2501</v>
      </c>
      <c r="D196" s="346"/>
      <c r="E196" s="547">
        <v>112</v>
      </c>
      <c r="F196" s="507" t="s">
        <v>414</v>
      </c>
      <c r="G196" s="538">
        <v>26</v>
      </c>
      <c r="H196" s="349">
        <v>1</v>
      </c>
      <c r="I196" s="364" t="s">
        <v>97</v>
      </c>
      <c r="J196" s="363"/>
      <c r="K196" s="2"/>
      <c r="L196" s="2"/>
      <c r="M196" s="2"/>
      <c r="N196" s="2"/>
    </row>
    <row r="197" spans="1:14" ht="25.35" customHeight="1">
      <c r="A197" s="342">
        <f t="shared" si="14"/>
        <v>161</v>
      </c>
      <c r="B197" s="343"/>
      <c r="C197" s="346" t="s">
        <v>415</v>
      </c>
      <c r="D197" s="346"/>
      <c r="E197" s="547">
        <v>112</v>
      </c>
      <c r="F197" s="507" t="s">
        <v>416</v>
      </c>
      <c r="G197" s="538">
        <v>4</v>
      </c>
      <c r="H197" s="349">
        <v>1</v>
      </c>
      <c r="I197" s="364" t="s">
        <v>97</v>
      </c>
      <c r="J197" s="363"/>
      <c r="K197" s="2"/>
      <c r="L197" s="2"/>
      <c r="M197" s="2"/>
      <c r="N197" s="2"/>
    </row>
    <row r="198" spans="1:14" ht="25.35" customHeight="1">
      <c r="A198" s="342">
        <f t="shared" si="14"/>
        <v>162</v>
      </c>
      <c r="B198" s="343"/>
      <c r="C198" s="549" t="s">
        <v>417</v>
      </c>
      <c r="D198" s="549"/>
      <c r="E198" s="521">
        <v>112</v>
      </c>
      <c r="F198" s="507" t="s">
        <v>418</v>
      </c>
      <c r="G198" s="539">
        <v>130</v>
      </c>
      <c r="H198" s="548">
        <v>1</v>
      </c>
      <c r="I198" s="364" t="s">
        <v>97</v>
      </c>
      <c r="J198" s="363"/>
      <c r="K198" s="2"/>
      <c r="L198" s="2"/>
      <c r="M198" s="2"/>
      <c r="N198" s="2"/>
    </row>
    <row r="199" spans="1:14" ht="25.35" customHeight="1">
      <c r="A199" s="342">
        <f t="shared" si="14"/>
        <v>163</v>
      </c>
      <c r="B199" s="343"/>
      <c r="C199" s="549" t="s">
        <v>2502</v>
      </c>
      <c r="D199" s="549"/>
      <c r="E199" s="521">
        <v>112</v>
      </c>
      <c r="F199" s="507" t="s">
        <v>420</v>
      </c>
      <c r="G199" s="562">
        <v>948</v>
      </c>
      <c r="H199" s="548">
        <v>1</v>
      </c>
      <c r="I199" s="364" t="s">
        <v>94</v>
      </c>
      <c r="J199" s="363"/>
      <c r="K199" s="2"/>
      <c r="L199" s="2"/>
      <c r="M199" s="2"/>
      <c r="N199" s="2"/>
    </row>
    <row r="200" spans="1:14" ht="25.35" customHeight="1">
      <c r="A200" s="342">
        <f t="shared" si="14"/>
        <v>164</v>
      </c>
      <c r="B200" s="343"/>
      <c r="C200" s="346" t="s">
        <v>421</v>
      </c>
      <c r="D200" s="346"/>
      <c r="E200" s="521">
        <v>112</v>
      </c>
      <c r="F200" s="507" t="s">
        <v>422</v>
      </c>
      <c r="G200" s="539">
        <v>380</v>
      </c>
      <c r="H200" s="548">
        <v>1</v>
      </c>
      <c r="I200" s="364" t="s">
        <v>94</v>
      </c>
      <c r="J200" s="363"/>
      <c r="K200" s="2"/>
      <c r="L200" s="2"/>
      <c r="M200" s="2"/>
      <c r="N200" s="2"/>
    </row>
    <row r="201" spans="1:14" ht="15.75" customHeight="1">
      <c r="A201" s="342">
        <f t="shared" si="14"/>
        <v>165</v>
      </c>
      <c r="B201" s="343"/>
      <c r="C201" s="549" t="s">
        <v>423</v>
      </c>
      <c r="D201" s="549"/>
      <c r="E201" s="521">
        <v>112</v>
      </c>
      <c r="F201" s="507" t="s">
        <v>424</v>
      </c>
      <c r="G201" s="539">
        <v>284</v>
      </c>
      <c r="H201" s="548">
        <v>1</v>
      </c>
      <c r="I201" s="364" t="s">
        <v>94</v>
      </c>
      <c r="J201" s="363"/>
      <c r="K201" s="2"/>
      <c r="L201" s="2"/>
      <c r="M201" s="2"/>
      <c r="N201" s="2"/>
    </row>
    <row r="202" spans="1:14" ht="15.75" customHeight="1">
      <c r="A202" s="342"/>
      <c r="B202" s="343"/>
      <c r="C202" s="532"/>
      <c r="D202" s="532"/>
      <c r="E202" s="556"/>
      <c r="F202" s="513"/>
      <c r="G202" s="557"/>
      <c r="H202" s="558"/>
      <c r="I202" s="559"/>
      <c r="J202" s="363"/>
      <c r="K202" s="2"/>
      <c r="L202" s="2"/>
      <c r="M202" s="2"/>
      <c r="N202" s="2"/>
    </row>
    <row r="203" spans="1:14" ht="15.75" customHeight="1">
      <c r="A203" s="342">
        <f>A201+1</f>
        <v>166</v>
      </c>
      <c r="B203" s="550"/>
      <c r="C203" s="540" t="s">
        <v>425</v>
      </c>
      <c r="D203" s="540"/>
      <c r="E203" s="523"/>
      <c r="F203" s="511"/>
      <c r="G203" s="538"/>
      <c r="H203" s="548"/>
      <c r="I203" s="364"/>
      <c r="J203" s="348"/>
      <c r="K203" s="2"/>
      <c r="L203" s="2"/>
      <c r="M203" s="2"/>
      <c r="N203" s="2"/>
    </row>
    <row r="204" spans="1:14" ht="15.75" customHeight="1">
      <c r="A204" s="342"/>
      <c r="B204" s="550" t="s">
        <v>294</v>
      </c>
      <c r="C204" s="346" t="s">
        <v>426</v>
      </c>
      <c r="D204" s="346"/>
      <c r="E204" s="566">
        <v>114</v>
      </c>
      <c r="F204" s="507" t="s">
        <v>427</v>
      </c>
      <c r="G204" s="538">
        <v>394</v>
      </c>
      <c r="H204" s="548">
        <v>1</v>
      </c>
      <c r="I204" s="364" t="s">
        <v>75</v>
      </c>
      <c r="J204" s="348"/>
      <c r="K204" s="2"/>
      <c r="L204" s="2"/>
      <c r="M204" s="2"/>
      <c r="N204" s="2"/>
    </row>
    <row r="205" spans="1:14" ht="15.75" customHeight="1">
      <c r="A205" s="342"/>
      <c r="B205" s="550" t="s">
        <v>297</v>
      </c>
      <c r="C205" s="531" t="s">
        <v>428</v>
      </c>
      <c r="D205" s="531"/>
      <c r="E205" s="566">
        <v>114</v>
      </c>
      <c r="F205" s="507" t="s">
        <v>429</v>
      </c>
      <c r="G205" s="538">
        <v>14</v>
      </c>
      <c r="H205" s="548">
        <v>1</v>
      </c>
      <c r="I205" s="364" t="s">
        <v>94</v>
      </c>
      <c r="J205" s="348"/>
      <c r="K205" s="2"/>
      <c r="L205" s="2"/>
      <c r="M205" s="2"/>
      <c r="N205" s="2"/>
    </row>
    <row r="206" spans="1:14" ht="25.35" customHeight="1">
      <c r="A206" s="342"/>
      <c r="B206" s="550" t="s">
        <v>430</v>
      </c>
      <c r="C206" s="567" t="s">
        <v>431</v>
      </c>
      <c r="D206" s="567"/>
      <c r="E206" s="566">
        <v>114</v>
      </c>
      <c r="F206" s="507" t="s">
        <v>432</v>
      </c>
      <c r="G206" s="538">
        <v>12</v>
      </c>
      <c r="H206" s="548">
        <v>1</v>
      </c>
      <c r="I206" s="364" t="s">
        <v>94</v>
      </c>
      <c r="J206" s="348"/>
      <c r="K206" s="2"/>
      <c r="L206" s="2"/>
      <c r="M206" s="2"/>
      <c r="N206" s="2"/>
    </row>
    <row r="207" spans="1:14" ht="25.35" customHeight="1">
      <c r="A207" s="342"/>
      <c r="B207" s="550" t="s">
        <v>433</v>
      </c>
      <c r="C207" s="531" t="s">
        <v>434</v>
      </c>
      <c r="D207" s="531"/>
      <c r="E207" s="566">
        <v>114</v>
      </c>
      <c r="F207" s="507" t="s">
        <v>435</v>
      </c>
      <c r="G207" s="538">
        <v>205</v>
      </c>
      <c r="H207" s="548">
        <v>1</v>
      </c>
      <c r="I207" s="364" t="s">
        <v>75</v>
      </c>
      <c r="J207" s="348"/>
      <c r="K207" s="2"/>
      <c r="L207" s="2"/>
      <c r="M207" s="2"/>
      <c r="N207" s="2"/>
    </row>
    <row r="208" spans="1:14" ht="15.75" customHeight="1">
      <c r="A208" s="342"/>
      <c r="B208" s="550" t="s">
        <v>436</v>
      </c>
      <c r="C208" s="531" t="s">
        <v>437</v>
      </c>
      <c r="D208" s="531"/>
      <c r="E208" s="566">
        <v>114</v>
      </c>
      <c r="F208" s="507" t="s">
        <v>438</v>
      </c>
      <c r="G208" s="538">
        <v>4</v>
      </c>
      <c r="H208" s="548">
        <v>1</v>
      </c>
      <c r="I208" s="364" t="s">
        <v>94</v>
      </c>
      <c r="J208" s="348"/>
      <c r="K208" s="2"/>
      <c r="L208" s="2"/>
      <c r="M208" s="2"/>
      <c r="N208" s="2"/>
    </row>
    <row r="209" spans="1:14" ht="15.75" customHeight="1">
      <c r="A209" s="342"/>
      <c r="B209" s="550" t="s">
        <v>439</v>
      </c>
      <c r="C209" s="531" t="s">
        <v>440</v>
      </c>
      <c r="D209" s="531"/>
      <c r="E209" s="566">
        <v>115</v>
      </c>
      <c r="F209" s="507" t="s">
        <v>441</v>
      </c>
      <c r="G209" s="538">
        <v>5</v>
      </c>
      <c r="H209" s="548">
        <v>1</v>
      </c>
      <c r="I209" s="364" t="s">
        <v>94</v>
      </c>
      <c r="J209" s="348"/>
      <c r="K209" s="2"/>
      <c r="L209" s="2"/>
      <c r="M209" s="2"/>
      <c r="N209" s="2"/>
    </row>
    <row r="210" spans="1:14" ht="25.35" customHeight="1">
      <c r="A210" s="342"/>
      <c r="B210" s="550" t="s">
        <v>442</v>
      </c>
      <c r="C210" s="567" t="s">
        <v>443</v>
      </c>
      <c r="D210" s="567"/>
      <c r="E210" s="566">
        <v>115</v>
      </c>
      <c r="F210" s="507" t="s">
        <v>444</v>
      </c>
      <c r="G210" s="538">
        <v>7</v>
      </c>
      <c r="H210" s="548">
        <v>1</v>
      </c>
      <c r="I210" s="364" t="s">
        <v>94</v>
      </c>
      <c r="J210" s="348"/>
      <c r="K210" s="2"/>
      <c r="L210" s="2"/>
      <c r="M210" s="2"/>
      <c r="N210" s="2"/>
    </row>
    <row r="211" spans="1:14" ht="47.85" customHeight="1">
      <c r="A211" s="342"/>
      <c r="B211" s="550" t="s">
        <v>445</v>
      </c>
      <c r="C211" s="531" t="s">
        <v>446</v>
      </c>
      <c r="D211" s="531"/>
      <c r="E211" s="566">
        <v>115</v>
      </c>
      <c r="F211" s="507" t="s">
        <v>447</v>
      </c>
      <c r="G211" s="538">
        <v>4</v>
      </c>
      <c r="H211" s="548">
        <v>1</v>
      </c>
      <c r="I211" s="364" t="s">
        <v>94</v>
      </c>
      <c r="J211" s="348"/>
      <c r="K211" s="2"/>
      <c r="L211" s="2"/>
      <c r="M211" s="2"/>
      <c r="N211" s="2"/>
    </row>
    <row r="212" spans="1:14" ht="25.35" customHeight="1">
      <c r="A212" s="342"/>
      <c r="B212" s="550" t="s">
        <v>261</v>
      </c>
      <c r="C212" s="531" t="s">
        <v>448</v>
      </c>
      <c r="D212" s="531"/>
      <c r="E212" s="566">
        <v>115</v>
      </c>
      <c r="F212" s="507" t="s">
        <v>449</v>
      </c>
      <c r="G212" s="538">
        <v>5</v>
      </c>
      <c r="H212" s="548">
        <v>1</v>
      </c>
      <c r="I212" s="364" t="s">
        <v>94</v>
      </c>
      <c r="J212" s="348"/>
      <c r="K212" s="2"/>
      <c r="L212" s="2"/>
      <c r="M212" s="2"/>
      <c r="N212" s="2"/>
    </row>
    <row r="213" spans="1:14" ht="15.75" customHeight="1">
      <c r="A213" s="342"/>
      <c r="B213" s="550"/>
      <c r="C213" s="531"/>
      <c r="D213" s="531"/>
      <c r="E213" s="566"/>
      <c r="F213" s="507"/>
      <c r="G213" s="538"/>
      <c r="H213" s="548"/>
      <c r="I213" s="364"/>
      <c r="J213" s="348"/>
      <c r="K213" s="2"/>
      <c r="L213" s="2"/>
      <c r="M213" s="2"/>
      <c r="N213" s="2"/>
    </row>
    <row r="214" spans="1:14" ht="25.35" customHeight="1">
      <c r="A214" s="347">
        <f>A203+1</f>
        <v>167</v>
      </c>
      <c r="B214" s="343"/>
      <c r="C214" s="540" t="s">
        <v>450</v>
      </c>
      <c r="D214" s="492" t="s">
        <v>34</v>
      </c>
      <c r="E214" s="332" t="s">
        <v>451</v>
      </c>
      <c r="F214" s="527" t="s">
        <v>452</v>
      </c>
      <c r="G214" s="568" t="s">
        <v>453</v>
      </c>
      <c r="H214" s="545" t="s">
        <v>30</v>
      </c>
      <c r="I214" s="545"/>
      <c r="J214" s="481"/>
      <c r="K214" s="2"/>
      <c r="L214" s="2"/>
      <c r="M214" s="2"/>
      <c r="N214" s="2"/>
    </row>
    <row r="215" spans="1:14" ht="15.75" customHeight="1">
      <c r="A215" s="569" t="s">
        <v>454</v>
      </c>
      <c r="B215" s="343"/>
      <c r="C215" s="540" t="s">
        <v>2503</v>
      </c>
      <c r="D215" s="540"/>
      <c r="E215" s="514"/>
      <c r="F215" s="508"/>
      <c r="G215" s="348"/>
      <c r="H215" s="548"/>
      <c r="I215" s="364"/>
      <c r="J215" s="348"/>
      <c r="K215" s="2"/>
      <c r="L215" s="2"/>
      <c r="M215" s="2"/>
      <c r="N215" s="2"/>
    </row>
    <row r="216" spans="1:14" ht="15.75" customHeight="1">
      <c r="A216" s="550"/>
      <c r="B216" s="550" t="s">
        <v>294</v>
      </c>
      <c r="C216" s="346" t="s">
        <v>457</v>
      </c>
      <c r="D216" s="346"/>
      <c r="E216" s="547">
        <v>117</v>
      </c>
      <c r="F216" s="502">
        <v>9.93</v>
      </c>
      <c r="G216" s="363">
        <v>67.94</v>
      </c>
      <c r="H216" s="548">
        <v>1</v>
      </c>
      <c r="I216" s="364" t="s">
        <v>46</v>
      </c>
      <c r="J216" s="348"/>
      <c r="K216" s="2"/>
      <c r="L216" s="2"/>
      <c r="M216" s="2"/>
      <c r="N216" s="2"/>
    </row>
    <row r="217" spans="1:14" ht="15.75" customHeight="1">
      <c r="A217" s="550"/>
      <c r="B217" s="550" t="s">
        <v>297</v>
      </c>
      <c r="C217" s="346" t="s">
        <v>458</v>
      </c>
      <c r="D217" s="346"/>
      <c r="E217" s="522"/>
      <c r="F217" s="502">
        <v>9.93</v>
      </c>
      <c r="G217" s="363">
        <v>96.94</v>
      </c>
      <c r="H217" s="548">
        <v>1</v>
      </c>
      <c r="I217" s="364" t="s">
        <v>46</v>
      </c>
      <c r="J217" s="348"/>
      <c r="K217" s="2"/>
      <c r="L217" s="2"/>
      <c r="M217" s="2"/>
      <c r="N217" s="2"/>
    </row>
    <row r="218" spans="1:14" ht="15.75" customHeight="1">
      <c r="A218" s="550"/>
      <c r="B218" s="550" t="s">
        <v>430</v>
      </c>
      <c r="C218" s="346" t="s">
        <v>459</v>
      </c>
      <c r="D218" s="346"/>
      <c r="E218" s="522"/>
      <c r="F218" s="502">
        <v>9.93</v>
      </c>
      <c r="G218" s="363">
        <v>125.95</v>
      </c>
      <c r="H218" s="548">
        <v>1</v>
      </c>
      <c r="I218" s="364" t="s">
        <v>46</v>
      </c>
      <c r="J218" s="348"/>
      <c r="K218" s="2"/>
      <c r="L218" s="2"/>
      <c r="M218" s="2"/>
      <c r="N218" s="2"/>
    </row>
    <row r="219" spans="1:14" ht="15.75" customHeight="1">
      <c r="A219" s="550"/>
      <c r="B219" s="550" t="s">
        <v>433</v>
      </c>
      <c r="C219" s="343" t="s">
        <v>460</v>
      </c>
      <c r="D219" s="343"/>
      <c r="E219" s="522"/>
      <c r="F219" s="502">
        <v>9.93</v>
      </c>
      <c r="G219" s="363">
        <v>154.94999999999999</v>
      </c>
      <c r="H219" s="548">
        <v>1</v>
      </c>
      <c r="I219" s="364" t="s">
        <v>46</v>
      </c>
      <c r="J219" s="348"/>
      <c r="K219" s="2"/>
      <c r="L219" s="2"/>
      <c r="M219" s="2"/>
      <c r="N219" s="2"/>
    </row>
    <row r="220" spans="1:14" ht="15.75" customHeight="1">
      <c r="A220" s="550"/>
      <c r="B220" s="550" t="s">
        <v>436</v>
      </c>
      <c r="C220" s="343" t="s">
        <v>461</v>
      </c>
      <c r="D220" s="343"/>
      <c r="E220" s="522"/>
      <c r="F220" s="502">
        <v>9.93</v>
      </c>
      <c r="G220" s="363">
        <v>183.96</v>
      </c>
      <c r="H220" s="548">
        <v>1</v>
      </c>
      <c r="I220" s="364" t="s">
        <v>46</v>
      </c>
      <c r="J220" s="348"/>
      <c r="K220" s="2"/>
      <c r="L220" s="2"/>
      <c r="M220" s="2"/>
      <c r="N220" s="2"/>
    </row>
    <row r="221" spans="1:14" ht="15.75" customHeight="1">
      <c r="A221" s="550"/>
      <c r="B221" s="550" t="s">
        <v>439</v>
      </c>
      <c r="C221" s="343" t="s">
        <v>462</v>
      </c>
      <c r="D221" s="343"/>
      <c r="E221" s="522"/>
      <c r="F221" s="502">
        <v>9.93</v>
      </c>
      <c r="G221" s="363">
        <v>212.96</v>
      </c>
      <c r="H221" s="548">
        <v>1</v>
      </c>
      <c r="I221" s="364" t="s">
        <v>46</v>
      </c>
      <c r="J221" s="348"/>
      <c r="K221" s="2"/>
      <c r="L221" s="2"/>
      <c r="M221" s="2"/>
      <c r="N221" s="2"/>
    </row>
    <row r="222" spans="1:14" ht="15.75" customHeight="1">
      <c r="A222" s="550"/>
      <c r="B222" s="550"/>
      <c r="C222" s="346"/>
      <c r="D222" s="346"/>
      <c r="E222" s="522"/>
      <c r="F222" s="510"/>
      <c r="G222" s="343"/>
      <c r="H222" s="343"/>
      <c r="I222" s="343"/>
      <c r="J222" s="348"/>
      <c r="K222" s="2"/>
      <c r="L222" s="2"/>
      <c r="M222" s="2"/>
      <c r="N222" s="2"/>
    </row>
    <row r="223" spans="1:14" ht="15.75" customHeight="1">
      <c r="A223" s="569" t="s">
        <v>468</v>
      </c>
      <c r="B223" s="550"/>
      <c r="C223" s="540" t="s">
        <v>469</v>
      </c>
      <c r="D223" s="492"/>
      <c r="E223" s="489"/>
      <c r="F223" s="511"/>
      <c r="G223" s="363"/>
      <c r="H223" s="548"/>
      <c r="I223" s="364"/>
      <c r="J223" s="348"/>
      <c r="K223" s="2"/>
      <c r="L223" s="2"/>
      <c r="M223" s="2"/>
      <c r="N223" s="2"/>
    </row>
    <row r="224" spans="1:14" ht="15.75" customHeight="1">
      <c r="A224" s="342"/>
      <c r="B224" s="550" t="s">
        <v>294</v>
      </c>
      <c r="C224" s="346" t="s">
        <v>457</v>
      </c>
      <c r="D224" s="346"/>
      <c r="E224" s="547">
        <v>117</v>
      </c>
      <c r="F224" s="504">
        <v>0.99</v>
      </c>
      <c r="G224" s="363">
        <v>6.79</v>
      </c>
      <c r="H224" s="548">
        <v>1</v>
      </c>
      <c r="I224" s="364" t="s">
        <v>46</v>
      </c>
      <c r="J224" s="348"/>
      <c r="K224" s="2"/>
      <c r="L224" s="2"/>
      <c r="M224" s="2"/>
      <c r="N224" s="2"/>
    </row>
    <row r="225" spans="1:14" ht="15.75" customHeight="1">
      <c r="A225" s="342"/>
      <c r="B225" s="550" t="s">
        <v>297</v>
      </c>
      <c r="C225" s="346" t="s">
        <v>458</v>
      </c>
      <c r="D225" s="346"/>
      <c r="E225" s="504"/>
      <c r="F225" s="504">
        <v>0.99</v>
      </c>
      <c r="G225" s="363">
        <v>9.69</v>
      </c>
      <c r="H225" s="548">
        <v>1</v>
      </c>
      <c r="I225" s="364" t="s">
        <v>46</v>
      </c>
      <c r="J225" s="348"/>
      <c r="K225" s="2"/>
      <c r="L225" s="2"/>
      <c r="M225" s="2"/>
      <c r="N225" s="2"/>
    </row>
    <row r="226" spans="1:14" ht="15.75" customHeight="1">
      <c r="A226" s="342"/>
      <c r="B226" s="550" t="s">
        <v>430</v>
      </c>
      <c r="C226" s="346" t="s">
        <v>459</v>
      </c>
      <c r="D226" s="346"/>
      <c r="E226" s="504"/>
      <c r="F226" s="504">
        <v>0.99</v>
      </c>
      <c r="G226" s="363">
        <v>12.59</v>
      </c>
      <c r="H226" s="548">
        <v>1</v>
      </c>
      <c r="I226" s="364" t="s">
        <v>46</v>
      </c>
      <c r="J226" s="348"/>
      <c r="K226" s="2"/>
      <c r="L226" s="2"/>
      <c r="M226" s="2"/>
      <c r="N226" s="2"/>
    </row>
    <row r="227" spans="1:14" ht="15.75" customHeight="1">
      <c r="A227" s="342"/>
      <c r="B227" s="550" t="s">
        <v>433</v>
      </c>
      <c r="C227" s="343" t="s">
        <v>460</v>
      </c>
      <c r="D227" s="343"/>
      <c r="E227" s="504"/>
      <c r="F227" s="504">
        <v>0.99</v>
      </c>
      <c r="G227" s="363">
        <v>15.5</v>
      </c>
      <c r="H227" s="548">
        <v>1</v>
      </c>
      <c r="I227" s="364" t="s">
        <v>46</v>
      </c>
      <c r="J227" s="348"/>
      <c r="K227" s="2"/>
      <c r="L227" s="2"/>
      <c r="M227" s="2"/>
      <c r="N227" s="2"/>
    </row>
    <row r="228" spans="1:14" ht="15.75" customHeight="1">
      <c r="A228" s="342"/>
      <c r="B228" s="550" t="s">
        <v>436</v>
      </c>
      <c r="C228" s="343" t="s">
        <v>461</v>
      </c>
      <c r="D228" s="343"/>
      <c r="E228" s="504"/>
      <c r="F228" s="504">
        <v>0.99</v>
      </c>
      <c r="G228" s="363">
        <v>18.399999999999999</v>
      </c>
      <c r="H228" s="548">
        <v>1</v>
      </c>
      <c r="I228" s="364" t="s">
        <v>46</v>
      </c>
      <c r="J228" s="348"/>
      <c r="K228" s="2"/>
      <c r="L228" s="2"/>
      <c r="M228" s="2"/>
      <c r="N228" s="2"/>
    </row>
    <row r="229" spans="1:14" ht="15.75" customHeight="1">
      <c r="A229" s="342"/>
      <c r="B229" s="550" t="s">
        <v>439</v>
      </c>
      <c r="C229" s="343" t="s">
        <v>462</v>
      </c>
      <c r="D229" s="343"/>
      <c r="E229" s="504"/>
      <c r="F229" s="504">
        <v>0.99</v>
      </c>
      <c r="G229" s="363">
        <v>21.3</v>
      </c>
      <c r="H229" s="548">
        <v>1</v>
      </c>
      <c r="I229" s="364" t="s">
        <v>46</v>
      </c>
      <c r="J229" s="348"/>
      <c r="K229" s="2"/>
      <c r="L229" s="2"/>
      <c r="M229" s="2"/>
      <c r="N229" s="2"/>
    </row>
    <row r="230" spans="1:14" ht="15.75" customHeight="1">
      <c r="A230" s="342"/>
      <c r="B230" s="550"/>
      <c r="C230" s="346"/>
      <c r="D230" s="346"/>
      <c r="E230" s="504"/>
      <c r="F230" s="502"/>
      <c r="G230" s="363"/>
      <c r="H230" s="548"/>
      <c r="I230" s="364"/>
      <c r="J230" s="348"/>
      <c r="K230" s="2"/>
      <c r="L230" s="2"/>
      <c r="M230" s="2"/>
      <c r="N230" s="2"/>
    </row>
    <row r="231" spans="1:14" ht="15.75" customHeight="1">
      <c r="A231" s="342">
        <f>A214+1</f>
        <v>168</v>
      </c>
      <c r="B231" s="550"/>
      <c r="C231" s="540" t="s">
        <v>470</v>
      </c>
      <c r="D231" s="492"/>
      <c r="E231" s="522"/>
      <c r="F231" s="511"/>
      <c r="G231" s="363"/>
      <c r="H231" s="548"/>
      <c r="I231" s="364"/>
      <c r="J231" s="348"/>
      <c r="K231" s="2"/>
      <c r="L231" s="2"/>
      <c r="M231" s="2"/>
      <c r="N231" s="2"/>
    </row>
    <row r="232" spans="1:14" ht="15.75" customHeight="1">
      <c r="A232" s="342"/>
      <c r="B232" s="550"/>
      <c r="C232" s="540" t="s">
        <v>471</v>
      </c>
      <c r="D232" s="540"/>
      <c r="E232" s="522"/>
      <c r="F232" s="511"/>
      <c r="G232" s="363"/>
      <c r="H232" s="548"/>
      <c r="I232" s="364"/>
      <c r="J232" s="348"/>
      <c r="K232" s="2"/>
      <c r="L232" s="2"/>
      <c r="M232" s="2"/>
      <c r="N232" s="2"/>
    </row>
    <row r="233" spans="1:14" ht="15.75" customHeight="1">
      <c r="A233" s="342"/>
      <c r="B233" s="550" t="s">
        <v>294</v>
      </c>
      <c r="C233" s="346" t="s">
        <v>457</v>
      </c>
      <c r="D233" s="346"/>
      <c r="E233" s="547">
        <v>117</v>
      </c>
      <c r="F233" s="502">
        <v>2.37</v>
      </c>
      <c r="G233" s="363">
        <v>13.7</v>
      </c>
      <c r="H233" s="548">
        <v>1</v>
      </c>
      <c r="I233" s="364" t="s">
        <v>46</v>
      </c>
      <c r="J233" s="348"/>
      <c r="K233" s="2"/>
      <c r="L233" s="2"/>
      <c r="M233" s="2"/>
      <c r="N233" s="2"/>
    </row>
    <row r="234" spans="1:14" ht="15.75" customHeight="1">
      <c r="A234" s="342"/>
      <c r="B234" s="550" t="s">
        <v>297</v>
      </c>
      <c r="C234" s="346" t="s">
        <v>458</v>
      </c>
      <c r="D234" s="346"/>
      <c r="E234" s="504"/>
      <c r="F234" s="502">
        <v>2.37</v>
      </c>
      <c r="G234" s="363">
        <v>19.37</v>
      </c>
      <c r="H234" s="548">
        <v>1</v>
      </c>
      <c r="I234" s="364" t="s">
        <v>46</v>
      </c>
      <c r="J234" s="348"/>
      <c r="K234" s="2"/>
      <c r="L234" s="2"/>
      <c r="M234" s="2"/>
      <c r="N234" s="2"/>
    </row>
    <row r="235" spans="1:14" ht="15.75" customHeight="1">
      <c r="A235" s="342"/>
      <c r="B235" s="550" t="s">
        <v>430</v>
      </c>
      <c r="C235" s="346" t="s">
        <v>459</v>
      </c>
      <c r="D235" s="346"/>
      <c r="E235" s="504"/>
      <c r="F235" s="502">
        <v>2.37</v>
      </c>
      <c r="G235" s="363">
        <v>25.04</v>
      </c>
      <c r="H235" s="548">
        <v>1</v>
      </c>
      <c r="I235" s="364" t="s">
        <v>46</v>
      </c>
      <c r="J235" s="348"/>
      <c r="K235" s="2"/>
      <c r="L235" s="2"/>
      <c r="M235" s="2"/>
      <c r="N235" s="2"/>
    </row>
    <row r="236" spans="1:14" ht="15.75" customHeight="1">
      <c r="A236" s="342"/>
      <c r="B236" s="550" t="s">
        <v>433</v>
      </c>
      <c r="C236" s="343" t="s">
        <v>460</v>
      </c>
      <c r="D236" s="343"/>
      <c r="E236" s="504"/>
      <c r="F236" s="502">
        <v>2.37</v>
      </c>
      <c r="G236" s="363">
        <v>30.71</v>
      </c>
      <c r="H236" s="548">
        <v>1</v>
      </c>
      <c r="I236" s="364" t="s">
        <v>46</v>
      </c>
      <c r="J236" s="348"/>
      <c r="K236" s="2"/>
      <c r="L236" s="2"/>
      <c r="M236" s="2"/>
      <c r="N236" s="2"/>
    </row>
    <row r="237" spans="1:14" ht="15.75" customHeight="1">
      <c r="A237" s="342"/>
      <c r="B237" s="550" t="s">
        <v>436</v>
      </c>
      <c r="C237" s="343" t="s">
        <v>461</v>
      </c>
      <c r="D237" s="343"/>
      <c r="E237" s="522"/>
      <c r="F237" s="502">
        <v>2.37</v>
      </c>
      <c r="G237" s="363">
        <v>36.369999999999997</v>
      </c>
      <c r="H237" s="548">
        <v>1</v>
      </c>
      <c r="I237" s="364" t="s">
        <v>46</v>
      </c>
      <c r="J237" s="348"/>
      <c r="K237" s="2"/>
      <c r="L237" s="2"/>
      <c r="M237" s="2"/>
      <c r="N237" s="2"/>
    </row>
    <row r="238" spans="1:14" ht="15.75" customHeight="1">
      <c r="A238" s="342"/>
      <c r="B238" s="550" t="s">
        <v>439</v>
      </c>
      <c r="C238" s="343" t="s">
        <v>462</v>
      </c>
      <c r="D238" s="343"/>
      <c r="E238" s="522"/>
      <c r="F238" s="502">
        <v>2.37</v>
      </c>
      <c r="G238" s="363">
        <v>42.04</v>
      </c>
      <c r="H238" s="548">
        <v>1</v>
      </c>
      <c r="I238" s="364" t="s">
        <v>46</v>
      </c>
      <c r="J238" s="348"/>
      <c r="K238" s="2"/>
      <c r="L238" s="2"/>
      <c r="M238" s="2"/>
      <c r="N238" s="2"/>
    </row>
    <row r="239" spans="1:14" ht="15.75" customHeight="1">
      <c r="A239" s="342"/>
      <c r="B239" s="550"/>
      <c r="C239" s="346"/>
      <c r="D239" s="346"/>
      <c r="E239" s="522"/>
      <c r="F239" s="511"/>
      <c r="G239" s="363"/>
      <c r="H239" s="548"/>
      <c r="I239" s="364"/>
      <c r="J239" s="348"/>
      <c r="K239" s="2"/>
      <c r="L239" s="2"/>
      <c r="M239" s="2"/>
      <c r="N239" s="2"/>
    </row>
    <row r="240" spans="1:14" ht="32.450000000000003" customHeight="1">
      <c r="A240" s="570">
        <f>A231+1</f>
        <v>169</v>
      </c>
      <c r="B240" s="571"/>
      <c r="C240" s="2132" t="s">
        <v>2504</v>
      </c>
      <c r="D240" s="2132"/>
      <c r="E240" s="2132"/>
      <c r="F240" s="2132"/>
      <c r="G240" s="2132"/>
      <c r="H240" s="2132"/>
      <c r="I240" s="2132"/>
      <c r="J240" s="2132"/>
      <c r="K240" s="2132"/>
      <c r="L240" s="2132"/>
      <c r="M240" s="2132"/>
      <c r="N240" s="2132"/>
    </row>
    <row r="241" spans="1:14" ht="25.5" customHeight="1">
      <c r="A241" s="478"/>
      <c r="B241" s="572"/>
      <c r="C241" s="480"/>
      <c r="D241" s="492" t="s">
        <v>34</v>
      </c>
      <c r="E241" s="520" t="s">
        <v>27</v>
      </c>
      <c r="F241" s="518" t="s">
        <v>452</v>
      </c>
      <c r="G241" s="2127" t="s">
        <v>453</v>
      </c>
      <c r="H241" s="2127"/>
      <c r="I241" s="2127"/>
      <c r="J241" s="2127"/>
      <c r="K241" s="2127"/>
      <c r="L241" s="2127"/>
      <c r="M241" s="2128" t="s">
        <v>30</v>
      </c>
      <c r="N241" s="2128"/>
    </row>
    <row r="242" spans="1:14" ht="25.35" customHeight="1">
      <c r="A242" s="478"/>
      <c r="B242" s="572"/>
      <c r="C242" s="480"/>
      <c r="D242" s="480"/>
      <c r="E242" s="517"/>
      <c r="F242" s="480"/>
      <c r="G242" s="332" t="s">
        <v>473</v>
      </c>
      <c r="H242" s="545" t="s">
        <v>474</v>
      </c>
      <c r="I242" s="545" t="s">
        <v>475</v>
      </c>
      <c r="J242" s="545" t="s">
        <v>476</v>
      </c>
      <c r="K242" s="545" t="s">
        <v>477</v>
      </c>
      <c r="L242" s="545" t="s">
        <v>478</v>
      </c>
      <c r="M242" s="342"/>
      <c r="N242" s="332"/>
    </row>
    <row r="243" spans="1:14" ht="15.75" customHeight="1">
      <c r="A243" s="478"/>
      <c r="B243" s="479" t="s">
        <v>294</v>
      </c>
      <c r="C243" s="535" t="s">
        <v>483</v>
      </c>
      <c r="D243" s="535"/>
      <c r="E243" s="573">
        <v>116</v>
      </c>
      <c r="F243" s="536">
        <v>277</v>
      </c>
      <c r="G243" s="536">
        <v>532</v>
      </c>
      <c r="H243" s="536"/>
      <c r="I243" s="536"/>
      <c r="J243" s="536"/>
      <c r="K243" s="470"/>
      <c r="L243" s="470"/>
      <c r="M243" s="574">
        <v>1</v>
      </c>
      <c r="N243" s="534" t="s">
        <v>484</v>
      </c>
    </row>
    <row r="244" spans="1:14" ht="15.75" customHeight="1">
      <c r="A244" s="478"/>
      <c r="B244" s="479" t="s">
        <v>297</v>
      </c>
      <c r="C244" s="535" t="s">
        <v>485</v>
      </c>
      <c r="D244" s="535"/>
      <c r="E244" s="573"/>
      <c r="F244" s="536">
        <v>61</v>
      </c>
      <c r="G244" s="536">
        <v>274</v>
      </c>
      <c r="H244" s="536">
        <f>G244*1.1</f>
        <v>301.40000000000003</v>
      </c>
      <c r="I244" s="536">
        <f>G244*1.2</f>
        <v>328.8</v>
      </c>
      <c r="J244" s="536">
        <f>G244*1.3</f>
        <v>356.2</v>
      </c>
      <c r="K244" s="485">
        <f>G244*1.4</f>
        <v>383.59999999999997</v>
      </c>
      <c r="L244" s="485">
        <f>G244*1.5</f>
        <v>411</v>
      </c>
      <c r="M244" s="574"/>
      <c r="N244" s="534"/>
    </row>
    <row r="245" spans="1:14" ht="15.75" customHeight="1">
      <c r="A245" s="478"/>
      <c r="B245" s="479" t="s">
        <v>430</v>
      </c>
      <c r="C245" s="535" t="s">
        <v>486</v>
      </c>
      <c r="D245" s="535"/>
      <c r="E245" s="488"/>
      <c r="F245" s="536">
        <v>315</v>
      </c>
      <c r="G245" s="536">
        <v>845</v>
      </c>
      <c r="H245" s="575"/>
      <c r="I245" s="576"/>
      <c r="J245" s="576"/>
      <c r="K245" s="470"/>
      <c r="L245" s="470"/>
      <c r="M245" s="574">
        <v>1</v>
      </c>
      <c r="N245" s="534" t="s">
        <v>484</v>
      </c>
    </row>
    <row r="246" spans="1:14" ht="15.75" customHeight="1">
      <c r="A246" s="478"/>
      <c r="B246" s="479" t="s">
        <v>433</v>
      </c>
      <c r="C246" s="535" t="s">
        <v>487</v>
      </c>
      <c r="D246" s="535"/>
      <c r="E246" s="488"/>
      <c r="F246" s="536">
        <v>1335</v>
      </c>
      <c r="G246" s="536">
        <v>1281</v>
      </c>
      <c r="H246" s="575"/>
      <c r="I246" s="576"/>
      <c r="J246" s="576"/>
      <c r="K246" s="470"/>
      <c r="L246" s="470"/>
      <c r="M246" s="574">
        <v>1</v>
      </c>
      <c r="N246" s="534" t="s">
        <v>484</v>
      </c>
    </row>
    <row r="247" spans="1:14" ht="15.75" customHeight="1">
      <c r="A247" s="478"/>
      <c r="B247" s="478"/>
      <c r="C247" s="472"/>
      <c r="D247" s="472"/>
      <c r="E247" s="490"/>
      <c r="F247" s="537"/>
      <c r="G247" s="537"/>
      <c r="H247" s="484"/>
      <c r="I247" s="475"/>
      <c r="J247" s="475"/>
      <c r="K247" s="470"/>
      <c r="L247" s="470"/>
      <c r="M247" s="574"/>
      <c r="N247" s="534"/>
    </row>
    <row r="248" spans="1:14" ht="15" customHeight="1">
      <c r="A248" s="478">
        <f>A240+1</f>
        <v>170</v>
      </c>
      <c r="B248" s="478"/>
      <c r="C248" s="2129" t="s">
        <v>472</v>
      </c>
      <c r="D248" s="2129"/>
      <c r="E248" s="2129"/>
      <c r="F248" s="2129"/>
      <c r="G248" s="2129"/>
      <c r="H248" s="2129"/>
      <c r="I248" s="2129"/>
      <c r="J248" s="2129"/>
      <c r="K248" s="2129"/>
      <c r="L248" s="2129"/>
      <c r="M248" s="2129"/>
      <c r="N248" s="2129"/>
    </row>
    <row r="249" spans="1:14" ht="25.5" customHeight="1">
      <c r="A249" s="478"/>
      <c r="B249" s="478"/>
      <c r="C249" s="496"/>
      <c r="D249" s="491" t="s">
        <v>34</v>
      </c>
      <c r="E249" s="520" t="s">
        <v>27</v>
      </c>
      <c r="F249" s="518" t="s">
        <v>452</v>
      </c>
      <c r="G249" s="2128" t="s">
        <v>453</v>
      </c>
      <c r="H249" s="2128"/>
      <c r="I249" s="2128"/>
      <c r="J249" s="2128"/>
      <c r="K249" s="2128"/>
      <c r="L249" s="2128"/>
      <c r="M249" s="2128" t="s">
        <v>30</v>
      </c>
      <c r="N249" s="2128"/>
    </row>
    <row r="250" spans="1:14" ht="25.35" customHeight="1">
      <c r="A250" s="478"/>
      <c r="B250" s="478"/>
      <c r="C250" s="496"/>
      <c r="D250" s="496"/>
      <c r="E250" s="517"/>
      <c r="F250" s="480"/>
      <c r="G250" s="332" t="s">
        <v>473</v>
      </c>
      <c r="H250" s="545" t="s">
        <v>474</v>
      </c>
      <c r="I250" s="545" t="s">
        <v>475</v>
      </c>
      <c r="J250" s="545" t="s">
        <v>476</v>
      </c>
      <c r="K250" s="545" t="s">
        <v>477</v>
      </c>
      <c r="L250" s="545" t="s">
        <v>478</v>
      </c>
      <c r="M250" s="342"/>
      <c r="N250" s="332"/>
    </row>
    <row r="251" spans="1:14" ht="15.75" customHeight="1">
      <c r="A251" s="478"/>
      <c r="B251" s="479" t="s">
        <v>294</v>
      </c>
      <c r="C251" s="535" t="s">
        <v>488</v>
      </c>
      <c r="D251" s="535"/>
      <c r="E251" s="501">
        <v>118</v>
      </c>
      <c r="F251" s="537">
        <v>1133</v>
      </c>
      <c r="G251" s="537">
        <v>1360</v>
      </c>
      <c r="H251" s="519">
        <v>1496</v>
      </c>
      <c r="I251" s="519">
        <v>1632</v>
      </c>
      <c r="J251" s="519">
        <v>1768</v>
      </c>
      <c r="K251" s="519">
        <v>1904</v>
      </c>
      <c r="L251" s="519">
        <v>2040</v>
      </c>
      <c r="M251" s="574">
        <v>1</v>
      </c>
      <c r="N251" s="534" t="s">
        <v>484</v>
      </c>
    </row>
    <row r="252" spans="1:14" ht="15.75" customHeight="1">
      <c r="A252" s="478"/>
      <c r="B252" s="479" t="s">
        <v>297</v>
      </c>
      <c r="C252" s="535" t="s">
        <v>489</v>
      </c>
      <c r="D252" s="535"/>
      <c r="E252" s="497"/>
      <c r="F252" s="537">
        <v>224</v>
      </c>
      <c r="G252" s="537">
        <v>209</v>
      </c>
      <c r="H252" s="519">
        <v>230</v>
      </c>
      <c r="I252" s="519">
        <v>251</v>
      </c>
      <c r="J252" s="519">
        <v>272</v>
      </c>
      <c r="K252" s="519">
        <v>293</v>
      </c>
      <c r="L252" s="519">
        <v>314</v>
      </c>
      <c r="M252" s="574">
        <v>1</v>
      </c>
      <c r="N252" s="534" t="s">
        <v>46</v>
      </c>
    </row>
    <row r="253" spans="1:14" ht="15.75" customHeight="1">
      <c r="A253" s="478"/>
      <c r="B253" s="479" t="s">
        <v>430</v>
      </c>
      <c r="C253" s="535" t="s">
        <v>490</v>
      </c>
      <c r="D253" s="535"/>
      <c r="E253" s="497"/>
      <c r="F253" s="537">
        <v>341</v>
      </c>
      <c r="G253" s="537">
        <v>1909</v>
      </c>
      <c r="H253" s="519">
        <v>2100</v>
      </c>
      <c r="I253" s="519">
        <v>2291</v>
      </c>
      <c r="J253" s="519">
        <v>2482</v>
      </c>
      <c r="K253" s="519">
        <v>2673</v>
      </c>
      <c r="L253" s="519">
        <v>2864</v>
      </c>
      <c r="M253" s="574">
        <v>1</v>
      </c>
      <c r="N253" s="534" t="s">
        <v>484</v>
      </c>
    </row>
    <row r="254" spans="1:14" ht="15.75" customHeight="1">
      <c r="A254" s="478"/>
      <c r="B254" s="479" t="s">
        <v>433</v>
      </c>
      <c r="C254" s="535" t="s">
        <v>491</v>
      </c>
      <c r="D254" s="535"/>
      <c r="E254" s="497"/>
      <c r="F254" s="537">
        <v>2002</v>
      </c>
      <c r="G254" s="537">
        <v>1601</v>
      </c>
      <c r="H254" s="519">
        <v>1761</v>
      </c>
      <c r="I254" s="519">
        <v>1921</v>
      </c>
      <c r="J254" s="519">
        <v>2081</v>
      </c>
      <c r="K254" s="519">
        <v>2241</v>
      </c>
      <c r="L254" s="519">
        <v>2402</v>
      </c>
      <c r="M254" s="574">
        <v>1</v>
      </c>
      <c r="N254" s="534" t="s">
        <v>484</v>
      </c>
    </row>
    <row r="255" spans="1:14" ht="15.75" customHeight="1">
      <c r="A255" s="478"/>
      <c r="B255" s="479" t="s">
        <v>436</v>
      </c>
      <c r="C255" s="535" t="s">
        <v>492</v>
      </c>
      <c r="D255" s="535"/>
      <c r="E255" s="497"/>
      <c r="F255" s="537">
        <v>227</v>
      </c>
      <c r="G255" s="537">
        <v>182</v>
      </c>
      <c r="H255" s="519">
        <v>200</v>
      </c>
      <c r="I255" s="519">
        <v>218</v>
      </c>
      <c r="J255" s="519">
        <v>237</v>
      </c>
      <c r="K255" s="519">
        <v>255</v>
      </c>
      <c r="L255" s="519">
        <v>273</v>
      </c>
      <c r="M255" s="574">
        <v>1</v>
      </c>
      <c r="N255" s="534" t="s">
        <v>46</v>
      </c>
    </row>
    <row r="256" spans="1:14" ht="15.75" customHeight="1">
      <c r="A256" s="478"/>
      <c r="B256" s="479" t="s">
        <v>439</v>
      </c>
      <c r="C256" s="535" t="s">
        <v>493</v>
      </c>
      <c r="D256" s="535"/>
      <c r="E256" s="497"/>
      <c r="F256" s="537">
        <v>233</v>
      </c>
      <c r="G256" s="537">
        <v>187</v>
      </c>
      <c r="H256" s="519">
        <v>206</v>
      </c>
      <c r="I256" s="519">
        <v>224</v>
      </c>
      <c r="J256" s="519">
        <v>243</v>
      </c>
      <c r="K256" s="519">
        <v>262</v>
      </c>
      <c r="L256" s="519">
        <v>281</v>
      </c>
      <c r="M256" s="574">
        <v>1</v>
      </c>
      <c r="N256" s="534" t="s">
        <v>46</v>
      </c>
    </row>
    <row r="257" spans="1:14" ht="15.75" customHeight="1">
      <c r="A257" s="478"/>
      <c r="B257" s="478"/>
      <c r="C257" s="577"/>
      <c r="D257" s="578"/>
      <c r="E257" s="579"/>
      <c r="F257" s="580"/>
      <c r="G257" s="580"/>
      <c r="H257" s="581"/>
      <c r="I257" s="582"/>
      <c r="J257" s="582"/>
      <c r="K257" s="583"/>
      <c r="L257" s="583"/>
      <c r="M257" s="584"/>
      <c r="N257" s="585"/>
    </row>
    <row r="258" spans="1:14" ht="37.15" customHeight="1">
      <c r="A258" s="478">
        <f>A248+1</f>
        <v>171</v>
      </c>
      <c r="B258" s="478"/>
      <c r="C258" s="2129" t="s">
        <v>2505</v>
      </c>
      <c r="D258" s="2129"/>
      <c r="E258" s="2129"/>
      <c r="F258" s="2129"/>
      <c r="G258" s="2129"/>
      <c r="H258" s="2129"/>
      <c r="I258" s="2129"/>
      <c r="J258" s="2129"/>
      <c r="K258" s="2129"/>
      <c r="L258" s="2129"/>
      <c r="M258" s="2129"/>
      <c r="N258" s="2129"/>
    </row>
    <row r="259" spans="1:14" ht="38.25" customHeight="1">
      <c r="A259" s="478"/>
      <c r="B259" s="478"/>
      <c r="C259" s="496"/>
      <c r="D259" s="491" t="s">
        <v>34</v>
      </c>
      <c r="E259" s="520" t="s">
        <v>27</v>
      </c>
      <c r="F259" s="518" t="s">
        <v>452</v>
      </c>
      <c r="G259" s="2128" t="s">
        <v>453</v>
      </c>
      <c r="H259" s="2128"/>
      <c r="I259" s="2128"/>
      <c r="J259" s="2128"/>
      <c r="K259" s="2128"/>
      <c r="L259" s="2128"/>
      <c r="M259" s="2128" t="s">
        <v>30</v>
      </c>
      <c r="N259" s="2128"/>
    </row>
    <row r="260" spans="1:14" ht="25.35" customHeight="1">
      <c r="A260" s="478"/>
      <c r="B260" s="478"/>
      <c r="C260" s="496"/>
      <c r="D260" s="496"/>
      <c r="E260" s="517"/>
      <c r="F260" s="480"/>
      <c r="G260" s="332" t="s">
        <v>473</v>
      </c>
      <c r="H260" s="545" t="s">
        <v>474</v>
      </c>
      <c r="I260" s="545" t="s">
        <v>475</v>
      </c>
      <c r="J260" s="545" t="s">
        <v>476</v>
      </c>
      <c r="K260" s="545" t="s">
        <v>477</v>
      </c>
      <c r="L260" s="545" t="s">
        <v>478</v>
      </c>
      <c r="M260" s="342"/>
      <c r="N260" s="332"/>
    </row>
    <row r="261" spans="1:14" ht="15.75" customHeight="1">
      <c r="A261" s="478"/>
      <c r="B261" s="479" t="s">
        <v>294</v>
      </c>
      <c r="C261" s="535" t="s">
        <v>488</v>
      </c>
      <c r="D261" s="535"/>
      <c r="E261" s="501">
        <v>119</v>
      </c>
      <c r="F261" s="537">
        <v>760</v>
      </c>
      <c r="G261" s="537">
        <v>1062</v>
      </c>
      <c r="H261" s="519">
        <v>1168</v>
      </c>
      <c r="I261" s="519">
        <v>1274</v>
      </c>
      <c r="J261" s="519">
        <v>1381</v>
      </c>
      <c r="K261" s="519">
        <v>1487</v>
      </c>
      <c r="L261" s="519">
        <v>1593</v>
      </c>
      <c r="M261" s="574">
        <v>1</v>
      </c>
      <c r="N261" s="534" t="s">
        <v>484</v>
      </c>
    </row>
    <row r="262" spans="1:14" ht="15.75" customHeight="1">
      <c r="A262" s="478"/>
      <c r="B262" s="479" t="s">
        <v>297</v>
      </c>
      <c r="C262" s="535" t="s">
        <v>489</v>
      </c>
      <c r="D262" s="535"/>
      <c r="E262" s="497"/>
      <c r="F262" s="537">
        <v>150</v>
      </c>
      <c r="G262" s="537">
        <v>163</v>
      </c>
      <c r="H262" s="519">
        <v>179</v>
      </c>
      <c r="I262" s="519">
        <v>196</v>
      </c>
      <c r="J262" s="519">
        <v>212</v>
      </c>
      <c r="K262" s="519">
        <v>228</v>
      </c>
      <c r="L262" s="519">
        <v>245</v>
      </c>
      <c r="M262" s="574">
        <v>1</v>
      </c>
      <c r="N262" s="534" t="s">
        <v>46</v>
      </c>
    </row>
    <row r="263" spans="1:14" ht="15.75" customHeight="1">
      <c r="A263" s="478"/>
      <c r="B263" s="479" t="s">
        <v>430</v>
      </c>
      <c r="C263" s="535" t="s">
        <v>490</v>
      </c>
      <c r="D263" s="535"/>
      <c r="E263" s="497"/>
      <c r="F263" s="537">
        <v>229</v>
      </c>
      <c r="G263" s="537">
        <v>1491</v>
      </c>
      <c r="H263" s="519">
        <v>1640</v>
      </c>
      <c r="I263" s="519">
        <v>1789</v>
      </c>
      <c r="J263" s="519">
        <v>1938</v>
      </c>
      <c r="K263" s="519">
        <v>2087</v>
      </c>
      <c r="L263" s="519">
        <v>2237</v>
      </c>
      <c r="M263" s="574">
        <v>1</v>
      </c>
      <c r="N263" s="534" t="s">
        <v>484</v>
      </c>
    </row>
    <row r="264" spans="1:14" ht="15.75" customHeight="1">
      <c r="A264" s="478"/>
      <c r="B264" s="479" t="s">
        <v>433</v>
      </c>
      <c r="C264" s="535" t="s">
        <v>491</v>
      </c>
      <c r="D264" s="535"/>
      <c r="E264" s="497"/>
      <c r="F264" s="537">
        <v>1342</v>
      </c>
      <c r="G264" s="537">
        <v>1251</v>
      </c>
      <c r="H264" s="519">
        <v>1376</v>
      </c>
      <c r="I264" s="519">
        <v>1501</v>
      </c>
      <c r="J264" s="519">
        <v>1626</v>
      </c>
      <c r="K264" s="519">
        <v>1751</v>
      </c>
      <c r="L264" s="519">
        <v>1877</v>
      </c>
      <c r="M264" s="574">
        <v>1</v>
      </c>
      <c r="N264" s="534" t="s">
        <v>484</v>
      </c>
    </row>
    <row r="265" spans="1:14" ht="15.75" customHeight="1">
      <c r="A265" s="478"/>
      <c r="B265" s="479" t="s">
        <v>436</v>
      </c>
      <c r="C265" s="535" t="s">
        <v>492</v>
      </c>
      <c r="D265" s="535"/>
      <c r="E265" s="497"/>
      <c r="F265" s="537">
        <v>152</v>
      </c>
      <c r="G265" s="537">
        <v>142</v>
      </c>
      <c r="H265" s="519">
        <v>156</v>
      </c>
      <c r="I265" s="519">
        <v>170</v>
      </c>
      <c r="J265" s="519">
        <v>185</v>
      </c>
      <c r="K265" s="519">
        <v>199</v>
      </c>
      <c r="L265" s="519">
        <v>213</v>
      </c>
      <c r="M265" s="574">
        <v>1</v>
      </c>
      <c r="N265" s="534" t="s">
        <v>46</v>
      </c>
    </row>
    <row r="266" spans="1:14" ht="15.75" customHeight="1">
      <c r="A266" s="478"/>
      <c r="B266" s="479" t="s">
        <v>439</v>
      </c>
      <c r="C266" s="535" t="s">
        <v>493</v>
      </c>
      <c r="D266" s="535"/>
      <c r="E266" s="497"/>
      <c r="F266" s="537">
        <v>156</v>
      </c>
      <c r="G266" s="537">
        <v>146</v>
      </c>
      <c r="H266" s="519">
        <v>161</v>
      </c>
      <c r="I266" s="519">
        <v>175</v>
      </c>
      <c r="J266" s="519">
        <v>190</v>
      </c>
      <c r="K266" s="519">
        <v>204</v>
      </c>
      <c r="L266" s="519">
        <v>219</v>
      </c>
      <c r="M266" s="574">
        <v>1</v>
      </c>
      <c r="N266" s="534" t="s">
        <v>46</v>
      </c>
    </row>
    <row r="267" spans="1:14" ht="36.6" customHeight="1">
      <c r="A267" s="478"/>
      <c r="B267" s="479" t="s">
        <v>442</v>
      </c>
      <c r="C267" s="535" t="s">
        <v>2506</v>
      </c>
      <c r="D267" s="487" t="s">
        <v>2507</v>
      </c>
      <c r="E267" s="495">
        <v>8</v>
      </c>
      <c r="F267" s="537">
        <v>964</v>
      </c>
      <c r="G267" s="586"/>
      <c r="H267" s="586"/>
      <c r="I267" s="587"/>
      <c r="J267" s="587"/>
      <c r="K267" s="587"/>
      <c r="L267" s="587"/>
      <c r="M267" s="574">
        <v>1</v>
      </c>
      <c r="N267" s="534" t="s">
        <v>46</v>
      </c>
    </row>
    <row r="268" spans="1:14" ht="15.75" customHeight="1">
      <c r="A268" s="588"/>
      <c r="B268" s="589"/>
      <c r="C268" s="588"/>
      <c r="D268" s="588"/>
      <c r="E268" s="588"/>
      <c r="F268" s="588"/>
      <c r="G268" s="590"/>
      <c r="H268" s="591"/>
      <c r="I268" s="591"/>
      <c r="J268" s="592"/>
      <c r="K268" s="2"/>
      <c r="L268" s="2"/>
      <c r="M268" s="2"/>
      <c r="N268" s="2"/>
    </row>
    <row r="269" spans="1:14" ht="25.35" customHeight="1">
      <c r="A269" s="478">
        <f>A258+1</f>
        <v>172</v>
      </c>
      <c r="B269" s="593"/>
      <c r="C269" s="535" t="s">
        <v>2508</v>
      </c>
      <c r="D269" s="487" t="s">
        <v>499</v>
      </c>
      <c r="E269" s="594">
        <v>160</v>
      </c>
      <c r="F269" s="533" t="s">
        <v>500</v>
      </c>
      <c r="G269" s="595">
        <v>18</v>
      </c>
      <c r="H269" s="596">
        <v>1</v>
      </c>
      <c r="I269" s="597" t="s">
        <v>501</v>
      </c>
      <c r="J269" s="506"/>
      <c r="K269" s="2"/>
      <c r="L269" s="2"/>
      <c r="M269" s="2"/>
      <c r="N269" s="2"/>
    </row>
    <row r="270" spans="1:14" ht="15.75" customHeight="1">
      <c r="A270" s="478"/>
      <c r="B270" s="593"/>
      <c r="C270" s="535"/>
      <c r="D270" s="535"/>
      <c r="E270" s="594"/>
      <c r="F270" s="533"/>
      <c r="G270" s="595"/>
      <c r="H270" s="596"/>
      <c r="I270" s="597"/>
      <c r="J270" s="506"/>
      <c r="K270" s="2"/>
      <c r="L270" s="2"/>
      <c r="M270" s="2"/>
      <c r="N270" s="2"/>
    </row>
    <row r="271" spans="1:14" ht="15" customHeight="1">
      <c r="A271" s="475"/>
      <c r="B271" s="479"/>
      <c r="C271" s="482" t="s">
        <v>504</v>
      </c>
      <c r="D271" s="2130" t="s">
        <v>505</v>
      </c>
      <c r="E271" s="2130"/>
      <c r="F271" s="475"/>
      <c r="G271" s="473"/>
      <c r="H271" s="484"/>
      <c r="I271" s="534"/>
      <c r="J271" s="506"/>
      <c r="K271" s="2"/>
      <c r="L271" s="2"/>
      <c r="M271" s="2"/>
      <c r="N271" s="2"/>
    </row>
    <row r="272" spans="1:14" ht="15.75" customHeight="1">
      <c r="A272" s="475"/>
      <c r="B272" s="479"/>
      <c r="C272" s="482" t="s">
        <v>506</v>
      </c>
      <c r="D272" s="482"/>
      <c r="E272" s="483"/>
      <c r="F272" s="475"/>
      <c r="G272" s="473"/>
      <c r="H272" s="484"/>
      <c r="I272" s="534"/>
      <c r="J272" s="506"/>
      <c r="K272" s="2"/>
      <c r="L272" s="2"/>
      <c r="M272" s="2"/>
      <c r="N272" s="2"/>
    </row>
    <row r="273" spans="1:14" ht="15.75" customHeight="1">
      <c r="A273" s="478">
        <f>A269+1</f>
        <v>173</v>
      </c>
      <c r="B273" s="479"/>
      <c r="C273" s="535" t="s">
        <v>507</v>
      </c>
      <c r="D273" s="535"/>
      <c r="E273" s="594">
        <v>9</v>
      </c>
      <c r="F273" s="499" t="s">
        <v>508</v>
      </c>
      <c r="G273" s="598">
        <v>565</v>
      </c>
      <c r="H273" s="515">
        <v>1</v>
      </c>
      <c r="I273" s="597" t="s">
        <v>501</v>
      </c>
      <c r="J273" s="506"/>
      <c r="K273" s="2"/>
      <c r="L273" s="2"/>
      <c r="M273" s="2"/>
      <c r="N273" s="2"/>
    </row>
    <row r="274" spans="1:14" ht="15.75" customHeight="1">
      <c r="A274" s="478">
        <f t="shared" ref="A274:A282" si="15">A273+1</f>
        <v>174</v>
      </c>
      <c r="B274" s="479"/>
      <c r="C274" s="535" t="s">
        <v>509</v>
      </c>
      <c r="D274" s="535"/>
      <c r="E274" s="594">
        <v>9</v>
      </c>
      <c r="F274" s="499" t="s">
        <v>510</v>
      </c>
      <c r="G274" s="598">
        <v>445</v>
      </c>
      <c r="H274" s="515">
        <v>1</v>
      </c>
      <c r="I274" s="597" t="s">
        <v>501</v>
      </c>
      <c r="J274" s="506"/>
      <c r="K274" s="2"/>
      <c r="L274" s="2"/>
      <c r="M274" s="2"/>
      <c r="N274" s="2"/>
    </row>
    <row r="275" spans="1:14" ht="15.75" customHeight="1">
      <c r="A275" s="478">
        <f t="shared" si="15"/>
        <v>175</v>
      </c>
      <c r="B275" s="479"/>
      <c r="C275" s="535" t="s">
        <v>511</v>
      </c>
      <c r="D275" s="535"/>
      <c r="E275" s="594">
        <v>9</v>
      </c>
      <c r="F275" s="499" t="s">
        <v>512</v>
      </c>
      <c r="G275" s="598">
        <v>515</v>
      </c>
      <c r="H275" s="515">
        <v>1</v>
      </c>
      <c r="I275" s="597" t="s">
        <v>501</v>
      </c>
      <c r="J275" s="506"/>
      <c r="K275" s="2"/>
      <c r="L275" s="2"/>
      <c r="M275" s="2"/>
      <c r="N275" s="2"/>
    </row>
    <row r="276" spans="1:14" ht="15.75" customHeight="1">
      <c r="A276" s="478">
        <f t="shared" si="15"/>
        <v>176</v>
      </c>
      <c r="B276" s="479"/>
      <c r="C276" s="535" t="s">
        <v>513</v>
      </c>
      <c r="D276" s="535"/>
      <c r="E276" s="594">
        <v>9</v>
      </c>
      <c r="F276" s="499" t="s">
        <v>514</v>
      </c>
      <c r="G276" s="598">
        <v>480</v>
      </c>
      <c r="H276" s="515">
        <v>1</v>
      </c>
      <c r="I276" s="597" t="s">
        <v>501</v>
      </c>
      <c r="J276" s="506"/>
      <c r="K276" s="2"/>
      <c r="L276" s="2"/>
      <c r="M276" s="2"/>
      <c r="N276" s="2"/>
    </row>
    <row r="277" spans="1:14" ht="15.75" customHeight="1">
      <c r="A277" s="478">
        <f t="shared" si="15"/>
        <v>177</v>
      </c>
      <c r="B277" s="479"/>
      <c r="C277" s="535" t="s">
        <v>515</v>
      </c>
      <c r="D277" s="535"/>
      <c r="E277" s="594">
        <v>9</v>
      </c>
      <c r="F277" s="499" t="s">
        <v>516</v>
      </c>
      <c r="G277" s="598">
        <v>460</v>
      </c>
      <c r="H277" s="515">
        <v>1</v>
      </c>
      <c r="I277" s="597" t="s">
        <v>501</v>
      </c>
      <c r="J277" s="506"/>
      <c r="K277" s="2"/>
      <c r="L277" s="2"/>
      <c r="M277" s="2"/>
      <c r="N277" s="2"/>
    </row>
    <row r="278" spans="1:14" ht="15.75" customHeight="1">
      <c r="A278" s="478">
        <f t="shared" si="15"/>
        <v>178</v>
      </c>
      <c r="B278" s="479"/>
      <c r="C278" s="535" t="s">
        <v>517</v>
      </c>
      <c r="D278" s="535"/>
      <c r="E278" s="594">
        <v>9</v>
      </c>
      <c r="F278" s="499" t="s">
        <v>518</v>
      </c>
      <c r="G278" s="598">
        <v>445</v>
      </c>
      <c r="H278" s="515">
        <v>1</v>
      </c>
      <c r="I278" s="597" t="s">
        <v>501</v>
      </c>
      <c r="J278" s="506"/>
      <c r="K278" s="2"/>
      <c r="L278" s="2"/>
      <c r="M278" s="2"/>
      <c r="N278" s="2"/>
    </row>
    <row r="279" spans="1:14" ht="15.75" customHeight="1">
      <c r="A279" s="478">
        <f t="shared" si="15"/>
        <v>179</v>
      </c>
      <c r="B279" s="479"/>
      <c r="C279" s="535" t="s">
        <v>519</v>
      </c>
      <c r="D279" s="535"/>
      <c r="E279" s="594">
        <v>9</v>
      </c>
      <c r="F279" s="499" t="s">
        <v>520</v>
      </c>
      <c r="G279" s="598">
        <v>445</v>
      </c>
      <c r="H279" s="515">
        <v>1</v>
      </c>
      <c r="I279" s="597" t="s">
        <v>501</v>
      </c>
      <c r="J279" s="506"/>
      <c r="K279" s="2"/>
      <c r="L279" s="2"/>
      <c r="M279" s="2"/>
      <c r="N279" s="2"/>
    </row>
    <row r="280" spans="1:14" ht="25.35" customHeight="1">
      <c r="A280" s="478">
        <f t="shared" si="15"/>
        <v>180</v>
      </c>
      <c r="B280" s="479"/>
      <c r="C280" s="472" t="s">
        <v>521</v>
      </c>
      <c r="D280" s="472"/>
      <c r="E280" s="594">
        <v>10</v>
      </c>
      <c r="F280" s="499" t="s">
        <v>522</v>
      </c>
      <c r="G280" s="598">
        <v>445</v>
      </c>
      <c r="H280" s="515">
        <v>1</v>
      </c>
      <c r="I280" s="597" t="s">
        <v>501</v>
      </c>
      <c r="J280" s="506"/>
      <c r="K280" s="2"/>
      <c r="L280" s="2"/>
      <c r="M280" s="2"/>
      <c r="N280" s="2"/>
    </row>
    <row r="281" spans="1:14" ht="15.75" customHeight="1">
      <c r="A281" s="478">
        <f t="shared" si="15"/>
        <v>181</v>
      </c>
      <c r="B281" s="479"/>
      <c r="C281" s="535" t="s">
        <v>523</v>
      </c>
      <c r="D281" s="535"/>
      <c r="E281" s="594">
        <v>10</v>
      </c>
      <c r="F281" s="499" t="s">
        <v>524</v>
      </c>
      <c r="G281" s="598">
        <v>515</v>
      </c>
      <c r="H281" s="515">
        <v>1</v>
      </c>
      <c r="I281" s="597" t="s">
        <v>501</v>
      </c>
      <c r="J281" s="506"/>
      <c r="K281" s="2"/>
      <c r="L281" s="2"/>
      <c r="M281" s="2"/>
      <c r="N281" s="2"/>
    </row>
    <row r="282" spans="1:14" ht="15.75" customHeight="1">
      <c r="A282" s="478">
        <f t="shared" si="15"/>
        <v>182</v>
      </c>
      <c r="B282" s="479"/>
      <c r="C282" s="535" t="s">
        <v>525</v>
      </c>
      <c r="D282" s="535"/>
      <c r="E282" s="594">
        <v>10</v>
      </c>
      <c r="F282" s="499" t="s">
        <v>526</v>
      </c>
      <c r="G282" s="598">
        <v>515</v>
      </c>
      <c r="H282" s="515">
        <v>1</v>
      </c>
      <c r="I282" s="597" t="s">
        <v>501</v>
      </c>
      <c r="J282" s="506"/>
      <c r="K282" s="2"/>
      <c r="L282" s="2"/>
      <c r="M282" s="2"/>
      <c r="N282" s="2"/>
    </row>
    <row r="283" spans="1:14" ht="15.75" customHeight="1">
      <c r="A283" s="478"/>
      <c r="B283" s="479"/>
      <c r="C283" s="482" t="s">
        <v>527</v>
      </c>
      <c r="D283" s="482"/>
      <c r="E283" s="594"/>
      <c r="F283" s="499"/>
      <c r="G283" s="598"/>
      <c r="H283" s="515"/>
      <c r="I283" s="597"/>
      <c r="J283" s="506"/>
      <c r="K283" s="2"/>
      <c r="L283" s="2"/>
      <c r="M283" s="2"/>
      <c r="N283" s="2"/>
    </row>
    <row r="284" spans="1:14" ht="15.75" customHeight="1">
      <c r="A284" s="478">
        <f>A281+1</f>
        <v>182</v>
      </c>
      <c r="B284" s="479"/>
      <c r="C284" s="535" t="s">
        <v>528</v>
      </c>
      <c r="D284" s="535"/>
      <c r="E284" s="594">
        <v>11</v>
      </c>
      <c r="F284" s="499" t="s">
        <v>529</v>
      </c>
      <c r="G284" s="598">
        <v>400</v>
      </c>
      <c r="H284" s="515">
        <v>1</v>
      </c>
      <c r="I284" s="597" t="s">
        <v>501</v>
      </c>
      <c r="J284" s="506"/>
      <c r="K284" s="2"/>
      <c r="L284" s="2"/>
      <c r="M284" s="2"/>
      <c r="N284" s="2"/>
    </row>
    <row r="285" spans="1:14" ht="15.75" customHeight="1">
      <c r="A285" s="478">
        <f t="shared" ref="A285:A286" si="16">A284+1</f>
        <v>183</v>
      </c>
      <c r="B285" s="479"/>
      <c r="C285" s="535" t="s">
        <v>530</v>
      </c>
      <c r="D285" s="535"/>
      <c r="E285" s="594">
        <v>11</v>
      </c>
      <c r="F285" s="499" t="s">
        <v>531</v>
      </c>
      <c r="G285" s="598">
        <v>405</v>
      </c>
      <c r="H285" s="515">
        <v>1</v>
      </c>
      <c r="I285" s="597" t="s">
        <v>501</v>
      </c>
      <c r="J285" s="506"/>
      <c r="K285" s="2"/>
      <c r="L285" s="2"/>
      <c r="M285" s="2"/>
      <c r="N285" s="2"/>
    </row>
    <row r="286" spans="1:14" ht="15.75" customHeight="1">
      <c r="A286" s="478">
        <f t="shared" si="16"/>
        <v>184</v>
      </c>
      <c r="B286" s="479"/>
      <c r="C286" s="535" t="s">
        <v>532</v>
      </c>
      <c r="D286" s="535"/>
      <c r="E286" s="594">
        <v>11</v>
      </c>
      <c r="F286" s="499" t="s">
        <v>533</v>
      </c>
      <c r="G286" s="598">
        <v>405</v>
      </c>
      <c r="H286" s="515">
        <v>1</v>
      </c>
      <c r="I286" s="597" t="s">
        <v>501</v>
      </c>
      <c r="J286" s="506"/>
      <c r="K286" s="2"/>
      <c r="L286" s="2"/>
      <c r="M286" s="2"/>
      <c r="N286" s="2"/>
    </row>
    <row r="287" spans="1:14" ht="15.75" customHeight="1">
      <c r="A287" s="478">
        <f>A285+1</f>
        <v>184</v>
      </c>
      <c r="B287" s="479"/>
      <c r="C287" s="535" t="s">
        <v>517</v>
      </c>
      <c r="D287" s="535"/>
      <c r="E287" s="594">
        <v>12</v>
      </c>
      <c r="F287" s="499" t="s">
        <v>534</v>
      </c>
      <c r="G287" s="598">
        <v>405</v>
      </c>
      <c r="H287" s="515">
        <v>1</v>
      </c>
      <c r="I287" s="597" t="s">
        <v>501</v>
      </c>
      <c r="J287" s="506"/>
      <c r="K287" s="2"/>
      <c r="L287" s="2"/>
      <c r="M287" s="2"/>
      <c r="N287" s="2"/>
    </row>
    <row r="288" spans="1:14" ht="15.75" customHeight="1">
      <c r="A288" s="478">
        <f>A287+1</f>
        <v>185</v>
      </c>
      <c r="B288" s="470"/>
      <c r="C288" s="535" t="s">
        <v>535</v>
      </c>
      <c r="D288" s="535"/>
      <c r="E288" s="594">
        <v>12</v>
      </c>
      <c r="F288" s="499" t="s">
        <v>536</v>
      </c>
      <c r="G288" s="598">
        <v>405</v>
      </c>
      <c r="H288" s="515">
        <v>1</v>
      </c>
      <c r="I288" s="597" t="s">
        <v>501</v>
      </c>
      <c r="J288" s="506"/>
      <c r="K288" s="2"/>
      <c r="L288" s="2"/>
      <c r="M288" s="2"/>
      <c r="N288" s="2"/>
    </row>
    <row r="289" spans="1:14" ht="15.75" customHeight="1">
      <c r="A289" s="470"/>
      <c r="B289" s="470"/>
      <c r="C289" s="482" t="s">
        <v>541</v>
      </c>
      <c r="D289" s="482"/>
      <c r="E289" s="594"/>
      <c r="F289" s="499"/>
      <c r="G289" s="598"/>
      <c r="H289" s="515"/>
      <c r="I289" s="597"/>
      <c r="J289" s="506"/>
      <c r="K289" s="2"/>
      <c r="L289" s="2"/>
      <c r="M289" s="2"/>
      <c r="N289" s="2"/>
    </row>
    <row r="290" spans="1:14" ht="25.35" customHeight="1">
      <c r="A290" s="478">
        <f>A288+1</f>
        <v>186</v>
      </c>
      <c r="B290" s="479"/>
      <c r="C290" s="535" t="s">
        <v>542</v>
      </c>
      <c r="D290" s="535"/>
      <c r="E290" s="594">
        <v>13</v>
      </c>
      <c r="F290" s="499" t="s">
        <v>543</v>
      </c>
      <c r="G290" s="598">
        <v>350</v>
      </c>
      <c r="H290" s="515">
        <v>1</v>
      </c>
      <c r="I290" s="597" t="s">
        <v>501</v>
      </c>
      <c r="J290" s="506"/>
      <c r="K290" s="2"/>
      <c r="L290" s="2"/>
      <c r="M290" s="2"/>
      <c r="N290" s="2"/>
    </row>
    <row r="291" spans="1:14" ht="15.75" customHeight="1">
      <c r="A291" s="478"/>
      <c r="B291" s="479"/>
      <c r="C291" s="482" t="s">
        <v>544</v>
      </c>
      <c r="D291" s="482"/>
      <c r="E291" s="509"/>
      <c r="F291" s="494"/>
      <c r="G291" s="598"/>
      <c r="H291" s="515"/>
      <c r="I291" s="597"/>
      <c r="J291" s="506"/>
      <c r="K291" s="2"/>
      <c r="L291" s="2"/>
      <c r="M291" s="2"/>
      <c r="N291" s="2"/>
    </row>
    <row r="292" spans="1:14" ht="15.75" customHeight="1">
      <c r="A292" s="478">
        <f>A290+1</f>
        <v>187</v>
      </c>
      <c r="B292" s="479"/>
      <c r="C292" s="535" t="s">
        <v>545</v>
      </c>
      <c r="D292" s="535"/>
      <c r="E292" s="573">
        <v>17</v>
      </c>
      <c r="F292" s="499">
        <v>3</v>
      </c>
      <c r="G292" s="525">
        <v>55</v>
      </c>
      <c r="H292" s="515">
        <v>1</v>
      </c>
      <c r="I292" s="597" t="s">
        <v>97</v>
      </c>
      <c r="J292" s="506"/>
      <c r="K292" s="2"/>
      <c r="L292" s="2"/>
      <c r="M292" s="2"/>
      <c r="N292" s="2"/>
    </row>
    <row r="293" spans="1:14" ht="15.75" customHeight="1">
      <c r="A293" s="478">
        <f t="shared" ref="A293:A307" si="17">A292+1</f>
        <v>188</v>
      </c>
      <c r="B293" s="593"/>
      <c r="C293" s="535" t="s">
        <v>546</v>
      </c>
      <c r="D293" s="535"/>
      <c r="E293" s="573">
        <v>18</v>
      </c>
      <c r="F293" s="499">
        <v>21</v>
      </c>
      <c r="G293" s="595">
        <v>10</v>
      </c>
      <c r="H293" s="596">
        <v>1</v>
      </c>
      <c r="I293" s="597" t="s">
        <v>39</v>
      </c>
      <c r="J293" s="506"/>
      <c r="K293" s="2"/>
      <c r="L293" s="2"/>
      <c r="M293" s="2"/>
      <c r="N293" s="2"/>
    </row>
    <row r="294" spans="1:14" ht="15.75" customHeight="1">
      <c r="A294" s="478">
        <f t="shared" si="17"/>
        <v>189</v>
      </c>
      <c r="B294" s="593"/>
      <c r="C294" s="535" t="s">
        <v>547</v>
      </c>
      <c r="D294" s="535"/>
      <c r="E294" s="573">
        <v>18</v>
      </c>
      <c r="F294" s="499">
        <v>27</v>
      </c>
      <c r="G294" s="595">
        <v>560</v>
      </c>
      <c r="H294" s="596">
        <v>1</v>
      </c>
      <c r="I294" s="597" t="s">
        <v>484</v>
      </c>
      <c r="J294" s="506"/>
      <c r="K294" s="2"/>
      <c r="L294" s="2"/>
      <c r="M294" s="2"/>
      <c r="N294" s="2"/>
    </row>
    <row r="295" spans="1:14" ht="15.75" customHeight="1">
      <c r="A295" s="478">
        <f t="shared" si="17"/>
        <v>190</v>
      </c>
      <c r="B295" s="593"/>
      <c r="C295" s="535" t="s">
        <v>549</v>
      </c>
      <c r="D295" s="535"/>
      <c r="E295" s="573">
        <v>18</v>
      </c>
      <c r="F295" s="499">
        <v>27</v>
      </c>
      <c r="G295" s="595">
        <v>560</v>
      </c>
      <c r="H295" s="596">
        <v>1</v>
      </c>
      <c r="I295" s="597" t="s">
        <v>484</v>
      </c>
      <c r="J295" s="506"/>
      <c r="K295" s="2"/>
      <c r="L295" s="2"/>
      <c r="M295" s="2"/>
      <c r="N295" s="2"/>
    </row>
    <row r="296" spans="1:14" ht="15.75" customHeight="1">
      <c r="A296" s="478">
        <f t="shared" si="17"/>
        <v>191</v>
      </c>
      <c r="B296" s="593"/>
      <c r="C296" s="535" t="s">
        <v>551</v>
      </c>
      <c r="D296" s="535"/>
      <c r="E296" s="573">
        <v>18</v>
      </c>
      <c r="F296" s="499">
        <v>28</v>
      </c>
      <c r="G296" s="595">
        <v>760</v>
      </c>
      <c r="H296" s="596">
        <v>1</v>
      </c>
      <c r="I296" s="597" t="s">
        <v>484</v>
      </c>
      <c r="J296" s="506"/>
      <c r="K296" s="2"/>
      <c r="L296" s="2"/>
      <c r="M296" s="2"/>
      <c r="N296" s="2"/>
    </row>
    <row r="297" spans="1:14" ht="15.75" customHeight="1">
      <c r="A297" s="478">
        <f t="shared" si="17"/>
        <v>192</v>
      </c>
      <c r="B297" s="593"/>
      <c r="C297" s="346" t="s">
        <v>552</v>
      </c>
      <c r="D297" s="346"/>
      <c r="E297" s="599">
        <v>21</v>
      </c>
      <c r="F297" s="507">
        <v>80</v>
      </c>
      <c r="G297" s="562">
        <v>80</v>
      </c>
      <c r="H297" s="548">
        <v>1</v>
      </c>
      <c r="I297" s="364" t="s">
        <v>97</v>
      </c>
      <c r="J297" s="506"/>
      <c r="K297" s="2"/>
      <c r="L297" s="2"/>
      <c r="M297" s="2"/>
      <c r="N297" s="2"/>
    </row>
    <row r="298" spans="1:14" ht="36.6" customHeight="1">
      <c r="A298" s="478">
        <f t="shared" si="17"/>
        <v>193</v>
      </c>
      <c r="B298" s="593"/>
      <c r="C298" s="535" t="s">
        <v>553</v>
      </c>
      <c r="D298" s="487" t="s">
        <v>554</v>
      </c>
      <c r="E298" s="573"/>
      <c r="F298" s="499" t="s">
        <v>555</v>
      </c>
      <c r="G298" s="595">
        <v>103</v>
      </c>
      <c r="H298" s="596">
        <v>1</v>
      </c>
      <c r="I298" s="597" t="s">
        <v>484</v>
      </c>
      <c r="J298" s="506"/>
      <c r="K298" s="2"/>
      <c r="L298" s="2"/>
      <c r="M298" s="2"/>
      <c r="N298" s="2"/>
    </row>
    <row r="299" spans="1:14" ht="15.75" customHeight="1">
      <c r="A299" s="478">
        <f t="shared" si="17"/>
        <v>194</v>
      </c>
      <c r="B299" s="593"/>
      <c r="C299" s="535" t="s">
        <v>556</v>
      </c>
      <c r="D299" s="535"/>
      <c r="E299" s="573"/>
      <c r="F299" s="499" t="s">
        <v>557</v>
      </c>
      <c r="G299" s="595">
        <v>735</v>
      </c>
      <c r="H299" s="596">
        <v>1</v>
      </c>
      <c r="I299" s="597" t="s">
        <v>484</v>
      </c>
      <c r="J299" s="506"/>
      <c r="K299" s="2"/>
      <c r="L299" s="2"/>
      <c r="M299" s="2"/>
      <c r="N299" s="2"/>
    </row>
    <row r="300" spans="1:14" ht="15.75" customHeight="1">
      <c r="A300" s="478">
        <f t="shared" si="17"/>
        <v>195</v>
      </c>
      <c r="B300" s="593"/>
      <c r="C300" s="535" t="s">
        <v>558</v>
      </c>
      <c r="D300" s="535"/>
      <c r="E300" s="573"/>
      <c r="F300" s="499" t="s">
        <v>559</v>
      </c>
      <c r="G300" s="595">
        <v>935</v>
      </c>
      <c r="H300" s="596">
        <v>1</v>
      </c>
      <c r="I300" s="597" t="s">
        <v>484</v>
      </c>
      <c r="J300" s="506"/>
      <c r="K300" s="2"/>
      <c r="L300" s="2"/>
      <c r="M300" s="2"/>
      <c r="N300" s="2"/>
    </row>
    <row r="301" spans="1:14" ht="25.35" customHeight="1">
      <c r="A301" s="478">
        <f t="shared" si="17"/>
        <v>196</v>
      </c>
      <c r="B301" s="593"/>
      <c r="C301" s="535" t="s">
        <v>560</v>
      </c>
      <c r="D301" s="535"/>
      <c r="E301" s="573"/>
      <c r="F301" s="499" t="s">
        <v>561</v>
      </c>
      <c r="G301" s="595">
        <v>1097.5</v>
      </c>
      <c r="H301" s="596">
        <v>1</v>
      </c>
      <c r="I301" s="597" t="s">
        <v>484</v>
      </c>
      <c r="J301" s="506"/>
      <c r="K301" s="2"/>
      <c r="L301" s="2"/>
      <c r="M301" s="2"/>
      <c r="N301" s="2"/>
    </row>
    <row r="302" spans="1:14" ht="15.75" customHeight="1">
      <c r="A302" s="478">
        <f t="shared" si="17"/>
        <v>197</v>
      </c>
      <c r="B302" s="593"/>
      <c r="C302" s="535" t="s">
        <v>562</v>
      </c>
      <c r="D302" s="535"/>
      <c r="E302" s="573"/>
      <c r="F302" s="499" t="s">
        <v>563</v>
      </c>
      <c r="G302" s="595">
        <v>1215</v>
      </c>
      <c r="H302" s="596">
        <v>1</v>
      </c>
      <c r="I302" s="597" t="s">
        <v>484</v>
      </c>
      <c r="J302" s="506"/>
      <c r="K302" s="2"/>
      <c r="L302" s="2"/>
      <c r="M302" s="2"/>
      <c r="N302" s="2"/>
    </row>
    <row r="303" spans="1:14" ht="15.75" customHeight="1">
      <c r="A303" s="478">
        <f t="shared" si="17"/>
        <v>198</v>
      </c>
      <c r="B303" s="593"/>
      <c r="C303" s="535" t="s">
        <v>564</v>
      </c>
      <c r="D303" s="535"/>
      <c r="E303" s="573"/>
      <c r="F303" s="499" t="s">
        <v>565</v>
      </c>
      <c r="G303" s="595">
        <v>845</v>
      </c>
      <c r="H303" s="596">
        <v>1</v>
      </c>
      <c r="I303" s="597" t="s">
        <v>484</v>
      </c>
      <c r="J303" s="506"/>
      <c r="K303" s="2"/>
      <c r="L303" s="2"/>
      <c r="M303" s="2"/>
      <c r="N303" s="2"/>
    </row>
    <row r="304" spans="1:14" ht="15" customHeight="1">
      <c r="A304" s="478">
        <f t="shared" si="17"/>
        <v>199</v>
      </c>
      <c r="B304" s="593"/>
      <c r="C304" s="535" t="s">
        <v>566</v>
      </c>
      <c r="D304" s="535"/>
      <c r="E304" s="2130" t="s">
        <v>567</v>
      </c>
      <c r="F304" s="499" t="s">
        <v>568</v>
      </c>
      <c r="G304" s="595">
        <v>73</v>
      </c>
      <c r="H304" s="596">
        <v>1</v>
      </c>
      <c r="I304" s="597" t="s">
        <v>97</v>
      </c>
      <c r="J304" s="506"/>
      <c r="K304" s="2"/>
      <c r="L304" s="2"/>
      <c r="M304" s="2"/>
      <c r="N304" s="2"/>
    </row>
    <row r="305" spans="1:14" ht="15.75" customHeight="1">
      <c r="A305" s="478">
        <f t="shared" si="17"/>
        <v>200</v>
      </c>
      <c r="B305" s="593"/>
      <c r="C305" s="535" t="s">
        <v>2509</v>
      </c>
      <c r="D305" s="535"/>
      <c r="E305" s="2130"/>
      <c r="F305" s="533" t="s">
        <v>2510</v>
      </c>
      <c r="G305" s="498">
        <v>103</v>
      </c>
      <c r="H305" s="600">
        <v>1</v>
      </c>
      <c r="I305" s="597" t="s">
        <v>570</v>
      </c>
      <c r="J305" s="506"/>
      <c r="K305" s="2"/>
      <c r="L305" s="2"/>
      <c r="M305" s="2"/>
      <c r="N305" s="2"/>
    </row>
    <row r="306" spans="1:14" ht="15.75" customHeight="1">
      <c r="A306" s="478">
        <f t="shared" si="17"/>
        <v>201</v>
      </c>
      <c r="B306" s="593"/>
      <c r="C306" s="535" t="s">
        <v>2511</v>
      </c>
      <c r="D306" s="535"/>
      <c r="E306" s="2130"/>
      <c r="F306" s="533" t="s">
        <v>2512</v>
      </c>
      <c r="G306" s="498">
        <v>77</v>
      </c>
      <c r="H306" s="600">
        <v>1</v>
      </c>
      <c r="I306" s="597" t="s">
        <v>570</v>
      </c>
      <c r="J306" s="506"/>
      <c r="K306" s="2"/>
      <c r="L306" s="2"/>
      <c r="M306" s="2"/>
      <c r="N306" s="2"/>
    </row>
    <row r="307" spans="1:14" ht="25.35" customHeight="1">
      <c r="A307" s="478">
        <f t="shared" si="17"/>
        <v>202</v>
      </c>
      <c r="B307" s="593"/>
      <c r="C307" s="601" t="s">
        <v>2513</v>
      </c>
      <c r="D307" s="602" t="s">
        <v>573</v>
      </c>
      <c r="E307" s="573"/>
      <c r="F307" s="603" t="s">
        <v>2514</v>
      </c>
      <c r="G307" s="595">
        <v>151</v>
      </c>
      <c r="H307" s="596">
        <v>1</v>
      </c>
      <c r="I307" s="597" t="s">
        <v>197</v>
      </c>
      <c r="J307" s="506"/>
      <c r="K307" s="2"/>
      <c r="L307" s="2"/>
      <c r="M307" s="2"/>
      <c r="N307" s="2"/>
    </row>
    <row r="308" spans="1:14" ht="15.75" customHeight="1">
      <c r="A308" s="478"/>
      <c r="B308" s="593"/>
      <c r="C308" s="601"/>
      <c r="D308" s="601"/>
      <c r="E308" s="573"/>
      <c r="F308" s="604"/>
      <c r="G308" s="595"/>
      <c r="H308" s="596"/>
      <c r="I308" s="597"/>
      <c r="J308" s="506"/>
      <c r="K308" s="2"/>
      <c r="L308" s="2"/>
      <c r="M308" s="2"/>
      <c r="N308" s="2"/>
    </row>
    <row r="309" spans="1:14" ht="36.6" customHeight="1">
      <c r="A309" s="478">
        <f>A307+1</f>
        <v>203</v>
      </c>
      <c r="B309" s="478"/>
      <c r="C309" s="332" t="s">
        <v>577</v>
      </c>
      <c r="D309" s="334" t="s">
        <v>505</v>
      </c>
      <c r="E309" s="520" t="s">
        <v>27</v>
      </c>
      <c r="F309" s="510"/>
      <c r="G309" s="476" t="s">
        <v>578</v>
      </c>
      <c r="H309" s="605"/>
      <c r="I309" s="569"/>
      <c r="J309" s="476" t="s">
        <v>579</v>
      </c>
      <c r="K309" s="2"/>
      <c r="L309" s="2"/>
      <c r="M309" s="2"/>
      <c r="N309" s="2"/>
    </row>
    <row r="310" spans="1:14" ht="15.75" customHeight="1">
      <c r="A310" s="478"/>
      <c r="B310" s="479" t="s">
        <v>294</v>
      </c>
      <c r="C310" s="470" t="s">
        <v>580</v>
      </c>
      <c r="D310" s="470"/>
      <c r="E310" s="533">
        <v>33</v>
      </c>
      <c r="F310" s="533">
        <v>3</v>
      </c>
      <c r="G310" s="606">
        <f>237+726.7</f>
        <v>963.7</v>
      </c>
      <c r="H310" s="596">
        <v>1</v>
      </c>
      <c r="I310" s="597" t="s">
        <v>400</v>
      </c>
      <c r="J310" s="506">
        <v>210.9</v>
      </c>
      <c r="K310" s="2"/>
      <c r="L310" s="2"/>
      <c r="M310" s="2"/>
      <c r="N310" s="2"/>
    </row>
    <row r="311" spans="1:14" ht="15.75" customHeight="1">
      <c r="A311" s="478"/>
      <c r="B311" s="479" t="s">
        <v>297</v>
      </c>
      <c r="C311" s="535" t="s">
        <v>581</v>
      </c>
      <c r="D311" s="535"/>
      <c r="E311" s="533">
        <v>33</v>
      </c>
      <c r="F311" s="533">
        <v>9</v>
      </c>
      <c r="G311" s="606">
        <f>110.8+115.5</f>
        <v>226.3</v>
      </c>
      <c r="H311" s="596">
        <v>1</v>
      </c>
      <c r="I311" s="597" t="s">
        <v>400</v>
      </c>
      <c r="J311" s="506">
        <v>342.5</v>
      </c>
      <c r="K311" s="2"/>
      <c r="L311" s="2"/>
      <c r="M311" s="2"/>
      <c r="N311" s="2"/>
    </row>
    <row r="312" spans="1:14" ht="25.35" customHeight="1">
      <c r="A312" s="478"/>
      <c r="B312" s="479" t="s">
        <v>430</v>
      </c>
      <c r="C312" s="472" t="s">
        <v>582</v>
      </c>
      <c r="D312" s="472"/>
      <c r="E312" s="533">
        <v>33</v>
      </c>
      <c r="F312" s="533">
        <v>16</v>
      </c>
      <c r="G312" s="606">
        <f>52.8+80.7</f>
        <v>133.5</v>
      </c>
      <c r="H312" s="596">
        <v>1</v>
      </c>
      <c r="I312" s="597" t="s">
        <v>400</v>
      </c>
      <c r="J312" s="506">
        <v>219.7</v>
      </c>
      <c r="K312" s="2"/>
      <c r="L312" s="2"/>
      <c r="M312" s="2"/>
      <c r="N312" s="2"/>
    </row>
    <row r="313" spans="1:14" ht="15.75" customHeight="1">
      <c r="A313" s="478"/>
      <c r="B313" s="479" t="s">
        <v>433</v>
      </c>
      <c r="C313" s="470" t="s">
        <v>583</v>
      </c>
      <c r="D313" s="470"/>
      <c r="E313" s="533">
        <v>34</v>
      </c>
      <c r="F313" s="533">
        <v>39</v>
      </c>
      <c r="G313" s="606">
        <v>19.399999999999999</v>
      </c>
      <c r="H313" s="596">
        <v>1</v>
      </c>
      <c r="I313" s="597" t="s">
        <v>400</v>
      </c>
      <c r="J313" s="506">
        <v>329.6</v>
      </c>
      <c r="K313" s="2"/>
      <c r="L313" s="2"/>
      <c r="M313" s="2"/>
      <c r="N313" s="2"/>
    </row>
    <row r="314" spans="1:14" ht="15.75" customHeight="1">
      <c r="A314" s="478"/>
      <c r="B314" s="479" t="s">
        <v>436</v>
      </c>
      <c r="C314" s="535" t="s">
        <v>584</v>
      </c>
      <c r="D314" s="535"/>
      <c r="E314" s="533">
        <v>34</v>
      </c>
      <c r="F314" s="533">
        <v>40</v>
      </c>
      <c r="G314" s="606">
        <f>7.6+18.2</f>
        <v>25.799999999999997</v>
      </c>
      <c r="H314" s="596">
        <v>1</v>
      </c>
      <c r="I314" s="597" t="s">
        <v>400</v>
      </c>
      <c r="J314" s="506">
        <v>158.19999999999999</v>
      </c>
      <c r="K314" s="2"/>
      <c r="L314" s="2"/>
      <c r="M314" s="2"/>
      <c r="N314" s="2"/>
    </row>
    <row r="315" spans="1:14" ht="15.75" customHeight="1">
      <c r="A315" s="478"/>
      <c r="B315" s="479" t="s">
        <v>439</v>
      </c>
      <c r="C315" s="470" t="s">
        <v>2515</v>
      </c>
      <c r="D315" s="470"/>
      <c r="E315" s="533">
        <v>34</v>
      </c>
      <c r="F315" s="533">
        <v>52</v>
      </c>
      <c r="G315" s="606">
        <f>1677.4+888.1</f>
        <v>2565.5</v>
      </c>
      <c r="H315" s="596">
        <v>1</v>
      </c>
      <c r="I315" s="597" t="s">
        <v>400</v>
      </c>
      <c r="J315" s="506">
        <v>237.9</v>
      </c>
      <c r="K315" s="2"/>
      <c r="L315" s="2"/>
      <c r="M315" s="2"/>
      <c r="N315" s="2"/>
    </row>
    <row r="316" spans="1:14" ht="25.35" customHeight="1">
      <c r="A316" s="478"/>
      <c r="B316" s="479" t="s">
        <v>442</v>
      </c>
      <c r="C316" s="472" t="s">
        <v>586</v>
      </c>
      <c r="D316" s="472"/>
      <c r="E316" s="533">
        <v>35</v>
      </c>
      <c r="F316" s="607">
        <v>66</v>
      </c>
      <c r="G316" s="606">
        <f>127.3+188.6</f>
        <v>315.89999999999998</v>
      </c>
      <c r="H316" s="596">
        <v>1</v>
      </c>
      <c r="I316" s="597" t="s">
        <v>400</v>
      </c>
      <c r="J316" s="506">
        <v>263.60000000000002</v>
      </c>
      <c r="K316" s="2"/>
      <c r="L316" s="2"/>
      <c r="M316" s="2"/>
      <c r="N316" s="2"/>
    </row>
    <row r="317" spans="1:14" ht="15.75" customHeight="1">
      <c r="A317" s="478"/>
      <c r="B317" s="593"/>
      <c r="C317" s="472"/>
      <c r="D317" s="472"/>
      <c r="E317" s="533"/>
      <c r="F317" s="533"/>
      <c r="G317" s="606"/>
      <c r="H317" s="596"/>
      <c r="I317" s="597"/>
      <c r="J317" s="506"/>
      <c r="K317" s="2"/>
      <c r="L317" s="2"/>
      <c r="M317" s="2"/>
      <c r="N317" s="2"/>
    </row>
    <row r="318" spans="1:14" ht="15.75" customHeight="1">
      <c r="A318" s="478">
        <f>A309+1</f>
        <v>204</v>
      </c>
      <c r="B318" s="479"/>
      <c r="C318" s="482" t="s">
        <v>587</v>
      </c>
      <c r="D318" s="2131" t="s">
        <v>2516</v>
      </c>
      <c r="E318" s="2131"/>
      <c r="F318" s="2131"/>
      <c r="G318" s="2131"/>
      <c r="H318" s="2131"/>
      <c r="I318" s="2131"/>
      <c r="J318" s="2131"/>
      <c r="K318" s="2"/>
      <c r="L318" s="2"/>
      <c r="M318" s="2"/>
      <c r="N318" s="2"/>
    </row>
    <row r="319" spans="1:14" ht="15.75" customHeight="1">
      <c r="A319" s="478"/>
      <c r="B319" s="479" t="s">
        <v>261</v>
      </c>
      <c r="C319" s="535" t="s">
        <v>589</v>
      </c>
      <c r="D319" s="535"/>
      <c r="E319" s="608">
        <v>2</v>
      </c>
      <c r="F319" s="470"/>
      <c r="G319" s="529">
        <v>75</v>
      </c>
      <c r="H319" s="596">
        <v>1</v>
      </c>
      <c r="I319" s="597" t="s">
        <v>75</v>
      </c>
      <c r="J319" s="506"/>
      <c r="K319" s="2"/>
      <c r="L319" s="2"/>
      <c r="M319" s="2"/>
      <c r="N319" s="2"/>
    </row>
    <row r="320" spans="1:14" ht="15.75" customHeight="1">
      <c r="A320" s="478"/>
      <c r="B320" s="479" t="s">
        <v>264</v>
      </c>
      <c r="C320" s="535" t="s">
        <v>590</v>
      </c>
      <c r="D320" s="535"/>
      <c r="E320" s="608">
        <v>2</v>
      </c>
      <c r="F320" s="470"/>
      <c r="G320" s="529">
        <v>30</v>
      </c>
      <c r="H320" s="596">
        <v>1</v>
      </c>
      <c r="I320" s="597" t="s">
        <v>75</v>
      </c>
      <c r="J320" s="506"/>
      <c r="K320" s="2"/>
      <c r="L320" s="2"/>
      <c r="M320" s="2"/>
      <c r="N320" s="2"/>
    </row>
    <row r="321" spans="1:14" ht="15.75" customHeight="1">
      <c r="A321" s="478"/>
      <c r="B321" s="479" t="s">
        <v>264</v>
      </c>
      <c r="C321" s="535" t="s">
        <v>591</v>
      </c>
      <c r="D321" s="535"/>
      <c r="E321" s="608">
        <v>2</v>
      </c>
      <c r="F321" s="470"/>
      <c r="G321" s="529">
        <v>40</v>
      </c>
      <c r="H321" s="596">
        <v>1</v>
      </c>
      <c r="I321" s="597" t="s">
        <v>75</v>
      </c>
      <c r="J321" s="506"/>
      <c r="K321" s="2"/>
      <c r="L321" s="2"/>
      <c r="M321" s="2"/>
      <c r="N321" s="2"/>
    </row>
    <row r="322" spans="1:14" ht="15.75" customHeight="1">
      <c r="A322" s="478"/>
      <c r="B322" s="479" t="s">
        <v>592</v>
      </c>
      <c r="C322" s="535" t="s">
        <v>593</v>
      </c>
      <c r="D322" s="535"/>
      <c r="E322" s="608">
        <v>3</v>
      </c>
      <c r="F322" s="470"/>
      <c r="G322" s="529">
        <v>60</v>
      </c>
      <c r="H322" s="596">
        <v>1000</v>
      </c>
      <c r="I322" s="597" t="s">
        <v>36</v>
      </c>
      <c r="J322" s="506"/>
      <c r="K322" s="2"/>
      <c r="L322" s="2"/>
      <c r="M322" s="2"/>
      <c r="N322" s="2"/>
    </row>
    <row r="323" spans="1:14" ht="15.75" customHeight="1">
      <c r="A323" s="478"/>
      <c r="B323" s="479" t="s">
        <v>594</v>
      </c>
      <c r="C323" s="535" t="s">
        <v>595</v>
      </c>
      <c r="D323" s="535"/>
      <c r="E323" s="608">
        <v>3</v>
      </c>
      <c r="F323" s="470"/>
      <c r="G323" s="529">
        <v>8</v>
      </c>
      <c r="H323" s="596">
        <v>1</v>
      </c>
      <c r="I323" s="597" t="s">
        <v>94</v>
      </c>
      <c r="J323" s="506"/>
      <c r="K323" s="2"/>
      <c r="L323" s="2"/>
      <c r="M323" s="2"/>
      <c r="N323" s="2"/>
    </row>
    <row r="324" spans="1:14" ht="15.75" customHeight="1">
      <c r="A324" s="478"/>
      <c r="B324" s="479" t="s">
        <v>596</v>
      </c>
      <c r="C324" s="535" t="s">
        <v>597</v>
      </c>
      <c r="D324" s="535"/>
      <c r="E324" s="608">
        <v>3</v>
      </c>
      <c r="F324" s="470"/>
      <c r="G324" s="529">
        <v>8</v>
      </c>
      <c r="H324" s="596">
        <v>1</v>
      </c>
      <c r="I324" s="597" t="s">
        <v>94</v>
      </c>
      <c r="J324" s="506"/>
      <c r="K324" s="2"/>
      <c r="L324" s="2"/>
      <c r="M324" s="2"/>
      <c r="N324" s="2"/>
    </row>
    <row r="325" spans="1:14" ht="15.75" customHeight="1">
      <c r="A325" s="478"/>
      <c r="B325" s="479" t="s">
        <v>598</v>
      </c>
      <c r="C325" s="535" t="s">
        <v>599</v>
      </c>
      <c r="D325" s="535"/>
      <c r="E325" s="608">
        <v>3</v>
      </c>
      <c r="F325" s="470"/>
      <c r="G325" s="529">
        <v>39.1</v>
      </c>
      <c r="H325" s="596">
        <v>1</v>
      </c>
      <c r="I325" s="597" t="s">
        <v>94</v>
      </c>
      <c r="J325" s="506"/>
      <c r="K325" s="2"/>
      <c r="L325" s="2"/>
      <c r="M325" s="2"/>
      <c r="N325" s="2"/>
    </row>
    <row r="326" spans="1:14" ht="15.75" customHeight="1">
      <c r="A326" s="478"/>
      <c r="B326" s="479" t="s">
        <v>600</v>
      </c>
      <c r="C326" s="535" t="s">
        <v>601</v>
      </c>
      <c r="D326" s="535"/>
      <c r="E326" s="608">
        <v>3</v>
      </c>
      <c r="F326" s="470"/>
      <c r="G326" s="529">
        <v>34</v>
      </c>
      <c r="H326" s="596">
        <v>1</v>
      </c>
      <c r="I326" s="597" t="s">
        <v>94</v>
      </c>
      <c r="J326" s="506"/>
      <c r="K326" s="2"/>
      <c r="L326" s="2"/>
      <c r="M326" s="2"/>
      <c r="N326" s="2"/>
    </row>
    <row r="327" spans="1:14" ht="15.75" customHeight="1">
      <c r="A327" s="478"/>
      <c r="B327" s="593"/>
      <c r="C327" s="535"/>
      <c r="D327" s="535"/>
      <c r="E327" s="609"/>
      <c r="F327" s="474"/>
      <c r="G327" s="598"/>
      <c r="H327" s="596"/>
      <c r="I327" s="597"/>
      <c r="J327" s="506"/>
      <c r="K327" s="2"/>
      <c r="L327" s="2"/>
      <c r="M327" s="2"/>
      <c r="N327" s="2"/>
    </row>
    <row r="328" spans="1:14" ht="15" customHeight="1">
      <c r="A328" s="478">
        <f>A318+1</f>
        <v>205</v>
      </c>
      <c r="B328" s="593"/>
      <c r="C328" s="535" t="s">
        <v>602</v>
      </c>
      <c r="D328" s="2126" t="s">
        <v>603</v>
      </c>
      <c r="E328" s="608"/>
      <c r="F328" s="610">
        <v>1</v>
      </c>
      <c r="G328" s="529">
        <v>160</v>
      </c>
      <c r="H328" s="596">
        <v>1</v>
      </c>
      <c r="I328" s="597" t="s">
        <v>75</v>
      </c>
      <c r="J328" s="506"/>
      <c r="K328" s="2"/>
      <c r="L328" s="2"/>
      <c r="M328" s="2"/>
      <c r="N328" s="2"/>
    </row>
    <row r="329" spans="1:14" ht="15.75" customHeight="1">
      <c r="A329" s="478">
        <f t="shared" ref="A329:A330" si="18">A328+1</f>
        <v>206</v>
      </c>
      <c r="B329" s="593"/>
      <c r="C329" s="535" t="s">
        <v>605</v>
      </c>
      <c r="D329" s="2126"/>
      <c r="E329" s="608"/>
      <c r="F329" s="610">
        <v>12</v>
      </c>
      <c r="G329" s="529">
        <v>252</v>
      </c>
      <c r="H329" s="596">
        <v>1</v>
      </c>
      <c r="I329" s="597" t="s">
        <v>75</v>
      </c>
      <c r="J329" s="506"/>
      <c r="K329" s="2"/>
      <c r="L329" s="2"/>
      <c r="M329" s="2"/>
      <c r="N329" s="2"/>
    </row>
    <row r="330" spans="1:14" ht="25.35" customHeight="1">
      <c r="A330" s="478">
        <f t="shared" si="18"/>
        <v>207</v>
      </c>
      <c r="B330" s="593"/>
      <c r="C330" s="611" t="s">
        <v>607</v>
      </c>
      <c r="D330" s="2126"/>
      <c r="E330" s="608"/>
      <c r="F330" s="610">
        <v>143</v>
      </c>
      <c r="G330" s="529">
        <v>152</v>
      </c>
      <c r="H330" s="612">
        <v>1</v>
      </c>
      <c r="I330" s="613" t="s">
        <v>197</v>
      </c>
      <c r="J330" s="614"/>
      <c r="K330" s="2"/>
      <c r="L330" s="2"/>
      <c r="M330" s="2"/>
      <c r="N330" s="2"/>
    </row>
    <row r="331" spans="1:14" ht="15.75" customHeight="1">
      <c r="A331" s="470"/>
      <c r="B331" s="470"/>
      <c r="C331" s="470"/>
      <c r="D331" s="470"/>
      <c r="E331" s="470"/>
      <c r="F331" s="470"/>
      <c r="G331" s="470"/>
      <c r="H331" s="470"/>
      <c r="I331" s="470"/>
      <c r="J331" s="470"/>
      <c r="K331" s="2"/>
      <c r="L331" s="2"/>
      <c r="M331" s="2"/>
      <c r="N331" s="2"/>
    </row>
    <row r="332" spans="1:14" ht="15.75" customHeight="1">
      <c r="A332" s="470"/>
      <c r="B332" s="470"/>
      <c r="C332" s="493" t="s">
        <v>658</v>
      </c>
      <c r="D332" s="505"/>
      <c r="E332" s="470"/>
      <c r="F332" s="470"/>
      <c r="G332" s="470"/>
      <c r="H332" s="470"/>
      <c r="I332" s="470"/>
      <c r="J332" s="470"/>
      <c r="K332" s="2"/>
      <c r="L332" s="2"/>
      <c r="M332" s="2"/>
      <c r="N332" s="2"/>
    </row>
    <row r="333" spans="1:14" ht="29.25" customHeight="1">
      <c r="A333" s="478">
        <v>1</v>
      </c>
      <c r="B333" s="470"/>
      <c r="C333" s="615" t="s">
        <v>659</v>
      </c>
      <c r="D333" s="615"/>
      <c r="E333" s="470"/>
      <c r="F333" s="470"/>
      <c r="G333" s="485">
        <v>10</v>
      </c>
      <c r="H333" s="470">
        <v>1</v>
      </c>
      <c r="I333" s="470" t="s">
        <v>94</v>
      </c>
      <c r="J333" s="470"/>
      <c r="K333" s="2"/>
      <c r="L333" s="2"/>
      <c r="M333" s="2"/>
      <c r="N333" s="2"/>
    </row>
    <row r="334" spans="1:14" ht="25.35" customHeight="1">
      <c r="A334" s="478">
        <f t="shared" ref="A334:A350" si="19">A333+1</f>
        <v>2</v>
      </c>
      <c r="B334" s="470"/>
      <c r="C334" s="472" t="s">
        <v>660</v>
      </c>
      <c r="D334" s="472"/>
      <c r="E334" s="470"/>
      <c r="F334" s="470"/>
      <c r="G334" s="485">
        <v>100</v>
      </c>
      <c r="H334" s="470">
        <v>1</v>
      </c>
      <c r="I334" s="470" t="s">
        <v>39</v>
      </c>
      <c r="J334" s="470"/>
      <c r="K334" s="2"/>
      <c r="L334" s="2"/>
      <c r="M334" s="2"/>
      <c r="N334" s="2"/>
    </row>
    <row r="335" spans="1:14" ht="15.75" customHeight="1">
      <c r="A335" s="478">
        <f t="shared" si="19"/>
        <v>3</v>
      </c>
      <c r="B335" s="470"/>
      <c r="C335" s="535" t="s">
        <v>661</v>
      </c>
      <c r="D335" s="535"/>
      <c r="E335" s="470"/>
      <c r="F335" s="470"/>
      <c r="G335" s="485">
        <v>40</v>
      </c>
      <c r="H335" s="470">
        <v>1</v>
      </c>
      <c r="I335" s="470" t="s">
        <v>39</v>
      </c>
      <c r="J335" s="470"/>
      <c r="K335" s="2"/>
      <c r="L335" s="2"/>
      <c r="M335" s="2"/>
      <c r="N335" s="2"/>
    </row>
    <row r="336" spans="1:14" ht="15.75" customHeight="1">
      <c r="A336" s="478">
        <f t="shared" si="19"/>
        <v>4</v>
      </c>
      <c r="B336" s="470"/>
      <c r="C336" s="535" t="s">
        <v>662</v>
      </c>
      <c r="D336" s="535"/>
      <c r="E336" s="470"/>
      <c r="F336" s="470"/>
      <c r="G336" s="485">
        <v>20</v>
      </c>
      <c r="H336" s="470">
        <v>1</v>
      </c>
      <c r="I336" s="470" t="s">
        <v>39</v>
      </c>
      <c r="J336" s="470"/>
      <c r="K336" s="2"/>
      <c r="L336" s="2"/>
      <c r="M336" s="2"/>
      <c r="N336" s="2"/>
    </row>
    <row r="337" spans="1:14" ht="15.75" customHeight="1">
      <c r="A337" s="478">
        <f t="shared" si="19"/>
        <v>5</v>
      </c>
      <c r="B337" s="470"/>
      <c r="C337" s="535" t="s">
        <v>663</v>
      </c>
      <c r="D337" s="535"/>
      <c r="E337" s="470"/>
      <c r="F337" s="470"/>
      <c r="G337" s="485">
        <v>26</v>
      </c>
      <c r="H337" s="470">
        <v>1</v>
      </c>
      <c r="I337" s="470" t="s">
        <v>197</v>
      </c>
      <c r="J337" s="470"/>
      <c r="K337" s="2"/>
      <c r="L337" s="2"/>
      <c r="M337" s="2"/>
      <c r="N337" s="2"/>
    </row>
    <row r="338" spans="1:14" ht="15.75" customHeight="1">
      <c r="A338" s="478">
        <f t="shared" si="19"/>
        <v>6</v>
      </c>
      <c r="B338" s="470"/>
      <c r="C338" s="470" t="s">
        <v>664</v>
      </c>
      <c r="D338" s="470"/>
      <c r="E338" s="470"/>
      <c r="F338" s="470"/>
      <c r="G338" s="485">
        <v>32</v>
      </c>
      <c r="H338" s="470">
        <v>1</v>
      </c>
      <c r="I338" s="470" t="s">
        <v>197</v>
      </c>
      <c r="J338" s="470"/>
      <c r="K338" s="2"/>
      <c r="L338" s="2"/>
      <c r="M338" s="2"/>
      <c r="N338" s="2"/>
    </row>
    <row r="339" spans="1:14" ht="15.75" customHeight="1">
      <c r="A339" s="478">
        <f t="shared" si="19"/>
        <v>7</v>
      </c>
      <c r="B339" s="470"/>
      <c r="C339" s="615" t="s">
        <v>665</v>
      </c>
      <c r="D339" s="615"/>
      <c r="E339" s="470"/>
      <c r="F339" s="470"/>
      <c r="G339" s="616">
        <v>600</v>
      </c>
      <c r="H339" s="470">
        <v>1</v>
      </c>
      <c r="I339" s="470" t="s">
        <v>39</v>
      </c>
      <c r="J339" s="470"/>
      <c r="K339" s="2"/>
      <c r="L339" s="2"/>
      <c r="M339" s="2"/>
      <c r="N339" s="2"/>
    </row>
    <row r="340" spans="1:14" ht="15.75" customHeight="1">
      <c r="A340" s="478">
        <f t="shared" si="19"/>
        <v>8</v>
      </c>
      <c r="B340" s="470"/>
      <c r="C340" s="615" t="s">
        <v>2517</v>
      </c>
      <c r="D340" s="615"/>
      <c r="E340" s="470"/>
      <c r="F340" s="470"/>
      <c r="G340" s="485">
        <v>26</v>
      </c>
      <c r="H340" s="470">
        <v>1</v>
      </c>
      <c r="I340" s="470" t="s">
        <v>39</v>
      </c>
      <c r="J340" s="470"/>
      <c r="K340" s="2"/>
      <c r="L340" s="2"/>
      <c r="M340" s="2"/>
      <c r="N340" s="2"/>
    </row>
    <row r="341" spans="1:14" ht="15.75" customHeight="1">
      <c r="A341" s="478">
        <f t="shared" si="19"/>
        <v>9</v>
      </c>
      <c r="B341" s="470"/>
      <c r="C341" s="470" t="s">
        <v>668</v>
      </c>
      <c r="D341" s="470"/>
      <c r="E341" s="470"/>
      <c r="F341" s="470"/>
      <c r="G341" s="485">
        <v>25</v>
      </c>
      <c r="H341" s="470">
        <v>1</v>
      </c>
      <c r="I341" s="470" t="s">
        <v>39</v>
      </c>
      <c r="J341" s="470"/>
      <c r="K341" s="2"/>
      <c r="L341" s="2"/>
      <c r="M341" s="2"/>
      <c r="N341" s="2"/>
    </row>
    <row r="342" spans="1:14" ht="15.75" customHeight="1">
      <c r="A342" s="478">
        <f t="shared" si="19"/>
        <v>10</v>
      </c>
      <c r="B342" s="470"/>
      <c r="C342" s="615" t="s">
        <v>670</v>
      </c>
      <c r="D342" s="615"/>
      <c r="E342" s="470"/>
      <c r="F342" s="470"/>
      <c r="G342" s="485">
        <v>170</v>
      </c>
      <c r="H342" s="470">
        <v>1</v>
      </c>
      <c r="I342" s="470" t="s">
        <v>94</v>
      </c>
      <c r="J342" s="470"/>
      <c r="K342" s="2"/>
      <c r="L342" s="2"/>
      <c r="M342" s="2"/>
      <c r="N342" s="2"/>
    </row>
    <row r="343" spans="1:14" ht="25.35" customHeight="1">
      <c r="A343" s="478">
        <f t="shared" si="19"/>
        <v>11</v>
      </c>
      <c r="B343" s="470"/>
      <c r="C343" s="615" t="s">
        <v>671</v>
      </c>
      <c r="D343" s="615"/>
      <c r="E343" s="470"/>
      <c r="F343" s="470"/>
      <c r="G343" s="485">
        <v>80</v>
      </c>
      <c r="H343" s="470">
        <v>1</v>
      </c>
      <c r="I343" s="470" t="s">
        <v>94</v>
      </c>
      <c r="J343" s="470"/>
      <c r="K343" s="2"/>
      <c r="L343" s="2"/>
      <c r="M343" s="2"/>
      <c r="N343" s="2"/>
    </row>
    <row r="344" spans="1:14" ht="15.75" customHeight="1">
      <c r="A344" s="478">
        <f t="shared" si="19"/>
        <v>12</v>
      </c>
      <c r="B344" s="470"/>
      <c r="C344" s="615" t="s">
        <v>676</v>
      </c>
      <c r="D344" s="615"/>
      <c r="E344" s="470"/>
      <c r="F344" s="470"/>
      <c r="G344" s="485">
        <v>100</v>
      </c>
      <c r="H344" s="470">
        <v>1</v>
      </c>
      <c r="I344" s="470" t="s">
        <v>39</v>
      </c>
      <c r="J344" s="470"/>
      <c r="K344" s="2"/>
      <c r="L344" s="2"/>
      <c r="M344" s="2"/>
      <c r="N344" s="2"/>
    </row>
    <row r="345" spans="1:14" ht="15.75" customHeight="1">
      <c r="A345" s="478">
        <f t="shared" si="19"/>
        <v>13</v>
      </c>
      <c r="B345" s="470"/>
      <c r="C345" s="470" t="s">
        <v>677</v>
      </c>
      <c r="D345" s="470"/>
      <c r="E345" s="470"/>
      <c r="F345" s="470"/>
      <c r="G345" s="485">
        <v>30</v>
      </c>
      <c r="H345" s="470">
        <v>1</v>
      </c>
      <c r="I345" s="470" t="s">
        <v>39</v>
      </c>
      <c r="J345" s="470"/>
      <c r="K345" s="2"/>
      <c r="L345" s="2"/>
      <c r="M345" s="2"/>
      <c r="N345" s="2"/>
    </row>
    <row r="346" spans="1:14" ht="36.6" customHeight="1">
      <c r="A346" s="478">
        <f t="shared" si="19"/>
        <v>14</v>
      </c>
      <c r="B346" s="470"/>
      <c r="C346" s="615" t="s">
        <v>678</v>
      </c>
      <c r="D346" s="615"/>
      <c r="E346" s="470"/>
      <c r="F346" s="470"/>
      <c r="G346" s="485">
        <v>30</v>
      </c>
      <c r="H346" s="470">
        <v>1</v>
      </c>
      <c r="I346" s="470" t="s">
        <v>39</v>
      </c>
      <c r="J346" s="470"/>
      <c r="K346" s="2"/>
      <c r="L346" s="2"/>
      <c r="M346" s="2"/>
      <c r="N346" s="2"/>
    </row>
    <row r="347" spans="1:14" ht="25.35" customHeight="1">
      <c r="A347" s="478">
        <f t="shared" si="19"/>
        <v>15</v>
      </c>
      <c r="B347" s="470"/>
      <c r="C347" s="486" t="s">
        <v>679</v>
      </c>
      <c r="D347" s="486"/>
      <c r="E347" s="470"/>
      <c r="F347" s="470"/>
      <c r="G347" s="485">
        <v>700</v>
      </c>
      <c r="H347" s="470">
        <v>1</v>
      </c>
      <c r="I347" s="470" t="s">
        <v>197</v>
      </c>
      <c r="J347" s="470"/>
      <c r="K347" s="2"/>
      <c r="L347" s="2"/>
      <c r="M347" s="2"/>
      <c r="N347" s="2"/>
    </row>
    <row r="348" spans="1:14" ht="25.35" customHeight="1">
      <c r="A348" s="478">
        <f t="shared" si="19"/>
        <v>16</v>
      </c>
      <c r="B348" s="470"/>
      <c r="C348" s="541" t="s">
        <v>681</v>
      </c>
      <c r="D348" s="541"/>
      <c r="E348" s="470"/>
      <c r="F348" s="470"/>
      <c r="G348" s="485">
        <v>800</v>
      </c>
      <c r="H348" s="470">
        <v>1</v>
      </c>
      <c r="I348" s="470" t="s">
        <v>94</v>
      </c>
      <c r="J348" s="470"/>
      <c r="K348" s="2"/>
      <c r="L348" s="2"/>
      <c r="M348" s="2"/>
      <c r="N348" s="2"/>
    </row>
    <row r="349" spans="1:14" ht="15.75" customHeight="1">
      <c r="A349" s="478">
        <f t="shared" si="19"/>
        <v>17</v>
      </c>
      <c r="B349" s="470"/>
      <c r="C349" s="486" t="s">
        <v>682</v>
      </c>
      <c r="D349" s="486"/>
      <c r="E349" s="470"/>
      <c r="F349" s="470"/>
      <c r="G349" s="485">
        <v>100</v>
      </c>
      <c r="H349" s="470">
        <v>1</v>
      </c>
      <c r="I349" s="470" t="s">
        <v>39</v>
      </c>
      <c r="J349" s="470"/>
      <c r="K349" s="2"/>
      <c r="L349" s="2"/>
      <c r="M349" s="2"/>
      <c r="N349" s="2"/>
    </row>
    <row r="350" spans="1:14" ht="15.75" customHeight="1">
      <c r="A350" s="478">
        <f t="shared" si="19"/>
        <v>18</v>
      </c>
      <c r="B350" s="470"/>
      <c r="C350" s="615" t="s">
        <v>683</v>
      </c>
      <c r="D350" s="615"/>
      <c r="E350" s="470"/>
      <c r="F350" s="470"/>
      <c r="G350" s="485">
        <v>75</v>
      </c>
      <c r="H350" s="470">
        <v>1</v>
      </c>
      <c r="I350" s="470" t="s">
        <v>39</v>
      </c>
      <c r="J350" s="470"/>
      <c r="K350" s="2"/>
      <c r="L350" s="2"/>
      <c r="M350" s="2"/>
      <c r="N350" s="2"/>
    </row>
  </sheetData>
  <sheetProtection selectLockedCells="1" selectUnlockedCells="1"/>
  <mergeCells count="18">
    <mergeCell ref="C240:N240"/>
    <mergeCell ref="A1:J1"/>
    <mergeCell ref="D2:E2"/>
    <mergeCell ref="F2:F3"/>
    <mergeCell ref="G2:G3"/>
    <mergeCell ref="H2:I3"/>
    <mergeCell ref="D328:D330"/>
    <mergeCell ref="G241:L241"/>
    <mergeCell ref="M241:N241"/>
    <mergeCell ref="C248:N248"/>
    <mergeCell ref="G249:L249"/>
    <mergeCell ref="M249:N249"/>
    <mergeCell ref="C258:N258"/>
    <mergeCell ref="G259:L259"/>
    <mergeCell ref="M259:N259"/>
    <mergeCell ref="D271:E271"/>
    <mergeCell ref="E304:E306"/>
    <mergeCell ref="D318:J318"/>
  </mergeCells>
  <printOptions horizontalCentered="1"/>
  <pageMargins left="0.4" right="0.3" top="0.52986111111111112" bottom="0.37013888888888891" header="0.3" footer="0.51180555555555551"/>
  <pageSetup paperSize="9" firstPageNumber="0" orientation="landscape" horizontalDpi="300" verticalDpi="300" r:id="rId1"/>
  <headerFooter alignWithMargins="0">
    <oddHeader>&amp;C&amp;"Times New Roman,Regular"&amp;11Common SoR 2015-16&amp;R&amp;"Times New Roman,Regular"&amp;11Page-&amp;P</oddHeader>
  </headerFooter>
  <rowBreaks count="5" manualBreakCount="5">
    <brk id="21" max="16383" man="1"/>
    <brk id="202" max="16383" man="1"/>
    <brk id="257" max="16383" man="1"/>
    <brk id="282" max="16383" man="1"/>
    <brk id="308" max="16383" man="1"/>
  </rowBreaks>
</worksheet>
</file>

<file path=xl/worksheets/sheet10.xml><?xml version="1.0" encoding="utf-8"?>
<worksheet xmlns="http://schemas.openxmlformats.org/spreadsheetml/2006/main" xmlns:r="http://schemas.openxmlformats.org/officeDocument/2006/relationships">
  <dimension ref="A1:J110"/>
  <sheetViews>
    <sheetView view="pageBreakPreview" zoomScaleSheetLayoutView="100" workbookViewId="0"/>
  </sheetViews>
  <sheetFormatPr defaultColWidth="11" defaultRowHeight="15"/>
  <cols>
    <col min="1" max="1" width="5" style="328" customWidth="1"/>
    <col min="2" max="2" width="2.5703125" style="328" customWidth="1"/>
    <col min="3" max="3" width="32.42578125" style="328" customWidth="1"/>
    <col min="4" max="4" width="9" style="328" customWidth="1"/>
    <col min="5" max="5" width="7.85546875" style="328" customWidth="1"/>
    <col min="6" max="6" width="16" style="328" customWidth="1"/>
    <col min="7" max="8" width="8.5703125" style="2" customWidth="1"/>
    <col min="9" max="9" width="2.85546875" style="328" customWidth="1"/>
    <col min="10" max="10" width="4.85546875" style="328" customWidth="1"/>
    <col min="11" max="64" width="8" style="328" customWidth="1"/>
    <col min="65" max="16384" width="11" style="328"/>
  </cols>
  <sheetData>
    <row r="1" spans="1:10" ht="15.75" customHeight="1">
      <c r="A1" s="1995" t="s">
        <v>2518</v>
      </c>
      <c r="B1" s="1995"/>
      <c r="C1" s="1995"/>
      <c r="D1" s="1995"/>
      <c r="E1" s="1995"/>
      <c r="F1" s="1995"/>
      <c r="G1" s="1995"/>
      <c r="H1" s="1995"/>
      <c r="I1" s="1995"/>
      <c r="J1" s="1995"/>
    </row>
    <row r="2" spans="1:10" ht="15.75" customHeight="1">
      <c r="A2" s="1995" t="s">
        <v>688</v>
      </c>
      <c r="B2" s="1995"/>
      <c r="C2" s="1995"/>
      <c r="D2" s="1995"/>
      <c r="E2" s="1995"/>
      <c r="F2" s="1995"/>
      <c r="G2" s="1995"/>
      <c r="H2" s="1995"/>
      <c r="I2" s="1995"/>
      <c r="J2" s="1995"/>
    </row>
    <row r="3" spans="1:10" ht="38.25" customHeight="1">
      <c r="A3" s="332" t="s">
        <v>689</v>
      </c>
      <c r="B3" s="333"/>
      <c r="C3" s="332" t="s">
        <v>690</v>
      </c>
      <c r="D3" s="334" t="s">
        <v>691</v>
      </c>
      <c r="E3" s="332" t="s">
        <v>692</v>
      </c>
      <c r="F3" s="333" t="s">
        <v>693</v>
      </c>
      <c r="G3" s="333" t="s">
        <v>29</v>
      </c>
      <c r="H3" s="333" t="s">
        <v>694</v>
      </c>
      <c r="I3" s="1996" t="s">
        <v>30</v>
      </c>
      <c r="J3" s="1996"/>
    </row>
    <row r="4" spans="1:10" ht="25.35" customHeight="1">
      <c r="A4" s="342">
        <v>1</v>
      </c>
      <c r="B4" s="342"/>
      <c r="C4" s="346" t="s">
        <v>695</v>
      </c>
      <c r="D4" s="346"/>
      <c r="E4" s="346"/>
      <c r="F4" s="343"/>
      <c r="G4" s="343"/>
      <c r="H4" s="343"/>
      <c r="I4" s="343"/>
      <c r="J4" s="343"/>
    </row>
    <row r="5" spans="1:10" ht="15.75" customHeight="1">
      <c r="A5" s="342"/>
      <c r="B5" s="342" t="s">
        <v>294</v>
      </c>
      <c r="C5" s="346" t="s">
        <v>696</v>
      </c>
      <c r="D5" s="346"/>
      <c r="E5" s="347">
        <v>128</v>
      </c>
      <c r="F5" s="342" t="s">
        <v>697</v>
      </c>
      <c r="G5" s="348">
        <v>497</v>
      </c>
      <c r="H5" s="348"/>
      <c r="I5" s="349">
        <v>1</v>
      </c>
      <c r="J5" s="348" t="s">
        <v>197</v>
      </c>
    </row>
    <row r="6" spans="1:10" ht="15.75" customHeight="1">
      <c r="A6" s="342"/>
      <c r="B6" s="342" t="s">
        <v>297</v>
      </c>
      <c r="C6" s="346" t="s">
        <v>698</v>
      </c>
      <c r="D6" s="346"/>
      <c r="E6" s="347">
        <v>128</v>
      </c>
      <c r="F6" s="342" t="s">
        <v>699</v>
      </c>
      <c r="G6" s="348">
        <v>427</v>
      </c>
      <c r="H6" s="348"/>
      <c r="I6" s="349">
        <v>1</v>
      </c>
      <c r="J6" s="348" t="s">
        <v>197</v>
      </c>
    </row>
    <row r="7" spans="1:10" ht="25.35" customHeight="1">
      <c r="A7" s="342">
        <f>A4+1</f>
        <v>2</v>
      </c>
      <c r="B7" s="342"/>
      <c r="C7" s="346" t="s">
        <v>700</v>
      </c>
      <c r="D7" s="346"/>
      <c r="E7" s="343"/>
      <c r="F7" s="342"/>
      <c r="G7" s="343"/>
      <c r="H7" s="343"/>
      <c r="I7" s="343"/>
      <c r="J7" s="343"/>
    </row>
    <row r="8" spans="1:10" ht="15.75" customHeight="1">
      <c r="A8" s="343"/>
      <c r="B8" s="342" t="s">
        <v>294</v>
      </c>
      <c r="C8" s="346" t="s">
        <v>696</v>
      </c>
      <c r="D8" s="346"/>
      <c r="E8" s="347">
        <v>128</v>
      </c>
      <c r="F8" s="342" t="s">
        <v>701</v>
      </c>
      <c r="G8" s="348">
        <v>715</v>
      </c>
      <c r="H8" s="348"/>
      <c r="I8" s="349">
        <v>1</v>
      </c>
      <c r="J8" s="348" t="s">
        <v>197</v>
      </c>
    </row>
    <row r="9" spans="1:10" ht="15.75" customHeight="1">
      <c r="A9" s="342"/>
      <c r="B9" s="342" t="s">
        <v>297</v>
      </c>
      <c r="C9" s="346" t="s">
        <v>698</v>
      </c>
      <c r="D9" s="346"/>
      <c r="E9" s="347">
        <v>128</v>
      </c>
      <c r="F9" s="342" t="s">
        <v>702</v>
      </c>
      <c r="G9" s="348">
        <v>636</v>
      </c>
      <c r="H9" s="348"/>
      <c r="I9" s="349">
        <v>1</v>
      </c>
      <c r="J9" s="348" t="s">
        <v>197</v>
      </c>
    </row>
    <row r="10" spans="1:10" ht="15.75" customHeight="1">
      <c r="A10" s="342"/>
      <c r="B10" s="343"/>
      <c r="C10" s="343"/>
      <c r="D10" s="343"/>
      <c r="E10" s="343"/>
      <c r="F10" s="342"/>
      <c r="G10" s="343"/>
      <c r="H10" s="343"/>
      <c r="I10" s="343"/>
      <c r="J10" s="343"/>
    </row>
    <row r="11" spans="1:10" ht="15.75" customHeight="1">
      <c r="A11" s="342">
        <f>A7+1</f>
        <v>3</v>
      </c>
      <c r="B11" s="342"/>
      <c r="C11" s="346" t="s">
        <v>703</v>
      </c>
      <c r="D11" s="346"/>
      <c r="E11" s="347">
        <v>128</v>
      </c>
      <c r="F11" s="342" t="s">
        <v>704</v>
      </c>
      <c r="G11" s="348">
        <v>596</v>
      </c>
      <c r="H11" s="348"/>
      <c r="I11" s="349">
        <v>1</v>
      </c>
      <c r="J11" s="348" t="s">
        <v>501</v>
      </c>
    </row>
    <row r="12" spans="1:10" ht="15.75" customHeight="1">
      <c r="A12" s="342">
        <f t="shared" ref="A12:A16" si="0">A11+1</f>
        <v>4</v>
      </c>
      <c r="B12" s="342"/>
      <c r="C12" s="346" t="s">
        <v>705</v>
      </c>
      <c r="D12" s="346"/>
      <c r="E12" s="347">
        <v>129</v>
      </c>
      <c r="F12" s="342" t="s">
        <v>706</v>
      </c>
      <c r="G12" s="348">
        <v>485</v>
      </c>
      <c r="H12" s="348"/>
      <c r="I12" s="349">
        <v>1</v>
      </c>
      <c r="J12" s="348" t="s">
        <v>197</v>
      </c>
    </row>
    <row r="13" spans="1:10" ht="15.75" customHeight="1">
      <c r="A13" s="342">
        <f t="shared" si="0"/>
        <v>5</v>
      </c>
      <c r="B13" s="342"/>
      <c r="C13" s="346" t="s">
        <v>707</v>
      </c>
      <c r="D13" s="346"/>
      <c r="E13" s="347">
        <v>129</v>
      </c>
      <c r="F13" s="342" t="s">
        <v>708</v>
      </c>
      <c r="G13" s="348">
        <v>888</v>
      </c>
      <c r="H13" s="348"/>
      <c r="I13" s="349">
        <v>1</v>
      </c>
      <c r="J13" s="348" t="s">
        <v>197</v>
      </c>
    </row>
    <row r="14" spans="1:10" ht="15.75" customHeight="1">
      <c r="A14" s="342">
        <f t="shared" si="0"/>
        <v>6</v>
      </c>
      <c r="B14" s="342"/>
      <c r="C14" s="346" t="s">
        <v>709</v>
      </c>
      <c r="D14" s="346"/>
      <c r="E14" s="347">
        <v>129</v>
      </c>
      <c r="F14" s="342" t="s">
        <v>710</v>
      </c>
      <c r="G14" s="348">
        <v>1280</v>
      </c>
      <c r="H14" s="348"/>
      <c r="I14" s="349">
        <v>1</v>
      </c>
      <c r="J14" s="348" t="s">
        <v>197</v>
      </c>
    </row>
    <row r="15" spans="1:10" ht="36.6" customHeight="1">
      <c r="A15" s="342">
        <f t="shared" si="0"/>
        <v>7</v>
      </c>
      <c r="B15" s="342"/>
      <c r="C15" s="346" t="s">
        <v>711</v>
      </c>
      <c r="D15" s="346"/>
      <c r="E15" s="347">
        <v>128</v>
      </c>
      <c r="F15" s="342" t="s">
        <v>712</v>
      </c>
      <c r="G15" s="348"/>
      <c r="H15" s="617">
        <v>236</v>
      </c>
      <c r="I15" s="349">
        <v>1</v>
      </c>
      <c r="J15" s="348" t="s">
        <v>197</v>
      </c>
    </row>
    <row r="16" spans="1:10" ht="36.6" customHeight="1">
      <c r="A16" s="342">
        <f t="shared" si="0"/>
        <v>8</v>
      </c>
      <c r="B16" s="342"/>
      <c r="C16" s="346" t="s">
        <v>713</v>
      </c>
      <c r="D16" s="346"/>
      <c r="E16" s="347">
        <v>128</v>
      </c>
      <c r="F16" s="342" t="s">
        <v>714</v>
      </c>
      <c r="G16" s="348"/>
      <c r="H16" s="617">
        <v>293</v>
      </c>
      <c r="I16" s="349">
        <v>1</v>
      </c>
      <c r="J16" s="348" t="s">
        <v>197</v>
      </c>
    </row>
    <row r="17" spans="1:10" ht="15.75" customHeight="1">
      <c r="A17" s="342"/>
      <c r="B17" s="342"/>
      <c r="C17" s="346"/>
      <c r="D17" s="346"/>
      <c r="E17" s="347"/>
      <c r="F17" s="342"/>
      <c r="G17" s="348"/>
      <c r="H17" s="348"/>
      <c r="I17" s="349"/>
      <c r="J17" s="348"/>
    </row>
    <row r="18" spans="1:10" ht="25.35" customHeight="1">
      <c r="A18" s="342">
        <f>A16+1</f>
        <v>9</v>
      </c>
      <c r="B18" s="342"/>
      <c r="C18" s="346" t="s">
        <v>715</v>
      </c>
      <c r="D18" s="346"/>
      <c r="E18" s="347">
        <v>132</v>
      </c>
      <c r="F18" s="342" t="s">
        <v>716</v>
      </c>
      <c r="G18" s="348">
        <v>6748</v>
      </c>
      <c r="H18" s="348"/>
      <c r="I18" s="349">
        <v>1</v>
      </c>
      <c r="J18" s="348" t="s">
        <v>501</v>
      </c>
    </row>
    <row r="19" spans="1:10" ht="25.35" customHeight="1">
      <c r="A19" s="342">
        <f t="shared" ref="A19:A22" si="1">A18+1</f>
        <v>10</v>
      </c>
      <c r="B19" s="342"/>
      <c r="C19" s="346" t="s">
        <v>717</v>
      </c>
      <c r="D19" s="346"/>
      <c r="E19" s="347">
        <v>133</v>
      </c>
      <c r="F19" s="342" t="s">
        <v>718</v>
      </c>
      <c r="G19" s="348">
        <v>10599</v>
      </c>
      <c r="H19" s="348"/>
      <c r="I19" s="349">
        <v>1</v>
      </c>
      <c r="J19" s="348" t="s">
        <v>501</v>
      </c>
    </row>
    <row r="20" spans="1:10" ht="36.6" customHeight="1">
      <c r="A20" s="342">
        <f t="shared" si="1"/>
        <v>11</v>
      </c>
      <c r="B20" s="342"/>
      <c r="C20" s="346" t="s">
        <v>2519</v>
      </c>
      <c r="D20" s="346"/>
      <c r="E20" s="347">
        <v>133</v>
      </c>
      <c r="F20" s="342" t="s">
        <v>720</v>
      </c>
      <c r="G20" s="348">
        <v>3672</v>
      </c>
      <c r="H20" s="348"/>
      <c r="I20" s="349">
        <v>1</v>
      </c>
      <c r="J20" s="348" t="s">
        <v>501</v>
      </c>
    </row>
    <row r="21" spans="1:10" ht="47.85" customHeight="1">
      <c r="A21" s="342">
        <f t="shared" si="1"/>
        <v>12</v>
      </c>
      <c r="B21" s="342"/>
      <c r="C21" s="346" t="s">
        <v>721</v>
      </c>
      <c r="D21" s="346"/>
      <c r="E21" s="347">
        <v>133</v>
      </c>
      <c r="F21" s="342" t="s">
        <v>722</v>
      </c>
      <c r="G21" s="348">
        <v>73</v>
      </c>
      <c r="H21" s="348"/>
      <c r="I21" s="349">
        <v>1</v>
      </c>
      <c r="J21" s="348" t="s">
        <v>501</v>
      </c>
    </row>
    <row r="22" spans="1:10" ht="15.75" customHeight="1">
      <c r="A22" s="342">
        <f t="shared" si="1"/>
        <v>13</v>
      </c>
      <c r="B22" s="342"/>
      <c r="C22" s="346" t="s">
        <v>723</v>
      </c>
      <c r="D22" s="346"/>
      <c r="E22" s="347">
        <v>133</v>
      </c>
      <c r="F22" s="342" t="s">
        <v>724</v>
      </c>
      <c r="G22" s="348">
        <v>119</v>
      </c>
      <c r="H22" s="348"/>
      <c r="I22" s="349">
        <v>1</v>
      </c>
      <c r="J22" s="348" t="s">
        <v>501</v>
      </c>
    </row>
    <row r="23" spans="1:10" ht="15.75" customHeight="1">
      <c r="A23" s="342"/>
      <c r="B23" s="342"/>
      <c r="C23" s="343"/>
      <c r="D23" s="343"/>
      <c r="E23" s="343"/>
      <c r="F23" s="342"/>
      <c r="G23" s="343"/>
      <c r="H23" s="343"/>
      <c r="I23" s="343"/>
      <c r="J23" s="343"/>
    </row>
    <row r="24" spans="1:10" ht="25.35" customHeight="1">
      <c r="A24" s="342">
        <f>A22+1</f>
        <v>14</v>
      </c>
      <c r="B24" s="342"/>
      <c r="C24" s="346" t="s">
        <v>725</v>
      </c>
      <c r="D24" s="346"/>
      <c r="E24" s="347" t="s">
        <v>2520</v>
      </c>
      <c r="F24" s="347" t="s">
        <v>727</v>
      </c>
      <c r="G24" s="348">
        <v>1440</v>
      </c>
      <c r="H24" s="348">
        <v>307</v>
      </c>
      <c r="I24" s="349">
        <v>1</v>
      </c>
      <c r="J24" s="348" t="s">
        <v>501</v>
      </c>
    </row>
    <row r="25" spans="1:10" ht="15.75" customHeight="1">
      <c r="A25" s="342">
        <f t="shared" ref="A25:A37" si="2">A24+1</f>
        <v>15</v>
      </c>
      <c r="B25" s="342"/>
      <c r="C25" s="346" t="s">
        <v>728</v>
      </c>
      <c r="D25" s="346"/>
      <c r="E25" s="347">
        <v>142</v>
      </c>
      <c r="F25" s="342" t="s">
        <v>729</v>
      </c>
      <c r="G25" s="348">
        <v>298</v>
      </c>
      <c r="H25" s="348"/>
      <c r="I25" s="349">
        <v>1</v>
      </c>
      <c r="J25" s="348" t="s">
        <v>501</v>
      </c>
    </row>
    <row r="26" spans="1:10" ht="15.75" customHeight="1">
      <c r="A26" s="342">
        <f t="shared" si="2"/>
        <v>16</v>
      </c>
      <c r="B26" s="342"/>
      <c r="C26" s="346" t="s">
        <v>730</v>
      </c>
      <c r="D26" s="346"/>
      <c r="E26" s="347">
        <v>142</v>
      </c>
      <c r="F26" s="342" t="s">
        <v>731</v>
      </c>
      <c r="G26" s="348">
        <v>89</v>
      </c>
      <c r="H26" s="348"/>
      <c r="I26" s="349">
        <v>1</v>
      </c>
      <c r="J26" s="348" t="s">
        <v>501</v>
      </c>
    </row>
    <row r="27" spans="1:10" ht="25.35" customHeight="1">
      <c r="A27" s="342">
        <f t="shared" si="2"/>
        <v>17</v>
      </c>
      <c r="B27" s="342"/>
      <c r="C27" s="346" t="s">
        <v>732</v>
      </c>
      <c r="D27" s="346"/>
      <c r="E27" s="347" t="s">
        <v>2520</v>
      </c>
      <c r="F27" s="347" t="s">
        <v>2521</v>
      </c>
      <c r="G27" s="348">
        <v>1785</v>
      </c>
      <c r="H27" s="348">
        <v>307</v>
      </c>
      <c r="I27" s="349">
        <v>1</v>
      </c>
      <c r="J27" s="348" t="s">
        <v>501</v>
      </c>
    </row>
    <row r="28" spans="1:10" ht="28.5" customHeight="1">
      <c r="A28" s="342">
        <f t="shared" si="2"/>
        <v>18</v>
      </c>
      <c r="B28" s="342"/>
      <c r="C28" s="346" t="s">
        <v>734</v>
      </c>
      <c r="D28" s="346"/>
      <c r="E28" s="347" t="s">
        <v>2522</v>
      </c>
      <c r="F28" s="347" t="s">
        <v>736</v>
      </c>
      <c r="G28" s="348">
        <v>810</v>
      </c>
      <c r="H28" s="348">
        <v>78</v>
      </c>
      <c r="I28" s="349">
        <v>1</v>
      </c>
      <c r="J28" s="348" t="s">
        <v>501</v>
      </c>
    </row>
    <row r="29" spans="1:10" ht="39" customHeight="1">
      <c r="A29" s="342">
        <f t="shared" si="2"/>
        <v>19</v>
      </c>
      <c r="B29" s="342"/>
      <c r="C29" s="346" t="s">
        <v>737</v>
      </c>
      <c r="D29" s="346"/>
      <c r="E29" s="347" t="s">
        <v>2523</v>
      </c>
      <c r="F29" s="347" t="s">
        <v>738</v>
      </c>
      <c r="G29" s="348">
        <v>1620</v>
      </c>
      <c r="H29" s="348">
        <v>383</v>
      </c>
      <c r="I29" s="349">
        <v>1</v>
      </c>
      <c r="J29" s="348" t="s">
        <v>501</v>
      </c>
    </row>
    <row r="30" spans="1:10" ht="39" customHeight="1">
      <c r="A30" s="342">
        <f t="shared" si="2"/>
        <v>20</v>
      </c>
      <c r="B30" s="342"/>
      <c r="C30" s="346" t="s">
        <v>739</v>
      </c>
      <c r="D30" s="346"/>
      <c r="E30" s="347" t="s">
        <v>2524</v>
      </c>
      <c r="F30" s="347" t="s">
        <v>2525</v>
      </c>
      <c r="G30" s="348">
        <v>4508</v>
      </c>
      <c r="H30" s="348">
        <v>383</v>
      </c>
      <c r="I30" s="349">
        <v>1</v>
      </c>
      <c r="J30" s="348" t="s">
        <v>501</v>
      </c>
    </row>
    <row r="31" spans="1:10" ht="39" customHeight="1">
      <c r="A31" s="342">
        <f t="shared" si="2"/>
        <v>21</v>
      </c>
      <c r="B31" s="342"/>
      <c r="C31" s="346" t="s">
        <v>742</v>
      </c>
      <c r="D31" s="346"/>
      <c r="E31" s="347" t="s">
        <v>2524</v>
      </c>
      <c r="F31" s="347" t="s">
        <v>743</v>
      </c>
      <c r="G31" s="348">
        <v>5072</v>
      </c>
      <c r="H31" s="348">
        <v>383</v>
      </c>
      <c r="I31" s="349">
        <v>1</v>
      </c>
      <c r="J31" s="348" t="s">
        <v>501</v>
      </c>
    </row>
    <row r="32" spans="1:10" ht="25.35" customHeight="1">
      <c r="A32" s="342">
        <f t="shared" si="2"/>
        <v>22</v>
      </c>
      <c r="B32" s="342"/>
      <c r="C32" s="346" t="s">
        <v>744</v>
      </c>
      <c r="D32" s="346"/>
      <c r="E32" s="347" t="s">
        <v>2524</v>
      </c>
      <c r="F32" s="347" t="s">
        <v>745</v>
      </c>
      <c r="G32" s="348">
        <v>845</v>
      </c>
      <c r="H32" s="348">
        <v>153</v>
      </c>
      <c r="I32" s="349">
        <v>1</v>
      </c>
      <c r="J32" s="348" t="s">
        <v>501</v>
      </c>
    </row>
    <row r="33" spans="1:10" ht="25.35" customHeight="1">
      <c r="A33" s="342">
        <f t="shared" si="2"/>
        <v>23</v>
      </c>
      <c r="B33" s="342"/>
      <c r="C33" s="346" t="s">
        <v>746</v>
      </c>
      <c r="D33" s="346"/>
      <c r="E33" s="347" t="s">
        <v>2524</v>
      </c>
      <c r="F33" s="347" t="s">
        <v>747</v>
      </c>
      <c r="G33" s="348">
        <v>2818</v>
      </c>
      <c r="H33" s="348">
        <v>153</v>
      </c>
      <c r="I33" s="349">
        <v>1</v>
      </c>
      <c r="J33" s="348" t="s">
        <v>501</v>
      </c>
    </row>
    <row r="34" spans="1:10" ht="36.6" customHeight="1">
      <c r="A34" s="342">
        <f t="shared" si="2"/>
        <v>24</v>
      </c>
      <c r="B34" s="342"/>
      <c r="C34" s="346" t="s">
        <v>748</v>
      </c>
      <c r="D34" s="346"/>
      <c r="E34" s="618">
        <v>146</v>
      </c>
      <c r="F34" s="342" t="s">
        <v>749</v>
      </c>
      <c r="G34" s="363">
        <v>6865</v>
      </c>
      <c r="H34" s="348"/>
      <c r="I34" s="349">
        <v>1</v>
      </c>
      <c r="J34" s="364" t="s">
        <v>501</v>
      </c>
    </row>
    <row r="35" spans="1:10" ht="47.85" customHeight="1">
      <c r="A35" s="342">
        <f t="shared" si="2"/>
        <v>25</v>
      </c>
      <c r="B35" s="342"/>
      <c r="C35" s="346" t="s">
        <v>750</v>
      </c>
      <c r="D35" s="346"/>
      <c r="E35" s="347">
        <v>146</v>
      </c>
      <c r="F35" s="342" t="s">
        <v>751</v>
      </c>
      <c r="G35" s="363">
        <v>4905</v>
      </c>
      <c r="H35" s="348"/>
      <c r="I35" s="349">
        <v>1</v>
      </c>
      <c r="J35" s="364" t="s">
        <v>501</v>
      </c>
    </row>
    <row r="36" spans="1:10" ht="15.75" customHeight="1">
      <c r="A36" s="342">
        <f t="shared" si="2"/>
        <v>26</v>
      </c>
      <c r="B36" s="342"/>
      <c r="C36" s="346" t="s">
        <v>752</v>
      </c>
      <c r="D36" s="346"/>
      <c r="E36" s="347">
        <v>146</v>
      </c>
      <c r="F36" s="347" t="s">
        <v>753</v>
      </c>
      <c r="G36" s="348">
        <v>719</v>
      </c>
      <c r="H36" s="348"/>
      <c r="I36" s="349">
        <v>1</v>
      </c>
      <c r="J36" s="348" t="s">
        <v>501</v>
      </c>
    </row>
    <row r="37" spans="1:10" ht="36.6" customHeight="1">
      <c r="A37" s="342">
        <f t="shared" si="2"/>
        <v>27</v>
      </c>
      <c r="B37" s="342"/>
      <c r="C37" s="346" t="s">
        <v>754</v>
      </c>
      <c r="D37" s="346"/>
      <c r="E37" s="347">
        <v>147</v>
      </c>
      <c r="F37" s="342" t="s">
        <v>755</v>
      </c>
      <c r="G37" s="348">
        <v>495</v>
      </c>
      <c r="H37" s="348"/>
      <c r="I37" s="349">
        <v>1</v>
      </c>
      <c r="J37" s="348" t="s">
        <v>501</v>
      </c>
    </row>
    <row r="38" spans="1:10" ht="15.75" customHeight="1">
      <c r="A38" s="342"/>
      <c r="B38" s="342"/>
      <c r="C38" s="346"/>
      <c r="D38" s="346"/>
      <c r="E38" s="347"/>
      <c r="F38" s="342"/>
      <c r="G38" s="348"/>
      <c r="H38" s="348"/>
      <c r="I38" s="349"/>
      <c r="J38" s="348"/>
    </row>
    <row r="39" spans="1:10" ht="25.35" customHeight="1">
      <c r="A39" s="342">
        <f>A37+1</f>
        <v>28</v>
      </c>
      <c r="B39" s="342"/>
      <c r="C39" s="346" t="s">
        <v>756</v>
      </c>
      <c r="D39" s="346"/>
      <c r="E39" s="347">
        <v>147</v>
      </c>
      <c r="F39" s="342" t="s">
        <v>2526</v>
      </c>
      <c r="G39" s="348">
        <v>245</v>
      </c>
      <c r="H39" s="348"/>
      <c r="I39" s="349">
        <v>1</v>
      </c>
      <c r="J39" s="348" t="s">
        <v>501</v>
      </c>
    </row>
    <row r="40" spans="1:10" ht="47.85" customHeight="1">
      <c r="A40" s="342">
        <f t="shared" ref="A40:A41" si="3">A39+1</f>
        <v>29</v>
      </c>
      <c r="B40" s="342"/>
      <c r="C40" s="346" t="s">
        <v>759</v>
      </c>
      <c r="D40" s="346"/>
      <c r="E40" s="347" t="s">
        <v>2527</v>
      </c>
      <c r="F40" s="347" t="s">
        <v>761</v>
      </c>
      <c r="G40" s="363">
        <v>3213</v>
      </c>
      <c r="H40" s="348">
        <v>48</v>
      </c>
      <c r="I40" s="349">
        <v>1</v>
      </c>
      <c r="J40" s="364" t="s">
        <v>501</v>
      </c>
    </row>
    <row r="41" spans="1:10" ht="29.25" customHeight="1">
      <c r="A41" s="342">
        <f t="shared" si="3"/>
        <v>30</v>
      </c>
      <c r="B41" s="342"/>
      <c r="C41" s="346" t="s">
        <v>762</v>
      </c>
      <c r="D41" s="346"/>
      <c r="E41" s="347">
        <v>149</v>
      </c>
      <c r="F41" s="342" t="s">
        <v>2528</v>
      </c>
      <c r="G41" s="348">
        <v>271</v>
      </c>
      <c r="H41" s="348"/>
      <c r="I41" s="349">
        <v>1</v>
      </c>
      <c r="J41" s="348" t="s">
        <v>501</v>
      </c>
    </row>
    <row r="42" spans="1:10" ht="25.35" customHeight="1">
      <c r="A42" s="342">
        <f>A39+1</f>
        <v>29</v>
      </c>
      <c r="B42" s="342"/>
      <c r="C42" s="346" t="s">
        <v>764</v>
      </c>
      <c r="D42" s="346"/>
      <c r="E42" s="347">
        <v>149</v>
      </c>
      <c r="F42" s="342" t="s">
        <v>2529</v>
      </c>
      <c r="G42" s="348">
        <v>236</v>
      </c>
      <c r="H42" s="348"/>
      <c r="I42" s="349">
        <v>1</v>
      </c>
      <c r="J42" s="348" t="s">
        <v>501</v>
      </c>
    </row>
    <row r="43" spans="1:10" ht="25.35" customHeight="1">
      <c r="A43" s="342">
        <f t="shared" ref="A43:A45" si="4">A42+1</f>
        <v>30</v>
      </c>
      <c r="B43" s="342"/>
      <c r="C43" s="346" t="s">
        <v>767</v>
      </c>
      <c r="D43" s="346"/>
      <c r="E43" s="347">
        <v>150</v>
      </c>
      <c r="F43" s="347" t="s">
        <v>2530</v>
      </c>
      <c r="G43" s="348">
        <v>186</v>
      </c>
      <c r="H43" s="348"/>
      <c r="I43" s="349">
        <v>1</v>
      </c>
      <c r="J43" s="348" t="s">
        <v>501</v>
      </c>
    </row>
    <row r="44" spans="1:10" ht="15.75" customHeight="1">
      <c r="A44" s="342">
        <f t="shared" si="4"/>
        <v>31</v>
      </c>
      <c r="B44" s="342"/>
      <c r="C44" s="346" t="s">
        <v>770</v>
      </c>
      <c r="D44" s="346"/>
      <c r="E44" s="347">
        <v>151</v>
      </c>
      <c r="F44" s="342" t="s">
        <v>2531</v>
      </c>
      <c r="G44" s="348">
        <v>567</v>
      </c>
      <c r="H44" s="348"/>
      <c r="I44" s="349">
        <v>1</v>
      </c>
      <c r="J44" s="348" t="s">
        <v>501</v>
      </c>
    </row>
    <row r="45" spans="1:10" ht="15.75" customHeight="1">
      <c r="A45" s="342">
        <f t="shared" si="4"/>
        <v>32</v>
      </c>
      <c r="B45" s="342"/>
      <c r="C45" s="346" t="s">
        <v>773</v>
      </c>
      <c r="D45" s="346"/>
      <c r="E45" s="347">
        <v>152</v>
      </c>
      <c r="F45" s="342" t="s">
        <v>774</v>
      </c>
      <c r="G45" s="348">
        <v>69</v>
      </c>
      <c r="H45" s="348"/>
      <c r="I45" s="349">
        <v>1</v>
      </c>
      <c r="J45" s="348" t="s">
        <v>501</v>
      </c>
    </row>
    <row r="46" spans="1:10" ht="15.75" customHeight="1">
      <c r="A46" s="342"/>
      <c r="B46" s="342"/>
    </row>
    <row r="47" spans="1:10" ht="25.35" customHeight="1">
      <c r="A47" s="354">
        <f>A45+1</f>
        <v>33</v>
      </c>
      <c r="B47" s="342"/>
      <c r="C47" s="346" t="s">
        <v>775</v>
      </c>
      <c r="D47" s="346"/>
      <c r="E47" s="347"/>
      <c r="F47" s="342"/>
      <c r="G47" s="348"/>
      <c r="H47" s="348"/>
      <c r="I47" s="349"/>
      <c r="J47" s="348"/>
    </row>
    <row r="48" spans="1:10" ht="15.75" customHeight="1">
      <c r="A48" s="354"/>
      <c r="B48" s="342" t="s">
        <v>294</v>
      </c>
      <c r="C48" s="346" t="s">
        <v>776</v>
      </c>
      <c r="D48" s="346"/>
      <c r="E48" s="347">
        <v>153</v>
      </c>
      <c r="F48" s="342" t="s">
        <v>777</v>
      </c>
      <c r="G48" s="348">
        <v>185</v>
      </c>
      <c r="H48" s="348"/>
      <c r="I48" s="349">
        <v>1</v>
      </c>
      <c r="J48" s="348" t="s">
        <v>197</v>
      </c>
    </row>
    <row r="49" spans="1:10" ht="15.75" customHeight="1">
      <c r="A49" s="354"/>
      <c r="B49" s="342" t="s">
        <v>297</v>
      </c>
      <c r="C49" s="346" t="s">
        <v>778</v>
      </c>
      <c r="D49" s="346"/>
      <c r="E49" s="347">
        <v>153</v>
      </c>
      <c r="F49" s="342" t="s">
        <v>779</v>
      </c>
      <c r="G49" s="348">
        <v>206</v>
      </c>
      <c r="H49" s="348"/>
      <c r="I49" s="349">
        <v>1</v>
      </c>
      <c r="J49" s="348" t="s">
        <v>197</v>
      </c>
    </row>
    <row r="50" spans="1:10" ht="15.75" customHeight="1">
      <c r="A50" s="354"/>
      <c r="B50" s="342" t="s">
        <v>430</v>
      </c>
      <c r="C50" s="346" t="s">
        <v>780</v>
      </c>
      <c r="D50" s="346"/>
      <c r="E50" s="347">
        <v>153</v>
      </c>
      <c r="F50" s="342" t="s">
        <v>781</v>
      </c>
      <c r="G50" s="348">
        <v>270</v>
      </c>
      <c r="H50" s="348"/>
      <c r="I50" s="349">
        <v>1</v>
      </c>
      <c r="J50" s="348" t="s">
        <v>197</v>
      </c>
    </row>
    <row r="51" spans="1:10" ht="15.75" customHeight="1">
      <c r="A51" s="354"/>
      <c r="B51" s="342" t="s">
        <v>433</v>
      </c>
      <c r="C51" s="346" t="s">
        <v>782</v>
      </c>
      <c r="D51" s="346"/>
      <c r="E51" s="347">
        <v>153</v>
      </c>
      <c r="F51" s="342" t="s">
        <v>783</v>
      </c>
      <c r="G51" s="348">
        <v>379</v>
      </c>
      <c r="H51" s="348"/>
      <c r="I51" s="349">
        <v>1</v>
      </c>
      <c r="J51" s="348" t="s">
        <v>197</v>
      </c>
    </row>
    <row r="52" spans="1:10" ht="15.75" customHeight="1">
      <c r="A52" s="354"/>
      <c r="B52" s="342" t="s">
        <v>436</v>
      </c>
      <c r="C52" s="346" t="s">
        <v>784</v>
      </c>
      <c r="D52" s="346"/>
      <c r="E52" s="347">
        <v>153</v>
      </c>
      <c r="F52" s="342" t="s">
        <v>785</v>
      </c>
      <c r="G52" s="348">
        <v>424</v>
      </c>
      <c r="H52" s="348"/>
      <c r="I52" s="349">
        <v>1</v>
      </c>
      <c r="J52" s="348" t="s">
        <v>197</v>
      </c>
    </row>
    <row r="53" spans="1:10" ht="15.75" customHeight="1">
      <c r="A53" s="354"/>
      <c r="B53" s="342" t="s">
        <v>439</v>
      </c>
      <c r="C53" s="346" t="s">
        <v>786</v>
      </c>
      <c r="D53" s="346"/>
      <c r="E53" s="347">
        <v>153</v>
      </c>
      <c r="F53" s="342" t="s">
        <v>787</v>
      </c>
      <c r="G53" s="348">
        <v>457</v>
      </c>
      <c r="H53" s="348"/>
      <c r="I53" s="349">
        <v>1</v>
      </c>
      <c r="J53" s="348" t="s">
        <v>197</v>
      </c>
    </row>
    <row r="54" spans="1:10" ht="25.35" customHeight="1">
      <c r="A54" s="354"/>
      <c r="B54" s="342" t="s">
        <v>442</v>
      </c>
      <c r="C54" s="346" t="s">
        <v>788</v>
      </c>
      <c r="D54" s="346"/>
      <c r="E54" s="347">
        <v>154</v>
      </c>
      <c r="F54" s="342" t="s">
        <v>789</v>
      </c>
      <c r="G54" s="348">
        <v>811</v>
      </c>
      <c r="H54" s="348"/>
      <c r="I54" s="349">
        <v>1</v>
      </c>
      <c r="J54" s="348" t="s">
        <v>197</v>
      </c>
    </row>
    <row r="55" spans="1:10" ht="15.75" customHeight="1">
      <c r="A55" s="354"/>
      <c r="B55" s="342"/>
      <c r="C55" s="346"/>
      <c r="D55" s="346"/>
      <c r="E55" s="347"/>
      <c r="F55" s="342"/>
      <c r="G55" s="348"/>
      <c r="H55" s="348"/>
      <c r="I55" s="349"/>
      <c r="J55" s="348"/>
    </row>
    <row r="56" spans="1:10" ht="36.6" customHeight="1">
      <c r="A56" s="354">
        <f>A47+1</f>
        <v>34</v>
      </c>
      <c r="B56" s="342"/>
      <c r="C56" s="540" t="s">
        <v>790</v>
      </c>
      <c r="D56" s="540"/>
      <c r="E56" s="347"/>
      <c r="F56" s="342"/>
      <c r="G56" s="348"/>
      <c r="H56" s="348"/>
      <c r="I56" s="349"/>
      <c r="J56" s="348"/>
    </row>
    <row r="57" spans="1:10" ht="15.75" customHeight="1">
      <c r="A57" s="343"/>
      <c r="B57" s="342" t="s">
        <v>294</v>
      </c>
      <c r="C57" s="346" t="s">
        <v>791</v>
      </c>
      <c r="D57" s="346"/>
      <c r="E57" s="347">
        <v>154</v>
      </c>
      <c r="F57" s="342" t="s">
        <v>792</v>
      </c>
      <c r="G57" s="348">
        <v>636</v>
      </c>
      <c r="H57" s="617"/>
      <c r="I57" s="349">
        <v>1</v>
      </c>
      <c r="J57" s="348" t="s">
        <v>501</v>
      </c>
    </row>
    <row r="58" spans="1:10" ht="15.75" customHeight="1">
      <c r="A58" s="342"/>
      <c r="B58" s="342" t="s">
        <v>297</v>
      </c>
      <c r="C58" s="346" t="s">
        <v>793</v>
      </c>
      <c r="D58" s="346"/>
      <c r="E58" s="347">
        <v>155</v>
      </c>
      <c r="F58" s="342" t="s">
        <v>794</v>
      </c>
      <c r="G58" s="348">
        <v>858</v>
      </c>
      <c r="H58" s="617"/>
      <c r="I58" s="349">
        <v>1</v>
      </c>
      <c r="J58" s="348" t="s">
        <v>501</v>
      </c>
    </row>
    <row r="59" spans="1:10" ht="15.75" customHeight="1">
      <c r="A59" s="342"/>
      <c r="B59" s="342" t="s">
        <v>430</v>
      </c>
      <c r="C59" s="346" t="s">
        <v>795</v>
      </c>
      <c r="D59" s="346"/>
      <c r="E59" s="347">
        <v>155</v>
      </c>
      <c r="F59" s="342" t="s">
        <v>796</v>
      </c>
      <c r="G59" s="348">
        <v>1233</v>
      </c>
      <c r="H59" s="617"/>
      <c r="I59" s="349">
        <v>1</v>
      </c>
      <c r="J59" s="348" t="s">
        <v>501</v>
      </c>
    </row>
    <row r="60" spans="1:10" ht="15.75" customHeight="1">
      <c r="A60" s="342"/>
      <c r="B60" s="342" t="s">
        <v>433</v>
      </c>
      <c r="C60" s="346" t="s">
        <v>797</v>
      </c>
      <c r="D60" s="346"/>
      <c r="E60" s="347">
        <v>155</v>
      </c>
      <c r="F60" s="342" t="s">
        <v>798</v>
      </c>
      <c r="G60" s="348">
        <v>1875</v>
      </c>
      <c r="H60" s="617"/>
      <c r="I60" s="349">
        <v>1</v>
      </c>
      <c r="J60" s="348" t="s">
        <v>501</v>
      </c>
    </row>
    <row r="61" spans="1:10" ht="15.75" customHeight="1">
      <c r="A61" s="342"/>
      <c r="B61" s="342" t="s">
        <v>436</v>
      </c>
      <c r="C61" s="346" t="s">
        <v>799</v>
      </c>
      <c r="D61" s="346"/>
      <c r="E61" s="347">
        <v>155</v>
      </c>
      <c r="F61" s="342" t="s">
        <v>800</v>
      </c>
      <c r="G61" s="348">
        <v>2533</v>
      </c>
      <c r="H61" s="617"/>
      <c r="I61" s="349">
        <v>1</v>
      </c>
      <c r="J61" s="348" t="s">
        <v>501</v>
      </c>
    </row>
    <row r="62" spans="1:10" ht="15.75" customHeight="1">
      <c r="A62" s="342"/>
      <c r="B62" s="342" t="s">
        <v>439</v>
      </c>
      <c r="C62" s="346" t="s">
        <v>801</v>
      </c>
      <c r="D62" s="346"/>
      <c r="E62" s="347">
        <v>155</v>
      </c>
      <c r="F62" s="342" t="s">
        <v>802</v>
      </c>
      <c r="G62" s="348">
        <v>3711</v>
      </c>
      <c r="H62" s="617"/>
      <c r="I62" s="349">
        <v>1</v>
      </c>
      <c r="J62" s="348" t="s">
        <v>501</v>
      </c>
    </row>
    <row r="63" spans="1:10" ht="15.75" customHeight="1">
      <c r="A63" s="342"/>
      <c r="B63" s="342" t="s">
        <v>442</v>
      </c>
      <c r="C63" s="346" t="s">
        <v>803</v>
      </c>
      <c r="D63" s="346"/>
      <c r="E63" s="347">
        <v>155</v>
      </c>
      <c r="F63" s="342" t="s">
        <v>804</v>
      </c>
      <c r="G63" s="348">
        <v>5730</v>
      </c>
      <c r="H63" s="617"/>
      <c r="I63" s="349">
        <v>1</v>
      </c>
      <c r="J63" s="348" t="s">
        <v>501</v>
      </c>
    </row>
    <row r="64" spans="1:10" ht="15.75" customHeight="1">
      <c r="A64" s="342"/>
      <c r="B64" s="342" t="s">
        <v>445</v>
      </c>
      <c r="C64" s="346" t="s">
        <v>805</v>
      </c>
      <c r="D64" s="346"/>
      <c r="E64" s="347">
        <v>155</v>
      </c>
      <c r="F64" s="342" t="s">
        <v>806</v>
      </c>
      <c r="G64" s="348">
        <v>8494</v>
      </c>
      <c r="H64" s="617"/>
      <c r="I64" s="349">
        <v>1</v>
      </c>
      <c r="J64" s="348" t="s">
        <v>501</v>
      </c>
    </row>
    <row r="65" spans="1:10" ht="15.75" customHeight="1">
      <c r="A65" s="342"/>
      <c r="B65" s="342"/>
      <c r="C65" s="346"/>
      <c r="D65" s="346"/>
      <c r="E65" s="347"/>
      <c r="F65" s="342"/>
      <c r="G65" s="348"/>
      <c r="H65" s="348"/>
      <c r="I65" s="349"/>
      <c r="J65" s="348"/>
    </row>
    <row r="66" spans="1:10" ht="25.35" customHeight="1">
      <c r="A66" s="342">
        <f>A56+1</f>
        <v>35</v>
      </c>
      <c r="B66" s="342"/>
      <c r="C66" s="540" t="s">
        <v>2532</v>
      </c>
      <c r="D66" s="540"/>
      <c r="E66" s="346"/>
      <c r="F66" s="342"/>
      <c r="G66" s="343"/>
      <c r="H66" s="348"/>
      <c r="I66" s="349"/>
      <c r="J66" s="348"/>
    </row>
    <row r="67" spans="1:10" ht="15.75" customHeight="1">
      <c r="A67" s="342"/>
      <c r="B67" s="342" t="s">
        <v>294</v>
      </c>
      <c r="C67" s="346" t="s">
        <v>808</v>
      </c>
      <c r="D67" s="346"/>
      <c r="E67" s="347">
        <v>156</v>
      </c>
      <c r="F67" s="347" t="s">
        <v>809</v>
      </c>
      <c r="G67" s="348">
        <v>255</v>
      </c>
      <c r="H67" s="348"/>
      <c r="I67" s="349">
        <v>3</v>
      </c>
      <c r="J67" s="348" t="s">
        <v>197</v>
      </c>
    </row>
    <row r="68" spans="1:10" ht="15.75" customHeight="1">
      <c r="A68" s="342"/>
      <c r="B68" s="342" t="s">
        <v>297</v>
      </c>
      <c r="C68" s="346" t="s">
        <v>810</v>
      </c>
      <c r="D68" s="346"/>
      <c r="E68" s="347">
        <v>156</v>
      </c>
      <c r="F68" s="347" t="s">
        <v>811</v>
      </c>
      <c r="G68" s="348">
        <v>405</v>
      </c>
      <c r="H68" s="348"/>
      <c r="I68" s="349">
        <v>3</v>
      </c>
      <c r="J68" s="348" t="s">
        <v>197</v>
      </c>
    </row>
    <row r="69" spans="1:10" ht="15.75" customHeight="1">
      <c r="A69" s="342"/>
      <c r="B69" s="342" t="s">
        <v>430</v>
      </c>
      <c r="C69" s="346" t="s">
        <v>812</v>
      </c>
      <c r="D69" s="346"/>
      <c r="E69" s="347">
        <v>156</v>
      </c>
      <c r="F69" s="347" t="s">
        <v>813</v>
      </c>
      <c r="G69" s="348">
        <v>484</v>
      </c>
      <c r="H69" s="348"/>
      <c r="I69" s="349">
        <v>3</v>
      </c>
      <c r="J69" s="348" t="s">
        <v>197</v>
      </c>
    </row>
    <row r="70" spans="1:10" ht="15.75" customHeight="1">
      <c r="A70" s="342"/>
      <c r="B70" s="342" t="s">
        <v>433</v>
      </c>
      <c r="C70" s="346" t="s">
        <v>829</v>
      </c>
      <c r="D70" s="346"/>
      <c r="E70" s="347">
        <v>157</v>
      </c>
      <c r="F70" s="347" t="s">
        <v>815</v>
      </c>
      <c r="G70" s="348">
        <v>1153</v>
      </c>
      <c r="H70" s="348"/>
      <c r="I70" s="349">
        <v>3</v>
      </c>
      <c r="J70" s="348" t="s">
        <v>197</v>
      </c>
    </row>
    <row r="71" spans="1:10" ht="25.35" customHeight="1">
      <c r="A71" s="342">
        <f>A66+1</f>
        <v>36</v>
      </c>
      <c r="B71" s="342"/>
      <c r="C71" s="346" t="s">
        <v>816</v>
      </c>
      <c r="D71" s="346"/>
      <c r="E71" s="347">
        <v>158</v>
      </c>
      <c r="F71" s="342" t="s">
        <v>817</v>
      </c>
      <c r="G71" s="348">
        <v>6</v>
      </c>
      <c r="H71" s="348"/>
      <c r="I71" s="349">
        <v>1</v>
      </c>
      <c r="J71" s="348" t="s">
        <v>818</v>
      </c>
    </row>
    <row r="72" spans="1:10" ht="36.6" customHeight="1">
      <c r="A72" s="342">
        <f t="shared" ref="A72:A73" si="5">A71+1</f>
        <v>37</v>
      </c>
      <c r="B72" s="342"/>
      <c r="C72" s="346" t="s">
        <v>819</v>
      </c>
      <c r="D72" s="346"/>
      <c r="E72" s="347">
        <v>158</v>
      </c>
      <c r="F72" s="342" t="s">
        <v>820</v>
      </c>
      <c r="G72" s="348">
        <v>26</v>
      </c>
      <c r="H72" s="348"/>
      <c r="I72" s="349">
        <v>1</v>
      </c>
      <c r="J72" s="348" t="s">
        <v>501</v>
      </c>
    </row>
    <row r="73" spans="1:10" ht="36.6" customHeight="1">
      <c r="A73" s="342">
        <f t="shared" si="5"/>
        <v>38</v>
      </c>
      <c r="B73" s="342"/>
      <c r="C73" s="346" t="s">
        <v>821</v>
      </c>
      <c r="D73" s="346"/>
      <c r="E73" s="347"/>
      <c r="F73" s="342"/>
      <c r="G73" s="343"/>
      <c r="H73" s="348"/>
      <c r="I73" s="349"/>
      <c r="J73" s="343"/>
    </row>
    <row r="74" spans="1:10" ht="15.75" customHeight="1">
      <c r="A74" s="342"/>
      <c r="B74" s="342" t="s">
        <v>294</v>
      </c>
      <c r="C74" s="346" t="s">
        <v>822</v>
      </c>
      <c r="D74" s="346"/>
      <c r="E74" s="347">
        <v>158</v>
      </c>
      <c r="F74" s="342" t="s">
        <v>823</v>
      </c>
      <c r="G74" s="348">
        <v>1455</v>
      </c>
      <c r="H74" s="348"/>
      <c r="I74" s="349">
        <v>1</v>
      </c>
      <c r="J74" s="348" t="s">
        <v>501</v>
      </c>
    </row>
    <row r="75" spans="1:10" ht="15.75" customHeight="1">
      <c r="A75" s="342"/>
      <c r="B75" s="342" t="s">
        <v>297</v>
      </c>
      <c r="C75" s="346" t="s">
        <v>824</v>
      </c>
      <c r="D75" s="346"/>
      <c r="E75" s="347">
        <v>158</v>
      </c>
      <c r="F75" s="347" t="s">
        <v>825</v>
      </c>
      <c r="G75" s="348">
        <v>823</v>
      </c>
      <c r="H75" s="348"/>
      <c r="I75" s="349">
        <v>1</v>
      </c>
      <c r="J75" s="348" t="s">
        <v>501</v>
      </c>
    </row>
    <row r="76" spans="1:10" ht="15.75" customHeight="1">
      <c r="A76" s="342">
        <f>A73+1</f>
        <v>39</v>
      </c>
      <c r="B76" s="342"/>
      <c r="C76" s="540" t="s">
        <v>826</v>
      </c>
      <c r="D76" s="540"/>
      <c r="E76" s="347"/>
      <c r="F76" s="342"/>
      <c r="G76" s="348"/>
      <c r="H76" s="348"/>
      <c r="I76" s="349"/>
      <c r="J76" s="348"/>
    </row>
    <row r="77" spans="1:10" ht="15.75" customHeight="1">
      <c r="A77" s="342"/>
      <c r="B77" s="342" t="s">
        <v>294</v>
      </c>
      <c r="C77" s="346" t="s">
        <v>808</v>
      </c>
      <c r="D77" s="346"/>
      <c r="E77" s="347">
        <v>160</v>
      </c>
      <c r="F77" s="342" t="s">
        <v>827</v>
      </c>
      <c r="G77" s="348">
        <v>15</v>
      </c>
      <c r="H77" s="348"/>
      <c r="I77" s="349">
        <v>1</v>
      </c>
      <c r="J77" s="348" t="s">
        <v>501</v>
      </c>
    </row>
    <row r="78" spans="1:10" ht="15.75" customHeight="1">
      <c r="A78" s="342"/>
      <c r="B78" s="342" t="s">
        <v>297</v>
      </c>
      <c r="C78" s="346" t="s">
        <v>810</v>
      </c>
      <c r="D78" s="346"/>
      <c r="E78" s="347">
        <v>160</v>
      </c>
      <c r="F78" s="342" t="s">
        <v>828</v>
      </c>
      <c r="G78" s="348">
        <v>17</v>
      </c>
      <c r="H78" s="348"/>
      <c r="I78" s="349">
        <v>1</v>
      </c>
      <c r="J78" s="348" t="s">
        <v>501</v>
      </c>
    </row>
    <row r="79" spans="1:10" ht="15.75" customHeight="1">
      <c r="A79" s="342"/>
      <c r="B79" s="342" t="s">
        <v>430</v>
      </c>
      <c r="C79" s="346" t="s">
        <v>812</v>
      </c>
      <c r="D79" s="346"/>
      <c r="E79" s="347">
        <v>160</v>
      </c>
      <c r="F79" s="342" t="s">
        <v>500</v>
      </c>
      <c r="G79" s="348">
        <v>18</v>
      </c>
      <c r="H79" s="348"/>
      <c r="I79" s="349">
        <v>1</v>
      </c>
      <c r="J79" s="348" t="s">
        <v>501</v>
      </c>
    </row>
    <row r="80" spans="1:10" ht="15.75" customHeight="1">
      <c r="A80" s="342"/>
      <c r="B80" s="342" t="s">
        <v>433</v>
      </c>
      <c r="C80" s="346" t="s">
        <v>829</v>
      </c>
      <c r="D80" s="346"/>
      <c r="E80" s="347">
        <v>160</v>
      </c>
      <c r="F80" s="342" t="s">
        <v>503</v>
      </c>
      <c r="G80" s="348">
        <v>35</v>
      </c>
      <c r="H80" s="348"/>
      <c r="I80" s="349">
        <v>1</v>
      </c>
      <c r="J80" s="348" t="s">
        <v>501</v>
      </c>
    </row>
    <row r="81" spans="1:10" ht="15.75" customHeight="1">
      <c r="A81" s="342">
        <f>A76+1</f>
        <v>40</v>
      </c>
      <c r="B81" s="342"/>
      <c r="C81" s="346" t="s">
        <v>2533</v>
      </c>
      <c r="D81" s="346"/>
      <c r="E81" s="347">
        <v>160</v>
      </c>
      <c r="F81" s="342" t="s">
        <v>831</v>
      </c>
      <c r="G81" s="348">
        <v>102</v>
      </c>
      <c r="H81" s="348"/>
      <c r="I81" s="349">
        <v>1</v>
      </c>
      <c r="J81" s="348" t="s">
        <v>501</v>
      </c>
    </row>
    <row r="82" spans="1:10" ht="15.75" customHeight="1">
      <c r="A82" s="342">
        <f t="shared" ref="A82:A83" si="6">A81+1</f>
        <v>41</v>
      </c>
      <c r="B82" s="342"/>
      <c r="C82" s="346" t="s">
        <v>832</v>
      </c>
      <c r="D82" s="346"/>
      <c r="E82" s="347">
        <v>160</v>
      </c>
      <c r="F82" s="342" t="s">
        <v>833</v>
      </c>
      <c r="G82" s="348">
        <v>144</v>
      </c>
      <c r="H82" s="348"/>
      <c r="I82" s="349">
        <v>1</v>
      </c>
      <c r="J82" s="348" t="s">
        <v>501</v>
      </c>
    </row>
    <row r="83" spans="1:10" ht="25.35" customHeight="1">
      <c r="A83" s="342">
        <f t="shared" si="6"/>
        <v>42</v>
      </c>
      <c r="B83" s="342"/>
      <c r="C83" s="346" t="s">
        <v>834</v>
      </c>
      <c r="D83" s="346"/>
      <c r="E83" s="347">
        <v>161</v>
      </c>
      <c r="F83" s="342" t="s">
        <v>835</v>
      </c>
      <c r="H83" s="348">
        <v>71</v>
      </c>
      <c r="I83" s="349">
        <v>1</v>
      </c>
      <c r="J83" s="348" t="s">
        <v>501</v>
      </c>
    </row>
    <row r="84" spans="1:10" ht="15.75" customHeight="1">
      <c r="A84" s="342"/>
      <c r="B84" s="342"/>
      <c r="C84" s="346"/>
      <c r="D84" s="346"/>
      <c r="E84" s="347"/>
      <c r="F84" s="342"/>
      <c r="G84" s="348"/>
      <c r="H84" s="348"/>
      <c r="I84" s="349"/>
      <c r="J84" s="348"/>
    </row>
    <row r="85" spans="1:10" ht="25.35" customHeight="1">
      <c r="A85" s="342">
        <f>A83+1</f>
        <v>43</v>
      </c>
      <c r="B85" s="342"/>
      <c r="C85" s="346" t="s">
        <v>836</v>
      </c>
      <c r="D85" s="346"/>
      <c r="E85" s="347">
        <v>162</v>
      </c>
      <c r="F85" s="342" t="s">
        <v>837</v>
      </c>
      <c r="G85" s="343"/>
      <c r="H85" s="348">
        <v>31</v>
      </c>
      <c r="I85" s="349">
        <v>1</v>
      </c>
      <c r="J85" s="348" t="s">
        <v>197</v>
      </c>
    </row>
    <row r="86" spans="1:10" ht="15.75" customHeight="1">
      <c r="A86" s="342">
        <f t="shared" ref="A86:A93" si="7">A85+1</f>
        <v>44</v>
      </c>
      <c r="B86" s="342"/>
      <c r="C86" s="346" t="s">
        <v>838</v>
      </c>
      <c r="D86" s="346"/>
      <c r="E86" s="347">
        <v>165</v>
      </c>
      <c r="F86" s="342" t="s">
        <v>839</v>
      </c>
      <c r="G86" s="343"/>
      <c r="H86" s="348">
        <v>48</v>
      </c>
      <c r="I86" s="349">
        <v>1</v>
      </c>
      <c r="J86" s="348" t="s">
        <v>197</v>
      </c>
    </row>
    <row r="87" spans="1:10" ht="25.35" customHeight="1">
      <c r="A87" s="342">
        <f t="shared" si="7"/>
        <v>45</v>
      </c>
      <c r="B87" s="342"/>
      <c r="C87" s="346" t="s">
        <v>840</v>
      </c>
      <c r="D87" s="346"/>
      <c r="E87" s="521">
        <v>165</v>
      </c>
      <c r="F87" s="507" t="s">
        <v>841</v>
      </c>
      <c r="G87" s="343"/>
      <c r="H87" s="539">
        <v>73</v>
      </c>
      <c r="I87" s="548">
        <v>1</v>
      </c>
      <c r="J87" s="364" t="s">
        <v>39</v>
      </c>
    </row>
    <row r="88" spans="1:10" ht="15.75" customHeight="1">
      <c r="A88" s="342">
        <f t="shared" si="7"/>
        <v>46</v>
      </c>
      <c r="B88" s="342"/>
      <c r="C88" s="346" t="s">
        <v>842</v>
      </c>
      <c r="D88" s="346"/>
      <c r="E88" s="347">
        <v>165</v>
      </c>
      <c r="F88" s="342" t="s">
        <v>843</v>
      </c>
      <c r="G88" s="348">
        <v>42</v>
      </c>
      <c r="H88" s="348"/>
      <c r="I88" s="349">
        <v>1</v>
      </c>
      <c r="J88" s="348" t="s">
        <v>501</v>
      </c>
    </row>
    <row r="89" spans="1:10" ht="25.35" customHeight="1">
      <c r="A89" s="342">
        <f t="shared" si="7"/>
        <v>47</v>
      </c>
      <c r="B89" s="342"/>
      <c r="C89" s="346" t="s">
        <v>844</v>
      </c>
      <c r="D89" s="346"/>
      <c r="E89" s="347">
        <v>165</v>
      </c>
      <c r="F89" s="342" t="s">
        <v>845</v>
      </c>
      <c r="G89" s="348">
        <v>164</v>
      </c>
      <c r="H89" s="348"/>
      <c r="I89" s="349">
        <v>1</v>
      </c>
      <c r="J89" s="348" t="s">
        <v>501</v>
      </c>
    </row>
    <row r="90" spans="1:10" ht="15.75" customHeight="1">
      <c r="A90" s="342">
        <f t="shared" si="7"/>
        <v>48</v>
      </c>
      <c r="B90" s="342"/>
      <c r="C90" s="346" t="s">
        <v>846</v>
      </c>
      <c r="D90" s="346"/>
      <c r="E90" s="618">
        <v>165</v>
      </c>
      <c r="F90" s="342" t="s">
        <v>847</v>
      </c>
      <c r="G90" s="348">
        <v>26</v>
      </c>
      <c r="H90" s="348"/>
      <c r="I90" s="349">
        <v>1</v>
      </c>
      <c r="J90" s="348" t="s">
        <v>501</v>
      </c>
    </row>
    <row r="91" spans="1:10" ht="25.35" customHeight="1">
      <c r="A91" s="342">
        <f t="shared" si="7"/>
        <v>49</v>
      </c>
      <c r="B91" s="342"/>
      <c r="C91" s="346" t="s">
        <v>848</v>
      </c>
      <c r="D91" s="346"/>
      <c r="E91" s="347">
        <v>165</v>
      </c>
      <c r="F91" s="507" t="s">
        <v>849</v>
      </c>
      <c r="G91" s="348">
        <v>102</v>
      </c>
      <c r="H91" s="348"/>
      <c r="I91" s="349">
        <v>1</v>
      </c>
      <c r="J91" s="348" t="s">
        <v>501</v>
      </c>
    </row>
    <row r="92" spans="1:10" ht="25.35" customHeight="1">
      <c r="A92" s="342">
        <f t="shared" si="7"/>
        <v>50</v>
      </c>
      <c r="B92" s="342"/>
      <c r="C92" s="346" t="s">
        <v>850</v>
      </c>
      <c r="D92" s="346"/>
      <c r="E92" s="347">
        <v>165</v>
      </c>
      <c r="F92" s="507" t="s">
        <v>851</v>
      </c>
      <c r="G92" s="348">
        <v>513</v>
      </c>
      <c r="H92" s="348"/>
      <c r="I92" s="349">
        <v>1</v>
      </c>
      <c r="J92" s="348" t="s">
        <v>501</v>
      </c>
    </row>
    <row r="93" spans="1:10" ht="15.75" customHeight="1">
      <c r="A93" s="342">
        <f t="shared" si="7"/>
        <v>51</v>
      </c>
      <c r="B93" s="342"/>
      <c r="C93" s="540" t="s">
        <v>852</v>
      </c>
      <c r="D93" s="540"/>
      <c r="E93" s="347"/>
      <c r="F93" s="342"/>
      <c r="G93" s="363"/>
      <c r="H93" s="348"/>
      <c r="I93" s="349"/>
      <c r="J93" s="364"/>
    </row>
    <row r="94" spans="1:10" ht="15.75" customHeight="1">
      <c r="A94" s="342"/>
      <c r="B94" s="342"/>
      <c r="C94" s="346" t="s">
        <v>853</v>
      </c>
      <c r="D94" s="346"/>
      <c r="E94" s="347">
        <v>167</v>
      </c>
      <c r="F94" s="342" t="s">
        <v>854</v>
      </c>
      <c r="G94" s="363">
        <v>141</v>
      </c>
      <c r="H94" s="348"/>
      <c r="I94" s="349">
        <v>1</v>
      </c>
      <c r="J94" s="364" t="s">
        <v>197</v>
      </c>
    </row>
    <row r="95" spans="1:10" ht="15.75" customHeight="1">
      <c r="A95" s="342"/>
      <c r="B95" s="342"/>
      <c r="C95" s="346" t="s">
        <v>855</v>
      </c>
      <c r="D95" s="346"/>
      <c r="E95" s="347"/>
      <c r="F95" s="342" t="s">
        <v>856</v>
      </c>
      <c r="G95" s="363">
        <v>160</v>
      </c>
      <c r="H95" s="348"/>
      <c r="I95" s="349">
        <v>1</v>
      </c>
      <c r="J95" s="364" t="s">
        <v>197</v>
      </c>
    </row>
    <row r="96" spans="1:10" ht="15.75" customHeight="1">
      <c r="A96" s="342"/>
      <c r="B96" s="342"/>
      <c r="C96" s="346" t="s">
        <v>857</v>
      </c>
      <c r="D96" s="346"/>
      <c r="E96" s="347"/>
      <c r="F96" s="342" t="s">
        <v>858</v>
      </c>
      <c r="G96" s="363">
        <v>212</v>
      </c>
      <c r="H96" s="348"/>
      <c r="I96" s="349">
        <v>1</v>
      </c>
      <c r="J96" s="364" t="s">
        <v>197</v>
      </c>
    </row>
    <row r="97" spans="1:10" ht="15.75" customHeight="1">
      <c r="A97" s="342"/>
      <c r="B97" s="342"/>
      <c r="C97" s="346" t="s">
        <v>859</v>
      </c>
      <c r="D97" s="346"/>
      <c r="E97" s="347"/>
      <c r="F97" s="342" t="s">
        <v>860</v>
      </c>
      <c r="G97" s="363">
        <v>289</v>
      </c>
      <c r="H97" s="348"/>
      <c r="I97" s="349">
        <v>1</v>
      </c>
      <c r="J97" s="364" t="s">
        <v>197</v>
      </c>
    </row>
    <row r="98" spans="1:10" ht="15.75" customHeight="1">
      <c r="A98" s="342"/>
      <c r="B98" s="342"/>
      <c r="C98" s="346" t="s">
        <v>861</v>
      </c>
      <c r="D98" s="346"/>
      <c r="E98" s="347"/>
      <c r="F98" s="342" t="s">
        <v>862</v>
      </c>
      <c r="G98" s="363">
        <v>360</v>
      </c>
      <c r="H98" s="348"/>
      <c r="I98" s="349">
        <v>1</v>
      </c>
      <c r="J98" s="364" t="s">
        <v>197</v>
      </c>
    </row>
    <row r="99" spans="1:10" ht="15.75" customHeight="1">
      <c r="A99" s="342"/>
      <c r="B99" s="342"/>
      <c r="C99" s="346" t="s">
        <v>863</v>
      </c>
      <c r="D99" s="346"/>
      <c r="E99" s="347"/>
      <c r="F99" s="342" t="s">
        <v>864</v>
      </c>
      <c r="G99" s="363">
        <v>525</v>
      </c>
      <c r="H99" s="348"/>
      <c r="I99" s="349">
        <v>1</v>
      </c>
      <c r="J99" s="364" t="s">
        <v>197</v>
      </c>
    </row>
    <row r="100" spans="1:10" ht="15.75" customHeight="1">
      <c r="A100" s="342"/>
      <c r="B100" s="342"/>
      <c r="C100" s="346" t="s">
        <v>865</v>
      </c>
      <c r="D100" s="346"/>
      <c r="E100" s="347"/>
      <c r="F100" s="342" t="s">
        <v>866</v>
      </c>
      <c r="G100" s="363">
        <v>156</v>
      </c>
      <c r="H100" s="348"/>
      <c r="I100" s="349">
        <v>1</v>
      </c>
      <c r="J100" s="364" t="s">
        <v>197</v>
      </c>
    </row>
    <row r="101" spans="1:10" ht="15.75" customHeight="1">
      <c r="A101" s="342"/>
      <c r="B101" s="342"/>
      <c r="C101" s="346" t="s">
        <v>867</v>
      </c>
      <c r="D101" s="346"/>
      <c r="E101" s="347"/>
      <c r="F101" s="342" t="s">
        <v>868</v>
      </c>
      <c r="G101" s="363">
        <v>189</v>
      </c>
      <c r="H101" s="348"/>
      <c r="I101" s="349">
        <v>1</v>
      </c>
      <c r="J101" s="364" t="s">
        <v>197</v>
      </c>
    </row>
    <row r="102" spans="1:10" ht="15.75" customHeight="1">
      <c r="A102" s="342"/>
      <c r="B102" s="342"/>
      <c r="C102" s="346" t="s">
        <v>869</v>
      </c>
      <c r="D102" s="346"/>
      <c r="E102" s="347"/>
      <c r="F102" s="342" t="s">
        <v>870</v>
      </c>
      <c r="G102" s="363">
        <v>227</v>
      </c>
      <c r="H102" s="348"/>
      <c r="I102" s="349">
        <v>1</v>
      </c>
      <c r="J102" s="364" t="s">
        <v>197</v>
      </c>
    </row>
    <row r="103" spans="1:10" ht="15.75" customHeight="1">
      <c r="A103" s="342"/>
      <c r="B103" s="342"/>
      <c r="C103" s="346" t="s">
        <v>871</v>
      </c>
      <c r="D103" s="346"/>
      <c r="E103" s="347"/>
      <c r="F103" s="342" t="s">
        <v>872</v>
      </c>
      <c r="G103" s="363">
        <v>310</v>
      </c>
      <c r="H103" s="348"/>
      <c r="I103" s="349">
        <v>1</v>
      </c>
      <c r="J103" s="364" t="s">
        <v>197</v>
      </c>
    </row>
    <row r="104" spans="1:10" ht="15.75" customHeight="1">
      <c r="A104" s="342"/>
      <c r="B104" s="342"/>
      <c r="C104" s="346" t="s">
        <v>873</v>
      </c>
      <c r="D104" s="346"/>
      <c r="E104" s="347"/>
      <c r="F104" s="342" t="s">
        <v>874</v>
      </c>
      <c r="G104" s="363">
        <v>383</v>
      </c>
      <c r="H104" s="348"/>
      <c r="I104" s="349">
        <v>1</v>
      </c>
      <c r="J104" s="364" t="s">
        <v>197</v>
      </c>
    </row>
    <row r="105" spans="1:10" ht="15.75" customHeight="1">
      <c r="A105" s="342"/>
      <c r="B105" s="342"/>
      <c r="C105" s="346" t="s">
        <v>875</v>
      </c>
      <c r="D105" s="346"/>
      <c r="E105" s="347"/>
      <c r="F105" s="342" t="s">
        <v>876</v>
      </c>
      <c r="G105" s="363">
        <v>560</v>
      </c>
      <c r="H105" s="348"/>
      <c r="I105" s="349">
        <v>1</v>
      </c>
      <c r="J105" s="364" t="s">
        <v>197</v>
      </c>
    </row>
    <row r="106" spans="1:10" ht="15.75" customHeight="1">
      <c r="A106" s="342"/>
      <c r="B106" s="342"/>
      <c r="C106" s="346"/>
      <c r="D106" s="346"/>
      <c r="E106" s="347"/>
      <c r="F106" s="342"/>
      <c r="G106" s="363"/>
      <c r="H106" s="348"/>
      <c r="I106" s="349"/>
      <c r="J106" s="364"/>
    </row>
    <row r="107" spans="1:10" ht="15.75" customHeight="1">
      <c r="A107" s="342">
        <f>A93+1</f>
        <v>52</v>
      </c>
      <c r="B107" s="342"/>
      <c r="C107" s="346" t="s">
        <v>877</v>
      </c>
      <c r="D107" s="346"/>
      <c r="E107" s="347" t="s">
        <v>2534</v>
      </c>
      <c r="F107" s="342" t="s">
        <v>878</v>
      </c>
      <c r="G107" s="363">
        <f>999+4.5</f>
        <v>1003.5</v>
      </c>
      <c r="H107" s="348"/>
      <c r="I107" s="349">
        <v>1</v>
      </c>
      <c r="J107" s="364" t="s">
        <v>94</v>
      </c>
    </row>
    <row r="108" spans="1:10" ht="15.75" customHeight="1">
      <c r="A108" s="343"/>
      <c r="B108" s="343"/>
      <c r="C108" s="346"/>
      <c r="D108" s="346"/>
      <c r="E108" s="347"/>
      <c r="F108" s="342"/>
      <c r="G108" s="348"/>
      <c r="H108" s="348"/>
      <c r="I108" s="349"/>
      <c r="J108" s="348"/>
    </row>
    <row r="109" spans="1:10" ht="15.75" customHeight="1">
      <c r="A109" s="343"/>
      <c r="B109" s="343"/>
      <c r="C109" s="540" t="s">
        <v>879</v>
      </c>
      <c r="D109" s="540"/>
      <c r="E109" s="346"/>
      <c r="F109" s="343"/>
      <c r="G109" s="343"/>
      <c r="H109" s="348"/>
      <c r="I109" s="349"/>
      <c r="J109" s="348"/>
    </row>
    <row r="110" spans="1:10" ht="15.75" customHeight="1">
      <c r="A110" s="342">
        <v>1</v>
      </c>
      <c r="B110" s="343"/>
      <c r="C110" s="346" t="s">
        <v>880</v>
      </c>
      <c r="D110" s="346"/>
      <c r="E110" s="346"/>
      <c r="F110" s="343"/>
      <c r="G110" s="363">
        <v>100</v>
      </c>
      <c r="H110" s="348"/>
      <c r="I110" s="349">
        <v>1</v>
      </c>
      <c r="J110" s="364" t="s">
        <v>501</v>
      </c>
    </row>
  </sheetData>
  <sheetProtection selectLockedCells="1" selectUnlockedCells="1"/>
  <mergeCells count="3">
    <mergeCell ref="A1:J1"/>
    <mergeCell ref="A2:J2"/>
    <mergeCell ref="I3:J3"/>
  </mergeCells>
  <printOptions horizontalCentered="1"/>
  <pageMargins left="0.3" right="0.25972222222222224" top="0.75" bottom="0.75" header="0.3" footer="0.51180555555555551"/>
  <pageSetup scale="95" firstPageNumber="10" orientation="portrait" useFirstPageNumber="1" horizontalDpi="300" verticalDpi="300" r:id="rId1"/>
  <headerFooter alignWithMargins="0">
    <oddHeader>&amp;C&amp;"Times New Roman,Regular"&amp;11WS &amp;&amp; SA SoR 2015-16&amp;R&amp;"Times New Roman,Regular"&amp;11Page-&amp;P</oddHeader>
  </headerFooter>
  <rowBreaks count="1" manualBreakCount="1">
    <brk id="41" max="16383" man="1"/>
  </rowBreaks>
</worksheet>
</file>

<file path=xl/worksheets/sheet11.xml><?xml version="1.0" encoding="utf-8"?>
<worksheet xmlns="http://schemas.openxmlformats.org/spreadsheetml/2006/main" xmlns:r="http://schemas.openxmlformats.org/officeDocument/2006/relationships">
  <dimension ref="A1:BL52"/>
  <sheetViews>
    <sheetView view="pageBreakPreview" zoomScaleSheetLayoutView="100" workbookViewId="0">
      <selection activeCell="H14" sqref="H14"/>
    </sheetView>
  </sheetViews>
  <sheetFormatPr defaultColWidth="11" defaultRowHeight="15"/>
  <cols>
    <col min="1" max="1" width="11.28515625" style="328" customWidth="1"/>
    <col min="2" max="2" width="9.28515625" style="328" customWidth="1"/>
    <col min="3" max="3" width="8.28515625" style="328" customWidth="1"/>
    <col min="4" max="5" width="9.28515625" style="328" customWidth="1"/>
    <col min="6" max="6" width="8.28515625" style="328" customWidth="1"/>
    <col min="7" max="8" width="9.28515625" style="328" customWidth="1"/>
    <col min="9" max="9" width="9.85546875" style="328" customWidth="1"/>
    <col min="10" max="10" width="8.85546875" style="328" customWidth="1"/>
    <col min="11" max="12" width="9.28515625" style="328" customWidth="1"/>
    <col min="13" max="13" width="9.85546875" style="328" customWidth="1"/>
    <col min="14" max="14" width="8.85546875" style="328" customWidth="1"/>
    <col min="15" max="16" width="9.28515625" style="328" customWidth="1"/>
    <col min="17" max="17" width="9.85546875" style="328" customWidth="1"/>
    <col min="18" max="18" width="9.28515625" style="328" customWidth="1"/>
    <col min="19" max="19" width="10" style="328" customWidth="1"/>
    <col min="20" max="20" width="7.85546875" style="328" customWidth="1"/>
    <col min="21" max="21" width="10.28515625" style="328" customWidth="1"/>
    <col min="22" max="22" width="8.85546875" style="328" customWidth="1"/>
    <col min="23" max="64" width="8.5703125" style="2" customWidth="1"/>
    <col min="65" max="16384" width="11" style="328"/>
  </cols>
  <sheetData>
    <row r="1" spans="1:19" ht="30" customHeight="1">
      <c r="A1" s="2136" t="s">
        <v>2535</v>
      </c>
      <c r="B1" s="2136"/>
      <c r="C1" s="2136"/>
      <c r="D1" s="2136"/>
      <c r="E1" s="2136"/>
      <c r="F1" s="2136"/>
      <c r="G1" s="2136"/>
      <c r="H1" s="2136"/>
      <c r="I1" s="2136"/>
      <c r="J1" s="2136"/>
      <c r="K1" s="2136"/>
      <c r="L1" s="2136"/>
      <c r="M1" s="2136"/>
      <c r="N1" s="2136"/>
      <c r="O1" s="2136"/>
      <c r="P1" s="2136"/>
      <c r="Q1" s="2136"/>
      <c r="R1" s="2136"/>
      <c r="S1" s="2136"/>
    </row>
    <row r="2" spans="1:19" ht="15.75" customHeight="1">
      <c r="A2" s="2136" t="s">
        <v>2536</v>
      </c>
      <c r="B2" s="2136"/>
      <c r="C2" s="2136"/>
      <c r="D2" s="2136"/>
      <c r="E2" s="2136"/>
      <c r="F2" s="2136"/>
      <c r="G2" s="2136"/>
      <c r="H2" s="2136"/>
      <c r="I2" s="2136"/>
      <c r="J2" s="2136"/>
      <c r="K2" s="2136"/>
      <c r="L2" s="2136"/>
      <c r="M2" s="2136"/>
      <c r="N2" s="2136"/>
      <c r="O2" s="2136"/>
      <c r="P2" s="2136"/>
      <c r="Q2" s="2136"/>
      <c r="R2" s="2136"/>
      <c r="S2" s="2136"/>
    </row>
    <row r="3" spans="1:19" ht="30" customHeight="1">
      <c r="A3" s="2136" t="s">
        <v>2537</v>
      </c>
      <c r="B3" s="2137" t="s">
        <v>2538</v>
      </c>
      <c r="C3" s="2136" t="s">
        <v>2539</v>
      </c>
      <c r="D3" s="2136"/>
      <c r="E3" s="2136"/>
      <c r="F3" s="2136"/>
      <c r="G3" s="2136"/>
      <c r="H3" s="2136"/>
      <c r="I3" s="2136" t="s">
        <v>2540</v>
      </c>
      <c r="J3" s="2136" t="s">
        <v>2541</v>
      </c>
      <c r="K3" s="2136"/>
      <c r="L3" s="2136"/>
      <c r="M3" s="2136"/>
      <c r="N3" s="2136"/>
      <c r="O3" s="2136"/>
      <c r="P3" s="2138" t="s">
        <v>2542</v>
      </c>
      <c r="Q3" s="2138"/>
      <c r="R3" s="2138"/>
      <c r="S3" s="2136"/>
    </row>
    <row r="4" spans="1:19" ht="45.75" customHeight="1">
      <c r="A4" s="2136"/>
      <c r="B4" s="2136"/>
      <c r="C4" s="328" t="s">
        <v>2543</v>
      </c>
      <c r="D4" s="328" t="s">
        <v>2544</v>
      </c>
      <c r="E4" s="328" t="s">
        <v>2545</v>
      </c>
      <c r="F4" s="328" t="s">
        <v>2546</v>
      </c>
      <c r="G4" s="328" t="s">
        <v>2547</v>
      </c>
      <c r="H4" s="328" t="s">
        <v>946</v>
      </c>
      <c r="I4" s="2136"/>
      <c r="J4" s="328" t="s">
        <v>2446</v>
      </c>
      <c r="K4" s="328" t="s">
        <v>2445</v>
      </c>
      <c r="L4" s="328" t="s">
        <v>2548</v>
      </c>
      <c r="M4" s="619" t="s">
        <v>2549</v>
      </c>
      <c r="N4" s="328" t="s">
        <v>2550</v>
      </c>
      <c r="O4" s="328" t="s">
        <v>946</v>
      </c>
      <c r="P4" s="619" t="s">
        <v>2551</v>
      </c>
      <c r="Q4" s="619" t="s">
        <v>2552</v>
      </c>
      <c r="R4" s="328" t="s">
        <v>946</v>
      </c>
      <c r="S4" s="2136"/>
    </row>
    <row r="5" spans="1:19" ht="24.95" customHeight="1">
      <c r="A5" s="328" t="s">
        <v>457</v>
      </c>
      <c r="B5" s="328">
        <v>847</v>
      </c>
      <c r="D5" s="328" t="e">
        <f t="shared" ref="D5:D9" si="0">NA()</f>
        <v>#N/A</v>
      </c>
      <c r="E5" s="328" t="e">
        <f t="shared" ref="E5:E8" si="1">NA()</f>
        <v>#N/A</v>
      </c>
      <c r="F5" s="328" t="e">
        <f t="shared" ref="F5:F7" si="2">NA()</f>
        <v>#N/A</v>
      </c>
      <c r="G5" s="328" t="e">
        <f t="shared" ref="G5:G8" si="3">NA()</f>
        <v>#N/A</v>
      </c>
      <c r="H5" s="328" t="e">
        <f t="shared" ref="H5:H10" si="4">SUM(C5:G5)</f>
        <v>#N/A</v>
      </c>
      <c r="I5" s="328" t="e">
        <f t="shared" ref="I5:I9" si="5">NA()</f>
        <v>#N/A</v>
      </c>
      <c r="J5" s="328" t="e">
        <f t="shared" ref="J5:J8" si="6">NA()</f>
        <v>#N/A</v>
      </c>
      <c r="K5" s="328" t="e">
        <f t="shared" ref="K5:K8" si="7">NA()</f>
        <v>#N/A</v>
      </c>
      <c r="L5" s="328" t="e">
        <f t="shared" ref="L5:L8" si="8">NA()</f>
        <v>#N/A</v>
      </c>
      <c r="M5" s="328" t="e">
        <f t="shared" ref="M5:M8" si="9">NA()</f>
        <v>#N/A</v>
      </c>
      <c r="O5" s="328" t="e">
        <f t="shared" ref="O5:O9" si="10">SUM(J5:N5)</f>
        <v>#N/A</v>
      </c>
      <c r="R5" s="328">
        <f t="shared" ref="R5:R9" si="11">SUM(P5:Q5)</f>
        <v>0</v>
      </c>
    </row>
    <row r="6" spans="1:19" ht="24.95" customHeight="1">
      <c r="A6" s="328" t="s">
        <v>458</v>
      </c>
      <c r="B6" s="328">
        <v>847</v>
      </c>
      <c r="D6" s="328" t="e">
        <f t="shared" si="0"/>
        <v>#N/A</v>
      </c>
      <c r="E6" s="328" t="e">
        <f t="shared" si="1"/>
        <v>#N/A</v>
      </c>
      <c r="F6" s="328" t="e">
        <f t="shared" si="2"/>
        <v>#N/A</v>
      </c>
      <c r="G6" s="328" t="e">
        <f t="shared" si="3"/>
        <v>#N/A</v>
      </c>
      <c r="H6" s="328" t="e">
        <f t="shared" si="4"/>
        <v>#N/A</v>
      </c>
      <c r="I6" s="328" t="e">
        <f t="shared" si="5"/>
        <v>#N/A</v>
      </c>
      <c r="J6" s="328" t="e">
        <f t="shared" si="6"/>
        <v>#N/A</v>
      </c>
      <c r="K6" s="328" t="e">
        <f t="shared" si="7"/>
        <v>#N/A</v>
      </c>
      <c r="L6" s="328" t="e">
        <f t="shared" si="8"/>
        <v>#N/A</v>
      </c>
      <c r="M6" s="328" t="e">
        <f t="shared" si="9"/>
        <v>#N/A</v>
      </c>
      <c r="O6" s="328" t="e">
        <f t="shared" si="10"/>
        <v>#N/A</v>
      </c>
      <c r="P6" s="328" t="e">
        <f>NA()</f>
        <v>#N/A</v>
      </c>
      <c r="Q6" s="328" t="e">
        <f t="shared" ref="Q6:Q9" si="12">NA()</f>
        <v>#N/A</v>
      </c>
      <c r="R6" s="328" t="e">
        <f t="shared" si="11"/>
        <v>#N/A</v>
      </c>
    </row>
    <row r="7" spans="1:19" ht="24.95" customHeight="1">
      <c r="A7" s="328" t="s">
        <v>2553</v>
      </c>
      <c r="B7" s="328">
        <v>847</v>
      </c>
      <c r="D7" s="328" t="e">
        <f t="shared" si="0"/>
        <v>#N/A</v>
      </c>
      <c r="E7" s="328" t="e">
        <f t="shared" si="1"/>
        <v>#N/A</v>
      </c>
      <c r="F7" s="328" t="e">
        <f t="shared" si="2"/>
        <v>#N/A</v>
      </c>
      <c r="G7" s="328" t="e">
        <f t="shared" si="3"/>
        <v>#N/A</v>
      </c>
      <c r="H7" s="328" t="e">
        <f t="shared" si="4"/>
        <v>#N/A</v>
      </c>
      <c r="I7" s="328" t="e">
        <f t="shared" si="5"/>
        <v>#N/A</v>
      </c>
      <c r="J7" s="328" t="e">
        <f t="shared" si="6"/>
        <v>#N/A</v>
      </c>
      <c r="K7" s="328" t="e">
        <f t="shared" si="7"/>
        <v>#N/A</v>
      </c>
      <c r="L7" s="328" t="e">
        <f t="shared" si="8"/>
        <v>#N/A</v>
      </c>
      <c r="M7" s="328" t="e">
        <f t="shared" si="9"/>
        <v>#N/A</v>
      </c>
      <c r="O7" s="328" t="e">
        <f t="shared" si="10"/>
        <v>#N/A</v>
      </c>
      <c r="Q7" s="328" t="e">
        <f t="shared" si="12"/>
        <v>#N/A</v>
      </c>
      <c r="R7" s="328" t="e">
        <f t="shared" si="11"/>
        <v>#N/A</v>
      </c>
    </row>
    <row r="8" spans="1:19" ht="31.5" customHeight="1">
      <c r="A8" s="328" t="s">
        <v>460</v>
      </c>
      <c r="B8" s="328">
        <v>928</v>
      </c>
      <c r="D8" s="328" t="e">
        <f t="shared" si="0"/>
        <v>#N/A</v>
      </c>
      <c r="E8" s="328" t="e">
        <f t="shared" si="1"/>
        <v>#N/A</v>
      </c>
      <c r="G8" s="328" t="e">
        <f t="shared" si="3"/>
        <v>#N/A</v>
      </c>
      <c r="H8" s="328" t="e">
        <f t="shared" si="4"/>
        <v>#N/A</v>
      </c>
      <c r="I8" s="328" t="e">
        <f t="shared" si="5"/>
        <v>#N/A</v>
      </c>
      <c r="J8" s="328" t="e">
        <f t="shared" si="6"/>
        <v>#N/A</v>
      </c>
      <c r="K8" s="328" t="e">
        <f t="shared" si="7"/>
        <v>#N/A</v>
      </c>
      <c r="L8" s="328" t="e">
        <f t="shared" si="8"/>
        <v>#N/A</v>
      </c>
      <c r="M8" s="328" t="e">
        <f t="shared" si="9"/>
        <v>#N/A</v>
      </c>
      <c r="O8" s="328" t="e">
        <f t="shared" si="10"/>
        <v>#N/A</v>
      </c>
      <c r="Q8" s="328" t="e">
        <f t="shared" si="12"/>
        <v>#N/A</v>
      </c>
      <c r="R8" s="328" t="e">
        <f t="shared" si="11"/>
        <v>#N/A</v>
      </c>
    </row>
    <row r="9" spans="1:19" ht="24.95" customHeight="1">
      <c r="A9" s="328" t="s">
        <v>461</v>
      </c>
      <c r="D9" s="328" t="e">
        <f t="shared" si="0"/>
        <v>#N/A</v>
      </c>
      <c r="H9" s="328" t="e">
        <f t="shared" si="4"/>
        <v>#N/A</v>
      </c>
      <c r="I9" s="328" t="e">
        <f t="shared" si="5"/>
        <v>#N/A</v>
      </c>
      <c r="O9" s="328">
        <f t="shared" si="10"/>
        <v>0</v>
      </c>
      <c r="P9" s="328" t="e">
        <f>NA()</f>
        <v>#N/A</v>
      </c>
      <c r="Q9" s="328" t="e">
        <f t="shared" si="12"/>
        <v>#N/A</v>
      </c>
      <c r="R9" s="328" t="e">
        <f t="shared" si="11"/>
        <v>#N/A</v>
      </c>
    </row>
    <row r="10" spans="1:19" ht="24.95" customHeight="1">
      <c r="H10" s="328">
        <f t="shared" si="4"/>
        <v>0</v>
      </c>
    </row>
    <row r="11" spans="1:19" ht="15.75" customHeight="1">
      <c r="A11" s="328" t="s">
        <v>946</v>
      </c>
      <c r="B11" s="328">
        <f t="shared" ref="B11:G11" si="13">SUM(B5:B9)</f>
        <v>3469</v>
      </c>
      <c r="C11" s="328">
        <f t="shared" si="13"/>
        <v>0</v>
      </c>
      <c r="D11" s="328" t="e">
        <f t="shared" si="13"/>
        <v>#N/A</v>
      </c>
      <c r="E11" s="328" t="e">
        <f t="shared" si="13"/>
        <v>#N/A</v>
      </c>
      <c r="F11" s="328" t="e">
        <f t="shared" si="13"/>
        <v>#N/A</v>
      </c>
      <c r="G11" s="328" t="e">
        <f t="shared" si="13"/>
        <v>#N/A</v>
      </c>
      <c r="H11" s="328" t="e">
        <f>SUM(H5:H10)</f>
        <v>#N/A</v>
      </c>
      <c r="I11" s="328" t="e">
        <f t="shared" ref="I11:S11" si="14">SUM(I5:I9)</f>
        <v>#N/A</v>
      </c>
      <c r="J11" s="328" t="e">
        <f t="shared" si="14"/>
        <v>#N/A</v>
      </c>
      <c r="K11" s="328" t="e">
        <f t="shared" si="14"/>
        <v>#N/A</v>
      </c>
      <c r="L11" s="328" t="e">
        <f t="shared" si="14"/>
        <v>#N/A</v>
      </c>
      <c r="M11" s="328" t="e">
        <f t="shared" si="14"/>
        <v>#N/A</v>
      </c>
      <c r="N11" s="328">
        <f t="shared" si="14"/>
        <v>0</v>
      </c>
      <c r="O11" s="328" t="e">
        <f t="shared" si="14"/>
        <v>#N/A</v>
      </c>
      <c r="P11" s="328" t="e">
        <f t="shared" si="14"/>
        <v>#N/A</v>
      </c>
      <c r="Q11" s="328" t="e">
        <f t="shared" si="14"/>
        <v>#N/A</v>
      </c>
      <c r="R11" s="328" t="e">
        <f t="shared" si="14"/>
        <v>#N/A</v>
      </c>
      <c r="S11" s="328">
        <f t="shared" si="14"/>
        <v>0</v>
      </c>
    </row>
    <row r="12" spans="1:19" ht="15.75" customHeight="1">
      <c r="H12" s="328" t="e">
        <f>IF(H11&lt;1*B11,"Check",IF(H11&gt;1.1*B11,"check","ok"))</f>
        <v>#N/A</v>
      </c>
      <c r="I12" s="328" t="e">
        <f>IF(I11&lt;0.9*B11,"Check",IF(I11&gt;1.1*B11,"check","ok"))</f>
        <v>#N/A</v>
      </c>
      <c r="O12" s="328" t="e">
        <f>IF(O11&lt;0.9*B11,"Check",IF(O11&gt;1.1*B11,"check","ok"))</f>
        <v>#N/A</v>
      </c>
      <c r="S12" s="328">
        <f>S11*1000</f>
        <v>0</v>
      </c>
    </row>
    <row r="14" spans="1:19" ht="17.100000000000001" customHeight="1"/>
    <row r="15" spans="1:19" ht="17.100000000000001" customHeight="1"/>
    <row r="16" spans="1:19" ht="24.75" customHeight="1">
      <c r="A16" s="2136" t="s">
        <v>2537</v>
      </c>
      <c r="B16" s="2137" t="s">
        <v>2554</v>
      </c>
      <c r="C16" s="2136" t="s">
        <v>2555</v>
      </c>
      <c r="D16" s="2136"/>
      <c r="E16" s="2136"/>
      <c r="F16" s="2136"/>
      <c r="G16" s="2138" t="s">
        <v>2556</v>
      </c>
      <c r="H16" s="2138"/>
      <c r="I16" s="2138"/>
      <c r="J16" s="2138" t="s">
        <v>2557</v>
      </c>
      <c r="K16" s="2138"/>
      <c r="L16" s="2138"/>
      <c r="M16" s="2136" t="s">
        <v>2558</v>
      </c>
      <c r="N16" s="2136"/>
      <c r="O16" s="2136"/>
      <c r="P16" s="2136"/>
      <c r="Q16" s="2136"/>
      <c r="R16" s="2136"/>
      <c r="S16" s="2136"/>
    </row>
    <row r="17" spans="1:22" ht="39" customHeight="1">
      <c r="A17" s="2136"/>
      <c r="B17" s="2136"/>
      <c r="C17" s="2136" t="s">
        <v>2559</v>
      </c>
      <c r="D17" s="2136"/>
      <c r="E17" s="328" t="s">
        <v>2560</v>
      </c>
      <c r="F17" s="328" t="s">
        <v>946</v>
      </c>
      <c r="G17" s="328" t="s">
        <v>2561</v>
      </c>
      <c r="H17" s="328" t="s">
        <v>2562</v>
      </c>
      <c r="I17" s="328" t="s">
        <v>946</v>
      </c>
      <c r="J17" s="328" t="s">
        <v>2563</v>
      </c>
      <c r="K17" s="328" t="s">
        <v>2564</v>
      </c>
      <c r="L17" s="328" t="s">
        <v>946</v>
      </c>
      <c r="M17" s="328" t="s">
        <v>2565</v>
      </c>
      <c r="N17" s="2136" t="s">
        <v>2566</v>
      </c>
      <c r="O17" s="2136"/>
      <c r="P17" s="328" t="s">
        <v>2567</v>
      </c>
      <c r="Q17" s="328" t="s">
        <v>2568</v>
      </c>
      <c r="R17" s="328" t="s">
        <v>2569</v>
      </c>
      <c r="S17" s="328" t="s">
        <v>946</v>
      </c>
      <c r="U17" s="328" t="s">
        <v>2570</v>
      </c>
    </row>
    <row r="18" spans="1:22" ht="15.75" customHeight="1">
      <c r="C18" s="328" t="s">
        <v>2571</v>
      </c>
      <c r="D18" s="328" t="s">
        <v>2432</v>
      </c>
      <c r="N18" s="328" t="s">
        <v>2572</v>
      </c>
      <c r="O18" s="328" t="s">
        <v>2571</v>
      </c>
    </row>
    <row r="19" spans="1:22" ht="24.95" customHeight="1">
      <c r="A19" s="328" t="s">
        <v>457</v>
      </c>
      <c r="U19" s="328" t="s">
        <v>2573</v>
      </c>
    </row>
    <row r="20" spans="1:22" ht="24.95" customHeight="1">
      <c r="A20" s="328" t="s">
        <v>458</v>
      </c>
    </row>
    <row r="21" spans="1:22" ht="24.95" customHeight="1">
      <c r="A21" s="328" t="s">
        <v>2553</v>
      </c>
    </row>
    <row r="22" spans="1:22" ht="24.95" customHeight="1">
      <c r="A22" s="328" t="s">
        <v>460</v>
      </c>
    </row>
    <row r="23" spans="1:22" ht="24.95" customHeight="1">
      <c r="A23" s="328" t="s">
        <v>461</v>
      </c>
    </row>
    <row r="24" spans="1:22" ht="15.75" customHeight="1">
      <c r="C24" s="328">
        <f t="shared" ref="C24:S24" si="15">SUM(C19:C23)</f>
        <v>0</v>
      </c>
      <c r="D24" s="328">
        <f t="shared" si="15"/>
        <v>0</v>
      </c>
      <c r="E24" s="328">
        <f t="shared" si="15"/>
        <v>0</v>
      </c>
      <c r="F24" s="328">
        <f t="shared" si="15"/>
        <v>0</v>
      </c>
      <c r="G24" s="328">
        <f t="shared" si="15"/>
        <v>0</v>
      </c>
      <c r="H24" s="328">
        <f t="shared" si="15"/>
        <v>0</v>
      </c>
      <c r="I24" s="328">
        <f t="shared" si="15"/>
        <v>0</v>
      </c>
      <c r="J24" s="328">
        <f t="shared" si="15"/>
        <v>0</v>
      </c>
      <c r="K24" s="328">
        <f t="shared" si="15"/>
        <v>0</v>
      </c>
      <c r="L24" s="328">
        <f t="shared" si="15"/>
        <v>0</v>
      </c>
      <c r="M24" s="328">
        <f t="shared" si="15"/>
        <v>0</v>
      </c>
      <c r="N24" s="328">
        <f t="shared" si="15"/>
        <v>0</v>
      </c>
      <c r="O24" s="328">
        <f t="shared" si="15"/>
        <v>0</v>
      </c>
      <c r="P24" s="328">
        <f t="shared" si="15"/>
        <v>0</v>
      </c>
      <c r="Q24" s="328">
        <f t="shared" si="15"/>
        <v>0</v>
      </c>
      <c r="R24" s="328">
        <f t="shared" si="15"/>
        <v>0</v>
      </c>
      <c r="S24" s="328">
        <f t="shared" si="15"/>
        <v>0</v>
      </c>
    </row>
    <row r="26" spans="1:22" ht="15.75" customHeight="1">
      <c r="A26" s="328" t="s">
        <v>890</v>
      </c>
    </row>
    <row r="27" spans="1:22" ht="44.1" customHeight="1">
      <c r="A27" s="328" t="s">
        <v>2574</v>
      </c>
      <c r="C27" s="328" t="e">
        <f t="shared" ref="C27:C32" si="16">NA()</f>
        <v>#N/A</v>
      </c>
      <c r="J27" s="2136"/>
      <c r="K27" s="2136"/>
      <c r="L27" s="2136"/>
      <c r="M27" s="2136"/>
      <c r="N27" s="2136"/>
      <c r="O27" s="2136"/>
      <c r="P27" s="2136"/>
      <c r="Q27" s="2136"/>
    </row>
    <row r="28" spans="1:22" ht="18.75" customHeight="1">
      <c r="A28" s="328" t="s">
        <v>2429</v>
      </c>
      <c r="C28" s="328" t="e">
        <f t="shared" si="16"/>
        <v>#N/A</v>
      </c>
      <c r="V28" s="328">
        <f>B11*10.76</f>
        <v>37326.44</v>
      </c>
    </row>
    <row r="29" spans="1:22" ht="21" customHeight="1">
      <c r="A29" s="328" t="s">
        <v>2433</v>
      </c>
      <c r="C29" s="328" t="e">
        <f t="shared" si="16"/>
        <v>#N/A</v>
      </c>
    </row>
    <row r="30" spans="1:22" ht="23.25" customHeight="1">
      <c r="A30" s="328" t="s">
        <v>2434</v>
      </c>
      <c r="C30" s="328" t="e">
        <f t="shared" si="16"/>
        <v>#N/A</v>
      </c>
    </row>
    <row r="31" spans="1:22" ht="20.25" customHeight="1">
      <c r="A31" s="328" t="s">
        <v>2575</v>
      </c>
      <c r="C31" s="328" t="e">
        <f t="shared" si="16"/>
        <v>#N/A</v>
      </c>
    </row>
    <row r="32" spans="1:22" ht="25.5" customHeight="1">
      <c r="A32" s="328" t="s">
        <v>2576</v>
      </c>
      <c r="C32" s="328" t="e">
        <f t="shared" si="16"/>
        <v>#N/A</v>
      </c>
    </row>
    <row r="33" spans="1:9" ht="15.75" customHeight="1">
      <c r="A33" s="328" t="s">
        <v>946</v>
      </c>
      <c r="C33" s="328" t="e">
        <f>SUM(C27:C32)</f>
        <v>#N/A</v>
      </c>
    </row>
    <row r="35" spans="1:9" ht="15.75" customHeight="1">
      <c r="A35" s="328" t="s">
        <v>2577</v>
      </c>
      <c r="C35" s="328" t="e">
        <f>C33*1000/B11/10.764</f>
        <v>#N/A</v>
      </c>
    </row>
    <row r="37" spans="1:9" ht="15.75" customHeight="1">
      <c r="A37" s="328" t="s">
        <v>2578</v>
      </c>
      <c r="C37" s="328">
        <v>0</v>
      </c>
    </row>
    <row r="38" spans="1:9" ht="15.75" customHeight="1">
      <c r="A38" s="328" t="s">
        <v>2579</v>
      </c>
      <c r="C38" s="328" t="e">
        <f>NA()</f>
        <v>#N/A</v>
      </c>
      <c r="E38" s="328" t="s">
        <v>2580</v>
      </c>
    </row>
    <row r="48" spans="1:9" ht="15.75" customHeight="1">
      <c r="F48" s="328">
        <f>F24*2</f>
        <v>0</v>
      </c>
      <c r="I48" s="328">
        <f>I24+L24</f>
        <v>0</v>
      </c>
    </row>
    <row r="50" spans="6:9" ht="15.75" customHeight="1">
      <c r="F50" s="328">
        <f t="shared" ref="F50:F52" si="17">I19+L19</f>
        <v>0</v>
      </c>
      <c r="G50" s="328">
        <f t="shared" ref="G50:G52" si="18">F50/2</f>
        <v>0</v>
      </c>
      <c r="H50" s="328">
        <f t="shared" ref="H50:H52" si="19">F19</f>
        <v>0</v>
      </c>
      <c r="I50" s="328">
        <f t="shared" ref="I50:I52" si="20">G50-H50</f>
        <v>0</v>
      </c>
    </row>
    <row r="51" spans="6:9" ht="15.75" customHeight="1">
      <c r="F51" s="328">
        <f t="shared" si="17"/>
        <v>0</v>
      </c>
      <c r="G51" s="328">
        <f t="shared" si="18"/>
        <v>0</v>
      </c>
      <c r="H51" s="328">
        <f t="shared" si="19"/>
        <v>0</v>
      </c>
      <c r="I51" s="328">
        <f t="shared" si="20"/>
        <v>0</v>
      </c>
    </row>
    <row r="52" spans="6:9" ht="15.75" customHeight="1">
      <c r="F52" s="328">
        <f t="shared" si="17"/>
        <v>0</v>
      </c>
      <c r="G52" s="328">
        <f t="shared" si="18"/>
        <v>0</v>
      </c>
      <c r="H52" s="328">
        <f t="shared" si="19"/>
        <v>0</v>
      </c>
      <c r="I52" s="328">
        <f t="shared" si="20"/>
        <v>0</v>
      </c>
    </row>
  </sheetData>
  <sheetProtection selectLockedCells="1" selectUnlockedCells="1"/>
  <mergeCells count="19">
    <mergeCell ref="A1:S1"/>
    <mergeCell ref="A2:S2"/>
    <mergeCell ref="A3:A4"/>
    <mergeCell ref="B3:B4"/>
    <mergeCell ref="C3:H3"/>
    <mergeCell ref="I3:I4"/>
    <mergeCell ref="J3:O3"/>
    <mergeCell ref="P3:R3"/>
    <mergeCell ref="S3:S4"/>
    <mergeCell ref="J27:M27"/>
    <mergeCell ref="N27:Q27"/>
    <mergeCell ref="A16:A17"/>
    <mergeCell ref="B16:B17"/>
    <mergeCell ref="C16:F16"/>
    <mergeCell ref="G16:I16"/>
    <mergeCell ref="J16:L16"/>
    <mergeCell ref="M16:S16"/>
    <mergeCell ref="C17:D17"/>
    <mergeCell ref="N17:O17"/>
  </mergeCells>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rowBreaks count="1" manualBreakCount="1">
    <brk id="25" max="16383" man="1"/>
  </rowBreaks>
</worksheet>
</file>

<file path=xl/worksheets/sheet12.xml><?xml version="1.0" encoding="utf-8"?>
<worksheet xmlns="http://schemas.openxmlformats.org/spreadsheetml/2006/main" xmlns:r="http://schemas.openxmlformats.org/officeDocument/2006/relationships">
  <dimension ref="A1:H12"/>
  <sheetViews>
    <sheetView view="pageBreakPreview" zoomScaleSheetLayoutView="100" workbookViewId="0">
      <selection activeCell="E10" sqref="E10"/>
    </sheetView>
  </sheetViews>
  <sheetFormatPr defaultColWidth="11" defaultRowHeight="15"/>
  <cols>
    <col min="1" max="16384" width="11" style="328"/>
  </cols>
  <sheetData>
    <row r="1" spans="1:8" ht="15.75" customHeight="1">
      <c r="A1" s="328" t="s">
        <v>2581</v>
      </c>
      <c r="B1" s="328" t="s">
        <v>2582</v>
      </c>
      <c r="C1" s="328" t="s">
        <v>2430</v>
      </c>
      <c r="D1" s="328" t="s">
        <v>2431</v>
      </c>
      <c r="E1" s="328" t="s">
        <v>2441</v>
      </c>
      <c r="F1" s="328" t="s">
        <v>1341</v>
      </c>
      <c r="G1" s="328" t="s">
        <v>1207</v>
      </c>
      <c r="H1" s="328" t="s">
        <v>1208</v>
      </c>
    </row>
    <row r="2" spans="1:8" ht="15.75" customHeight="1">
      <c r="A2" s="328">
        <v>1</v>
      </c>
      <c r="B2" s="328" t="s">
        <v>2442</v>
      </c>
      <c r="C2" s="328">
        <v>2</v>
      </c>
      <c r="D2" s="328">
        <v>2.6</v>
      </c>
      <c r="E2" s="328">
        <v>1</v>
      </c>
      <c r="F2" s="328">
        <v>0</v>
      </c>
      <c r="G2" s="328">
        <v>0</v>
      </c>
      <c r="H2" s="328">
        <v>0</v>
      </c>
    </row>
    <row r="3" spans="1:8" ht="15.75" customHeight="1">
      <c r="A3" s="328">
        <f t="shared" ref="A3:A12" si="0">1+A2</f>
        <v>2</v>
      </c>
      <c r="B3" s="328" t="s">
        <v>929</v>
      </c>
      <c r="C3" s="328">
        <v>1.5</v>
      </c>
      <c r="D3" s="328">
        <v>2.6</v>
      </c>
      <c r="E3" s="328">
        <v>4</v>
      </c>
      <c r="F3" s="328">
        <v>4</v>
      </c>
      <c r="G3" s="328">
        <v>4</v>
      </c>
      <c r="H3" s="328">
        <v>3</v>
      </c>
    </row>
    <row r="4" spans="1:8" ht="15.75" customHeight="1">
      <c r="A4" s="328">
        <f t="shared" si="0"/>
        <v>3</v>
      </c>
      <c r="B4" s="328" t="s">
        <v>2435</v>
      </c>
      <c r="C4" s="328">
        <v>1.2</v>
      </c>
      <c r="D4" s="328">
        <v>2.6</v>
      </c>
      <c r="E4" s="328">
        <v>6</v>
      </c>
      <c r="F4" s="328">
        <v>6</v>
      </c>
      <c r="G4" s="328">
        <v>6</v>
      </c>
      <c r="H4" s="328">
        <v>0</v>
      </c>
    </row>
    <row r="5" spans="1:8" ht="15.75" customHeight="1">
      <c r="A5" s="328">
        <f t="shared" si="0"/>
        <v>4</v>
      </c>
      <c r="B5" s="328" t="s">
        <v>2436</v>
      </c>
      <c r="C5" s="328">
        <v>1</v>
      </c>
      <c r="D5" s="328">
        <v>2.6</v>
      </c>
      <c r="E5" s="328">
        <v>6</v>
      </c>
      <c r="F5" s="328">
        <v>6</v>
      </c>
      <c r="G5" s="328">
        <v>7</v>
      </c>
      <c r="H5" s="328">
        <v>6</v>
      </c>
    </row>
    <row r="6" spans="1:8" ht="15.75" customHeight="1">
      <c r="A6" s="328">
        <f t="shared" si="0"/>
        <v>5</v>
      </c>
      <c r="B6" s="328" t="s">
        <v>2437</v>
      </c>
      <c r="C6" s="328">
        <v>0.8</v>
      </c>
      <c r="D6" s="328">
        <v>2.1</v>
      </c>
      <c r="E6" s="328">
        <v>15</v>
      </c>
      <c r="F6" s="328">
        <v>15</v>
      </c>
      <c r="G6" s="328">
        <v>14</v>
      </c>
      <c r="H6" s="328">
        <v>5</v>
      </c>
    </row>
    <row r="7" spans="1:8" ht="15.75" customHeight="1">
      <c r="A7" s="328">
        <f t="shared" si="0"/>
        <v>6</v>
      </c>
      <c r="B7" s="328" t="s">
        <v>2438</v>
      </c>
      <c r="C7" s="328">
        <v>1.5</v>
      </c>
      <c r="D7" s="328">
        <v>1.8</v>
      </c>
      <c r="E7" s="328">
        <v>14</v>
      </c>
      <c r="F7" s="328">
        <v>17</v>
      </c>
      <c r="G7" s="328">
        <v>17</v>
      </c>
      <c r="H7" s="328">
        <v>29</v>
      </c>
    </row>
    <row r="8" spans="1:8" ht="15.75" customHeight="1">
      <c r="A8" s="328">
        <f t="shared" si="0"/>
        <v>7</v>
      </c>
      <c r="B8" s="328" t="s">
        <v>2439</v>
      </c>
      <c r="C8" s="328">
        <v>1.2</v>
      </c>
      <c r="D8" s="328">
        <v>1.8</v>
      </c>
      <c r="E8" s="328">
        <v>30</v>
      </c>
      <c r="F8" s="328">
        <v>32</v>
      </c>
      <c r="G8" s="328">
        <v>34</v>
      </c>
      <c r="H8" s="328">
        <v>26</v>
      </c>
    </row>
    <row r="9" spans="1:8" ht="15.75" customHeight="1">
      <c r="A9" s="328">
        <f t="shared" si="0"/>
        <v>8</v>
      </c>
      <c r="B9" s="328" t="s">
        <v>2444</v>
      </c>
      <c r="C9" s="328">
        <v>1.5</v>
      </c>
      <c r="D9" s="328">
        <v>1.8</v>
      </c>
      <c r="E9" s="328">
        <v>6</v>
      </c>
      <c r="F9" s="328">
        <v>6</v>
      </c>
      <c r="G9" s="328">
        <v>6</v>
      </c>
      <c r="H9" s="328">
        <v>0</v>
      </c>
    </row>
    <row r="10" spans="1:8" ht="15.75" customHeight="1">
      <c r="A10" s="328">
        <f t="shared" si="0"/>
        <v>9</v>
      </c>
      <c r="B10" s="328" t="s">
        <v>2583</v>
      </c>
      <c r="C10" s="328">
        <v>1.5</v>
      </c>
      <c r="D10" s="328">
        <v>0.6</v>
      </c>
      <c r="E10" s="328">
        <v>0</v>
      </c>
      <c r="F10" s="328">
        <v>0</v>
      </c>
      <c r="G10" s="328">
        <v>0</v>
      </c>
      <c r="H10" s="328">
        <v>0</v>
      </c>
    </row>
    <row r="11" spans="1:8" ht="15.75" customHeight="1">
      <c r="A11" s="328">
        <f t="shared" si="0"/>
        <v>10</v>
      </c>
      <c r="B11" s="328" t="s">
        <v>2440</v>
      </c>
      <c r="C11" s="328">
        <v>1</v>
      </c>
      <c r="D11" s="328">
        <v>0.6</v>
      </c>
      <c r="E11" s="328">
        <v>3</v>
      </c>
      <c r="F11" s="328">
        <v>3</v>
      </c>
      <c r="G11" s="328">
        <v>3</v>
      </c>
      <c r="H11" s="328">
        <v>0</v>
      </c>
    </row>
    <row r="12" spans="1:8" ht="15.75" customHeight="1">
      <c r="A12" s="328">
        <f t="shared" si="0"/>
        <v>11</v>
      </c>
      <c r="B12" s="328" t="s">
        <v>2443</v>
      </c>
      <c r="C12" s="328">
        <v>0.6</v>
      </c>
      <c r="D12" s="328">
        <v>0.6</v>
      </c>
      <c r="E12" s="328">
        <v>17</v>
      </c>
      <c r="F12" s="328">
        <v>17</v>
      </c>
      <c r="G12" s="328">
        <v>16</v>
      </c>
      <c r="H12" s="328">
        <v>5</v>
      </c>
    </row>
  </sheetData>
  <sheetProtection selectLockedCells="1" selectUnlockedCells="1"/>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worksheet>
</file>

<file path=xl/worksheets/sheet13.xml><?xml version="1.0" encoding="utf-8"?>
<worksheet xmlns="http://schemas.openxmlformats.org/spreadsheetml/2006/main" xmlns:r="http://schemas.openxmlformats.org/officeDocument/2006/relationships">
  <dimension ref="A1:BL31"/>
  <sheetViews>
    <sheetView view="pageBreakPreview" zoomScaleSheetLayoutView="100" workbookViewId="0">
      <selection activeCell="E8" sqref="E8"/>
    </sheetView>
  </sheetViews>
  <sheetFormatPr defaultColWidth="11" defaultRowHeight="15.75"/>
  <cols>
    <col min="1" max="1" width="10.85546875" style="544" customWidth="1"/>
    <col min="2" max="2" width="40.7109375" style="544" customWidth="1"/>
    <col min="3" max="64" width="10.85546875" style="544" customWidth="1"/>
    <col min="65" max="16384" width="11" style="328"/>
  </cols>
  <sheetData>
    <row r="1" spans="1:9" ht="33.75" customHeight="1">
      <c r="A1" s="2136" t="e">
        <f>NA()</f>
        <v>#N/A</v>
      </c>
      <c r="B1" s="2136"/>
      <c r="C1" s="2136"/>
      <c r="D1" s="2136"/>
      <c r="E1" s="2136"/>
      <c r="F1" s="2136"/>
      <c r="G1" s="2136"/>
      <c r="H1" s="2136"/>
      <c r="I1" s="2136"/>
    </row>
    <row r="2" spans="1:9" ht="17.100000000000001" customHeight="1">
      <c r="A2" s="2136" t="s">
        <v>2584</v>
      </c>
      <c r="B2" s="2136"/>
      <c r="C2" s="2136"/>
      <c r="D2" s="2136"/>
      <c r="E2" s="2136"/>
      <c r="F2" s="2136"/>
      <c r="G2" s="2136"/>
      <c r="H2" s="2136"/>
      <c r="I2" s="2136"/>
    </row>
    <row r="3" spans="1:9" ht="17.100000000000001" customHeight="1">
      <c r="A3" s="328">
        <v>1</v>
      </c>
      <c r="B3" s="328" t="s">
        <v>2585</v>
      </c>
      <c r="C3" s="328"/>
      <c r="D3" s="328"/>
      <c r="E3" s="328"/>
      <c r="F3" s="328"/>
      <c r="G3" s="328"/>
      <c r="H3" s="328"/>
      <c r="I3" s="328"/>
    </row>
    <row r="4" spans="1:9" ht="17.100000000000001" customHeight="1">
      <c r="A4" s="328"/>
      <c r="B4" s="328" t="s">
        <v>2586</v>
      </c>
      <c r="C4" s="328">
        <v>90</v>
      </c>
      <c r="D4" s="328" t="s">
        <v>2587</v>
      </c>
      <c r="E4" s="328">
        <v>450</v>
      </c>
      <c r="F4" s="328" t="s">
        <v>2588</v>
      </c>
      <c r="G4" s="328" t="s">
        <v>946</v>
      </c>
      <c r="H4" s="328">
        <f t="shared" ref="H4:H5" si="0">+E4*C4</f>
        <v>40500</v>
      </c>
      <c r="I4" s="328" t="s">
        <v>2589</v>
      </c>
    </row>
    <row r="5" spans="1:9" ht="17.100000000000001" customHeight="1">
      <c r="A5" s="328"/>
      <c r="B5" s="328" t="s">
        <v>2590</v>
      </c>
      <c r="C5" s="328">
        <v>180</v>
      </c>
      <c r="D5" s="328" t="s">
        <v>2591</v>
      </c>
      <c r="E5" s="328">
        <v>45</v>
      </c>
      <c r="F5" s="328" t="s">
        <v>2588</v>
      </c>
      <c r="G5" s="328" t="s">
        <v>946</v>
      </c>
      <c r="H5" s="328">
        <f t="shared" si="0"/>
        <v>8100</v>
      </c>
      <c r="I5" s="328" t="s">
        <v>2589</v>
      </c>
    </row>
    <row r="6" spans="1:9" ht="17.100000000000001" customHeight="1">
      <c r="A6" s="328"/>
      <c r="B6" s="328" t="s">
        <v>2592</v>
      </c>
      <c r="C6" s="328"/>
      <c r="D6" s="328"/>
      <c r="E6" s="328"/>
      <c r="F6" s="328"/>
      <c r="G6" s="328"/>
      <c r="H6" s="328">
        <f>SUM(H3:H5)</f>
        <v>48600</v>
      </c>
      <c r="I6" s="328" t="s">
        <v>2589</v>
      </c>
    </row>
    <row r="7" spans="1:9" ht="17.100000000000001" customHeight="1">
      <c r="A7" s="328"/>
      <c r="B7" s="328" t="s">
        <v>2593</v>
      </c>
      <c r="C7" s="328"/>
      <c r="D7" s="328"/>
      <c r="E7" s="328"/>
      <c r="F7" s="328"/>
      <c r="G7" s="328"/>
      <c r="H7" s="328">
        <f>+MROUND(H6*0.666,1000)</f>
        <v>32000</v>
      </c>
      <c r="I7" s="328" t="s">
        <v>2589</v>
      </c>
    </row>
    <row r="8" spans="1:9" ht="17.100000000000001" customHeight="1">
      <c r="A8" s="328"/>
      <c r="B8" s="328" t="s">
        <v>2594</v>
      </c>
      <c r="C8" s="328"/>
      <c r="D8" s="328"/>
      <c r="E8" s="328"/>
      <c r="F8" s="328"/>
      <c r="G8" s="328"/>
      <c r="H8" s="328">
        <f>+MROUND(H6*0.3333,1000)</f>
        <v>16000</v>
      </c>
      <c r="I8" s="328" t="s">
        <v>2589</v>
      </c>
    </row>
    <row r="9" spans="1:9" ht="17.100000000000001" customHeight="1">
      <c r="A9" s="328"/>
      <c r="B9" s="328"/>
      <c r="C9" s="328"/>
      <c r="D9" s="328"/>
      <c r="E9" s="328"/>
      <c r="F9" s="328"/>
      <c r="G9" s="328"/>
      <c r="H9" s="328"/>
      <c r="I9" s="328"/>
    </row>
    <row r="10" spans="1:9" ht="17.100000000000001" customHeight="1">
      <c r="A10" s="328">
        <f>1+A3</f>
        <v>2</v>
      </c>
      <c r="B10" s="328" t="s">
        <v>2595</v>
      </c>
      <c r="C10" s="328"/>
      <c r="D10" s="328"/>
      <c r="E10" s="328"/>
      <c r="F10" s="328"/>
      <c r="G10" s="328"/>
      <c r="H10" s="328"/>
      <c r="I10" s="328"/>
    </row>
    <row r="11" spans="1:9" ht="17.100000000000001" customHeight="1">
      <c r="A11" s="328"/>
      <c r="B11" s="328" t="s">
        <v>2587</v>
      </c>
      <c r="C11" s="328">
        <f>38+13</f>
        <v>51</v>
      </c>
      <c r="D11" s="328" t="s">
        <v>2587</v>
      </c>
      <c r="E11" s="328">
        <v>450</v>
      </c>
      <c r="F11" s="328" t="s">
        <v>2588</v>
      </c>
      <c r="G11" s="328" t="s">
        <v>946</v>
      </c>
      <c r="H11" s="328">
        <f t="shared" ref="H11:H12" si="1">+E11*C11</f>
        <v>22950</v>
      </c>
      <c r="I11" s="328" t="s">
        <v>2589</v>
      </c>
    </row>
    <row r="12" spans="1:9" ht="17.100000000000001" customHeight="1">
      <c r="A12" s="328"/>
      <c r="B12" s="328" t="s">
        <v>2596</v>
      </c>
      <c r="C12" s="328">
        <f>20*20*2</f>
        <v>800</v>
      </c>
      <c r="D12" s="328" t="s">
        <v>2591</v>
      </c>
      <c r="E12" s="328">
        <v>15</v>
      </c>
      <c r="F12" s="328" t="s">
        <v>2588</v>
      </c>
      <c r="G12" s="328" t="s">
        <v>946</v>
      </c>
      <c r="H12" s="328">
        <f t="shared" si="1"/>
        <v>12000</v>
      </c>
      <c r="I12" s="328" t="s">
        <v>2589</v>
      </c>
    </row>
    <row r="13" spans="1:9" ht="17.100000000000001" customHeight="1">
      <c r="A13" s="328"/>
      <c r="B13" s="328" t="s">
        <v>2592</v>
      </c>
      <c r="C13" s="328"/>
      <c r="D13" s="328"/>
      <c r="E13" s="328"/>
      <c r="F13" s="328"/>
      <c r="G13" s="328"/>
      <c r="H13" s="328">
        <f>SUM(H11:H12)</f>
        <v>34950</v>
      </c>
      <c r="I13" s="328" t="s">
        <v>2589</v>
      </c>
    </row>
    <row r="14" spans="1:9" ht="17.100000000000001" customHeight="1">
      <c r="A14" s="328"/>
      <c r="B14" s="328" t="s">
        <v>2593</v>
      </c>
      <c r="C14" s="328"/>
      <c r="D14" s="328"/>
      <c r="E14" s="328"/>
      <c r="F14" s="328"/>
      <c r="G14" s="328"/>
      <c r="H14" s="328">
        <f>+MROUND(H13*0.666,1000)</f>
        <v>23000</v>
      </c>
      <c r="I14" s="328" t="s">
        <v>2589</v>
      </c>
    </row>
    <row r="15" spans="1:9" ht="17.100000000000001" customHeight="1">
      <c r="A15" s="328"/>
      <c r="B15" s="328" t="s">
        <v>2594</v>
      </c>
      <c r="C15" s="328"/>
      <c r="D15" s="328"/>
      <c r="E15" s="328"/>
      <c r="F15" s="328"/>
      <c r="G15" s="328"/>
      <c r="H15" s="328">
        <f>+MROUND(H13*0.3333,1000)</f>
        <v>12000</v>
      </c>
      <c r="I15" s="328" t="s">
        <v>2589</v>
      </c>
    </row>
    <row r="16" spans="1:9" ht="17.100000000000001" customHeight="1">
      <c r="A16" s="328"/>
      <c r="B16" s="328"/>
      <c r="C16" s="328"/>
      <c r="D16" s="328"/>
      <c r="E16" s="328"/>
      <c r="F16" s="328"/>
      <c r="G16" s="328"/>
      <c r="H16" s="328"/>
      <c r="I16" s="328"/>
    </row>
    <row r="17" spans="1:9" ht="17.100000000000001" customHeight="1">
      <c r="A17" s="2136" t="s">
        <v>2597</v>
      </c>
      <c r="B17" s="2136" t="s">
        <v>2598</v>
      </c>
      <c r="C17" s="2136"/>
      <c r="D17" s="2136"/>
      <c r="E17" s="2136"/>
      <c r="F17" s="2136"/>
      <c r="G17" s="2136"/>
      <c r="H17" s="2136"/>
      <c r="I17" s="2136"/>
    </row>
    <row r="18" spans="1:9" ht="17.100000000000001" customHeight="1">
      <c r="A18" s="328">
        <v>1</v>
      </c>
      <c r="B18" s="328" t="s">
        <v>2585</v>
      </c>
      <c r="C18" s="328">
        <f>+H6</f>
        <v>48600</v>
      </c>
      <c r="D18" s="328" t="s">
        <v>2599</v>
      </c>
      <c r="E18" s="328">
        <v>0.8</v>
      </c>
      <c r="F18" s="328"/>
      <c r="G18" s="328"/>
      <c r="H18" s="328">
        <f>+E18*C18</f>
        <v>38880</v>
      </c>
      <c r="I18" s="328" t="s">
        <v>2600</v>
      </c>
    </row>
    <row r="19" spans="1:9" ht="17.100000000000001" customHeight="1">
      <c r="A19" s="328"/>
      <c r="B19" s="328"/>
      <c r="C19" s="328"/>
      <c r="D19" s="328"/>
      <c r="E19" s="328"/>
      <c r="F19" s="328"/>
      <c r="G19" s="328"/>
      <c r="H19" s="328">
        <f>SUM(H18:H18)</f>
        <v>38880</v>
      </c>
      <c r="I19" s="328" t="s">
        <v>2600</v>
      </c>
    </row>
    <row r="20" spans="1:9" ht="17.100000000000001" customHeight="1">
      <c r="A20" s="328"/>
      <c r="B20" s="328"/>
      <c r="C20" s="328"/>
      <c r="D20" s="328"/>
      <c r="E20" s="328"/>
      <c r="F20" s="328"/>
      <c r="G20" s="328"/>
      <c r="H20" s="328"/>
      <c r="I20" s="328"/>
    </row>
    <row r="21" spans="1:9" ht="17.100000000000001" customHeight="1">
      <c r="A21" s="328">
        <f>1+A18</f>
        <v>2</v>
      </c>
      <c r="B21" s="328" t="s">
        <v>2595</v>
      </c>
      <c r="C21" s="328">
        <f>+H13</f>
        <v>34950</v>
      </c>
      <c r="D21" s="328" t="s">
        <v>2599</v>
      </c>
      <c r="E21" s="328">
        <v>0.8</v>
      </c>
      <c r="F21" s="328"/>
      <c r="G21" s="328"/>
      <c r="H21" s="328">
        <f>+E21*C21</f>
        <v>27960</v>
      </c>
      <c r="I21" s="328" t="s">
        <v>2600</v>
      </c>
    </row>
    <row r="22" spans="1:9" ht="17.100000000000001" customHeight="1">
      <c r="A22" s="328"/>
      <c r="B22" s="328"/>
      <c r="C22" s="328"/>
      <c r="D22" s="328"/>
      <c r="E22" s="328"/>
      <c r="F22" s="328"/>
      <c r="G22" s="328"/>
      <c r="H22" s="328">
        <f>SUM(H21:H21)</f>
        <v>27960</v>
      </c>
      <c r="I22" s="328" t="s">
        <v>2600</v>
      </c>
    </row>
    <row r="23" spans="1:9" ht="17.100000000000001" customHeight="1">
      <c r="A23" s="328"/>
      <c r="B23" s="328"/>
      <c r="C23" s="328"/>
      <c r="D23" s="328"/>
      <c r="E23" s="328"/>
      <c r="F23" s="328"/>
      <c r="G23" s="328"/>
      <c r="H23" s="328"/>
      <c r="I23" s="328"/>
    </row>
    <row r="24" spans="1:9" ht="17.100000000000001" customHeight="1">
      <c r="A24" s="328"/>
      <c r="B24" s="328"/>
      <c r="C24" s="328"/>
      <c r="D24" s="328"/>
      <c r="E24" s="328"/>
      <c r="F24" s="328"/>
      <c r="G24" s="328"/>
      <c r="H24" s="328"/>
      <c r="I24" s="328"/>
    </row>
    <row r="25" spans="1:9" ht="17.100000000000001" customHeight="1">
      <c r="A25" s="328"/>
      <c r="B25" s="328" t="s">
        <v>2601</v>
      </c>
      <c r="C25" s="328"/>
      <c r="D25" s="328"/>
      <c r="E25" s="328"/>
      <c r="F25" s="328"/>
      <c r="G25" s="328"/>
      <c r="H25" s="328">
        <f>+H22+H19</f>
        <v>66840</v>
      </c>
      <c r="I25" s="328" t="s">
        <v>2600</v>
      </c>
    </row>
    <row r="26" spans="1:9" ht="17.100000000000001" customHeight="1">
      <c r="A26" s="328"/>
      <c r="B26" s="328"/>
      <c r="C26" s="328"/>
      <c r="D26" s="328"/>
      <c r="E26" s="328"/>
      <c r="F26" s="328"/>
      <c r="G26" s="328"/>
      <c r="H26" s="328">
        <f t="shared" ref="H26:H27" si="2">+H25/1000</f>
        <v>66.84</v>
      </c>
      <c r="I26" s="328" t="s">
        <v>2602</v>
      </c>
    </row>
    <row r="27" spans="1:9" ht="17.100000000000001" customHeight="1">
      <c r="A27" s="328"/>
      <c r="B27" s="328"/>
      <c r="C27" s="328"/>
      <c r="D27" s="328"/>
      <c r="E27" s="328"/>
      <c r="F27" s="328"/>
      <c r="G27" s="328"/>
      <c r="H27" s="328">
        <f t="shared" si="2"/>
        <v>6.6839999999999997E-2</v>
      </c>
      <c r="I27" s="328" t="s">
        <v>2603</v>
      </c>
    </row>
    <row r="29" spans="1:9" ht="17.100000000000001" customHeight="1">
      <c r="A29" s="328"/>
      <c r="B29" s="328" t="s">
        <v>2604</v>
      </c>
      <c r="C29" s="328"/>
      <c r="D29" s="328" t="s">
        <v>2605</v>
      </c>
      <c r="E29" s="328" t="s">
        <v>2606</v>
      </c>
    </row>
    <row r="30" spans="1:9" ht="17.100000000000001" customHeight="1">
      <c r="A30" s="328">
        <v>1</v>
      </c>
      <c r="B30" s="328" t="s">
        <v>2585</v>
      </c>
      <c r="C30" s="328" t="s">
        <v>2599</v>
      </c>
      <c r="D30" s="328">
        <f>+H7</f>
        <v>32000</v>
      </c>
      <c r="E30" s="328">
        <v>30000</v>
      </c>
    </row>
    <row r="31" spans="1:9" ht="17.100000000000001" customHeight="1">
      <c r="A31" s="328">
        <f>1+A30</f>
        <v>2</v>
      </c>
      <c r="B31" s="328" t="s">
        <v>2595</v>
      </c>
      <c r="C31" s="328" t="s">
        <v>2599</v>
      </c>
      <c r="D31" s="328">
        <f>+H14</f>
        <v>23000</v>
      </c>
      <c r="E31" s="328">
        <v>20000</v>
      </c>
    </row>
  </sheetData>
  <sheetProtection selectLockedCells="1" selectUnlockedCells="1"/>
  <mergeCells count="3">
    <mergeCell ref="A1:I1"/>
    <mergeCell ref="A2:I2"/>
    <mergeCell ref="A17:I17"/>
  </mergeCells>
  <pageMargins left="0.78749999999999998" right="0.78749999999999998" top="1.0249999999999999" bottom="1.0249999999999999" header="0.78749999999999998" footer="0.78749999999999998"/>
  <pageSetup scale="65" firstPageNumber="0" orientation="portrait" horizontalDpi="300" verticalDpi="300" r:id="rId1"/>
  <headerFooter alignWithMargins="0">
    <oddHeader>&amp;C&amp;A</oddHeader>
    <oddFooter>&amp;CPage &amp;P</oddFooter>
  </headerFooter>
</worksheet>
</file>

<file path=xl/worksheets/sheet14.xml><?xml version="1.0" encoding="utf-8"?>
<worksheet xmlns="http://schemas.openxmlformats.org/spreadsheetml/2006/main" xmlns:r="http://schemas.openxmlformats.org/officeDocument/2006/relationships">
  <dimension ref="A1:R48"/>
  <sheetViews>
    <sheetView view="pageBreakPreview" zoomScaleSheetLayoutView="100" workbookViewId="0">
      <selection activeCell="I45" sqref="I45"/>
    </sheetView>
  </sheetViews>
  <sheetFormatPr defaultColWidth="11" defaultRowHeight="15"/>
  <cols>
    <col min="1" max="1" width="8" style="328" customWidth="1"/>
    <col min="2" max="2" width="10.28515625" style="328" customWidth="1"/>
    <col min="3" max="64" width="8" style="328" customWidth="1"/>
    <col min="65" max="16384" width="11" style="328"/>
  </cols>
  <sheetData>
    <row r="1" spans="1:18" ht="15.75" customHeight="1">
      <c r="F1" s="328" t="s">
        <v>2607</v>
      </c>
    </row>
    <row r="3" spans="1:18" ht="15" customHeight="1">
      <c r="A3" s="2136" t="s">
        <v>2608</v>
      </c>
      <c r="B3" s="2136"/>
      <c r="C3" s="2136"/>
      <c r="D3" s="2136"/>
      <c r="E3" s="2136"/>
      <c r="F3" s="2136"/>
      <c r="G3" s="2136"/>
      <c r="H3" s="2136"/>
      <c r="I3" s="2136"/>
      <c r="J3" s="2136"/>
      <c r="K3" s="2136"/>
      <c r="L3" s="2136"/>
      <c r="M3" s="2136"/>
      <c r="N3" s="2136"/>
    </row>
    <row r="4" spans="1:18" ht="15.75" customHeight="1">
      <c r="A4" s="328" t="s">
        <v>2609</v>
      </c>
      <c r="B4" s="328" t="s">
        <v>2610</v>
      </c>
      <c r="C4" s="328">
        <v>0.4</v>
      </c>
      <c r="D4" s="328">
        <v>0.5</v>
      </c>
      <c r="E4" s="328">
        <v>0.65</v>
      </c>
      <c r="F4" s="328">
        <v>0.8</v>
      </c>
      <c r="G4" s="328">
        <v>0.9</v>
      </c>
      <c r="H4" s="328">
        <v>0.95</v>
      </c>
      <c r="I4" s="328">
        <v>1</v>
      </c>
      <c r="J4" s="328">
        <v>1.2</v>
      </c>
      <c r="K4" s="328">
        <v>1.5</v>
      </c>
      <c r="L4" s="328">
        <v>2</v>
      </c>
      <c r="M4" s="328">
        <v>2.5</v>
      </c>
      <c r="N4" s="328">
        <v>3</v>
      </c>
    </row>
    <row r="5" spans="1:18" ht="15.75" customHeight="1">
      <c r="A5" s="2136"/>
      <c r="B5" s="328">
        <v>9.5299999999999994</v>
      </c>
      <c r="C5" s="328">
        <v>2.8000000000000001E-2</v>
      </c>
      <c r="D5" s="328">
        <v>3.4000000000000002E-2</v>
      </c>
      <c r="E5" s="328">
        <v>4.3999999999999997E-2</v>
      </c>
      <c r="F5" s="328">
        <v>5.2999999999999999E-2</v>
      </c>
      <c r="G5" s="328">
        <v>5.8999999999999997E-2</v>
      </c>
      <c r="H5" s="328">
        <v>6.2E-2</v>
      </c>
      <c r="I5" s="328">
        <v>6.4000000000000001E-2</v>
      </c>
    </row>
    <row r="6" spans="1:18" ht="15.75" customHeight="1">
      <c r="A6" s="2136"/>
      <c r="B6" s="328">
        <v>12.7</v>
      </c>
      <c r="C6" s="328">
        <v>3.6999999999999998E-2</v>
      </c>
      <c r="D6" s="328">
        <v>4.5999999999999999E-2</v>
      </c>
      <c r="E6" s="328">
        <v>5.8999999999999997E-2</v>
      </c>
      <c r="F6" s="328">
        <v>7.1999999999999995E-2</v>
      </c>
      <c r="G6" s="328">
        <v>0.08</v>
      </c>
      <c r="H6" s="328">
        <v>8.4000000000000005E-2</v>
      </c>
      <c r="I6" s="328">
        <v>8.7999999999999995E-2</v>
      </c>
    </row>
    <row r="7" spans="1:18" ht="15.75" customHeight="1">
      <c r="A7" s="2136"/>
      <c r="B7" s="328">
        <v>15.88</v>
      </c>
      <c r="C7" s="328">
        <v>4.7E-2</v>
      </c>
      <c r="D7" s="328">
        <v>5.8000000000000003E-2</v>
      </c>
      <c r="E7" s="328">
        <v>7.4999999999999997E-2</v>
      </c>
      <c r="F7" s="328">
        <v>9.0999999999999998E-2</v>
      </c>
      <c r="G7" s="328">
        <v>0.10199999999999999</v>
      </c>
      <c r="H7" s="328">
        <v>0.107</v>
      </c>
      <c r="I7" s="328">
        <v>0.112</v>
      </c>
      <c r="J7" s="328">
        <v>0.13300000000000001</v>
      </c>
      <c r="K7" s="328">
        <v>0.16300000000000001</v>
      </c>
    </row>
    <row r="8" spans="1:18" ht="15.75" customHeight="1">
      <c r="A8" s="2136"/>
      <c r="B8" s="328">
        <v>19.05</v>
      </c>
      <c r="C8" s="328">
        <v>5.6000000000000001E-2</v>
      </c>
      <c r="D8" s="328">
        <v>7.0000000000000007E-2</v>
      </c>
      <c r="E8" s="328">
        <v>0.09</v>
      </c>
      <c r="F8" s="328">
        <v>0.11</v>
      </c>
      <c r="G8" s="328">
        <v>0.123</v>
      </c>
      <c r="H8" s="328">
        <v>0.13</v>
      </c>
      <c r="I8" s="328">
        <v>0.13600000000000001</v>
      </c>
      <c r="J8" s="328">
        <v>0.16200000000000001</v>
      </c>
      <c r="K8" s="328">
        <v>0.19900000000000001</v>
      </c>
      <c r="L8" s="328">
        <v>0.25800000000000001</v>
      </c>
      <c r="M8" s="328">
        <v>0.313</v>
      </c>
      <c r="N8" s="328">
        <v>0.36399999999999999</v>
      </c>
    </row>
    <row r="9" spans="1:18" ht="15.75" customHeight="1">
      <c r="A9" s="2136"/>
      <c r="B9" s="328">
        <v>20</v>
      </c>
      <c r="D9" s="328">
        <v>7.3999999999999996E-2</v>
      </c>
      <c r="E9" s="328">
        <v>9.5000000000000001E-2</v>
      </c>
      <c r="F9" s="328">
        <v>0.11600000000000001</v>
      </c>
      <c r="G9" s="328">
        <v>0.13</v>
      </c>
      <c r="H9" s="328">
        <v>0.13700000000000001</v>
      </c>
      <c r="I9" s="328">
        <v>0.14399999999999999</v>
      </c>
      <c r="J9" s="328">
        <v>0.17100000000000001</v>
      </c>
      <c r="K9" s="328">
        <v>0.21</v>
      </c>
      <c r="L9" s="328">
        <v>0.27200000000000002</v>
      </c>
      <c r="M9" s="328">
        <v>0.33100000000000002</v>
      </c>
      <c r="N9" s="328">
        <v>0.38600000000000001</v>
      </c>
    </row>
    <row r="10" spans="1:18" ht="15.75" customHeight="1">
      <c r="A10" s="2136"/>
      <c r="B10" s="328">
        <v>25.4</v>
      </c>
      <c r="H10" s="328">
        <v>0.17599999999999999</v>
      </c>
      <c r="I10" s="328">
        <v>0.184</v>
      </c>
      <c r="J10" s="328">
        <v>0.22</v>
      </c>
      <c r="K10" s="328">
        <v>0.27100000000000002</v>
      </c>
      <c r="L10" s="328">
        <v>0.35399999999999998</v>
      </c>
      <c r="M10" s="328">
        <v>0.433</v>
      </c>
      <c r="N10" s="328">
        <v>0.50800000000000001</v>
      </c>
      <c r="P10" s="328">
        <f>J10*3.28</f>
        <v>0.72159999999999991</v>
      </c>
      <c r="Q10" s="328">
        <f>K10*3.28</f>
        <v>0.88888</v>
      </c>
      <c r="R10" s="328">
        <f>L10*3.28</f>
        <v>1.1611199999999999</v>
      </c>
    </row>
    <row r="11" spans="1:18" ht="15.75" customHeight="1">
      <c r="A11" s="2136"/>
      <c r="B11" s="328">
        <v>31.75</v>
      </c>
      <c r="H11" s="328">
        <v>0.221</v>
      </c>
      <c r="I11" s="328">
        <v>0.23200000000000001</v>
      </c>
      <c r="J11" s="328">
        <v>0.27700000000000002</v>
      </c>
      <c r="K11" s="328">
        <v>0.34300000000000003</v>
      </c>
      <c r="L11" s="328">
        <v>0.45</v>
      </c>
      <c r="M11" s="328">
        <v>0.55300000000000005</v>
      </c>
      <c r="N11" s="328">
        <v>0.65200000000000002</v>
      </c>
    </row>
    <row r="12" spans="1:18" ht="15.75" customHeight="1">
      <c r="A12" s="2136"/>
      <c r="B12" s="328">
        <v>33.4</v>
      </c>
      <c r="H12" s="328">
        <v>0.23300000000000001</v>
      </c>
      <c r="I12" s="328">
        <v>0.245</v>
      </c>
      <c r="J12" s="328">
        <v>0.29199999999999998</v>
      </c>
      <c r="K12" s="328">
        <v>0.36199999999999999</v>
      </c>
      <c r="L12" s="328">
        <v>0.47499999999999998</v>
      </c>
      <c r="M12" s="328">
        <v>0.58399999999999996</v>
      </c>
      <c r="N12" s="328">
        <v>0.68899999999999995</v>
      </c>
    </row>
    <row r="13" spans="1:18" ht="15.75" customHeight="1">
      <c r="A13" s="2136"/>
      <c r="B13" s="328">
        <v>38.1</v>
      </c>
      <c r="H13" s="328">
        <v>0.26700000000000002</v>
      </c>
      <c r="I13" s="328">
        <v>0.28000000000000003</v>
      </c>
      <c r="J13" s="328">
        <v>0.33500000000000002</v>
      </c>
      <c r="K13" s="328">
        <v>0.41499999999999998</v>
      </c>
      <c r="L13" s="328">
        <v>0.51600000000000001</v>
      </c>
      <c r="M13" s="328">
        <v>0.67300000000000004</v>
      </c>
      <c r="N13" s="328">
        <v>0.79600000000000004</v>
      </c>
    </row>
    <row r="14" spans="1:18" ht="15.75" customHeight="1">
      <c r="A14" s="2136"/>
      <c r="B14" s="328">
        <v>42.2</v>
      </c>
      <c r="H14" s="328">
        <v>0.29599999999999999</v>
      </c>
      <c r="I14" s="328">
        <v>0.311</v>
      </c>
      <c r="J14" s="328">
        <v>0.372</v>
      </c>
      <c r="K14" s="328">
        <v>0.46200000000000002</v>
      </c>
      <c r="L14" s="328">
        <v>0.60799999999999998</v>
      </c>
      <c r="M14" s="328">
        <v>0.75</v>
      </c>
      <c r="N14" s="328">
        <v>0.88900000000000001</v>
      </c>
    </row>
    <row r="15" spans="1:18" ht="15.75" customHeight="1">
      <c r="A15" s="2136"/>
      <c r="B15" s="328">
        <v>45</v>
      </c>
      <c r="H15" s="328">
        <v>0.316</v>
      </c>
      <c r="I15" s="328">
        <v>0.33300000000000002</v>
      </c>
      <c r="J15" s="328">
        <v>0.39700000000000002</v>
      </c>
      <c r="K15" s="328">
        <v>0.49299999999999999</v>
      </c>
      <c r="L15" s="328">
        <v>0.65</v>
      </c>
      <c r="M15" s="328">
        <v>0.80300000000000005</v>
      </c>
      <c r="N15" s="328">
        <v>0.95299999999999996</v>
      </c>
    </row>
    <row r="16" spans="1:18" ht="15.75" customHeight="1">
      <c r="A16" s="2136"/>
      <c r="B16" s="328">
        <v>48.3</v>
      </c>
      <c r="H16" s="328">
        <v>0.34</v>
      </c>
      <c r="I16" s="328">
        <v>0.35799999999999998</v>
      </c>
      <c r="J16" s="328">
        <v>0.42699999999999999</v>
      </c>
      <c r="K16" s="328">
        <v>0.53100000000000003</v>
      </c>
      <c r="L16" s="328">
        <v>0.7</v>
      </c>
      <c r="M16" s="328">
        <v>0.86599999999999999</v>
      </c>
      <c r="N16" s="328">
        <v>1.0269999999999999</v>
      </c>
    </row>
    <row r="17" spans="1:18" ht="15.75" customHeight="1">
      <c r="A17" s="2136"/>
      <c r="B17" s="328">
        <v>48.4</v>
      </c>
      <c r="H17" s="328">
        <v>0.34100000000000003</v>
      </c>
      <c r="I17" s="328">
        <v>0.35799999999999998</v>
      </c>
      <c r="J17" s="328">
        <v>0.42799999999999999</v>
      </c>
      <c r="K17" s="328">
        <v>0.58199999999999996</v>
      </c>
      <c r="L17" s="328">
        <v>0.70199999999999996</v>
      </c>
      <c r="M17" s="328">
        <v>0.86699999999999999</v>
      </c>
      <c r="N17" s="328">
        <v>1.03</v>
      </c>
      <c r="Q17" s="328">
        <f t="shared" ref="Q17:Q18" si="0">K17*3.28</f>
        <v>1.9089599999999998</v>
      </c>
      <c r="R17" s="328">
        <f t="shared" ref="R17:R18" si="1">L17*3.28</f>
        <v>2.3025599999999997</v>
      </c>
    </row>
    <row r="18" spans="1:18" ht="15.75" customHeight="1">
      <c r="A18" s="2136"/>
      <c r="B18" s="328">
        <v>50.8</v>
      </c>
      <c r="H18" s="328">
        <v>0.35799999999999998</v>
      </c>
      <c r="I18" s="328">
        <v>0.376</v>
      </c>
      <c r="J18" s="328">
        <v>0.45</v>
      </c>
      <c r="K18" s="328">
        <v>0.55900000000000005</v>
      </c>
      <c r="L18" s="328">
        <v>0.73799999999999999</v>
      </c>
      <c r="M18" s="328">
        <v>0.89800000000000002</v>
      </c>
      <c r="N18" s="328">
        <v>1.0840000000000001</v>
      </c>
      <c r="Q18" s="328">
        <f t="shared" si="0"/>
        <v>1.83352</v>
      </c>
      <c r="R18" s="328">
        <f t="shared" si="1"/>
        <v>2.4206399999999997</v>
      </c>
    </row>
    <row r="19" spans="1:18" ht="15.75" customHeight="1">
      <c r="A19" s="2136"/>
      <c r="B19" s="328">
        <v>60.3</v>
      </c>
      <c r="I19" s="328">
        <v>0.44800000000000001</v>
      </c>
      <c r="J19" s="328">
        <v>0.53600000000000003</v>
      </c>
      <c r="K19" s="328">
        <v>0.66700000000000004</v>
      </c>
      <c r="L19" s="328">
        <v>0.88100000000000001</v>
      </c>
      <c r="M19" s="328">
        <v>1.0920000000000001</v>
      </c>
      <c r="N19" s="328">
        <v>1.3</v>
      </c>
    </row>
    <row r="20" spans="1:18" ht="15.75" customHeight="1">
      <c r="A20" s="2136"/>
      <c r="B20" s="328">
        <v>63.5</v>
      </c>
      <c r="I20" s="328">
        <v>0.47299999999999998</v>
      </c>
      <c r="J20" s="328">
        <v>0.56499999999999995</v>
      </c>
      <c r="K20" s="328">
        <v>0.70299999999999996</v>
      </c>
      <c r="L20" s="328">
        <v>0.93</v>
      </c>
      <c r="M20" s="328">
        <v>1.153</v>
      </c>
      <c r="N20" s="328">
        <v>1.3720000000000001</v>
      </c>
    </row>
    <row r="21" spans="1:18" ht="15.75" customHeight="1">
      <c r="A21" s="2136"/>
      <c r="B21" s="328">
        <v>76.2</v>
      </c>
      <c r="J21" s="328">
        <v>0.68</v>
      </c>
      <c r="K21" s="328">
        <v>0.84699999999999998</v>
      </c>
      <c r="L21" s="328">
        <v>1.1220000000000001</v>
      </c>
      <c r="M21" s="328">
        <v>1.3919999999999999</v>
      </c>
      <c r="N21" s="328">
        <v>1.663</v>
      </c>
    </row>
    <row r="22" spans="1:18" ht="15.75" customHeight="1">
      <c r="A22" s="2136"/>
      <c r="B22" s="328">
        <v>88.9</v>
      </c>
      <c r="J22" s="328">
        <v>0.79600000000000004</v>
      </c>
      <c r="K22" s="328">
        <v>0.99099999999999999</v>
      </c>
      <c r="L22" s="328">
        <v>1.3140000000000001</v>
      </c>
      <c r="M22" s="328">
        <v>1.633</v>
      </c>
      <c r="N22" s="328">
        <v>1.948</v>
      </c>
    </row>
    <row r="23" spans="1:18" ht="15.75" customHeight="1">
      <c r="A23" s="2136"/>
      <c r="B23" s="328">
        <v>101.6</v>
      </c>
      <c r="J23" s="328">
        <v>0.91100000000000003</v>
      </c>
      <c r="K23" s="328">
        <v>1.135</v>
      </c>
      <c r="L23" s="328">
        <v>1.506</v>
      </c>
      <c r="M23" s="328">
        <v>1.873</v>
      </c>
      <c r="N23" s="328">
        <v>2.2360000000000002</v>
      </c>
    </row>
    <row r="24" spans="1:18" ht="15.75" customHeight="1">
      <c r="A24" s="2136"/>
      <c r="B24" s="2136"/>
      <c r="C24" s="2136"/>
      <c r="D24" s="2136"/>
      <c r="E24" s="2136"/>
      <c r="F24" s="2136"/>
      <c r="G24" s="2136"/>
      <c r="H24" s="2136"/>
      <c r="I24" s="2136"/>
      <c r="J24" s="2136"/>
      <c r="K24" s="2136"/>
      <c r="L24" s="2136"/>
      <c r="M24" s="2136"/>
      <c r="N24" s="2136"/>
    </row>
    <row r="25" spans="1:18" ht="15" customHeight="1">
      <c r="A25" s="2136" t="s">
        <v>2611</v>
      </c>
      <c r="B25" s="2136"/>
      <c r="C25" s="2136"/>
      <c r="D25" s="2136"/>
      <c r="E25" s="2136"/>
      <c r="F25" s="2136"/>
      <c r="G25" s="2136"/>
      <c r="H25" s="2136"/>
      <c r="I25" s="2136"/>
      <c r="J25" s="2136"/>
      <c r="K25" s="2136"/>
      <c r="L25" s="2136"/>
      <c r="M25" s="2136"/>
      <c r="N25" s="2136"/>
    </row>
    <row r="26" spans="1:18" ht="15.75" customHeight="1">
      <c r="A26" s="328" t="s">
        <v>2612</v>
      </c>
      <c r="B26" s="328" t="s">
        <v>2610</v>
      </c>
      <c r="C26" s="328">
        <v>0.4</v>
      </c>
      <c r="D26" s="328">
        <v>0.5</v>
      </c>
      <c r="E26" s="328">
        <v>0.65</v>
      </c>
      <c r="F26" s="328">
        <v>0.8</v>
      </c>
      <c r="G26" s="328">
        <v>0.9</v>
      </c>
      <c r="H26" s="328">
        <v>0.95</v>
      </c>
      <c r="I26" s="328">
        <v>1</v>
      </c>
      <c r="J26" s="328">
        <v>1.2</v>
      </c>
      <c r="K26" s="328">
        <v>1.5</v>
      </c>
      <c r="L26" s="328">
        <v>2</v>
      </c>
      <c r="M26" s="328">
        <v>2.5</v>
      </c>
      <c r="N26" s="328">
        <v>3</v>
      </c>
    </row>
    <row r="27" spans="1:18" ht="15.75" customHeight="1">
      <c r="A27" s="2136"/>
      <c r="B27" s="328" t="s">
        <v>2613</v>
      </c>
      <c r="E27" s="328">
        <v>7.4999999999999997E-2</v>
      </c>
      <c r="F27" s="328">
        <v>9.0999999999999998E-2</v>
      </c>
      <c r="G27" s="328">
        <v>0.10199999999999999</v>
      </c>
      <c r="H27" s="328">
        <v>0.107</v>
      </c>
      <c r="I27" s="328">
        <v>0.112</v>
      </c>
      <c r="J27" s="328">
        <v>0.13300000000000001</v>
      </c>
      <c r="K27" s="328">
        <v>0.16300000000000001</v>
      </c>
    </row>
    <row r="28" spans="1:18" ht="15.75" customHeight="1">
      <c r="A28" s="2136"/>
      <c r="B28" s="328" t="s">
        <v>2614</v>
      </c>
      <c r="F28" s="328">
        <v>0.14899999999999999</v>
      </c>
      <c r="G28" s="328">
        <v>0.16700000000000001</v>
      </c>
      <c r="H28" s="328">
        <v>0.17599999999999999</v>
      </c>
      <c r="I28" s="328">
        <v>0.184</v>
      </c>
      <c r="J28" s="328">
        <v>0.22</v>
      </c>
      <c r="K28" s="328">
        <v>0.27100000000000002</v>
      </c>
      <c r="L28" s="328">
        <v>0.35399999999999998</v>
      </c>
      <c r="M28" s="328">
        <v>0.433</v>
      </c>
      <c r="N28" s="328">
        <v>0.50800000000000001</v>
      </c>
    </row>
    <row r="29" spans="1:18" ht="15.75" customHeight="1">
      <c r="A29" s="2136"/>
      <c r="B29" s="328" t="s">
        <v>2615</v>
      </c>
      <c r="F29" s="328">
        <v>0.187</v>
      </c>
      <c r="G29" s="328">
        <v>0.21</v>
      </c>
      <c r="H29" s="328">
        <v>0.221</v>
      </c>
      <c r="I29" s="328">
        <v>0.23200000000000001</v>
      </c>
      <c r="J29" s="328">
        <v>0.27700000000000002</v>
      </c>
      <c r="K29" s="328">
        <v>0.34300000000000003</v>
      </c>
      <c r="L29" s="328">
        <v>0.45</v>
      </c>
      <c r="M29" s="328">
        <v>0.55300000000000005</v>
      </c>
      <c r="N29" s="328">
        <v>0.65200000000000002</v>
      </c>
    </row>
    <row r="30" spans="1:18" ht="15.75" customHeight="1">
      <c r="A30" s="2136"/>
      <c r="B30" s="328" t="s">
        <v>2616</v>
      </c>
      <c r="H30" s="328">
        <v>0.26700000000000002</v>
      </c>
      <c r="I30" s="328">
        <v>0.28000000000000003</v>
      </c>
      <c r="J30" s="328">
        <v>0.33500000000000002</v>
      </c>
      <c r="K30" s="328">
        <v>0.41499999999999998</v>
      </c>
      <c r="L30" s="328">
        <v>0.51600000000000001</v>
      </c>
      <c r="M30" s="328">
        <v>0.67300000000000004</v>
      </c>
      <c r="N30" s="328">
        <v>1.03</v>
      </c>
    </row>
    <row r="31" spans="1:18" ht="15.75" customHeight="1">
      <c r="A31" s="2136"/>
      <c r="B31" s="328" t="s">
        <v>2617</v>
      </c>
      <c r="H31" s="328">
        <v>0.34100000000000003</v>
      </c>
      <c r="I31" s="328">
        <v>0.35799999999999998</v>
      </c>
      <c r="J31" s="328">
        <v>0.42799999999999999</v>
      </c>
      <c r="K31" s="328">
        <v>0.58199999999999996</v>
      </c>
      <c r="L31" s="328">
        <v>0.70199999999999996</v>
      </c>
      <c r="M31" s="328">
        <v>0.86699999999999999</v>
      </c>
      <c r="N31" s="328">
        <v>1.03</v>
      </c>
    </row>
    <row r="32" spans="1:18" ht="15.75" customHeight="1">
      <c r="A32" s="2136"/>
      <c r="B32" s="328" t="s">
        <v>2618</v>
      </c>
      <c r="H32" s="328">
        <v>0.35399999999999998</v>
      </c>
      <c r="I32" s="328">
        <v>0.373</v>
      </c>
      <c r="J32" s="328">
        <v>0.44500000000000001</v>
      </c>
      <c r="K32" s="328">
        <v>0.55300000000000005</v>
      </c>
      <c r="L32" s="328">
        <v>0.73</v>
      </c>
      <c r="M32" s="328">
        <v>0.90300000000000002</v>
      </c>
      <c r="N32" s="328">
        <v>1.073</v>
      </c>
    </row>
    <row r="33" spans="1:14" ht="15.75" customHeight="1">
      <c r="A33" s="2136"/>
      <c r="B33" s="328" t="s">
        <v>2619</v>
      </c>
      <c r="H33" s="328">
        <v>0.45</v>
      </c>
      <c r="I33" s="328">
        <v>0.47299999999999998</v>
      </c>
      <c r="J33" s="328">
        <v>0.56499999999999995</v>
      </c>
      <c r="K33" s="328">
        <v>0.70299999999999996</v>
      </c>
      <c r="L33" s="328">
        <v>0.93</v>
      </c>
      <c r="M33" s="328">
        <v>1.153</v>
      </c>
      <c r="N33" s="328">
        <v>1.3720000000000001</v>
      </c>
    </row>
    <row r="34" spans="1:14" ht="15.75" customHeight="1">
      <c r="A34" s="2136"/>
      <c r="B34" s="2136"/>
      <c r="C34" s="2136"/>
      <c r="D34" s="2136"/>
      <c r="E34" s="2136"/>
      <c r="F34" s="2136"/>
      <c r="G34" s="2136"/>
      <c r="H34" s="2136"/>
      <c r="I34" s="2136"/>
      <c r="J34" s="2136"/>
      <c r="K34" s="2136"/>
      <c r="L34" s="2136"/>
      <c r="M34" s="2136"/>
      <c r="N34" s="2136"/>
    </row>
    <row r="35" spans="1:14" ht="15" customHeight="1">
      <c r="A35" s="2136" t="s">
        <v>2620</v>
      </c>
      <c r="B35" s="2136"/>
      <c r="C35" s="2136"/>
      <c r="D35" s="2136"/>
      <c r="E35" s="2136"/>
      <c r="F35" s="2136"/>
      <c r="G35" s="2136"/>
      <c r="H35" s="2136"/>
      <c r="I35" s="2136"/>
      <c r="J35" s="2136"/>
      <c r="K35" s="2136"/>
      <c r="L35" s="2136"/>
      <c r="M35" s="2136"/>
      <c r="N35" s="2136"/>
    </row>
    <row r="36" spans="1:14" ht="15.75" customHeight="1">
      <c r="A36" s="328" t="s">
        <v>2621</v>
      </c>
      <c r="B36" s="328" t="s">
        <v>2610</v>
      </c>
      <c r="C36" s="328">
        <v>0.4</v>
      </c>
      <c r="D36" s="328">
        <v>0.5</v>
      </c>
      <c r="E36" s="328">
        <v>0.65</v>
      </c>
      <c r="F36" s="328">
        <v>0.8</v>
      </c>
      <c r="G36" s="328">
        <v>0.9</v>
      </c>
      <c r="H36" s="328">
        <v>0.95</v>
      </c>
      <c r="I36" s="328">
        <v>1</v>
      </c>
      <c r="J36" s="328">
        <v>1.2</v>
      </c>
      <c r="K36" s="328">
        <v>1.5</v>
      </c>
      <c r="L36" s="328">
        <v>2</v>
      </c>
      <c r="M36" s="328">
        <v>2.5</v>
      </c>
      <c r="N36" s="328">
        <v>3</v>
      </c>
    </row>
    <row r="37" spans="1:14" ht="15.75" customHeight="1">
      <c r="A37" s="2136"/>
      <c r="B37" s="328" t="s">
        <v>2622</v>
      </c>
      <c r="H37" s="328">
        <v>0.13</v>
      </c>
      <c r="I37" s="328">
        <v>0.13600000000000001</v>
      </c>
      <c r="J37" s="328">
        <v>0.16200000000000001</v>
      </c>
      <c r="K37" s="328">
        <v>0.19900000000000001</v>
      </c>
      <c r="L37" s="328">
        <v>0.25800000000000001</v>
      </c>
      <c r="M37" s="328">
        <v>0.313</v>
      </c>
      <c r="N37" s="328">
        <v>0.36399999999999999</v>
      </c>
    </row>
    <row r="38" spans="1:14" ht="15.75" customHeight="1">
      <c r="A38" s="2136"/>
      <c r="B38" s="328" t="s">
        <v>2623</v>
      </c>
      <c r="H38" s="328">
        <v>0.34100000000000003</v>
      </c>
      <c r="I38" s="328">
        <v>0.35799999999999998</v>
      </c>
      <c r="J38" s="328">
        <v>0.42799999999999999</v>
      </c>
      <c r="K38" s="328">
        <v>0.58199999999999996</v>
      </c>
      <c r="L38" s="328">
        <v>0.70199999999999996</v>
      </c>
      <c r="M38" s="328">
        <v>0.89500000000000002</v>
      </c>
      <c r="N38" s="328">
        <v>0.33</v>
      </c>
    </row>
    <row r="39" spans="1:14" ht="15.75" customHeight="1">
      <c r="A39" s="2136"/>
      <c r="B39" s="328" t="s">
        <v>2624</v>
      </c>
      <c r="H39" s="328">
        <v>0.221</v>
      </c>
      <c r="I39" s="328">
        <v>0.23200000000000001</v>
      </c>
      <c r="J39" s="328">
        <v>0.27700000000000002</v>
      </c>
      <c r="K39" s="328">
        <v>0.34300000000000003</v>
      </c>
      <c r="L39" s="328">
        <v>0.45</v>
      </c>
      <c r="M39" s="328">
        <v>0.55300000000000005</v>
      </c>
      <c r="N39" s="328">
        <v>0.65200000000000002</v>
      </c>
    </row>
    <row r="40" spans="1:14" ht="15.75" customHeight="1">
      <c r="A40" s="2136"/>
      <c r="B40" s="328" t="s">
        <v>2625</v>
      </c>
      <c r="I40" s="328">
        <v>0.28000000000000003</v>
      </c>
      <c r="J40" s="328">
        <v>0.33500000000000002</v>
      </c>
      <c r="K40" s="328">
        <v>0.41499999999999998</v>
      </c>
      <c r="L40" s="328">
        <v>0.51600000000000001</v>
      </c>
      <c r="M40" s="328">
        <v>0.67300000000000004</v>
      </c>
      <c r="N40" s="328">
        <v>0.79600000000000004</v>
      </c>
    </row>
    <row r="41" spans="1:14" ht="15.75" customHeight="1">
      <c r="A41" s="2136"/>
      <c r="B41" s="328" t="s">
        <v>2626</v>
      </c>
      <c r="H41" s="328">
        <v>0.34100000000000003</v>
      </c>
      <c r="I41" s="328">
        <v>0.35799999999999998</v>
      </c>
      <c r="J41" s="328">
        <v>0.42799999999999999</v>
      </c>
      <c r="K41" s="328">
        <v>0.58199999999999996</v>
      </c>
      <c r="L41" s="328">
        <v>0.70199999999999996</v>
      </c>
      <c r="M41" s="328">
        <v>0.89500000000000002</v>
      </c>
      <c r="N41" s="328">
        <v>0.33</v>
      </c>
    </row>
    <row r="42" spans="1:14" ht="15.75" customHeight="1">
      <c r="A42" s="2136"/>
      <c r="B42" s="328" t="s">
        <v>2627</v>
      </c>
      <c r="I42" s="328">
        <v>0.47299999999999998</v>
      </c>
      <c r="J42" s="328">
        <v>0.56499999999999995</v>
      </c>
      <c r="K42" s="328">
        <v>0.70299999999999996</v>
      </c>
      <c r="L42" s="328">
        <v>0.93</v>
      </c>
      <c r="M42" s="328">
        <v>1.153</v>
      </c>
      <c r="N42" s="328">
        <v>1.3720000000000001</v>
      </c>
    </row>
    <row r="43" spans="1:14" ht="15.75" customHeight="1">
      <c r="A43" s="2136"/>
      <c r="B43" s="328" t="s">
        <v>2628</v>
      </c>
      <c r="I43" s="328">
        <v>0.47299999999999998</v>
      </c>
      <c r="J43" s="328">
        <v>0.56499999999999995</v>
      </c>
      <c r="K43" s="328">
        <v>0.70299999999999996</v>
      </c>
      <c r="L43" s="328">
        <v>0.93</v>
      </c>
      <c r="M43" s="328">
        <v>1.153</v>
      </c>
      <c r="N43" s="328">
        <v>1.03</v>
      </c>
    </row>
    <row r="44" spans="1:14" ht="15.75" customHeight="1">
      <c r="A44" s="2136"/>
      <c r="B44" s="2136"/>
      <c r="C44" s="2136"/>
      <c r="D44" s="2136"/>
      <c r="E44" s="2136"/>
      <c r="F44" s="2136"/>
      <c r="G44" s="2136"/>
      <c r="H44" s="2136"/>
      <c r="I44" s="2136"/>
      <c r="J44" s="2136"/>
      <c r="K44" s="2136"/>
      <c r="L44" s="2136"/>
      <c r="M44" s="2136"/>
      <c r="N44" s="2136"/>
    </row>
    <row r="45" spans="1:14" ht="15" customHeight="1">
      <c r="A45" s="2136" t="s">
        <v>2629</v>
      </c>
      <c r="B45" s="2136"/>
      <c r="C45" s="2136"/>
      <c r="D45" s="2136"/>
      <c r="E45" s="2136"/>
      <c r="F45" s="2136"/>
      <c r="G45" s="2136"/>
      <c r="H45" s="2136"/>
      <c r="I45" s="2136"/>
      <c r="J45" s="2136"/>
      <c r="K45" s="2136"/>
      <c r="L45" s="2136"/>
      <c r="M45" s="2136"/>
      <c r="N45" s="2136"/>
    </row>
    <row r="46" spans="1:14" ht="15.75" customHeight="1">
      <c r="A46" s="328" t="s">
        <v>2630</v>
      </c>
      <c r="B46" s="328" t="s">
        <v>2610</v>
      </c>
      <c r="C46" s="328">
        <v>0.4</v>
      </c>
      <c r="D46" s="328">
        <v>0.5</v>
      </c>
      <c r="E46" s="328">
        <v>0.65</v>
      </c>
      <c r="F46" s="328">
        <v>0.8</v>
      </c>
      <c r="G46" s="328">
        <v>0.9</v>
      </c>
      <c r="H46" s="328">
        <v>0.95</v>
      </c>
      <c r="I46" s="328">
        <v>1</v>
      </c>
      <c r="J46" s="328">
        <v>1.2</v>
      </c>
      <c r="K46" s="328">
        <v>1.5</v>
      </c>
      <c r="L46" s="328">
        <v>2</v>
      </c>
      <c r="M46" s="328">
        <v>2.5</v>
      </c>
      <c r="N46" s="328">
        <v>3</v>
      </c>
    </row>
    <row r="47" spans="1:14" ht="15.75" customHeight="1">
      <c r="A47" s="2136"/>
      <c r="B47" s="328" t="s">
        <v>2631</v>
      </c>
      <c r="E47" s="328">
        <v>0.12</v>
      </c>
      <c r="F47" s="328">
        <v>0.15</v>
      </c>
      <c r="G47" s="328">
        <v>0.17</v>
      </c>
      <c r="H47" s="328">
        <v>0.18</v>
      </c>
      <c r="I47" s="328">
        <v>0.18</v>
      </c>
      <c r="J47" s="328">
        <v>0.22</v>
      </c>
      <c r="K47" s="328">
        <v>0.27</v>
      </c>
      <c r="L47" s="328">
        <v>0.35</v>
      </c>
    </row>
    <row r="48" spans="1:14" ht="15.75" customHeight="1">
      <c r="A48" s="2136"/>
      <c r="B48" s="328" t="s">
        <v>2632</v>
      </c>
      <c r="H48" s="328">
        <v>0.36</v>
      </c>
      <c r="I48" s="328">
        <v>0.38</v>
      </c>
      <c r="J48" s="328">
        <v>0.45</v>
      </c>
      <c r="K48" s="328">
        <v>0.56000000000000005</v>
      </c>
      <c r="L48" s="328">
        <v>0.74</v>
      </c>
      <c r="M48" s="328">
        <v>0.9</v>
      </c>
      <c r="N48" s="328">
        <v>1.08</v>
      </c>
    </row>
  </sheetData>
  <sheetProtection selectLockedCells="1" selectUnlockedCells="1"/>
  <mergeCells count="11">
    <mergeCell ref="A34:N34"/>
    <mergeCell ref="A3:N3"/>
    <mergeCell ref="A5:A23"/>
    <mergeCell ref="A24:N24"/>
    <mergeCell ref="A25:N25"/>
    <mergeCell ref="A27:A33"/>
    <mergeCell ref="A35:N35"/>
    <mergeCell ref="A37:A43"/>
    <mergeCell ref="A44:N44"/>
    <mergeCell ref="A45:N45"/>
    <mergeCell ref="A47:A48"/>
  </mergeCells>
  <pageMargins left="0.7" right="0.7" top="0.75" bottom="0.75" header="0.51180555555555551" footer="0.51180555555555551"/>
  <pageSetup firstPageNumber="0" orientation="portrait" horizontalDpi="300" verticalDpi="300" r:id="rId1"/>
  <headerFooter alignWithMargins="0"/>
  <drawing r:id="rId2"/>
</worksheet>
</file>

<file path=xl/worksheets/sheet15.xml><?xml version="1.0" encoding="utf-8"?>
<worksheet xmlns="http://schemas.openxmlformats.org/spreadsheetml/2006/main" xmlns:r="http://schemas.openxmlformats.org/officeDocument/2006/relationships">
  <dimension ref="A1:L61"/>
  <sheetViews>
    <sheetView view="pageBreakPreview" zoomScaleSheetLayoutView="100" workbookViewId="0">
      <selection activeCell="K16" sqref="K16"/>
    </sheetView>
  </sheetViews>
  <sheetFormatPr defaultColWidth="11" defaultRowHeight="14.25"/>
  <cols>
    <col min="1" max="7" width="7.140625" style="1" customWidth="1"/>
    <col min="8" max="8" width="10.28515625" style="1" customWidth="1"/>
    <col min="9" max="12" width="7.140625" style="1" customWidth="1"/>
    <col min="13" max="16384" width="11" style="1"/>
  </cols>
  <sheetData>
    <row r="1" spans="1:12" ht="12.75" customHeight="1">
      <c r="A1" s="328"/>
      <c r="B1" s="328"/>
      <c r="C1" s="328"/>
      <c r="D1" s="328"/>
      <c r="E1" s="328"/>
      <c r="F1" s="328"/>
      <c r="G1" s="328"/>
      <c r="H1" s="328"/>
      <c r="I1" s="328"/>
      <c r="J1" s="328"/>
      <c r="K1" s="328"/>
      <c r="L1" s="328"/>
    </row>
    <row r="2" spans="1:12" ht="12.75" customHeight="1">
      <c r="A2" s="328"/>
      <c r="B2" s="2136" t="s">
        <v>2633</v>
      </c>
      <c r="C2" s="2136"/>
      <c r="D2" s="2136"/>
      <c r="E2" s="2136"/>
      <c r="F2" s="2136"/>
      <c r="G2" s="2136"/>
      <c r="H2" s="2136"/>
      <c r="I2" s="2136"/>
      <c r="J2" s="2136"/>
      <c r="K2" s="2136"/>
      <c r="L2" s="328"/>
    </row>
    <row r="3" spans="1:12" ht="12.75" customHeight="1">
      <c r="A3" s="328"/>
      <c r="B3" s="2136" t="str">
        <f>Input!$C$2</f>
        <v>Name of Work:  Creation of Infrastructure Facilities for skill Dvelopment lab at 6th Floor OPD Block-3 in Gandhi Hospital, Secunderabad (Balance Work)</v>
      </c>
      <c r="C3" s="2136"/>
      <c r="D3" s="2136"/>
      <c r="E3" s="2136"/>
      <c r="F3" s="2136"/>
      <c r="G3" s="2136"/>
      <c r="H3" s="2136"/>
      <c r="I3" s="2136"/>
      <c r="J3" s="2136"/>
      <c r="K3" s="2136"/>
      <c r="L3" s="328"/>
    </row>
    <row r="4" spans="1:12" ht="12.75" customHeight="1">
      <c r="A4" s="328"/>
      <c r="L4" s="328"/>
    </row>
    <row r="5" spans="1:12" ht="12.75" customHeight="1">
      <c r="A5" s="328"/>
      <c r="B5" s="328" t="s">
        <v>2634</v>
      </c>
      <c r="C5" s="328"/>
      <c r="L5" s="328"/>
    </row>
    <row r="6" spans="1:12" ht="12.75" customHeight="1">
      <c r="A6" s="328"/>
      <c r="B6" s="328" t="s">
        <v>2635</v>
      </c>
      <c r="C6" s="328"/>
      <c r="L6" s="328"/>
    </row>
    <row r="7" spans="1:12" ht="15">
      <c r="A7" s="328"/>
      <c r="B7" s="1" t="s">
        <v>2636</v>
      </c>
      <c r="G7" s="328" t="s">
        <v>2637</v>
      </c>
      <c r="H7" s="328">
        <v>300</v>
      </c>
      <c r="I7" s="1" t="s">
        <v>955</v>
      </c>
      <c r="L7" s="328"/>
    </row>
    <row r="8" spans="1:12" ht="12.75" customHeight="1">
      <c r="A8" s="328"/>
      <c r="G8" s="328"/>
      <c r="H8" s="328">
        <f>SUM(H7:H7)</f>
        <v>300</v>
      </c>
      <c r="I8" s="1" t="s">
        <v>955</v>
      </c>
      <c r="L8" s="328"/>
    </row>
    <row r="9" spans="1:12" ht="12.75" customHeight="1">
      <c r="A9" s="328"/>
      <c r="B9" s="1" t="s">
        <v>2638</v>
      </c>
      <c r="G9" s="328" t="s">
        <v>2637</v>
      </c>
      <c r="H9" s="328">
        <v>450</v>
      </c>
      <c r="I9" s="1" t="s">
        <v>2588</v>
      </c>
      <c r="L9" s="328"/>
    </row>
    <row r="10" spans="1:12" ht="12.75" customHeight="1">
      <c r="A10" s="328"/>
      <c r="G10" s="328"/>
      <c r="H10" s="328"/>
      <c r="L10" s="328"/>
    </row>
    <row r="11" spans="1:12" ht="12.75" customHeight="1">
      <c r="A11" s="328"/>
      <c r="B11" s="1" t="s">
        <v>2639</v>
      </c>
      <c r="G11" s="328" t="s">
        <v>2637</v>
      </c>
      <c r="H11" s="328">
        <f>+H8*H9</f>
        <v>135000</v>
      </c>
      <c r="I11" s="1" t="s">
        <v>2599</v>
      </c>
      <c r="L11" s="328"/>
    </row>
    <row r="12" spans="1:12" ht="12.75" customHeight="1">
      <c r="A12" s="328"/>
      <c r="G12" s="328"/>
      <c r="H12" s="328"/>
      <c r="L12" s="328"/>
    </row>
    <row r="13" spans="1:12" ht="12.75" customHeight="1">
      <c r="A13" s="328"/>
      <c r="L13" s="328"/>
    </row>
    <row r="14" spans="1:12" ht="12.75" customHeight="1">
      <c r="A14" s="328"/>
      <c r="B14" s="328" t="s">
        <v>2640</v>
      </c>
      <c r="L14" s="328"/>
    </row>
    <row r="15" spans="1:12" ht="12.75" customHeight="1">
      <c r="A15" s="328"/>
      <c r="B15" s="1" t="s">
        <v>2641</v>
      </c>
      <c r="L15" s="328"/>
    </row>
    <row r="16" spans="1:12" ht="12.75" customHeight="1">
      <c r="A16" s="328"/>
      <c r="L16" s="328"/>
    </row>
    <row r="17" spans="1:12" ht="12.75" customHeight="1">
      <c r="A17" s="328"/>
      <c r="B17" s="1" t="s">
        <v>2642</v>
      </c>
      <c r="G17" s="328" t="s">
        <v>2637</v>
      </c>
      <c r="H17" s="1" t="s">
        <v>2643</v>
      </c>
      <c r="L17" s="328"/>
    </row>
    <row r="18" spans="1:12" ht="12.75" customHeight="1">
      <c r="A18" s="328"/>
      <c r="G18" s="328" t="s">
        <v>2637</v>
      </c>
      <c r="H18" s="328">
        <f>+H11*0.5</f>
        <v>67500</v>
      </c>
      <c r="I18" s="1" t="s">
        <v>2599</v>
      </c>
      <c r="L18" s="328"/>
    </row>
    <row r="19" spans="1:12" ht="12.75" customHeight="1">
      <c r="A19" s="328"/>
      <c r="F19" s="1" t="s">
        <v>1065</v>
      </c>
      <c r="G19" s="328" t="s">
        <v>2637</v>
      </c>
      <c r="H19" s="328">
        <v>70000</v>
      </c>
      <c r="I19" s="1" t="s">
        <v>2599</v>
      </c>
      <c r="L19" s="328"/>
    </row>
    <row r="20" spans="1:12" ht="12.75" customHeight="1">
      <c r="A20" s="328"/>
      <c r="B20" s="1" t="s">
        <v>2606</v>
      </c>
      <c r="E20" s="1" t="s">
        <v>2644</v>
      </c>
      <c r="G20" s="328" t="s">
        <v>2637</v>
      </c>
      <c r="H20" s="328">
        <v>30000</v>
      </c>
      <c r="I20" s="1" t="s">
        <v>2599</v>
      </c>
      <c r="J20" s="1" t="s">
        <v>501</v>
      </c>
      <c r="L20" s="328"/>
    </row>
    <row r="21" spans="1:12" ht="12.75" customHeight="1">
      <c r="A21" s="328"/>
      <c r="G21" s="328"/>
      <c r="H21" s="328"/>
      <c r="L21" s="328"/>
    </row>
    <row r="22" spans="1:12" ht="12.75" customHeight="1">
      <c r="A22" s="328"/>
      <c r="B22" s="1" t="s">
        <v>2645</v>
      </c>
      <c r="G22" s="328"/>
      <c r="L22" s="328"/>
    </row>
    <row r="23" spans="1:12" ht="12.75" customHeight="1">
      <c r="A23" s="328"/>
      <c r="F23" s="542" t="s">
        <v>2646</v>
      </c>
      <c r="G23" s="328" t="s">
        <v>2637</v>
      </c>
      <c r="H23" s="328">
        <f>+H11*1.5</f>
        <v>202500</v>
      </c>
      <c r="I23" s="1" t="s">
        <v>2599</v>
      </c>
      <c r="L23" s="328"/>
    </row>
    <row r="24" spans="1:12" ht="12.75" customHeight="1">
      <c r="A24" s="328"/>
      <c r="F24" s="542" t="s">
        <v>2647</v>
      </c>
      <c r="G24" s="328" t="s">
        <v>2637</v>
      </c>
      <c r="H24" s="328">
        <f>+H11</f>
        <v>135000</v>
      </c>
      <c r="I24" s="1" t="s">
        <v>2599</v>
      </c>
      <c r="L24" s="328"/>
    </row>
    <row r="25" spans="1:12" ht="12.75" customHeight="1">
      <c r="A25" s="328"/>
      <c r="F25" s="542" t="s">
        <v>1065</v>
      </c>
      <c r="G25" s="328" t="s">
        <v>2637</v>
      </c>
      <c r="H25" s="328">
        <v>150000</v>
      </c>
      <c r="I25" s="1" t="s">
        <v>2599</v>
      </c>
      <c r="L25" s="328"/>
    </row>
    <row r="26" spans="1:12" ht="12.75" customHeight="1">
      <c r="A26" s="328"/>
      <c r="G26" s="328"/>
      <c r="H26" s="328"/>
      <c r="L26" s="328"/>
    </row>
    <row r="27" spans="1:12" ht="12.75" customHeight="1">
      <c r="A27" s="328"/>
      <c r="G27" s="328"/>
      <c r="H27" s="328"/>
      <c r="L27" s="328"/>
    </row>
    <row r="28" spans="1:12" ht="12.75" customHeight="1">
      <c r="A28" s="328"/>
      <c r="L28" s="328"/>
    </row>
    <row r="29" spans="1:12" ht="12.75" customHeight="1">
      <c r="A29" s="328"/>
      <c r="G29" s="328"/>
      <c r="H29" s="328"/>
      <c r="L29" s="328"/>
    </row>
    <row r="30" spans="1:12" ht="12.75" customHeight="1">
      <c r="A30" s="328"/>
      <c r="G30" s="328"/>
      <c r="H30" s="328"/>
      <c r="L30" s="328"/>
    </row>
    <row r="31" spans="1:12" ht="12.75" customHeight="1">
      <c r="A31" s="328"/>
      <c r="L31" s="328"/>
    </row>
    <row r="32" spans="1:12" ht="12.75" customHeight="1">
      <c r="A32" s="328"/>
      <c r="L32" s="328"/>
    </row>
    <row r="33" spans="1:12" ht="12.75" customHeight="1">
      <c r="A33" s="328"/>
      <c r="L33" s="328"/>
    </row>
    <row r="34" spans="1:12" ht="12.75" customHeight="1">
      <c r="A34" s="328"/>
      <c r="L34" s="328"/>
    </row>
    <row r="35" spans="1:12" ht="12.75" customHeight="1">
      <c r="A35" s="328"/>
      <c r="L35" s="328"/>
    </row>
    <row r="36" spans="1:12" ht="12.75" customHeight="1">
      <c r="A36" s="328"/>
      <c r="L36" s="328"/>
    </row>
    <row r="37" spans="1:12" ht="12.75" customHeight="1">
      <c r="A37" s="328"/>
      <c r="L37" s="328"/>
    </row>
    <row r="38" spans="1:12" ht="12.75" customHeight="1">
      <c r="A38" s="328"/>
      <c r="L38" s="328"/>
    </row>
    <row r="39" spans="1:12" ht="12.75" customHeight="1">
      <c r="A39" s="328"/>
      <c r="L39" s="328"/>
    </row>
    <row r="40" spans="1:12" ht="12.75" customHeight="1">
      <c r="A40" s="328"/>
      <c r="L40" s="328"/>
    </row>
    <row r="41" spans="1:12" ht="12.75" customHeight="1">
      <c r="A41" s="328"/>
      <c r="L41" s="328"/>
    </row>
    <row r="42" spans="1:12" ht="12.75" customHeight="1">
      <c r="A42" s="328"/>
      <c r="L42" s="328"/>
    </row>
    <row r="43" spans="1:12" ht="12.75" customHeight="1">
      <c r="A43" s="328"/>
      <c r="L43" s="328"/>
    </row>
    <row r="44" spans="1:12" ht="12.75" customHeight="1">
      <c r="A44" s="328"/>
      <c r="L44" s="328"/>
    </row>
    <row r="45" spans="1:12" ht="12.75" customHeight="1">
      <c r="A45" s="328"/>
      <c r="L45" s="328"/>
    </row>
    <row r="46" spans="1:12" ht="12.75" customHeight="1">
      <c r="A46" s="328"/>
      <c r="L46" s="328"/>
    </row>
    <row r="47" spans="1:12" ht="12.75" customHeight="1">
      <c r="A47" s="328"/>
      <c r="L47" s="328"/>
    </row>
    <row r="48" spans="1:12" ht="12.75" customHeight="1">
      <c r="A48" s="328"/>
      <c r="L48" s="328"/>
    </row>
    <row r="49" spans="1:12" ht="12.75" customHeight="1">
      <c r="A49" s="328"/>
      <c r="L49" s="328"/>
    </row>
    <row r="50" spans="1:12" ht="12.75" customHeight="1">
      <c r="A50" s="328"/>
      <c r="L50" s="328"/>
    </row>
    <row r="51" spans="1:12" ht="12.75" customHeight="1">
      <c r="A51" s="328"/>
      <c r="L51" s="328"/>
    </row>
    <row r="52" spans="1:12" ht="12.75" customHeight="1">
      <c r="A52" s="328"/>
      <c r="L52" s="328"/>
    </row>
    <row r="53" spans="1:12" ht="12.75" customHeight="1">
      <c r="A53" s="328"/>
      <c r="L53" s="328"/>
    </row>
    <row r="54" spans="1:12" ht="12.75" customHeight="1">
      <c r="A54" s="328"/>
      <c r="L54" s="328"/>
    </row>
    <row r="55" spans="1:12" ht="12.75" customHeight="1">
      <c r="A55" s="328"/>
      <c r="L55" s="328"/>
    </row>
    <row r="56" spans="1:12" ht="12.75" customHeight="1">
      <c r="A56" s="328"/>
      <c r="L56" s="328"/>
    </row>
    <row r="57" spans="1:12" ht="12.75" customHeight="1">
      <c r="A57" s="328"/>
      <c r="L57" s="328"/>
    </row>
    <row r="58" spans="1:12" ht="12.75" customHeight="1">
      <c r="A58" s="328"/>
      <c r="L58" s="328"/>
    </row>
    <row r="59" spans="1:12" ht="12.75" customHeight="1">
      <c r="A59" s="328"/>
      <c r="L59" s="328"/>
    </row>
    <row r="60" spans="1:12" ht="12.75" customHeight="1">
      <c r="A60" s="328"/>
      <c r="B60" s="328"/>
      <c r="C60" s="328"/>
      <c r="D60" s="328"/>
      <c r="E60" s="328"/>
      <c r="F60" s="328"/>
      <c r="G60" s="328"/>
      <c r="H60" s="328"/>
      <c r="I60" s="328"/>
      <c r="J60" s="328"/>
      <c r="K60" s="328"/>
      <c r="L60" s="328"/>
    </row>
    <row r="61" spans="1:12" ht="12.75" customHeight="1"/>
  </sheetData>
  <sheetProtection selectLockedCells="1" selectUnlockedCells="1"/>
  <mergeCells count="2">
    <mergeCell ref="B2:K2"/>
    <mergeCell ref="B3:K3"/>
  </mergeCells>
  <pageMargins left="0.78749999999999998" right="0.78749999999999998" top="1.0249999999999999" bottom="1.0249999999999999" header="0.78749999999999998" footer="0.78749999999999998"/>
  <pageSetup paperSize="9" scale="75" firstPageNumber="0" orientation="portrait" horizontalDpi="300" verticalDpi="300" r:id="rId1"/>
  <headerFooter alignWithMargins="0">
    <oddHeader>&amp;C&amp;A</oddHeader>
    <oddFooter>&amp;CPage &amp;P</oddFooter>
  </headerFooter>
</worksheet>
</file>

<file path=xl/worksheets/sheet16.xml><?xml version="1.0" encoding="utf-8"?>
<worksheet xmlns="http://schemas.openxmlformats.org/spreadsheetml/2006/main" xmlns:r="http://schemas.openxmlformats.org/officeDocument/2006/relationships">
  <dimension ref="A1:L90"/>
  <sheetViews>
    <sheetView view="pageBreakPreview" topLeftCell="A4" zoomScaleSheetLayoutView="100" workbookViewId="0">
      <selection activeCell="D8" sqref="D8"/>
    </sheetView>
  </sheetViews>
  <sheetFormatPr defaultColWidth="11.28515625" defaultRowHeight="12.75"/>
  <cols>
    <col min="1" max="1" width="3.42578125" style="1728" customWidth="1"/>
    <col min="2" max="2" width="2.85546875" style="1762" customWidth="1"/>
    <col min="3" max="3" width="65.85546875" style="1769" customWidth="1"/>
    <col min="4" max="4" width="8.28515625" style="1729" customWidth="1"/>
    <col min="5" max="5" width="5" style="1728" bestFit="1" customWidth="1"/>
    <col min="6" max="6" width="8.85546875" style="1729" customWidth="1"/>
    <col min="7" max="7" width="9.85546875" style="1770" customWidth="1"/>
    <col min="8" max="16384" width="11.28515625" style="1762"/>
  </cols>
  <sheetData>
    <row r="1" spans="1:12" ht="49.5" customHeight="1">
      <c r="A1" s="2142" t="str">
        <f>Input!C2</f>
        <v>Name of Work:  Creation of Infrastructure Facilities for skill Dvelopment lab at 6th Floor OPD Block-3 in Gandhi Hospital, Secunderabad (Balance Work)</v>
      </c>
      <c r="B1" s="2142"/>
      <c r="C1" s="2142"/>
      <c r="D1" s="2142"/>
      <c r="E1" s="2142"/>
      <c r="F1" s="2142"/>
      <c r="G1" s="2142"/>
    </row>
    <row r="2" spans="1:12">
      <c r="A2" s="2143" t="s">
        <v>3628</v>
      </c>
      <c r="B2" s="2143"/>
      <c r="C2" s="2143"/>
      <c r="D2" s="2143"/>
      <c r="E2" s="2143"/>
      <c r="F2" s="2143"/>
      <c r="G2" s="2143"/>
    </row>
    <row r="3" spans="1:12" ht="25.5" customHeight="1">
      <c r="A3" s="2144" t="s">
        <v>2447</v>
      </c>
      <c r="B3" s="2144"/>
      <c r="C3" s="1777" t="s">
        <v>2448</v>
      </c>
      <c r="D3" s="1793" t="s">
        <v>1025</v>
      </c>
      <c r="E3" s="1781" t="s">
        <v>940</v>
      </c>
      <c r="F3" s="1763" t="s">
        <v>2789</v>
      </c>
      <c r="G3" s="1764" t="s">
        <v>3680</v>
      </c>
    </row>
    <row r="4" spans="1:12" ht="51">
      <c r="A4" s="1731">
        <v>1</v>
      </c>
      <c r="B4" s="1765"/>
      <c r="C4" s="1771" t="s">
        <v>3687</v>
      </c>
      <c r="D4" s="1730">
        <v>1</v>
      </c>
      <c r="E4" s="1772" t="s">
        <v>484</v>
      </c>
      <c r="F4" s="1730">
        <f>'C-data'!I34</f>
        <v>338</v>
      </c>
      <c r="G4" s="1767">
        <f>ROUND(D4*F4,0)</f>
        <v>338</v>
      </c>
    </row>
    <row r="5" spans="1:12">
      <c r="A5" s="1731"/>
      <c r="B5" s="1765"/>
      <c r="C5" s="1766"/>
      <c r="D5" s="1730"/>
      <c r="E5" s="1731"/>
      <c r="F5" s="1730"/>
      <c r="G5" s="1767"/>
    </row>
    <row r="6" spans="1:12" ht="63.75" customHeight="1">
      <c r="A6" s="1731">
        <f>1+A4</f>
        <v>2</v>
      </c>
      <c r="B6" s="1765"/>
      <c r="C6" s="1771" t="s">
        <v>3693</v>
      </c>
      <c r="D6" s="1730">
        <v>50</v>
      </c>
      <c r="E6" s="1772" t="s">
        <v>46</v>
      </c>
      <c r="F6" s="1730">
        <f>'C-data'!I75</f>
        <v>17</v>
      </c>
      <c r="G6" s="1767">
        <f>ROUND(D6*F6,0)</f>
        <v>850</v>
      </c>
    </row>
    <row r="7" spans="1:12">
      <c r="A7" s="1731"/>
      <c r="B7" s="1765"/>
      <c r="C7" s="1766"/>
      <c r="D7" s="1730"/>
      <c r="E7" s="1731"/>
      <c r="F7" s="1730"/>
      <c r="G7" s="1767"/>
    </row>
    <row r="8" spans="1:12" ht="102">
      <c r="A8" s="1731">
        <f>1+A6</f>
        <v>3</v>
      </c>
      <c r="B8" s="1765"/>
      <c r="C8" s="1771" t="s">
        <v>3694</v>
      </c>
      <c r="D8" s="1730">
        <v>5</v>
      </c>
      <c r="E8" s="1772" t="s">
        <v>484</v>
      </c>
      <c r="F8" s="1730">
        <f>'C-data'!D1825</f>
        <v>8733</v>
      </c>
      <c r="G8" s="1767">
        <f>ROUND(D8*F8,0)</f>
        <v>43665</v>
      </c>
    </row>
    <row r="9" spans="1:12">
      <c r="A9" s="1731"/>
      <c r="B9" s="1765"/>
      <c r="C9" s="1766"/>
      <c r="D9" s="1730"/>
      <c r="E9" s="1731"/>
      <c r="F9" s="1730"/>
      <c r="G9" s="1767"/>
    </row>
    <row r="10" spans="1:12" ht="102">
      <c r="A10" s="1731">
        <v>4</v>
      </c>
      <c r="B10" s="1765"/>
      <c r="C10" s="1854" t="s">
        <v>3695</v>
      </c>
      <c r="D10" s="1730">
        <v>100</v>
      </c>
      <c r="E10" s="1772" t="s">
        <v>46</v>
      </c>
      <c r="F10" s="1730">
        <f>'C-data'!D2397</f>
        <v>597</v>
      </c>
      <c r="G10" s="1767">
        <f>ROUND(D10*F10,0)</f>
        <v>59700</v>
      </c>
    </row>
    <row r="11" spans="1:12">
      <c r="A11" s="1731"/>
      <c r="B11" s="1765"/>
      <c r="C11" s="1766"/>
      <c r="D11" s="1730"/>
      <c r="E11" s="1731"/>
      <c r="F11" s="1730"/>
      <c r="G11" s="1767"/>
    </row>
    <row r="12" spans="1:12" ht="115.5" customHeight="1">
      <c r="A12" s="1731">
        <f>A10+1</f>
        <v>5</v>
      </c>
      <c r="B12" s="1765"/>
      <c r="C12" s="1771" t="s">
        <v>3696</v>
      </c>
      <c r="D12" s="1730">
        <v>48</v>
      </c>
      <c r="E12" s="1772" t="s">
        <v>46</v>
      </c>
      <c r="F12" s="1730">
        <f>Joinery!I1240</f>
        <v>4579</v>
      </c>
      <c r="G12" s="1767">
        <f>ROUND(D12*F12,0)</f>
        <v>219792</v>
      </c>
    </row>
    <row r="13" spans="1:12">
      <c r="A13" s="1731"/>
      <c r="B13" s="1765"/>
      <c r="C13" s="1766"/>
      <c r="D13" s="1730"/>
      <c r="E13" s="1731"/>
      <c r="F13" s="1730"/>
      <c r="G13" s="1767"/>
    </row>
    <row r="14" spans="1:12" ht="175.5" customHeight="1">
      <c r="A14" s="1731">
        <f>A12+1</f>
        <v>6</v>
      </c>
      <c r="B14" s="1765"/>
      <c r="C14" s="1771" t="s">
        <v>3697</v>
      </c>
      <c r="D14" s="1730">
        <v>45</v>
      </c>
      <c r="E14" s="1772" t="s">
        <v>46</v>
      </c>
      <c r="F14" s="1730">
        <f>'C-data'!D2792</f>
        <v>1187</v>
      </c>
      <c r="G14" s="1767">
        <f>ROUND(D14*F14,0)</f>
        <v>53415</v>
      </c>
      <c r="L14" s="1762">
        <f>1230/1.10675</f>
        <v>1111.3620962276939</v>
      </c>
    </row>
    <row r="15" spans="1:12">
      <c r="A15" s="1731"/>
      <c r="B15" s="1765"/>
      <c r="C15" s="1771"/>
      <c r="D15" s="1730"/>
      <c r="E15" s="1772"/>
      <c r="F15" s="1730"/>
      <c r="G15" s="1767"/>
    </row>
    <row r="16" spans="1:12" ht="141" customHeight="1">
      <c r="A16" s="1731">
        <f>A14+1</f>
        <v>7</v>
      </c>
      <c r="B16" s="1765"/>
      <c r="C16" s="1771" t="s">
        <v>3698</v>
      </c>
      <c r="D16" s="1730">
        <v>40</v>
      </c>
      <c r="E16" s="1772" t="s">
        <v>46</v>
      </c>
      <c r="F16" s="1730">
        <f>'C-data'!D2766</f>
        <v>1030</v>
      </c>
      <c r="G16" s="1767">
        <f>ROUND(D16*F16,0)</f>
        <v>41200</v>
      </c>
    </row>
    <row r="17" spans="1:7">
      <c r="A17" s="1731"/>
      <c r="B17" s="1765"/>
      <c r="C17" s="1771"/>
      <c r="D17" s="1730"/>
      <c r="E17" s="1772"/>
      <c r="F17" s="1730"/>
      <c r="G17" s="1767"/>
    </row>
    <row r="18" spans="1:7" ht="127.5">
      <c r="A18" s="1731">
        <f>A16+1</f>
        <v>8</v>
      </c>
      <c r="B18" s="1765"/>
      <c r="C18" s="1771" t="s">
        <v>3700</v>
      </c>
      <c r="D18" s="1730">
        <v>28</v>
      </c>
      <c r="E18" s="1772" t="s">
        <v>3689</v>
      </c>
      <c r="F18" s="1730">
        <f>'C-data'!D3526</f>
        <v>118</v>
      </c>
      <c r="G18" s="1767">
        <f>ROUND(D18*F18,0)</f>
        <v>3304</v>
      </c>
    </row>
    <row r="19" spans="1:7">
      <c r="A19" s="1731"/>
      <c r="B19" s="1765"/>
      <c r="C19" s="1771"/>
      <c r="D19" s="1730"/>
      <c r="E19" s="1772"/>
      <c r="F19" s="1730"/>
      <c r="G19" s="1767"/>
    </row>
    <row r="20" spans="1:7" ht="125.25" customHeight="1">
      <c r="A20" s="1731">
        <f>A18+1</f>
        <v>9</v>
      </c>
      <c r="B20" s="1765"/>
      <c r="C20" s="1771" t="s">
        <v>3701</v>
      </c>
      <c r="D20" s="1730">
        <v>48</v>
      </c>
      <c r="E20" s="1772" t="s">
        <v>46</v>
      </c>
      <c r="F20" s="1730">
        <f>'C-data'!D3679</f>
        <v>1140</v>
      </c>
      <c r="G20" s="1767">
        <f>ROUND(D20*F20,0)</f>
        <v>54720</v>
      </c>
    </row>
    <row r="21" spans="1:7">
      <c r="A21" s="1731"/>
      <c r="B21" s="1765"/>
      <c r="C21" s="1771"/>
      <c r="D21" s="1730"/>
      <c r="E21" s="1772"/>
      <c r="F21" s="1730"/>
      <c r="G21" s="1767"/>
    </row>
    <row r="22" spans="1:7" ht="168" customHeight="1">
      <c r="A22" s="1731">
        <f>A20+1</f>
        <v>10</v>
      </c>
      <c r="B22" s="1765"/>
      <c r="C22" s="1771" t="s">
        <v>3702</v>
      </c>
      <c r="D22" s="1730">
        <v>35</v>
      </c>
      <c r="E22" s="1772" t="s">
        <v>46</v>
      </c>
      <c r="F22" s="1730">
        <f>'C-data'!I4344</f>
        <v>1274</v>
      </c>
      <c r="G22" s="1767">
        <f>ROUND(D22*F22,0)</f>
        <v>44590</v>
      </c>
    </row>
    <row r="23" spans="1:7">
      <c r="A23" s="1731"/>
      <c r="B23" s="1765"/>
      <c r="C23" s="1771"/>
      <c r="D23" s="1730"/>
      <c r="E23" s="1772"/>
      <c r="F23" s="1730"/>
      <c r="G23" s="1767"/>
    </row>
    <row r="24" spans="1:7" ht="111" customHeight="1">
      <c r="A24" s="1731">
        <f>A22+1</f>
        <v>11</v>
      </c>
      <c r="B24" s="1765"/>
      <c r="C24" s="1771" t="s">
        <v>3703</v>
      </c>
      <c r="D24" s="1730">
        <v>150</v>
      </c>
      <c r="E24" s="1772" t="s">
        <v>46</v>
      </c>
      <c r="F24" s="1730">
        <f>'C-data'!I3933</f>
        <v>267</v>
      </c>
      <c r="G24" s="1767">
        <f>ROUND(D24*F24,0)</f>
        <v>40050</v>
      </c>
    </row>
    <row r="25" spans="1:7">
      <c r="A25" s="1731"/>
      <c r="B25" s="1765"/>
      <c r="C25" s="1771"/>
      <c r="D25" s="1730"/>
      <c r="E25" s="1772"/>
      <c r="F25" s="1730"/>
      <c r="G25" s="1767"/>
    </row>
    <row r="26" spans="1:7" ht="60" customHeight="1">
      <c r="A26" s="1731">
        <f>A24+1</f>
        <v>12</v>
      </c>
      <c r="B26" s="1765"/>
      <c r="C26" s="1771" t="s">
        <v>3704</v>
      </c>
      <c r="D26" s="1730">
        <v>180</v>
      </c>
      <c r="E26" s="1772" t="s">
        <v>46</v>
      </c>
      <c r="F26" s="1730">
        <f>'C-data'!I4031</f>
        <v>220</v>
      </c>
      <c r="G26" s="1767">
        <f>ROUND(D26*F26,0)</f>
        <v>39600</v>
      </c>
    </row>
    <row r="27" spans="1:7">
      <c r="A27" s="1731"/>
      <c r="B27" s="1765"/>
      <c r="C27" s="1771"/>
      <c r="D27" s="1730"/>
      <c r="E27" s="1772"/>
      <c r="F27" s="1730"/>
      <c r="G27" s="1767"/>
    </row>
    <row r="28" spans="1:7" ht="76.5">
      <c r="A28" s="1731">
        <f>A26+1</f>
        <v>13</v>
      </c>
      <c r="B28" s="1765"/>
      <c r="C28" s="1771" t="s">
        <v>3705</v>
      </c>
      <c r="D28" s="1730">
        <v>45</v>
      </c>
      <c r="E28" s="1772" t="s">
        <v>46</v>
      </c>
      <c r="F28" s="1730">
        <f>'C-data'!I4053</f>
        <v>330</v>
      </c>
      <c r="G28" s="1767">
        <f>ROUND(D28*F28,0)</f>
        <v>14850</v>
      </c>
    </row>
    <row r="29" spans="1:7">
      <c r="A29" s="1731"/>
      <c r="B29" s="1765"/>
      <c r="C29" s="1771"/>
      <c r="D29" s="1730"/>
      <c r="E29" s="1772"/>
      <c r="F29" s="1730"/>
      <c r="G29" s="1767"/>
    </row>
    <row r="30" spans="1:7" ht="102">
      <c r="A30" s="1731">
        <f>A28+1</f>
        <v>14</v>
      </c>
      <c r="B30" s="1765"/>
      <c r="C30" s="1771" t="s">
        <v>2259</v>
      </c>
      <c r="D30" s="1730">
        <v>8</v>
      </c>
      <c r="E30" s="1772" t="s">
        <v>46</v>
      </c>
      <c r="F30" s="1730">
        <f>Joinery!I1117</f>
        <v>2520</v>
      </c>
      <c r="G30" s="1767">
        <f>ROUND(D30*F30,0)</f>
        <v>20160</v>
      </c>
    </row>
    <row r="31" spans="1:7">
      <c r="A31" s="1731"/>
      <c r="B31" s="1765"/>
      <c r="C31" s="1771"/>
      <c r="D31" s="1730"/>
      <c r="E31" s="1772"/>
      <c r="F31" s="1730"/>
      <c r="G31" s="1767"/>
    </row>
    <row r="32" spans="1:7" ht="63.75">
      <c r="A32" s="1731">
        <f>A30+1</f>
        <v>15</v>
      </c>
      <c r="B32" s="1765"/>
      <c r="C32" s="1771" t="s">
        <v>3706</v>
      </c>
      <c r="D32" s="1730">
        <v>15</v>
      </c>
      <c r="E32" s="1772" t="s">
        <v>46</v>
      </c>
      <c r="F32" s="1730">
        <f>'C-data'!I4117</f>
        <v>130</v>
      </c>
      <c r="G32" s="1767">
        <f>ROUND(D32*F32,0)</f>
        <v>1950</v>
      </c>
    </row>
    <row r="33" spans="1:7">
      <c r="A33" s="1731"/>
      <c r="B33" s="1765"/>
      <c r="C33" s="1771"/>
      <c r="D33" s="1730"/>
      <c r="E33" s="1772"/>
      <c r="F33" s="1730"/>
      <c r="G33" s="1767"/>
    </row>
    <row r="34" spans="1:7" ht="38.25">
      <c r="A34" s="1731">
        <f>A32+1</f>
        <v>16</v>
      </c>
      <c r="B34" s="1765"/>
      <c r="C34" s="1771" t="s">
        <v>3707</v>
      </c>
      <c r="D34" s="1730">
        <v>35</v>
      </c>
      <c r="E34" s="1772" t="s">
        <v>46</v>
      </c>
      <c r="F34" s="1730">
        <f>'C-data'!I2935</f>
        <v>1562</v>
      </c>
      <c r="G34" s="1767">
        <f>ROUND(D34*F34,0)</f>
        <v>54670</v>
      </c>
    </row>
    <row r="35" spans="1:7">
      <c r="A35" s="1731"/>
      <c r="B35" s="1765"/>
      <c r="C35" s="1771"/>
      <c r="D35" s="1730"/>
      <c r="E35" s="1772"/>
      <c r="F35" s="1730"/>
      <c r="G35" s="1767"/>
    </row>
    <row r="36" spans="1:7" ht="38.25">
      <c r="A36" s="1731">
        <f>A34+1</f>
        <v>17</v>
      </c>
      <c r="B36" s="1765"/>
      <c r="C36" s="1771" t="s">
        <v>3688</v>
      </c>
      <c r="D36" s="1730">
        <v>10</v>
      </c>
      <c r="E36" s="1772" t="s">
        <v>484</v>
      </c>
      <c r="F36" s="1730">
        <f>'C-data'!I318</f>
        <v>339</v>
      </c>
      <c r="G36" s="1767">
        <f>ROUND(D36*F36,0)</f>
        <v>3390</v>
      </c>
    </row>
    <row r="37" spans="1:7">
      <c r="A37" s="1731"/>
      <c r="B37" s="1765"/>
      <c r="C37" s="1771"/>
      <c r="D37" s="1730"/>
      <c r="E37" s="1772"/>
      <c r="F37" s="1730"/>
      <c r="G37" s="1767"/>
    </row>
    <row r="38" spans="1:7">
      <c r="A38" s="1731"/>
      <c r="B38" s="1765"/>
      <c r="C38" s="1771"/>
      <c r="D38" s="2145" t="s">
        <v>3679</v>
      </c>
      <c r="E38" s="2145"/>
      <c r="F38" s="2145"/>
      <c r="G38" s="1768">
        <f>SUM(G4:G37)</f>
        <v>696244</v>
      </c>
    </row>
    <row r="39" spans="1:7">
      <c r="A39" s="1731"/>
      <c r="B39" s="1765"/>
      <c r="C39" s="1859" t="s">
        <v>3690</v>
      </c>
      <c r="D39" s="1730"/>
      <c r="E39" s="1772"/>
      <c r="F39" s="1730"/>
      <c r="G39" s="1767"/>
    </row>
    <row r="40" spans="1:7" ht="78" customHeight="1">
      <c r="A40" s="1731">
        <f>A36+1</f>
        <v>18</v>
      </c>
      <c r="B40" s="1765"/>
      <c r="C40" s="1771" t="s">
        <v>3708</v>
      </c>
      <c r="D40" s="1730">
        <v>30</v>
      </c>
      <c r="E40" s="1772" t="s">
        <v>3689</v>
      </c>
      <c r="F40" s="1730">
        <f>'WS Data'!I269</f>
        <v>194</v>
      </c>
      <c r="G40" s="1767">
        <f>ROUND(D40*F40,0)</f>
        <v>5820</v>
      </c>
    </row>
    <row r="41" spans="1:7">
      <c r="A41" s="1731"/>
      <c r="B41" s="1765"/>
      <c r="C41" s="1771"/>
      <c r="D41" s="1730"/>
      <c r="E41" s="1772"/>
      <c r="F41" s="1730"/>
      <c r="G41" s="1767"/>
    </row>
    <row r="42" spans="1:7" ht="114.75" customHeight="1">
      <c r="A42" s="1731">
        <f>A40+1</f>
        <v>19</v>
      </c>
      <c r="B42" s="1765"/>
      <c r="C42" s="1771" t="s">
        <v>3709</v>
      </c>
      <c r="D42" s="1730">
        <v>3</v>
      </c>
      <c r="E42" s="1772" t="s">
        <v>501</v>
      </c>
      <c r="F42" s="1730">
        <f>'WS Data'!I135</f>
        <v>3228</v>
      </c>
      <c r="G42" s="1767">
        <f>ROUND(D42*F42,0)</f>
        <v>9684</v>
      </c>
    </row>
    <row r="43" spans="1:7">
      <c r="A43" s="1731"/>
      <c r="B43" s="1855"/>
      <c r="C43" s="1856"/>
      <c r="D43" s="1730"/>
      <c r="E43" s="1731"/>
      <c r="F43" s="1730"/>
      <c r="G43" s="1767"/>
    </row>
    <row r="44" spans="1:7" ht="38.25">
      <c r="A44" s="1731">
        <f>A42+1</f>
        <v>20</v>
      </c>
      <c r="B44" s="1855"/>
      <c r="C44" s="1771" t="s">
        <v>3691</v>
      </c>
      <c r="D44" s="1730">
        <v>3</v>
      </c>
      <c r="E44" s="1772" t="s">
        <v>501</v>
      </c>
      <c r="F44" s="1730">
        <f>'WS Data'!I143</f>
        <v>741</v>
      </c>
      <c r="G44" s="1767">
        <f>ROUND(D44*F44,0)</f>
        <v>2223</v>
      </c>
    </row>
    <row r="45" spans="1:7">
      <c r="A45" s="1731"/>
      <c r="B45" s="1855"/>
      <c r="C45" s="1856"/>
      <c r="D45" s="1730"/>
      <c r="E45" s="1731"/>
      <c r="F45" s="1730"/>
      <c r="G45" s="1767"/>
    </row>
    <row r="46" spans="1:7" ht="63.75">
      <c r="A46" s="1731">
        <f>A44+1</f>
        <v>21</v>
      </c>
      <c r="B46" s="1855"/>
      <c r="C46" s="1771" t="s">
        <v>3710</v>
      </c>
      <c r="D46" s="1730">
        <v>3</v>
      </c>
      <c r="E46" s="1772" t="s">
        <v>501</v>
      </c>
      <c r="F46" s="1730">
        <f>'WS Data'!I184</f>
        <v>326</v>
      </c>
      <c r="G46" s="1767">
        <f>ROUND(D46*F46,0)</f>
        <v>978</v>
      </c>
    </row>
    <row r="47" spans="1:7">
      <c r="A47" s="1731"/>
      <c r="B47" s="1855"/>
      <c r="C47" s="1856"/>
      <c r="D47" s="1730"/>
      <c r="E47" s="1731"/>
      <c r="F47" s="1730"/>
      <c r="G47" s="1767"/>
    </row>
    <row r="48" spans="1:7" ht="51">
      <c r="A48" s="1731">
        <f>A46+1</f>
        <v>22</v>
      </c>
      <c r="B48" s="1855"/>
      <c r="C48" s="1771" t="s">
        <v>3711</v>
      </c>
      <c r="D48" s="1730">
        <v>5</v>
      </c>
      <c r="E48" s="1772" t="s">
        <v>501</v>
      </c>
      <c r="F48" s="1730">
        <f>'WS Data'!I81</f>
        <v>187</v>
      </c>
      <c r="G48" s="1767">
        <f>ROUND(D48*F48,0)</f>
        <v>935</v>
      </c>
    </row>
    <row r="49" spans="1:7">
      <c r="A49" s="1731"/>
      <c r="B49" s="1855"/>
      <c r="C49" s="1856"/>
      <c r="D49" s="1730"/>
      <c r="E49" s="1731"/>
      <c r="F49" s="1730"/>
      <c r="G49" s="1767"/>
    </row>
    <row r="50" spans="1:7" ht="79.5" customHeight="1">
      <c r="A50" s="1731">
        <f>A48+1</f>
        <v>23</v>
      </c>
      <c r="B50" s="1855"/>
      <c r="C50" s="1771" t="s">
        <v>3712</v>
      </c>
      <c r="D50" s="1730">
        <v>25</v>
      </c>
      <c r="E50" s="1772" t="s">
        <v>3689</v>
      </c>
      <c r="F50" s="1730">
        <f>'WS Data'!I244</f>
        <v>377</v>
      </c>
      <c r="G50" s="1767">
        <f>ROUND(D50*F50,0)</f>
        <v>9425</v>
      </c>
    </row>
    <row r="51" spans="1:7">
      <c r="A51" s="1731"/>
      <c r="B51" s="1855"/>
      <c r="C51" s="1771"/>
      <c r="D51" s="2139" t="s">
        <v>3692</v>
      </c>
      <c r="E51" s="2140"/>
      <c r="F51" s="2141"/>
      <c r="G51" s="1768">
        <f>SUM(G40:G50)</f>
        <v>29065</v>
      </c>
    </row>
    <row r="52" spans="1:7">
      <c r="A52" s="1731"/>
      <c r="B52" s="1855"/>
      <c r="C52" s="1863" t="s">
        <v>3713</v>
      </c>
      <c r="D52" s="1730"/>
      <c r="E52" s="1731"/>
      <c r="F52" s="1730"/>
      <c r="G52" s="1767"/>
    </row>
    <row r="53" spans="1:7" ht="63.75">
      <c r="A53" s="1731">
        <f>A50+1</f>
        <v>24</v>
      </c>
      <c r="B53" s="1855"/>
      <c r="C53" s="1864" t="s">
        <v>2769</v>
      </c>
      <c r="D53" s="1730">
        <v>65</v>
      </c>
      <c r="E53" s="1772" t="s">
        <v>3689</v>
      </c>
      <c r="F53" s="1730">
        <f>'Ele-Data'!J53</f>
        <v>86</v>
      </c>
      <c r="G53" s="1767">
        <f>ROUND(D53*F53,0)</f>
        <v>5590</v>
      </c>
    </row>
    <row r="54" spans="1:7">
      <c r="A54" s="1731"/>
      <c r="B54" s="1855"/>
      <c r="C54" s="1856"/>
      <c r="D54" s="1730"/>
      <c r="E54" s="1731"/>
      <c r="F54" s="1730"/>
      <c r="G54" s="1767"/>
    </row>
    <row r="55" spans="1:7" ht="152.25" customHeight="1">
      <c r="A55" s="1731">
        <f>A53+1</f>
        <v>25</v>
      </c>
      <c r="B55" s="1855"/>
      <c r="C55" s="1864" t="s">
        <v>3714</v>
      </c>
      <c r="D55" s="1730">
        <v>43</v>
      </c>
      <c r="E55" s="1865" t="s">
        <v>3715</v>
      </c>
      <c r="F55" s="1730">
        <f>'Ele-Data'!J113</f>
        <v>800</v>
      </c>
      <c r="G55" s="1767">
        <f>ROUND(D55*F55,0)</f>
        <v>34400</v>
      </c>
    </row>
    <row r="56" spans="1:7">
      <c r="A56" s="1731"/>
      <c r="B56" s="1855"/>
      <c r="C56" s="1856"/>
      <c r="D56" s="1730"/>
      <c r="E56" s="1731"/>
      <c r="F56" s="1730"/>
      <c r="G56" s="1767"/>
    </row>
    <row r="57" spans="1:7" ht="89.25">
      <c r="A57" s="1731">
        <f>A55+1</f>
        <v>26</v>
      </c>
      <c r="B57" s="1855"/>
      <c r="C57" s="1864" t="s">
        <v>3716</v>
      </c>
      <c r="D57" s="1730">
        <v>7</v>
      </c>
      <c r="E57" s="1865" t="s">
        <v>501</v>
      </c>
      <c r="F57" s="1730">
        <f>'Ele-Data'!J167</f>
        <v>573</v>
      </c>
      <c r="G57" s="1767">
        <f>ROUND(D57*F57,0)</f>
        <v>4011</v>
      </c>
    </row>
    <row r="58" spans="1:7">
      <c r="A58" s="1731"/>
      <c r="B58" s="1855"/>
      <c r="C58" s="1856"/>
      <c r="D58" s="1730"/>
      <c r="E58" s="1731"/>
      <c r="F58" s="1730"/>
      <c r="G58" s="1767"/>
    </row>
    <row r="59" spans="1:7" ht="90.75" customHeight="1">
      <c r="A59" s="1731">
        <f>A57+1</f>
        <v>27</v>
      </c>
      <c r="B59" s="1855"/>
      <c r="C59" s="1864" t="s">
        <v>3717</v>
      </c>
      <c r="D59" s="1730">
        <v>8</v>
      </c>
      <c r="E59" s="1865" t="s">
        <v>501</v>
      </c>
      <c r="F59" s="1730">
        <f>'Ele-Data'!J237</f>
        <v>778</v>
      </c>
      <c r="G59" s="1767">
        <f>ROUND(D59*F59,0)</f>
        <v>6224</v>
      </c>
    </row>
    <row r="60" spans="1:7">
      <c r="A60" s="1731"/>
      <c r="B60" s="1855"/>
      <c r="C60" s="1856"/>
      <c r="D60" s="1730"/>
      <c r="E60" s="1731"/>
      <c r="F60" s="1730"/>
      <c r="G60" s="1767"/>
    </row>
    <row r="61" spans="1:7" ht="89.25">
      <c r="A61" s="1731">
        <f>A59+1</f>
        <v>28</v>
      </c>
      <c r="B61" s="1855"/>
      <c r="C61" s="1864" t="s">
        <v>2859</v>
      </c>
      <c r="D61" s="1730">
        <v>40</v>
      </c>
      <c r="E61" s="1865" t="s">
        <v>3689</v>
      </c>
      <c r="F61" s="1730">
        <f>'Ele-Data'!J291</f>
        <v>30</v>
      </c>
      <c r="G61" s="1767">
        <f>ROUND(D61*F61,0)</f>
        <v>1200</v>
      </c>
    </row>
    <row r="62" spans="1:7">
      <c r="A62" s="1731"/>
      <c r="B62" s="1855"/>
      <c r="C62" s="1856"/>
      <c r="D62" s="1730"/>
      <c r="E62" s="1731"/>
      <c r="F62" s="1730"/>
      <c r="G62" s="1767"/>
    </row>
    <row r="63" spans="1:7" ht="76.5">
      <c r="A63" s="1731">
        <f>A61+1</f>
        <v>29</v>
      </c>
      <c r="B63" s="1855"/>
      <c r="C63" s="1864" t="s">
        <v>2866</v>
      </c>
      <c r="D63" s="1730">
        <v>80</v>
      </c>
      <c r="E63" s="1865" t="s">
        <v>3689</v>
      </c>
      <c r="F63" s="1730">
        <f>'Ele-Data'!J323</f>
        <v>132</v>
      </c>
      <c r="G63" s="1767">
        <f>ROUND(D63*F63,0)</f>
        <v>10560</v>
      </c>
    </row>
    <row r="64" spans="1:7">
      <c r="A64" s="1731"/>
      <c r="B64" s="1855"/>
      <c r="C64" s="1856"/>
      <c r="D64" s="1730"/>
      <c r="E64" s="1731"/>
      <c r="F64" s="1730"/>
      <c r="G64" s="1767"/>
    </row>
    <row r="65" spans="1:7" ht="89.25">
      <c r="A65" s="1731">
        <f>A63+1</f>
        <v>30</v>
      </c>
      <c r="B65" s="1855"/>
      <c r="C65" s="1864" t="s">
        <v>2868</v>
      </c>
      <c r="D65" s="1730">
        <v>120</v>
      </c>
      <c r="E65" s="1865" t="s">
        <v>3689</v>
      </c>
      <c r="F65" s="1730">
        <f>'Ele-Data'!J339</f>
        <v>190</v>
      </c>
      <c r="G65" s="1767">
        <f>ROUND(D65*F65,0)</f>
        <v>22800</v>
      </c>
    </row>
    <row r="66" spans="1:7">
      <c r="A66" s="1731"/>
      <c r="B66" s="1855"/>
      <c r="C66" s="1856"/>
      <c r="D66" s="1730"/>
      <c r="E66" s="1731"/>
      <c r="F66" s="1730"/>
      <c r="G66" s="1767"/>
    </row>
    <row r="67" spans="1:7" ht="102.75" customHeight="1">
      <c r="A67" s="1731">
        <f>A65+1</f>
        <v>31</v>
      </c>
      <c r="B67" s="1855"/>
      <c r="C67" s="1864" t="s">
        <v>3718</v>
      </c>
      <c r="D67" s="1730">
        <v>20</v>
      </c>
      <c r="E67" s="1865" t="s">
        <v>3719</v>
      </c>
      <c r="F67" s="1730">
        <f>'Ele-Data'!J707</f>
        <v>826</v>
      </c>
      <c r="G67" s="1767">
        <f>ROUND(D67*F67,0)</f>
        <v>16520</v>
      </c>
    </row>
    <row r="68" spans="1:7">
      <c r="A68" s="1731"/>
      <c r="B68" s="1855"/>
      <c r="C68" s="1856"/>
      <c r="D68" s="1730"/>
      <c r="E68" s="1731"/>
      <c r="F68" s="1730"/>
      <c r="G68" s="1767"/>
    </row>
    <row r="69" spans="1:7" ht="139.5" customHeight="1">
      <c r="A69" s="1731">
        <f>A67+1</f>
        <v>32</v>
      </c>
      <c r="B69" s="1855"/>
      <c r="C69" s="1864" t="s">
        <v>3720</v>
      </c>
      <c r="D69" s="1730">
        <v>8</v>
      </c>
      <c r="E69" s="1865" t="s">
        <v>3719</v>
      </c>
      <c r="F69" s="1730">
        <f>'Ele-Data'!J761</f>
        <v>1780</v>
      </c>
      <c r="G69" s="1767">
        <f>ROUND(D69*F69,0)</f>
        <v>14240</v>
      </c>
    </row>
    <row r="70" spans="1:7">
      <c r="A70" s="1731"/>
      <c r="B70" s="1855"/>
      <c r="C70" s="1856"/>
      <c r="D70" s="1730"/>
      <c r="E70" s="1731"/>
      <c r="F70" s="1730"/>
      <c r="G70" s="1767"/>
    </row>
    <row r="71" spans="1:7" ht="140.25" customHeight="1">
      <c r="A71" s="1731">
        <f>A69+1</f>
        <v>33</v>
      </c>
      <c r="B71" s="1855"/>
      <c r="C71" s="1864" t="s">
        <v>3721</v>
      </c>
      <c r="D71" s="1730">
        <v>8</v>
      </c>
      <c r="E71" s="1865" t="s">
        <v>3719</v>
      </c>
      <c r="F71" s="1730">
        <f>'Ele-Data'!J723</f>
        <v>3252</v>
      </c>
      <c r="G71" s="1767">
        <f>ROUND(D71*F71,0)</f>
        <v>26016</v>
      </c>
    </row>
    <row r="72" spans="1:7">
      <c r="A72" s="1731"/>
      <c r="B72" s="1855"/>
      <c r="C72" s="1856"/>
      <c r="D72" s="1730"/>
      <c r="E72" s="1731"/>
      <c r="F72" s="1730"/>
      <c r="G72" s="1767"/>
    </row>
    <row r="73" spans="1:7" ht="38.25">
      <c r="A73" s="1731">
        <f>A71+1</f>
        <v>34</v>
      </c>
      <c r="B73" s="1855"/>
      <c r="C73" s="1864" t="s">
        <v>3722</v>
      </c>
      <c r="D73" s="1730">
        <v>6</v>
      </c>
      <c r="E73" s="1865" t="s">
        <v>3719</v>
      </c>
      <c r="F73" s="1730">
        <v>2137</v>
      </c>
      <c r="G73" s="1767">
        <f>ROUND(D73*F73,0)</f>
        <v>12822</v>
      </c>
    </row>
    <row r="74" spans="1:7">
      <c r="A74" s="1731"/>
      <c r="B74" s="1855"/>
      <c r="C74" s="1856"/>
      <c r="D74" s="1730"/>
      <c r="E74" s="1731"/>
      <c r="F74" s="1730"/>
      <c r="G74" s="1767"/>
    </row>
    <row r="75" spans="1:7" ht="52.5" customHeight="1">
      <c r="A75" s="1731">
        <f>A73+1</f>
        <v>35</v>
      </c>
      <c r="B75" s="1855"/>
      <c r="C75" s="1864" t="s">
        <v>2734</v>
      </c>
      <c r="D75" s="1730">
        <v>6</v>
      </c>
      <c r="E75" s="1865" t="s">
        <v>3719</v>
      </c>
      <c r="F75" s="1730">
        <f>'Ele-Data'!J847</f>
        <v>619</v>
      </c>
      <c r="G75" s="1767">
        <f>ROUND(D75*F75,0)</f>
        <v>3714</v>
      </c>
    </row>
    <row r="76" spans="1:7">
      <c r="A76" s="1731"/>
      <c r="B76" s="1855"/>
      <c r="C76" s="1856"/>
      <c r="D76" s="1730"/>
      <c r="E76" s="1731"/>
      <c r="F76" s="1730"/>
      <c r="G76" s="1767"/>
    </row>
    <row r="77" spans="1:7" ht="51">
      <c r="A77" s="1731">
        <f>A75+1</f>
        <v>36</v>
      </c>
      <c r="B77" s="1855"/>
      <c r="C77" s="1864" t="s">
        <v>2735</v>
      </c>
      <c r="D77" s="1730">
        <v>6</v>
      </c>
      <c r="E77" s="1865" t="s">
        <v>3719</v>
      </c>
      <c r="F77" s="1730">
        <f>'Ele-Data'!J860</f>
        <v>163</v>
      </c>
      <c r="G77" s="1767">
        <f>ROUND(D77*F77,0)</f>
        <v>978</v>
      </c>
    </row>
    <row r="78" spans="1:7">
      <c r="A78" s="1731"/>
      <c r="B78" s="1855"/>
      <c r="C78" s="1856"/>
      <c r="D78" s="1730"/>
      <c r="E78" s="1731"/>
      <c r="F78" s="1730"/>
      <c r="G78" s="1767"/>
    </row>
    <row r="79" spans="1:7" ht="25.5">
      <c r="A79" s="1731">
        <f>A77+1</f>
        <v>37</v>
      </c>
      <c r="B79" s="1855"/>
      <c r="C79" s="1864" t="s">
        <v>2738</v>
      </c>
      <c r="D79" s="1730">
        <v>6</v>
      </c>
      <c r="E79" s="1865" t="s">
        <v>3719</v>
      </c>
      <c r="F79" s="1730">
        <f>'Ele-Data'!J873</f>
        <v>142</v>
      </c>
      <c r="G79" s="1767">
        <f>ROUND(D79*F79,0)</f>
        <v>852</v>
      </c>
    </row>
    <row r="80" spans="1:7">
      <c r="A80" s="1731"/>
      <c r="B80" s="1855"/>
      <c r="C80" s="1856"/>
      <c r="D80" s="1730"/>
      <c r="E80" s="1731"/>
      <c r="F80" s="1730"/>
      <c r="G80" s="1767"/>
    </row>
    <row r="81" spans="1:7" ht="117" customHeight="1">
      <c r="A81" s="1731">
        <f>A79+1</f>
        <v>38</v>
      </c>
      <c r="B81" s="1855"/>
      <c r="C81" s="1864" t="s">
        <v>3723</v>
      </c>
      <c r="D81" s="1730">
        <v>4</v>
      </c>
      <c r="E81" s="1865" t="s">
        <v>3719</v>
      </c>
      <c r="F81" s="1730">
        <f>'Ele-Data'!J1988</f>
        <v>46309</v>
      </c>
      <c r="G81" s="1767">
        <f>ROUND(D81*F81,0)</f>
        <v>185236</v>
      </c>
    </row>
    <row r="82" spans="1:7">
      <c r="A82" s="1731"/>
      <c r="B82" s="1855"/>
      <c r="C82" s="1856"/>
      <c r="D82" s="1730"/>
      <c r="E82" s="1731"/>
      <c r="F82" s="1730"/>
      <c r="G82" s="1767"/>
    </row>
    <row r="83" spans="1:7" ht="76.5" customHeight="1">
      <c r="A83" s="1731">
        <f>A81+1</f>
        <v>39</v>
      </c>
      <c r="B83" s="1855"/>
      <c r="C83" s="1864" t="s">
        <v>3724</v>
      </c>
      <c r="D83" s="1730">
        <v>4</v>
      </c>
      <c r="E83" s="1865" t="s">
        <v>3719</v>
      </c>
      <c r="F83" s="1730">
        <f>'Ele-Data'!J2023</f>
        <v>3334</v>
      </c>
      <c r="G83" s="1767">
        <f>ROUND(D83*F83,0)</f>
        <v>13336</v>
      </c>
    </row>
    <row r="84" spans="1:7">
      <c r="A84" s="1731"/>
      <c r="B84" s="1855"/>
      <c r="C84" s="1856"/>
      <c r="D84" s="1730"/>
      <c r="E84" s="1731"/>
      <c r="F84" s="1730"/>
      <c r="G84" s="1767"/>
    </row>
    <row r="85" spans="1:7" ht="76.5">
      <c r="A85" s="1731">
        <f>A83+1</f>
        <v>40</v>
      </c>
      <c r="B85" s="1855"/>
      <c r="C85" s="1864" t="s">
        <v>3725</v>
      </c>
      <c r="D85" s="1730">
        <v>4</v>
      </c>
      <c r="E85" s="1865" t="s">
        <v>3719</v>
      </c>
      <c r="F85" s="1730">
        <f>'Ele-Data'!J404</f>
        <v>1916</v>
      </c>
      <c r="G85" s="1767">
        <f>ROUND(D85*F85,0)</f>
        <v>7664</v>
      </c>
    </row>
    <row r="86" spans="1:7">
      <c r="A86" s="1731"/>
      <c r="B86" s="1855"/>
      <c r="C86" s="1856"/>
      <c r="D86" s="1730"/>
      <c r="E86" s="1731"/>
      <c r="F86" s="1730"/>
      <c r="G86" s="1767"/>
    </row>
    <row r="87" spans="1:7" ht="38.25">
      <c r="A87" s="1731">
        <f>A85+1</f>
        <v>41</v>
      </c>
      <c r="B87" s="1855"/>
      <c r="C87" s="1864" t="s">
        <v>2737</v>
      </c>
      <c r="D87" s="1730">
        <v>6</v>
      </c>
      <c r="E87" s="1865" t="s">
        <v>3719</v>
      </c>
      <c r="F87" s="1730">
        <f>'Ele-Data'!J888</f>
        <v>3247</v>
      </c>
      <c r="G87" s="1767">
        <f>ROUND(D87*F87,0)</f>
        <v>19482</v>
      </c>
    </row>
    <row r="88" spans="1:7">
      <c r="A88" s="1731"/>
      <c r="B88" s="1855"/>
      <c r="C88" s="1856"/>
      <c r="D88" s="1730"/>
      <c r="E88" s="1731"/>
      <c r="F88" s="1730"/>
      <c r="G88" s="1767"/>
    </row>
    <row r="89" spans="1:7" ht="51">
      <c r="A89" s="1731">
        <f>A87+1</f>
        <v>42</v>
      </c>
      <c r="B89" s="1855"/>
      <c r="C89" s="1864" t="s">
        <v>3049</v>
      </c>
      <c r="D89" s="1730">
        <v>6</v>
      </c>
      <c r="E89" s="1865" t="s">
        <v>3719</v>
      </c>
      <c r="F89" s="1730">
        <f>'Ele-Data'!J903</f>
        <v>699</v>
      </c>
      <c r="G89" s="1767">
        <f>ROUND(D89*F89,0)</f>
        <v>4194</v>
      </c>
    </row>
    <row r="90" spans="1:7">
      <c r="A90" s="1731"/>
      <c r="B90" s="1855"/>
      <c r="C90" s="1856"/>
      <c r="D90" s="2139" t="s">
        <v>3692</v>
      </c>
      <c r="E90" s="2140"/>
      <c r="F90" s="2141"/>
      <c r="G90" s="1768">
        <f>SUM(G53:G89)</f>
        <v>389839</v>
      </c>
    </row>
  </sheetData>
  <mergeCells count="6">
    <mergeCell ref="D90:F90"/>
    <mergeCell ref="A1:G1"/>
    <mergeCell ref="A2:G2"/>
    <mergeCell ref="A3:B3"/>
    <mergeCell ref="D38:F38"/>
    <mergeCell ref="D51:F51"/>
  </mergeCells>
  <pageMargins left="0.70866141732283472" right="0.19685039370078741" top="0.74803149606299213" bottom="0.74803149606299213" header="0.31496062992125984" footer="0.31496062992125984"/>
  <pageSetup paperSize="9" scale="90" orientation="portrait" r:id="rId1"/>
  <rowBreaks count="2" manualBreakCount="2">
    <brk id="38" max="6" man="1"/>
    <brk id="51" max="6" man="1"/>
  </rowBreaks>
</worksheet>
</file>

<file path=xl/worksheets/sheet17.xml><?xml version="1.0" encoding="utf-8"?>
<worksheet xmlns="http://schemas.openxmlformats.org/spreadsheetml/2006/main" xmlns:r="http://schemas.openxmlformats.org/officeDocument/2006/relationships">
  <dimension ref="A1:G30"/>
  <sheetViews>
    <sheetView view="pageBreakPreview" zoomScale="95" zoomScaleSheetLayoutView="95" workbookViewId="0">
      <selection activeCell="I37" sqref="I37"/>
    </sheetView>
  </sheetViews>
  <sheetFormatPr defaultColWidth="11.42578125" defaultRowHeight="12.75"/>
  <cols>
    <col min="1" max="1" width="4.140625" style="992" bestFit="1" customWidth="1"/>
    <col min="2" max="2" width="5.85546875" style="500" bestFit="1" customWidth="1"/>
    <col min="3" max="3" width="4.5703125" style="500" bestFit="1" customWidth="1"/>
    <col min="4" max="4" width="63.85546875" style="992" customWidth="1"/>
    <col min="5" max="5" width="9" style="992" bestFit="1" customWidth="1"/>
    <col min="6" max="6" width="8.140625" style="992" customWidth="1"/>
    <col min="7" max="7" width="9.140625" style="992" customWidth="1"/>
    <col min="8" max="16384" width="11.42578125" style="992"/>
  </cols>
  <sheetData>
    <row r="1" spans="1:7" ht="25.5" customHeight="1">
      <c r="A1" s="2146" t="s">
        <v>3575</v>
      </c>
      <c r="B1" s="2146"/>
      <c r="C1" s="2146"/>
      <c r="D1" s="2146"/>
      <c r="E1" s="2146"/>
      <c r="F1" s="2146"/>
      <c r="G1" s="2146"/>
    </row>
    <row r="2" spans="1:7" s="516" customFormat="1" ht="25.15" customHeight="1">
      <c r="A2" s="1611" t="s">
        <v>689</v>
      </c>
      <c r="B2" s="2147" t="s">
        <v>2365</v>
      </c>
      <c r="C2" s="2147"/>
      <c r="D2" s="1611" t="s">
        <v>16</v>
      </c>
      <c r="E2" s="1612" t="s">
        <v>2789</v>
      </c>
      <c r="F2" s="1612" t="s">
        <v>30</v>
      </c>
      <c r="G2" s="1613" t="s">
        <v>3576</v>
      </c>
    </row>
    <row r="3" spans="1:7">
      <c r="A3" s="1614"/>
      <c r="B3" s="1627"/>
      <c r="C3" s="1614"/>
      <c r="D3" s="1615" t="s">
        <v>3577</v>
      </c>
      <c r="E3" s="1616"/>
      <c r="F3" s="1617"/>
      <c r="G3" s="1618"/>
    </row>
    <row r="4" spans="1:7" ht="191.25">
      <c r="A4" s="1614">
        <v>1</v>
      </c>
      <c r="B4" s="1615">
        <v>15</v>
      </c>
      <c r="C4" s="1614" t="s">
        <v>1308</v>
      </c>
      <c r="D4" s="1619" t="s">
        <v>3586</v>
      </c>
      <c r="E4" s="1620">
        <v>480</v>
      </c>
      <c r="F4" s="1617" t="s">
        <v>3578</v>
      </c>
      <c r="G4" s="1618">
        <f>ROUND(B4*E4,0)</f>
        <v>7200</v>
      </c>
    </row>
    <row r="5" spans="1:7">
      <c r="A5" s="1614"/>
      <c r="B5" s="1627"/>
      <c r="C5" s="1614"/>
      <c r="D5" s="1619"/>
      <c r="E5" s="1616"/>
      <c r="F5" s="1617"/>
      <c r="G5" s="1618"/>
    </row>
    <row r="6" spans="1:7" ht="178.5">
      <c r="A6" s="1614">
        <f>A4+1</f>
        <v>2</v>
      </c>
      <c r="B6" s="1615">
        <v>40</v>
      </c>
      <c r="C6" s="1614" t="s">
        <v>1308</v>
      </c>
      <c r="D6" s="1619" t="s">
        <v>3579</v>
      </c>
      <c r="E6" s="1620">
        <v>616</v>
      </c>
      <c r="F6" s="1617" t="s">
        <v>3578</v>
      </c>
      <c r="G6" s="1618">
        <f>ROUND(B6*E6,0)</f>
        <v>24640</v>
      </c>
    </row>
    <row r="7" spans="1:7">
      <c r="A7" s="1614"/>
      <c r="B7" s="1627"/>
      <c r="C7" s="1614"/>
      <c r="D7" s="1619"/>
      <c r="E7" s="1616"/>
      <c r="F7" s="1617"/>
      <c r="G7" s="1618"/>
    </row>
    <row r="8" spans="1:7" ht="178.5">
      <c r="A8" s="1614">
        <f>A6+1</f>
        <v>3</v>
      </c>
      <c r="B8" s="1615">
        <v>20</v>
      </c>
      <c r="C8" s="1614" t="s">
        <v>1308</v>
      </c>
      <c r="D8" s="1619" t="s">
        <v>3580</v>
      </c>
      <c r="E8" s="1620">
        <v>891</v>
      </c>
      <c r="F8" s="1617" t="s">
        <v>3578</v>
      </c>
      <c r="G8" s="1618">
        <f>ROUND(B8*E8,0)</f>
        <v>17820</v>
      </c>
    </row>
    <row r="9" spans="1:7">
      <c r="A9" s="1614"/>
      <c r="B9" s="1627"/>
      <c r="C9" s="1614"/>
      <c r="D9" s="1619"/>
      <c r="E9" s="1616"/>
      <c r="F9" s="1617"/>
      <c r="G9" s="1618"/>
    </row>
    <row r="10" spans="1:7">
      <c r="A10" s="1614"/>
      <c r="B10" s="1627"/>
      <c r="C10" s="1614"/>
      <c r="D10" s="1619" t="s">
        <v>3581</v>
      </c>
      <c r="E10" s="1616"/>
      <c r="F10" s="1617"/>
      <c r="G10" s="1618"/>
    </row>
    <row r="11" spans="1:7" ht="191.25">
      <c r="A11" s="1614">
        <f>A8+1</f>
        <v>4</v>
      </c>
      <c r="B11" s="1616">
        <v>10</v>
      </c>
      <c r="C11" s="1614" t="s">
        <v>955</v>
      </c>
      <c r="D11" s="1621" t="s">
        <v>3587</v>
      </c>
      <c r="E11" s="1620">
        <v>1875</v>
      </c>
      <c r="F11" s="1617" t="s">
        <v>501</v>
      </c>
      <c r="G11" s="1618">
        <f>ROUND(B11*E11,0)</f>
        <v>18750</v>
      </c>
    </row>
    <row r="12" spans="1:7">
      <c r="A12" s="1614"/>
      <c r="B12" s="1627"/>
      <c r="C12" s="1614"/>
      <c r="D12" s="1622"/>
      <c r="E12" s="1616"/>
      <c r="F12" s="1617"/>
      <c r="G12" s="1618"/>
    </row>
    <row r="13" spans="1:7" ht="114.75">
      <c r="A13" s="1614">
        <f>A11+1</f>
        <v>5</v>
      </c>
      <c r="B13" s="1615">
        <f>+B11</f>
        <v>10</v>
      </c>
      <c r="C13" s="1614" t="s">
        <v>955</v>
      </c>
      <c r="D13" s="1619" t="s">
        <v>3582</v>
      </c>
      <c r="E13" s="1620">
        <v>1350</v>
      </c>
      <c r="F13" s="1617" t="s">
        <v>501</v>
      </c>
      <c r="G13" s="1618">
        <f>ROUND(B13*E13,0)</f>
        <v>13500</v>
      </c>
    </row>
    <row r="14" spans="1:7">
      <c r="A14" s="1614"/>
      <c r="B14" s="1627"/>
      <c r="C14" s="1614"/>
      <c r="D14" s="1615"/>
      <c r="E14" s="1616"/>
      <c r="F14" s="1617"/>
      <c r="G14" s="1618"/>
    </row>
    <row r="15" spans="1:7">
      <c r="A15" s="1614"/>
      <c r="B15" s="1627"/>
      <c r="C15" s="1614"/>
      <c r="D15" s="1619" t="s">
        <v>3583</v>
      </c>
      <c r="E15" s="1616"/>
      <c r="F15" s="1617"/>
      <c r="G15" s="1618"/>
    </row>
    <row r="16" spans="1:7" ht="89.25">
      <c r="A16" s="1614">
        <f>A13+1</f>
        <v>6</v>
      </c>
      <c r="B16" s="1615">
        <v>2</v>
      </c>
      <c r="C16" s="1614" t="s">
        <v>955</v>
      </c>
      <c r="D16" s="1619" t="s">
        <v>3584</v>
      </c>
      <c r="E16" s="1620">
        <v>1450</v>
      </c>
      <c r="F16" s="1617" t="s">
        <v>501</v>
      </c>
      <c r="G16" s="1618">
        <f>ROUND(B16*E16,0)</f>
        <v>2900</v>
      </c>
    </row>
    <row r="17" spans="1:7">
      <c r="A17" s="1614"/>
      <c r="B17" s="1627"/>
      <c r="C17" s="1614"/>
      <c r="D17" s="1621"/>
      <c r="E17" s="1616"/>
      <c r="F17" s="1617"/>
      <c r="G17" s="1618"/>
    </row>
    <row r="18" spans="1:7" ht="89.25">
      <c r="A18" s="1614">
        <f>A16+1</f>
        <v>7</v>
      </c>
      <c r="B18" s="1615">
        <v>1</v>
      </c>
      <c r="C18" s="1614" t="s">
        <v>955</v>
      </c>
      <c r="D18" s="1619" t="s">
        <v>3585</v>
      </c>
      <c r="E18" s="1620">
        <v>2050</v>
      </c>
      <c r="F18" s="1617" t="s">
        <v>501</v>
      </c>
      <c r="G18" s="1618">
        <f>ROUND(B18*E18,0)</f>
        <v>2050</v>
      </c>
    </row>
    <row r="19" spans="1:7">
      <c r="A19" s="1614"/>
      <c r="B19" s="1627"/>
      <c r="C19" s="1614"/>
      <c r="D19" s="1621"/>
      <c r="E19" s="1616"/>
      <c r="F19" s="1617"/>
      <c r="G19" s="1618"/>
    </row>
    <row r="20" spans="1:7" ht="51">
      <c r="A20" s="1614">
        <f>A18+1</f>
        <v>8</v>
      </c>
      <c r="B20" s="1615">
        <v>1</v>
      </c>
      <c r="C20" s="1614" t="s">
        <v>1509</v>
      </c>
      <c r="D20" s="1640" t="s">
        <v>3622</v>
      </c>
      <c r="E20" s="1620">
        <v>32700</v>
      </c>
      <c r="F20" s="1617" t="s">
        <v>501</v>
      </c>
      <c r="G20" s="1618">
        <f>ROUND(B20*E20,0)</f>
        <v>32700</v>
      </c>
    </row>
    <row r="21" spans="1:7">
      <c r="A21" s="1623"/>
      <c r="B21" s="1623"/>
      <c r="C21" s="1623"/>
      <c r="D21" s="1621"/>
      <c r="E21" s="1624"/>
      <c r="F21" s="1624"/>
      <c r="G21" s="1628">
        <f>SUM(G3:G20)</f>
        <v>119560</v>
      </c>
    </row>
    <row r="22" spans="1:7">
      <c r="A22" s="990"/>
      <c r="B22" s="1625"/>
      <c r="C22" s="990"/>
      <c r="D22" s="500"/>
      <c r="E22" s="991"/>
      <c r="F22" s="991"/>
      <c r="G22" s="1626"/>
    </row>
    <row r="23" spans="1:7">
      <c r="A23" s="990"/>
      <c r="B23" s="1625"/>
      <c r="C23" s="990"/>
      <c r="D23" s="500"/>
      <c r="E23" s="991"/>
      <c r="F23" s="991"/>
      <c r="G23" s="1626"/>
    </row>
    <row r="24" spans="1:7">
      <c r="A24" s="990"/>
      <c r="B24" s="1625"/>
      <c r="C24" s="990"/>
      <c r="D24" s="500"/>
      <c r="E24" s="991"/>
      <c r="F24" s="991"/>
      <c r="G24" s="1626"/>
    </row>
    <row r="25" spans="1:7">
      <c r="A25" s="990"/>
      <c r="B25" s="1625"/>
      <c r="C25" s="990"/>
      <c r="D25" s="500"/>
      <c r="E25" s="991"/>
      <c r="F25" s="991"/>
      <c r="G25" s="1626"/>
    </row>
    <row r="26" spans="1:7">
      <c r="A26" s="990"/>
      <c r="B26" s="1625"/>
      <c r="C26" s="990"/>
      <c r="D26" s="500"/>
      <c r="E26" s="991"/>
      <c r="F26" s="991"/>
      <c r="G26" s="1626"/>
    </row>
    <row r="27" spans="1:7">
      <c r="A27" s="990"/>
      <c r="B27" s="1625"/>
      <c r="C27" s="990"/>
      <c r="D27" s="500"/>
      <c r="E27" s="991"/>
      <c r="F27" s="991"/>
      <c r="G27" s="1626"/>
    </row>
    <row r="28" spans="1:7">
      <c r="A28" s="990"/>
      <c r="B28" s="1625"/>
      <c r="C28" s="990"/>
      <c r="D28" s="500"/>
      <c r="E28" s="991"/>
      <c r="F28" s="991"/>
      <c r="G28" s="1626"/>
    </row>
    <row r="29" spans="1:7">
      <c r="A29" s="990"/>
      <c r="B29" s="1625"/>
      <c r="C29" s="990"/>
      <c r="D29" s="500"/>
      <c r="E29" s="991"/>
      <c r="F29" s="991"/>
      <c r="G29" s="1626"/>
    </row>
    <row r="30" spans="1:7">
      <c r="A30" s="990"/>
      <c r="B30" s="1625"/>
      <c r="C30" s="990"/>
      <c r="D30" s="500"/>
      <c r="E30" s="991"/>
      <c r="F30" s="991"/>
      <c r="G30" s="1626"/>
    </row>
  </sheetData>
  <mergeCells count="2">
    <mergeCell ref="A1:G1"/>
    <mergeCell ref="B2:C2"/>
  </mergeCells>
  <pageMargins left="0.70866141732283472" right="0.70866141732283472" top="0.74803149606299213" bottom="0.74803149606299213" header="0.31496062992125984" footer="0.31496062992125984"/>
  <pageSetup paperSize="9" scale="85" orientation="portrait" r:id="rId1"/>
</worksheet>
</file>

<file path=xl/worksheets/sheet18.xml><?xml version="1.0" encoding="utf-8"?>
<worksheet xmlns="http://schemas.openxmlformats.org/spreadsheetml/2006/main" xmlns:r="http://schemas.openxmlformats.org/officeDocument/2006/relationships">
  <dimension ref="A1:P2061"/>
  <sheetViews>
    <sheetView view="pageBreakPreview" topLeftCell="A7" zoomScaleSheetLayoutView="100" workbookViewId="0">
      <selection activeCell="J2061" sqref="J2061"/>
    </sheetView>
  </sheetViews>
  <sheetFormatPr defaultColWidth="7.7109375" defaultRowHeight="12.75"/>
  <cols>
    <col min="1" max="1" width="6.140625" style="640" bestFit="1" customWidth="1"/>
    <col min="2" max="2" width="8.85546875" style="641" customWidth="1"/>
    <col min="3" max="3" width="5" style="641" customWidth="1"/>
    <col min="4" max="4" width="31.85546875" style="642" customWidth="1"/>
    <col min="5" max="5" width="7.7109375" style="641" customWidth="1"/>
    <col min="6" max="6" width="7" style="641" bestFit="1" customWidth="1"/>
    <col min="7" max="7" width="7.28515625" style="641" bestFit="1" customWidth="1"/>
    <col min="8" max="8" width="6.42578125" style="641" bestFit="1" customWidth="1"/>
    <col min="9" max="9" width="11.28515625" style="643" customWidth="1"/>
    <col min="10" max="10" width="12.85546875" style="641" bestFit="1" customWidth="1"/>
    <col min="11" max="11" width="7.7109375" style="642" customWidth="1"/>
    <col min="12" max="12" width="15" style="642" customWidth="1"/>
    <col min="13" max="13" width="19.140625" style="642" customWidth="1"/>
    <col min="14" max="16384" width="7.7109375" style="642"/>
  </cols>
  <sheetData>
    <row r="1" spans="1:10" s="644" customFormat="1">
      <c r="A1" s="640"/>
      <c r="B1" s="641"/>
      <c r="C1" s="641"/>
      <c r="D1" s="642"/>
      <c r="E1" s="641"/>
      <c r="F1" s="641"/>
      <c r="G1" s="641"/>
      <c r="H1" s="641"/>
      <c r="I1" s="643"/>
      <c r="J1" s="641"/>
    </row>
    <row r="2" spans="1:10" s="644" customFormat="1">
      <c r="A2" s="640"/>
      <c r="B2" s="641">
        <v>1</v>
      </c>
      <c r="C2" s="641"/>
      <c r="D2" s="645" t="s">
        <v>2740</v>
      </c>
      <c r="E2" s="641"/>
      <c r="F2" s="641"/>
      <c r="G2" s="641">
        <v>660</v>
      </c>
      <c r="H2" s="641"/>
      <c r="I2" s="643"/>
      <c r="J2" s="641"/>
    </row>
    <row r="3" spans="1:10" s="644" customFormat="1">
      <c r="A3" s="640"/>
      <c r="B3" s="641">
        <v>2</v>
      </c>
      <c r="C3" s="641"/>
      <c r="D3" s="645" t="s">
        <v>2741</v>
      </c>
      <c r="E3" s="641"/>
      <c r="F3" s="641"/>
      <c r="G3" s="641">
        <v>550</v>
      </c>
      <c r="H3" s="641"/>
      <c r="I3" s="643"/>
      <c r="J3" s="641"/>
    </row>
    <row r="4" spans="1:10" s="644" customFormat="1">
      <c r="A4" s="640"/>
      <c r="B4" s="641">
        <v>3</v>
      </c>
      <c r="C4" s="641"/>
      <c r="D4" s="645" t="s">
        <v>2742</v>
      </c>
      <c r="E4" s="641"/>
      <c r="F4" s="641"/>
      <c r="G4" s="641">
        <v>550</v>
      </c>
      <c r="H4" s="641"/>
      <c r="I4" s="643"/>
      <c r="J4" s="641"/>
    </row>
    <row r="5" spans="1:10" s="644" customFormat="1">
      <c r="A5" s="640"/>
      <c r="B5" s="641">
        <v>4</v>
      </c>
      <c r="C5" s="641"/>
      <c r="D5" s="646" t="s">
        <v>2743</v>
      </c>
      <c r="E5" s="641"/>
      <c r="F5" s="641"/>
      <c r="G5" s="641">
        <v>580</v>
      </c>
      <c r="H5" s="641"/>
      <c r="I5" s="643"/>
      <c r="J5" s="641"/>
    </row>
    <row r="6" spans="1:10" s="644" customFormat="1">
      <c r="A6" s="640"/>
      <c r="B6" s="641">
        <v>5</v>
      </c>
      <c r="C6" s="641"/>
      <c r="D6" s="642" t="s">
        <v>1326</v>
      </c>
      <c r="E6" s="641"/>
      <c r="F6" s="641"/>
      <c r="G6" s="641">
        <v>520</v>
      </c>
      <c r="H6" s="641"/>
      <c r="I6" s="643"/>
      <c r="J6" s="641"/>
    </row>
    <row r="7" spans="1:10" s="644" customFormat="1">
      <c r="A7" s="640"/>
      <c r="B7" s="641">
        <v>6</v>
      </c>
      <c r="C7" s="641"/>
      <c r="D7" s="642"/>
      <c r="E7" s="641"/>
      <c r="F7" s="641"/>
      <c r="G7" s="641"/>
      <c r="H7" s="641"/>
      <c r="I7" s="643"/>
      <c r="J7" s="641"/>
    </row>
    <row r="8" spans="1:10" s="644" customFormat="1">
      <c r="A8" s="640"/>
      <c r="B8" s="641"/>
      <c r="C8" s="641"/>
      <c r="D8" s="642"/>
      <c r="E8" s="641"/>
      <c r="F8" s="641"/>
      <c r="G8" s="641"/>
      <c r="H8" s="641"/>
      <c r="I8" s="643"/>
      <c r="J8" s="641"/>
    </row>
    <row r="9" spans="1:10" s="644" customFormat="1">
      <c r="A9" s="640"/>
      <c r="B9" s="641">
        <v>7</v>
      </c>
      <c r="C9" s="641"/>
      <c r="D9" s="642" t="s">
        <v>2744</v>
      </c>
      <c r="E9" s="647"/>
      <c r="F9" s="641"/>
      <c r="G9" s="641"/>
      <c r="H9" s="641"/>
      <c r="I9" s="643"/>
      <c r="J9" s="641"/>
    </row>
    <row r="10" spans="1:10" s="644" customFormat="1">
      <c r="A10" s="640"/>
      <c r="B10" s="641"/>
      <c r="C10" s="641"/>
      <c r="D10" s="642"/>
      <c r="E10" s="641"/>
      <c r="F10" s="641"/>
      <c r="G10" s="641"/>
      <c r="H10" s="641"/>
      <c r="I10" s="643"/>
      <c r="J10" s="641"/>
    </row>
    <row r="11" spans="1:10" s="644" customFormat="1">
      <c r="A11" s="2149" t="s">
        <v>2745</v>
      </c>
      <c r="B11" s="2149"/>
      <c r="C11" s="2149"/>
      <c r="D11" s="2149"/>
      <c r="E11" s="2149"/>
      <c r="F11" s="2149"/>
      <c r="G11" s="2149"/>
      <c r="H11" s="2149"/>
      <c r="I11" s="2149"/>
      <c r="J11" s="2149"/>
    </row>
    <row r="12" spans="1:10" s="644" customFormat="1">
      <c r="A12" s="2150" t="s">
        <v>2746</v>
      </c>
      <c r="B12" s="2150"/>
      <c r="C12" s="2150"/>
      <c r="D12" s="2150"/>
      <c r="E12" s="2150"/>
      <c r="F12" s="2150"/>
      <c r="G12" s="2150"/>
      <c r="H12" s="2150"/>
      <c r="I12" s="2150"/>
      <c r="J12" s="2150"/>
    </row>
    <row r="13" spans="1:10" s="644" customFormat="1">
      <c r="A13" s="2151" t="str">
        <f>[1]ABCD!A2</f>
        <v xml:space="preserve">NAME OF THE WORK : CONSTRUCTION OF NEW GOV. SS HOSPITAL PATANCHERUVU
(SSR 2022-23)
</v>
      </c>
      <c r="B13" s="2151"/>
      <c r="C13" s="2151"/>
      <c r="D13" s="2151"/>
      <c r="E13" s="2151"/>
      <c r="F13" s="2151"/>
      <c r="G13" s="2151"/>
      <c r="H13" s="2151"/>
      <c r="I13" s="2151"/>
      <c r="J13" s="2151"/>
    </row>
    <row r="14" spans="1:10" s="644" customFormat="1" ht="38.25">
      <c r="A14" s="648" t="s">
        <v>2747</v>
      </c>
      <c r="B14" s="649" t="s">
        <v>2748</v>
      </c>
      <c r="C14" s="649" t="s">
        <v>2749</v>
      </c>
      <c r="D14" s="649" t="s">
        <v>937</v>
      </c>
      <c r="E14" s="649" t="s">
        <v>2365</v>
      </c>
      <c r="F14" s="649"/>
      <c r="G14" s="649" t="s">
        <v>30</v>
      </c>
      <c r="H14" s="649"/>
      <c r="I14" s="650" t="s">
        <v>29</v>
      </c>
      <c r="J14" s="649" t="s">
        <v>2366</v>
      </c>
    </row>
    <row r="15" spans="1:10" s="644" customFormat="1">
      <c r="A15" s="651" t="s">
        <v>2750</v>
      </c>
      <c r="B15" s="652"/>
      <c r="C15" s="652"/>
      <c r="D15" s="2152" t="s">
        <v>2751</v>
      </c>
      <c r="E15" s="2153"/>
      <c r="F15" s="2153"/>
      <c r="G15" s="2153"/>
      <c r="H15" s="2153"/>
      <c r="I15" s="2153"/>
      <c r="J15" s="2154"/>
    </row>
    <row r="16" spans="1:10" s="644" customFormat="1" ht="25.5">
      <c r="A16" s="653">
        <f>SUM(MAX($A$7:$A15),1)</f>
        <v>1</v>
      </c>
      <c r="B16" s="654" t="s">
        <v>2752</v>
      </c>
      <c r="C16" s="654"/>
      <c r="D16" s="2155" t="s">
        <v>2753</v>
      </c>
      <c r="E16" s="2155"/>
      <c r="F16" s="2155"/>
      <c r="G16" s="2155"/>
      <c r="H16" s="2155"/>
      <c r="I16" s="2155"/>
      <c r="J16" s="2155"/>
    </row>
    <row r="17" spans="1:13" s="644" customFormat="1">
      <c r="A17" s="655"/>
      <c r="B17" s="654"/>
      <c r="C17" s="654"/>
      <c r="D17" s="656" t="s">
        <v>2754</v>
      </c>
      <c r="E17" s="2156"/>
      <c r="F17" s="2156"/>
      <c r="G17" s="2157"/>
      <c r="H17" s="2157"/>
      <c r="I17" s="657"/>
      <c r="J17" s="658"/>
    </row>
    <row r="18" spans="1:13" s="644" customFormat="1">
      <c r="A18" s="655"/>
      <c r="B18" s="654">
        <v>1</v>
      </c>
      <c r="C18" s="654"/>
      <c r="D18" s="645" t="s">
        <v>2740</v>
      </c>
      <c r="E18" s="659">
        <v>2</v>
      </c>
      <c r="F18" s="660" t="s">
        <v>1738</v>
      </c>
      <c r="G18" s="661">
        <v>1</v>
      </c>
      <c r="H18" s="660" t="s">
        <v>1738</v>
      </c>
      <c r="I18" s="657">
        <f>IF(B18=$B$2,$G$2,IF(B18=$B$3,$G$3,IF(B18=$B$4,$G$4,IF(B18=$B$5,$G$5,IF(B18=$B$6,$G$6,IF(B18=$B$7,$G$7,FALSE))))))</f>
        <v>660</v>
      </c>
      <c r="J18" s="658">
        <f>SUM(E18*I18/G18)</f>
        <v>1320</v>
      </c>
    </row>
    <row r="19" spans="1:13" s="644" customFormat="1">
      <c r="A19" s="655"/>
      <c r="B19" s="654">
        <v>2</v>
      </c>
      <c r="C19" s="654"/>
      <c r="D19" s="645" t="s">
        <v>2741</v>
      </c>
      <c r="E19" s="659">
        <v>2</v>
      </c>
      <c r="F19" s="660" t="s">
        <v>1738</v>
      </c>
      <c r="G19" s="661">
        <v>1</v>
      </c>
      <c r="H19" s="660" t="s">
        <v>1738</v>
      </c>
      <c r="I19" s="657">
        <f>IF(B19=$B$2,$G$2,IF(B19=$B$3,$G$3,IF(B19=$B$4,$G$4,IF(B19=$B$5,$G$5,IF(B19=$B$6,$G$6,IF(B19=$B$7,$G$7,FALSE))))))</f>
        <v>550</v>
      </c>
      <c r="J19" s="658">
        <f>SUM(E19*I19/G19)</f>
        <v>1100</v>
      </c>
    </row>
    <row r="20" spans="1:13" s="644" customFormat="1">
      <c r="A20" s="655"/>
      <c r="B20" s="654">
        <v>3</v>
      </c>
      <c r="C20" s="654"/>
      <c r="D20" s="645" t="s">
        <v>2742</v>
      </c>
      <c r="E20" s="659">
        <v>2</v>
      </c>
      <c r="F20" s="660" t="s">
        <v>1738</v>
      </c>
      <c r="G20" s="661">
        <v>1</v>
      </c>
      <c r="H20" s="660" t="s">
        <v>1738</v>
      </c>
      <c r="I20" s="657">
        <f>IF(B20=$B$2,$G$2,IF(B20=$B$3,$G$3,IF(B20=$B$4,$G$4,IF(B20=$B$5,$G$5,IF(B20=$B$6,$G$6,IF(B20=$B$7,$G$7,FALSE))))))</f>
        <v>550</v>
      </c>
      <c r="J20" s="658">
        <f>SUM(E20*I20/G20)</f>
        <v>1100</v>
      </c>
    </row>
    <row r="21" spans="1:13" s="644" customFormat="1">
      <c r="A21" s="655"/>
      <c r="B21" s="654"/>
      <c r="C21" s="654"/>
      <c r="D21" s="662" t="s">
        <v>2755</v>
      </c>
      <c r="E21" s="659"/>
      <c r="F21" s="654"/>
      <c r="G21" s="663"/>
      <c r="H21" s="654"/>
      <c r="I21" s="657"/>
      <c r="J21" s="655">
        <f>SUM(J18:J20)</f>
        <v>3520</v>
      </c>
    </row>
    <row r="22" spans="1:13" s="644" customFormat="1">
      <c r="A22" s="655"/>
      <c r="B22" s="664"/>
      <c r="C22" s="664"/>
      <c r="D22" s="662" t="s">
        <v>2756</v>
      </c>
      <c r="E22" s="665"/>
      <c r="F22" s="654"/>
      <c r="G22" s="663"/>
      <c r="H22" s="654"/>
      <c r="I22" s="657"/>
      <c r="J22" s="655">
        <f>SUM(J21/100)</f>
        <v>35.200000000000003</v>
      </c>
    </row>
    <row r="23" spans="1:13" s="644" customFormat="1">
      <c r="A23" s="655"/>
      <c r="B23" s="654"/>
      <c r="C23" s="654"/>
      <c r="D23" s="666" t="s">
        <v>1879</v>
      </c>
      <c r="E23" s="659"/>
      <c r="F23" s="654"/>
      <c r="G23" s="663"/>
      <c r="H23" s="654"/>
      <c r="I23" s="657"/>
      <c r="J23" s="655"/>
    </row>
    <row r="24" spans="1:13" s="644" customFormat="1" ht="25.5">
      <c r="A24" s="655"/>
      <c r="B24" s="654" t="s">
        <v>2757</v>
      </c>
      <c r="C24" s="654" t="s">
        <v>1184</v>
      </c>
      <c r="D24" s="646" t="s">
        <v>2758</v>
      </c>
      <c r="E24" s="659">
        <v>12</v>
      </c>
      <c r="F24" s="660" t="s">
        <v>955</v>
      </c>
      <c r="G24" s="661">
        <v>1</v>
      </c>
      <c r="H24" s="660" t="s">
        <v>955</v>
      </c>
      <c r="I24" s="657">
        <v>32</v>
      </c>
      <c r="J24" s="658">
        <f>SUM(E24*I24/G24)</f>
        <v>384</v>
      </c>
      <c r="L24" s="658"/>
      <c r="M24" s="667"/>
    </row>
    <row r="25" spans="1:13" s="644" customFormat="1" ht="25.5">
      <c r="A25" s="655"/>
      <c r="B25" s="654" t="s">
        <v>2759</v>
      </c>
      <c r="C25" s="654" t="s">
        <v>1184</v>
      </c>
      <c r="D25" s="646" t="s">
        <v>2760</v>
      </c>
      <c r="E25" s="659">
        <v>12</v>
      </c>
      <c r="F25" s="660" t="s">
        <v>955</v>
      </c>
      <c r="G25" s="661">
        <v>1</v>
      </c>
      <c r="H25" s="660" t="s">
        <v>955</v>
      </c>
      <c r="I25" s="657">
        <v>10</v>
      </c>
      <c r="J25" s="658">
        <f>SUM(E25*I25/G25)</f>
        <v>120</v>
      </c>
      <c r="L25" s="658"/>
    </row>
    <row r="26" spans="1:13" s="644" customFormat="1" ht="38.25">
      <c r="A26" s="655"/>
      <c r="B26" s="654" t="s">
        <v>2761</v>
      </c>
      <c r="C26" s="654" t="s">
        <v>1184</v>
      </c>
      <c r="D26" s="646" t="s">
        <v>2762</v>
      </c>
      <c r="E26" s="659">
        <v>100</v>
      </c>
      <c r="F26" s="660" t="s">
        <v>2763</v>
      </c>
      <c r="G26" s="661">
        <v>1</v>
      </c>
      <c r="H26" s="660" t="s">
        <v>2763</v>
      </c>
      <c r="I26" s="657">
        <v>42</v>
      </c>
      <c r="J26" s="658">
        <f>SUM(E26*I26/G26)</f>
        <v>4200</v>
      </c>
    </row>
    <row r="27" spans="1:13" s="644" customFormat="1">
      <c r="A27" s="655"/>
      <c r="B27" s="654"/>
      <c r="C27" s="654"/>
      <c r="D27" s="646" t="s">
        <v>2764</v>
      </c>
      <c r="E27" s="659"/>
      <c r="F27" s="660"/>
      <c r="G27" s="661"/>
      <c r="H27" s="660"/>
      <c r="I27" s="657"/>
      <c r="J27" s="655">
        <f>SUM(J24:J26)</f>
        <v>4704</v>
      </c>
    </row>
    <row r="28" spans="1:13" s="644" customFormat="1">
      <c r="A28" s="655"/>
      <c r="B28" s="654"/>
      <c r="C28" s="654"/>
      <c r="D28" s="646" t="s">
        <v>2765</v>
      </c>
      <c r="E28" s="665"/>
      <c r="F28" s="660"/>
      <c r="G28" s="661"/>
      <c r="H28" s="660"/>
      <c r="I28" s="657"/>
      <c r="J28" s="655">
        <f>SUM(J27/100)</f>
        <v>47.04</v>
      </c>
    </row>
    <row r="29" spans="1:13" s="644" customFormat="1" ht="25.5">
      <c r="A29" s="655"/>
      <c r="B29" s="654"/>
      <c r="C29" s="654"/>
      <c r="D29" s="656" t="s">
        <v>2766</v>
      </c>
      <c r="E29" s="664"/>
      <c r="F29" s="664"/>
      <c r="G29" s="664"/>
      <c r="H29" s="664"/>
      <c r="I29" s="657"/>
      <c r="J29" s="655">
        <f>ROUNDDOWN(J22+J28,1)</f>
        <v>82.2</v>
      </c>
    </row>
    <row r="30" spans="1:13" s="644" customFormat="1">
      <c r="A30" s="668"/>
      <c r="B30" s="664"/>
      <c r="C30" s="664"/>
      <c r="D30" s="669" t="s">
        <v>2767</v>
      </c>
      <c r="E30" s="670">
        <f>$E$9</f>
        <v>0</v>
      </c>
      <c r="F30" s="671"/>
      <c r="G30" s="663"/>
      <c r="H30" s="671"/>
      <c r="I30" s="672"/>
      <c r="J30" s="655">
        <f>J29*E30</f>
        <v>0</v>
      </c>
    </row>
    <row r="31" spans="1:13" s="644" customFormat="1">
      <c r="A31" s="668"/>
      <c r="B31" s="664"/>
      <c r="C31" s="664"/>
      <c r="D31" s="673"/>
      <c r="E31" s="674"/>
      <c r="F31" s="671"/>
      <c r="G31" s="663"/>
      <c r="H31" s="671"/>
      <c r="I31" s="672"/>
      <c r="J31" s="655">
        <f>SUM(J29:J30)</f>
        <v>82.2</v>
      </c>
    </row>
    <row r="32" spans="1:13" s="644" customFormat="1">
      <c r="A32" s="668"/>
      <c r="B32" s="664"/>
      <c r="C32" s="664"/>
      <c r="D32" s="669" t="s">
        <v>2768</v>
      </c>
      <c r="E32" s="674"/>
      <c r="F32" s="671"/>
      <c r="G32" s="663"/>
      <c r="H32" s="671"/>
      <c r="I32" s="675"/>
      <c r="J32" s="676">
        <f>ROUND(J31,0)</f>
        <v>82</v>
      </c>
    </row>
    <row r="33" spans="1:10" s="644" customFormat="1">
      <c r="A33" s="668"/>
      <c r="B33" s="677"/>
      <c r="C33" s="677"/>
      <c r="D33" s="678"/>
      <c r="E33" s="677"/>
      <c r="F33" s="677"/>
      <c r="G33" s="677"/>
      <c r="H33" s="677"/>
      <c r="I33" s="675"/>
      <c r="J33" s="677"/>
    </row>
    <row r="34" spans="1:10" s="644" customFormat="1" ht="50.25" customHeight="1">
      <c r="A34" s="653">
        <f>SUM(MAX($A$7:$A33),1)</f>
        <v>2</v>
      </c>
      <c r="B34" s="654"/>
      <c r="C34" s="654"/>
      <c r="D34" s="2155" t="s">
        <v>2769</v>
      </c>
      <c r="E34" s="2155"/>
      <c r="F34" s="2155"/>
      <c r="G34" s="2155"/>
      <c r="H34" s="2155"/>
      <c r="I34" s="2155"/>
      <c r="J34" s="2155"/>
    </row>
    <row r="35" spans="1:10" s="644" customFormat="1">
      <c r="A35" s="655"/>
      <c r="B35" s="654"/>
      <c r="C35" s="654"/>
      <c r="D35" s="656" t="s">
        <v>2754</v>
      </c>
      <c r="E35" s="2156"/>
      <c r="F35" s="2156"/>
      <c r="G35" s="2157"/>
      <c r="H35" s="2157"/>
      <c r="I35" s="657"/>
      <c r="J35" s="657"/>
    </row>
    <row r="36" spans="1:10" s="644" customFormat="1">
      <c r="A36" s="655"/>
      <c r="B36" s="654">
        <v>1</v>
      </c>
      <c r="C36" s="654"/>
      <c r="D36" s="645" t="s">
        <v>2740</v>
      </c>
      <c r="E36" s="679">
        <v>2</v>
      </c>
      <c r="F36" s="680" t="s">
        <v>1738</v>
      </c>
      <c r="G36" s="661">
        <v>1</v>
      </c>
      <c r="H36" s="680" t="s">
        <v>1738</v>
      </c>
      <c r="I36" s="657">
        <f>IF(B36=$B$2,$G$2,IF(B36=$B$3,$G$3,IF(B36=$B$4,$G$4,IF(B36=$B$5,$G$5,IF(B36=$B$6,$G$6,IF(B36=$B$7,$G$7,FALSE))))))</f>
        <v>660</v>
      </c>
      <c r="J36" s="657">
        <f>SUM(E36*I36/G36)</f>
        <v>1320</v>
      </c>
    </row>
    <row r="37" spans="1:10" s="644" customFormat="1">
      <c r="A37" s="655"/>
      <c r="B37" s="654">
        <v>2</v>
      </c>
      <c r="C37" s="654"/>
      <c r="D37" s="645" t="s">
        <v>2741</v>
      </c>
      <c r="E37" s="679">
        <v>2</v>
      </c>
      <c r="F37" s="680" t="s">
        <v>1738</v>
      </c>
      <c r="G37" s="661">
        <v>1</v>
      </c>
      <c r="H37" s="680" t="s">
        <v>1738</v>
      </c>
      <c r="I37" s="657">
        <f>IF(B37=$B$2,$G$2,IF(B37=$B$3,$G$3,IF(B37=$B$4,$G$4,IF(B37=$B$5,$G$5,IF(B37=$B$6,$G$6,IF(B37=$B$7,$G$7,FALSE))))))</f>
        <v>550</v>
      </c>
      <c r="J37" s="657">
        <f>SUM(E37*I37/G37)</f>
        <v>1100</v>
      </c>
    </row>
    <row r="38" spans="1:10" s="644" customFormat="1">
      <c r="A38" s="655"/>
      <c r="B38" s="654">
        <v>3</v>
      </c>
      <c r="C38" s="654"/>
      <c r="D38" s="645" t="s">
        <v>2742</v>
      </c>
      <c r="E38" s="679">
        <v>2</v>
      </c>
      <c r="F38" s="680" t="s">
        <v>1738</v>
      </c>
      <c r="G38" s="661">
        <v>1</v>
      </c>
      <c r="H38" s="680" t="s">
        <v>1738</v>
      </c>
      <c r="I38" s="657">
        <f>IF(B38=$B$2,$G$2,IF(B38=$B$3,$G$3,IF(B38=$B$4,$G$4,IF(B38=$B$5,$G$5,IF(B38=$B$6,$G$6,IF(B38=$B$7,$G$7,FALSE))))))</f>
        <v>550</v>
      </c>
      <c r="J38" s="657">
        <f>SUM(E38*I38/G38)</f>
        <v>1100</v>
      </c>
    </row>
    <row r="39" spans="1:10" s="644" customFormat="1">
      <c r="A39" s="655"/>
      <c r="B39" s="654">
        <v>4</v>
      </c>
      <c r="C39" s="654"/>
      <c r="D39" s="646" t="s">
        <v>2743</v>
      </c>
      <c r="E39" s="679">
        <v>2</v>
      </c>
      <c r="F39" s="680" t="s">
        <v>1738</v>
      </c>
      <c r="G39" s="661">
        <v>1</v>
      </c>
      <c r="H39" s="680" t="s">
        <v>1738</v>
      </c>
      <c r="I39" s="657">
        <f>IF(B39=$B$2,$G$2,IF(B39=$B$3,$G$3,IF(B39=$B$4,$G$4,IF(B39=$B$5,$G$5,IF(B39=$B$6,$G$6,IF(B39=$B$7,$G$7,FALSE))))))</f>
        <v>580</v>
      </c>
      <c r="J39" s="657">
        <f>SUM(E39*I39/G39)</f>
        <v>1160</v>
      </c>
    </row>
    <row r="40" spans="1:10" s="644" customFormat="1">
      <c r="A40" s="655"/>
      <c r="B40" s="664"/>
      <c r="C40" s="664"/>
      <c r="D40" s="662" t="s">
        <v>2755</v>
      </c>
      <c r="E40" s="679"/>
      <c r="F40" s="645"/>
      <c r="G40" s="663"/>
      <c r="H40" s="645"/>
      <c r="I40" s="657"/>
      <c r="J40" s="672">
        <f>SUM(J36:J39)</f>
        <v>4680</v>
      </c>
    </row>
    <row r="41" spans="1:10" s="644" customFormat="1">
      <c r="A41" s="655"/>
      <c r="B41" s="654"/>
      <c r="C41" s="654"/>
      <c r="D41" s="662" t="s">
        <v>2756</v>
      </c>
      <c r="E41" s="681"/>
      <c r="F41" s="645"/>
      <c r="G41" s="663"/>
      <c r="H41" s="645"/>
      <c r="I41" s="657"/>
      <c r="J41" s="672">
        <f>SUM(J40/100)</f>
        <v>46.8</v>
      </c>
    </row>
    <row r="42" spans="1:10" s="644" customFormat="1">
      <c r="A42" s="655"/>
      <c r="B42" s="654"/>
      <c r="C42" s="654"/>
      <c r="D42" s="666" t="s">
        <v>1879</v>
      </c>
      <c r="E42" s="679"/>
      <c r="F42" s="645"/>
      <c r="G42" s="663"/>
      <c r="H42" s="645"/>
      <c r="I42" s="657"/>
      <c r="J42" s="672"/>
    </row>
    <row r="43" spans="1:10" s="644" customFormat="1">
      <c r="A43" s="655"/>
      <c r="B43" s="654" t="s">
        <v>2770</v>
      </c>
      <c r="C43" s="654"/>
      <c r="D43" s="645" t="s">
        <v>2771</v>
      </c>
      <c r="E43" s="679">
        <v>50</v>
      </c>
      <c r="F43" s="680" t="s">
        <v>675</v>
      </c>
      <c r="G43" s="661">
        <v>1</v>
      </c>
      <c r="H43" s="680" t="s">
        <v>97</v>
      </c>
      <c r="I43" s="657">
        <v>9</v>
      </c>
      <c r="J43" s="657">
        <f>SUM(E43*I43/G43)</f>
        <v>450</v>
      </c>
    </row>
    <row r="44" spans="1:10" s="644" customFormat="1">
      <c r="A44" s="655"/>
      <c r="B44" s="654" t="s">
        <v>2772</v>
      </c>
      <c r="C44" s="654"/>
      <c r="D44" s="682" t="s">
        <v>2773</v>
      </c>
      <c r="E44" s="679">
        <v>200</v>
      </c>
      <c r="F44" s="680" t="s">
        <v>955</v>
      </c>
      <c r="G44" s="661">
        <v>100</v>
      </c>
      <c r="H44" s="680" t="s">
        <v>955</v>
      </c>
      <c r="I44" s="657">
        <v>42</v>
      </c>
      <c r="J44" s="657">
        <f>SUM(E44*I44/G44)</f>
        <v>84</v>
      </c>
    </row>
    <row r="45" spans="1:10" s="644" customFormat="1" ht="25.5">
      <c r="A45" s="655"/>
      <c r="B45" s="654" t="s">
        <v>2774</v>
      </c>
      <c r="C45" s="654" t="s">
        <v>1184</v>
      </c>
      <c r="D45" s="682" t="s">
        <v>2775</v>
      </c>
      <c r="E45" s="679">
        <v>12</v>
      </c>
      <c r="F45" s="680" t="s">
        <v>955</v>
      </c>
      <c r="G45" s="661">
        <v>1</v>
      </c>
      <c r="H45" s="680" t="s">
        <v>955</v>
      </c>
      <c r="I45" s="657">
        <v>25</v>
      </c>
      <c r="J45" s="657">
        <f>SUM(E45*I45/G45)</f>
        <v>300</v>
      </c>
    </row>
    <row r="46" spans="1:10" s="644" customFormat="1" ht="25.5">
      <c r="A46" s="655"/>
      <c r="B46" s="654" t="s">
        <v>2759</v>
      </c>
      <c r="C46" s="654" t="s">
        <v>1184</v>
      </c>
      <c r="D46" s="682" t="s">
        <v>2760</v>
      </c>
      <c r="E46" s="679">
        <v>12</v>
      </c>
      <c r="F46" s="680" t="s">
        <v>955</v>
      </c>
      <c r="G46" s="661">
        <v>1</v>
      </c>
      <c r="H46" s="680" t="s">
        <v>955</v>
      </c>
      <c r="I46" s="657">
        <v>10</v>
      </c>
      <c r="J46" s="657">
        <f>SUM(E46*I46/G46)</f>
        <v>120</v>
      </c>
    </row>
    <row r="47" spans="1:10" s="644" customFormat="1" ht="38.25">
      <c r="A47" s="655"/>
      <c r="B47" s="654" t="s">
        <v>2776</v>
      </c>
      <c r="C47" s="661" t="s">
        <v>1184</v>
      </c>
      <c r="D47" s="682" t="s">
        <v>2777</v>
      </c>
      <c r="E47" s="679">
        <v>100</v>
      </c>
      <c r="F47" s="680" t="s">
        <v>2763</v>
      </c>
      <c r="G47" s="661">
        <v>1</v>
      </c>
      <c r="H47" s="680" t="s">
        <v>2763</v>
      </c>
      <c r="I47" s="657">
        <v>30</v>
      </c>
      <c r="J47" s="657">
        <f>SUM(E47*I47/G47)</f>
        <v>3000</v>
      </c>
    </row>
    <row r="48" spans="1:10" s="644" customFormat="1">
      <c r="A48" s="655"/>
      <c r="B48" s="664"/>
      <c r="C48" s="664"/>
      <c r="D48" s="662" t="s">
        <v>2764</v>
      </c>
      <c r="E48" s="679"/>
      <c r="F48" s="680"/>
      <c r="G48" s="661"/>
      <c r="H48" s="680"/>
      <c r="I48" s="657"/>
      <c r="J48" s="672">
        <f>SUM(J43:J47)</f>
        <v>3954</v>
      </c>
    </row>
    <row r="49" spans="1:10" s="644" customFormat="1">
      <c r="A49" s="655"/>
      <c r="B49" s="654"/>
      <c r="C49" s="654"/>
      <c r="D49" s="662" t="s">
        <v>2765</v>
      </c>
      <c r="E49" s="681"/>
      <c r="F49" s="680"/>
      <c r="G49" s="661"/>
      <c r="H49" s="680"/>
      <c r="I49" s="657"/>
      <c r="J49" s="672">
        <f>SUM(J48/100)</f>
        <v>39.54</v>
      </c>
    </row>
    <row r="50" spans="1:10" s="644" customFormat="1" ht="25.5">
      <c r="A50" s="655"/>
      <c r="B50" s="664"/>
      <c r="C50" s="664"/>
      <c r="D50" s="656" t="s">
        <v>2766</v>
      </c>
      <c r="E50" s="683"/>
      <c r="F50" s="683"/>
      <c r="G50" s="664"/>
      <c r="H50" s="683"/>
      <c r="I50" s="657"/>
      <c r="J50" s="676">
        <f>ROUNDDOWN(J41+J49,1)</f>
        <v>86.3</v>
      </c>
    </row>
    <row r="51" spans="1:10" s="644" customFormat="1">
      <c r="A51" s="668"/>
      <c r="B51" s="664"/>
      <c r="C51" s="664"/>
      <c r="D51" s="669" t="s">
        <v>2767</v>
      </c>
      <c r="E51" s="670">
        <f>$E$9</f>
        <v>0</v>
      </c>
      <c r="F51" s="684"/>
      <c r="G51" s="663"/>
      <c r="H51" s="684"/>
      <c r="I51" s="672"/>
      <c r="J51" s="676">
        <f>J50*E51</f>
        <v>0</v>
      </c>
    </row>
    <row r="52" spans="1:10" s="644" customFormat="1">
      <c r="A52" s="668"/>
      <c r="B52" s="664"/>
      <c r="C52" s="664"/>
      <c r="D52" s="673"/>
      <c r="E52" s="685"/>
      <c r="F52" s="684"/>
      <c r="G52" s="663"/>
      <c r="H52" s="684"/>
      <c r="I52" s="672"/>
      <c r="J52" s="676">
        <f>SUM(J50:J51)</f>
        <v>86.3</v>
      </c>
    </row>
    <row r="53" spans="1:10" s="644" customFormat="1">
      <c r="A53" s="668"/>
      <c r="B53" s="664"/>
      <c r="C53" s="664"/>
      <c r="D53" s="669" t="s">
        <v>2768</v>
      </c>
      <c r="E53" s="685"/>
      <c r="F53" s="684"/>
      <c r="G53" s="663"/>
      <c r="H53" s="684"/>
      <c r="I53" s="686"/>
      <c r="J53" s="676">
        <f>ROUND(J52,0)</f>
        <v>86</v>
      </c>
    </row>
    <row r="54" spans="1:10" s="644" customFormat="1">
      <c r="A54" s="668"/>
      <c r="B54" s="664"/>
      <c r="C54" s="664"/>
      <c r="D54" s="669"/>
      <c r="E54" s="685"/>
      <c r="F54" s="684"/>
      <c r="G54" s="663"/>
      <c r="H54" s="684"/>
      <c r="I54" s="686"/>
      <c r="J54" s="676"/>
    </row>
    <row r="55" spans="1:10" s="644" customFormat="1" ht="62.25" customHeight="1">
      <c r="A55" s="653">
        <f>SUM(MAX($A$7:$A54),1)</f>
        <v>3</v>
      </c>
      <c r="B55" s="654"/>
      <c r="C55" s="654"/>
      <c r="D55" s="2155" t="s">
        <v>2739</v>
      </c>
      <c r="E55" s="2155"/>
      <c r="F55" s="2155"/>
      <c r="G55" s="2155"/>
      <c r="H55" s="2155"/>
      <c r="I55" s="2155"/>
      <c r="J55" s="2155"/>
    </row>
    <row r="56" spans="1:10" s="644" customFormat="1">
      <c r="A56" s="655"/>
      <c r="B56" s="654"/>
      <c r="C56" s="654"/>
      <c r="D56" s="656" t="s">
        <v>2754</v>
      </c>
      <c r="E56" s="2156"/>
      <c r="F56" s="2156"/>
      <c r="G56" s="2157"/>
      <c r="H56" s="2157"/>
      <c r="I56" s="657"/>
      <c r="J56" s="657"/>
    </row>
    <row r="57" spans="1:10" s="644" customFormat="1">
      <c r="A57" s="655"/>
      <c r="B57" s="654">
        <v>1</v>
      </c>
      <c r="C57" s="654"/>
      <c r="D57" s="645" t="s">
        <v>2740</v>
      </c>
      <c r="E57" s="679">
        <v>2</v>
      </c>
      <c r="F57" s="680" t="s">
        <v>1738</v>
      </c>
      <c r="G57" s="661">
        <v>1</v>
      </c>
      <c r="H57" s="680" t="s">
        <v>1738</v>
      </c>
      <c r="I57" s="657">
        <f>IF(B57=$B$2,$G$2,IF(B57=$B$3,$G$3,IF(B57=$B$4,$G$4,IF(B57=$B$5,$G$5,IF(B57=$B$6,$G$6,IF(B57=$B$7,$G$7,FALSE))))))</f>
        <v>660</v>
      </c>
      <c r="J57" s="657">
        <f>SUM(E57*I57/G57)</f>
        <v>1320</v>
      </c>
    </row>
    <row r="58" spans="1:10" s="644" customFormat="1">
      <c r="A58" s="655"/>
      <c r="B58" s="654">
        <v>2</v>
      </c>
      <c r="C58" s="654"/>
      <c r="D58" s="645" t="s">
        <v>2741</v>
      </c>
      <c r="E58" s="679">
        <v>2</v>
      </c>
      <c r="F58" s="680" t="s">
        <v>1738</v>
      </c>
      <c r="G58" s="661">
        <v>1</v>
      </c>
      <c r="H58" s="680" t="s">
        <v>1738</v>
      </c>
      <c r="I58" s="657">
        <f>IF(B58=$B$2,$G$2,IF(B58=$B$3,$G$3,IF(B58=$B$4,$G$4,IF(B58=$B$5,$G$5,IF(B58=$B$6,$G$6,IF(B58=$B$7,$G$7,FALSE))))))</f>
        <v>550</v>
      </c>
      <c r="J58" s="657">
        <f>SUM(E58*I58/G58)</f>
        <v>1100</v>
      </c>
    </row>
    <row r="59" spans="1:10" s="644" customFormat="1">
      <c r="A59" s="655"/>
      <c r="B59" s="654">
        <v>3</v>
      </c>
      <c r="C59" s="654"/>
      <c r="D59" s="645" t="s">
        <v>2742</v>
      </c>
      <c r="E59" s="679">
        <v>2</v>
      </c>
      <c r="F59" s="680" t="s">
        <v>1738</v>
      </c>
      <c r="G59" s="661">
        <v>1</v>
      </c>
      <c r="H59" s="680" t="s">
        <v>1738</v>
      </c>
      <c r="I59" s="657">
        <f>IF(B59=$B$2,$G$2,IF(B59=$B$3,$G$3,IF(B59=$B$4,$G$4,IF(B59=$B$5,$G$5,IF(B59=$B$6,$G$6,IF(B59=$B$7,$G$7,FALSE))))))</f>
        <v>550</v>
      </c>
      <c r="J59" s="657">
        <f>SUM(E59*I59/G59)</f>
        <v>1100</v>
      </c>
    </row>
    <row r="60" spans="1:10" s="644" customFormat="1">
      <c r="A60" s="655"/>
      <c r="B60" s="654">
        <v>4</v>
      </c>
      <c r="C60" s="654"/>
      <c r="D60" s="646" t="s">
        <v>2743</v>
      </c>
      <c r="E60" s="679"/>
      <c r="F60" s="680" t="s">
        <v>1738</v>
      </c>
      <c r="G60" s="661">
        <v>1</v>
      </c>
      <c r="H60" s="680" t="s">
        <v>1738</v>
      </c>
      <c r="I60" s="657">
        <f>IF(B60=$B$2,$G$2,IF(B60=$B$3,$G$3,IF(B60=$B$4,$G$4,IF(B60=$B$5,$G$5,IF(B60=$B$6,$G$6,IF(B60=$B$7,$G$7,FALSE))))))</f>
        <v>580</v>
      </c>
      <c r="J60" s="657">
        <f>SUM(E60*I60/G60)</f>
        <v>0</v>
      </c>
    </row>
    <row r="61" spans="1:10" s="644" customFormat="1">
      <c r="A61" s="655"/>
      <c r="B61" s="664"/>
      <c r="C61" s="664"/>
      <c r="D61" s="662" t="s">
        <v>2755</v>
      </c>
      <c r="E61" s="679"/>
      <c r="F61" s="645"/>
      <c r="G61" s="663"/>
      <c r="H61" s="645"/>
      <c r="I61" s="657"/>
      <c r="J61" s="672">
        <f>SUM(J57:J60)</f>
        <v>3520</v>
      </c>
    </row>
    <row r="62" spans="1:10" s="644" customFormat="1">
      <c r="A62" s="655"/>
      <c r="B62" s="654"/>
      <c r="C62" s="654"/>
      <c r="D62" s="662" t="s">
        <v>2756</v>
      </c>
      <c r="E62" s="681"/>
      <c r="F62" s="645"/>
      <c r="G62" s="663"/>
      <c r="H62" s="645"/>
      <c r="I62" s="657"/>
      <c r="J62" s="672">
        <f>SUM(J61/100)</f>
        <v>35.200000000000003</v>
      </c>
    </row>
    <row r="63" spans="1:10" s="644" customFormat="1">
      <c r="A63" s="655"/>
      <c r="B63" s="654"/>
      <c r="C63" s="654"/>
      <c r="D63" s="666" t="s">
        <v>1879</v>
      </c>
      <c r="E63" s="679"/>
      <c r="F63" s="645"/>
      <c r="G63" s="663"/>
      <c r="H63" s="645"/>
      <c r="I63" s="657"/>
      <c r="J63" s="672"/>
    </row>
    <row r="64" spans="1:10" s="644" customFormat="1">
      <c r="A64" s="655"/>
      <c r="B64" s="654" t="s">
        <v>2770</v>
      </c>
      <c r="C64" s="654"/>
      <c r="D64" s="645" t="s">
        <v>2771</v>
      </c>
      <c r="E64" s="679">
        <v>25</v>
      </c>
      <c r="F64" s="680" t="s">
        <v>675</v>
      </c>
      <c r="G64" s="661">
        <v>1</v>
      </c>
      <c r="H64" s="680" t="s">
        <v>97</v>
      </c>
      <c r="I64" s="657">
        <v>9</v>
      </c>
      <c r="J64" s="657">
        <f t="shared" ref="J64:J70" si="0">SUM(E64*I64/G64)</f>
        <v>225</v>
      </c>
    </row>
    <row r="65" spans="1:10" s="644" customFormat="1">
      <c r="A65" s="655"/>
      <c r="B65" s="654" t="s">
        <v>2778</v>
      </c>
      <c r="C65" s="654"/>
      <c r="D65" s="682" t="s">
        <v>2779</v>
      </c>
      <c r="E65" s="679">
        <v>200</v>
      </c>
      <c r="F65" s="680" t="s">
        <v>955</v>
      </c>
      <c r="G65" s="661">
        <v>100</v>
      </c>
      <c r="H65" s="680" t="s">
        <v>955</v>
      </c>
      <c r="I65" s="657">
        <v>43</v>
      </c>
      <c r="J65" s="657">
        <f t="shared" si="0"/>
        <v>86</v>
      </c>
    </row>
    <row r="66" spans="1:10" s="644" customFormat="1">
      <c r="A66" s="655"/>
      <c r="B66" s="654" t="s">
        <v>2780</v>
      </c>
      <c r="C66" s="654" t="s">
        <v>1188</v>
      </c>
      <c r="D66" s="682" t="s">
        <v>2781</v>
      </c>
      <c r="E66" s="679">
        <v>200</v>
      </c>
      <c r="F66" s="680" t="s">
        <v>955</v>
      </c>
      <c r="G66" s="661">
        <v>100</v>
      </c>
      <c r="H66" s="680" t="s">
        <v>955</v>
      </c>
      <c r="I66" s="657">
        <v>128</v>
      </c>
      <c r="J66" s="657">
        <f t="shared" si="0"/>
        <v>256</v>
      </c>
    </row>
    <row r="67" spans="1:10" s="644" customFormat="1">
      <c r="A67" s="655"/>
      <c r="B67" s="654" t="s">
        <v>2782</v>
      </c>
      <c r="C67" s="654" t="s">
        <v>1184</v>
      </c>
      <c r="D67" s="682" t="s">
        <v>2783</v>
      </c>
      <c r="E67" s="679">
        <v>200</v>
      </c>
      <c r="F67" s="680" t="s">
        <v>955</v>
      </c>
      <c r="G67" s="661">
        <v>100</v>
      </c>
      <c r="H67" s="680" t="s">
        <v>955</v>
      </c>
      <c r="I67" s="657">
        <v>266</v>
      </c>
      <c r="J67" s="657">
        <f t="shared" si="0"/>
        <v>532</v>
      </c>
    </row>
    <row r="68" spans="1:10" s="644" customFormat="1" ht="25.5">
      <c r="A68" s="655"/>
      <c r="B68" s="687" t="s">
        <v>2774</v>
      </c>
      <c r="C68" s="654" t="s">
        <v>1184</v>
      </c>
      <c r="D68" s="682" t="s">
        <v>2775</v>
      </c>
      <c r="E68" s="679">
        <v>12</v>
      </c>
      <c r="F68" s="680" t="s">
        <v>955</v>
      </c>
      <c r="G68" s="661">
        <v>1</v>
      </c>
      <c r="H68" s="680" t="s">
        <v>955</v>
      </c>
      <c r="I68" s="657">
        <v>25</v>
      </c>
      <c r="J68" s="657">
        <f t="shared" si="0"/>
        <v>300</v>
      </c>
    </row>
    <row r="69" spans="1:10" s="644" customFormat="1" ht="25.5">
      <c r="A69" s="655"/>
      <c r="B69" s="654" t="s">
        <v>2759</v>
      </c>
      <c r="C69" s="654" t="s">
        <v>1184</v>
      </c>
      <c r="D69" s="682" t="s">
        <v>2760</v>
      </c>
      <c r="E69" s="679">
        <v>12</v>
      </c>
      <c r="F69" s="680" t="s">
        <v>955</v>
      </c>
      <c r="G69" s="661">
        <v>1</v>
      </c>
      <c r="H69" s="680" t="s">
        <v>955</v>
      </c>
      <c r="I69" s="657">
        <f>I46</f>
        <v>10</v>
      </c>
      <c r="J69" s="657">
        <f t="shared" si="0"/>
        <v>120</v>
      </c>
    </row>
    <row r="70" spans="1:10" s="644" customFormat="1" ht="38.25">
      <c r="A70" s="655"/>
      <c r="B70" s="654" t="s">
        <v>2776</v>
      </c>
      <c r="C70" s="661" t="s">
        <v>1184</v>
      </c>
      <c r="D70" s="682" t="s">
        <v>2777</v>
      </c>
      <c r="E70" s="679">
        <v>100</v>
      </c>
      <c r="F70" s="680" t="s">
        <v>2763</v>
      </c>
      <c r="G70" s="661">
        <v>1</v>
      </c>
      <c r="H70" s="680" t="s">
        <v>2763</v>
      </c>
      <c r="I70" s="657">
        <f>I47</f>
        <v>30</v>
      </c>
      <c r="J70" s="657">
        <f t="shared" si="0"/>
        <v>3000</v>
      </c>
    </row>
    <row r="71" spans="1:10" s="644" customFormat="1">
      <c r="A71" s="655"/>
      <c r="B71" s="664"/>
      <c r="C71" s="664"/>
      <c r="D71" s="662" t="s">
        <v>2764</v>
      </c>
      <c r="E71" s="679"/>
      <c r="F71" s="680"/>
      <c r="G71" s="661"/>
      <c r="H71" s="680"/>
      <c r="I71" s="657"/>
      <c r="J71" s="672">
        <f>SUM(J64:J70)</f>
        <v>4519</v>
      </c>
    </row>
    <row r="72" spans="1:10" s="644" customFormat="1">
      <c r="A72" s="655"/>
      <c r="B72" s="654"/>
      <c r="C72" s="654"/>
      <c r="D72" s="662" t="s">
        <v>2765</v>
      </c>
      <c r="E72" s="681"/>
      <c r="F72" s="680"/>
      <c r="G72" s="661"/>
      <c r="H72" s="680"/>
      <c r="I72" s="657"/>
      <c r="J72" s="672">
        <f>SUM(J71/100)</f>
        <v>45.19</v>
      </c>
    </row>
    <row r="73" spans="1:10" s="644" customFormat="1" ht="25.5">
      <c r="A73" s="655"/>
      <c r="B73" s="664"/>
      <c r="C73" s="664"/>
      <c r="D73" s="656" t="s">
        <v>2766</v>
      </c>
      <c r="E73" s="683"/>
      <c r="F73" s="683"/>
      <c r="G73" s="664"/>
      <c r="H73" s="683"/>
      <c r="I73" s="657"/>
      <c r="J73" s="676">
        <f>ROUNDDOWN(J62+J72,1)</f>
        <v>80.3</v>
      </c>
    </row>
    <row r="74" spans="1:10" s="644" customFormat="1">
      <c r="A74" s="668"/>
      <c r="B74" s="664"/>
      <c r="C74" s="664"/>
      <c r="D74" s="669" t="s">
        <v>2767</v>
      </c>
      <c r="E74" s="670">
        <f>$E$9</f>
        <v>0</v>
      </c>
      <c r="F74" s="684"/>
      <c r="G74" s="663"/>
      <c r="H74" s="684"/>
      <c r="I74" s="672"/>
      <c r="J74" s="676">
        <f>J73*E74</f>
        <v>0</v>
      </c>
    </row>
    <row r="75" spans="1:10" s="644" customFormat="1">
      <c r="A75" s="668"/>
      <c r="B75" s="664"/>
      <c r="C75" s="664"/>
      <c r="D75" s="673"/>
      <c r="E75" s="685"/>
      <c r="F75" s="684"/>
      <c r="G75" s="663"/>
      <c r="H75" s="684"/>
      <c r="I75" s="672"/>
      <c r="J75" s="676">
        <f>SUM(J73:J74)</f>
        <v>80.3</v>
      </c>
    </row>
    <row r="76" spans="1:10" s="644" customFormat="1">
      <c r="A76" s="668"/>
      <c r="B76" s="664"/>
      <c r="C76" s="664"/>
      <c r="D76" s="669" t="s">
        <v>2768</v>
      </c>
      <c r="E76" s="685"/>
      <c r="F76" s="684"/>
      <c r="G76" s="663"/>
      <c r="H76" s="684"/>
      <c r="I76" s="686"/>
      <c r="J76" s="676">
        <f>ROUND(J75,0)</f>
        <v>80</v>
      </c>
    </row>
    <row r="77" spans="1:10" s="644" customFormat="1">
      <c r="A77" s="668"/>
      <c r="B77" s="677"/>
      <c r="C77" s="677"/>
      <c r="D77" s="678"/>
      <c r="E77" s="677"/>
      <c r="F77" s="677"/>
      <c r="G77" s="677"/>
      <c r="H77" s="677"/>
      <c r="I77" s="675"/>
      <c r="J77" s="677"/>
    </row>
    <row r="78" spans="1:10" s="644" customFormat="1" ht="71.25" customHeight="1">
      <c r="A78" s="653">
        <f>SUM(MAX($A$7:$A77),1)</f>
        <v>4</v>
      </c>
      <c r="B78" s="664"/>
      <c r="C78" s="664"/>
      <c r="D78" s="2158" t="s">
        <v>2784</v>
      </c>
      <c r="E78" s="2158"/>
      <c r="F78" s="2158"/>
      <c r="G78" s="2158"/>
      <c r="H78" s="2158"/>
      <c r="I78" s="2158"/>
      <c r="J78" s="2158"/>
    </row>
    <row r="79" spans="1:10" s="644" customFormat="1">
      <c r="A79" s="655"/>
      <c r="B79" s="654"/>
      <c r="C79" s="654"/>
      <c r="D79" s="656" t="s">
        <v>2754</v>
      </c>
      <c r="E79" s="2156"/>
      <c r="F79" s="2156"/>
      <c r="G79" s="2157"/>
      <c r="H79" s="2157"/>
      <c r="I79" s="657"/>
      <c r="J79" s="657"/>
    </row>
    <row r="80" spans="1:10" s="644" customFormat="1">
      <c r="A80" s="655"/>
      <c r="B80" s="654">
        <v>1</v>
      </c>
      <c r="C80" s="654"/>
      <c r="D80" s="645" t="s">
        <v>2740</v>
      </c>
      <c r="E80" s="679">
        <v>0.03</v>
      </c>
      <c r="F80" s="680" t="s">
        <v>1738</v>
      </c>
      <c r="G80" s="661">
        <v>1</v>
      </c>
      <c r="H80" s="680" t="s">
        <v>1738</v>
      </c>
      <c r="I80" s="657">
        <f>IF(B80=$B$2,$G$2,IF(B80=$B$3,$G$3,IF(B80=$B$4,$G$4,IF(B80=$B$5,$G$5,IF(B80=$B$6,$G$6,IF(B80=$B$7,$G$7,FALSE))))))</f>
        <v>660</v>
      </c>
      <c r="J80" s="657">
        <f>SUM(E80*I80/G80)</f>
        <v>19.8</v>
      </c>
    </row>
    <row r="81" spans="1:10" s="644" customFormat="1">
      <c r="A81" s="655"/>
      <c r="B81" s="654">
        <v>2</v>
      </c>
      <c r="C81" s="654"/>
      <c r="D81" s="645" t="s">
        <v>2742</v>
      </c>
      <c r="E81" s="679">
        <v>0.03</v>
      </c>
      <c r="F81" s="680" t="s">
        <v>1738</v>
      </c>
      <c r="G81" s="661">
        <v>1</v>
      </c>
      <c r="H81" s="680" t="s">
        <v>1738</v>
      </c>
      <c r="I81" s="657">
        <f>IF(B81=$B$2,$G$2,IF(B81=$B$3,$G$3,IF(B81=$B$4,$G$4,IF(B81=$B$5,$G$5,IF(B81=$B$6,$G$6,IF(B81=$B$7,$G$7,FALSE))))))</f>
        <v>550</v>
      </c>
      <c r="J81" s="657">
        <f>SUM(E81*I81/G81)</f>
        <v>16.5</v>
      </c>
    </row>
    <row r="82" spans="1:10" s="644" customFormat="1">
      <c r="A82" s="655"/>
      <c r="B82" s="664"/>
      <c r="C82" s="664"/>
      <c r="D82" s="662" t="s">
        <v>2756</v>
      </c>
      <c r="E82" s="679"/>
      <c r="F82" s="645"/>
      <c r="G82" s="663"/>
      <c r="H82" s="645"/>
      <c r="I82" s="657"/>
      <c r="J82" s="672">
        <f>SUM(J80:J81)</f>
        <v>36.299999999999997</v>
      </c>
    </row>
    <row r="83" spans="1:10" s="644" customFormat="1">
      <c r="A83" s="655"/>
      <c r="B83" s="654"/>
      <c r="C83" s="654"/>
      <c r="D83" s="678"/>
      <c r="E83" s="681"/>
      <c r="F83" s="645"/>
      <c r="G83" s="663"/>
      <c r="H83" s="645"/>
      <c r="I83" s="657"/>
      <c r="J83" s="672"/>
    </row>
    <row r="84" spans="1:10" s="644" customFormat="1">
      <c r="A84" s="664"/>
      <c r="B84" s="664"/>
      <c r="C84" s="664"/>
      <c r="D84" s="666" t="s">
        <v>2785</v>
      </c>
      <c r="E84" s="654"/>
      <c r="F84" s="654"/>
      <c r="G84" s="677"/>
      <c r="H84" s="677"/>
      <c r="I84" s="657"/>
      <c r="J84" s="688"/>
    </row>
    <row r="85" spans="1:10" s="644" customFormat="1" ht="25.5">
      <c r="A85" s="664"/>
      <c r="B85" s="689" t="s">
        <v>2786</v>
      </c>
      <c r="C85" s="664"/>
      <c r="D85" s="682" t="s">
        <v>2787</v>
      </c>
      <c r="E85" s="654" t="s">
        <v>2788</v>
      </c>
      <c r="F85" s="654">
        <v>1</v>
      </c>
      <c r="G85" s="661">
        <v>1</v>
      </c>
      <c r="H85" s="680" t="s">
        <v>955</v>
      </c>
      <c r="I85" s="657">
        <v>131</v>
      </c>
      <c r="J85" s="688">
        <f>I85*F85</f>
        <v>131</v>
      </c>
    </row>
    <row r="86" spans="1:10" s="644" customFormat="1" ht="25.5">
      <c r="A86" s="664"/>
      <c r="B86" s="654" t="s">
        <v>2757</v>
      </c>
      <c r="C86" s="654" t="s">
        <v>1184</v>
      </c>
      <c r="D86" s="682" t="str">
        <f>D24</f>
        <v xml:space="preserve">Supply of PVC Junction Boxes Deep size 25mm. </v>
      </c>
      <c r="E86" s="654" t="s">
        <v>2788</v>
      </c>
      <c r="F86" s="654">
        <v>-1</v>
      </c>
      <c r="G86" s="661">
        <v>1</v>
      </c>
      <c r="H86" s="680" t="s">
        <v>955</v>
      </c>
      <c r="I86" s="657">
        <v>32</v>
      </c>
      <c r="J86" s="690">
        <f>I86*F86</f>
        <v>-32</v>
      </c>
    </row>
    <row r="87" spans="1:10" s="644" customFormat="1">
      <c r="A87" s="664"/>
      <c r="B87" s="664"/>
      <c r="C87" s="664"/>
      <c r="D87" s="669" t="s">
        <v>2789</v>
      </c>
      <c r="E87" s="654"/>
      <c r="F87" s="664"/>
      <c r="G87" s="677"/>
      <c r="H87" s="677"/>
      <c r="I87" s="657"/>
      <c r="J87" s="655">
        <f>J85+J86</f>
        <v>99</v>
      </c>
    </row>
    <row r="88" spans="1:10" s="644" customFormat="1">
      <c r="A88" s="664"/>
      <c r="B88" s="664"/>
      <c r="C88" s="664"/>
      <c r="D88" s="669"/>
      <c r="E88" s="654"/>
      <c r="F88" s="664"/>
      <c r="G88" s="677"/>
      <c r="H88" s="677"/>
      <c r="I88" s="657"/>
      <c r="J88" s="655">
        <f>J82+J87</f>
        <v>135.30000000000001</v>
      </c>
    </row>
    <row r="89" spans="1:10" s="644" customFormat="1">
      <c r="A89" s="668"/>
      <c r="B89" s="664"/>
      <c r="C89" s="664"/>
      <c r="D89" s="669" t="s">
        <v>2767</v>
      </c>
      <c r="E89" s="670"/>
      <c r="F89" s="684"/>
      <c r="G89" s="663"/>
      <c r="H89" s="684"/>
      <c r="I89" s="672"/>
      <c r="J89" s="655">
        <f>J87*E89</f>
        <v>0</v>
      </c>
    </row>
    <row r="90" spans="1:10" s="644" customFormat="1">
      <c r="A90" s="668"/>
      <c r="B90" s="677"/>
      <c r="C90" s="677"/>
      <c r="D90" s="691"/>
      <c r="E90" s="677"/>
      <c r="F90" s="677"/>
      <c r="G90" s="677"/>
      <c r="H90" s="677"/>
      <c r="I90" s="675"/>
      <c r="J90" s="692">
        <f>SUM(J88:J89)</f>
        <v>135.30000000000001</v>
      </c>
    </row>
    <row r="91" spans="1:10" s="644" customFormat="1">
      <c r="A91" s="668"/>
      <c r="B91" s="664"/>
      <c r="C91" s="664"/>
      <c r="D91" s="691" t="s">
        <v>2380</v>
      </c>
      <c r="E91" s="685"/>
      <c r="F91" s="684"/>
      <c r="G91" s="663"/>
      <c r="H91" s="684"/>
      <c r="I91" s="675"/>
      <c r="J91" s="693">
        <f>ROUND(J90,0)</f>
        <v>135</v>
      </c>
    </row>
    <row r="92" spans="1:10" s="644" customFormat="1">
      <c r="A92" s="668"/>
      <c r="B92" s="664"/>
      <c r="C92" s="664"/>
      <c r="D92" s="669"/>
      <c r="E92" s="685"/>
      <c r="F92" s="684"/>
      <c r="G92" s="663"/>
      <c r="H92" s="684"/>
      <c r="I92" s="686"/>
      <c r="J92" s="676"/>
    </row>
    <row r="93" spans="1:10" s="644" customFormat="1">
      <c r="A93" s="668" t="s">
        <v>686</v>
      </c>
      <c r="B93" s="677"/>
      <c r="C93" s="677"/>
      <c r="D93" s="2159" t="s">
        <v>2790</v>
      </c>
      <c r="E93" s="2159"/>
      <c r="F93" s="2159"/>
      <c r="G93" s="2159"/>
      <c r="H93" s="2159"/>
      <c r="I93" s="2159"/>
      <c r="J93" s="2159"/>
    </row>
    <row r="94" spans="1:10" s="644" customFormat="1">
      <c r="A94" s="673"/>
      <c r="B94" s="677"/>
      <c r="C94" s="677"/>
      <c r="D94" s="2160" t="s">
        <v>2791</v>
      </c>
      <c r="E94" s="2160"/>
      <c r="F94" s="2160"/>
      <c r="G94" s="2160"/>
      <c r="H94" s="2160"/>
      <c r="I94" s="2160"/>
      <c r="J94" s="2160"/>
    </row>
    <row r="95" spans="1:10" s="644" customFormat="1" ht="118.5" customHeight="1">
      <c r="A95" s="653">
        <f>SUM(MAX($A$7:$A93),1)</f>
        <v>5</v>
      </c>
      <c r="B95" s="665"/>
      <c r="C95" s="665"/>
      <c r="D95" s="2155" t="s">
        <v>2792</v>
      </c>
      <c r="E95" s="2155"/>
      <c r="F95" s="2155"/>
      <c r="G95" s="2155"/>
      <c r="H95" s="2155"/>
      <c r="I95" s="2155"/>
      <c r="J95" s="2155"/>
    </row>
    <row r="96" spans="1:10" s="644" customFormat="1">
      <c r="A96" s="668"/>
      <c r="B96" s="654"/>
      <c r="C96" s="654"/>
      <c r="D96" s="682" t="s">
        <v>2754</v>
      </c>
      <c r="E96" s="679"/>
      <c r="F96" s="645"/>
      <c r="G96" s="661"/>
      <c r="H96" s="645"/>
      <c r="I96" s="657"/>
      <c r="J96" s="694"/>
    </row>
    <row r="97" spans="1:10" s="644" customFormat="1">
      <c r="A97" s="668"/>
      <c r="B97" s="654">
        <v>1</v>
      </c>
      <c r="C97" s="654"/>
      <c r="D97" s="645" t="s">
        <v>2740</v>
      </c>
      <c r="E97" s="679">
        <v>0.6</v>
      </c>
      <c r="F97" s="680" t="s">
        <v>1738</v>
      </c>
      <c r="G97" s="661">
        <v>1</v>
      </c>
      <c r="H97" s="680" t="s">
        <v>1738</v>
      </c>
      <c r="I97" s="657">
        <f>IF(B97=$B$2,$G$2,IF(B97=$B$3,$G$3,IF(B97=$B$4,$G$4,IF(B97=$B$5,$G$5,IF(B97=$B$6,$G$6,IF(B97=$B$7,$G$7,FALSE))))))</f>
        <v>660</v>
      </c>
      <c r="J97" s="694">
        <f>SUM(E97*I97/G97)</f>
        <v>396</v>
      </c>
    </row>
    <row r="98" spans="1:10" s="644" customFormat="1">
      <c r="A98" s="668"/>
      <c r="B98" s="654">
        <v>2</v>
      </c>
      <c r="C98" s="654"/>
      <c r="D98" s="645" t="s">
        <v>2741</v>
      </c>
      <c r="E98" s="679">
        <v>1.2</v>
      </c>
      <c r="F98" s="680" t="s">
        <v>1738</v>
      </c>
      <c r="G98" s="661">
        <v>1</v>
      </c>
      <c r="H98" s="680" t="s">
        <v>1738</v>
      </c>
      <c r="I98" s="657">
        <f>IF(B98=$B$2,$G$2,IF(B98=$B$3,$G$3,IF(B98=$B$4,$G$4,IF(B98=$B$5,$G$5,IF(B98=$B$6,$G$6,IF(B98=$B$7,$G$7,FALSE))))))</f>
        <v>550</v>
      </c>
      <c r="J98" s="657">
        <f>SUM(E98*I98/G98)</f>
        <v>660</v>
      </c>
    </row>
    <row r="99" spans="1:10" s="644" customFormat="1">
      <c r="A99" s="668"/>
      <c r="B99" s="654">
        <v>3</v>
      </c>
      <c r="C99" s="654"/>
      <c r="D99" s="645" t="s">
        <v>2742</v>
      </c>
      <c r="E99" s="679">
        <v>0.6</v>
      </c>
      <c r="F99" s="680" t="s">
        <v>1738</v>
      </c>
      <c r="G99" s="661">
        <v>1</v>
      </c>
      <c r="H99" s="680" t="s">
        <v>1738</v>
      </c>
      <c r="I99" s="657">
        <f>IF(B99=$B$2,$G$2,IF(B99=$B$3,$G$3,IF(B99=$B$4,$G$4,IF(B99=$B$5,$G$5,IF(B99=$B$6,$G$6,IF(B99=$B$7,$G$7,FALSE))))))</f>
        <v>550</v>
      </c>
      <c r="J99" s="657">
        <f>SUM(E99*I99/G99)</f>
        <v>330</v>
      </c>
    </row>
    <row r="100" spans="1:10" s="644" customFormat="1">
      <c r="A100" s="668"/>
      <c r="B100" s="654"/>
      <c r="C100" s="654"/>
      <c r="D100" s="682" t="s">
        <v>2793</v>
      </c>
      <c r="E100" s="679"/>
      <c r="F100" s="680"/>
      <c r="G100" s="661"/>
      <c r="H100" s="680"/>
      <c r="I100" s="657"/>
      <c r="J100" s="694">
        <f>SUM(J97:J99)</f>
        <v>1386</v>
      </c>
    </row>
    <row r="101" spans="1:10" s="644" customFormat="1">
      <c r="A101" s="668"/>
      <c r="B101" s="654"/>
      <c r="C101" s="654"/>
      <c r="D101" s="682" t="s">
        <v>2794</v>
      </c>
      <c r="E101" s="695"/>
      <c r="F101" s="680"/>
      <c r="G101" s="661"/>
      <c r="H101" s="680"/>
      <c r="I101" s="657"/>
      <c r="J101" s="676">
        <f>SUM(J100/6)</f>
        <v>231</v>
      </c>
    </row>
    <row r="102" spans="1:10" s="644" customFormat="1">
      <c r="A102" s="668"/>
      <c r="B102" s="654"/>
      <c r="C102" s="654"/>
      <c r="D102" s="696" t="s">
        <v>1879</v>
      </c>
      <c r="E102" s="679"/>
      <c r="F102" s="680"/>
      <c r="G102" s="661"/>
      <c r="H102" s="680"/>
      <c r="I102" s="657"/>
      <c r="J102" s="694"/>
    </row>
    <row r="103" spans="1:10" s="644" customFormat="1">
      <c r="A103" s="668"/>
      <c r="B103" s="654" t="s">
        <v>2795</v>
      </c>
      <c r="C103" s="654" t="s">
        <v>1184</v>
      </c>
      <c r="D103" s="682" t="s">
        <v>2796</v>
      </c>
      <c r="E103" s="695">
        <v>2</v>
      </c>
      <c r="F103" s="645" t="s">
        <v>955</v>
      </c>
      <c r="G103" s="661">
        <v>1</v>
      </c>
      <c r="H103" s="645" t="s">
        <v>1509</v>
      </c>
      <c r="I103" s="657">
        <v>101</v>
      </c>
      <c r="J103" s="694">
        <f>SUM(E103*I103/G103)</f>
        <v>202</v>
      </c>
    </row>
    <row r="104" spans="1:10" s="644" customFormat="1">
      <c r="A104" s="668"/>
      <c r="B104" s="654" t="s">
        <v>2797</v>
      </c>
      <c r="C104" s="661" t="s">
        <v>1184</v>
      </c>
      <c r="D104" s="682" t="s">
        <v>2798</v>
      </c>
      <c r="E104" s="695">
        <v>2</v>
      </c>
      <c r="F104" s="645" t="s">
        <v>955</v>
      </c>
      <c r="G104" s="661">
        <v>1</v>
      </c>
      <c r="H104" s="645" t="s">
        <v>1509</v>
      </c>
      <c r="I104" s="657">
        <v>97</v>
      </c>
      <c r="J104" s="694">
        <f>E104*I104</f>
        <v>194</v>
      </c>
    </row>
    <row r="105" spans="1:10" s="644" customFormat="1" ht="25.5">
      <c r="A105" s="668"/>
      <c r="B105" s="654" t="s">
        <v>2799</v>
      </c>
      <c r="C105" s="661" t="s">
        <v>1180</v>
      </c>
      <c r="D105" s="645" t="s">
        <v>2800</v>
      </c>
      <c r="E105" s="695">
        <v>6</v>
      </c>
      <c r="F105" s="645" t="s">
        <v>955</v>
      </c>
      <c r="G105" s="661">
        <v>1</v>
      </c>
      <c r="H105" s="645" t="s">
        <v>1509</v>
      </c>
      <c r="I105" s="657">
        <v>116</v>
      </c>
      <c r="J105" s="694">
        <f>SUM(E105*I105/G105)</f>
        <v>696</v>
      </c>
    </row>
    <row r="106" spans="1:10" s="644" customFormat="1" ht="25.5">
      <c r="A106" s="668"/>
      <c r="B106" s="654" t="s">
        <v>2801</v>
      </c>
      <c r="C106" s="661" t="s">
        <v>1839</v>
      </c>
      <c r="D106" s="682" t="s">
        <v>2802</v>
      </c>
      <c r="E106" s="695">
        <v>6</v>
      </c>
      <c r="F106" s="645" t="s">
        <v>955</v>
      </c>
      <c r="G106" s="661">
        <v>1</v>
      </c>
      <c r="H106" s="645" t="s">
        <v>1509</v>
      </c>
      <c r="I106" s="657">
        <v>23</v>
      </c>
      <c r="J106" s="694">
        <f>SUM(E106*I106/G106)</f>
        <v>138</v>
      </c>
    </row>
    <row r="107" spans="1:10" s="644" customFormat="1" ht="51">
      <c r="A107" s="668"/>
      <c r="B107" s="654" t="s">
        <v>2803</v>
      </c>
      <c r="C107" s="654" t="s">
        <v>1180</v>
      </c>
      <c r="D107" s="682" t="s">
        <v>2804</v>
      </c>
      <c r="E107" s="679">
        <v>100</v>
      </c>
      <c r="F107" s="680" t="s">
        <v>2805</v>
      </c>
      <c r="G107" s="661">
        <v>100</v>
      </c>
      <c r="H107" s="680" t="s">
        <v>2805</v>
      </c>
      <c r="I107" s="657">
        <v>2187</v>
      </c>
      <c r="J107" s="694">
        <f>SUM(E107*I107/G107)</f>
        <v>2187</v>
      </c>
    </row>
    <row r="108" spans="1:10" s="644" customFormat="1">
      <c r="A108" s="668"/>
      <c r="B108" s="654"/>
      <c r="C108" s="654"/>
      <c r="D108" s="682" t="s">
        <v>2806</v>
      </c>
      <c r="E108" s="679"/>
      <c r="F108" s="645"/>
      <c r="G108" s="661"/>
      <c r="H108" s="645"/>
      <c r="I108" s="657"/>
      <c r="J108" s="694">
        <f>SUM(J103:J107)</f>
        <v>3417</v>
      </c>
    </row>
    <row r="109" spans="1:10" s="644" customFormat="1">
      <c r="A109" s="668"/>
      <c r="B109" s="654"/>
      <c r="C109" s="654"/>
      <c r="D109" s="682" t="s">
        <v>2807</v>
      </c>
      <c r="E109" s="679"/>
      <c r="F109" s="645"/>
      <c r="G109" s="661"/>
      <c r="H109" s="645"/>
      <c r="I109" s="657"/>
      <c r="J109" s="676">
        <f>SUM(J108/6)</f>
        <v>569.5</v>
      </c>
    </row>
    <row r="110" spans="1:10" s="644" customFormat="1" ht="25.5">
      <c r="A110" s="668"/>
      <c r="B110" s="654"/>
      <c r="C110" s="654"/>
      <c r="D110" s="656" t="s">
        <v>2766</v>
      </c>
      <c r="E110" s="681"/>
      <c r="F110" s="645"/>
      <c r="G110" s="674"/>
      <c r="H110" s="697"/>
      <c r="I110" s="657"/>
      <c r="J110" s="672">
        <f>ROUNDDOWN(J101+J109,0)</f>
        <v>800</v>
      </c>
    </row>
    <row r="111" spans="1:10" s="644" customFormat="1">
      <c r="A111" s="668"/>
      <c r="B111" s="664"/>
      <c r="C111" s="664"/>
      <c r="D111" s="669" t="s">
        <v>2767</v>
      </c>
      <c r="E111" s="670">
        <f>$E$9</f>
        <v>0</v>
      </c>
      <c r="F111" s="684"/>
      <c r="G111" s="663"/>
      <c r="H111" s="684"/>
      <c r="I111" s="672"/>
      <c r="J111" s="676">
        <f>J110*E111</f>
        <v>0</v>
      </c>
    </row>
    <row r="112" spans="1:10" s="644" customFormat="1">
      <c r="A112" s="668"/>
      <c r="B112" s="664"/>
      <c r="C112" s="664"/>
      <c r="D112" s="673"/>
      <c r="E112" s="685"/>
      <c r="F112" s="684"/>
      <c r="G112" s="663"/>
      <c r="H112" s="684"/>
      <c r="I112" s="672"/>
      <c r="J112" s="676">
        <f>SUM(J110:J111)</f>
        <v>800</v>
      </c>
    </row>
    <row r="113" spans="1:10" s="644" customFormat="1">
      <c r="A113" s="668"/>
      <c r="B113" s="664"/>
      <c r="C113" s="664"/>
      <c r="D113" s="691" t="s">
        <v>2380</v>
      </c>
      <c r="E113" s="685"/>
      <c r="F113" s="684"/>
      <c r="G113" s="663"/>
      <c r="H113" s="684"/>
      <c r="I113" s="675"/>
      <c r="J113" s="693">
        <f>ROUND(J112,0)</f>
        <v>800</v>
      </c>
    </row>
    <row r="114" spans="1:10" s="644" customFormat="1">
      <c r="A114" s="668"/>
      <c r="B114" s="664"/>
      <c r="C114" s="664"/>
      <c r="D114" s="691"/>
      <c r="E114" s="685"/>
      <c r="F114" s="684"/>
      <c r="G114" s="663"/>
      <c r="H114" s="684"/>
      <c r="I114" s="675"/>
      <c r="J114" s="698"/>
    </row>
    <row r="115" spans="1:10" s="644" customFormat="1">
      <c r="A115" s="673"/>
      <c r="B115" s="677"/>
      <c r="C115" s="677"/>
      <c r="D115" s="2160" t="s">
        <v>2808</v>
      </c>
      <c r="E115" s="2160"/>
      <c r="F115" s="2160"/>
      <c r="G115" s="2160"/>
      <c r="H115" s="2160"/>
      <c r="I115" s="2160"/>
      <c r="J115" s="2160"/>
    </row>
    <row r="116" spans="1:10" s="644" customFormat="1">
      <c r="A116" s="653">
        <f>SUM(MAX($A$7:$A114),1)</f>
        <v>6</v>
      </c>
      <c r="B116" s="665"/>
      <c r="C116" s="665"/>
      <c r="D116" s="2155" t="s">
        <v>2809</v>
      </c>
      <c r="E116" s="2155"/>
      <c r="F116" s="2155"/>
      <c r="G116" s="2155"/>
      <c r="H116" s="2155"/>
      <c r="I116" s="2155"/>
      <c r="J116" s="2155"/>
    </row>
    <row r="117" spans="1:10" s="644" customFormat="1">
      <c r="A117" s="668"/>
      <c r="B117" s="677"/>
      <c r="C117" s="677"/>
      <c r="D117" s="678"/>
      <c r="E117" s="677"/>
      <c r="F117" s="677"/>
      <c r="G117" s="677"/>
      <c r="H117" s="677"/>
      <c r="I117" s="675"/>
      <c r="J117" s="677"/>
    </row>
    <row r="118" spans="1:10" s="644" customFormat="1" ht="38.25">
      <c r="A118" s="668"/>
      <c r="B118" s="677"/>
      <c r="C118" s="677"/>
      <c r="D118" s="656" t="str">
        <f>CONCATENATE("1.5 times of normal (Total Cost of Material + Labour Charges) of Item number 4 = ", J113,"x1.5")</f>
        <v>1.5 times of normal (Total Cost of Material + Labour Charges) of Item number 4 = 800x1.5</v>
      </c>
      <c r="E118" s="695">
        <v>1.5</v>
      </c>
      <c r="F118" s="645" t="s">
        <v>955</v>
      </c>
      <c r="G118" s="661">
        <v>1</v>
      </c>
      <c r="H118" s="645" t="s">
        <v>1509</v>
      </c>
      <c r="I118" s="657">
        <f>J113</f>
        <v>800</v>
      </c>
      <c r="J118" s="694">
        <f>SUM(E118*I118/G118)</f>
        <v>1200</v>
      </c>
    </row>
    <row r="119" spans="1:10" s="644" customFormat="1">
      <c r="A119" s="668"/>
      <c r="B119" s="677"/>
      <c r="C119" s="677"/>
      <c r="D119" s="678"/>
      <c r="E119" s="677"/>
      <c r="F119" s="677"/>
      <c r="G119" s="677"/>
      <c r="H119" s="677"/>
      <c r="I119" s="675"/>
      <c r="J119" s="677"/>
    </row>
    <row r="120" spans="1:10" s="644" customFormat="1">
      <c r="A120" s="668"/>
      <c r="B120" s="677"/>
      <c r="C120" s="677"/>
      <c r="D120" s="691" t="s">
        <v>2380</v>
      </c>
      <c r="E120" s="685"/>
      <c r="F120" s="684"/>
      <c r="G120" s="663"/>
      <c r="H120" s="684"/>
      <c r="I120" s="675"/>
      <c r="J120" s="693">
        <f>ROUND(J118,0)</f>
        <v>1200</v>
      </c>
    </row>
    <row r="121" spans="1:10" s="644" customFormat="1">
      <c r="A121" s="2164"/>
      <c r="B121" s="2164"/>
      <c r="C121" s="2164"/>
      <c r="D121" s="2164"/>
      <c r="E121" s="2164"/>
      <c r="F121" s="2164"/>
      <c r="G121" s="2164"/>
      <c r="H121" s="2164"/>
      <c r="I121" s="2164"/>
      <c r="J121" s="2164"/>
    </row>
    <row r="122" spans="1:10" s="644" customFormat="1">
      <c r="A122" s="673"/>
      <c r="B122" s="677"/>
      <c r="C122" s="677"/>
      <c r="D122" s="2160" t="s">
        <v>2810</v>
      </c>
      <c r="E122" s="2160"/>
      <c r="F122" s="2160"/>
      <c r="G122" s="2160"/>
      <c r="H122" s="2160"/>
      <c r="I122" s="2160"/>
      <c r="J122" s="2160"/>
    </row>
    <row r="123" spans="1:10" s="644" customFormat="1">
      <c r="A123" s="653"/>
      <c r="B123" s="665"/>
      <c r="C123" s="665"/>
      <c r="D123" s="2155" t="s">
        <v>2811</v>
      </c>
      <c r="E123" s="2155"/>
      <c r="F123" s="2155"/>
      <c r="G123" s="2155"/>
      <c r="H123" s="2155"/>
      <c r="I123" s="2155"/>
      <c r="J123" s="2155"/>
    </row>
    <row r="124" spans="1:10" s="644" customFormat="1">
      <c r="A124" s="668"/>
      <c r="B124" s="654"/>
      <c r="C124" s="654"/>
      <c r="D124" s="682" t="s">
        <v>2754</v>
      </c>
      <c r="E124" s="679"/>
      <c r="F124" s="645"/>
      <c r="G124" s="661"/>
      <c r="H124" s="645"/>
      <c r="I124" s="657"/>
      <c r="J124" s="694"/>
    </row>
    <row r="125" spans="1:10" s="644" customFormat="1">
      <c r="A125" s="668"/>
      <c r="B125" s="654">
        <v>1</v>
      </c>
      <c r="C125" s="654"/>
      <c r="D125" s="645" t="s">
        <v>2740</v>
      </c>
      <c r="E125" s="679">
        <v>0.7</v>
      </c>
      <c r="F125" s="680" t="s">
        <v>1738</v>
      </c>
      <c r="G125" s="661">
        <v>1</v>
      </c>
      <c r="H125" s="680" t="s">
        <v>1738</v>
      </c>
      <c r="I125" s="657">
        <f>IF(B125=$B$2,$G$2,IF(B125=$B$3,$G$3,IF(B125=$B$4,$G$4,IF(B125=$B$5,$G$5,IF(B125=$B$6,$G$6,IF(B125=$B$7,$G$7,FALSE))))))</f>
        <v>660</v>
      </c>
      <c r="J125" s="694">
        <f>SUM(E125*I125/G125)</f>
        <v>461.99999999999994</v>
      </c>
    </row>
    <row r="126" spans="1:10" s="644" customFormat="1">
      <c r="A126" s="668"/>
      <c r="B126" s="654">
        <v>2</v>
      </c>
      <c r="C126" s="654"/>
      <c r="D126" s="645" t="s">
        <v>2741</v>
      </c>
      <c r="E126" s="679">
        <v>1.4</v>
      </c>
      <c r="F126" s="680" t="s">
        <v>1738</v>
      </c>
      <c r="G126" s="661">
        <v>1</v>
      </c>
      <c r="H126" s="680" t="s">
        <v>1738</v>
      </c>
      <c r="I126" s="657">
        <f>IF(B126=$B$2,$G$2,IF(B126=$B$3,$G$3,IF(B126=$B$4,$G$4,IF(B126=$B$5,$G$5,IF(B126=$B$6,$G$6,IF(B126=$B$7,$G$7,FALSE))))))</f>
        <v>550</v>
      </c>
      <c r="J126" s="657">
        <f>SUM(E126*I126/G126)</f>
        <v>770</v>
      </c>
    </row>
    <row r="127" spans="1:10" s="644" customFormat="1">
      <c r="A127" s="668"/>
      <c r="B127" s="654">
        <v>3</v>
      </c>
      <c r="C127" s="654"/>
      <c r="D127" s="645" t="s">
        <v>2742</v>
      </c>
      <c r="E127" s="679">
        <v>0.7</v>
      </c>
      <c r="F127" s="680" t="s">
        <v>1738</v>
      </c>
      <c r="G127" s="661">
        <v>1</v>
      </c>
      <c r="H127" s="680" t="s">
        <v>1738</v>
      </c>
      <c r="I127" s="657">
        <f>IF(B127=$B$2,$G$2,IF(B127=$B$3,$G$3,IF(B127=$B$4,$G$4,IF(B127=$B$5,$G$5,IF(B127=$B$6,$G$6,IF(B127=$B$7,$G$7,FALSE))))))</f>
        <v>550</v>
      </c>
      <c r="J127" s="657">
        <f>SUM(E127*I127/G127)</f>
        <v>385</v>
      </c>
    </row>
    <row r="128" spans="1:10" s="644" customFormat="1">
      <c r="A128" s="668"/>
      <c r="B128" s="654"/>
      <c r="C128" s="654"/>
      <c r="D128" s="682" t="s">
        <v>2793</v>
      </c>
      <c r="E128" s="679"/>
      <c r="F128" s="680"/>
      <c r="G128" s="661"/>
      <c r="H128" s="680"/>
      <c r="I128" s="657"/>
      <c r="J128" s="694">
        <f>SUM(J125:J127)</f>
        <v>1617</v>
      </c>
    </row>
    <row r="129" spans="1:10" s="644" customFormat="1">
      <c r="A129" s="668"/>
      <c r="B129" s="654"/>
      <c r="C129" s="654"/>
      <c r="D129" s="682" t="s">
        <v>2794</v>
      </c>
      <c r="E129" s="695"/>
      <c r="F129" s="680"/>
      <c r="G129" s="661"/>
      <c r="H129" s="680"/>
      <c r="I129" s="657"/>
      <c r="J129" s="676">
        <f>SUM(J128/7)</f>
        <v>231</v>
      </c>
    </row>
    <row r="130" spans="1:10" s="644" customFormat="1">
      <c r="A130" s="668"/>
      <c r="B130" s="654"/>
      <c r="C130" s="654"/>
      <c r="D130" s="696" t="s">
        <v>1879</v>
      </c>
      <c r="E130" s="679"/>
      <c r="F130" s="680"/>
      <c r="G130" s="661"/>
      <c r="H130" s="680"/>
      <c r="I130" s="657"/>
      <c r="J130" s="694"/>
    </row>
    <row r="131" spans="1:10" s="644" customFormat="1">
      <c r="A131" s="668"/>
      <c r="B131" s="658" t="s">
        <v>2812</v>
      </c>
      <c r="C131" s="654" t="s">
        <v>1184</v>
      </c>
      <c r="D131" s="682" t="s">
        <v>2796</v>
      </c>
      <c r="E131" s="695">
        <v>1</v>
      </c>
      <c r="F131" s="645" t="s">
        <v>955</v>
      </c>
      <c r="G131" s="661">
        <v>1</v>
      </c>
      <c r="H131" s="645" t="s">
        <v>1509</v>
      </c>
      <c r="I131" s="657">
        <f>I103</f>
        <v>101</v>
      </c>
      <c r="J131" s="694">
        <f>SUM(E131*I131/G131)</f>
        <v>101</v>
      </c>
    </row>
    <row r="132" spans="1:10" s="644" customFormat="1">
      <c r="A132" s="668"/>
      <c r="B132" s="658" t="s">
        <v>2812</v>
      </c>
      <c r="C132" s="654" t="s">
        <v>1186</v>
      </c>
      <c r="D132" s="682" t="s">
        <v>2813</v>
      </c>
      <c r="E132" s="695">
        <v>1</v>
      </c>
      <c r="F132" s="645" t="s">
        <v>955</v>
      </c>
      <c r="G132" s="661">
        <v>1</v>
      </c>
      <c r="H132" s="645" t="s">
        <v>1509</v>
      </c>
      <c r="I132" s="657">
        <v>120</v>
      </c>
      <c r="J132" s="694">
        <f>SUM(E132*I132/G132)</f>
        <v>120</v>
      </c>
    </row>
    <row r="133" spans="1:10" s="644" customFormat="1">
      <c r="A133" s="668"/>
      <c r="B133" s="658" t="s">
        <v>2814</v>
      </c>
      <c r="C133" s="661" t="s">
        <v>1184</v>
      </c>
      <c r="D133" s="682" t="s">
        <v>2798</v>
      </c>
      <c r="E133" s="695">
        <v>1</v>
      </c>
      <c r="F133" s="645" t="s">
        <v>955</v>
      </c>
      <c r="G133" s="661">
        <v>1</v>
      </c>
      <c r="H133" s="645" t="s">
        <v>1509</v>
      </c>
      <c r="I133" s="657">
        <f>I104</f>
        <v>97</v>
      </c>
      <c r="J133" s="694">
        <f>E133*I133</f>
        <v>97</v>
      </c>
    </row>
    <row r="134" spans="1:10" s="644" customFormat="1">
      <c r="A134" s="668"/>
      <c r="B134" s="658" t="s">
        <v>2814</v>
      </c>
      <c r="C134" s="661" t="s">
        <v>1186</v>
      </c>
      <c r="D134" s="682" t="s">
        <v>2815</v>
      </c>
      <c r="E134" s="695">
        <v>1</v>
      </c>
      <c r="F134" s="645" t="s">
        <v>955</v>
      </c>
      <c r="G134" s="661">
        <v>1</v>
      </c>
      <c r="H134" s="645" t="s">
        <v>1509</v>
      </c>
      <c r="I134" s="657">
        <v>112</v>
      </c>
      <c r="J134" s="694">
        <f>E134*I134</f>
        <v>112</v>
      </c>
    </row>
    <row r="135" spans="1:10" s="644" customFormat="1" ht="25.5">
      <c r="A135" s="668"/>
      <c r="B135" s="654" t="s">
        <v>2816</v>
      </c>
      <c r="C135" s="661" t="s">
        <v>1180</v>
      </c>
      <c r="D135" s="645" t="s">
        <v>2800</v>
      </c>
      <c r="E135" s="695">
        <v>7</v>
      </c>
      <c r="F135" s="645" t="s">
        <v>955</v>
      </c>
      <c r="G135" s="661">
        <v>1</v>
      </c>
      <c r="H135" s="645" t="s">
        <v>1509</v>
      </c>
      <c r="I135" s="657">
        <f>I105</f>
        <v>116</v>
      </c>
      <c r="J135" s="694">
        <f>SUM(E135*I135/G135)</f>
        <v>812</v>
      </c>
    </row>
    <row r="136" spans="1:10" s="644" customFormat="1" ht="25.5">
      <c r="A136" s="668"/>
      <c r="B136" s="654" t="s">
        <v>2817</v>
      </c>
      <c r="C136" s="661" t="s">
        <v>1839</v>
      </c>
      <c r="D136" s="682" t="s">
        <v>2802</v>
      </c>
      <c r="E136" s="695">
        <v>7</v>
      </c>
      <c r="F136" s="645" t="s">
        <v>955</v>
      </c>
      <c r="G136" s="661">
        <v>1</v>
      </c>
      <c r="H136" s="645" t="s">
        <v>1509</v>
      </c>
      <c r="I136" s="657">
        <f>I106</f>
        <v>23</v>
      </c>
      <c r="J136" s="694">
        <f>SUM(E136*I136/G136)</f>
        <v>161</v>
      </c>
    </row>
    <row r="137" spans="1:10" s="644" customFormat="1" ht="51">
      <c r="A137" s="668"/>
      <c r="B137" s="654" t="s">
        <v>2818</v>
      </c>
      <c r="C137" s="654" t="s">
        <v>1180</v>
      </c>
      <c r="D137" s="682" t="s">
        <v>2804</v>
      </c>
      <c r="E137" s="679">
        <v>100</v>
      </c>
      <c r="F137" s="680" t="s">
        <v>2805</v>
      </c>
      <c r="G137" s="661">
        <v>100</v>
      </c>
      <c r="H137" s="680" t="s">
        <v>2805</v>
      </c>
      <c r="I137" s="657">
        <f>I107</f>
        <v>2187</v>
      </c>
      <c r="J137" s="694">
        <f>SUM(E137*I137/G137)</f>
        <v>2187</v>
      </c>
    </row>
    <row r="138" spans="1:10" s="644" customFormat="1">
      <c r="A138" s="668"/>
      <c r="B138" s="654"/>
      <c r="C138" s="654"/>
      <c r="D138" s="682" t="s">
        <v>2819</v>
      </c>
      <c r="E138" s="679"/>
      <c r="F138" s="645"/>
      <c r="G138" s="661"/>
      <c r="H138" s="645"/>
      <c r="I138" s="657"/>
      <c r="J138" s="694">
        <f>SUM(J131:J137)</f>
        <v>3590</v>
      </c>
    </row>
    <row r="139" spans="1:10" s="644" customFormat="1">
      <c r="A139" s="668"/>
      <c r="B139" s="654"/>
      <c r="C139" s="654"/>
      <c r="D139" s="682" t="s">
        <v>2807</v>
      </c>
      <c r="E139" s="679"/>
      <c r="F139" s="645"/>
      <c r="G139" s="661"/>
      <c r="H139" s="645"/>
      <c r="I139" s="657"/>
      <c r="J139" s="676">
        <f>SUM(J138/7)</f>
        <v>512.85714285714289</v>
      </c>
    </row>
    <row r="140" spans="1:10" s="644" customFormat="1" ht="25.5">
      <c r="A140" s="668"/>
      <c r="B140" s="654"/>
      <c r="C140" s="654"/>
      <c r="D140" s="656" t="s">
        <v>2766</v>
      </c>
      <c r="E140" s="681"/>
      <c r="F140" s="645"/>
      <c r="G140" s="674"/>
      <c r="H140" s="697"/>
      <c r="I140" s="657"/>
      <c r="J140" s="672">
        <f>ROUNDDOWN(J129+J139,0)</f>
        <v>743</v>
      </c>
    </row>
    <row r="141" spans="1:10" s="644" customFormat="1">
      <c r="A141" s="668"/>
      <c r="B141" s="664"/>
      <c r="C141" s="664"/>
      <c r="D141" s="669" t="s">
        <v>2767</v>
      </c>
      <c r="E141" s="670">
        <f>$E$9</f>
        <v>0</v>
      </c>
      <c r="F141" s="684"/>
      <c r="G141" s="663"/>
      <c r="H141" s="684"/>
      <c r="I141" s="672"/>
      <c r="J141" s="676">
        <f>J140*E141</f>
        <v>0</v>
      </c>
    </row>
    <row r="142" spans="1:10" s="644" customFormat="1">
      <c r="A142" s="668"/>
      <c r="B142" s="664"/>
      <c r="C142" s="664"/>
      <c r="D142" s="673"/>
      <c r="E142" s="685"/>
      <c r="F142" s="684"/>
      <c r="G142" s="663"/>
      <c r="H142" s="684"/>
      <c r="I142" s="672"/>
      <c r="J142" s="676">
        <f>SUM(J140:J141)</f>
        <v>743</v>
      </c>
    </row>
    <row r="143" spans="1:10" s="644" customFormat="1">
      <c r="A143" s="668"/>
      <c r="B143" s="664"/>
      <c r="C143" s="664"/>
      <c r="D143" s="691" t="s">
        <v>2380</v>
      </c>
      <c r="E143" s="685"/>
      <c r="F143" s="684"/>
      <c r="G143" s="663"/>
      <c r="H143" s="684"/>
      <c r="I143" s="675"/>
      <c r="J143" s="693">
        <f>ROUND(J142,0)</f>
        <v>743</v>
      </c>
    </row>
    <row r="144" spans="1:10" s="644" customFormat="1">
      <c r="A144" s="668"/>
      <c r="B144" s="664"/>
      <c r="C144" s="664"/>
      <c r="D144" s="691"/>
      <c r="E144" s="685"/>
      <c r="F144" s="684"/>
      <c r="G144" s="663"/>
      <c r="H144" s="684"/>
      <c r="I144" s="675"/>
      <c r="J144" s="698"/>
    </row>
    <row r="145" spans="1:10" s="644" customFormat="1">
      <c r="A145" s="673"/>
      <c r="B145" s="677"/>
      <c r="C145" s="677"/>
      <c r="D145" s="2160" t="s">
        <v>2820</v>
      </c>
      <c r="E145" s="2160"/>
      <c r="F145" s="2160"/>
      <c r="G145" s="2160"/>
      <c r="H145" s="2160"/>
      <c r="I145" s="2160"/>
      <c r="J145" s="2160"/>
    </row>
    <row r="146" spans="1:10" s="644" customFormat="1">
      <c r="A146" s="653"/>
      <c r="B146" s="665"/>
      <c r="C146" s="665"/>
      <c r="D146" s="2155" t="s">
        <v>2821</v>
      </c>
      <c r="E146" s="2155"/>
      <c r="F146" s="2155"/>
      <c r="G146" s="2155"/>
      <c r="H146" s="2155"/>
      <c r="I146" s="2155"/>
      <c r="J146" s="2155"/>
    </row>
    <row r="147" spans="1:10" s="644" customFormat="1">
      <c r="A147" s="668"/>
      <c r="B147" s="677"/>
      <c r="C147" s="677"/>
      <c r="D147" s="678"/>
      <c r="E147" s="677"/>
      <c r="F147" s="677"/>
      <c r="G147" s="677"/>
      <c r="H147" s="677"/>
      <c r="I147" s="675"/>
      <c r="J147" s="677"/>
    </row>
    <row r="148" spans="1:10" s="644" customFormat="1" ht="38.25">
      <c r="A148" s="668"/>
      <c r="B148" s="677"/>
      <c r="C148" s="677"/>
      <c r="D148" s="656" t="str">
        <f>CONCATENATE("1.5 times of normal (Total Cost of Material + Labour Charges) of Item number 4 = ", J143,"x1.5")</f>
        <v>1.5 times of normal (Total Cost of Material + Labour Charges) of Item number 4 = 743x1.5</v>
      </c>
      <c r="E148" s="695">
        <f>J143</f>
        <v>743</v>
      </c>
      <c r="F148" s="645" t="s">
        <v>955</v>
      </c>
      <c r="G148" s="661">
        <v>1</v>
      </c>
      <c r="H148" s="645" t="s">
        <v>1509</v>
      </c>
      <c r="I148" s="657">
        <v>1.5</v>
      </c>
      <c r="J148" s="694">
        <f>SUM(E148*I148/G148)</f>
        <v>1114.5</v>
      </c>
    </row>
    <row r="149" spans="1:10" s="644" customFormat="1">
      <c r="A149" s="668"/>
      <c r="B149" s="677"/>
      <c r="C149" s="677"/>
      <c r="D149" s="678"/>
      <c r="E149" s="677"/>
      <c r="F149" s="677"/>
      <c r="G149" s="677"/>
      <c r="H149" s="677"/>
      <c r="I149" s="675"/>
      <c r="J149" s="677"/>
    </row>
    <row r="150" spans="1:10" s="644" customFormat="1">
      <c r="A150" s="668"/>
      <c r="B150" s="677"/>
      <c r="C150" s="677"/>
      <c r="D150" s="691" t="s">
        <v>2380</v>
      </c>
      <c r="E150" s="685"/>
      <c r="F150" s="684"/>
      <c r="G150" s="663"/>
      <c r="H150" s="684"/>
      <c r="I150" s="675"/>
      <c r="J150" s="693">
        <f>ROUND(J148,0)</f>
        <v>1115</v>
      </c>
    </row>
    <row r="151" spans="1:10" s="644" customFormat="1">
      <c r="A151" s="668"/>
      <c r="B151" s="677"/>
      <c r="C151" s="677"/>
      <c r="D151" s="691"/>
      <c r="E151" s="685"/>
      <c r="F151" s="684"/>
      <c r="G151" s="663"/>
      <c r="H151" s="684"/>
      <c r="I151" s="675"/>
      <c r="J151" s="693"/>
    </row>
    <row r="152" spans="1:10" s="644" customFormat="1">
      <c r="A152" s="673"/>
      <c r="B152" s="664"/>
      <c r="C152" s="664"/>
      <c r="D152" s="2161" t="s">
        <v>2822</v>
      </c>
      <c r="E152" s="2161"/>
      <c r="F152" s="2161"/>
      <c r="G152" s="2161"/>
      <c r="H152" s="2161"/>
      <c r="I152" s="2161"/>
      <c r="J152" s="2161"/>
    </row>
    <row r="153" spans="1:10" s="644" customFormat="1" ht="66.75" customHeight="1">
      <c r="A153" s="653">
        <f>SUM(MAX($A$7:$A121),1)</f>
        <v>7</v>
      </c>
      <c r="B153" s="665"/>
      <c r="C153" s="665"/>
      <c r="D153" s="2155" t="s">
        <v>2823</v>
      </c>
      <c r="E153" s="2155"/>
      <c r="F153" s="2155"/>
      <c r="G153" s="2155"/>
      <c r="H153" s="2155"/>
      <c r="I153" s="2155"/>
      <c r="J153" s="2155"/>
    </row>
    <row r="154" spans="1:10" s="644" customFormat="1">
      <c r="A154" s="668"/>
      <c r="B154" s="654"/>
      <c r="C154" s="654"/>
      <c r="D154" s="682" t="s">
        <v>2754</v>
      </c>
      <c r="E154" s="679"/>
      <c r="F154" s="645"/>
      <c r="G154" s="661"/>
      <c r="H154" s="645"/>
      <c r="I154" s="657"/>
      <c r="J154" s="694"/>
    </row>
    <row r="155" spans="1:10" s="644" customFormat="1">
      <c r="A155" s="668"/>
      <c r="B155" s="654">
        <v>1</v>
      </c>
      <c r="C155" s="654"/>
      <c r="D155" s="645" t="s">
        <v>2740</v>
      </c>
      <c r="E155" s="699">
        <v>6.7000000000000004E-2</v>
      </c>
      <c r="F155" s="680" t="s">
        <v>1738</v>
      </c>
      <c r="G155" s="661">
        <v>1</v>
      </c>
      <c r="H155" s="680" t="s">
        <v>1738</v>
      </c>
      <c r="I155" s="657">
        <f>IF(B155=$B$2,$G$2,IF(B155=$B$3,$G$3,IF(B155=$B$4,$G$4,IF(B155=$B$5,$G$5,IF(B155=$B$6,$G$6,IF(B155=$B$7,$G$7,FALSE))))))</f>
        <v>660</v>
      </c>
      <c r="J155" s="694">
        <f>SUM(E155*I155/G155)</f>
        <v>44.220000000000006</v>
      </c>
    </row>
    <row r="156" spans="1:10" s="644" customFormat="1">
      <c r="A156" s="668"/>
      <c r="B156" s="654">
        <v>2</v>
      </c>
      <c r="C156" s="654"/>
      <c r="D156" s="645" t="s">
        <v>2742</v>
      </c>
      <c r="E156" s="699">
        <v>6.7000000000000004E-2</v>
      </c>
      <c r="F156" s="680" t="s">
        <v>1738</v>
      </c>
      <c r="G156" s="661">
        <v>1</v>
      </c>
      <c r="H156" s="680" t="s">
        <v>1738</v>
      </c>
      <c r="I156" s="657">
        <f>IF(B156=$B$2,$G$2,IF(B156=$B$3,$G$3,IF(B156=$B$4,$G$4,IF(B156=$B$5,$G$5,IF(B156=$B$6,$G$6,IF(B156=$B$7,$G$7,FALSE))))))</f>
        <v>550</v>
      </c>
      <c r="J156" s="657">
        <f>SUM(E156*I156/G156)</f>
        <v>36.85</v>
      </c>
    </row>
    <row r="157" spans="1:10" s="644" customFormat="1">
      <c r="A157" s="668"/>
      <c r="B157" s="654"/>
      <c r="C157" s="654"/>
      <c r="D157" s="700" t="s">
        <v>2794</v>
      </c>
      <c r="E157" s="679"/>
      <c r="F157" s="680"/>
      <c r="G157" s="661"/>
      <c r="H157" s="680"/>
      <c r="I157" s="657"/>
      <c r="J157" s="672">
        <f>SUM(J155:J156)</f>
        <v>81.070000000000007</v>
      </c>
    </row>
    <row r="158" spans="1:10" s="644" customFormat="1">
      <c r="A158" s="668"/>
      <c r="B158" s="654"/>
      <c r="C158" s="654"/>
      <c r="D158" s="696" t="s">
        <v>1879</v>
      </c>
      <c r="E158" s="679"/>
      <c r="F158" s="680"/>
      <c r="G158" s="661"/>
      <c r="H158" s="680"/>
      <c r="I158" s="679"/>
      <c r="J158" s="694"/>
    </row>
    <row r="159" spans="1:10" s="644" customFormat="1">
      <c r="A159" s="668"/>
      <c r="B159" s="654" t="s">
        <v>2795</v>
      </c>
      <c r="C159" s="654" t="s">
        <v>1184</v>
      </c>
      <c r="D159" s="682" t="s">
        <v>2824</v>
      </c>
      <c r="E159" s="695">
        <v>1</v>
      </c>
      <c r="F159" s="645" t="s">
        <v>1509</v>
      </c>
      <c r="G159" s="661">
        <v>1</v>
      </c>
      <c r="H159" s="645" t="s">
        <v>1509</v>
      </c>
      <c r="I159" s="679">
        <f>I103</f>
        <v>101</v>
      </c>
      <c r="J159" s="694">
        <f>SUM(E159*I159/G159)</f>
        <v>101</v>
      </c>
    </row>
    <row r="160" spans="1:10" s="644" customFormat="1">
      <c r="A160" s="668"/>
      <c r="B160" s="654" t="s">
        <v>2797</v>
      </c>
      <c r="C160" s="654" t="s">
        <v>1184</v>
      </c>
      <c r="D160" s="682" t="s">
        <v>2798</v>
      </c>
      <c r="E160" s="695">
        <v>1</v>
      </c>
      <c r="F160" s="645" t="s">
        <v>1509</v>
      </c>
      <c r="G160" s="661">
        <v>1</v>
      </c>
      <c r="H160" s="645" t="s">
        <v>1509</v>
      </c>
      <c r="I160" s="679">
        <f>I104</f>
        <v>97</v>
      </c>
      <c r="J160" s="694">
        <f>SUM(E160*I160/G160)</f>
        <v>97</v>
      </c>
    </row>
    <row r="161" spans="1:10" s="644" customFormat="1" ht="25.5">
      <c r="A161" s="668"/>
      <c r="B161" s="654" t="s">
        <v>2799</v>
      </c>
      <c r="C161" s="654" t="s">
        <v>1180</v>
      </c>
      <c r="D161" s="682" t="s">
        <v>2825</v>
      </c>
      <c r="E161" s="695">
        <v>1</v>
      </c>
      <c r="F161" s="645" t="s">
        <v>1509</v>
      </c>
      <c r="G161" s="661">
        <v>1</v>
      </c>
      <c r="H161" s="645" t="s">
        <v>1509</v>
      </c>
      <c r="I161" s="679">
        <f>I105</f>
        <v>116</v>
      </c>
      <c r="J161" s="694">
        <f>SUM(E161*I161/G161)</f>
        <v>116</v>
      </c>
    </row>
    <row r="162" spans="1:10" s="644" customFormat="1" ht="25.5">
      <c r="A162" s="668"/>
      <c r="B162" s="654" t="s">
        <v>2799</v>
      </c>
      <c r="C162" s="661" t="s">
        <v>1188</v>
      </c>
      <c r="D162" s="646" t="s">
        <v>2826</v>
      </c>
      <c r="E162" s="695">
        <v>1</v>
      </c>
      <c r="F162" s="645" t="s">
        <v>1509</v>
      </c>
      <c r="G162" s="661">
        <v>1</v>
      </c>
      <c r="H162" s="645" t="s">
        <v>1509</v>
      </c>
      <c r="I162" s="679">
        <v>178</v>
      </c>
      <c r="J162" s="694">
        <f>SUM(E162*I162/G162)</f>
        <v>178</v>
      </c>
    </row>
    <row r="163" spans="1:10" s="644" customFormat="1">
      <c r="A163" s="668"/>
      <c r="B163" s="654"/>
      <c r="C163" s="654"/>
      <c r="D163" s="700" t="s">
        <v>2807</v>
      </c>
      <c r="E163" s="679"/>
      <c r="F163" s="645"/>
      <c r="G163" s="661"/>
      <c r="H163" s="645"/>
      <c r="I163" s="657"/>
      <c r="J163" s="676">
        <f>SUM(J159:J162)</f>
        <v>492</v>
      </c>
    </row>
    <row r="164" spans="1:10" s="644" customFormat="1" ht="25.5">
      <c r="A164" s="668"/>
      <c r="B164" s="654"/>
      <c r="C164" s="654"/>
      <c r="D164" s="656" t="s">
        <v>2766</v>
      </c>
      <c r="E164" s="681"/>
      <c r="F164" s="645"/>
      <c r="G164" s="674"/>
      <c r="H164" s="697"/>
      <c r="I164" s="657"/>
      <c r="J164" s="655">
        <f>ROUNDDOWN(J163+J157,0)</f>
        <v>573</v>
      </c>
    </row>
    <row r="165" spans="1:10" s="644" customFormat="1">
      <c r="A165" s="668"/>
      <c r="B165" s="664"/>
      <c r="C165" s="664"/>
      <c r="D165" s="669" t="s">
        <v>2767</v>
      </c>
      <c r="E165" s="670">
        <f>$E$9</f>
        <v>0</v>
      </c>
      <c r="F165" s="684"/>
      <c r="G165" s="663"/>
      <c r="H165" s="684"/>
      <c r="I165" s="672"/>
      <c r="J165" s="676">
        <f>J164*E165</f>
        <v>0</v>
      </c>
    </row>
    <row r="166" spans="1:10" s="644" customFormat="1">
      <c r="A166" s="668"/>
      <c r="B166" s="664"/>
      <c r="C166" s="664"/>
      <c r="D166" s="673"/>
      <c r="E166" s="685"/>
      <c r="F166" s="684"/>
      <c r="G166" s="663"/>
      <c r="H166" s="684"/>
      <c r="I166" s="672"/>
      <c r="J166" s="676">
        <f>SUM(J164:J165)</f>
        <v>573</v>
      </c>
    </row>
    <row r="167" spans="1:10" s="644" customFormat="1">
      <c r="A167" s="668"/>
      <c r="B167" s="664"/>
      <c r="C167" s="664"/>
      <c r="D167" s="691" t="s">
        <v>2380</v>
      </c>
      <c r="E167" s="685"/>
      <c r="F167" s="684"/>
      <c r="G167" s="663"/>
      <c r="H167" s="684"/>
      <c r="I167" s="675"/>
      <c r="J167" s="693">
        <f>ROUND(J166,0)</f>
        <v>573</v>
      </c>
    </row>
    <row r="168" spans="1:10" s="644" customFormat="1">
      <c r="A168" s="668"/>
      <c r="B168" s="664"/>
      <c r="C168" s="664"/>
      <c r="D168" s="691"/>
      <c r="E168" s="685"/>
      <c r="F168" s="684"/>
      <c r="G168" s="663"/>
      <c r="H168" s="684"/>
      <c r="I168" s="675"/>
      <c r="J168" s="693"/>
    </row>
    <row r="169" spans="1:10" s="644" customFormat="1">
      <c r="A169" s="668"/>
      <c r="B169" s="664"/>
      <c r="C169" s="664"/>
      <c r="D169" s="2162" t="s">
        <v>2827</v>
      </c>
      <c r="E169" s="2162"/>
      <c r="F169" s="2162"/>
      <c r="G169" s="2162"/>
      <c r="H169" s="2162"/>
      <c r="I169" s="2162"/>
      <c r="J169" s="2162"/>
    </row>
    <row r="170" spans="1:10" s="644" customFormat="1" ht="63.75" customHeight="1">
      <c r="A170" s="653">
        <f>A153+1</f>
        <v>8</v>
      </c>
      <c r="B170" s="664"/>
      <c r="C170" s="664"/>
      <c r="D170" s="2163" t="s">
        <v>2828</v>
      </c>
      <c r="E170" s="2163"/>
      <c r="F170" s="2163"/>
      <c r="G170" s="2163"/>
      <c r="H170" s="2163"/>
      <c r="I170" s="2163"/>
      <c r="J170" s="2163"/>
    </row>
    <row r="171" spans="1:10" s="644" customFormat="1">
      <c r="A171" s="668"/>
      <c r="B171" s="664"/>
      <c r="C171" s="664"/>
      <c r="D171" s="701" t="s">
        <v>2754</v>
      </c>
      <c r="E171" s="702"/>
      <c r="F171" s="703"/>
      <c r="G171" s="704"/>
      <c r="H171" s="703"/>
      <c r="I171" s="705"/>
      <c r="J171" s="706"/>
    </row>
    <row r="172" spans="1:10" s="644" customFormat="1">
      <c r="A172" s="668"/>
      <c r="B172" s="664">
        <v>1</v>
      </c>
      <c r="C172" s="664"/>
      <c r="D172" s="703" t="s">
        <v>2740</v>
      </c>
      <c r="E172" s="702">
        <v>0.2</v>
      </c>
      <c r="F172" s="707" t="s">
        <v>1738</v>
      </c>
      <c r="G172" s="704">
        <v>1</v>
      </c>
      <c r="H172" s="707" t="s">
        <v>1738</v>
      </c>
      <c r="I172" s="657">
        <f>IF(B172=$B$2,$G$2,IF(B172=$B$3,$G$3,IF(B172=$B$4,$G$4,IF(B172=$B$5,$G$5,IF(B172=$B$6,$G$6,IF(B172=$B$7,$G$7,FALSE))))))</f>
        <v>660</v>
      </c>
      <c r="J172" s="706">
        <f>SUM(E172*I172/G172)</f>
        <v>132</v>
      </c>
    </row>
    <row r="173" spans="1:10" s="644" customFormat="1">
      <c r="A173" s="668"/>
      <c r="B173" s="664">
        <v>2</v>
      </c>
      <c r="C173" s="664"/>
      <c r="D173" s="703" t="s">
        <v>2742</v>
      </c>
      <c r="E173" s="702">
        <v>0.13400000000000001</v>
      </c>
      <c r="F173" s="707" t="s">
        <v>1738</v>
      </c>
      <c r="G173" s="704">
        <v>1</v>
      </c>
      <c r="H173" s="707" t="s">
        <v>1738</v>
      </c>
      <c r="I173" s="657">
        <f>IF(B173=$B$2,$G$2,IF(B173=$B$3,$G$3,IF(B173=$B$4,$G$4,IF(B173=$B$5,$G$5,IF(B173=$B$6,$G$6,IF(B173=$B$7,$G$7,FALSE))))))</f>
        <v>550</v>
      </c>
      <c r="J173" s="708">
        <f>SUM(E173*I173/G173)</f>
        <v>73.7</v>
      </c>
    </row>
    <row r="174" spans="1:10" s="644" customFormat="1">
      <c r="A174" s="668"/>
      <c r="B174" s="664"/>
      <c r="C174" s="664"/>
      <c r="D174" s="709" t="s">
        <v>2829</v>
      </c>
      <c r="E174" s="702"/>
      <c r="F174" s="707"/>
      <c r="G174" s="704"/>
      <c r="H174" s="707"/>
      <c r="I174" s="705"/>
      <c r="J174" s="706">
        <f>SUM(J172:J173)</f>
        <v>205.7</v>
      </c>
    </row>
    <row r="175" spans="1:10" s="644" customFormat="1">
      <c r="A175" s="668"/>
      <c r="B175" s="664"/>
      <c r="C175" s="664"/>
      <c r="D175" s="701" t="s">
        <v>1879</v>
      </c>
      <c r="E175" s="702"/>
      <c r="F175" s="707"/>
      <c r="G175" s="704"/>
      <c r="H175" s="707"/>
      <c r="I175" s="705"/>
      <c r="J175" s="706"/>
    </row>
    <row r="176" spans="1:10" s="644" customFormat="1">
      <c r="A176" s="668"/>
      <c r="B176" s="654" t="s">
        <v>2795</v>
      </c>
      <c r="C176" s="654" t="s">
        <v>1188</v>
      </c>
      <c r="D176" s="710" t="s">
        <v>2830</v>
      </c>
      <c r="E176" s="711">
        <v>1</v>
      </c>
      <c r="F176" s="703" t="s">
        <v>1509</v>
      </c>
      <c r="G176" s="704">
        <v>1</v>
      </c>
      <c r="H176" s="703" t="s">
        <v>1509</v>
      </c>
      <c r="I176" s="712">
        <v>164</v>
      </c>
      <c r="J176" s="706">
        <f>SUM(E176*I176/G176)</f>
        <v>164</v>
      </c>
    </row>
    <row r="177" spans="1:10" s="644" customFormat="1">
      <c r="A177" s="668"/>
      <c r="B177" s="654" t="s">
        <v>2797</v>
      </c>
      <c r="C177" s="654" t="s">
        <v>1188</v>
      </c>
      <c r="D177" s="710" t="s">
        <v>2831</v>
      </c>
      <c r="E177" s="711">
        <v>1</v>
      </c>
      <c r="F177" s="703" t="s">
        <v>955</v>
      </c>
      <c r="G177" s="704">
        <v>1</v>
      </c>
      <c r="H177" s="703" t="s">
        <v>1509</v>
      </c>
      <c r="I177" s="712">
        <v>164</v>
      </c>
      <c r="J177" s="706">
        <f>SUM(E177*I177/G177)</f>
        <v>164</v>
      </c>
    </row>
    <row r="178" spans="1:10" s="644" customFormat="1" ht="25.5">
      <c r="A178" s="668"/>
      <c r="B178" s="654" t="s">
        <v>2799</v>
      </c>
      <c r="C178" s="654" t="s">
        <v>1180</v>
      </c>
      <c r="D178" s="682" t="s">
        <v>2825</v>
      </c>
      <c r="E178" s="711">
        <v>2</v>
      </c>
      <c r="F178" s="703" t="s">
        <v>955</v>
      </c>
      <c r="G178" s="704">
        <v>1</v>
      </c>
      <c r="H178" s="703" t="s">
        <v>1509</v>
      </c>
      <c r="I178" s="712">
        <f>I161</f>
        <v>116</v>
      </c>
      <c r="J178" s="706">
        <f>SUM(E178*I178/G178)</f>
        <v>232</v>
      </c>
    </row>
    <row r="179" spans="1:10" s="644" customFormat="1" ht="25.5">
      <c r="A179" s="668"/>
      <c r="B179" s="654" t="s">
        <v>2799</v>
      </c>
      <c r="C179" s="661" t="s">
        <v>1188</v>
      </c>
      <c r="D179" s="646" t="s">
        <v>2826</v>
      </c>
      <c r="E179" s="711">
        <v>2</v>
      </c>
      <c r="F179" s="703" t="s">
        <v>955</v>
      </c>
      <c r="G179" s="704">
        <v>1</v>
      </c>
      <c r="H179" s="703" t="s">
        <v>1509</v>
      </c>
      <c r="I179" s="712">
        <f>I162</f>
        <v>178</v>
      </c>
      <c r="J179" s="706">
        <f>SUM(E179*I179/G179)</f>
        <v>356</v>
      </c>
    </row>
    <row r="180" spans="1:10" s="644" customFormat="1">
      <c r="A180" s="668"/>
      <c r="B180" s="664"/>
      <c r="C180" s="664"/>
      <c r="D180" s="710" t="s">
        <v>2832</v>
      </c>
      <c r="E180" s="702"/>
      <c r="F180" s="703"/>
      <c r="G180" s="704"/>
      <c r="H180" s="703"/>
      <c r="I180" s="705"/>
      <c r="J180" s="706">
        <f>SUM(J176:J179)</f>
        <v>916</v>
      </c>
    </row>
    <row r="181" spans="1:10" s="644" customFormat="1" ht="25.5">
      <c r="A181" s="668"/>
      <c r="B181" s="664"/>
      <c r="C181" s="664"/>
      <c r="D181" s="701" t="s">
        <v>2766</v>
      </c>
      <c r="E181" s="713"/>
      <c r="F181" s="703"/>
      <c r="G181" s="714"/>
      <c r="H181" s="715"/>
      <c r="I181" s="705"/>
      <c r="J181" s="716">
        <f>ROUNDDOWN(J174+J180,0)</f>
        <v>1121</v>
      </c>
    </row>
    <row r="182" spans="1:10" s="644" customFormat="1">
      <c r="A182" s="668"/>
      <c r="B182" s="664"/>
      <c r="C182" s="664"/>
      <c r="D182" s="717" t="s">
        <v>2767</v>
      </c>
      <c r="E182" s="670">
        <f>$E$9</f>
        <v>0</v>
      </c>
      <c r="F182" s="718"/>
      <c r="G182" s="719"/>
      <c r="H182" s="718"/>
      <c r="I182" s="716"/>
      <c r="J182" s="720">
        <f>J181*E182</f>
        <v>0</v>
      </c>
    </row>
    <row r="183" spans="1:10" s="644" customFormat="1">
      <c r="A183" s="668"/>
      <c r="B183" s="664"/>
      <c r="C183" s="664"/>
      <c r="D183" s="721"/>
      <c r="E183" s="722"/>
      <c r="F183" s="718"/>
      <c r="G183" s="719"/>
      <c r="H183" s="718"/>
      <c r="I183" s="716"/>
      <c r="J183" s="720">
        <f>SUM(J181:J182)</f>
        <v>1121</v>
      </c>
    </row>
    <row r="184" spans="1:10" s="644" customFormat="1">
      <c r="A184" s="668"/>
      <c r="B184" s="664"/>
      <c r="C184" s="664"/>
      <c r="D184" s="723" t="s">
        <v>2380</v>
      </c>
      <c r="E184" s="722"/>
      <c r="F184" s="718"/>
      <c r="G184" s="719"/>
      <c r="H184" s="718"/>
      <c r="I184" s="724"/>
      <c r="J184" s="725">
        <f>ROUND(J183,0)</f>
        <v>1121</v>
      </c>
    </row>
    <row r="185" spans="1:10" s="644" customFormat="1">
      <c r="A185" s="668"/>
      <c r="B185" s="664"/>
      <c r="C185" s="664"/>
      <c r="D185" s="691"/>
      <c r="E185" s="685"/>
      <c r="F185" s="684"/>
      <c r="G185" s="663"/>
      <c r="H185" s="684"/>
      <c r="I185" s="675"/>
      <c r="J185" s="693"/>
    </row>
    <row r="186" spans="1:10" s="644" customFormat="1">
      <c r="A186" s="668"/>
      <c r="B186" s="664"/>
      <c r="C186" s="664"/>
      <c r="D186" s="691"/>
      <c r="E186" s="685"/>
      <c r="F186" s="684"/>
      <c r="G186" s="663"/>
      <c r="H186" s="684"/>
      <c r="I186" s="675"/>
      <c r="J186" s="693"/>
    </row>
    <row r="187" spans="1:10" s="644" customFormat="1">
      <c r="A187" s="668"/>
      <c r="B187" s="664"/>
      <c r="C187" s="664"/>
      <c r="D187" s="2162" t="s">
        <v>2833</v>
      </c>
      <c r="E187" s="2162"/>
      <c r="F187" s="2162"/>
      <c r="G187" s="2162"/>
      <c r="H187" s="2162"/>
      <c r="I187" s="2162"/>
      <c r="J187" s="2162"/>
    </row>
    <row r="188" spans="1:10" s="644" customFormat="1" ht="84" customHeight="1">
      <c r="A188" s="653">
        <f>A170+1</f>
        <v>9</v>
      </c>
      <c r="B188" s="664"/>
      <c r="C188" s="664"/>
      <c r="D188" s="2163" t="s">
        <v>2834</v>
      </c>
      <c r="E188" s="2163"/>
      <c r="F188" s="2163"/>
      <c r="G188" s="2163"/>
      <c r="H188" s="2163"/>
      <c r="I188" s="2163"/>
      <c r="J188" s="2163"/>
    </row>
    <row r="189" spans="1:10" s="644" customFormat="1">
      <c r="A189" s="668"/>
      <c r="B189" s="664"/>
      <c r="C189" s="664"/>
      <c r="D189" s="701" t="s">
        <v>2754</v>
      </c>
      <c r="E189" s="702"/>
      <c r="F189" s="703"/>
      <c r="G189" s="726"/>
      <c r="H189" s="703"/>
      <c r="I189" s="705"/>
      <c r="J189" s="706"/>
    </row>
    <row r="190" spans="1:10" s="644" customFormat="1">
      <c r="A190" s="668"/>
      <c r="B190" s="664">
        <v>1</v>
      </c>
      <c r="C190" s="664"/>
      <c r="D190" s="703" t="s">
        <v>2740</v>
      </c>
      <c r="E190" s="702">
        <v>0.2</v>
      </c>
      <c r="F190" s="707" t="s">
        <v>1738</v>
      </c>
      <c r="G190" s="726">
        <v>1</v>
      </c>
      <c r="H190" s="707" t="s">
        <v>1738</v>
      </c>
      <c r="I190" s="657">
        <f>IF(B190=$B$2,$G$2,IF(B190=$B$3,$G$3,IF(B190=$B$4,$G$4,IF(B190=$B$5,$G$5,IF(B190=$B$6,$G$6,IF(B190=$B$7,$G$7,FALSE))))))</f>
        <v>660</v>
      </c>
      <c r="J190" s="706">
        <f>SUM(E190*I190/G190)</f>
        <v>132</v>
      </c>
    </row>
    <row r="191" spans="1:10" s="644" customFormat="1">
      <c r="A191" s="668"/>
      <c r="B191" s="664">
        <v>2</v>
      </c>
      <c r="C191" s="664"/>
      <c r="D191" s="703" t="s">
        <v>2742</v>
      </c>
      <c r="E191" s="702">
        <v>0.2</v>
      </c>
      <c r="F191" s="707" t="s">
        <v>1738</v>
      </c>
      <c r="G191" s="726">
        <v>1</v>
      </c>
      <c r="H191" s="707" t="s">
        <v>1738</v>
      </c>
      <c r="I191" s="657">
        <f>IF(B191=$B$2,$G$2,IF(B191=$B$3,$G$3,IF(B191=$B$4,$G$4,IF(B191=$B$5,$G$5,IF(B191=$B$6,$G$6,IF(B191=$B$7,$G$7,FALSE))))))</f>
        <v>550</v>
      </c>
      <c r="J191" s="708">
        <f>SUM(E191*I191/G191)</f>
        <v>110</v>
      </c>
    </row>
    <row r="192" spans="1:10" s="644" customFormat="1">
      <c r="A192" s="668"/>
      <c r="B192" s="664"/>
      <c r="C192" s="664"/>
      <c r="D192" s="709" t="s">
        <v>2829</v>
      </c>
      <c r="E192" s="702"/>
      <c r="F192" s="707"/>
      <c r="G192" s="726"/>
      <c r="H192" s="707"/>
      <c r="I192" s="705"/>
      <c r="J192" s="720">
        <f>SUM(J190:J191)</f>
        <v>242</v>
      </c>
    </row>
    <row r="193" spans="1:10" s="644" customFormat="1">
      <c r="A193" s="668"/>
      <c r="B193" s="664"/>
      <c r="C193" s="664"/>
      <c r="D193" s="701" t="s">
        <v>1879</v>
      </c>
      <c r="E193" s="702"/>
      <c r="F193" s="707"/>
      <c r="G193" s="726"/>
      <c r="H193" s="707"/>
      <c r="I193" s="705"/>
      <c r="J193" s="706"/>
    </row>
    <row r="194" spans="1:10" s="644" customFormat="1" ht="25.5">
      <c r="A194" s="668"/>
      <c r="B194" s="654" t="s">
        <v>2812</v>
      </c>
      <c r="C194" s="654" t="s">
        <v>1192</v>
      </c>
      <c r="D194" s="710" t="s">
        <v>2835</v>
      </c>
      <c r="E194" s="711">
        <v>1</v>
      </c>
      <c r="F194" s="703" t="s">
        <v>1509</v>
      </c>
      <c r="G194" s="726">
        <v>1</v>
      </c>
      <c r="H194" s="703" t="s">
        <v>1509</v>
      </c>
      <c r="I194" s="705">
        <v>213</v>
      </c>
      <c r="J194" s="706">
        <f>SUM(E194*I194/G194)</f>
        <v>213</v>
      </c>
    </row>
    <row r="195" spans="1:10" s="644" customFormat="1" ht="25.5">
      <c r="A195" s="668"/>
      <c r="B195" s="654" t="s">
        <v>2814</v>
      </c>
      <c r="C195" s="654" t="s">
        <v>1192</v>
      </c>
      <c r="D195" s="710" t="s">
        <v>2836</v>
      </c>
      <c r="E195" s="711">
        <v>1</v>
      </c>
      <c r="F195" s="703" t="s">
        <v>955</v>
      </c>
      <c r="G195" s="726">
        <v>1</v>
      </c>
      <c r="H195" s="703" t="s">
        <v>1509</v>
      </c>
      <c r="I195" s="705">
        <v>213</v>
      </c>
      <c r="J195" s="706">
        <f>SUM(E195*I195/G195)</f>
        <v>213</v>
      </c>
    </row>
    <row r="196" spans="1:10" s="644" customFormat="1" ht="25.5">
      <c r="A196" s="668"/>
      <c r="B196" s="654" t="s">
        <v>2816</v>
      </c>
      <c r="C196" s="654" t="s">
        <v>1180</v>
      </c>
      <c r="D196" s="682" t="s">
        <v>2825</v>
      </c>
      <c r="E196" s="711">
        <v>2</v>
      </c>
      <c r="F196" s="703" t="s">
        <v>955</v>
      </c>
      <c r="G196" s="726">
        <v>1</v>
      </c>
      <c r="H196" s="703" t="s">
        <v>1509</v>
      </c>
      <c r="I196" s="705">
        <f>I178</f>
        <v>116</v>
      </c>
      <c r="J196" s="706">
        <f>SUM(E196*I196/G196)</f>
        <v>232</v>
      </c>
    </row>
    <row r="197" spans="1:10" s="644" customFormat="1" ht="25.5">
      <c r="A197" s="668"/>
      <c r="B197" s="654" t="s">
        <v>2816</v>
      </c>
      <c r="C197" s="661" t="s">
        <v>1188</v>
      </c>
      <c r="D197" s="646" t="s">
        <v>2826</v>
      </c>
      <c r="E197" s="711">
        <v>3</v>
      </c>
      <c r="F197" s="703" t="s">
        <v>955</v>
      </c>
      <c r="G197" s="726">
        <v>1</v>
      </c>
      <c r="H197" s="703" t="s">
        <v>1509</v>
      </c>
      <c r="I197" s="705">
        <f>I179</f>
        <v>178</v>
      </c>
      <c r="J197" s="706">
        <f>SUM(E197*I197/G197)</f>
        <v>534</v>
      </c>
    </row>
    <row r="198" spans="1:10" s="644" customFormat="1">
      <c r="A198" s="668"/>
      <c r="B198" s="664"/>
      <c r="C198" s="664"/>
      <c r="D198" s="710" t="s">
        <v>2832</v>
      </c>
      <c r="E198" s="702"/>
      <c r="F198" s="703"/>
      <c r="G198" s="726"/>
      <c r="H198" s="703"/>
      <c r="I198" s="705"/>
      <c r="J198" s="706">
        <f>SUM(J194:J197)</f>
        <v>1192</v>
      </c>
    </row>
    <row r="199" spans="1:10" s="644" customFormat="1" ht="25.5">
      <c r="A199" s="668"/>
      <c r="B199" s="664"/>
      <c r="C199" s="664"/>
      <c r="D199" s="701" t="s">
        <v>2766</v>
      </c>
      <c r="E199" s="713"/>
      <c r="F199" s="703"/>
      <c r="G199" s="727"/>
      <c r="H199" s="715"/>
      <c r="I199" s="728"/>
      <c r="J199" s="716">
        <f>ROUNDDOWN(J192+J198,0)</f>
        <v>1434</v>
      </c>
    </row>
    <row r="200" spans="1:10" s="644" customFormat="1">
      <c r="A200" s="668"/>
      <c r="B200" s="664"/>
      <c r="C200" s="664"/>
      <c r="D200" s="717" t="s">
        <v>2767</v>
      </c>
      <c r="E200" s="729"/>
      <c r="F200" s="718"/>
      <c r="G200" s="730"/>
      <c r="H200" s="718"/>
      <c r="I200" s="716"/>
      <c r="J200" s="720">
        <f>J199*E200</f>
        <v>0</v>
      </c>
    </row>
    <row r="201" spans="1:10" s="644" customFormat="1">
      <c r="A201" s="668"/>
      <c r="B201" s="664"/>
      <c r="C201" s="664"/>
      <c r="D201" s="721"/>
      <c r="E201" s="722"/>
      <c r="F201" s="718"/>
      <c r="G201" s="730"/>
      <c r="H201" s="718"/>
      <c r="I201" s="716"/>
      <c r="J201" s="720">
        <f>SUM(J199:J200)</f>
        <v>1434</v>
      </c>
    </row>
    <row r="202" spans="1:10" s="644" customFormat="1">
      <c r="A202" s="668"/>
      <c r="B202" s="664"/>
      <c r="C202" s="664"/>
      <c r="D202" s="723" t="s">
        <v>2380</v>
      </c>
      <c r="E202" s="722"/>
      <c r="F202" s="718"/>
      <c r="G202" s="730"/>
      <c r="H202" s="718"/>
      <c r="I202" s="731"/>
      <c r="J202" s="725">
        <f>ROUND(J201,0)</f>
        <v>1434</v>
      </c>
    </row>
    <row r="203" spans="1:10" s="644" customFormat="1">
      <c r="A203" s="668"/>
      <c r="B203" s="664"/>
      <c r="C203" s="664"/>
      <c r="D203" s="691"/>
      <c r="E203" s="685"/>
      <c r="F203" s="684"/>
      <c r="G203" s="663"/>
      <c r="H203" s="684"/>
      <c r="I203" s="675"/>
      <c r="J203" s="693"/>
    </row>
    <row r="204" spans="1:10" s="644" customFormat="1">
      <c r="A204" s="673"/>
      <c r="B204" s="677"/>
      <c r="C204" s="677"/>
      <c r="D204" s="2162" t="s">
        <v>2837</v>
      </c>
      <c r="E204" s="2162"/>
      <c r="F204" s="2162"/>
      <c r="G204" s="2162"/>
      <c r="H204" s="2162"/>
      <c r="I204" s="2162"/>
      <c r="J204" s="2162"/>
    </row>
    <row r="205" spans="1:10" s="644" customFormat="1" ht="69.75" customHeight="1">
      <c r="A205" s="653">
        <f>SUM(MAX($A$7:$A203),1)</f>
        <v>10</v>
      </c>
      <c r="B205" s="665"/>
      <c r="C205" s="665"/>
      <c r="D205" s="2163" t="s">
        <v>2838</v>
      </c>
      <c r="E205" s="2163"/>
      <c r="F205" s="2163"/>
      <c r="G205" s="2163"/>
      <c r="H205" s="2163"/>
      <c r="I205" s="2163"/>
      <c r="J205" s="2163"/>
    </row>
    <row r="206" spans="1:10" s="644" customFormat="1">
      <c r="A206" s="668"/>
      <c r="B206" s="654"/>
      <c r="C206" s="654"/>
      <c r="D206" s="701" t="s">
        <v>2754</v>
      </c>
      <c r="E206" s="702"/>
      <c r="F206" s="703"/>
      <c r="G206" s="726"/>
      <c r="H206" s="703"/>
      <c r="I206" s="705"/>
      <c r="J206" s="706"/>
    </row>
    <row r="207" spans="1:10" s="644" customFormat="1">
      <c r="A207" s="668"/>
      <c r="B207" s="664">
        <v>1</v>
      </c>
      <c r="C207" s="664"/>
      <c r="D207" s="703" t="s">
        <v>2740</v>
      </c>
      <c r="E207" s="702">
        <v>0.2</v>
      </c>
      <c r="F207" s="707" t="s">
        <v>1738</v>
      </c>
      <c r="G207" s="726">
        <v>1</v>
      </c>
      <c r="H207" s="707" t="s">
        <v>1738</v>
      </c>
      <c r="I207" s="657">
        <f>IF(B207=$B$2,$G$2,IF(B207=$B$3,$G$3,IF(B207=$B$4,$G$4,IF(B207=$B$5,$G$5,IF(B207=$B$6,$G$6,IF(B207=$B$7,$G$7,FALSE))))))</f>
        <v>660</v>
      </c>
      <c r="J207" s="706">
        <f>SUM(E207*I207/G207)</f>
        <v>132</v>
      </c>
    </row>
    <row r="208" spans="1:10" s="644" customFormat="1">
      <c r="A208" s="668"/>
      <c r="B208" s="664">
        <v>2</v>
      </c>
      <c r="C208" s="664"/>
      <c r="D208" s="703" t="s">
        <v>2742</v>
      </c>
      <c r="E208" s="702">
        <v>0.2</v>
      </c>
      <c r="F208" s="707" t="s">
        <v>1738</v>
      </c>
      <c r="G208" s="726">
        <v>1</v>
      </c>
      <c r="H208" s="707" t="s">
        <v>1738</v>
      </c>
      <c r="I208" s="657">
        <f>IF(B208=$B$2,$G$2,IF(B208=$B$3,$G$3,IF(B208=$B$4,$G$4,IF(B208=$B$5,$G$5,IF(B208=$B$6,$G$6,IF(B208=$B$7,$G$7,FALSE))))))</f>
        <v>550</v>
      </c>
      <c r="J208" s="708">
        <f>SUM(E208*I208/G208)</f>
        <v>110</v>
      </c>
    </row>
    <row r="209" spans="1:10" s="644" customFormat="1">
      <c r="A209" s="668"/>
      <c r="B209" s="664"/>
      <c r="C209" s="664"/>
      <c r="D209" s="709" t="s">
        <v>2829</v>
      </c>
      <c r="E209" s="702"/>
      <c r="F209" s="707"/>
      <c r="G209" s="726"/>
      <c r="H209" s="707"/>
      <c r="I209" s="705"/>
      <c r="J209" s="720">
        <f>SUM(J207:J208)</f>
        <v>242</v>
      </c>
    </row>
    <row r="210" spans="1:10" s="644" customFormat="1">
      <c r="A210" s="668"/>
      <c r="B210" s="664"/>
      <c r="C210" s="664"/>
      <c r="D210" s="701" t="s">
        <v>1879</v>
      </c>
      <c r="E210" s="702"/>
      <c r="F210" s="707"/>
      <c r="G210" s="726"/>
      <c r="H210" s="707"/>
      <c r="I210" s="705"/>
      <c r="J210" s="706"/>
    </row>
    <row r="211" spans="1:10" s="644" customFormat="1" ht="25.5">
      <c r="A211" s="668"/>
      <c r="B211" s="654" t="s">
        <v>2812</v>
      </c>
      <c r="C211" s="654" t="s">
        <v>1192</v>
      </c>
      <c r="D211" s="710" t="s">
        <v>2839</v>
      </c>
      <c r="E211" s="711">
        <v>1</v>
      </c>
      <c r="F211" s="703" t="s">
        <v>1509</v>
      </c>
      <c r="G211" s="726">
        <v>1</v>
      </c>
      <c r="H211" s="703" t="s">
        <v>1509</v>
      </c>
      <c r="I211" s="705">
        <v>258</v>
      </c>
      <c r="J211" s="706">
        <f>SUM(E211*I211/G211)</f>
        <v>258</v>
      </c>
    </row>
    <row r="212" spans="1:10" s="644" customFormat="1" ht="25.5">
      <c r="A212" s="668"/>
      <c r="B212" s="654" t="s">
        <v>2814</v>
      </c>
      <c r="C212" s="654" t="s">
        <v>1192</v>
      </c>
      <c r="D212" s="710" t="s">
        <v>2840</v>
      </c>
      <c r="E212" s="711">
        <v>1</v>
      </c>
      <c r="F212" s="703" t="s">
        <v>955</v>
      </c>
      <c r="G212" s="726">
        <v>1</v>
      </c>
      <c r="H212" s="703" t="s">
        <v>1509</v>
      </c>
      <c r="I212" s="705">
        <v>263</v>
      </c>
      <c r="J212" s="706">
        <f>SUM(E212*I212/G212)</f>
        <v>263</v>
      </c>
    </row>
    <row r="213" spans="1:10" s="644" customFormat="1" ht="25.5">
      <c r="A213" s="668"/>
      <c r="B213" s="654" t="s">
        <v>2816</v>
      </c>
      <c r="C213" s="654" t="s">
        <v>1180</v>
      </c>
      <c r="D213" s="682" t="s">
        <v>2825</v>
      </c>
      <c r="E213" s="711">
        <v>4</v>
      </c>
      <c r="F213" s="703" t="s">
        <v>955</v>
      </c>
      <c r="G213" s="726">
        <v>1</v>
      </c>
      <c r="H213" s="703" t="s">
        <v>1509</v>
      </c>
      <c r="I213" s="705">
        <f>I196</f>
        <v>116</v>
      </c>
      <c r="J213" s="706">
        <f>SUM(E213*I213/G213)</f>
        <v>464</v>
      </c>
    </row>
    <row r="214" spans="1:10" s="644" customFormat="1" ht="25.5">
      <c r="A214" s="668"/>
      <c r="B214" s="654" t="s">
        <v>2816</v>
      </c>
      <c r="C214" s="661" t="s">
        <v>1188</v>
      </c>
      <c r="D214" s="646" t="s">
        <v>2826</v>
      </c>
      <c r="E214" s="711">
        <v>4</v>
      </c>
      <c r="F214" s="703" t="s">
        <v>955</v>
      </c>
      <c r="G214" s="726">
        <v>1</v>
      </c>
      <c r="H214" s="703" t="s">
        <v>1509</v>
      </c>
      <c r="I214" s="705">
        <f>I197</f>
        <v>178</v>
      </c>
      <c r="J214" s="706">
        <f>SUM(E214*I214/G214)</f>
        <v>712</v>
      </c>
    </row>
    <row r="215" spans="1:10" s="644" customFormat="1">
      <c r="A215" s="668"/>
      <c r="B215" s="658"/>
      <c r="C215" s="658"/>
      <c r="D215" s="710" t="s">
        <v>2832</v>
      </c>
      <c r="E215" s="702"/>
      <c r="F215" s="703"/>
      <c r="G215" s="726"/>
      <c r="H215" s="703"/>
      <c r="I215" s="705"/>
      <c r="J215" s="706">
        <f>SUM(J211:J214)</f>
        <v>1697</v>
      </c>
    </row>
    <row r="216" spans="1:10" s="644" customFormat="1" ht="25.5">
      <c r="A216" s="668"/>
      <c r="B216" s="658"/>
      <c r="C216" s="658"/>
      <c r="D216" s="701" t="s">
        <v>2766</v>
      </c>
      <c r="E216" s="713"/>
      <c r="F216" s="703"/>
      <c r="G216" s="727"/>
      <c r="H216" s="715"/>
      <c r="I216" s="728"/>
      <c r="J216" s="716">
        <f>ROUNDDOWN(J209+J215,0)</f>
        <v>1939</v>
      </c>
    </row>
    <row r="217" spans="1:10" s="644" customFormat="1">
      <c r="A217" s="668"/>
      <c r="B217" s="658"/>
      <c r="C217" s="658"/>
      <c r="D217" s="717" t="s">
        <v>2767</v>
      </c>
      <c r="E217" s="729">
        <v>0.13614999999999999</v>
      </c>
      <c r="F217" s="718"/>
      <c r="G217" s="730"/>
      <c r="H217" s="718"/>
      <c r="I217" s="716"/>
      <c r="J217" s="720">
        <f>J216*E217</f>
        <v>263.99484999999999</v>
      </c>
    </row>
    <row r="218" spans="1:10" s="644" customFormat="1">
      <c r="A218" s="668"/>
      <c r="B218" s="654"/>
      <c r="C218" s="654"/>
      <c r="D218" s="721"/>
      <c r="E218" s="722"/>
      <c r="F218" s="718"/>
      <c r="G218" s="730"/>
      <c r="H218" s="718"/>
      <c r="I218" s="716"/>
      <c r="J218" s="720">
        <f>SUM(J216:J217)</f>
        <v>2202.99485</v>
      </c>
    </row>
    <row r="219" spans="1:10" s="644" customFormat="1">
      <c r="A219" s="668"/>
      <c r="B219" s="654"/>
      <c r="C219" s="654"/>
      <c r="D219" s="723" t="s">
        <v>2380</v>
      </c>
      <c r="E219" s="722"/>
      <c r="F219" s="718"/>
      <c r="G219" s="730"/>
      <c r="H219" s="718"/>
      <c r="I219" s="731"/>
      <c r="J219" s="725">
        <f>ROUND(J218,0)</f>
        <v>2203</v>
      </c>
    </row>
    <row r="220" spans="1:10" s="644" customFormat="1">
      <c r="A220" s="668"/>
      <c r="B220" s="664"/>
      <c r="C220" s="664"/>
      <c r="D220" s="691"/>
      <c r="E220" s="685"/>
      <c r="F220" s="684"/>
      <c r="G220" s="663"/>
      <c r="H220" s="684"/>
      <c r="I220" s="675"/>
      <c r="J220" s="693"/>
    </row>
    <row r="221" spans="1:10" s="644" customFormat="1">
      <c r="A221" s="673"/>
      <c r="B221" s="677"/>
      <c r="C221" s="677"/>
      <c r="D221" s="2160" t="s">
        <v>2841</v>
      </c>
      <c r="E221" s="2160"/>
      <c r="F221" s="2160"/>
      <c r="G221" s="2160"/>
      <c r="H221" s="2160"/>
      <c r="I221" s="2160"/>
      <c r="J221" s="2160"/>
    </row>
    <row r="222" spans="1:10" s="644" customFormat="1" ht="82.5" customHeight="1">
      <c r="A222" s="653">
        <f>SUM(MAX($A$7:$A220),1)</f>
        <v>11</v>
      </c>
      <c r="B222" s="665"/>
      <c r="C222" s="665"/>
      <c r="D222" s="2155" t="s">
        <v>2842</v>
      </c>
      <c r="E222" s="2155"/>
      <c r="F222" s="2155"/>
      <c r="G222" s="2155"/>
      <c r="H222" s="2155"/>
      <c r="I222" s="2155"/>
      <c r="J222" s="2155"/>
    </row>
    <row r="223" spans="1:10" s="644" customFormat="1">
      <c r="A223" s="668"/>
      <c r="B223" s="654"/>
      <c r="C223" s="654"/>
      <c r="D223" s="682" t="s">
        <v>2754</v>
      </c>
      <c r="E223" s="679"/>
      <c r="F223" s="645"/>
      <c r="G223" s="661"/>
      <c r="H223" s="645"/>
      <c r="I223" s="657"/>
      <c r="J223" s="694"/>
    </row>
    <row r="224" spans="1:10" s="644" customFormat="1">
      <c r="A224" s="668"/>
      <c r="B224" s="654">
        <v>1</v>
      </c>
      <c r="C224" s="654"/>
      <c r="D224" s="645" t="s">
        <v>2740</v>
      </c>
      <c r="E224" s="679">
        <v>0.1</v>
      </c>
      <c r="F224" s="680" t="s">
        <v>1738</v>
      </c>
      <c r="G224" s="661">
        <v>1</v>
      </c>
      <c r="H224" s="680" t="s">
        <v>1738</v>
      </c>
      <c r="I224" s="657">
        <f>IF(B224=$B$2,$G$2,IF(B224=$B$3,$G$3,IF(B224=$B$4,$G$4,IF(B224=$B$5,$G$5,IF(B224=$B$6,$G$6,IF(B224=$B$7,$G$7,FALSE))))))</f>
        <v>660</v>
      </c>
      <c r="J224" s="694">
        <f>SUM(E224*I224/G224)</f>
        <v>66</v>
      </c>
    </row>
    <row r="225" spans="1:10" s="644" customFormat="1">
      <c r="A225" s="668"/>
      <c r="B225" s="654">
        <v>2</v>
      </c>
      <c r="C225" s="654"/>
      <c r="D225" s="645" t="s">
        <v>2741</v>
      </c>
      <c r="E225" s="679">
        <v>0.1</v>
      </c>
      <c r="F225" s="680" t="s">
        <v>1738</v>
      </c>
      <c r="G225" s="661">
        <v>1</v>
      </c>
      <c r="H225" s="680" t="s">
        <v>1738</v>
      </c>
      <c r="I225" s="657">
        <f>IF(B225=$B$2,$G$2,IF(B225=$B$3,$G$3,IF(B225=$B$4,$G$4,IF(B225=$B$5,$G$5,IF(B225=$B$6,$G$6,IF(B225=$B$7,$G$7,FALSE))))))</f>
        <v>550</v>
      </c>
      <c r="J225" s="657">
        <f>SUM(E225*I225/G225)</f>
        <v>55</v>
      </c>
    </row>
    <row r="226" spans="1:10" s="644" customFormat="1">
      <c r="A226" s="668"/>
      <c r="B226" s="654">
        <v>3</v>
      </c>
      <c r="C226" s="654"/>
      <c r="D226" s="645" t="s">
        <v>2742</v>
      </c>
      <c r="E226" s="679">
        <v>0.1</v>
      </c>
      <c r="F226" s="680" t="s">
        <v>1738</v>
      </c>
      <c r="G226" s="661">
        <v>1</v>
      </c>
      <c r="H226" s="680" t="s">
        <v>1738</v>
      </c>
      <c r="I226" s="657">
        <f>IF(B226=$B$2,$G$2,IF(B226=$B$3,$G$3,IF(B226=$B$4,$G$4,IF(B226=$B$5,$G$5,IF(B226=$B$6,$G$6,IF(B226=$B$7,$G$7,FALSE))))))</f>
        <v>550</v>
      </c>
      <c r="J226" s="657">
        <f>SUM(E226*I226/G226)</f>
        <v>55</v>
      </c>
    </row>
    <row r="227" spans="1:10" s="644" customFormat="1">
      <c r="A227" s="668"/>
      <c r="B227" s="654"/>
      <c r="C227" s="654"/>
      <c r="D227" s="669" t="s">
        <v>2829</v>
      </c>
      <c r="E227" s="679"/>
      <c r="F227" s="680"/>
      <c r="G227" s="661"/>
      <c r="H227" s="680"/>
      <c r="I227" s="657"/>
      <c r="J227" s="676">
        <f>SUM(J224:J226)</f>
        <v>176</v>
      </c>
    </row>
    <row r="228" spans="1:10" s="644" customFormat="1">
      <c r="A228" s="668"/>
      <c r="B228" s="654"/>
      <c r="C228" s="654"/>
      <c r="D228" s="696" t="s">
        <v>1879</v>
      </c>
      <c r="E228" s="679"/>
      <c r="F228" s="680"/>
      <c r="G228" s="661"/>
      <c r="H228" s="680"/>
      <c r="I228" s="657"/>
      <c r="J228" s="694"/>
    </row>
    <row r="229" spans="1:10" s="644" customFormat="1" ht="25.5">
      <c r="A229" s="668"/>
      <c r="B229" s="654" t="s">
        <v>2812</v>
      </c>
      <c r="C229" s="654" t="s">
        <v>1184</v>
      </c>
      <c r="D229" s="682" t="s">
        <v>2796</v>
      </c>
      <c r="E229" s="695">
        <v>1</v>
      </c>
      <c r="F229" s="645" t="s">
        <v>1509</v>
      </c>
      <c r="G229" s="661">
        <v>1</v>
      </c>
      <c r="H229" s="645" t="s">
        <v>1509</v>
      </c>
      <c r="I229" s="679">
        <v>101</v>
      </c>
      <c r="J229" s="694">
        <f>SUM(E229*I229/G229)</f>
        <v>101</v>
      </c>
    </row>
    <row r="230" spans="1:10" s="644" customFormat="1" ht="25.5">
      <c r="A230" s="668"/>
      <c r="B230" s="654" t="s">
        <v>2814</v>
      </c>
      <c r="C230" s="654" t="s">
        <v>1184</v>
      </c>
      <c r="D230" s="682" t="s">
        <v>2798</v>
      </c>
      <c r="E230" s="695">
        <v>1</v>
      </c>
      <c r="F230" s="645" t="s">
        <v>1509</v>
      </c>
      <c r="G230" s="661">
        <v>1</v>
      </c>
      <c r="H230" s="645" t="s">
        <v>1509</v>
      </c>
      <c r="I230" s="679">
        <v>97</v>
      </c>
      <c r="J230" s="694">
        <f>SUM(E230*I230/G230)</f>
        <v>97</v>
      </c>
    </row>
    <row r="231" spans="1:10" s="644" customFormat="1" ht="25.5">
      <c r="A231" s="668"/>
      <c r="B231" s="654" t="s">
        <v>2816</v>
      </c>
      <c r="C231" s="661" t="s">
        <v>2237</v>
      </c>
      <c r="D231" s="646" t="s">
        <v>2843</v>
      </c>
      <c r="E231" s="695">
        <v>1</v>
      </c>
      <c r="F231" s="645" t="s">
        <v>1509</v>
      </c>
      <c r="G231" s="661">
        <v>1</v>
      </c>
      <c r="H231" s="645" t="s">
        <v>1509</v>
      </c>
      <c r="I231" s="679">
        <v>156</v>
      </c>
      <c r="J231" s="694">
        <f>SUM(E231*I231/G231)</f>
        <v>156</v>
      </c>
    </row>
    <row r="232" spans="1:10" s="644" customFormat="1" ht="25.5">
      <c r="A232" s="668"/>
      <c r="B232" s="661" t="s">
        <v>2816</v>
      </c>
      <c r="C232" s="661" t="s">
        <v>2430</v>
      </c>
      <c r="D232" s="646" t="s">
        <v>2844</v>
      </c>
      <c r="E232" s="695">
        <v>1</v>
      </c>
      <c r="F232" s="645" t="s">
        <v>1509</v>
      </c>
      <c r="G232" s="661">
        <v>1</v>
      </c>
      <c r="H232" s="645" t="s">
        <v>1509</v>
      </c>
      <c r="I232" s="679">
        <v>248</v>
      </c>
      <c r="J232" s="694">
        <f>SUM(E232*I232/G232)</f>
        <v>248</v>
      </c>
    </row>
    <row r="233" spans="1:10" s="644" customFormat="1">
      <c r="A233" s="668"/>
      <c r="B233" s="654"/>
      <c r="C233" s="654"/>
      <c r="D233" s="700" t="s">
        <v>2832</v>
      </c>
      <c r="E233" s="679"/>
      <c r="F233" s="645"/>
      <c r="G233" s="661"/>
      <c r="H233" s="645"/>
      <c r="I233" s="657"/>
      <c r="J233" s="676">
        <f>SUM(J229:J232)</f>
        <v>602</v>
      </c>
    </row>
    <row r="234" spans="1:10" s="644" customFormat="1" ht="25.5">
      <c r="A234" s="668"/>
      <c r="B234" s="654"/>
      <c r="C234" s="654"/>
      <c r="D234" s="656" t="s">
        <v>2766</v>
      </c>
      <c r="E234" s="681"/>
      <c r="F234" s="645"/>
      <c r="G234" s="674"/>
      <c r="H234" s="697"/>
      <c r="I234" s="657"/>
      <c r="J234" s="655">
        <f>ROUNDDOWN(J227+J233,0)</f>
        <v>778</v>
      </c>
    </row>
    <row r="235" spans="1:10" s="644" customFormat="1">
      <c r="A235" s="668"/>
      <c r="B235" s="664"/>
      <c r="C235" s="664"/>
      <c r="D235" s="669" t="s">
        <v>2767</v>
      </c>
      <c r="E235" s="670">
        <f>$E$9</f>
        <v>0</v>
      </c>
      <c r="F235" s="684"/>
      <c r="G235" s="663"/>
      <c r="H235" s="684"/>
      <c r="I235" s="672"/>
      <c r="J235" s="676">
        <f>J234*E235</f>
        <v>0</v>
      </c>
    </row>
    <row r="236" spans="1:10" s="644" customFormat="1">
      <c r="A236" s="668"/>
      <c r="B236" s="664"/>
      <c r="C236" s="664"/>
      <c r="D236" s="673"/>
      <c r="E236" s="685"/>
      <c r="F236" s="684"/>
      <c r="G236" s="663"/>
      <c r="H236" s="684"/>
      <c r="I236" s="672"/>
      <c r="J236" s="676">
        <f>SUM(J234:J235)</f>
        <v>778</v>
      </c>
    </row>
    <row r="237" spans="1:10" s="644" customFormat="1">
      <c r="A237" s="668"/>
      <c r="B237" s="664"/>
      <c r="C237" s="664"/>
      <c r="D237" s="691" t="s">
        <v>2380</v>
      </c>
      <c r="E237" s="685"/>
      <c r="F237" s="684"/>
      <c r="G237" s="663"/>
      <c r="H237" s="684"/>
      <c r="I237" s="675"/>
      <c r="J237" s="693">
        <f>ROUND(J236,0)</f>
        <v>778</v>
      </c>
    </row>
    <row r="238" spans="1:10" s="644" customFormat="1">
      <c r="A238" s="668"/>
      <c r="B238" s="664"/>
      <c r="C238" s="664"/>
      <c r="D238" s="691"/>
      <c r="E238" s="685"/>
      <c r="F238" s="684"/>
      <c r="G238" s="663"/>
      <c r="H238" s="684"/>
      <c r="I238" s="675"/>
      <c r="J238" s="693"/>
    </row>
    <row r="239" spans="1:10" s="644" customFormat="1" ht="91.5" customHeight="1">
      <c r="A239" s="653">
        <f>SUM(MAX($A$7:$A237),1)</f>
        <v>12</v>
      </c>
      <c r="B239" s="664"/>
      <c r="C239" s="664"/>
      <c r="D239" s="2163" t="s">
        <v>2845</v>
      </c>
      <c r="E239" s="2163"/>
      <c r="F239" s="2163"/>
      <c r="G239" s="2163"/>
      <c r="H239" s="2163"/>
      <c r="I239" s="2163"/>
      <c r="J239" s="2163"/>
    </row>
    <row r="240" spans="1:10" s="644" customFormat="1">
      <c r="A240" s="668"/>
      <c r="B240" s="664"/>
      <c r="C240" s="664"/>
      <c r="D240" s="715" t="s">
        <v>2785</v>
      </c>
      <c r="E240" s="702"/>
      <c r="F240" s="731"/>
      <c r="G240" s="731"/>
      <c r="H240" s="731"/>
      <c r="I240" s="705"/>
      <c r="J240" s="731"/>
    </row>
    <row r="241" spans="1:10" s="644" customFormat="1" ht="25.5">
      <c r="A241" s="668"/>
      <c r="B241" s="654" t="s">
        <v>2816</v>
      </c>
      <c r="C241" s="654" t="s">
        <v>1180</v>
      </c>
      <c r="D241" s="682" t="s">
        <v>2825</v>
      </c>
      <c r="E241" s="702">
        <v>1</v>
      </c>
      <c r="F241" s="707" t="s">
        <v>2788</v>
      </c>
      <c r="G241" s="704">
        <v>1</v>
      </c>
      <c r="H241" s="707" t="s">
        <v>2788</v>
      </c>
      <c r="I241" s="705">
        <f>I213</f>
        <v>116</v>
      </c>
      <c r="J241" s="706">
        <f t="shared" ref="J241:J246" si="1">SUM(E241*I241/G241)</f>
        <v>116</v>
      </c>
    </row>
    <row r="242" spans="1:10" s="644" customFormat="1" ht="25.5">
      <c r="A242" s="668"/>
      <c r="B242" s="654" t="s">
        <v>2816</v>
      </c>
      <c r="C242" s="661" t="s">
        <v>1188</v>
      </c>
      <c r="D242" s="646" t="s">
        <v>2826</v>
      </c>
      <c r="E242" s="702">
        <v>1</v>
      </c>
      <c r="F242" s="707" t="s">
        <v>2788</v>
      </c>
      <c r="G242" s="704">
        <v>1</v>
      </c>
      <c r="H242" s="707" t="s">
        <v>2788</v>
      </c>
      <c r="I242" s="705">
        <f>I214</f>
        <v>178</v>
      </c>
      <c r="J242" s="706">
        <f t="shared" si="1"/>
        <v>178</v>
      </c>
    </row>
    <row r="243" spans="1:10" s="644" customFormat="1" ht="25.5">
      <c r="A243" s="668"/>
      <c r="B243" s="654" t="s">
        <v>2816</v>
      </c>
      <c r="C243" s="661" t="s">
        <v>2237</v>
      </c>
      <c r="D243" s="646" t="s">
        <v>2843</v>
      </c>
      <c r="E243" s="702">
        <v>1</v>
      </c>
      <c r="F243" s="707" t="s">
        <v>2788</v>
      </c>
      <c r="G243" s="704">
        <v>1</v>
      </c>
      <c r="H243" s="707" t="s">
        <v>2788</v>
      </c>
      <c r="I243" s="705">
        <f>I231</f>
        <v>156</v>
      </c>
      <c r="J243" s="706">
        <f t="shared" si="1"/>
        <v>156</v>
      </c>
    </row>
    <row r="244" spans="1:10" s="644" customFormat="1" ht="25.5">
      <c r="A244" s="668"/>
      <c r="B244" s="661" t="s">
        <v>2816</v>
      </c>
      <c r="C244" s="661" t="s">
        <v>2430</v>
      </c>
      <c r="D244" s="646" t="s">
        <v>2844</v>
      </c>
      <c r="E244" s="702">
        <v>1</v>
      </c>
      <c r="F244" s="707" t="s">
        <v>2788</v>
      </c>
      <c r="G244" s="704">
        <v>1</v>
      </c>
      <c r="H244" s="707" t="s">
        <v>2788</v>
      </c>
      <c r="I244" s="705">
        <f>I232</f>
        <v>248</v>
      </c>
      <c r="J244" s="706">
        <f t="shared" si="1"/>
        <v>248</v>
      </c>
    </row>
    <row r="245" spans="1:10" s="644" customFormat="1" ht="25.5">
      <c r="A245" s="668"/>
      <c r="B245" s="654" t="s">
        <v>2812</v>
      </c>
      <c r="C245" s="654" t="s">
        <v>1188</v>
      </c>
      <c r="D245" s="703" t="s">
        <v>2846</v>
      </c>
      <c r="E245" s="702">
        <v>1</v>
      </c>
      <c r="F245" s="707" t="s">
        <v>2788</v>
      </c>
      <c r="G245" s="704">
        <v>1</v>
      </c>
      <c r="H245" s="707" t="s">
        <v>2788</v>
      </c>
      <c r="I245" s="705">
        <v>164</v>
      </c>
      <c r="J245" s="706">
        <f t="shared" si="1"/>
        <v>164</v>
      </c>
    </row>
    <row r="246" spans="1:10" s="644" customFormat="1" ht="25.5">
      <c r="A246" s="668"/>
      <c r="B246" s="654" t="s">
        <v>2814</v>
      </c>
      <c r="C246" s="654" t="s">
        <v>1188</v>
      </c>
      <c r="D246" s="703" t="s">
        <v>2847</v>
      </c>
      <c r="E246" s="702">
        <v>1</v>
      </c>
      <c r="F246" s="707" t="s">
        <v>2788</v>
      </c>
      <c r="G246" s="704">
        <v>1</v>
      </c>
      <c r="H246" s="707" t="s">
        <v>2788</v>
      </c>
      <c r="I246" s="705">
        <v>164</v>
      </c>
      <c r="J246" s="706">
        <f t="shared" si="1"/>
        <v>164</v>
      </c>
    </row>
    <row r="247" spans="1:10" s="644" customFormat="1">
      <c r="A247" s="668"/>
      <c r="B247" s="664"/>
      <c r="C247" s="664"/>
      <c r="D247" s="703"/>
      <c r="E247" s="702"/>
      <c r="F247" s="707"/>
      <c r="G247" s="704"/>
      <c r="H247" s="707"/>
      <c r="I247" s="705"/>
      <c r="J247" s="731"/>
    </row>
    <row r="248" spans="1:10" s="644" customFormat="1">
      <c r="A248" s="668"/>
      <c r="B248" s="664"/>
      <c r="C248" s="664"/>
      <c r="D248" s="715" t="s">
        <v>2848</v>
      </c>
      <c r="E248" s="702"/>
      <c r="F248" s="707"/>
      <c r="G248" s="704"/>
      <c r="H248" s="707"/>
      <c r="I248" s="705"/>
      <c r="J248" s="731"/>
    </row>
    <row r="249" spans="1:10" s="644" customFormat="1">
      <c r="A249" s="668"/>
      <c r="B249" s="664">
        <v>1</v>
      </c>
      <c r="C249" s="664"/>
      <c r="D249" s="703" t="s">
        <v>2849</v>
      </c>
      <c r="E249" s="702">
        <v>0.16700000000000001</v>
      </c>
      <c r="F249" s="707" t="s">
        <v>1738</v>
      </c>
      <c r="G249" s="704">
        <v>1</v>
      </c>
      <c r="H249" s="707" t="s">
        <v>1738</v>
      </c>
      <c r="I249" s="657">
        <f>IF(B249=$B$2,$G$2,IF(B249=$B$3,$G$3,IF(B249=$B$4,$G$4,IF(B249=$B$5,$G$5,IF(B249=$B$6,$G$6,IF(B249=$B$7,$G$7,FALSE))))))</f>
        <v>660</v>
      </c>
      <c r="J249" s="706">
        <f>SUM(E249*I249/G249)</f>
        <v>110.22000000000001</v>
      </c>
    </row>
    <row r="250" spans="1:10" s="644" customFormat="1">
      <c r="A250" s="668"/>
      <c r="B250" s="664">
        <v>3</v>
      </c>
      <c r="C250" s="664"/>
      <c r="D250" s="703" t="s">
        <v>2850</v>
      </c>
      <c r="E250" s="702">
        <v>0.16700000000000001</v>
      </c>
      <c r="F250" s="707" t="s">
        <v>1738</v>
      </c>
      <c r="G250" s="704">
        <v>1</v>
      </c>
      <c r="H250" s="707" t="s">
        <v>1738</v>
      </c>
      <c r="I250" s="657">
        <f>IF(B250=$B$2,$G$2,IF(B250=$B$3,$G$3,IF(B250=$B$4,$G$4,IF(B250=$B$5,$G$5,IF(B250=$B$6,$G$6,IF(B250=$B$7,$G$7,FALSE))))))</f>
        <v>550</v>
      </c>
      <c r="J250" s="706">
        <f>SUM(E250*I250/G250)</f>
        <v>91.850000000000009</v>
      </c>
    </row>
    <row r="251" spans="1:10" s="644" customFormat="1">
      <c r="A251" s="668"/>
      <c r="B251" s="664"/>
      <c r="C251" s="664"/>
      <c r="D251" s="703" t="s">
        <v>2851</v>
      </c>
      <c r="E251" s="702"/>
      <c r="F251" s="731"/>
      <c r="G251" s="731"/>
      <c r="H251" s="731"/>
      <c r="I251" s="724"/>
      <c r="J251" s="731"/>
    </row>
    <row r="252" spans="1:10" s="644" customFormat="1">
      <c r="A252" s="668"/>
      <c r="B252" s="664"/>
      <c r="C252" s="664"/>
      <c r="D252" s="703" t="s">
        <v>2852</v>
      </c>
      <c r="E252" s="702"/>
      <c r="F252" s="731"/>
      <c r="G252" s="731"/>
      <c r="H252" s="731"/>
      <c r="I252" s="724"/>
      <c r="J252" s="706">
        <f>+SUM(J241:J251)</f>
        <v>1228.07</v>
      </c>
    </row>
    <row r="253" spans="1:10" s="644" customFormat="1">
      <c r="A253" s="668"/>
      <c r="B253" s="664"/>
      <c r="C253" s="664"/>
      <c r="D253" s="717" t="s">
        <v>2744</v>
      </c>
      <c r="E253" s="670">
        <f>$E$9</f>
        <v>0</v>
      </c>
      <c r="F253" s="731"/>
      <c r="G253" s="731"/>
      <c r="H253" s="731"/>
      <c r="I253" s="724"/>
      <c r="J253" s="706">
        <f>+J252*E253</f>
        <v>0</v>
      </c>
    </row>
    <row r="254" spans="1:10" s="644" customFormat="1">
      <c r="A254" s="668"/>
      <c r="B254" s="664"/>
      <c r="C254" s="664"/>
      <c r="D254" s="717"/>
      <c r="E254" s="731"/>
      <c r="F254" s="731"/>
      <c r="G254" s="731"/>
      <c r="H254" s="731"/>
      <c r="I254" s="724"/>
      <c r="J254" s="706">
        <f>+SUM(J252:J253)</f>
        <v>1228.07</v>
      </c>
    </row>
    <row r="255" spans="1:10" s="644" customFormat="1">
      <c r="A255" s="668"/>
      <c r="B255" s="664"/>
      <c r="C255" s="664"/>
      <c r="D255" s="691" t="s">
        <v>2380</v>
      </c>
      <c r="E255" s="731"/>
      <c r="F255" s="731"/>
      <c r="G255" s="731"/>
      <c r="H255" s="731"/>
      <c r="I255" s="724"/>
      <c r="J255" s="720">
        <f>+ROUND(J254,0)</f>
        <v>1228</v>
      </c>
    </row>
    <row r="256" spans="1:10" s="644" customFormat="1">
      <c r="A256" s="668"/>
      <c r="B256" s="664"/>
      <c r="C256" s="664"/>
      <c r="D256" s="691"/>
      <c r="E256" s="685"/>
      <c r="F256" s="684"/>
      <c r="G256" s="663"/>
      <c r="H256" s="684"/>
      <c r="I256" s="675"/>
      <c r="J256" s="693"/>
    </row>
    <row r="257" spans="1:10" s="644" customFormat="1">
      <c r="A257" s="653">
        <f>SUM(MAX($A$7:$A255),1)</f>
        <v>13</v>
      </c>
      <c r="B257" s="664"/>
      <c r="C257" s="664"/>
      <c r="D257" s="2163" t="s">
        <v>2853</v>
      </c>
      <c r="E257" s="2163"/>
      <c r="F257" s="2163"/>
      <c r="G257" s="2163"/>
      <c r="H257" s="2163"/>
      <c r="I257" s="2163"/>
      <c r="J257" s="2163"/>
    </row>
    <row r="258" spans="1:10" s="644" customFormat="1">
      <c r="A258" s="668"/>
      <c r="B258" s="664"/>
      <c r="C258" s="664"/>
      <c r="D258" s="703" t="s">
        <v>2854</v>
      </c>
      <c r="E258" s="702"/>
      <c r="F258" s="731"/>
      <c r="G258" s="731"/>
      <c r="H258" s="731"/>
      <c r="I258" s="705"/>
      <c r="J258" s="731"/>
    </row>
    <row r="259" spans="1:10" s="644" customFormat="1">
      <c r="A259" s="668"/>
      <c r="B259" s="664"/>
      <c r="C259" s="664"/>
      <c r="D259" s="715" t="s">
        <v>2785</v>
      </c>
      <c r="E259" s="702"/>
      <c r="F259" s="731"/>
      <c r="G259" s="731"/>
      <c r="H259" s="731"/>
      <c r="I259" s="705"/>
      <c r="J259" s="731"/>
    </row>
    <row r="260" spans="1:10" s="644" customFormat="1" ht="25.5">
      <c r="A260" s="668"/>
      <c r="B260" s="654" t="s">
        <v>2816</v>
      </c>
      <c r="C260" s="654" t="s">
        <v>1180</v>
      </c>
      <c r="D260" s="682" t="s">
        <v>2825</v>
      </c>
      <c r="E260" s="702">
        <v>3</v>
      </c>
      <c r="F260" s="707" t="s">
        <v>2788</v>
      </c>
      <c r="G260" s="704">
        <v>1</v>
      </c>
      <c r="H260" s="707" t="s">
        <v>2788</v>
      </c>
      <c r="I260" s="705">
        <f>I241</f>
        <v>116</v>
      </c>
      <c r="J260" s="706">
        <f t="shared" ref="J260:J265" si="2">SUM(E260*I260/G260)</f>
        <v>348</v>
      </c>
    </row>
    <row r="261" spans="1:10" s="644" customFormat="1" ht="25.5">
      <c r="A261" s="668"/>
      <c r="B261" s="654" t="s">
        <v>2816</v>
      </c>
      <c r="C261" s="661" t="s">
        <v>1188</v>
      </c>
      <c r="D261" s="646" t="s">
        <v>2826</v>
      </c>
      <c r="E261" s="702">
        <v>3</v>
      </c>
      <c r="F261" s="707" t="s">
        <v>2788</v>
      </c>
      <c r="G261" s="704">
        <v>1</v>
      </c>
      <c r="H261" s="707" t="s">
        <v>2788</v>
      </c>
      <c r="I261" s="705">
        <f>I242</f>
        <v>178</v>
      </c>
      <c r="J261" s="706">
        <f t="shared" si="2"/>
        <v>534</v>
      </c>
    </row>
    <row r="262" spans="1:10" s="644" customFormat="1" ht="25.5">
      <c r="A262" s="668"/>
      <c r="B262" s="654" t="s">
        <v>2816</v>
      </c>
      <c r="C262" s="661" t="s">
        <v>2237</v>
      </c>
      <c r="D262" s="646" t="s">
        <v>2843</v>
      </c>
      <c r="E262" s="702">
        <v>1</v>
      </c>
      <c r="F262" s="707" t="s">
        <v>2788</v>
      </c>
      <c r="G262" s="704">
        <v>1</v>
      </c>
      <c r="H262" s="707" t="s">
        <v>2788</v>
      </c>
      <c r="I262" s="705">
        <f>I243</f>
        <v>156</v>
      </c>
      <c r="J262" s="706">
        <f t="shared" si="2"/>
        <v>156</v>
      </c>
    </row>
    <row r="263" spans="1:10" s="644" customFormat="1" ht="25.5">
      <c r="A263" s="668"/>
      <c r="B263" s="661" t="s">
        <v>2816</v>
      </c>
      <c r="C263" s="661" t="s">
        <v>2430</v>
      </c>
      <c r="D263" s="646" t="s">
        <v>2844</v>
      </c>
      <c r="E263" s="702">
        <v>1</v>
      </c>
      <c r="F263" s="707" t="s">
        <v>2788</v>
      </c>
      <c r="G263" s="704">
        <v>1</v>
      </c>
      <c r="H263" s="707" t="s">
        <v>2788</v>
      </c>
      <c r="I263" s="705">
        <f>I244</f>
        <v>248</v>
      </c>
      <c r="J263" s="706">
        <f t="shared" si="2"/>
        <v>248</v>
      </c>
    </row>
    <row r="264" spans="1:10" s="644" customFormat="1" ht="25.5">
      <c r="A264" s="668"/>
      <c r="B264" s="654" t="s">
        <v>2812</v>
      </c>
      <c r="C264" s="654" t="s">
        <v>1197</v>
      </c>
      <c r="D264" s="703" t="s">
        <v>2855</v>
      </c>
      <c r="E264" s="702">
        <v>1</v>
      </c>
      <c r="F264" s="707" t="s">
        <v>2788</v>
      </c>
      <c r="G264" s="704">
        <v>1</v>
      </c>
      <c r="H264" s="707" t="s">
        <v>2788</v>
      </c>
      <c r="I264" s="705">
        <v>258</v>
      </c>
      <c r="J264" s="706">
        <f t="shared" si="2"/>
        <v>258</v>
      </c>
    </row>
    <row r="265" spans="1:10" s="644" customFormat="1" ht="25.5">
      <c r="A265" s="668"/>
      <c r="B265" s="654" t="s">
        <v>2814</v>
      </c>
      <c r="C265" s="654" t="s">
        <v>1197</v>
      </c>
      <c r="D265" s="703" t="s">
        <v>2856</v>
      </c>
      <c r="E265" s="702">
        <v>1</v>
      </c>
      <c r="F265" s="707" t="s">
        <v>2788</v>
      </c>
      <c r="G265" s="704">
        <v>1</v>
      </c>
      <c r="H265" s="707" t="s">
        <v>2788</v>
      </c>
      <c r="I265" s="705">
        <v>263</v>
      </c>
      <c r="J265" s="706">
        <f t="shared" si="2"/>
        <v>263</v>
      </c>
    </row>
    <row r="266" spans="1:10" s="644" customFormat="1">
      <c r="A266" s="668"/>
      <c r="B266" s="664"/>
      <c r="C266" s="664"/>
      <c r="D266" s="703"/>
      <c r="E266" s="702"/>
      <c r="F266" s="707"/>
      <c r="G266" s="704"/>
      <c r="H266" s="707"/>
      <c r="I266" s="705"/>
      <c r="J266" s="731"/>
    </row>
    <row r="267" spans="1:10" s="644" customFormat="1">
      <c r="A267" s="668"/>
      <c r="B267" s="664"/>
      <c r="C267" s="664"/>
      <c r="D267" s="715" t="s">
        <v>2848</v>
      </c>
      <c r="E267" s="702"/>
      <c r="F267" s="707"/>
      <c r="G267" s="704"/>
      <c r="H267" s="707"/>
      <c r="I267" s="705"/>
      <c r="J267" s="731"/>
    </row>
    <row r="268" spans="1:10" s="644" customFormat="1">
      <c r="A268" s="668"/>
      <c r="B268" s="664">
        <v>1</v>
      </c>
      <c r="C268" s="664"/>
      <c r="D268" s="703" t="s">
        <v>2849</v>
      </c>
      <c r="E268" s="702">
        <v>0.3</v>
      </c>
      <c r="F268" s="707" t="s">
        <v>1738</v>
      </c>
      <c r="G268" s="704">
        <v>1</v>
      </c>
      <c r="H268" s="707" t="s">
        <v>1738</v>
      </c>
      <c r="I268" s="657">
        <f>IF(B268=$B$2,$G$2,IF(B268=$B$3,$G$3,IF(B268=$B$4,$G$4,IF(B268=$B$5,$G$5,IF(B268=$B$6,$G$6,IF(B268=$B$7,$G$7,FALSE))))))</f>
        <v>660</v>
      </c>
      <c r="J268" s="706">
        <f>SUM(E268*I268/G268)</f>
        <v>198</v>
      </c>
    </row>
    <row r="269" spans="1:10" s="644" customFormat="1">
      <c r="A269" s="668"/>
      <c r="B269" s="664">
        <v>3</v>
      </c>
      <c r="C269" s="664"/>
      <c r="D269" s="703" t="s">
        <v>2850</v>
      </c>
      <c r="E269" s="702">
        <v>0.3</v>
      </c>
      <c r="F269" s="707" t="s">
        <v>1738</v>
      </c>
      <c r="G269" s="704">
        <v>1</v>
      </c>
      <c r="H269" s="707" t="s">
        <v>1738</v>
      </c>
      <c r="I269" s="657">
        <f>IF(B269=$B$2,$G$2,IF(B269=$B$3,$G$3,IF(B269=$B$4,$G$4,IF(B269=$B$5,$G$5,IF(B269=$B$6,$G$6,IF(B269=$B$7,$G$7,FALSE))))))</f>
        <v>550</v>
      </c>
      <c r="J269" s="706">
        <f>SUM(E269*I269/G269)</f>
        <v>165</v>
      </c>
    </row>
    <row r="270" spans="1:10" s="644" customFormat="1">
      <c r="A270" s="668"/>
      <c r="B270" s="664"/>
      <c r="C270" s="664"/>
      <c r="D270" s="703" t="s">
        <v>2851</v>
      </c>
      <c r="E270" s="702"/>
      <c r="F270" s="731"/>
      <c r="G270" s="731"/>
      <c r="H270" s="731"/>
      <c r="I270" s="724"/>
      <c r="J270" s="731"/>
    </row>
    <row r="271" spans="1:10" s="644" customFormat="1">
      <c r="A271" s="668"/>
      <c r="B271" s="664"/>
      <c r="C271" s="664"/>
      <c r="D271" s="703" t="s">
        <v>2852</v>
      </c>
      <c r="E271" s="702"/>
      <c r="F271" s="731"/>
      <c r="G271" s="731"/>
      <c r="H271" s="731"/>
      <c r="I271" s="724"/>
      <c r="J271" s="706">
        <f>+SUM(J260:J270)</f>
        <v>2170</v>
      </c>
    </row>
    <row r="272" spans="1:10" s="644" customFormat="1">
      <c r="A272" s="668"/>
      <c r="B272" s="664"/>
      <c r="C272" s="664"/>
      <c r="D272" s="717" t="s">
        <v>2744</v>
      </c>
      <c r="E272" s="670">
        <f>$E$9</f>
        <v>0</v>
      </c>
      <c r="F272" s="731"/>
      <c r="G272" s="731"/>
      <c r="H272" s="731"/>
      <c r="I272" s="724"/>
      <c r="J272" s="706">
        <f>+J271*E272</f>
        <v>0</v>
      </c>
    </row>
    <row r="273" spans="1:10" s="644" customFormat="1">
      <c r="A273" s="668"/>
      <c r="B273" s="664"/>
      <c r="C273" s="664"/>
      <c r="D273" s="717"/>
      <c r="E273" s="731"/>
      <c r="F273" s="731"/>
      <c r="G273" s="731"/>
      <c r="H273" s="731"/>
      <c r="I273" s="724"/>
      <c r="J273" s="706">
        <f>+SUM(J271:J272)</f>
        <v>2170</v>
      </c>
    </row>
    <row r="274" spans="1:10" s="644" customFormat="1">
      <c r="A274" s="668"/>
      <c r="B274" s="664"/>
      <c r="C274" s="664"/>
      <c r="D274" s="691" t="s">
        <v>2380</v>
      </c>
      <c r="E274" s="731"/>
      <c r="F274" s="731"/>
      <c r="G274" s="731"/>
      <c r="H274" s="731"/>
      <c r="I274" s="724"/>
      <c r="J274" s="720">
        <f>+ROUND(J273,0)</f>
        <v>2170</v>
      </c>
    </row>
    <row r="275" spans="1:10" s="644" customFormat="1">
      <c r="A275" s="668"/>
      <c r="B275" s="664"/>
      <c r="C275" s="664"/>
      <c r="D275" s="691"/>
      <c r="E275" s="685"/>
      <c r="F275" s="684"/>
      <c r="G275" s="663"/>
      <c r="H275" s="684"/>
      <c r="I275" s="675"/>
      <c r="J275" s="693"/>
    </row>
    <row r="276" spans="1:10" s="644" customFormat="1">
      <c r="A276" s="668" t="s">
        <v>2857</v>
      </c>
      <c r="B276" s="664"/>
      <c r="C276" s="664"/>
      <c r="D276" s="2161" t="s">
        <v>2858</v>
      </c>
      <c r="E276" s="2161"/>
      <c r="F276" s="2161"/>
      <c r="G276" s="2161"/>
      <c r="H276" s="2161"/>
      <c r="I276" s="2161"/>
      <c r="J276" s="2161"/>
    </row>
    <row r="277" spans="1:10" s="644" customFormat="1" ht="92.25" customHeight="1">
      <c r="A277" s="653">
        <f>SUM(MAX($A$7:$A276),1)</f>
        <v>14</v>
      </c>
      <c r="B277" s="665"/>
      <c r="C277" s="665"/>
      <c r="D277" s="2155" t="s">
        <v>2859</v>
      </c>
      <c r="E277" s="2155"/>
      <c r="F277" s="2155"/>
      <c r="G277" s="2155"/>
      <c r="H277" s="2155"/>
      <c r="I277" s="2155"/>
      <c r="J277" s="2155"/>
    </row>
    <row r="278" spans="1:10" s="644" customFormat="1">
      <c r="A278" s="668"/>
      <c r="B278" s="654"/>
      <c r="C278" s="654"/>
      <c r="D278" s="682" t="s">
        <v>2754</v>
      </c>
      <c r="E278" s="679"/>
      <c r="F278" s="645"/>
      <c r="G278" s="661"/>
      <c r="H278" s="645"/>
      <c r="I278" s="657"/>
      <c r="J278" s="694"/>
    </row>
    <row r="279" spans="1:10" s="644" customFormat="1">
      <c r="A279" s="668"/>
      <c r="B279" s="654">
        <v>1</v>
      </c>
      <c r="C279" s="654"/>
      <c r="D279" s="645" t="s">
        <v>2740</v>
      </c>
      <c r="E279" s="679">
        <v>0.34</v>
      </c>
      <c r="F279" s="680" t="s">
        <v>1738</v>
      </c>
      <c r="G279" s="661">
        <v>1</v>
      </c>
      <c r="H279" s="680" t="s">
        <v>1738</v>
      </c>
      <c r="I279" s="657">
        <f>IF(B279=$B$2,$G$2,IF(B279=$B$3,$G$3,IF(B279=$B$4,$G$4,IF(B279=$B$5,$G$5,IF(B279=$B$6,$G$6,IF(B279=$B$7,$G$7,FALSE))))))</f>
        <v>660</v>
      </c>
      <c r="J279" s="694">
        <f>SUM(E279*I279/G279)</f>
        <v>224.4</v>
      </c>
    </row>
    <row r="280" spans="1:10" s="644" customFormat="1">
      <c r="A280" s="668"/>
      <c r="B280" s="654">
        <v>2</v>
      </c>
      <c r="C280" s="654"/>
      <c r="D280" s="645" t="s">
        <v>2741</v>
      </c>
      <c r="E280" s="679">
        <v>0.7</v>
      </c>
      <c r="F280" s="680" t="s">
        <v>1738</v>
      </c>
      <c r="G280" s="661">
        <v>1</v>
      </c>
      <c r="H280" s="680" t="s">
        <v>1738</v>
      </c>
      <c r="I280" s="657">
        <f>IF(B280=$B$2,$G$2,IF(B280=$B$3,$G$3,IF(B280=$B$4,$G$4,IF(B280=$B$5,$G$5,IF(B280=$B$6,$G$6,IF(B280=$B$7,$G$7,FALSE))))))</f>
        <v>550</v>
      </c>
      <c r="J280" s="694">
        <f>SUM(E280*I280/G280)</f>
        <v>385</v>
      </c>
    </row>
    <row r="281" spans="1:10" s="644" customFormat="1">
      <c r="A281" s="668"/>
      <c r="B281" s="654">
        <v>3</v>
      </c>
      <c r="C281" s="654"/>
      <c r="D281" s="645" t="s">
        <v>2742</v>
      </c>
      <c r="E281" s="679">
        <v>0.34</v>
      </c>
      <c r="F281" s="680" t="s">
        <v>1738</v>
      </c>
      <c r="G281" s="661">
        <v>1</v>
      </c>
      <c r="H281" s="680" t="s">
        <v>1738</v>
      </c>
      <c r="I281" s="657">
        <f>IF(B281=$B$2,$G$2,IF(B281=$B$3,$G$3,IF(B281=$B$4,$G$4,IF(B281=$B$5,$G$5,IF(B281=$B$6,$G$6,IF(B281=$B$7,$G$7,FALSE))))))</f>
        <v>550</v>
      </c>
      <c r="J281" s="657">
        <f>SUM(E281*I281/G281)</f>
        <v>187</v>
      </c>
    </row>
    <row r="282" spans="1:10" s="644" customFormat="1">
      <c r="A282" s="668"/>
      <c r="B282" s="654"/>
      <c r="C282" s="654"/>
      <c r="D282" s="682" t="s">
        <v>2860</v>
      </c>
      <c r="E282" s="679"/>
      <c r="F282" s="680"/>
      <c r="G282" s="661"/>
      <c r="H282" s="680"/>
      <c r="I282" s="657"/>
      <c r="J282" s="694">
        <f>SUM(J279:J281)</f>
        <v>796.4</v>
      </c>
    </row>
    <row r="283" spans="1:10" s="644" customFormat="1">
      <c r="A283" s="668"/>
      <c r="B283" s="654"/>
      <c r="C283" s="654"/>
      <c r="D283" s="682" t="s">
        <v>2861</v>
      </c>
      <c r="E283" s="695"/>
      <c r="F283" s="680"/>
      <c r="G283" s="661"/>
      <c r="H283" s="680"/>
      <c r="I283" s="657"/>
      <c r="J283" s="676">
        <f>SUM(J282/100)</f>
        <v>7.9639999999999995</v>
      </c>
    </row>
    <row r="284" spans="1:10" s="644" customFormat="1">
      <c r="A284" s="668"/>
      <c r="B284" s="654"/>
      <c r="C284" s="654"/>
      <c r="D284" s="696" t="s">
        <v>1879</v>
      </c>
      <c r="E284" s="679"/>
      <c r="F284" s="680"/>
      <c r="G284" s="661"/>
      <c r="H284" s="680"/>
      <c r="I284" s="657"/>
      <c r="J284" s="694"/>
    </row>
    <row r="285" spans="1:10" s="644" customFormat="1" ht="51">
      <c r="A285" s="668"/>
      <c r="B285" s="654" t="s">
        <v>2818</v>
      </c>
      <c r="C285" s="661" t="s">
        <v>1180</v>
      </c>
      <c r="D285" s="682" t="s">
        <v>2862</v>
      </c>
      <c r="E285" s="679">
        <v>100</v>
      </c>
      <c r="F285" s="645" t="s">
        <v>2805</v>
      </c>
      <c r="G285" s="661">
        <v>100</v>
      </c>
      <c r="H285" s="645" t="s">
        <v>2805</v>
      </c>
      <c r="I285" s="679">
        <v>2187</v>
      </c>
      <c r="J285" s="694">
        <f>SUM(E285*I285/G285)</f>
        <v>2187</v>
      </c>
    </row>
    <row r="286" spans="1:10" s="644" customFormat="1">
      <c r="A286" s="668"/>
      <c r="B286" s="654"/>
      <c r="C286" s="654"/>
      <c r="D286" s="682" t="s">
        <v>2863</v>
      </c>
      <c r="E286" s="679"/>
      <c r="F286" s="645"/>
      <c r="G286" s="661"/>
      <c r="H286" s="645"/>
      <c r="I286" s="657"/>
      <c r="J286" s="694">
        <f>SUM(J285:J285)</f>
        <v>2187</v>
      </c>
    </row>
    <row r="287" spans="1:10" s="644" customFormat="1" ht="25.5">
      <c r="A287" s="668"/>
      <c r="B287" s="654"/>
      <c r="C287" s="654"/>
      <c r="D287" s="682" t="s">
        <v>2864</v>
      </c>
      <c r="E287" s="679"/>
      <c r="F287" s="645"/>
      <c r="G287" s="661"/>
      <c r="H287" s="645"/>
      <c r="I287" s="657"/>
      <c r="J287" s="694">
        <f>SUM(J286/100)</f>
        <v>21.87</v>
      </c>
    </row>
    <row r="288" spans="1:10" s="644" customFormat="1" ht="25.5">
      <c r="A288" s="668"/>
      <c r="B288" s="654"/>
      <c r="C288" s="654"/>
      <c r="D288" s="656" t="s">
        <v>2766</v>
      </c>
      <c r="E288" s="679"/>
      <c r="F288" s="645"/>
      <c r="G288" s="661"/>
      <c r="H288" s="645"/>
      <c r="I288" s="657"/>
      <c r="J288" s="655">
        <f>ROUNDDOWN(J283+J287,1)</f>
        <v>29.8</v>
      </c>
    </row>
    <row r="289" spans="1:10" s="644" customFormat="1">
      <c r="A289" s="668"/>
      <c r="B289" s="664"/>
      <c r="C289" s="664"/>
      <c r="D289" s="669" t="s">
        <v>2767</v>
      </c>
      <c r="E289" s="670">
        <f>$E$9</f>
        <v>0</v>
      </c>
      <c r="F289" s="684"/>
      <c r="G289" s="663"/>
      <c r="H289" s="684"/>
      <c r="I289" s="672"/>
      <c r="J289" s="676">
        <f>J288*E289</f>
        <v>0</v>
      </c>
    </row>
    <row r="290" spans="1:10" s="644" customFormat="1">
      <c r="A290" s="668"/>
      <c r="B290" s="664"/>
      <c r="C290" s="664"/>
      <c r="D290" s="673"/>
      <c r="E290" s="685"/>
      <c r="F290" s="684"/>
      <c r="G290" s="663"/>
      <c r="H290" s="684"/>
      <c r="I290" s="672"/>
      <c r="J290" s="676">
        <f>SUM(J288:J289)</f>
        <v>29.8</v>
      </c>
    </row>
    <row r="291" spans="1:10" s="644" customFormat="1">
      <c r="A291" s="668"/>
      <c r="B291" s="664"/>
      <c r="C291" s="664"/>
      <c r="D291" s="691" t="s">
        <v>2768</v>
      </c>
      <c r="E291" s="685"/>
      <c r="F291" s="684"/>
      <c r="G291" s="663"/>
      <c r="H291" s="684"/>
      <c r="I291" s="675"/>
      <c r="J291" s="693">
        <f>ROUND(J290,0)</f>
        <v>30</v>
      </c>
    </row>
    <row r="292" spans="1:10" s="644" customFormat="1">
      <c r="A292" s="668"/>
      <c r="B292" s="677"/>
      <c r="C292" s="677"/>
      <c r="D292" s="678"/>
      <c r="E292" s="677"/>
      <c r="F292" s="677"/>
      <c r="G292" s="677"/>
      <c r="H292" s="677"/>
      <c r="I292" s="675"/>
      <c r="J292" s="677"/>
    </row>
    <row r="293" spans="1:10" s="644" customFormat="1" ht="87.75" customHeight="1">
      <c r="A293" s="653"/>
      <c r="B293" s="665"/>
      <c r="C293" s="665"/>
      <c r="D293" s="2155" t="s">
        <v>2865</v>
      </c>
      <c r="E293" s="2155"/>
      <c r="F293" s="2155"/>
      <c r="G293" s="2155"/>
      <c r="H293" s="2155"/>
      <c r="I293" s="2155"/>
      <c r="J293" s="2155"/>
    </row>
    <row r="294" spans="1:10" s="644" customFormat="1">
      <c r="A294" s="668"/>
      <c r="B294" s="654"/>
      <c r="C294" s="654"/>
      <c r="D294" s="682" t="s">
        <v>2754</v>
      </c>
      <c r="E294" s="679"/>
      <c r="F294" s="645"/>
      <c r="G294" s="661"/>
      <c r="H294" s="645"/>
      <c r="I294" s="657"/>
      <c r="J294" s="694"/>
    </row>
    <row r="295" spans="1:10" s="644" customFormat="1">
      <c r="A295" s="668"/>
      <c r="B295" s="654">
        <v>1</v>
      </c>
      <c r="C295" s="654"/>
      <c r="D295" s="645" t="s">
        <v>2740</v>
      </c>
      <c r="E295" s="679">
        <v>1</v>
      </c>
      <c r="F295" s="680" t="s">
        <v>1738</v>
      </c>
      <c r="G295" s="661">
        <v>1</v>
      </c>
      <c r="H295" s="680" t="s">
        <v>1738</v>
      </c>
      <c r="I295" s="657">
        <f>IF(B295=$B$2,$G$2,IF(B295=$B$3,$G$3,IF(B295=$B$4,$G$4,IF(B295=$B$5,$G$5,IF(B295=$B$6,$G$6,IF(B295=$B$7,$G$7,FALSE))))))</f>
        <v>660</v>
      </c>
      <c r="J295" s="694">
        <f>SUM(E295*I295/G295)</f>
        <v>660</v>
      </c>
    </row>
    <row r="296" spans="1:10" s="644" customFormat="1">
      <c r="A296" s="668"/>
      <c r="B296" s="654">
        <v>2</v>
      </c>
      <c r="C296" s="654"/>
      <c r="D296" s="645" t="s">
        <v>2741</v>
      </c>
      <c r="E296" s="679">
        <v>2.5</v>
      </c>
      <c r="F296" s="680" t="s">
        <v>1738</v>
      </c>
      <c r="G296" s="661">
        <v>1</v>
      </c>
      <c r="H296" s="680" t="s">
        <v>1738</v>
      </c>
      <c r="I296" s="657">
        <f>IF(B296=$B$2,$G$2,IF(B296=$B$3,$G$3,IF(B296=$B$4,$G$4,IF(B296=$B$5,$G$5,IF(B296=$B$6,$G$6,IF(B296=$B$7,$G$7,FALSE))))))</f>
        <v>550</v>
      </c>
      <c r="J296" s="694">
        <f>SUM(E296*I296/G296)</f>
        <v>1375</v>
      </c>
    </row>
    <row r="297" spans="1:10" s="644" customFormat="1">
      <c r="A297" s="668"/>
      <c r="B297" s="654">
        <v>3</v>
      </c>
      <c r="C297" s="654"/>
      <c r="D297" s="645" t="s">
        <v>2742</v>
      </c>
      <c r="E297" s="679">
        <v>1</v>
      </c>
      <c r="F297" s="680" t="s">
        <v>1738</v>
      </c>
      <c r="G297" s="661">
        <v>1</v>
      </c>
      <c r="H297" s="680" t="s">
        <v>1738</v>
      </c>
      <c r="I297" s="657">
        <f>IF(B297=$B$2,$G$2,IF(B297=$B$3,$G$3,IF(B297=$B$4,$G$4,IF(B297=$B$5,$G$5,IF(B297=$B$6,$G$6,IF(B297=$B$7,$G$7,FALSE))))))</f>
        <v>550</v>
      </c>
      <c r="J297" s="657">
        <f>SUM(E297*I297/G297)</f>
        <v>550</v>
      </c>
    </row>
    <row r="298" spans="1:10" s="644" customFormat="1">
      <c r="A298" s="668"/>
      <c r="B298" s="654"/>
      <c r="C298" s="654"/>
      <c r="D298" s="682" t="s">
        <v>2860</v>
      </c>
      <c r="E298" s="679"/>
      <c r="F298" s="680"/>
      <c r="G298" s="661"/>
      <c r="H298" s="680"/>
      <c r="I298" s="657"/>
      <c r="J298" s="694">
        <f>SUM(J295:J297)</f>
        <v>2585</v>
      </c>
    </row>
    <row r="299" spans="1:10" s="644" customFormat="1">
      <c r="A299" s="668"/>
      <c r="B299" s="654"/>
      <c r="C299" s="654"/>
      <c r="D299" s="682" t="s">
        <v>2861</v>
      </c>
      <c r="E299" s="695"/>
      <c r="F299" s="680"/>
      <c r="G299" s="661"/>
      <c r="H299" s="680"/>
      <c r="I299" s="657"/>
      <c r="J299" s="676">
        <f>SUM(J298/100)</f>
        <v>25.85</v>
      </c>
    </row>
    <row r="300" spans="1:10" s="644" customFormat="1">
      <c r="A300" s="668"/>
      <c r="B300" s="654"/>
      <c r="C300" s="654"/>
      <c r="D300" s="696" t="s">
        <v>1879</v>
      </c>
      <c r="E300" s="679"/>
      <c r="F300" s="680"/>
      <c r="G300" s="661"/>
      <c r="H300" s="680"/>
      <c r="I300" s="657"/>
      <c r="J300" s="694"/>
    </row>
    <row r="301" spans="1:10" s="644" customFormat="1" ht="51">
      <c r="A301" s="668"/>
      <c r="B301" s="654" t="s">
        <v>2818</v>
      </c>
      <c r="C301" s="661" t="s">
        <v>1180</v>
      </c>
      <c r="D301" s="682" t="s">
        <v>2862</v>
      </c>
      <c r="E301" s="679">
        <v>300</v>
      </c>
      <c r="F301" s="645" t="s">
        <v>2805</v>
      </c>
      <c r="G301" s="661">
        <v>100</v>
      </c>
      <c r="H301" s="645" t="s">
        <v>2805</v>
      </c>
      <c r="I301" s="679">
        <f>I285</f>
        <v>2187</v>
      </c>
      <c r="J301" s="694">
        <f>SUM(E301*I301/G301)</f>
        <v>6561</v>
      </c>
    </row>
    <row r="302" spans="1:10" s="644" customFormat="1">
      <c r="A302" s="668"/>
      <c r="B302" s="654"/>
      <c r="C302" s="654"/>
      <c r="D302" s="682" t="s">
        <v>2863</v>
      </c>
      <c r="E302" s="679"/>
      <c r="F302" s="645"/>
      <c r="G302" s="661"/>
      <c r="H302" s="645"/>
      <c r="I302" s="657"/>
      <c r="J302" s="694">
        <f>SUM(J301:J301)</f>
        <v>6561</v>
      </c>
    </row>
    <row r="303" spans="1:10" s="644" customFormat="1" ht="25.5">
      <c r="A303" s="668"/>
      <c r="B303" s="654"/>
      <c r="C303" s="654"/>
      <c r="D303" s="682" t="s">
        <v>2864</v>
      </c>
      <c r="E303" s="679"/>
      <c r="F303" s="645"/>
      <c r="G303" s="661"/>
      <c r="H303" s="645"/>
      <c r="I303" s="657"/>
      <c r="J303" s="694">
        <f>SUM(J302/100)</f>
        <v>65.61</v>
      </c>
    </row>
    <row r="304" spans="1:10" s="644" customFormat="1" ht="25.5">
      <c r="A304" s="668"/>
      <c r="B304" s="654"/>
      <c r="C304" s="654"/>
      <c r="D304" s="656" t="s">
        <v>2766</v>
      </c>
      <c r="E304" s="679"/>
      <c r="F304" s="645"/>
      <c r="G304" s="661"/>
      <c r="H304" s="645"/>
      <c r="I304" s="657"/>
      <c r="J304" s="655">
        <f>ROUNDDOWN(J299+J303,1)</f>
        <v>91.4</v>
      </c>
    </row>
    <row r="305" spans="1:10" s="644" customFormat="1">
      <c r="A305" s="668"/>
      <c r="B305" s="664"/>
      <c r="C305" s="664"/>
      <c r="D305" s="669" t="s">
        <v>2767</v>
      </c>
      <c r="E305" s="670">
        <f>$E$9</f>
        <v>0</v>
      </c>
      <c r="F305" s="684"/>
      <c r="G305" s="663"/>
      <c r="H305" s="684"/>
      <c r="I305" s="672"/>
      <c r="J305" s="676">
        <f>J304*E305</f>
        <v>0</v>
      </c>
    </row>
    <row r="306" spans="1:10" s="644" customFormat="1">
      <c r="A306" s="668"/>
      <c r="B306" s="664"/>
      <c r="C306" s="664"/>
      <c r="D306" s="673"/>
      <c r="E306" s="685"/>
      <c r="F306" s="684"/>
      <c r="G306" s="663"/>
      <c r="H306" s="684"/>
      <c r="I306" s="672"/>
      <c r="J306" s="676">
        <f>SUM(J304:J305)</f>
        <v>91.4</v>
      </c>
    </row>
    <row r="307" spans="1:10" s="644" customFormat="1">
      <c r="A307" s="668"/>
      <c r="B307" s="664"/>
      <c r="C307" s="664"/>
      <c r="D307" s="691" t="s">
        <v>2768</v>
      </c>
      <c r="E307" s="685"/>
      <c r="F307" s="684"/>
      <c r="G307" s="663"/>
      <c r="H307" s="684"/>
      <c r="I307" s="675"/>
      <c r="J307" s="693">
        <f>ROUND(J306,0)</f>
        <v>91</v>
      </c>
    </row>
    <row r="308" spans="1:10" s="644" customFormat="1">
      <c r="A308" s="668"/>
      <c r="B308" s="664"/>
      <c r="C308" s="664"/>
      <c r="D308" s="691"/>
      <c r="E308" s="685"/>
      <c r="F308" s="684"/>
      <c r="G308" s="663"/>
      <c r="H308" s="684"/>
      <c r="I308" s="675"/>
      <c r="J308" s="693"/>
    </row>
    <row r="309" spans="1:10" s="644" customFormat="1" ht="69" customHeight="1">
      <c r="A309" s="653">
        <f>SUM(MAX($A$7:$A308),1)</f>
        <v>15</v>
      </c>
      <c r="B309" s="665"/>
      <c r="C309" s="665"/>
      <c r="D309" s="2155" t="s">
        <v>2866</v>
      </c>
      <c r="E309" s="2155"/>
      <c r="F309" s="2155"/>
      <c r="G309" s="2155"/>
      <c r="H309" s="2155"/>
      <c r="I309" s="2155"/>
      <c r="J309" s="2155"/>
    </row>
    <row r="310" spans="1:10" s="644" customFormat="1">
      <c r="A310" s="668"/>
      <c r="B310" s="654"/>
      <c r="C310" s="654"/>
      <c r="D310" s="682" t="s">
        <v>2754</v>
      </c>
      <c r="E310" s="679"/>
      <c r="F310" s="645"/>
      <c r="G310" s="661"/>
      <c r="H310" s="645"/>
      <c r="I310" s="657"/>
      <c r="J310" s="694"/>
    </row>
    <row r="311" spans="1:10" s="644" customFormat="1">
      <c r="A311" s="668"/>
      <c r="B311" s="654">
        <v>1</v>
      </c>
      <c r="C311" s="654"/>
      <c r="D311" s="645" t="s">
        <v>2740</v>
      </c>
      <c r="E311" s="679">
        <v>1</v>
      </c>
      <c r="F311" s="680" t="s">
        <v>1738</v>
      </c>
      <c r="G311" s="661">
        <v>1</v>
      </c>
      <c r="H311" s="680" t="s">
        <v>1738</v>
      </c>
      <c r="I311" s="657">
        <f>IF(B311=$B$2,$G$2,IF(B311=$B$3,$G$3,IF(B311=$B$4,$G$4,IF(B311=$B$5,$G$5,IF(B311=$B$6,$G$6,IF(B311=$B$7,$G$7,FALSE))))))</f>
        <v>660</v>
      </c>
      <c r="J311" s="694">
        <f>SUM(E311*I311/G311)</f>
        <v>660</v>
      </c>
    </row>
    <row r="312" spans="1:10" s="644" customFormat="1">
      <c r="A312" s="668"/>
      <c r="B312" s="654">
        <v>2</v>
      </c>
      <c r="C312" s="654"/>
      <c r="D312" s="645" t="s">
        <v>2741</v>
      </c>
      <c r="E312" s="679">
        <v>2.5</v>
      </c>
      <c r="F312" s="680" t="s">
        <v>1738</v>
      </c>
      <c r="G312" s="661">
        <v>1</v>
      </c>
      <c r="H312" s="680" t="s">
        <v>1738</v>
      </c>
      <c r="I312" s="657">
        <f>IF(B312=$B$2,$G$2,IF(B312=$B$3,$G$3,IF(B312=$B$4,$G$4,IF(B312=$B$5,$G$5,IF(B312=$B$6,$G$6,IF(B312=$B$7,$G$7,FALSE))))))</f>
        <v>550</v>
      </c>
      <c r="J312" s="694">
        <f>SUM(E312*I312/G312)</f>
        <v>1375</v>
      </c>
    </row>
    <row r="313" spans="1:10" s="644" customFormat="1">
      <c r="A313" s="668"/>
      <c r="B313" s="654">
        <v>3</v>
      </c>
      <c r="C313" s="654"/>
      <c r="D313" s="645" t="s">
        <v>2742</v>
      </c>
      <c r="E313" s="679">
        <v>1</v>
      </c>
      <c r="F313" s="680" t="s">
        <v>1738</v>
      </c>
      <c r="G313" s="661">
        <v>1</v>
      </c>
      <c r="H313" s="680" t="s">
        <v>1738</v>
      </c>
      <c r="I313" s="657">
        <f>IF(B313=$B$2,$G$2,IF(B313=$B$3,$G$3,IF(B313=$B$4,$G$4,IF(B313=$B$5,$G$5,IF(B313=$B$6,$G$6,IF(B313=$B$7,$G$7,FALSE))))))</f>
        <v>550</v>
      </c>
      <c r="J313" s="694">
        <f>SUM(E313*I313/G313)</f>
        <v>550</v>
      </c>
    </row>
    <row r="314" spans="1:10" s="644" customFormat="1">
      <c r="A314" s="668"/>
      <c r="B314" s="654"/>
      <c r="C314" s="654"/>
      <c r="D314" s="682" t="s">
        <v>2860</v>
      </c>
      <c r="E314" s="679"/>
      <c r="F314" s="680"/>
      <c r="G314" s="661"/>
      <c r="H314" s="680"/>
      <c r="I314" s="657"/>
      <c r="J314" s="694">
        <f>SUM(J311:J313)</f>
        <v>2585</v>
      </c>
    </row>
    <row r="315" spans="1:10" s="644" customFormat="1">
      <c r="A315" s="668"/>
      <c r="B315" s="654"/>
      <c r="C315" s="654"/>
      <c r="D315" s="682" t="s">
        <v>2861</v>
      </c>
      <c r="E315" s="695"/>
      <c r="F315" s="680"/>
      <c r="G315" s="661"/>
      <c r="H315" s="680"/>
      <c r="I315" s="657"/>
      <c r="J315" s="676">
        <f>SUM(J314/100)</f>
        <v>25.85</v>
      </c>
    </row>
    <row r="316" spans="1:10" s="644" customFormat="1">
      <c r="A316" s="668"/>
      <c r="B316" s="654"/>
      <c r="C316" s="654"/>
      <c r="D316" s="696" t="s">
        <v>1879</v>
      </c>
      <c r="E316" s="679"/>
      <c r="F316" s="680"/>
      <c r="G316" s="661"/>
      <c r="H316" s="680"/>
      <c r="I316" s="657"/>
      <c r="J316" s="694"/>
    </row>
    <row r="317" spans="1:10" s="644" customFormat="1" ht="51">
      <c r="A317" s="668"/>
      <c r="B317" s="654" t="s">
        <v>2818</v>
      </c>
      <c r="C317" s="661" t="s">
        <v>1184</v>
      </c>
      <c r="D317" s="682" t="s">
        <v>2867</v>
      </c>
      <c r="E317" s="679">
        <v>300</v>
      </c>
      <c r="F317" s="645" t="s">
        <v>2805</v>
      </c>
      <c r="G317" s="661">
        <v>100</v>
      </c>
      <c r="H317" s="645" t="s">
        <v>2805</v>
      </c>
      <c r="I317" s="679">
        <v>3535</v>
      </c>
      <c r="J317" s="694">
        <f>SUM(E317*I317/G317)</f>
        <v>10605</v>
      </c>
    </row>
    <row r="318" spans="1:10" s="644" customFormat="1">
      <c r="A318" s="668"/>
      <c r="B318" s="654"/>
      <c r="C318" s="654"/>
      <c r="D318" s="682" t="s">
        <v>2863</v>
      </c>
      <c r="E318" s="679"/>
      <c r="F318" s="645"/>
      <c r="G318" s="661"/>
      <c r="H318" s="645"/>
      <c r="I318" s="657"/>
      <c r="J318" s="694">
        <f>SUM(J317:J317)</f>
        <v>10605</v>
      </c>
    </row>
    <row r="319" spans="1:10" s="644" customFormat="1" ht="25.5">
      <c r="A319" s="668"/>
      <c r="B319" s="654"/>
      <c r="C319" s="654"/>
      <c r="D319" s="682" t="s">
        <v>2864</v>
      </c>
      <c r="E319" s="679"/>
      <c r="F319" s="645"/>
      <c r="G319" s="661"/>
      <c r="H319" s="645"/>
      <c r="I319" s="657"/>
      <c r="J319" s="694">
        <f>SUM(J318/100)</f>
        <v>106.05</v>
      </c>
    </row>
    <row r="320" spans="1:10" s="644" customFormat="1" ht="25.5">
      <c r="A320" s="668"/>
      <c r="B320" s="654"/>
      <c r="C320" s="654"/>
      <c r="D320" s="656" t="s">
        <v>2766</v>
      </c>
      <c r="E320" s="679"/>
      <c r="F320" s="645"/>
      <c r="G320" s="661"/>
      <c r="H320" s="645"/>
      <c r="I320" s="657"/>
      <c r="J320" s="655">
        <f>ROUNDDOWN(J315+J319,1)</f>
        <v>131.9</v>
      </c>
    </row>
    <row r="321" spans="1:10" s="644" customFormat="1">
      <c r="A321" s="668"/>
      <c r="B321" s="664"/>
      <c r="C321" s="664"/>
      <c r="D321" s="669" t="s">
        <v>2767</v>
      </c>
      <c r="E321" s="670">
        <f>$E$9</f>
        <v>0</v>
      </c>
      <c r="F321" s="684"/>
      <c r="G321" s="663"/>
      <c r="H321" s="684"/>
      <c r="I321" s="672"/>
      <c r="J321" s="676">
        <f>J320*E321</f>
        <v>0</v>
      </c>
    </row>
    <row r="322" spans="1:10" s="644" customFormat="1">
      <c r="A322" s="668"/>
      <c r="B322" s="664"/>
      <c r="C322" s="664"/>
      <c r="D322" s="673"/>
      <c r="E322" s="685"/>
      <c r="F322" s="684"/>
      <c r="G322" s="663"/>
      <c r="H322" s="684"/>
      <c r="I322" s="672"/>
      <c r="J322" s="676">
        <f>SUM(J320:J321)</f>
        <v>131.9</v>
      </c>
    </row>
    <row r="323" spans="1:10" s="644" customFormat="1">
      <c r="A323" s="668"/>
      <c r="B323" s="664"/>
      <c r="C323" s="664"/>
      <c r="D323" s="691" t="s">
        <v>2768</v>
      </c>
      <c r="E323" s="685"/>
      <c r="F323" s="684"/>
      <c r="G323" s="663"/>
      <c r="H323" s="684"/>
      <c r="I323" s="675"/>
      <c r="J323" s="693">
        <f>ROUND(J322,0)</f>
        <v>132</v>
      </c>
    </row>
    <row r="324" spans="1:10" s="644" customFormat="1">
      <c r="A324" s="668"/>
      <c r="B324" s="677"/>
      <c r="C324" s="677"/>
      <c r="D324" s="678"/>
      <c r="E324" s="677"/>
      <c r="F324" s="677"/>
      <c r="G324" s="677"/>
      <c r="H324" s="677"/>
      <c r="I324" s="675"/>
      <c r="J324" s="677"/>
    </row>
    <row r="325" spans="1:10" s="644" customFormat="1" ht="64.5" customHeight="1">
      <c r="A325" s="653">
        <f>SUM(MAX($A$7:$A324),1)</f>
        <v>16</v>
      </c>
      <c r="B325" s="665"/>
      <c r="C325" s="665"/>
      <c r="D325" s="2155" t="s">
        <v>2868</v>
      </c>
      <c r="E325" s="2155"/>
      <c r="F325" s="2155"/>
      <c r="G325" s="2155"/>
      <c r="H325" s="2155"/>
      <c r="I325" s="2155"/>
      <c r="J325" s="2155"/>
    </row>
    <row r="326" spans="1:10" s="644" customFormat="1">
      <c r="A326" s="668"/>
      <c r="B326" s="654"/>
      <c r="C326" s="654"/>
      <c r="D326" s="682" t="s">
        <v>2754</v>
      </c>
      <c r="E326" s="679"/>
      <c r="F326" s="645"/>
      <c r="G326" s="661"/>
      <c r="H326" s="645"/>
      <c r="I326" s="657"/>
      <c r="J326" s="694"/>
    </row>
    <row r="327" spans="1:10" s="644" customFormat="1">
      <c r="A327" s="668"/>
      <c r="B327" s="654">
        <v>1</v>
      </c>
      <c r="C327" s="654"/>
      <c r="D327" s="645" t="s">
        <v>2740</v>
      </c>
      <c r="E327" s="679">
        <v>1</v>
      </c>
      <c r="F327" s="680" t="s">
        <v>1738</v>
      </c>
      <c r="G327" s="661">
        <v>1</v>
      </c>
      <c r="H327" s="680" t="s">
        <v>1738</v>
      </c>
      <c r="I327" s="657">
        <f>IF(B327=$B$2,$G$2,IF(B327=$B$3,$G$3,IF(B327=$B$4,$G$4,IF(B327=$B$5,$G$5,IF(B327=$B$6,$G$6,IF(B327=$B$7,$G$7,FALSE))))))</f>
        <v>660</v>
      </c>
      <c r="J327" s="694">
        <f>SUM(E327*I327/G327)</f>
        <v>660</v>
      </c>
    </row>
    <row r="328" spans="1:10" s="644" customFormat="1">
      <c r="A328" s="668"/>
      <c r="B328" s="654">
        <v>2</v>
      </c>
      <c r="C328" s="654"/>
      <c r="D328" s="645" t="s">
        <v>2741</v>
      </c>
      <c r="E328" s="679">
        <v>3</v>
      </c>
      <c r="F328" s="680" t="s">
        <v>1738</v>
      </c>
      <c r="G328" s="661">
        <v>1</v>
      </c>
      <c r="H328" s="680" t="s">
        <v>1738</v>
      </c>
      <c r="I328" s="657">
        <f>IF(B328=$B$2,$G$2,IF(B328=$B$3,$G$3,IF(B328=$B$4,$G$4,IF(B328=$B$5,$G$5,IF(B328=$B$6,$G$6,IF(B328=$B$7,$G$7,FALSE))))))</f>
        <v>550</v>
      </c>
      <c r="J328" s="694">
        <f>SUM(E328*I328/G328)</f>
        <v>1650</v>
      </c>
    </row>
    <row r="329" spans="1:10" s="644" customFormat="1">
      <c r="A329" s="668"/>
      <c r="B329" s="654">
        <v>3</v>
      </c>
      <c r="C329" s="654"/>
      <c r="D329" s="645" t="s">
        <v>2742</v>
      </c>
      <c r="E329" s="679">
        <v>1</v>
      </c>
      <c r="F329" s="680" t="s">
        <v>1738</v>
      </c>
      <c r="G329" s="661">
        <v>1</v>
      </c>
      <c r="H329" s="680" t="s">
        <v>1738</v>
      </c>
      <c r="I329" s="657">
        <f>IF(B329=$B$2,$G$2,IF(B329=$B$3,$G$3,IF(B329=$B$4,$G$4,IF(B329=$B$5,$G$5,IF(B329=$B$6,$G$6,IF(B329=$B$7,$G$7,FALSE))))))</f>
        <v>550</v>
      </c>
      <c r="J329" s="694">
        <f>SUM(E329*I329/G329)</f>
        <v>550</v>
      </c>
    </row>
    <row r="330" spans="1:10" s="644" customFormat="1">
      <c r="A330" s="668"/>
      <c r="B330" s="654"/>
      <c r="C330" s="654"/>
      <c r="D330" s="682" t="s">
        <v>2860</v>
      </c>
      <c r="E330" s="679"/>
      <c r="F330" s="680"/>
      <c r="G330" s="661"/>
      <c r="H330" s="680"/>
      <c r="I330" s="657"/>
      <c r="J330" s="694">
        <f>SUM(J327:J329)</f>
        <v>2860</v>
      </c>
    </row>
    <row r="331" spans="1:10" s="644" customFormat="1">
      <c r="A331" s="668"/>
      <c r="B331" s="654"/>
      <c r="C331" s="654"/>
      <c r="D331" s="682" t="s">
        <v>2861</v>
      </c>
      <c r="E331" s="695"/>
      <c r="F331" s="680"/>
      <c r="G331" s="661"/>
      <c r="H331" s="680"/>
      <c r="I331" s="657"/>
      <c r="J331" s="676">
        <f>SUM(J330/100)</f>
        <v>28.6</v>
      </c>
    </row>
    <row r="332" spans="1:10" s="644" customFormat="1">
      <c r="A332" s="668"/>
      <c r="B332" s="654"/>
      <c r="C332" s="654"/>
      <c r="D332" s="696" t="s">
        <v>1879</v>
      </c>
      <c r="E332" s="679"/>
      <c r="F332" s="680"/>
      <c r="G332" s="661"/>
      <c r="H332" s="680"/>
      <c r="I332" s="657"/>
      <c r="J332" s="694"/>
    </row>
    <row r="333" spans="1:10" s="644" customFormat="1" ht="51">
      <c r="A333" s="668"/>
      <c r="B333" s="654" t="s">
        <v>2818</v>
      </c>
      <c r="C333" s="661" t="s">
        <v>1186</v>
      </c>
      <c r="D333" s="682" t="s">
        <v>2869</v>
      </c>
      <c r="E333" s="679">
        <v>300</v>
      </c>
      <c r="F333" s="645" t="s">
        <v>2805</v>
      </c>
      <c r="G333" s="661">
        <v>100</v>
      </c>
      <c r="H333" s="645" t="s">
        <v>2805</v>
      </c>
      <c r="I333" s="679">
        <v>5396</v>
      </c>
      <c r="J333" s="694">
        <f>SUM(E333*I333/G333)</f>
        <v>16188</v>
      </c>
    </row>
    <row r="334" spans="1:10" s="644" customFormat="1">
      <c r="A334" s="668"/>
      <c r="B334" s="654"/>
      <c r="C334" s="654"/>
      <c r="D334" s="682" t="s">
        <v>2863</v>
      </c>
      <c r="E334" s="679"/>
      <c r="F334" s="645"/>
      <c r="G334" s="661"/>
      <c r="H334" s="645"/>
      <c r="I334" s="657"/>
      <c r="J334" s="694">
        <f>SUM(J333:J333)</f>
        <v>16188</v>
      </c>
    </row>
    <row r="335" spans="1:10" s="644" customFormat="1" ht="25.5">
      <c r="A335" s="668"/>
      <c r="B335" s="654"/>
      <c r="C335" s="654"/>
      <c r="D335" s="682" t="s">
        <v>2864</v>
      </c>
      <c r="E335" s="679"/>
      <c r="F335" s="645"/>
      <c r="G335" s="661"/>
      <c r="H335" s="645"/>
      <c r="I335" s="657"/>
      <c r="J335" s="694">
        <f>SUM(J334/100)</f>
        <v>161.88</v>
      </c>
    </row>
    <row r="336" spans="1:10" s="644" customFormat="1" ht="25.5">
      <c r="A336" s="668"/>
      <c r="B336" s="654"/>
      <c r="C336" s="654"/>
      <c r="D336" s="656" t="s">
        <v>2766</v>
      </c>
      <c r="E336" s="679"/>
      <c r="F336" s="645"/>
      <c r="G336" s="661"/>
      <c r="H336" s="645"/>
      <c r="I336" s="657"/>
      <c r="J336" s="655">
        <f>ROUNDDOWN(J331+J335,1)</f>
        <v>190.4</v>
      </c>
    </row>
    <row r="337" spans="1:10" s="644" customFormat="1">
      <c r="A337" s="668"/>
      <c r="B337" s="664"/>
      <c r="C337" s="664"/>
      <c r="D337" s="669" t="s">
        <v>2767</v>
      </c>
      <c r="E337" s="670">
        <f>$E$9</f>
        <v>0</v>
      </c>
      <c r="F337" s="684"/>
      <c r="G337" s="663"/>
      <c r="H337" s="684"/>
      <c r="I337" s="672"/>
      <c r="J337" s="676">
        <f>J336*E337</f>
        <v>0</v>
      </c>
    </row>
    <row r="338" spans="1:10" s="644" customFormat="1">
      <c r="A338" s="668"/>
      <c r="B338" s="664"/>
      <c r="C338" s="664"/>
      <c r="D338" s="673"/>
      <c r="E338" s="685"/>
      <c r="F338" s="684"/>
      <c r="G338" s="663"/>
      <c r="H338" s="684"/>
      <c r="I338" s="672"/>
      <c r="J338" s="676">
        <f>SUM(J336:J337)</f>
        <v>190.4</v>
      </c>
    </row>
    <row r="339" spans="1:10" s="644" customFormat="1">
      <c r="A339" s="668"/>
      <c r="B339" s="664"/>
      <c r="C339" s="664"/>
      <c r="D339" s="691" t="s">
        <v>2768</v>
      </c>
      <c r="E339" s="685"/>
      <c r="F339" s="684"/>
      <c r="G339" s="663"/>
      <c r="H339" s="684"/>
      <c r="I339" s="675"/>
      <c r="J339" s="693">
        <f>ROUND(J338,0)</f>
        <v>190</v>
      </c>
    </row>
    <row r="340" spans="1:10" s="644" customFormat="1">
      <c r="A340" s="668"/>
      <c r="B340" s="677"/>
      <c r="C340" s="677"/>
      <c r="D340" s="678"/>
      <c r="E340" s="677"/>
      <c r="F340" s="677"/>
      <c r="G340" s="677"/>
      <c r="H340" s="677"/>
      <c r="I340" s="675"/>
      <c r="J340" s="677"/>
    </row>
    <row r="341" spans="1:10" s="644" customFormat="1" ht="75.75" customHeight="1">
      <c r="A341" s="653">
        <f>SUM(MAX($A$7:$A340),1)</f>
        <v>17</v>
      </c>
      <c r="B341" s="665"/>
      <c r="C341" s="665"/>
      <c r="D341" s="2155" t="s">
        <v>2870</v>
      </c>
      <c r="E341" s="2155"/>
      <c r="F341" s="2155"/>
      <c r="G341" s="2155"/>
      <c r="H341" s="2155"/>
      <c r="I341" s="2155"/>
      <c r="J341" s="2155"/>
    </row>
    <row r="342" spans="1:10" s="644" customFormat="1">
      <c r="A342" s="668"/>
      <c r="B342" s="654"/>
      <c r="C342" s="654"/>
      <c r="D342" s="682" t="s">
        <v>2754</v>
      </c>
      <c r="E342" s="679"/>
      <c r="F342" s="645"/>
      <c r="G342" s="661"/>
      <c r="H342" s="645"/>
      <c r="I342" s="657"/>
      <c r="J342" s="694"/>
    </row>
    <row r="343" spans="1:10" s="644" customFormat="1">
      <c r="A343" s="668"/>
      <c r="B343" s="654">
        <v>1</v>
      </c>
      <c r="C343" s="654"/>
      <c r="D343" s="645" t="s">
        <v>2740</v>
      </c>
      <c r="E343" s="679">
        <v>1</v>
      </c>
      <c r="F343" s="680" t="s">
        <v>1738</v>
      </c>
      <c r="G343" s="661">
        <v>1</v>
      </c>
      <c r="H343" s="680" t="s">
        <v>1738</v>
      </c>
      <c r="I343" s="657">
        <f>IF(B343=$B$2,$G$2,IF(B343=$B$3,$G$3,IF(B343=$B$4,$G$4,IF(B343=$B$5,$G$5,IF(B343=$B$6,$G$6,IF(B343=$B$7,$G$7,FALSE))))))</f>
        <v>660</v>
      </c>
      <c r="J343" s="694">
        <f>SUM(E343*I343/G343)</f>
        <v>660</v>
      </c>
    </row>
    <row r="344" spans="1:10" s="644" customFormat="1">
      <c r="A344" s="668"/>
      <c r="B344" s="654">
        <v>2</v>
      </c>
      <c r="C344" s="654"/>
      <c r="D344" s="645" t="s">
        <v>2741</v>
      </c>
      <c r="E344" s="679">
        <v>3</v>
      </c>
      <c r="F344" s="680" t="s">
        <v>1738</v>
      </c>
      <c r="G344" s="661">
        <v>1</v>
      </c>
      <c r="H344" s="680" t="s">
        <v>1738</v>
      </c>
      <c r="I344" s="657">
        <f>IF(B344=$B$2,$G$2,IF(B344=$B$3,$G$3,IF(B344=$B$4,$G$4,IF(B344=$B$5,$G$5,IF(B344=$B$6,$G$6,IF(B344=$B$7,$G$7,FALSE))))))</f>
        <v>550</v>
      </c>
      <c r="J344" s="694">
        <f>SUM(E344*I344/G344)</f>
        <v>1650</v>
      </c>
    </row>
    <row r="345" spans="1:10" s="644" customFormat="1">
      <c r="A345" s="668"/>
      <c r="B345" s="654">
        <v>3</v>
      </c>
      <c r="C345" s="654"/>
      <c r="D345" s="645" t="s">
        <v>2742</v>
      </c>
      <c r="E345" s="679">
        <v>1</v>
      </c>
      <c r="F345" s="680" t="s">
        <v>1738</v>
      </c>
      <c r="G345" s="661">
        <v>1</v>
      </c>
      <c r="H345" s="680" t="s">
        <v>1738</v>
      </c>
      <c r="I345" s="657">
        <f>IF(B345=$B$2,$G$2,IF(B345=$B$3,$G$3,IF(B345=$B$4,$G$4,IF(B345=$B$5,$G$5,IF(B345=$B$6,$G$6,IF(B345=$B$7,$G$7,FALSE))))))</f>
        <v>550</v>
      </c>
      <c r="J345" s="694">
        <f>SUM(E345*I345/G345)</f>
        <v>550</v>
      </c>
    </row>
    <row r="346" spans="1:10" s="644" customFormat="1">
      <c r="A346" s="668"/>
      <c r="B346" s="654"/>
      <c r="C346" s="654"/>
      <c r="D346" s="682" t="s">
        <v>2860</v>
      </c>
      <c r="E346" s="679"/>
      <c r="F346" s="680"/>
      <c r="G346" s="661"/>
      <c r="H346" s="680"/>
      <c r="I346" s="657"/>
      <c r="J346" s="694">
        <f>SUM(J343:J345)</f>
        <v>2860</v>
      </c>
    </row>
    <row r="347" spans="1:10" s="644" customFormat="1">
      <c r="A347" s="668"/>
      <c r="B347" s="654"/>
      <c r="C347" s="654"/>
      <c r="D347" s="682" t="s">
        <v>2861</v>
      </c>
      <c r="E347" s="695"/>
      <c r="F347" s="680"/>
      <c r="G347" s="661"/>
      <c r="H347" s="680"/>
      <c r="I347" s="657"/>
      <c r="J347" s="676">
        <f>SUM(J346/100)</f>
        <v>28.6</v>
      </c>
    </row>
    <row r="348" spans="1:10" s="644" customFormat="1">
      <c r="A348" s="668"/>
      <c r="B348" s="654"/>
      <c r="C348" s="654"/>
      <c r="D348" s="696" t="s">
        <v>1879</v>
      </c>
      <c r="E348" s="679"/>
      <c r="F348" s="680"/>
      <c r="G348" s="661"/>
      <c r="H348" s="680"/>
      <c r="I348" s="657"/>
      <c r="J348" s="694"/>
    </row>
    <row r="349" spans="1:10" s="644" customFormat="1" ht="51">
      <c r="A349" s="668"/>
      <c r="B349" s="654" t="s">
        <v>2818</v>
      </c>
      <c r="C349" s="661" t="s">
        <v>1188</v>
      </c>
      <c r="D349" s="682" t="s">
        <v>2871</v>
      </c>
      <c r="E349" s="679">
        <v>300</v>
      </c>
      <c r="F349" s="645" t="s">
        <v>2805</v>
      </c>
      <c r="G349" s="661">
        <v>100</v>
      </c>
      <c r="H349" s="645" t="s">
        <v>2805</v>
      </c>
      <c r="I349" s="679">
        <v>7970</v>
      </c>
      <c r="J349" s="694">
        <f>SUM(E349*I349/G349)</f>
        <v>23910</v>
      </c>
    </row>
    <row r="350" spans="1:10" s="644" customFormat="1">
      <c r="A350" s="668"/>
      <c r="B350" s="654"/>
      <c r="C350" s="654"/>
      <c r="D350" s="682" t="s">
        <v>2863</v>
      </c>
      <c r="E350" s="679"/>
      <c r="F350" s="645"/>
      <c r="G350" s="661"/>
      <c r="H350" s="645"/>
      <c r="I350" s="657"/>
      <c r="J350" s="694">
        <f>SUM(J349:J349)</f>
        <v>23910</v>
      </c>
    </row>
    <row r="351" spans="1:10" s="644" customFormat="1" ht="25.5">
      <c r="A351" s="668"/>
      <c r="B351" s="654"/>
      <c r="C351" s="654"/>
      <c r="D351" s="682" t="s">
        <v>2864</v>
      </c>
      <c r="E351" s="679"/>
      <c r="F351" s="645"/>
      <c r="G351" s="661"/>
      <c r="H351" s="645"/>
      <c r="I351" s="657"/>
      <c r="J351" s="694">
        <f>SUM(J350/100)</f>
        <v>239.1</v>
      </c>
    </row>
    <row r="352" spans="1:10" s="644" customFormat="1" ht="25.5">
      <c r="A352" s="668"/>
      <c r="B352" s="654"/>
      <c r="C352" s="654"/>
      <c r="D352" s="656" t="s">
        <v>2766</v>
      </c>
      <c r="E352" s="679"/>
      <c r="F352" s="645"/>
      <c r="G352" s="661"/>
      <c r="H352" s="645"/>
      <c r="I352" s="657"/>
      <c r="J352" s="655">
        <f>ROUNDDOWN(J347+J351,1)</f>
        <v>267.7</v>
      </c>
    </row>
    <row r="353" spans="1:10" s="644" customFormat="1">
      <c r="A353" s="668"/>
      <c r="B353" s="664"/>
      <c r="C353" s="664"/>
      <c r="D353" s="669" t="s">
        <v>2767</v>
      </c>
      <c r="E353" s="670">
        <f>$E$9</f>
        <v>0</v>
      </c>
      <c r="F353" s="684"/>
      <c r="G353" s="663"/>
      <c r="H353" s="684"/>
      <c r="I353" s="672"/>
      <c r="J353" s="676">
        <f>J352*E353</f>
        <v>0</v>
      </c>
    </row>
    <row r="354" spans="1:10" s="644" customFormat="1">
      <c r="A354" s="668"/>
      <c r="B354" s="664"/>
      <c r="C354" s="664"/>
      <c r="D354" s="673"/>
      <c r="E354" s="685"/>
      <c r="F354" s="684"/>
      <c r="G354" s="663"/>
      <c r="H354" s="684"/>
      <c r="I354" s="672"/>
      <c r="J354" s="676">
        <f>SUM(J352:J353)</f>
        <v>267.7</v>
      </c>
    </row>
    <row r="355" spans="1:10" s="644" customFormat="1">
      <c r="A355" s="668"/>
      <c r="B355" s="664"/>
      <c r="C355" s="664"/>
      <c r="D355" s="691" t="s">
        <v>2768</v>
      </c>
      <c r="E355" s="685"/>
      <c r="F355" s="684"/>
      <c r="G355" s="663"/>
      <c r="H355" s="684"/>
      <c r="I355" s="675"/>
      <c r="J355" s="693">
        <f>ROUND(J354,0)</f>
        <v>268</v>
      </c>
    </row>
    <row r="356" spans="1:10" s="644" customFormat="1">
      <c r="A356" s="668"/>
      <c r="B356" s="664"/>
      <c r="C356" s="664"/>
      <c r="D356" s="691"/>
      <c r="E356" s="685"/>
      <c r="F356" s="684"/>
      <c r="G356" s="663"/>
      <c r="H356" s="684"/>
      <c r="I356" s="675"/>
      <c r="J356" s="693"/>
    </row>
    <row r="357" spans="1:10" s="644" customFormat="1">
      <c r="A357" s="653">
        <f>SUM(MAX($A$7:$A356),1)</f>
        <v>18</v>
      </c>
      <c r="B357" s="665"/>
      <c r="C357" s="665"/>
      <c r="D357" s="2155" t="s">
        <v>2872</v>
      </c>
      <c r="E357" s="2155"/>
      <c r="F357" s="2155"/>
      <c r="G357" s="2155"/>
      <c r="H357" s="2155"/>
      <c r="I357" s="2155"/>
      <c r="J357" s="2155"/>
    </row>
    <row r="358" spans="1:10" s="644" customFormat="1">
      <c r="A358" s="668"/>
      <c r="B358" s="654"/>
      <c r="C358" s="654"/>
      <c r="D358" s="682" t="s">
        <v>2754</v>
      </c>
      <c r="E358" s="679"/>
      <c r="F358" s="645"/>
      <c r="G358" s="661"/>
      <c r="H358" s="645"/>
      <c r="I358" s="657"/>
      <c r="J358" s="694"/>
    </row>
    <row r="359" spans="1:10" s="644" customFormat="1">
      <c r="A359" s="668"/>
      <c r="B359" s="654">
        <v>1</v>
      </c>
      <c r="C359" s="654"/>
      <c r="D359" s="645" t="s">
        <v>2740</v>
      </c>
      <c r="E359" s="679">
        <v>2</v>
      </c>
      <c r="F359" s="680" t="s">
        <v>1738</v>
      </c>
      <c r="G359" s="661">
        <v>1</v>
      </c>
      <c r="H359" s="680" t="s">
        <v>1738</v>
      </c>
      <c r="I359" s="657">
        <f>IF(B359=$B$2,$G$2,IF(B359=$B$3,$G$3,IF(B359=$B$4,$G$4,IF(B359=$B$5,$G$5,IF(B359=$B$6,$G$6,IF(B359=$B$7,$G$7,FALSE))))))</f>
        <v>660</v>
      </c>
      <c r="J359" s="694">
        <f>SUM(E359*I359/G359)</f>
        <v>1320</v>
      </c>
    </row>
    <row r="360" spans="1:10" s="644" customFormat="1">
      <c r="A360" s="668"/>
      <c r="B360" s="654">
        <v>2</v>
      </c>
      <c r="C360" s="654"/>
      <c r="D360" s="645" t="s">
        <v>2741</v>
      </c>
      <c r="E360" s="679">
        <v>5.5</v>
      </c>
      <c r="F360" s="680" t="s">
        <v>1738</v>
      </c>
      <c r="G360" s="661">
        <v>1</v>
      </c>
      <c r="H360" s="680" t="s">
        <v>1738</v>
      </c>
      <c r="I360" s="657">
        <f>IF(B360=$B$2,$G$2,IF(B360=$B$3,$G$3,IF(B360=$B$4,$G$4,IF(B360=$B$5,$G$5,IF(B360=$B$6,$G$6,IF(B360=$B$7,$G$7,FALSE))))))</f>
        <v>550</v>
      </c>
      <c r="J360" s="694">
        <f>SUM(E360*I360/G360)</f>
        <v>3025</v>
      </c>
    </row>
    <row r="361" spans="1:10" s="644" customFormat="1">
      <c r="A361" s="668"/>
      <c r="B361" s="654">
        <v>3</v>
      </c>
      <c r="C361" s="654"/>
      <c r="D361" s="645" t="s">
        <v>2742</v>
      </c>
      <c r="E361" s="679">
        <v>2</v>
      </c>
      <c r="F361" s="680" t="s">
        <v>1738</v>
      </c>
      <c r="G361" s="661">
        <v>1</v>
      </c>
      <c r="H361" s="680" t="s">
        <v>1738</v>
      </c>
      <c r="I361" s="657">
        <f>IF(B361=$B$2,$G$2,IF(B361=$B$3,$G$3,IF(B361=$B$4,$G$4,IF(B361=$B$5,$G$5,IF(B361=$B$6,$G$6,IF(B361=$B$7,$G$7,FALSE))))))</f>
        <v>550</v>
      </c>
      <c r="J361" s="694">
        <f>SUM(E361*I361/G361)</f>
        <v>1100</v>
      </c>
    </row>
    <row r="362" spans="1:10" s="644" customFormat="1">
      <c r="A362" s="668"/>
      <c r="B362" s="654"/>
      <c r="C362" s="654"/>
      <c r="D362" s="682" t="s">
        <v>2860</v>
      </c>
      <c r="E362" s="679"/>
      <c r="F362" s="680"/>
      <c r="G362" s="661"/>
      <c r="H362" s="680"/>
      <c r="I362" s="657"/>
      <c r="J362" s="694">
        <f>SUM(J359:J361)</f>
        <v>5445</v>
      </c>
    </row>
    <row r="363" spans="1:10" s="644" customFormat="1">
      <c r="A363" s="668"/>
      <c r="B363" s="654"/>
      <c r="C363" s="654"/>
      <c r="D363" s="682" t="s">
        <v>2861</v>
      </c>
      <c r="E363" s="695"/>
      <c r="F363" s="680"/>
      <c r="G363" s="661"/>
      <c r="H363" s="680"/>
      <c r="I363" s="657"/>
      <c r="J363" s="676">
        <f>SUM(J362/100)</f>
        <v>54.45</v>
      </c>
    </row>
    <row r="364" spans="1:10" s="644" customFormat="1">
      <c r="A364" s="668"/>
      <c r="B364" s="654"/>
      <c r="C364" s="654"/>
      <c r="D364" s="696" t="s">
        <v>1879</v>
      </c>
      <c r="E364" s="679"/>
      <c r="F364" s="680"/>
      <c r="G364" s="661"/>
      <c r="H364" s="680"/>
      <c r="I364" s="657"/>
      <c r="J364" s="694"/>
    </row>
    <row r="365" spans="1:10" s="644" customFormat="1" ht="51">
      <c r="A365" s="668"/>
      <c r="B365" s="654" t="s">
        <v>2818</v>
      </c>
      <c r="C365" s="654" t="s">
        <v>1188</v>
      </c>
      <c r="D365" s="682" t="s">
        <v>2871</v>
      </c>
      <c r="E365" s="679">
        <v>500</v>
      </c>
      <c r="F365" s="645" t="s">
        <v>2805</v>
      </c>
      <c r="G365" s="661">
        <v>100</v>
      </c>
      <c r="H365" s="645" t="s">
        <v>2805</v>
      </c>
      <c r="I365" s="679">
        <v>7970</v>
      </c>
      <c r="J365" s="694">
        <f>SUM(E365*I365/G365)</f>
        <v>39850</v>
      </c>
    </row>
    <row r="366" spans="1:10" s="644" customFormat="1">
      <c r="A366" s="668"/>
      <c r="B366" s="654"/>
      <c r="C366" s="654"/>
      <c r="D366" s="682" t="s">
        <v>2863</v>
      </c>
      <c r="E366" s="679"/>
      <c r="F366" s="645"/>
      <c r="G366" s="661"/>
      <c r="H366" s="645"/>
      <c r="I366" s="657"/>
      <c r="J366" s="694">
        <f>SUM(J365)</f>
        <v>39850</v>
      </c>
    </row>
    <row r="367" spans="1:10" s="644" customFormat="1" ht="25.5">
      <c r="A367" s="668"/>
      <c r="B367" s="654"/>
      <c r="C367" s="654"/>
      <c r="D367" s="682" t="s">
        <v>2864</v>
      </c>
      <c r="E367" s="679"/>
      <c r="F367" s="645"/>
      <c r="G367" s="661"/>
      <c r="H367" s="645"/>
      <c r="I367" s="657"/>
      <c r="J367" s="694">
        <f>SUM(J366/100)</f>
        <v>398.5</v>
      </c>
    </row>
    <row r="368" spans="1:10" s="644" customFormat="1" ht="25.5">
      <c r="A368" s="668"/>
      <c r="B368" s="654"/>
      <c r="C368" s="654"/>
      <c r="D368" s="656" t="s">
        <v>2766</v>
      </c>
      <c r="E368" s="679"/>
      <c r="F368" s="682"/>
      <c r="G368" s="661"/>
      <c r="H368" s="645"/>
      <c r="I368" s="657"/>
      <c r="J368" s="655">
        <f>ROUNDDOWN(J363+J367,1)</f>
        <v>452.9</v>
      </c>
    </row>
    <row r="369" spans="1:10" s="644" customFormat="1">
      <c r="A369" s="668"/>
      <c r="B369" s="664"/>
      <c r="C369" s="664"/>
      <c r="D369" s="669" t="s">
        <v>2767</v>
      </c>
      <c r="E369" s="670">
        <f>$E$9</f>
        <v>0</v>
      </c>
      <c r="F369" s="684"/>
      <c r="G369" s="663"/>
      <c r="H369" s="684"/>
      <c r="I369" s="672"/>
      <c r="J369" s="676">
        <f>J368*E369</f>
        <v>0</v>
      </c>
    </row>
    <row r="370" spans="1:10" s="644" customFormat="1">
      <c r="A370" s="668"/>
      <c r="B370" s="664"/>
      <c r="C370" s="664"/>
      <c r="D370" s="673"/>
      <c r="E370" s="685"/>
      <c r="F370" s="684"/>
      <c r="G370" s="663"/>
      <c r="H370" s="684"/>
      <c r="I370" s="672"/>
      <c r="J370" s="676">
        <f>SUM(J368:J369)</f>
        <v>452.9</v>
      </c>
    </row>
    <row r="371" spans="1:10" s="644" customFormat="1">
      <c r="A371" s="668"/>
      <c r="B371" s="664"/>
      <c r="C371" s="664"/>
      <c r="D371" s="691" t="s">
        <v>2768</v>
      </c>
      <c r="E371" s="685"/>
      <c r="F371" s="684"/>
      <c r="G371" s="663"/>
      <c r="H371" s="684"/>
      <c r="I371" s="675"/>
      <c r="J371" s="693">
        <f>ROUND(J370,0)</f>
        <v>453</v>
      </c>
    </row>
    <row r="372" spans="1:10" s="644" customFormat="1">
      <c r="A372" s="668"/>
      <c r="B372" s="677"/>
      <c r="C372" s="677"/>
      <c r="D372" s="678"/>
      <c r="E372" s="677"/>
      <c r="F372" s="677"/>
      <c r="G372" s="677"/>
      <c r="H372" s="677"/>
      <c r="I372" s="675"/>
      <c r="J372" s="677"/>
    </row>
    <row r="373" spans="1:10" s="644" customFormat="1">
      <c r="A373" s="653">
        <f>SUM(MAX($A$7:$A372),1)</f>
        <v>19</v>
      </c>
      <c r="B373" s="665"/>
      <c r="C373" s="665"/>
      <c r="D373" s="2155" t="s">
        <v>2873</v>
      </c>
      <c r="E373" s="2155"/>
      <c r="F373" s="2155"/>
      <c r="G373" s="2155"/>
      <c r="H373" s="2155"/>
      <c r="I373" s="2155"/>
      <c r="J373" s="2155"/>
    </row>
    <row r="374" spans="1:10" s="644" customFormat="1">
      <c r="A374" s="668"/>
      <c r="B374" s="654"/>
      <c r="C374" s="654"/>
      <c r="D374" s="682" t="s">
        <v>2754</v>
      </c>
      <c r="E374" s="679"/>
      <c r="F374" s="645"/>
      <c r="G374" s="661"/>
      <c r="H374" s="645"/>
      <c r="I374" s="657"/>
      <c r="J374" s="694"/>
    </row>
    <row r="375" spans="1:10" s="644" customFormat="1">
      <c r="A375" s="668"/>
      <c r="B375" s="654">
        <v>1</v>
      </c>
      <c r="C375" s="654"/>
      <c r="D375" s="645" t="s">
        <v>2740</v>
      </c>
      <c r="E375" s="679">
        <v>2.34</v>
      </c>
      <c r="F375" s="680" t="s">
        <v>1738</v>
      </c>
      <c r="G375" s="661">
        <v>1</v>
      </c>
      <c r="H375" s="680" t="s">
        <v>1738</v>
      </c>
      <c r="I375" s="657">
        <f>IF(B375=$B$2,$G$2,IF(B375=$B$3,$G$3,IF(B375=$B$4,$G$4,IF(B375=$B$5,$G$5,IF(B375=$B$6,$G$6,IF(B375=$B$7,$G$7,FALSE))))))</f>
        <v>660</v>
      </c>
      <c r="J375" s="694">
        <f>SUM(E375*I375/G375)</f>
        <v>1544.3999999999999</v>
      </c>
    </row>
    <row r="376" spans="1:10" s="644" customFormat="1">
      <c r="A376" s="668"/>
      <c r="B376" s="654">
        <v>2</v>
      </c>
      <c r="C376" s="654"/>
      <c r="D376" s="645" t="s">
        <v>2741</v>
      </c>
      <c r="E376" s="679">
        <v>6.5</v>
      </c>
      <c r="F376" s="680" t="s">
        <v>1738</v>
      </c>
      <c r="G376" s="661">
        <v>1</v>
      </c>
      <c r="H376" s="680" t="s">
        <v>1738</v>
      </c>
      <c r="I376" s="657">
        <f>IF(B376=$B$2,$G$2,IF(B376=$B$3,$G$3,IF(B376=$B$4,$G$4,IF(B376=$B$5,$G$5,IF(B376=$B$6,$G$6,IF(B376=$B$7,$G$7,FALSE))))))</f>
        <v>550</v>
      </c>
      <c r="J376" s="694">
        <f>SUM(E376*I376/G376)</f>
        <v>3575</v>
      </c>
    </row>
    <row r="377" spans="1:10" s="644" customFormat="1">
      <c r="A377" s="668"/>
      <c r="B377" s="654">
        <v>3</v>
      </c>
      <c r="C377" s="654"/>
      <c r="D377" s="645" t="s">
        <v>2742</v>
      </c>
      <c r="E377" s="679">
        <v>2.34</v>
      </c>
      <c r="F377" s="680" t="s">
        <v>1738</v>
      </c>
      <c r="G377" s="661">
        <v>1</v>
      </c>
      <c r="H377" s="680" t="s">
        <v>1738</v>
      </c>
      <c r="I377" s="657">
        <f>IF(B377=$B$2,$G$2,IF(B377=$B$3,$G$3,IF(B377=$B$4,$G$4,IF(B377=$B$5,$G$5,IF(B377=$B$6,$G$6,IF(B377=$B$7,$G$7,FALSE))))))</f>
        <v>550</v>
      </c>
      <c r="J377" s="694">
        <f>SUM(E377*I377/G377)</f>
        <v>1287</v>
      </c>
    </row>
    <row r="378" spans="1:10" s="644" customFormat="1">
      <c r="A378" s="668"/>
      <c r="B378" s="654"/>
      <c r="C378" s="654"/>
      <c r="D378" s="682" t="s">
        <v>2860</v>
      </c>
      <c r="E378" s="679"/>
      <c r="F378" s="680"/>
      <c r="G378" s="661"/>
      <c r="H378" s="680"/>
      <c r="I378" s="657"/>
      <c r="J378" s="694">
        <f>SUM(J375:J377)</f>
        <v>6406.4</v>
      </c>
    </row>
    <row r="379" spans="1:10" s="644" customFormat="1">
      <c r="A379" s="668"/>
      <c r="B379" s="654"/>
      <c r="C379" s="654"/>
      <c r="D379" s="682" t="s">
        <v>2861</v>
      </c>
      <c r="E379" s="695"/>
      <c r="F379" s="680"/>
      <c r="G379" s="661"/>
      <c r="H379" s="680"/>
      <c r="I379" s="657"/>
      <c r="J379" s="694">
        <f>SUM(J378/100)</f>
        <v>64.063999999999993</v>
      </c>
    </row>
    <row r="380" spans="1:10" s="644" customFormat="1">
      <c r="A380" s="668"/>
      <c r="B380" s="654"/>
      <c r="C380" s="654"/>
      <c r="D380" s="696" t="s">
        <v>1879</v>
      </c>
      <c r="E380" s="679"/>
      <c r="F380" s="680"/>
      <c r="G380" s="661"/>
      <c r="H380" s="680"/>
      <c r="I380" s="657"/>
      <c r="J380" s="694"/>
    </row>
    <row r="381" spans="1:10" s="644" customFormat="1" ht="38.25">
      <c r="A381" s="668"/>
      <c r="B381" s="654" t="s">
        <v>2818</v>
      </c>
      <c r="C381" s="661" t="s">
        <v>1192</v>
      </c>
      <c r="D381" s="682" t="s">
        <v>2874</v>
      </c>
      <c r="E381" s="679">
        <v>500</v>
      </c>
      <c r="F381" s="645" t="s">
        <v>2805</v>
      </c>
      <c r="G381" s="661">
        <v>100</v>
      </c>
      <c r="H381" s="645" t="s">
        <v>2805</v>
      </c>
      <c r="I381" s="679">
        <v>13184</v>
      </c>
      <c r="J381" s="694">
        <f>SUM(E381*I381/G381)</f>
        <v>65920</v>
      </c>
    </row>
    <row r="382" spans="1:10" s="644" customFormat="1">
      <c r="A382" s="668"/>
      <c r="B382" s="654"/>
      <c r="C382" s="654"/>
      <c r="D382" s="682" t="s">
        <v>2863</v>
      </c>
      <c r="E382" s="679"/>
      <c r="F382" s="645"/>
      <c r="G382" s="661"/>
      <c r="H382" s="645"/>
      <c r="I382" s="657"/>
      <c r="J382" s="694">
        <f>SUM(J381)</f>
        <v>65920</v>
      </c>
    </row>
    <row r="383" spans="1:10" s="644" customFormat="1" ht="25.5">
      <c r="A383" s="668"/>
      <c r="B383" s="654"/>
      <c r="C383" s="654"/>
      <c r="D383" s="682" t="s">
        <v>2864</v>
      </c>
      <c r="E383" s="679"/>
      <c r="F383" s="645"/>
      <c r="G383" s="661"/>
      <c r="H383" s="645"/>
      <c r="I383" s="657"/>
      <c r="J383" s="694">
        <f>SUM(J382/100)</f>
        <v>659.2</v>
      </c>
    </row>
    <row r="384" spans="1:10" s="644" customFormat="1" ht="25.5">
      <c r="A384" s="668"/>
      <c r="B384" s="654"/>
      <c r="C384" s="654"/>
      <c r="D384" s="656" t="s">
        <v>2766</v>
      </c>
      <c r="E384" s="679"/>
      <c r="F384" s="645"/>
      <c r="G384" s="661"/>
      <c r="H384" s="645"/>
      <c r="I384" s="657"/>
      <c r="J384" s="655">
        <f>ROUNDDOWN(J379+J383,1)</f>
        <v>723.2</v>
      </c>
    </row>
    <row r="385" spans="1:10" s="644" customFormat="1">
      <c r="A385" s="668"/>
      <c r="B385" s="664"/>
      <c r="C385" s="664"/>
      <c r="D385" s="669" t="s">
        <v>2767</v>
      </c>
      <c r="E385" s="670">
        <f>$E$9</f>
        <v>0</v>
      </c>
      <c r="F385" s="684"/>
      <c r="G385" s="663"/>
      <c r="H385" s="684"/>
      <c r="I385" s="672"/>
      <c r="J385" s="676">
        <f>J384*E385</f>
        <v>0</v>
      </c>
    </row>
    <row r="386" spans="1:10" s="644" customFormat="1">
      <c r="A386" s="668"/>
      <c r="B386" s="664"/>
      <c r="C386" s="664"/>
      <c r="D386" s="673"/>
      <c r="E386" s="685"/>
      <c r="F386" s="684"/>
      <c r="G386" s="663"/>
      <c r="H386" s="684"/>
      <c r="I386" s="672"/>
      <c r="J386" s="676">
        <f>SUM(J384:J385)</f>
        <v>723.2</v>
      </c>
    </row>
    <row r="387" spans="1:10" s="644" customFormat="1">
      <c r="A387" s="668"/>
      <c r="B387" s="664"/>
      <c r="C387" s="664"/>
      <c r="D387" s="691" t="s">
        <v>2768</v>
      </c>
      <c r="E387" s="685"/>
      <c r="F387" s="684"/>
      <c r="G387" s="663"/>
      <c r="H387" s="684"/>
      <c r="I387" s="675"/>
      <c r="J387" s="693">
        <f>ROUND(J386,0)</f>
        <v>723</v>
      </c>
    </row>
    <row r="388" spans="1:10" s="644" customFormat="1">
      <c r="A388" s="668"/>
      <c r="B388" s="677"/>
      <c r="C388" s="677"/>
      <c r="D388" s="678"/>
      <c r="E388" s="677"/>
      <c r="F388" s="677"/>
      <c r="G388" s="677"/>
      <c r="H388" s="677"/>
      <c r="I388" s="675"/>
      <c r="J388" s="677"/>
    </row>
    <row r="389" spans="1:10" s="733" customFormat="1">
      <c r="A389" s="668" t="s">
        <v>2875</v>
      </c>
      <c r="B389" s="732"/>
      <c r="C389" s="732"/>
      <c r="D389" s="2159" t="s">
        <v>2876</v>
      </c>
      <c r="E389" s="2159"/>
      <c r="F389" s="2159"/>
      <c r="G389" s="2159"/>
      <c r="H389" s="2159"/>
      <c r="I389" s="2159"/>
      <c r="J389" s="2159"/>
    </row>
    <row r="390" spans="1:10" s="644" customFormat="1" ht="35.25" customHeight="1">
      <c r="A390" s="653">
        <f>SUM(MAX($A$7:$A389),1)</f>
        <v>20</v>
      </c>
      <c r="B390" s="665"/>
      <c r="C390" s="665"/>
      <c r="D390" s="2158" t="s">
        <v>2877</v>
      </c>
      <c r="E390" s="2158"/>
      <c r="F390" s="2158"/>
      <c r="G390" s="2158"/>
      <c r="H390" s="2158"/>
      <c r="I390" s="2158"/>
      <c r="J390" s="2158"/>
    </row>
    <row r="391" spans="1:10" s="644" customFormat="1">
      <c r="A391" s="668"/>
      <c r="B391" s="664"/>
      <c r="C391" s="664"/>
      <c r="D391" s="656" t="s">
        <v>2878</v>
      </c>
      <c r="E391" s="685"/>
      <c r="F391" s="697"/>
      <c r="G391" s="663"/>
      <c r="H391" s="697"/>
      <c r="I391" s="672"/>
      <c r="J391" s="676"/>
    </row>
    <row r="392" spans="1:10" s="644" customFormat="1">
      <c r="A392" s="668"/>
      <c r="B392" s="654">
        <v>1</v>
      </c>
      <c r="C392" s="654"/>
      <c r="D392" s="645" t="s">
        <v>2740</v>
      </c>
      <c r="E392" s="679">
        <v>0.25</v>
      </c>
      <c r="F392" s="680" t="s">
        <v>1738</v>
      </c>
      <c r="G392" s="661">
        <v>1</v>
      </c>
      <c r="H392" s="680" t="s">
        <v>1738</v>
      </c>
      <c r="I392" s="657">
        <f>IF(B392=$B$2,$G$2,IF(B392=$B$3,$G$3,IF(B392=$B$4,$G$4,IF(B392=$B$5,$G$5,IF(B392=$B$6,$G$6,IF(B392=$B$7,$G$7,FALSE))))))</f>
        <v>660</v>
      </c>
      <c r="J392" s="694">
        <f>SUM(E392*I392/G392)</f>
        <v>165</v>
      </c>
    </row>
    <row r="393" spans="1:10" s="644" customFormat="1">
      <c r="A393" s="668"/>
      <c r="B393" s="654">
        <v>2</v>
      </c>
      <c r="C393" s="654"/>
      <c r="D393" s="645" t="s">
        <v>2741</v>
      </c>
      <c r="E393" s="679">
        <v>0.25</v>
      </c>
      <c r="F393" s="680" t="s">
        <v>1738</v>
      </c>
      <c r="G393" s="661">
        <v>1</v>
      </c>
      <c r="H393" s="680" t="s">
        <v>1738</v>
      </c>
      <c r="I393" s="657">
        <f>IF(B393=$B$2,$G$2,IF(B393=$B$3,$G$3,IF(B393=$B$4,$G$4,IF(B393=$B$5,$G$5,IF(B393=$B$6,$G$6,IF(B393=$B$7,$G$7,FALSE))))))</f>
        <v>550</v>
      </c>
      <c r="J393" s="694">
        <f>SUM(E393*I393/G393)</f>
        <v>137.5</v>
      </c>
    </row>
    <row r="394" spans="1:10" s="644" customFormat="1">
      <c r="A394" s="668"/>
      <c r="B394" s="664">
        <v>3</v>
      </c>
      <c r="C394" s="664"/>
      <c r="D394" s="646" t="s">
        <v>2743</v>
      </c>
      <c r="E394" s="679">
        <v>0.15</v>
      </c>
      <c r="F394" s="680" t="s">
        <v>1738</v>
      </c>
      <c r="G394" s="661">
        <v>1</v>
      </c>
      <c r="H394" s="680" t="s">
        <v>1738</v>
      </c>
      <c r="I394" s="657">
        <f>IF(B394=$B$2,$G$2,IF(B394=$B$3,$G$3,IF(B394=$B$4,$G$4,IF(B394=$B$5,$G$5,IF(B394=$B$6,$G$6,IF(B394=$B$7,$G$7,FALSE))))))</f>
        <v>550</v>
      </c>
      <c r="J394" s="694">
        <f>SUM(E394*I394/G394)</f>
        <v>82.5</v>
      </c>
    </row>
    <row r="395" spans="1:10" s="644" customFormat="1" ht="25.5">
      <c r="A395" s="668"/>
      <c r="B395" s="664"/>
      <c r="C395" s="664"/>
      <c r="D395" s="734" t="s">
        <v>2879</v>
      </c>
      <c r="E395" s="685"/>
      <c r="F395" s="684"/>
      <c r="G395" s="663"/>
      <c r="H395" s="684"/>
      <c r="I395" s="672"/>
      <c r="J395" s="676">
        <f>SUM(J392:J394)</f>
        <v>385</v>
      </c>
    </row>
    <row r="396" spans="1:10" s="644" customFormat="1">
      <c r="A396" s="668"/>
      <c r="B396" s="665"/>
      <c r="C396" s="665"/>
      <c r="D396" s="666" t="s">
        <v>2880</v>
      </c>
      <c r="E396" s="679"/>
      <c r="F396" s="680"/>
      <c r="G396" s="661"/>
      <c r="H396" s="680"/>
      <c r="I396" s="657"/>
      <c r="J396" s="694"/>
    </row>
    <row r="397" spans="1:10" s="644" customFormat="1" ht="25.5">
      <c r="A397" s="668"/>
      <c r="B397" s="654" t="s">
        <v>2881</v>
      </c>
      <c r="C397" s="661" t="s">
        <v>1184</v>
      </c>
      <c r="D397" s="682" t="s">
        <v>2882</v>
      </c>
      <c r="E397" s="695">
        <v>1</v>
      </c>
      <c r="F397" s="645" t="s">
        <v>955</v>
      </c>
      <c r="G397" s="661">
        <v>1</v>
      </c>
      <c r="H397" s="645" t="s">
        <v>1509</v>
      </c>
      <c r="I397" s="679">
        <v>614</v>
      </c>
      <c r="J397" s="694">
        <f>SUM(E397*I397/G397)</f>
        <v>614</v>
      </c>
    </row>
    <row r="398" spans="1:10" s="644" customFormat="1" ht="25.5">
      <c r="A398" s="668"/>
      <c r="B398" s="654" t="s">
        <v>2883</v>
      </c>
      <c r="C398" s="735" t="s">
        <v>1186</v>
      </c>
      <c r="D398" s="682" t="s">
        <v>2884</v>
      </c>
      <c r="E398" s="695">
        <v>1</v>
      </c>
      <c r="F398" s="645" t="s">
        <v>955</v>
      </c>
      <c r="G398" s="661">
        <v>1</v>
      </c>
      <c r="H398" s="645" t="s">
        <v>1509</v>
      </c>
      <c r="I398" s="657">
        <v>872</v>
      </c>
      <c r="J398" s="694">
        <f>SUM(E398*I398/G398)</f>
        <v>872</v>
      </c>
    </row>
    <row r="399" spans="1:10" s="644" customFormat="1">
      <c r="A399" s="668"/>
      <c r="B399" s="654" t="s">
        <v>2770</v>
      </c>
      <c r="C399" s="661"/>
      <c r="D399" s="645" t="s">
        <v>2771</v>
      </c>
      <c r="E399" s="679">
        <v>5</v>
      </c>
      <c r="F399" s="645" t="s">
        <v>97</v>
      </c>
      <c r="G399" s="661">
        <v>1</v>
      </c>
      <c r="H399" s="645" t="s">
        <v>97</v>
      </c>
      <c r="I399" s="657">
        <v>9</v>
      </c>
      <c r="J399" s="694">
        <f>SUM(E399*I399/G399)</f>
        <v>45</v>
      </c>
    </row>
    <row r="400" spans="1:10" s="733" customFormat="1" ht="25.5">
      <c r="A400" s="668"/>
      <c r="B400" s="736"/>
      <c r="C400" s="736"/>
      <c r="D400" s="734" t="s">
        <v>2885</v>
      </c>
      <c r="E400" s="685"/>
      <c r="F400" s="656"/>
      <c r="G400" s="663"/>
      <c r="H400" s="697"/>
      <c r="I400" s="672"/>
      <c r="J400" s="676">
        <f>SUM(J397:J399)</f>
        <v>1531</v>
      </c>
    </row>
    <row r="401" spans="1:10" s="644" customFormat="1" ht="25.5">
      <c r="A401" s="668"/>
      <c r="B401" s="664"/>
      <c r="C401" s="664"/>
      <c r="D401" s="656" t="s">
        <v>2886</v>
      </c>
      <c r="E401" s="737"/>
      <c r="F401" s="656"/>
      <c r="G401" s="663"/>
      <c r="H401" s="697"/>
      <c r="I401" s="672"/>
      <c r="J401" s="676">
        <f>J395+J400</f>
        <v>1916</v>
      </c>
    </row>
    <row r="402" spans="1:10" s="644" customFormat="1">
      <c r="A402" s="668"/>
      <c r="B402" s="664"/>
      <c r="C402" s="664"/>
      <c r="D402" s="669" t="s">
        <v>2767</v>
      </c>
      <c r="E402" s="670">
        <f>$E$9</f>
        <v>0</v>
      </c>
      <c r="F402" s="684"/>
      <c r="G402" s="663"/>
      <c r="H402" s="684"/>
      <c r="I402" s="672"/>
      <c r="J402" s="676">
        <f>J401*$E402</f>
        <v>0</v>
      </c>
    </row>
    <row r="403" spans="1:10" s="644" customFormat="1">
      <c r="A403" s="668"/>
      <c r="B403" s="664"/>
      <c r="C403" s="664"/>
      <c r="D403" s="673"/>
      <c r="E403" s="685"/>
      <c r="F403" s="684"/>
      <c r="G403" s="663"/>
      <c r="H403" s="684"/>
      <c r="I403" s="672"/>
      <c r="J403" s="676">
        <f>SUM(J401:J402)</f>
        <v>1916</v>
      </c>
    </row>
    <row r="404" spans="1:10" s="644" customFormat="1">
      <c r="A404" s="668"/>
      <c r="B404" s="654"/>
      <c r="C404" s="654"/>
      <c r="D404" s="669" t="s">
        <v>2380</v>
      </c>
      <c r="E404" s="685"/>
      <c r="F404" s="684"/>
      <c r="G404" s="663"/>
      <c r="H404" s="684"/>
      <c r="I404" s="686"/>
      <c r="J404" s="693">
        <f>ROUND(J403,0)</f>
        <v>1916</v>
      </c>
    </row>
    <row r="405" spans="1:10" s="644" customFormat="1">
      <c r="A405" s="668"/>
      <c r="B405" s="654"/>
      <c r="C405" s="654"/>
      <c r="D405" s="669"/>
      <c r="E405" s="685"/>
      <c r="F405" s="684"/>
      <c r="G405" s="663"/>
      <c r="H405" s="684"/>
      <c r="I405" s="686"/>
      <c r="J405" s="676"/>
    </row>
    <row r="406" spans="1:10" s="733" customFormat="1">
      <c r="A406" s="673"/>
      <c r="B406" s="736"/>
      <c r="C406" s="736"/>
      <c r="D406" s="2166" t="s">
        <v>2887</v>
      </c>
      <c r="E406" s="2166"/>
      <c r="F406" s="2166"/>
      <c r="G406" s="2166"/>
      <c r="H406" s="2166"/>
      <c r="I406" s="2166"/>
      <c r="J406" s="2166"/>
    </row>
    <row r="407" spans="1:10" s="644" customFormat="1" ht="76.5" customHeight="1">
      <c r="A407" s="653">
        <f>SUM(MAX($A$7:$A405),1)</f>
        <v>21</v>
      </c>
      <c r="B407" s="665"/>
      <c r="C407" s="665"/>
      <c r="D407" s="2158" t="s">
        <v>2888</v>
      </c>
      <c r="E407" s="2158"/>
      <c r="F407" s="2158"/>
      <c r="G407" s="2158"/>
      <c r="H407" s="2158"/>
      <c r="I407" s="2158"/>
      <c r="J407" s="2158"/>
    </row>
    <row r="408" spans="1:10" s="644" customFormat="1">
      <c r="A408" s="668"/>
      <c r="B408" s="664"/>
      <c r="C408" s="664"/>
      <c r="D408" s="656" t="s">
        <v>2878</v>
      </c>
      <c r="E408" s="685"/>
      <c r="F408" s="697"/>
      <c r="G408" s="663"/>
      <c r="H408" s="697"/>
      <c r="I408" s="672"/>
      <c r="J408" s="676"/>
    </row>
    <row r="409" spans="1:10" s="644" customFormat="1">
      <c r="A409" s="668"/>
      <c r="B409" s="654">
        <v>1</v>
      </c>
      <c r="C409" s="654"/>
      <c r="D409" s="645" t="s">
        <v>2740</v>
      </c>
      <c r="E409" s="679">
        <v>0.5</v>
      </c>
      <c r="F409" s="680" t="s">
        <v>1738</v>
      </c>
      <c r="G409" s="661">
        <v>1</v>
      </c>
      <c r="H409" s="680" t="s">
        <v>1738</v>
      </c>
      <c r="I409" s="657">
        <f>IF(B409=$B$2,$G$2,IF(B409=$B$3,$G$3,IF(B409=$B$4,$G$4,IF(B409=$B$5,$G$5,IF(B409=$B$6,$G$6,IF(B409=$B$7,$G$7,FALSE))))))</f>
        <v>660</v>
      </c>
      <c r="J409" s="694">
        <f>SUM(E409*I409/G409)</f>
        <v>330</v>
      </c>
    </row>
    <row r="410" spans="1:10" s="644" customFormat="1">
      <c r="A410" s="668"/>
      <c r="B410" s="654">
        <v>2</v>
      </c>
      <c r="C410" s="654"/>
      <c r="D410" s="645" t="s">
        <v>2741</v>
      </c>
      <c r="E410" s="679">
        <v>0.5</v>
      </c>
      <c r="F410" s="680" t="s">
        <v>1738</v>
      </c>
      <c r="G410" s="661">
        <v>1</v>
      </c>
      <c r="H410" s="680" t="s">
        <v>1738</v>
      </c>
      <c r="I410" s="657">
        <f>IF(B410=$B$2,$G$2,IF(B410=$B$3,$G$3,IF(B410=$B$4,$G$4,IF(B410=$B$5,$G$5,IF(B410=$B$6,$G$6,IF(B410=$B$7,$G$7,FALSE))))))</f>
        <v>550</v>
      </c>
      <c r="J410" s="694">
        <f>SUM(E410*I410/G410)</f>
        <v>275</v>
      </c>
    </row>
    <row r="411" spans="1:10" s="644" customFormat="1">
      <c r="A411" s="668"/>
      <c r="B411" s="654">
        <v>4</v>
      </c>
      <c r="C411" s="654"/>
      <c r="D411" s="646" t="s">
        <v>2743</v>
      </c>
      <c r="E411" s="679">
        <v>0.5</v>
      </c>
      <c r="F411" s="680" t="s">
        <v>1738</v>
      </c>
      <c r="G411" s="661">
        <v>1</v>
      </c>
      <c r="H411" s="680" t="s">
        <v>1738</v>
      </c>
      <c r="I411" s="657">
        <f>IF(B411=$B$2,$G$2,IF(B411=$B$3,$G$3,IF(B411=$B$4,$G$4,IF(B411=$B$5,$G$5,IF(B411=$B$6,$G$6,IF(B411=$B$7,$G$7,FALSE))))))</f>
        <v>580</v>
      </c>
      <c r="J411" s="694">
        <f>SUM(E411*I411/G411)</f>
        <v>290</v>
      </c>
    </row>
    <row r="412" spans="1:10" s="644" customFormat="1">
      <c r="A412" s="668"/>
      <c r="B412" s="664"/>
      <c r="C412" s="664"/>
      <c r="D412" s="734"/>
      <c r="E412" s="679"/>
      <c r="F412" s="684"/>
      <c r="G412" s="663"/>
      <c r="H412" s="684"/>
      <c r="I412" s="672"/>
      <c r="J412" s="672">
        <f>SUM(J409:J411)</f>
        <v>895</v>
      </c>
    </row>
    <row r="413" spans="1:10" s="644" customFormat="1">
      <c r="A413" s="668"/>
      <c r="B413" s="654"/>
      <c r="C413" s="654"/>
      <c r="D413" s="666" t="s">
        <v>2880</v>
      </c>
      <c r="E413" s="679"/>
      <c r="F413" s="645"/>
      <c r="G413" s="661"/>
      <c r="H413" s="645"/>
      <c r="I413" s="657"/>
      <c r="J413" s="694"/>
    </row>
    <row r="414" spans="1:10" s="644" customFormat="1">
      <c r="A414" s="668"/>
      <c r="B414" s="665" t="s">
        <v>2889</v>
      </c>
      <c r="C414" s="661" t="s">
        <v>1188</v>
      </c>
      <c r="D414" s="682" t="s">
        <v>2890</v>
      </c>
      <c r="E414" s="695">
        <v>1</v>
      </c>
      <c r="F414" s="645" t="s">
        <v>955</v>
      </c>
      <c r="G414" s="661">
        <v>1</v>
      </c>
      <c r="H414" s="645" t="s">
        <v>1509</v>
      </c>
      <c r="I414" s="657">
        <v>1902</v>
      </c>
      <c r="J414" s="694">
        <f>SUM(E414*I414/G414)</f>
        <v>1902</v>
      </c>
    </row>
    <row r="415" spans="1:10" s="644" customFormat="1" ht="25.5">
      <c r="A415" s="668"/>
      <c r="B415" s="654" t="s">
        <v>2883</v>
      </c>
      <c r="C415" s="738" t="s">
        <v>1188</v>
      </c>
      <c r="D415" s="739" t="s">
        <v>2891</v>
      </c>
      <c r="E415" s="695">
        <v>1</v>
      </c>
      <c r="F415" s="645" t="s">
        <v>1509</v>
      </c>
      <c r="G415" s="661">
        <v>1</v>
      </c>
      <c r="H415" s="645" t="s">
        <v>1509</v>
      </c>
      <c r="I415" s="657">
        <v>1411</v>
      </c>
      <c r="J415" s="694">
        <f>SUM(E415*I415/G415)</f>
        <v>1411</v>
      </c>
    </row>
    <row r="416" spans="1:10" s="644" customFormat="1" ht="25.5">
      <c r="A416" s="668"/>
      <c r="B416" s="687" t="s">
        <v>2883</v>
      </c>
      <c r="C416" s="738" t="s">
        <v>1180</v>
      </c>
      <c r="D416" s="739" t="s">
        <v>2892</v>
      </c>
      <c r="E416" s="695">
        <v>6</v>
      </c>
      <c r="F416" s="645" t="s">
        <v>955</v>
      </c>
      <c r="G416" s="661">
        <v>1</v>
      </c>
      <c r="H416" s="645" t="s">
        <v>1509</v>
      </c>
      <c r="I416" s="657">
        <v>294</v>
      </c>
      <c r="J416" s="694">
        <f>SUM(E416*I416/G416)</f>
        <v>1764</v>
      </c>
    </row>
    <row r="417" spans="1:10" s="644" customFormat="1" ht="25.5">
      <c r="A417" s="668"/>
      <c r="B417" s="654" t="s">
        <v>2893</v>
      </c>
      <c r="C417" s="661"/>
      <c r="D417" s="646" t="s">
        <v>2771</v>
      </c>
      <c r="E417" s="679">
        <v>12.5</v>
      </c>
      <c r="F417" s="645" t="s">
        <v>97</v>
      </c>
      <c r="G417" s="661">
        <v>1</v>
      </c>
      <c r="H417" s="645" t="s">
        <v>97</v>
      </c>
      <c r="I417" s="657">
        <f>I399</f>
        <v>9</v>
      </c>
      <c r="J417" s="694">
        <f>SUM(E417*I417/G417)</f>
        <v>112.5</v>
      </c>
    </row>
    <row r="418" spans="1:10" s="644" customFormat="1">
      <c r="A418" s="668"/>
      <c r="B418" s="736"/>
      <c r="C418" s="736"/>
      <c r="D418" s="740"/>
      <c r="E418" s="741"/>
      <c r="F418" s="742"/>
      <c r="G418" s="743"/>
      <c r="H418" s="742"/>
      <c r="I418" s="744"/>
      <c r="J418" s="745">
        <f>SUM(J414:J417)</f>
        <v>5189.5</v>
      </c>
    </row>
    <row r="419" spans="1:10" s="644" customFormat="1" ht="25.5">
      <c r="A419" s="668"/>
      <c r="B419" s="654"/>
      <c r="C419" s="654"/>
      <c r="D419" s="656" t="s">
        <v>2894</v>
      </c>
      <c r="E419" s="737" t="s">
        <v>2895</v>
      </c>
      <c r="F419" s="656"/>
      <c r="G419" s="663"/>
      <c r="H419" s="697"/>
      <c r="I419" s="675"/>
      <c r="J419" s="655">
        <f>J418+J412</f>
        <v>6084.5</v>
      </c>
    </row>
    <row r="420" spans="1:10" s="644" customFormat="1">
      <c r="A420" s="668"/>
      <c r="B420" s="664"/>
      <c r="C420" s="664"/>
      <c r="D420" s="669" t="s">
        <v>2767</v>
      </c>
      <c r="E420" s="670">
        <f>$E$9</f>
        <v>0</v>
      </c>
      <c r="F420" s="684"/>
      <c r="G420" s="663"/>
      <c r="H420" s="684"/>
      <c r="I420" s="675"/>
      <c r="J420" s="676">
        <f>J419*E420</f>
        <v>0</v>
      </c>
    </row>
    <row r="421" spans="1:10" s="644" customFormat="1">
      <c r="A421" s="668"/>
      <c r="B421" s="664"/>
      <c r="C421" s="664"/>
      <c r="D421" s="673"/>
      <c r="E421" s="685"/>
      <c r="F421" s="684"/>
      <c r="G421" s="663"/>
      <c r="H421" s="684"/>
      <c r="I421" s="675"/>
      <c r="J421" s="676">
        <f>SUM(J419:J420)</f>
        <v>6084.5</v>
      </c>
    </row>
    <row r="422" spans="1:10" s="644" customFormat="1">
      <c r="A422" s="668"/>
      <c r="B422" s="664"/>
      <c r="C422" s="664"/>
      <c r="D422" s="669" t="s">
        <v>2380</v>
      </c>
      <c r="E422" s="685"/>
      <c r="F422" s="684"/>
      <c r="G422" s="663"/>
      <c r="H422" s="684"/>
      <c r="I422" s="675"/>
      <c r="J422" s="693">
        <f>ROUND(J421,0)</f>
        <v>6085</v>
      </c>
    </row>
    <row r="423" spans="1:10" s="644" customFormat="1">
      <c r="A423" s="668"/>
      <c r="B423" s="654"/>
      <c r="C423" s="654"/>
      <c r="D423" s="669"/>
      <c r="E423" s="685"/>
      <c r="F423" s="684"/>
      <c r="G423" s="663"/>
      <c r="H423" s="684"/>
      <c r="I423" s="686"/>
      <c r="J423" s="676"/>
    </row>
    <row r="424" spans="1:10" s="644" customFormat="1">
      <c r="A424" s="673"/>
      <c r="B424" s="654"/>
      <c r="C424" s="654"/>
      <c r="D424" s="2161" t="s">
        <v>2896</v>
      </c>
      <c r="E424" s="2161"/>
      <c r="F424" s="2161"/>
      <c r="G424" s="2161"/>
      <c r="H424" s="2161"/>
      <c r="I424" s="2161"/>
      <c r="J424" s="2161"/>
    </row>
    <row r="425" spans="1:10" s="644" customFormat="1" ht="81" customHeight="1">
      <c r="A425" s="653">
        <f>SUM(MAX($A$7:$A423),1)</f>
        <v>22</v>
      </c>
      <c r="B425" s="665"/>
      <c r="C425" s="665"/>
      <c r="D425" s="2158" t="s">
        <v>2897</v>
      </c>
      <c r="E425" s="2158"/>
      <c r="F425" s="2158"/>
      <c r="G425" s="2158"/>
      <c r="H425" s="2158"/>
      <c r="I425" s="2158"/>
      <c r="J425" s="2158"/>
    </row>
    <row r="426" spans="1:10" s="644" customFormat="1">
      <c r="A426" s="668"/>
      <c r="B426" s="654"/>
      <c r="C426" s="654"/>
      <c r="D426" s="666" t="s">
        <v>2880</v>
      </c>
      <c r="E426" s="679"/>
      <c r="F426" s="645"/>
      <c r="G426" s="661"/>
      <c r="H426" s="645"/>
      <c r="I426" s="657"/>
      <c r="J426" s="694"/>
    </row>
    <row r="427" spans="1:10" s="644" customFormat="1" ht="63.75">
      <c r="A427" s="668"/>
      <c r="B427" s="654" t="s">
        <v>2898</v>
      </c>
      <c r="C427" s="661" t="s">
        <v>1184</v>
      </c>
      <c r="D427" s="682" t="s">
        <v>2899</v>
      </c>
      <c r="E427" s="695">
        <v>1</v>
      </c>
      <c r="F427" s="645" t="s">
        <v>955</v>
      </c>
      <c r="G427" s="661">
        <v>1</v>
      </c>
      <c r="H427" s="645" t="s">
        <v>1509</v>
      </c>
      <c r="I427" s="657">
        <v>3988</v>
      </c>
      <c r="J427" s="694">
        <f>SUM(E427*I427/G427)</f>
        <v>3988</v>
      </c>
    </row>
    <row r="428" spans="1:10" s="644" customFormat="1" ht="25.5">
      <c r="A428" s="668"/>
      <c r="B428" s="738" t="s">
        <v>2883</v>
      </c>
      <c r="C428" s="738" t="s">
        <v>1199</v>
      </c>
      <c r="D428" s="739" t="s">
        <v>2900</v>
      </c>
      <c r="E428" s="695">
        <v>1</v>
      </c>
      <c r="F428" s="645" t="s">
        <v>1509</v>
      </c>
      <c r="G428" s="661">
        <v>1</v>
      </c>
      <c r="H428" s="645" t="s">
        <v>1509</v>
      </c>
      <c r="I428" s="657">
        <v>1785</v>
      </c>
      <c r="J428" s="694">
        <f>SUM(E428*I428/G428)</f>
        <v>1785</v>
      </c>
    </row>
    <row r="429" spans="1:10" s="644" customFormat="1" ht="25.5">
      <c r="A429" s="668"/>
      <c r="B429" s="738" t="s">
        <v>2883</v>
      </c>
      <c r="C429" s="738" t="s">
        <v>1180</v>
      </c>
      <c r="D429" s="739" t="s">
        <v>2901</v>
      </c>
      <c r="E429" s="695">
        <v>12</v>
      </c>
      <c r="F429" s="645" t="s">
        <v>955</v>
      </c>
      <c r="G429" s="661">
        <v>1</v>
      </c>
      <c r="H429" s="645" t="s">
        <v>1509</v>
      </c>
      <c r="I429" s="657">
        <f>I416</f>
        <v>294</v>
      </c>
      <c r="J429" s="694">
        <f>SUM(E429*I429/G429)</f>
        <v>3528</v>
      </c>
    </row>
    <row r="430" spans="1:10" s="746" customFormat="1" ht="25.5">
      <c r="A430" s="668"/>
      <c r="B430" s="738" t="s">
        <v>2893</v>
      </c>
      <c r="C430" s="661"/>
      <c r="D430" s="646" t="s">
        <v>2771</v>
      </c>
      <c r="E430" s="679">
        <v>12.5</v>
      </c>
      <c r="F430" s="645" t="s">
        <v>97</v>
      </c>
      <c r="G430" s="661">
        <v>1</v>
      </c>
      <c r="H430" s="645" t="s">
        <v>97</v>
      </c>
      <c r="I430" s="657">
        <f>I417</f>
        <v>9</v>
      </c>
      <c r="J430" s="694">
        <f>SUM(E430*I430/G430)</f>
        <v>112.5</v>
      </c>
    </row>
    <row r="431" spans="1:10" s="733" customFormat="1">
      <c r="A431" s="668"/>
      <c r="B431" s="736"/>
      <c r="C431" s="736"/>
      <c r="D431" s="740"/>
      <c r="E431" s="741"/>
      <c r="F431" s="742"/>
      <c r="G431" s="743"/>
      <c r="H431" s="742"/>
      <c r="I431" s="744"/>
      <c r="J431" s="745">
        <f>SUM(J427:J430)</f>
        <v>9413.5</v>
      </c>
    </row>
    <row r="432" spans="1:10" s="644" customFormat="1">
      <c r="A432" s="668"/>
      <c r="B432" s="664"/>
      <c r="C432" s="664"/>
      <c r="D432" s="656" t="s">
        <v>2878</v>
      </c>
      <c r="E432" s="685"/>
      <c r="F432" s="697"/>
      <c r="G432" s="663"/>
      <c r="H432" s="697"/>
      <c r="I432" s="672"/>
      <c r="J432" s="676"/>
    </row>
    <row r="433" spans="1:10" s="644" customFormat="1">
      <c r="A433" s="668"/>
      <c r="B433" s="654">
        <v>1</v>
      </c>
      <c r="C433" s="654"/>
      <c r="D433" s="645" t="s">
        <v>2740</v>
      </c>
      <c r="E433" s="679">
        <v>0.7</v>
      </c>
      <c r="F433" s="680" t="s">
        <v>1738</v>
      </c>
      <c r="G433" s="661">
        <v>1</v>
      </c>
      <c r="H433" s="680" t="s">
        <v>1738</v>
      </c>
      <c r="I433" s="657">
        <f>IF(B433=$B$2,$G$2,IF(B433=$B$3,$G$3,IF(B433=$B$4,$G$4,IF(B433=$B$5,$G$5,IF(B433=$B$6,$G$6,IF(B433=$B$7,$G$7,FALSE))))))</f>
        <v>660</v>
      </c>
      <c r="J433" s="694">
        <f>SUM(E433*I433/G433)</f>
        <v>461.99999999999994</v>
      </c>
    </row>
    <row r="434" spans="1:10" s="644" customFormat="1">
      <c r="A434" s="668"/>
      <c r="B434" s="654">
        <v>2</v>
      </c>
      <c r="C434" s="654"/>
      <c r="D434" s="645" t="s">
        <v>2741</v>
      </c>
      <c r="E434" s="679">
        <v>1</v>
      </c>
      <c r="F434" s="680" t="s">
        <v>1738</v>
      </c>
      <c r="G434" s="661">
        <v>1</v>
      </c>
      <c r="H434" s="680" t="s">
        <v>1738</v>
      </c>
      <c r="I434" s="657">
        <f>IF(B434=$B$2,$G$2,IF(B434=$B$3,$G$3,IF(B434=$B$4,$G$4,IF(B434=$B$5,$G$5,IF(B434=$B$6,$G$6,IF(B434=$B$7,$G$7,FALSE))))))</f>
        <v>550</v>
      </c>
      <c r="J434" s="694">
        <f>SUM(E434*I434/G434)</f>
        <v>550</v>
      </c>
    </row>
    <row r="435" spans="1:10" s="644" customFormat="1">
      <c r="A435" s="668"/>
      <c r="B435" s="654">
        <v>3</v>
      </c>
      <c r="C435" s="654"/>
      <c r="D435" s="645" t="s">
        <v>2742</v>
      </c>
      <c r="E435" s="679">
        <v>1</v>
      </c>
      <c r="F435" s="680" t="s">
        <v>1738</v>
      </c>
      <c r="G435" s="661">
        <v>1</v>
      </c>
      <c r="H435" s="680" t="s">
        <v>1738</v>
      </c>
      <c r="I435" s="657">
        <f>IF(B435=$B$2,$G$2,IF(B435=$B$3,$G$3,IF(B435=$B$4,$G$4,IF(B435=$B$5,$G$5,IF(B435=$B$6,$G$6,IF(B435=$B$7,$G$7,FALSE))))))</f>
        <v>550</v>
      </c>
      <c r="J435" s="657">
        <f>SUM(E435*I435/G435)</f>
        <v>550</v>
      </c>
    </row>
    <row r="436" spans="1:10" s="746" customFormat="1">
      <c r="A436" s="668"/>
      <c r="B436" s="654">
        <v>4</v>
      </c>
      <c r="C436" s="654"/>
      <c r="D436" s="646" t="s">
        <v>2743</v>
      </c>
      <c r="E436" s="679">
        <v>0.5</v>
      </c>
      <c r="F436" s="680" t="s">
        <v>1738</v>
      </c>
      <c r="G436" s="661">
        <v>1</v>
      </c>
      <c r="H436" s="680" t="s">
        <v>1738</v>
      </c>
      <c r="I436" s="657">
        <f>IF(B436=$B$2,$G$2,IF(B436=$B$3,$G$3,IF(B436=$B$4,$G$4,IF(B436=$B$5,$G$5,IF(B436=$B$6,$G$6,IF(B436=$B$7,$G$7,FALSE))))))</f>
        <v>580</v>
      </c>
      <c r="J436" s="694">
        <f>SUM(E436*I436/G436)</f>
        <v>290</v>
      </c>
    </row>
    <row r="437" spans="1:10" s="644" customFormat="1">
      <c r="A437" s="668"/>
      <c r="B437" s="664"/>
      <c r="C437" s="664"/>
      <c r="D437" s="734"/>
      <c r="E437" s="679"/>
      <c r="F437" s="684"/>
      <c r="G437" s="663"/>
      <c r="H437" s="684"/>
      <c r="I437" s="672"/>
      <c r="J437" s="672">
        <f>SUM(J433:J436)</f>
        <v>1852</v>
      </c>
    </row>
    <row r="438" spans="1:10" s="644" customFormat="1" ht="25.5">
      <c r="A438" s="668"/>
      <c r="B438" s="654"/>
      <c r="C438" s="654"/>
      <c r="D438" s="656" t="s">
        <v>2894</v>
      </c>
      <c r="E438" s="737" t="s">
        <v>2895</v>
      </c>
      <c r="F438" s="656"/>
      <c r="G438" s="663"/>
      <c r="H438" s="697"/>
      <c r="I438" s="675"/>
      <c r="J438" s="655">
        <f>J431+J437</f>
        <v>11265.5</v>
      </c>
    </row>
    <row r="439" spans="1:10" s="644" customFormat="1">
      <c r="A439" s="668"/>
      <c r="B439" s="664"/>
      <c r="C439" s="664"/>
      <c r="D439" s="669" t="s">
        <v>2767</v>
      </c>
      <c r="E439" s="670">
        <f>$E$9</f>
        <v>0</v>
      </c>
      <c r="F439" s="684"/>
      <c r="G439" s="663"/>
      <c r="H439" s="684"/>
      <c r="I439" s="675"/>
      <c r="J439" s="676">
        <f>J438*E439</f>
        <v>0</v>
      </c>
    </row>
    <row r="440" spans="1:10" s="644" customFormat="1">
      <c r="A440" s="668"/>
      <c r="B440" s="664"/>
      <c r="C440" s="664"/>
      <c r="D440" s="673"/>
      <c r="E440" s="685"/>
      <c r="F440" s="684"/>
      <c r="G440" s="663"/>
      <c r="H440" s="684"/>
      <c r="I440" s="675"/>
      <c r="J440" s="676">
        <f>SUM(J438:J439)</f>
        <v>11265.5</v>
      </c>
    </row>
    <row r="441" spans="1:10" s="733" customFormat="1">
      <c r="A441" s="668"/>
      <c r="B441" s="736"/>
      <c r="C441" s="736"/>
      <c r="D441" s="669" t="s">
        <v>2380</v>
      </c>
      <c r="E441" s="747"/>
      <c r="F441" s="748"/>
      <c r="G441" s="743"/>
      <c r="H441" s="748"/>
      <c r="I441" s="749"/>
      <c r="J441" s="750">
        <f>ROUNDUP(J440,0)</f>
        <v>11266</v>
      </c>
    </row>
    <row r="442" spans="1:10" s="644" customFormat="1">
      <c r="A442" s="668"/>
      <c r="B442" s="664"/>
      <c r="C442" s="664"/>
      <c r="D442" s="691"/>
      <c r="E442" s="685"/>
      <c r="F442" s="684"/>
      <c r="G442" s="663"/>
      <c r="H442" s="684"/>
      <c r="I442" s="675"/>
      <c r="J442" s="693"/>
    </row>
    <row r="443" spans="1:10" s="644" customFormat="1">
      <c r="A443" s="673"/>
      <c r="B443" s="664"/>
      <c r="C443" s="664"/>
      <c r="D443" s="2161" t="s">
        <v>2902</v>
      </c>
      <c r="E443" s="2161"/>
      <c r="F443" s="2161"/>
      <c r="G443" s="2161"/>
      <c r="H443" s="2161"/>
      <c r="I443" s="2161"/>
      <c r="J443" s="2161"/>
    </row>
    <row r="444" spans="1:10" s="644" customFormat="1" ht="84" customHeight="1">
      <c r="A444" s="653">
        <f>SUM(MAX($A$7:$A442),1)</f>
        <v>23</v>
      </c>
      <c r="B444" s="665"/>
      <c r="C444" s="665"/>
      <c r="D444" s="2165" t="s">
        <v>2903</v>
      </c>
      <c r="E444" s="2165"/>
      <c r="F444" s="2165"/>
      <c r="G444" s="2165"/>
      <c r="H444" s="2165"/>
      <c r="I444" s="2165"/>
      <c r="J444" s="2165"/>
    </row>
    <row r="445" spans="1:10" s="644" customFormat="1">
      <c r="A445" s="668"/>
      <c r="B445" s="664"/>
      <c r="C445" s="664"/>
      <c r="D445" s="656" t="s">
        <v>2878</v>
      </c>
      <c r="E445" s="685"/>
      <c r="F445" s="697"/>
      <c r="G445" s="663"/>
      <c r="H445" s="697"/>
      <c r="I445" s="672"/>
      <c r="J445" s="676"/>
    </row>
    <row r="446" spans="1:10" s="644" customFormat="1">
      <c r="A446" s="668"/>
      <c r="B446" s="654">
        <v>1</v>
      </c>
      <c r="C446" s="654"/>
      <c r="D446" s="645" t="s">
        <v>2740</v>
      </c>
      <c r="E446" s="679">
        <v>0.7</v>
      </c>
      <c r="F446" s="680" t="s">
        <v>1738</v>
      </c>
      <c r="G446" s="661">
        <v>1</v>
      </c>
      <c r="H446" s="680" t="s">
        <v>1738</v>
      </c>
      <c r="I446" s="657">
        <f>IF(B446=$B$2,$G$2,IF(B446=$B$3,$G$3,IF(B446=$B$4,$G$4,IF(B446=$B$5,$G$5,IF(B446=$B$6,$G$6,IF(B446=$B$7,$G$7,FALSE))))))</f>
        <v>660</v>
      </c>
      <c r="J446" s="694">
        <f>SUM(E446*I446/G446)</f>
        <v>461.99999999999994</v>
      </c>
    </row>
    <row r="447" spans="1:10" s="644" customFormat="1">
      <c r="A447" s="668"/>
      <c r="B447" s="654">
        <v>2</v>
      </c>
      <c r="C447" s="654"/>
      <c r="D447" s="645" t="s">
        <v>2741</v>
      </c>
      <c r="E447" s="679">
        <v>1</v>
      </c>
      <c r="F447" s="680" t="s">
        <v>1738</v>
      </c>
      <c r="G447" s="661">
        <v>1</v>
      </c>
      <c r="H447" s="680" t="s">
        <v>1738</v>
      </c>
      <c r="I447" s="657">
        <f>IF(B447=$B$2,$G$2,IF(B447=$B$3,$G$3,IF(B447=$B$4,$G$4,IF(B447=$B$5,$G$5,IF(B447=$B$6,$G$6,IF(B447=$B$7,$G$7,FALSE))))))</f>
        <v>550</v>
      </c>
      <c r="J447" s="694">
        <f>SUM(E447*I447/G447)</f>
        <v>550</v>
      </c>
    </row>
    <row r="448" spans="1:10" s="644" customFormat="1">
      <c r="A448" s="668"/>
      <c r="B448" s="654">
        <v>3</v>
      </c>
      <c r="C448" s="654"/>
      <c r="D448" s="645" t="s">
        <v>2742</v>
      </c>
      <c r="E448" s="679">
        <v>1</v>
      </c>
      <c r="F448" s="680" t="s">
        <v>1738</v>
      </c>
      <c r="G448" s="661">
        <v>1</v>
      </c>
      <c r="H448" s="680" t="s">
        <v>1738</v>
      </c>
      <c r="I448" s="657">
        <f>IF(B448=$B$2,$G$2,IF(B448=$B$3,$G$3,IF(B448=$B$4,$G$4,IF(B448=$B$5,$G$5,IF(B448=$B$6,$G$6,IF(B448=$B$7,$G$7,FALSE))))))</f>
        <v>550</v>
      </c>
      <c r="J448" s="657">
        <f>SUM(E448*I448/G448)</f>
        <v>550</v>
      </c>
    </row>
    <row r="449" spans="1:10" s="746" customFormat="1">
      <c r="A449" s="668"/>
      <c r="B449" s="654">
        <v>4</v>
      </c>
      <c r="C449" s="654"/>
      <c r="D449" s="646" t="s">
        <v>2743</v>
      </c>
      <c r="E449" s="679">
        <v>0.5</v>
      </c>
      <c r="F449" s="680" t="s">
        <v>1738</v>
      </c>
      <c r="G449" s="661">
        <v>1</v>
      </c>
      <c r="H449" s="680" t="s">
        <v>1738</v>
      </c>
      <c r="I449" s="657">
        <f>IF(B449=$B$2,$G$2,IF(B449=$B$3,$G$3,IF(B449=$B$4,$G$4,IF(B449=$B$5,$G$5,IF(B449=$B$6,$G$6,IF(B449=$B$7,$G$7,FALSE))))))</f>
        <v>580</v>
      </c>
      <c r="J449" s="694">
        <f>SUM(E449*I449/G449)</f>
        <v>290</v>
      </c>
    </row>
    <row r="450" spans="1:10" s="644" customFormat="1">
      <c r="A450" s="668"/>
      <c r="B450" s="664"/>
      <c r="C450" s="664"/>
      <c r="D450" s="734"/>
      <c r="E450" s="679"/>
      <c r="F450" s="684"/>
      <c r="G450" s="663"/>
      <c r="H450" s="684"/>
      <c r="I450" s="672"/>
      <c r="J450" s="672">
        <f>SUM(J446:J449)</f>
        <v>1852</v>
      </c>
    </row>
    <row r="451" spans="1:10" s="644" customFormat="1">
      <c r="A451" s="668"/>
      <c r="B451" s="654"/>
      <c r="C451" s="654"/>
      <c r="D451" s="666" t="s">
        <v>2880</v>
      </c>
      <c r="E451" s="679"/>
      <c r="F451" s="645"/>
      <c r="G451" s="661"/>
      <c r="H451" s="645"/>
      <c r="I451" s="657"/>
      <c r="J451" s="694"/>
    </row>
    <row r="452" spans="1:10" s="644" customFormat="1" ht="63.75">
      <c r="A452" s="668"/>
      <c r="B452" s="654" t="s">
        <v>2904</v>
      </c>
      <c r="C452" s="654" t="s">
        <v>1184</v>
      </c>
      <c r="D452" s="646" t="s">
        <v>2905</v>
      </c>
      <c r="E452" s="695">
        <v>1</v>
      </c>
      <c r="F452" s="645" t="s">
        <v>955</v>
      </c>
      <c r="G452" s="661">
        <v>1</v>
      </c>
      <c r="H452" s="645" t="s">
        <v>1509</v>
      </c>
      <c r="I452" s="657">
        <f>I427</f>
        <v>3988</v>
      </c>
      <c r="J452" s="694">
        <f>SUM(E452*I452/G452)</f>
        <v>3988</v>
      </c>
    </row>
    <row r="453" spans="1:10" s="644" customFormat="1">
      <c r="A453" s="668"/>
      <c r="B453" s="661" t="s">
        <v>2906</v>
      </c>
      <c r="C453" s="738" t="s">
        <v>2237</v>
      </c>
      <c r="D453" s="682" t="s">
        <v>2907</v>
      </c>
      <c r="E453" s="695">
        <v>1</v>
      </c>
      <c r="F453" s="645" t="s">
        <v>1509</v>
      </c>
      <c r="G453" s="661">
        <v>1</v>
      </c>
      <c r="H453" s="645" t="s">
        <v>1509</v>
      </c>
      <c r="I453" s="657">
        <v>2651</v>
      </c>
      <c r="J453" s="694">
        <f>SUM(E453*I453/G453)</f>
        <v>2651</v>
      </c>
    </row>
    <row r="454" spans="1:10" s="644" customFormat="1" ht="25.5">
      <c r="A454" s="668"/>
      <c r="B454" s="661" t="s">
        <v>2883</v>
      </c>
      <c r="C454" s="687" t="s">
        <v>1180</v>
      </c>
      <c r="D454" s="682" t="s">
        <v>2908</v>
      </c>
      <c r="E454" s="695">
        <v>12</v>
      </c>
      <c r="F454" s="645" t="s">
        <v>955</v>
      </c>
      <c r="G454" s="661">
        <v>1</v>
      </c>
      <c r="H454" s="645" t="s">
        <v>1509</v>
      </c>
      <c r="I454" s="657">
        <f>I429</f>
        <v>294</v>
      </c>
      <c r="J454" s="694">
        <f>SUM(E454*I454/G454)</f>
        <v>3528</v>
      </c>
    </row>
    <row r="455" spans="1:10" s="746" customFormat="1">
      <c r="A455" s="668"/>
      <c r="B455" s="661" t="s">
        <v>2770</v>
      </c>
      <c r="C455" s="661"/>
      <c r="D455" s="645" t="s">
        <v>2771</v>
      </c>
      <c r="E455" s="679">
        <v>12.5</v>
      </c>
      <c r="F455" s="645" t="s">
        <v>97</v>
      </c>
      <c r="G455" s="661">
        <v>1</v>
      </c>
      <c r="H455" s="645" t="s">
        <v>97</v>
      </c>
      <c r="I455" s="679">
        <f>I430</f>
        <v>9</v>
      </c>
      <c r="J455" s="694">
        <f>SUM(E455*I455/G455)</f>
        <v>112.5</v>
      </c>
    </row>
    <row r="456" spans="1:10" s="644" customFormat="1">
      <c r="A456" s="668"/>
      <c r="B456" s="664"/>
      <c r="C456" s="664"/>
      <c r="D456" s="734"/>
      <c r="E456" s="751"/>
      <c r="F456" s="697"/>
      <c r="G456" s="663"/>
      <c r="H456" s="697"/>
      <c r="I456" s="672"/>
      <c r="J456" s="676">
        <f>SUM(J452:J455)</f>
        <v>10279.5</v>
      </c>
    </row>
    <row r="457" spans="1:10" s="644" customFormat="1">
      <c r="A457" s="668"/>
      <c r="B457" s="664"/>
      <c r="C457" s="664"/>
      <c r="D457" s="734"/>
      <c r="E457" s="679"/>
      <c r="F457" s="684"/>
      <c r="G457" s="663"/>
      <c r="H457" s="684"/>
      <c r="I457" s="672"/>
      <c r="J457" s="672"/>
    </row>
    <row r="458" spans="1:10" s="644" customFormat="1" ht="25.5">
      <c r="A458" s="668"/>
      <c r="B458" s="654"/>
      <c r="C458" s="654"/>
      <c r="D458" s="656" t="s">
        <v>2894</v>
      </c>
      <c r="E458" s="737" t="s">
        <v>2895</v>
      </c>
      <c r="F458" s="656"/>
      <c r="G458" s="663"/>
      <c r="H458" s="697"/>
      <c r="I458" s="675"/>
      <c r="J458" s="655">
        <f>J456+J450</f>
        <v>12131.5</v>
      </c>
    </row>
    <row r="459" spans="1:10" s="644" customFormat="1">
      <c r="A459" s="668"/>
      <c r="B459" s="664"/>
      <c r="C459" s="664"/>
      <c r="D459" s="669" t="s">
        <v>2767</v>
      </c>
      <c r="E459" s="670">
        <f>$E$9</f>
        <v>0</v>
      </c>
      <c r="F459" s="684"/>
      <c r="G459" s="663"/>
      <c r="H459" s="684"/>
      <c r="I459" s="675"/>
      <c r="J459" s="676">
        <f>J458*E459</f>
        <v>0</v>
      </c>
    </row>
    <row r="460" spans="1:10" s="644" customFormat="1">
      <c r="A460" s="668"/>
      <c r="B460" s="664"/>
      <c r="C460" s="664"/>
      <c r="D460" s="673"/>
      <c r="E460" s="685"/>
      <c r="F460" s="684"/>
      <c r="G460" s="663"/>
      <c r="H460" s="684"/>
      <c r="I460" s="675"/>
      <c r="J460" s="676">
        <f>SUM(J458:J459)</f>
        <v>12131.5</v>
      </c>
    </row>
    <row r="461" spans="1:10" s="733" customFormat="1">
      <c r="A461" s="668"/>
      <c r="B461" s="736"/>
      <c r="C461" s="736"/>
      <c r="D461" s="752" t="s">
        <v>2380</v>
      </c>
      <c r="E461" s="747"/>
      <c r="F461" s="748"/>
      <c r="G461" s="743"/>
      <c r="H461" s="748"/>
      <c r="I461" s="749"/>
      <c r="J461" s="750">
        <f>ROUND(J460,0)</f>
        <v>12132</v>
      </c>
    </row>
    <row r="462" spans="1:10" s="644" customFormat="1">
      <c r="A462" s="668"/>
      <c r="B462" s="664"/>
      <c r="C462" s="664"/>
      <c r="D462" s="691"/>
      <c r="E462" s="685"/>
      <c r="F462" s="684"/>
      <c r="G462" s="663"/>
      <c r="H462" s="684"/>
      <c r="I462" s="675"/>
      <c r="J462" s="693"/>
    </row>
    <row r="463" spans="1:10" s="733" customFormat="1">
      <c r="A463" s="673"/>
      <c r="B463" s="732"/>
      <c r="C463" s="732"/>
      <c r="D463" s="2159" t="s">
        <v>2909</v>
      </c>
      <c r="E463" s="2159"/>
      <c r="F463" s="2159"/>
      <c r="G463" s="2159"/>
      <c r="H463" s="2159"/>
      <c r="I463" s="2159"/>
      <c r="J463" s="2159"/>
    </row>
    <row r="464" spans="1:10" s="644" customFormat="1">
      <c r="A464" s="653">
        <f>SUM(MAX($A$7:$A462),1)</f>
        <v>24</v>
      </c>
      <c r="B464" s="665"/>
      <c r="C464" s="665"/>
      <c r="D464" s="2158" t="s">
        <v>2910</v>
      </c>
      <c r="E464" s="2158"/>
      <c r="F464" s="2158"/>
      <c r="G464" s="2158"/>
      <c r="H464" s="2158"/>
      <c r="I464" s="2158"/>
      <c r="J464" s="2158"/>
    </row>
    <row r="465" spans="1:10" s="644" customFormat="1">
      <c r="A465" s="668"/>
      <c r="B465" s="665"/>
      <c r="C465" s="665"/>
      <c r="D465" s="656" t="s">
        <v>2878</v>
      </c>
      <c r="E465" s="685"/>
      <c r="F465" s="697"/>
      <c r="G465" s="663"/>
      <c r="H465" s="697"/>
      <c r="I465" s="672"/>
      <c r="J465" s="676"/>
    </row>
    <row r="466" spans="1:10" s="644" customFormat="1">
      <c r="A466" s="668"/>
      <c r="B466" s="664">
        <v>1</v>
      </c>
      <c r="C466" s="664"/>
      <c r="D466" s="645" t="s">
        <v>2740</v>
      </c>
      <c r="E466" s="679">
        <v>1.25</v>
      </c>
      <c r="F466" s="680" t="s">
        <v>1738</v>
      </c>
      <c r="G466" s="661">
        <v>1</v>
      </c>
      <c r="H466" s="680" t="s">
        <v>1738</v>
      </c>
      <c r="I466" s="657">
        <f>IF(B466=$B$2,$G$2,IF(B466=$B$3,$G$3,IF(B466=$B$4,$G$4,IF(B466=$B$5,$G$5,IF(B466=$B$6,$G$6,IF(B466=$B$7,$G$7,FALSE))))))</f>
        <v>660</v>
      </c>
      <c r="J466" s="694">
        <f>SUM(E466*I466/G466)</f>
        <v>825</v>
      </c>
    </row>
    <row r="467" spans="1:10" s="644" customFormat="1">
      <c r="A467" s="668"/>
      <c r="B467" s="664">
        <v>2</v>
      </c>
      <c r="C467" s="664"/>
      <c r="D467" s="645" t="s">
        <v>2741</v>
      </c>
      <c r="E467" s="679">
        <v>1.5</v>
      </c>
      <c r="F467" s="680" t="s">
        <v>1738</v>
      </c>
      <c r="G467" s="661">
        <v>1</v>
      </c>
      <c r="H467" s="680" t="s">
        <v>1738</v>
      </c>
      <c r="I467" s="657">
        <f>IF(B467=$B$2,$G$2,IF(B467=$B$3,$G$3,IF(B467=$B$4,$G$4,IF(B467=$B$5,$G$5,IF(B467=$B$6,$G$6,IF(B467=$B$7,$G$7,FALSE))))))</f>
        <v>550</v>
      </c>
      <c r="J467" s="694">
        <f>SUM(E467*I467/G467)</f>
        <v>825</v>
      </c>
    </row>
    <row r="468" spans="1:10" s="644" customFormat="1">
      <c r="A468" s="668"/>
      <c r="B468" s="654">
        <v>3</v>
      </c>
      <c r="C468" s="654"/>
      <c r="D468" s="645" t="s">
        <v>2742</v>
      </c>
      <c r="E468" s="679">
        <v>1.5</v>
      </c>
      <c r="F468" s="680" t="s">
        <v>1738</v>
      </c>
      <c r="G468" s="661">
        <v>1</v>
      </c>
      <c r="H468" s="680" t="s">
        <v>1738</v>
      </c>
      <c r="I468" s="657">
        <f>IF(B468=$B$2,$G$2,IF(B468=$B$3,$G$3,IF(B468=$B$4,$G$4,IF(B468=$B$5,$G$5,IF(B468=$B$6,$G$6,IF(B468=$B$7,$G$7,FALSE))))))</f>
        <v>550</v>
      </c>
      <c r="J468" s="657">
        <f>SUM(E468*I468/G468)</f>
        <v>825</v>
      </c>
    </row>
    <row r="469" spans="1:10" s="644" customFormat="1" ht="25.5">
      <c r="A469" s="668"/>
      <c r="B469" s="654"/>
      <c r="C469" s="654"/>
      <c r="D469" s="734" t="s">
        <v>2911</v>
      </c>
      <c r="E469" s="679"/>
      <c r="F469" s="684"/>
      <c r="G469" s="663"/>
      <c r="H469" s="684"/>
      <c r="I469" s="672"/>
      <c r="J469" s="672">
        <f>SUM(J466:J468)</f>
        <v>2475</v>
      </c>
    </row>
    <row r="470" spans="1:10" s="644" customFormat="1">
      <c r="A470" s="668"/>
      <c r="B470" s="654"/>
      <c r="C470" s="654"/>
      <c r="D470" s="666" t="s">
        <v>2880</v>
      </c>
      <c r="E470" s="679"/>
      <c r="F470" s="680"/>
      <c r="G470" s="661"/>
      <c r="H470" s="680"/>
      <c r="I470" s="657"/>
      <c r="J470" s="694"/>
    </row>
    <row r="471" spans="1:10" s="644" customFormat="1">
      <c r="A471" s="668"/>
      <c r="B471" s="654" t="s">
        <v>2912</v>
      </c>
      <c r="C471" s="661" t="s">
        <v>1184</v>
      </c>
      <c r="D471" s="682" t="s">
        <v>2913</v>
      </c>
      <c r="E471" s="695">
        <v>1</v>
      </c>
      <c r="F471" s="645" t="s">
        <v>955</v>
      </c>
      <c r="G471" s="661">
        <v>1</v>
      </c>
      <c r="H471" s="645" t="s">
        <v>1509</v>
      </c>
      <c r="I471" s="657">
        <v>16458</v>
      </c>
      <c r="J471" s="694">
        <f>SUM(E471*I471/G471)</f>
        <v>16458</v>
      </c>
    </row>
    <row r="472" spans="1:10" s="644" customFormat="1">
      <c r="A472" s="668"/>
      <c r="B472" s="654" t="s">
        <v>2906</v>
      </c>
      <c r="C472" s="661" t="s">
        <v>1197</v>
      </c>
      <c r="D472" s="682" t="s">
        <v>2914</v>
      </c>
      <c r="E472" s="695">
        <v>8</v>
      </c>
      <c r="F472" s="645" t="s">
        <v>955</v>
      </c>
      <c r="G472" s="661">
        <v>1</v>
      </c>
      <c r="H472" s="645" t="s">
        <v>1509</v>
      </c>
      <c r="I472" s="657">
        <v>2064</v>
      </c>
      <c r="J472" s="694">
        <f>SUM(E472*I472/G472)</f>
        <v>16512</v>
      </c>
    </row>
    <row r="473" spans="1:10" s="644" customFormat="1">
      <c r="A473" s="668"/>
      <c r="B473" s="654" t="s">
        <v>2915</v>
      </c>
      <c r="C473" s="661" t="s">
        <v>1188</v>
      </c>
      <c r="D473" s="682" t="s">
        <v>2916</v>
      </c>
      <c r="E473" s="753"/>
      <c r="F473" s="696"/>
      <c r="G473" s="754"/>
      <c r="H473" s="696"/>
      <c r="I473" s="657"/>
      <c r="J473" s="679"/>
    </row>
    <row r="474" spans="1:10" s="644" customFormat="1" ht="38.25">
      <c r="A474" s="668"/>
      <c r="B474" s="654"/>
      <c r="C474" s="654"/>
      <c r="D474" s="682" t="s">
        <v>2917</v>
      </c>
      <c r="E474" s="695">
        <v>1</v>
      </c>
      <c r="F474" s="645" t="s">
        <v>955</v>
      </c>
      <c r="G474" s="661">
        <v>1</v>
      </c>
      <c r="H474" s="645" t="s">
        <v>1509</v>
      </c>
      <c r="I474" s="657">
        <v>12486</v>
      </c>
      <c r="J474" s="694">
        <f>SUM(E474*I474/G474)</f>
        <v>12486</v>
      </c>
    </row>
    <row r="475" spans="1:10" s="644" customFormat="1" ht="25.5">
      <c r="A475" s="668"/>
      <c r="B475" s="654"/>
      <c r="C475" s="654"/>
      <c r="D475" s="734" t="s">
        <v>2918</v>
      </c>
      <c r="E475" s="751"/>
      <c r="F475" s="696"/>
      <c r="G475" s="754"/>
      <c r="H475" s="696"/>
      <c r="I475" s="657"/>
      <c r="J475" s="676">
        <f>SUM(J471:J474)</f>
        <v>45456</v>
      </c>
    </row>
    <row r="476" spans="1:10" s="644" customFormat="1" ht="38.25">
      <c r="A476" s="668"/>
      <c r="B476" s="664"/>
      <c r="C476" s="664"/>
      <c r="D476" s="656" t="s">
        <v>2919</v>
      </c>
      <c r="E476" s="737" t="s">
        <v>2920</v>
      </c>
      <c r="F476" s="656"/>
      <c r="G476" s="663"/>
      <c r="H476" s="697"/>
      <c r="I476" s="672"/>
      <c r="J476" s="676">
        <f>J469+J475</f>
        <v>47931</v>
      </c>
    </row>
    <row r="477" spans="1:10" s="644" customFormat="1">
      <c r="A477" s="668"/>
      <c r="B477" s="664"/>
      <c r="C477" s="664"/>
      <c r="D477" s="669" t="s">
        <v>2767</v>
      </c>
      <c r="E477" s="670">
        <f>$E$9</f>
        <v>0</v>
      </c>
      <c r="F477" s="684"/>
      <c r="G477" s="663"/>
      <c r="H477" s="684"/>
      <c r="I477" s="672"/>
      <c r="J477" s="676">
        <f>J476*$E477</f>
        <v>0</v>
      </c>
    </row>
    <row r="478" spans="1:10" s="644" customFormat="1">
      <c r="A478" s="668"/>
      <c r="B478" s="664"/>
      <c r="C478" s="664"/>
      <c r="D478" s="673"/>
      <c r="E478" s="685"/>
      <c r="F478" s="684"/>
      <c r="G478" s="663"/>
      <c r="H478" s="684"/>
      <c r="I478" s="672"/>
      <c r="J478" s="676">
        <f>SUM(J476:J477)</f>
        <v>47931</v>
      </c>
    </row>
    <row r="479" spans="1:10" s="644" customFormat="1">
      <c r="A479" s="668"/>
      <c r="B479" s="664"/>
      <c r="C479" s="664"/>
      <c r="D479" s="691" t="s">
        <v>2380</v>
      </c>
      <c r="E479" s="685"/>
      <c r="F479" s="684"/>
      <c r="G479" s="663"/>
      <c r="H479" s="684"/>
      <c r="I479" s="686"/>
      <c r="J479" s="693">
        <f>ROUNDUP(J478,0)</f>
        <v>47931</v>
      </c>
    </row>
    <row r="480" spans="1:10" s="644" customFormat="1">
      <c r="A480" s="668"/>
      <c r="B480" s="664"/>
      <c r="C480" s="664"/>
      <c r="D480" s="691"/>
      <c r="E480" s="685"/>
      <c r="F480" s="684"/>
      <c r="G480" s="663"/>
      <c r="H480" s="684"/>
      <c r="I480" s="686"/>
      <c r="J480" s="693"/>
    </row>
    <row r="481" spans="1:10" s="644" customFormat="1">
      <c r="A481" s="673"/>
      <c r="B481" s="677"/>
      <c r="C481" s="677"/>
      <c r="D481" s="2160" t="s">
        <v>2921</v>
      </c>
      <c r="E481" s="2160"/>
      <c r="F481" s="2160"/>
      <c r="G481" s="2160"/>
      <c r="H481" s="2160"/>
      <c r="I481" s="2160"/>
      <c r="J481" s="2160"/>
    </row>
    <row r="482" spans="1:10" s="644" customFormat="1" ht="108.75" customHeight="1">
      <c r="A482" s="653"/>
      <c r="B482" s="665"/>
      <c r="C482" s="665"/>
      <c r="D482" s="2158" t="s">
        <v>2922</v>
      </c>
      <c r="E482" s="2158"/>
      <c r="F482" s="2158"/>
      <c r="G482" s="2158"/>
      <c r="H482" s="2158"/>
      <c r="I482" s="2158"/>
      <c r="J482" s="2158"/>
    </row>
    <row r="483" spans="1:10" s="644" customFormat="1">
      <c r="A483" s="668"/>
      <c r="B483" s="665"/>
      <c r="C483" s="665"/>
      <c r="D483" s="656" t="s">
        <v>2878</v>
      </c>
      <c r="E483" s="685"/>
      <c r="F483" s="697"/>
      <c r="G483" s="663"/>
      <c r="H483" s="697"/>
      <c r="I483" s="672"/>
      <c r="J483" s="676"/>
    </row>
    <row r="484" spans="1:10" s="644" customFormat="1">
      <c r="A484" s="668"/>
      <c r="B484" s="664">
        <v>1</v>
      </c>
      <c r="C484" s="664"/>
      <c r="D484" s="645" t="s">
        <v>2740</v>
      </c>
      <c r="E484" s="679">
        <v>1.25</v>
      </c>
      <c r="F484" s="680" t="s">
        <v>1738</v>
      </c>
      <c r="G484" s="661">
        <v>1</v>
      </c>
      <c r="H484" s="680" t="s">
        <v>1738</v>
      </c>
      <c r="I484" s="657">
        <f>IF(B484=$B$2,$G$2,IF(B484=$B$3,$G$3,IF(B484=$B$4,$G$4,IF(B484=$B$5,$G$5,IF(B484=$B$6,$G$6,IF(B484=$B$7,$G$7,FALSE))))))</f>
        <v>660</v>
      </c>
      <c r="J484" s="694">
        <f>SUM(E484*I484/G484)</f>
        <v>825</v>
      </c>
    </row>
    <row r="485" spans="1:10" s="644" customFormat="1">
      <c r="A485" s="668"/>
      <c r="B485" s="664">
        <v>2</v>
      </c>
      <c r="C485" s="664"/>
      <c r="D485" s="645" t="s">
        <v>2741</v>
      </c>
      <c r="E485" s="679">
        <v>1.5</v>
      </c>
      <c r="F485" s="680" t="s">
        <v>1738</v>
      </c>
      <c r="G485" s="661">
        <v>1</v>
      </c>
      <c r="H485" s="680" t="s">
        <v>1738</v>
      </c>
      <c r="I485" s="657">
        <f>IF(B485=$B$2,$G$2,IF(B485=$B$3,$G$3,IF(B485=$B$4,$G$4,IF(B485=$B$5,$G$5,IF(B485=$B$6,$G$6,IF(B485=$B$7,$G$7,FALSE))))))</f>
        <v>550</v>
      </c>
      <c r="J485" s="694">
        <f>SUM(E485*I485/G485)</f>
        <v>825</v>
      </c>
    </row>
    <row r="486" spans="1:10" s="644" customFormat="1">
      <c r="A486" s="668"/>
      <c r="B486" s="654">
        <v>3</v>
      </c>
      <c r="C486" s="654"/>
      <c r="D486" s="645" t="s">
        <v>2742</v>
      </c>
      <c r="E486" s="679">
        <v>1.5</v>
      </c>
      <c r="F486" s="680" t="s">
        <v>1738</v>
      </c>
      <c r="G486" s="661">
        <v>1</v>
      </c>
      <c r="H486" s="680" t="s">
        <v>1738</v>
      </c>
      <c r="I486" s="657">
        <f>IF(B486=$B$2,$G$2,IF(B486=$B$3,$G$3,IF(B486=$B$4,$G$4,IF(B486=$B$5,$G$5,IF(B486=$B$6,$G$6,IF(B486=$B$7,$G$7,FALSE))))))</f>
        <v>550</v>
      </c>
      <c r="J486" s="657">
        <f>SUM(E486*I486/G486)</f>
        <v>825</v>
      </c>
    </row>
    <row r="487" spans="1:10" s="644" customFormat="1" ht="25.5">
      <c r="A487" s="668"/>
      <c r="B487" s="654"/>
      <c r="C487" s="654"/>
      <c r="D487" s="734" t="s">
        <v>2911</v>
      </c>
      <c r="E487" s="679"/>
      <c r="F487" s="684"/>
      <c r="G487" s="663"/>
      <c r="H487" s="684"/>
      <c r="I487" s="672"/>
      <c r="J487" s="672">
        <f>SUM(J484:J486)</f>
        <v>2475</v>
      </c>
    </row>
    <row r="488" spans="1:10" s="644" customFormat="1">
      <c r="A488" s="668"/>
      <c r="B488" s="654"/>
      <c r="C488" s="654"/>
      <c r="D488" s="666" t="s">
        <v>2880</v>
      </c>
      <c r="E488" s="679"/>
      <c r="F488" s="680"/>
      <c r="G488" s="661"/>
      <c r="H488" s="680"/>
      <c r="I488" s="657"/>
      <c r="J488" s="694"/>
    </row>
    <row r="489" spans="1:10" s="644" customFormat="1">
      <c r="A489" s="668"/>
      <c r="B489" s="654" t="s">
        <v>2912</v>
      </c>
      <c r="C489" s="661" t="s">
        <v>1180</v>
      </c>
      <c r="D489" s="682" t="s">
        <v>2923</v>
      </c>
      <c r="E489" s="695">
        <v>1</v>
      </c>
      <c r="F489" s="645" t="s">
        <v>955</v>
      </c>
      <c r="G489" s="661">
        <v>1</v>
      </c>
      <c r="H489" s="645" t="s">
        <v>1509</v>
      </c>
      <c r="I489" s="657">
        <v>13110</v>
      </c>
      <c r="J489" s="694">
        <f>SUM(E489*I489/G489)</f>
        <v>13110</v>
      </c>
    </row>
    <row r="490" spans="1:10" s="644" customFormat="1">
      <c r="A490" s="668"/>
      <c r="B490" s="654" t="s">
        <v>2906</v>
      </c>
      <c r="C490" s="661" t="s">
        <v>1197</v>
      </c>
      <c r="D490" s="682" t="s">
        <v>2914</v>
      </c>
      <c r="E490" s="695">
        <v>4</v>
      </c>
      <c r="F490" s="645" t="s">
        <v>955</v>
      </c>
      <c r="G490" s="661">
        <v>1</v>
      </c>
      <c r="H490" s="645" t="s">
        <v>1509</v>
      </c>
      <c r="I490" s="657">
        <f>I472</f>
        <v>2064</v>
      </c>
      <c r="J490" s="694">
        <f>SUM(E490*I490/G490)</f>
        <v>8256</v>
      </c>
    </row>
    <row r="491" spans="1:10" s="644" customFormat="1">
      <c r="A491" s="668"/>
      <c r="B491" s="654" t="s">
        <v>2915</v>
      </c>
      <c r="C491" s="661" t="s">
        <v>1184</v>
      </c>
      <c r="D491" s="682" t="s">
        <v>2924</v>
      </c>
      <c r="E491" s="753"/>
      <c r="F491" s="696"/>
      <c r="G491" s="754"/>
      <c r="H491" s="696"/>
      <c r="I491" s="657"/>
      <c r="J491" s="679"/>
    </row>
    <row r="492" spans="1:10" s="644" customFormat="1" ht="38.25">
      <c r="A492" s="668"/>
      <c r="B492" s="654"/>
      <c r="C492" s="654"/>
      <c r="D492" s="682" t="s">
        <v>2917</v>
      </c>
      <c r="E492" s="695">
        <v>1</v>
      </c>
      <c r="F492" s="645" t="s">
        <v>955</v>
      </c>
      <c r="G492" s="661">
        <v>1</v>
      </c>
      <c r="H492" s="645" t="s">
        <v>1509</v>
      </c>
      <c r="I492" s="657">
        <v>9781</v>
      </c>
      <c r="J492" s="694">
        <f>SUM(E492*I492/G492)</f>
        <v>9781</v>
      </c>
    </row>
    <row r="493" spans="1:10" s="644" customFormat="1" ht="25.5">
      <c r="A493" s="668"/>
      <c r="B493" s="654"/>
      <c r="C493" s="654"/>
      <c r="D493" s="734" t="s">
        <v>2918</v>
      </c>
      <c r="E493" s="751"/>
      <c r="F493" s="696"/>
      <c r="G493" s="754"/>
      <c r="H493" s="696"/>
      <c r="I493" s="657"/>
      <c r="J493" s="676">
        <f>SUM(J489:J492)</f>
        <v>31147</v>
      </c>
    </row>
    <row r="494" spans="1:10" s="644" customFormat="1" ht="38.25">
      <c r="A494" s="668"/>
      <c r="B494" s="664"/>
      <c r="C494" s="664"/>
      <c r="D494" s="656" t="s">
        <v>2919</v>
      </c>
      <c r="E494" s="737" t="s">
        <v>2920</v>
      </c>
      <c r="F494" s="656"/>
      <c r="G494" s="663"/>
      <c r="H494" s="697"/>
      <c r="I494" s="672"/>
      <c r="J494" s="676">
        <f>J487+J493</f>
        <v>33622</v>
      </c>
    </row>
    <row r="495" spans="1:10" s="644" customFormat="1">
      <c r="A495" s="668"/>
      <c r="B495" s="664"/>
      <c r="C495" s="664"/>
      <c r="D495" s="669" t="s">
        <v>2767</v>
      </c>
      <c r="E495" s="670">
        <f>$E$9</f>
        <v>0</v>
      </c>
      <c r="F495" s="684"/>
      <c r="G495" s="663"/>
      <c r="H495" s="684"/>
      <c r="I495" s="672"/>
      <c r="J495" s="676">
        <f>J494*$E495</f>
        <v>0</v>
      </c>
    </row>
    <row r="496" spans="1:10" s="644" customFormat="1">
      <c r="A496" s="668"/>
      <c r="B496" s="664"/>
      <c r="C496" s="664"/>
      <c r="D496" s="673"/>
      <c r="E496" s="685"/>
      <c r="F496" s="684"/>
      <c r="G496" s="663"/>
      <c r="H496" s="684"/>
      <c r="I496" s="672"/>
      <c r="J496" s="676">
        <f>SUM(J494:J495)</f>
        <v>33622</v>
      </c>
    </row>
    <row r="497" spans="1:10" s="644" customFormat="1">
      <c r="A497" s="668"/>
      <c r="B497" s="664"/>
      <c r="C497" s="664"/>
      <c r="D497" s="691" t="s">
        <v>2380</v>
      </c>
      <c r="E497" s="685"/>
      <c r="F497" s="684"/>
      <c r="G497" s="663"/>
      <c r="H497" s="684"/>
      <c r="I497" s="686"/>
      <c r="J497" s="693">
        <f>ROUND(J496,0)</f>
        <v>33622</v>
      </c>
    </row>
    <row r="498" spans="1:10" s="644" customFormat="1">
      <c r="A498" s="668"/>
      <c r="B498" s="664"/>
      <c r="C498" s="664"/>
      <c r="D498" s="669"/>
      <c r="E498" s="685"/>
      <c r="F498" s="684"/>
      <c r="G498" s="663"/>
      <c r="H498" s="684"/>
      <c r="I498" s="686"/>
      <c r="J498" s="676"/>
    </row>
    <row r="499" spans="1:10" s="644" customFormat="1" ht="63.75">
      <c r="A499" s="653">
        <f>SUM(MAX($A$7:$A498),1)</f>
        <v>25</v>
      </c>
      <c r="B499" s="661" t="s">
        <v>2925</v>
      </c>
      <c r="C499" s="661"/>
      <c r="D499" s="682" t="s">
        <v>2926</v>
      </c>
      <c r="E499" s="661">
        <v>1</v>
      </c>
      <c r="F499" s="654" t="s">
        <v>2927</v>
      </c>
      <c r="G499" s="661">
        <v>1</v>
      </c>
      <c r="H499" s="654" t="s">
        <v>2927</v>
      </c>
      <c r="I499" s="672">
        <v>600</v>
      </c>
      <c r="J499" s="664">
        <f>I499*E499</f>
        <v>600</v>
      </c>
    </row>
    <row r="500" spans="1:10" s="644" customFormat="1">
      <c r="A500" s="653"/>
      <c r="B500" s="661"/>
      <c r="C500" s="661"/>
      <c r="D500" s="682"/>
      <c r="E500" s="661"/>
      <c r="F500" s="654"/>
      <c r="G500" s="661"/>
      <c r="H500" s="654"/>
      <c r="I500" s="657"/>
      <c r="J500" s="664"/>
    </row>
    <row r="501" spans="1:10" s="644" customFormat="1">
      <c r="A501" s="673"/>
      <c r="B501" s="677"/>
      <c r="C501" s="677"/>
      <c r="D501" s="2161" t="s">
        <v>2928</v>
      </c>
      <c r="E501" s="2161"/>
      <c r="F501" s="2161"/>
      <c r="G501" s="2161"/>
      <c r="H501" s="2161"/>
      <c r="I501" s="2161"/>
      <c r="J501" s="2161"/>
    </row>
    <row r="502" spans="1:10" s="644" customFormat="1" ht="77.25" customHeight="1">
      <c r="A502" s="653">
        <f>SUM(MAX($A$7:$A500),1)</f>
        <v>26</v>
      </c>
      <c r="B502" s="654"/>
      <c r="C502" s="654"/>
      <c r="D502" s="2167" t="s">
        <v>2929</v>
      </c>
      <c r="E502" s="2167"/>
      <c r="F502" s="2167"/>
      <c r="G502" s="2167"/>
      <c r="H502" s="2167"/>
      <c r="I502" s="2167"/>
      <c r="J502" s="2167"/>
    </row>
    <row r="503" spans="1:10" s="644" customFormat="1">
      <c r="A503" s="668"/>
      <c r="B503" s="654"/>
      <c r="C503" s="654"/>
      <c r="D503" s="682" t="s">
        <v>2930</v>
      </c>
      <c r="E503" s="659" t="s">
        <v>2430</v>
      </c>
      <c r="F503" s="660" t="s">
        <v>2431</v>
      </c>
      <c r="G503" s="661" t="s">
        <v>929</v>
      </c>
      <c r="H503" s="680"/>
      <c r="I503" s="657" t="s">
        <v>955</v>
      </c>
      <c r="J503" s="694"/>
    </row>
    <row r="504" spans="1:10" s="644" customFormat="1">
      <c r="A504" s="668"/>
      <c r="B504" s="654"/>
      <c r="C504" s="654"/>
      <c r="D504" s="682" t="s">
        <v>2931</v>
      </c>
      <c r="E504" s="679">
        <v>0.3</v>
      </c>
      <c r="F504" s="680">
        <v>0.3</v>
      </c>
      <c r="G504" s="755">
        <v>0.3</v>
      </c>
      <c r="H504" s="680"/>
      <c r="I504" s="657"/>
      <c r="J504" s="694"/>
    </row>
    <row r="505" spans="1:10" s="644" customFormat="1">
      <c r="A505" s="668"/>
      <c r="B505" s="654"/>
      <c r="C505" s="654"/>
      <c r="D505" s="682" t="s">
        <v>2932</v>
      </c>
      <c r="E505" s="679"/>
      <c r="F505" s="680">
        <f>E504</f>
        <v>0.3</v>
      </c>
      <c r="G505" s="755"/>
      <c r="H505" s="680">
        <f>I505*F505</f>
        <v>0.6</v>
      </c>
      <c r="I505" s="657">
        <v>2</v>
      </c>
      <c r="J505" s="694"/>
    </row>
    <row r="506" spans="1:10" s="644" customFormat="1">
      <c r="A506" s="668"/>
      <c r="B506" s="654"/>
      <c r="C506" s="654"/>
      <c r="D506" s="682" t="s">
        <v>2933</v>
      </c>
      <c r="E506" s="679"/>
      <c r="F506" s="680">
        <f>E504</f>
        <v>0.3</v>
      </c>
      <c r="G506" s="755">
        <f>G504</f>
        <v>0.3</v>
      </c>
      <c r="H506" s="680">
        <f>I506*F506*G506</f>
        <v>0.18</v>
      </c>
      <c r="I506" s="657">
        <v>2</v>
      </c>
      <c r="J506" s="694"/>
    </row>
    <row r="507" spans="1:10" s="644" customFormat="1">
      <c r="A507" s="668"/>
      <c r="B507" s="654"/>
      <c r="C507" s="654"/>
      <c r="D507" s="682" t="s">
        <v>2934</v>
      </c>
      <c r="E507" s="679"/>
      <c r="F507" s="680">
        <f>F504</f>
        <v>0.3</v>
      </c>
      <c r="G507" s="755">
        <f>G504</f>
        <v>0.3</v>
      </c>
      <c r="H507" s="680">
        <f>I507*F507*G507</f>
        <v>0.18</v>
      </c>
      <c r="I507" s="657">
        <v>2</v>
      </c>
      <c r="J507" s="694"/>
    </row>
    <row r="508" spans="1:10" s="644" customFormat="1">
      <c r="A508" s="668"/>
      <c r="B508" s="654"/>
      <c r="C508" s="654"/>
      <c r="D508" s="682" t="s">
        <v>2935</v>
      </c>
      <c r="E508" s="679"/>
      <c r="F508" s="680"/>
      <c r="G508" s="661"/>
      <c r="H508" s="680">
        <f>SUM(H505:H507)</f>
        <v>0.96</v>
      </c>
      <c r="I508" s="657"/>
      <c r="J508" s="694"/>
    </row>
    <row r="509" spans="1:10" s="644" customFormat="1">
      <c r="A509" s="668"/>
      <c r="B509" s="654"/>
      <c r="C509" s="654"/>
      <c r="D509" s="682" t="s">
        <v>2936</v>
      </c>
      <c r="E509" s="679"/>
      <c r="F509" s="680"/>
      <c r="G509" s="661"/>
      <c r="H509" s="680">
        <f>0.1*H508</f>
        <v>9.6000000000000002E-2</v>
      </c>
      <c r="I509" s="657"/>
      <c r="J509" s="694"/>
    </row>
    <row r="510" spans="1:10" s="644" customFormat="1">
      <c r="A510" s="668"/>
      <c r="B510" s="654"/>
      <c r="C510" s="654"/>
      <c r="D510" s="682" t="s">
        <v>946</v>
      </c>
      <c r="E510" s="679"/>
      <c r="F510" s="680"/>
      <c r="G510" s="661"/>
      <c r="H510" s="684">
        <f>SUM(H508:H509)</f>
        <v>1.056</v>
      </c>
      <c r="I510" s="657"/>
      <c r="J510" s="694"/>
    </row>
    <row r="511" spans="1:10" s="644" customFormat="1" ht="127.5">
      <c r="A511" s="668"/>
      <c r="B511" s="661" t="s">
        <v>2937</v>
      </c>
      <c r="C511" s="665" t="s">
        <v>2938</v>
      </c>
      <c r="D511" s="682" t="s">
        <v>2939</v>
      </c>
      <c r="E511" s="679">
        <f>H510</f>
        <v>1.056</v>
      </c>
      <c r="F511" s="680" t="s">
        <v>2940</v>
      </c>
      <c r="G511" s="661">
        <v>1</v>
      </c>
      <c r="H511" s="680" t="s">
        <v>2940</v>
      </c>
      <c r="I511" s="657">
        <v>4940</v>
      </c>
      <c r="J511" s="694">
        <f>SUM(E511*I511/G511)</f>
        <v>5216.6400000000003</v>
      </c>
    </row>
    <row r="512" spans="1:10" s="644" customFormat="1">
      <c r="A512" s="668"/>
      <c r="B512" s="654"/>
      <c r="C512" s="654"/>
      <c r="D512" s="756" t="s">
        <v>2941</v>
      </c>
      <c r="E512" s="679"/>
      <c r="F512" s="680"/>
      <c r="G512" s="661"/>
      <c r="H512" s="680"/>
      <c r="I512" s="657"/>
      <c r="J512" s="694"/>
    </row>
    <row r="513" spans="1:10" s="644" customFormat="1" ht="102">
      <c r="A513" s="668"/>
      <c r="B513" s="665" t="s">
        <v>2915</v>
      </c>
      <c r="C513" s="735" t="s">
        <v>1184</v>
      </c>
      <c r="D513" s="682" t="s">
        <v>2942</v>
      </c>
      <c r="E513" s="695">
        <v>1</v>
      </c>
      <c r="F513" s="645" t="s">
        <v>955</v>
      </c>
      <c r="G513" s="661">
        <v>1</v>
      </c>
      <c r="H513" s="645" t="s">
        <v>1509</v>
      </c>
      <c r="I513" s="757">
        <v>9781</v>
      </c>
      <c r="J513" s="694">
        <f>SUM(E513*I513/G513)</f>
        <v>9781</v>
      </c>
    </row>
    <row r="514" spans="1:10" s="644" customFormat="1">
      <c r="A514" s="668"/>
      <c r="B514" s="654"/>
      <c r="C514" s="654"/>
      <c r="D514" s="682"/>
      <c r="E514" s="695"/>
      <c r="F514" s="645"/>
      <c r="G514" s="661"/>
      <c r="H514" s="645"/>
      <c r="I514" s="657"/>
      <c r="J514" s="758">
        <f>SUM(J511:J513)</f>
        <v>14997.64</v>
      </c>
    </row>
    <row r="515" spans="1:10" s="644" customFormat="1">
      <c r="A515" s="668"/>
      <c r="B515" s="654"/>
      <c r="C515" s="654"/>
      <c r="D515" s="682" t="s">
        <v>2943</v>
      </c>
      <c r="E515" s="759">
        <v>0.01</v>
      </c>
      <c r="F515" s="680"/>
      <c r="G515" s="661"/>
      <c r="H515" s="680"/>
      <c r="I515" s="657"/>
      <c r="J515" s="758">
        <f>J514*E515</f>
        <v>149.97639999999998</v>
      </c>
    </row>
    <row r="516" spans="1:10" s="644" customFormat="1" ht="51">
      <c r="A516" s="668"/>
      <c r="B516" s="654"/>
      <c r="C516" s="654"/>
      <c r="D516" s="682" t="s">
        <v>2944</v>
      </c>
      <c r="E516" s="760">
        <v>5.0000000000000001E-3</v>
      </c>
      <c r="F516" s="680"/>
      <c r="G516" s="661"/>
      <c r="H516" s="680"/>
      <c r="I516" s="657"/>
      <c r="J516" s="758">
        <f>J514*E516</f>
        <v>74.988199999999992</v>
      </c>
    </row>
    <row r="517" spans="1:10" s="644" customFormat="1" ht="25.5">
      <c r="A517" s="668"/>
      <c r="B517" s="654"/>
      <c r="C517" s="654"/>
      <c r="D517" s="683" t="s">
        <v>2945</v>
      </c>
      <c r="E517" s="681"/>
      <c r="F517" s="659"/>
      <c r="G517" s="659"/>
      <c r="H517" s="659"/>
      <c r="I517" s="657"/>
      <c r="J517" s="758">
        <f>SUM(J514:J516)</f>
        <v>15222.604599999999</v>
      </c>
    </row>
    <row r="518" spans="1:10" s="644" customFormat="1">
      <c r="A518" s="668"/>
      <c r="B518" s="664"/>
      <c r="C518" s="664"/>
      <c r="D518" s="669" t="s">
        <v>2767</v>
      </c>
      <c r="E518" s="670">
        <f>$E$9</f>
        <v>0</v>
      </c>
      <c r="F518" s="684"/>
      <c r="G518" s="663"/>
      <c r="H518" s="684"/>
      <c r="I518" s="672"/>
      <c r="J518" s="761">
        <f>J517*E518</f>
        <v>0</v>
      </c>
    </row>
    <row r="519" spans="1:10" s="644" customFormat="1">
      <c r="A519" s="668"/>
      <c r="B519" s="664"/>
      <c r="C519" s="664"/>
      <c r="D519" s="673"/>
      <c r="E519" s="685"/>
      <c r="F519" s="684"/>
      <c r="G519" s="663"/>
      <c r="H519" s="684"/>
      <c r="I519" s="672"/>
      <c r="J519" s="676">
        <f>SUM(J517:J518)</f>
        <v>15222.604599999999</v>
      </c>
    </row>
    <row r="520" spans="1:10" s="644" customFormat="1">
      <c r="A520" s="668"/>
      <c r="B520" s="664"/>
      <c r="C520" s="664"/>
      <c r="D520" s="669" t="s">
        <v>2380</v>
      </c>
      <c r="E520" s="685"/>
      <c r="F520" s="684"/>
      <c r="G520" s="663"/>
      <c r="H520" s="684"/>
      <c r="I520" s="686"/>
      <c r="J520" s="693">
        <f>ROUND(J519,0)</f>
        <v>15223</v>
      </c>
    </row>
    <row r="521" spans="1:10" s="644" customFormat="1">
      <c r="A521" s="668"/>
      <c r="B521" s="654"/>
      <c r="C521" s="654"/>
      <c r="D521" s="683"/>
      <c r="E521" s="681"/>
      <c r="F521" s="659"/>
      <c r="G521" s="659"/>
      <c r="H521" s="659"/>
      <c r="I521" s="672"/>
      <c r="J521" s="758"/>
    </row>
    <row r="522" spans="1:10" s="644" customFormat="1">
      <c r="A522" s="673"/>
      <c r="B522" s="677"/>
      <c r="C522" s="677"/>
      <c r="D522" s="2161" t="s">
        <v>2946</v>
      </c>
      <c r="E522" s="2161"/>
      <c r="F522" s="2161"/>
      <c r="G522" s="2161"/>
      <c r="H522" s="2161"/>
      <c r="I522" s="2161"/>
      <c r="J522" s="2161"/>
    </row>
    <row r="523" spans="1:10" s="644" customFormat="1" ht="90" customHeight="1">
      <c r="A523" s="653">
        <f>SUM(MAX($A$7:$A521),1)</f>
        <v>27</v>
      </c>
      <c r="B523" s="654"/>
      <c r="C523" s="654"/>
      <c r="D523" s="2167" t="s">
        <v>2947</v>
      </c>
      <c r="E523" s="2167"/>
      <c r="F523" s="2167"/>
      <c r="G523" s="2167"/>
      <c r="H523" s="2167"/>
      <c r="I523" s="2167"/>
      <c r="J523" s="2167"/>
    </row>
    <row r="524" spans="1:10" s="644" customFormat="1">
      <c r="A524" s="668"/>
      <c r="B524" s="654"/>
      <c r="C524" s="654"/>
      <c r="D524" s="682" t="s">
        <v>2930</v>
      </c>
      <c r="E524" s="659" t="s">
        <v>2430</v>
      </c>
      <c r="F524" s="660" t="s">
        <v>2431</v>
      </c>
      <c r="G524" s="661" t="s">
        <v>929</v>
      </c>
      <c r="H524" s="680"/>
      <c r="I524" s="657" t="s">
        <v>955</v>
      </c>
      <c r="J524" s="694"/>
    </row>
    <row r="525" spans="1:10" s="644" customFormat="1">
      <c r="A525" s="668"/>
      <c r="B525" s="654"/>
      <c r="C525" s="654"/>
      <c r="D525" s="682" t="s">
        <v>2931</v>
      </c>
      <c r="E525" s="679">
        <v>0.45</v>
      </c>
      <c r="F525" s="680">
        <v>0.45</v>
      </c>
      <c r="G525" s="755">
        <v>0.4</v>
      </c>
      <c r="H525" s="680"/>
      <c r="I525" s="657"/>
      <c r="J525" s="694"/>
    </row>
    <row r="526" spans="1:10" s="644" customFormat="1">
      <c r="A526" s="668"/>
      <c r="B526" s="654"/>
      <c r="C526" s="654"/>
      <c r="D526" s="682" t="s">
        <v>2932</v>
      </c>
      <c r="E526" s="679"/>
      <c r="F526" s="680">
        <f>E525</f>
        <v>0.45</v>
      </c>
      <c r="G526" s="755"/>
      <c r="H526" s="680">
        <f>I526*F526</f>
        <v>0.9</v>
      </c>
      <c r="I526" s="657">
        <v>2</v>
      </c>
      <c r="J526" s="694"/>
    </row>
    <row r="527" spans="1:10" s="644" customFormat="1">
      <c r="A527" s="668"/>
      <c r="B527" s="654"/>
      <c r="C527" s="654"/>
      <c r="D527" s="682" t="s">
        <v>2933</v>
      </c>
      <c r="E527" s="679"/>
      <c r="F527" s="680">
        <f>E525</f>
        <v>0.45</v>
      </c>
      <c r="G527" s="755">
        <f>G525</f>
        <v>0.4</v>
      </c>
      <c r="H527" s="680">
        <f>I527*F527*G527</f>
        <v>0.36000000000000004</v>
      </c>
      <c r="I527" s="657">
        <v>2</v>
      </c>
      <c r="J527" s="694"/>
    </row>
    <row r="528" spans="1:10" s="644" customFormat="1">
      <c r="A528" s="668"/>
      <c r="B528" s="654"/>
      <c r="C528" s="654"/>
      <c r="D528" s="682" t="s">
        <v>2934</v>
      </c>
      <c r="E528" s="679"/>
      <c r="F528" s="680">
        <f>F525</f>
        <v>0.45</v>
      </c>
      <c r="G528" s="755">
        <f>G525</f>
        <v>0.4</v>
      </c>
      <c r="H528" s="680">
        <f>I528*F528*G528</f>
        <v>0.36000000000000004</v>
      </c>
      <c r="I528" s="657">
        <v>2</v>
      </c>
      <c r="J528" s="694"/>
    </row>
    <row r="529" spans="1:11" s="644" customFormat="1">
      <c r="A529" s="668"/>
      <c r="B529" s="654"/>
      <c r="C529" s="654"/>
      <c r="D529" s="682" t="s">
        <v>2935</v>
      </c>
      <c r="E529" s="679"/>
      <c r="F529" s="680"/>
      <c r="G529" s="661"/>
      <c r="H529" s="680">
        <f>SUM(H526:H528)</f>
        <v>1.62</v>
      </c>
      <c r="I529" s="657"/>
      <c r="J529" s="694"/>
    </row>
    <row r="530" spans="1:11" s="644" customFormat="1">
      <c r="A530" s="668"/>
      <c r="B530" s="654"/>
      <c r="C530" s="654"/>
      <c r="D530" s="682" t="s">
        <v>2936</v>
      </c>
      <c r="E530" s="679"/>
      <c r="F530" s="680"/>
      <c r="G530" s="661"/>
      <c r="H530" s="680">
        <f>0.1*H529</f>
        <v>0.16200000000000003</v>
      </c>
      <c r="I530" s="657"/>
      <c r="J530" s="694"/>
    </row>
    <row r="531" spans="1:11" s="644" customFormat="1">
      <c r="A531" s="668"/>
      <c r="B531" s="654"/>
      <c r="C531" s="654"/>
      <c r="D531" s="682" t="s">
        <v>946</v>
      </c>
      <c r="E531" s="679"/>
      <c r="F531" s="680"/>
      <c r="G531" s="661"/>
      <c r="H531" s="684">
        <f>SUM(H529:H530)</f>
        <v>1.782</v>
      </c>
      <c r="I531" s="657"/>
      <c r="J531" s="694"/>
    </row>
    <row r="532" spans="1:11" s="644" customFormat="1" ht="127.5">
      <c r="A532" s="668"/>
      <c r="B532" s="654" t="s">
        <v>2937</v>
      </c>
      <c r="C532" s="735" t="s">
        <v>2938</v>
      </c>
      <c r="D532" s="682" t="s">
        <v>2939</v>
      </c>
      <c r="E532" s="679">
        <f>H531</f>
        <v>1.782</v>
      </c>
      <c r="F532" s="680" t="s">
        <v>2948</v>
      </c>
      <c r="G532" s="661">
        <v>1</v>
      </c>
      <c r="H532" s="680" t="s">
        <v>2948</v>
      </c>
      <c r="I532" s="657">
        <v>4940</v>
      </c>
      <c r="J532" s="694">
        <f>SUM(E532*I532/G532)</f>
        <v>8803.08</v>
      </c>
      <c r="K532" s="644" t="s">
        <v>2949</v>
      </c>
    </row>
    <row r="533" spans="1:11" s="644" customFormat="1">
      <c r="A533" s="668"/>
      <c r="B533" s="654"/>
      <c r="C533" s="654"/>
      <c r="D533" s="756" t="s">
        <v>2941</v>
      </c>
      <c r="E533" s="679"/>
      <c r="F533" s="680"/>
      <c r="G533" s="661"/>
      <c r="H533" s="680"/>
      <c r="I533" s="657"/>
      <c r="J533" s="694"/>
    </row>
    <row r="534" spans="1:11" s="644" customFormat="1" ht="63.75">
      <c r="A534" s="668"/>
      <c r="B534" s="665" t="s">
        <v>2915</v>
      </c>
      <c r="C534" s="735" t="s">
        <v>1188</v>
      </c>
      <c r="D534" s="682" t="s">
        <v>2950</v>
      </c>
      <c r="E534" s="695">
        <v>1</v>
      </c>
      <c r="F534" s="645" t="s">
        <v>955</v>
      </c>
      <c r="G534" s="661">
        <v>1</v>
      </c>
      <c r="H534" s="645" t="s">
        <v>1509</v>
      </c>
      <c r="I534" s="757">
        <v>12486</v>
      </c>
      <c r="J534" s="694">
        <f>SUM(E534*I534/G534)</f>
        <v>12486</v>
      </c>
    </row>
    <row r="535" spans="1:11" s="644" customFormat="1">
      <c r="A535" s="668"/>
      <c r="B535" s="654"/>
      <c r="C535" s="654"/>
      <c r="D535" s="682"/>
      <c r="E535" s="695"/>
      <c r="F535" s="645"/>
      <c r="G535" s="661"/>
      <c r="H535" s="645"/>
      <c r="I535" s="657"/>
      <c r="J535" s="758">
        <f>SUM(J532:J534)</f>
        <v>21289.08</v>
      </c>
    </row>
    <row r="536" spans="1:11" s="644" customFormat="1">
      <c r="A536" s="668"/>
      <c r="B536" s="654"/>
      <c r="C536" s="654"/>
      <c r="D536" s="682" t="s">
        <v>2943</v>
      </c>
      <c r="E536" s="759">
        <v>0.01</v>
      </c>
      <c r="F536" s="680"/>
      <c r="G536" s="661"/>
      <c r="H536" s="680"/>
      <c r="I536" s="657"/>
      <c r="J536" s="758">
        <f>J535*E536</f>
        <v>212.89080000000001</v>
      </c>
    </row>
    <row r="537" spans="1:11" s="644" customFormat="1" ht="51">
      <c r="A537" s="668"/>
      <c r="B537" s="654"/>
      <c r="C537" s="654"/>
      <c r="D537" s="682" t="s">
        <v>2944</v>
      </c>
      <c r="E537" s="760">
        <v>5.0000000000000001E-3</v>
      </c>
      <c r="F537" s="680"/>
      <c r="G537" s="661"/>
      <c r="H537" s="680"/>
      <c r="I537" s="657"/>
      <c r="J537" s="758">
        <f>J535*E537</f>
        <v>106.44540000000001</v>
      </c>
    </row>
    <row r="538" spans="1:11" s="644" customFormat="1" ht="25.5">
      <c r="A538" s="668"/>
      <c r="B538" s="654"/>
      <c r="C538" s="654"/>
      <c r="D538" s="683" t="s">
        <v>2945</v>
      </c>
      <c r="E538" s="681"/>
      <c r="F538" s="659"/>
      <c r="G538" s="659"/>
      <c r="H538" s="659"/>
      <c r="I538" s="657"/>
      <c r="J538" s="758">
        <f>SUM(J535:J537)</f>
        <v>21608.416200000003</v>
      </c>
    </row>
    <row r="539" spans="1:11" s="644" customFormat="1">
      <c r="A539" s="668"/>
      <c r="B539" s="664"/>
      <c r="C539" s="664"/>
      <c r="D539" s="669" t="s">
        <v>2767</v>
      </c>
      <c r="E539" s="670">
        <f>$E$9</f>
        <v>0</v>
      </c>
      <c r="F539" s="684"/>
      <c r="G539" s="663"/>
      <c r="H539" s="684"/>
      <c r="I539" s="672"/>
      <c r="J539" s="761">
        <f>J538*E539</f>
        <v>0</v>
      </c>
    </row>
    <row r="540" spans="1:11" s="644" customFormat="1">
      <c r="A540" s="668"/>
      <c r="B540" s="664"/>
      <c r="C540" s="664"/>
      <c r="D540" s="673"/>
      <c r="E540" s="685"/>
      <c r="F540" s="684"/>
      <c r="G540" s="663"/>
      <c r="H540" s="684"/>
      <c r="I540" s="672"/>
      <c r="J540" s="676">
        <f>SUM(J538:J539)</f>
        <v>21608.416200000003</v>
      </c>
    </row>
    <row r="541" spans="1:11" s="644" customFormat="1">
      <c r="A541" s="668"/>
      <c r="B541" s="664"/>
      <c r="C541" s="664"/>
      <c r="D541" s="669" t="s">
        <v>2380</v>
      </c>
      <c r="E541" s="685"/>
      <c r="F541" s="684"/>
      <c r="G541" s="663"/>
      <c r="H541" s="684"/>
      <c r="I541" s="686"/>
      <c r="J541" s="693">
        <f>ROUND(J540,0)</f>
        <v>21608</v>
      </c>
    </row>
    <row r="542" spans="1:11" s="644" customFormat="1">
      <c r="A542" s="668"/>
      <c r="B542" s="654"/>
      <c r="C542" s="654"/>
      <c r="D542" s="683"/>
      <c r="E542" s="681"/>
      <c r="F542" s="659"/>
      <c r="G542" s="659"/>
      <c r="H542" s="659"/>
      <c r="I542" s="672"/>
      <c r="J542" s="758"/>
    </row>
    <row r="543" spans="1:11" s="644" customFormat="1">
      <c r="A543" s="673"/>
      <c r="B543" s="654"/>
      <c r="C543" s="654"/>
      <c r="D543" s="756" t="s">
        <v>2951</v>
      </c>
      <c r="E543" s="679"/>
      <c r="F543" s="680"/>
      <c r="G543" s="661"/>
      <c r="H543" s="680"/>
      <c r="I543" s="657"/>
      <c r="J543" s="694"/>
    </row>
    <row r="544" spans="1:11" s="644" customFormat="1">
      <c r="A544" s="653">
        <f>SUM(MAX($A$7:$A542),1)</f>
        <v>28</v>
      </c>
      <c r="B544" s="654"/>
      <c r="C544" s="654"/>
      <c r="D544" s="2167" t="s">
        <v>2952</v>
      </c>
      <c r="E544" s="2167"/>
      <c r="F544" s="2167"/>
      <c r="G544" s="2167"/>
      <c r="H544" s="2167"/>
      <c r="I544" s="2167"/>
      <c r="J544" s="2167"/>
    </row>
    <row r="545" spans="1:11" s="644" customFormat="1">
      <c r="A545" s="668"/>
      <c r="B545" s="654"/>
      <c r="C545" s="654"/>
      <c r="D545" s="682" t="s">
        <v>2930</v>
      </c>
      <c r="E545" s="659" t="s">
        <v>2430</v>
      </c>
      <c r="F545" s="660" t="s">
        <v>2431</v>
      </c>
      <c r="G545" s="661" t="s">
        <v>929</v>
      </c>
      <c r="H545" s="680"/>
      <c r="I545" s="657" t="s">
        <v>955</v>
      </c>
      <c r="J545" s="694"/>
    </row>
    <row r="546" spans="1:11" s="644" customFormat="1">
      <c r="A546" s="668"/>
      <c r="B546" s="654"/>
      <c r="C546" s="654"/>
      <c r="D546" s="682" t="s">
        <v>2931</v>
      </c>
      <c r="E546" s="679">
        <v>0.6</v>
      </c>
      <c r="F546" s="680">
        <v>0.6</v>
      </c>
      <c r="G546" s="755">
        <v>0.45</v>
      </c>
      <c r="H546" s="680"/>
      <c r="I546" s="657"/>
      <c r="J546" s="694"/>
    </row>
    <row r="547" spans="1:11" s="644" customFormat="1">
      <c r="A547" s="668"/>
      <c r="B547" s="654"/>
      <c r="C547" s="654"/>
      <c r="D547" s="682" t="s">
        <v>2932</v>
      </c>
      <c r="E547" s="679"/>
      <c r="F547" s="680">
        <f>E546</f>
        <v>0.6</v>
      </c>
      <c r="G547" s="755"/>
      <c r="H547" s="680">
        <f>I547*F547</f>
        <v>1.2</v>
      </c>
      <c r="I547" s="657">
        <v>2</v>
      </c>
      <c r="J547" s="694"/>
    </row>
    <row r="548" spans="1:11" s="644" customFormat="1">
      <c r="A548" s="668"/>
      <c r="B548" s="654"/>
      <c r="C548" s="654"/>
      <c r="D548" s="682" t="s">
        <v>2933</v>
      </c>
      <c r="E548" s="679"/>
      <c r="F548" s="680">
        <f>E546</f>
        <v>0.6</v>
      </c>
      <c r="G548" s="755">
        <f>G546</f>
        <v>0.45</v>
      </c>
      <c r="H548" s="680">
        <f>I548*F548*G548</f>
        <v>0.54</v>
      </c>
      <c r="I548" s="657">
        <v>2</v>
      </c>
      <c r="J548" s="694"/>
    </row>
    <row r="549" spans="1:11" s="644" customFormat="1">
      <c r="A549" s="668"/>
      <c r="B549" s="654"/>
      <c r="C549" s="654"/>
      <c r="D549" s="682" t="s">
        <v>2934</v>
      </c>
      <c r="E549" s="679"/>
      <c r="F549" s="680">
        <f>F546</f>
        <v>0.6</v>
      </c>
      <c r="G549" s="755">
        <f>G546</f>
        <v>0.45</v>
      </c>
      <c r="H549" s="680">
        <f>I549*F549*G549</f>
        <v>0.54</v>
      </c>
      <c r="I549" s="657">
        <v>2</v>
      </c>
      <c r="J549" s="694"/>
    </row>
    <row r="550" spans="1:11" s="644" customFormat="1">
      <c r="A550" s="668"/>
      <c r="B550" s="654"/>
      <c r="C550" s="654"/>
      <c r="D550" s="682" t="s">
        <v>2935</v>
      </c>
      <c r="E550" s="679"/>
      <c r="F550" s="680"/>
      <c r="G550" s="661"/>
      <c r="H550" s="680">
        <f>SUM(H547:H549)</f>
        <v>2.2800000000000002</v>
      </c>
      <c r="I550" s="657"/>
      <c r="J550" s="694"/>
    </row>
    <row r="551" spans="1:11" s="644" customFormat="1">
      <c r="A551" s="668"/>
      <c r="B551" s="654"/>
      <c r="C551" s="654"/>
      <c r="D551" s="682" t="s">
        <v>2936</v>
      </c>
      <c r="E551" s="679"/>
      <c r="F551" s="680"/>
      <c r="G551" s="661"/>
      <c r="H551" s="680">
        <f>0.1*H550</f>
        <v>0.22800000000000004</v>
      </c>
      <c r="I551" s="657"/>
      <c r="J551" s="694"/>
    </row>
    <row r="552" spans="1:11" s="644" customFormat="1">
      <c r="A552" s="668"/>
      <c r="B552" s="654"/>
      <c r="C552" s="654"/>
      <c r="D552" s="682" t="s">
        <v>946</v>
      </c>
      <c r="E552" s="679"/>
      <c r="F552" s="680"/>
      <c r="G552" s="661"/>
      <c r="H552" s="684">
        <f>SUM(H550:H551)</f>
        <v>2.5080000000000005</v>
      </c>
      <c r="I552" s="657"/>
      <c r="J552" s="694"/>
    </row>
    <row r="553" spans="1:11" s="644" customFormat="1" ht="127.5">
      <c r="A553" s="668"/>
      <c r="B553" s="654" t="s">
        <v>2937</v>
      </c>
      <c r="C553" s="735" t="s">
        <v>2938</v>
      </c>
      <c r="D553" s="682" t="s">
        <v>2939</v>
      </c>
      <c r="E553" s="679">
        <f>H552</f>
        <v>2.5080000000000005</v>
      </c>
      <c r="F553" s="680" t="s">
        <v>2948</v>
      </c>
      <c r="G553" s="661">
        <v>1</v>
      </c>
      <c r="H553" s="680" t="s">
        <v>2948</v>
      </c>
      <c r="I553" s="657">
        <v>4940</v>
      </c>
      <c r="J553" s="694">
        <f>SUM(E553*I553/G553)</f>
        <v>12389.520000000002</v>
      </c>
      <c r="K553" s="644" t="s">
        <v>2949</v>
      </c>
    </row>
    <row r="554" spans="1:11" s="644" customFormat="1" ht="63.75">
      <c r="A554" s="653"/>
      <c r="B554" s="665" t="s">
        <v>2915</v>
      </c>
      <c r="C554" s="735" t="s">
        <v>2237</v>
      </c>
      <c r="D554" s="682" t="s">
        <v>2953</v>
      </c>
      <c r="E554" s="695">
        <v>1</v>
      </c>
      <c r="F554" s="645" t="s">
        <v>955</v>
      </c>
      <c r="G554" s="661">
        <v>1</v>
      </c>
      <c r="H554" s="645" t="s">
        <v>1509</v>
      </c>
      <c r="I554" s="757">
        <v>29878</v>
      </c>
      <c r="J554" s="694">
        <f>SUM(E554*I554/G554)</f>
        <v>29878</v>
      </c>
    </row>
    <row r="555" spans="1:11" s="644" customFormat="1">
      <c r="A555" s="668"/>
      <c r="B555" s="654"/>
      <c r="C555" s="654"/>
      <c r="D555" s="682"/>
      <c r="E555" s="695"/>
      <c r="F555" s="645"/>
      <c r="G555" s="661"/>
      <c r="H555" s="645"/>
      <c r="I555" s="657"/>
      <c r="J555" s="758">
        <f>SUM(J553:J554)</f>
        <v>42267.520000000004</v>
      </c>
    </row>
    <row r="556" spans="1:11" s="644" customFormat="1">
      <c r="A556" s="668"/>
      <c r="B556" s="654"/>
      <c r="C556" s="654"/>
      <c r="D556" s="682" t="s">
        <v>2943</v>
      </c>
      <c r="E556" s="759">
        <v>0.01</v>
      </c>
      <c r="F556" s="680"/>
      <c r="G556" s="661"/>
      <c r="H556" s="680"/>
      <c r="I556" s="657"/>
      <c r="J556" s="758">
        <f>J555*E556</f>
        <v>422.67520000000007</v>
      </c>
    </row>
    <row r="557" spans="1:11" s="644" customFormat="1" ht="51">
      <c r="A557" s="668"/>
      <c r="B557" s="654"/>
      <c r="C557" s="654"/>
      <c r="D557" s="682" t="s">
        <v>2944</v>
      </c>
      <c r="E557" s="760">
        <v>5.0000000000000001E-3</v>
      </c>
      <c r="F557" s="680"/>
      <c r="G557" s="661"/>
      <c r="H557" s="680"/>
      <c r="I557" s="657"/>
      <c r="J557" s="758">
        <f>J555*E557</f>
        <v>211.33760000000004</v>
      </c>
    </row>
    <row r="558" spans="1:11" s="644" customFormat="1" ht="25.5">
      <c r="A558" s="668"/>
      <c r="B558" s="654"/>
      <c r="C558" s="654"/>
      <c r="D558" s="683" t="s">
        <v>2945</v>
      </c>
      <c r="E558" s="681"/>
      <c r="F558" s="659"/>
      <c r="G558" s="659"/>
      <c r="H558" s="659"/>
      <c r="I558" s="657"/>
      <c r="J558" s="758">
        <f>SUM(J555:J557)</f>
        <v>42901.532800000001</v>
      </c>
    </row>
    <row r="559" spans="1:11" s="644" customFormat="1">
      <c r="A559" s="668"/>
      <c r="B559" s="664"/>
      <c r="C559" s="664"/>
      <c r="D559" s="669" t="s">
        <v>2767</v>
      </c>
      <c r="E559" s="670">
        <f>$E$9</f>
        <v>0</v>
      </c>
      <c r="F559" s="684"/>
      <c r="G559" s="663"/>
      <c r="H559" s="684"/>
      <c r="I559" s="672"/>
      <c r="J559" s="761">
        <f>J558*E559</f>
        <v>0</v>
      </c>
    </row>
    <row r="560" spans="1:11" s="644" customFormat="1">
      <c r="A560" s="668"/>
      <c r="B560" s="664"/>
      <c r="C560" s="664"/>
      <c r="D560" s="673"/>
      <c r="E560" s="685"/>
      <c r="F560" s="684"/>
      <c r="G560" s="663"/>
      <c r="H560" s="684"/>
      <c r="I560" s="672"/>
      <c r="J560" s="676">
        <f>SUM(J558:J559)</f>
        <v>42901.532800000001</v>
      </c>
    </row>
    <row r="561" spans="1:11" s="644" customFormat="1">
      <c r="A561" s="668"/>
      <c r="B561" s="664"/>
      <c r="C561" s="664"/>
      <c r="D561" s="669" t="s">
        <v>2380</v>
      </c>
      <c r="E561" s="685"/>
      <c r="F561" s="684"/>
      <c r="G561" s="663"/>
      <c r="H561" s="684"/>
      <c r="I561" s="686"/>
      <c r="J561" s="693">
        <f>ROUND(J560,0)</f>
        <v>42902</v>
      </c>
    </row>
    <row r="562" spans="1:11" s="644" customFormat="1">
      <c r="A562" s="673"/>
      <c r="B562" s="654"/>
      <c r="C562" s="654"/>
      <c r="D562" s="756"/>
      <c r="E562" s="679"/>
      <c r="F562" s="680"/>
      <c r="G562" s="661"/>
      <c r="H562" s="680"/>
      <c r="I562" s="657"/>
      <c r="J562" s="694"/>
    </row>
    <row r="563" spans="1:11" s="644" customFormat="1">
      <c r="A563" s="673"/>
      <c r="B563" s="654"/>
      <c r="C563" s="654"/>
      <c r="D563" s="756" t="s">
        <v>2954</v>
      </c>
      <c r="E563" s="679"/>
      <c r="F563" s="680"/>
      <c r="G563" s="661"/>
      <c r="H563" s="680"/>
      <c r="I563" s="657"/>
      <c r="J563" s="694"/>
    </row>
    <row r="564" spans="1:11" s="644" customFormat="1">
      <c r="A564" s="653"/>
      <c r="B564" s="654"/>
      <c r="C564" s="654"/>
      <c r="D564" s="2167" t="s">
        <v>2955</v>
      </c>
      <c r="E564" s="2167"/>
      <c r="F564" s="2167"/>
      <c r="G564" s="2167"/>
      <c r="H564" s="2167"/>
      <c r="I564" s="2167"/>
      <c r="J564" s="2167"/>
    </row>
    <row r="565" spans="1:11" s="644" customFormat="1">
      <c r="A565" s="668"/>
      <c r="B565" s="654"/>
      <c r="C565" s="654"/>
      <c r="D565" s="682" t="s">
        <v>2930</v>
      </c>
      <c r="E565" s="659" t="s">
        <v>2430</v>
      </c>
      <c r="F565" s="660" t="s">
        <v>2431</v>
      </c>
      <c r="G565" s="661" t="s">
        <v>929</v>
      </c>
      <c r="H565" s="680"/>
      <c r="I565" s="657" t="s">
        <v>955</v>
      </c>
      <c r="J565" s="694"/>
    </row>
    <row r="566" spans="1:11" s="644" customFormat="1">
      <c r="A566" s="668"/>
      <c r="B566" s="654"/>
      <c r="C566" s="654"/>
      <c r="D566" s="682" t="s">
        <v>2931</v>
      </c>
      <c r="E566" s="679">
        <v>0.75</v>
      </c>
      <c r="F566" s="680">
        <v>0.75</v>
      </c>
      <c r="G566" s="755">
        <v>0.45</v>
      </c>
      <c r="H566" s="680"/>
      <c r="I566" s="657"/>
      <c r="J566" s="694"/>
    </row>
    <row r="567" spans="1:11" s="644" customFormat="1">
      <c r="A567" s="668"/>
      <c r="B567" s="654"/>
      <c r="C567" s="654"/>
      <c r="D567" s="682" t="s">
        <v>2932</v>
      </c>
      <c r="E567" s="679"/>
      <c r="F567" s="680">
        <f>E566</f>
        <v>0.75</v>
      </c>
      <c r="G567" s="755"/>
      <c r="H567" s="680">
        <f>I567*F567</f>
        <v>1.5</v>
      </c>
      <c r="I567" s="657">
        <v>2</v>
      </c>
      <c r="J567" s="694"/>
    </row>
    <row r="568" spans="1:11" s="644" customFormat="1">
      <c r="A568" s="668"/>
      <c r="B568" s="654"/>
      <c r="C568" s="654"/>
      <c r="D568" s="682" t="s">
        <v>2933</v>
      </c>
      <c r="E568" s="679"/>
      <c r="F568" s="680">
        <f>E566</f>
        <v>0.75</v>
      </c>
      <c r="G568" s="755">
        <f>G566</f>
        <v>0.45</v>
      </c>
      <c r="H568" s="680">
        <f>I568*F568*G568</f>
        <v>0.67500000000000004</v>
      </c>
      <c r="I568" s="657">
        <v>2</v>
      </c>
      <c r="J568" s="694"/>
    </row>
    <row r="569" spans="1:11" s="644" customFormat="1">
      <c r="A569" s="668"/>
      <c r="B569" s="654"/>
      <c r="C569" s="654"/>
      <c r="D569" s="682" t="s">
        <v>2934</v>
      </c>
      <c r="E569" s="679"/>
      <c r="F569" s="680">
        <f>F566</f>
        <v>0.75</v>
      </c>
      <c r="G569" s="755">
        <f>G566</f>
        <v>0.45</v>
      </c>
      <c r="H569" s="680">
        <f>I569*F569*G569</f>
        <v>0.67500000000000004</v>
      </c>
      <c r="I569" s="657">
        <v>2</v>
      </c>
      <c r="J569" s="694"/>
    </row>
    <row r="570" spans="1:11" s="644" customFormat="1">
      <c r="A570" s="668"/>
      <c r="B570" s="654"/>
      <c r="C570" s="654"/>
      <c r="D570" s="682" t="s">
        <v>2935</v>
      </c>
      <c r="E570" s="679"/>
      <c r="F570" s="680"/>
      <c r="G570" s="661"/>
      <c r="H570" s="680">
        <f>SUM(H567:H569)</f>
        <v>2.8499999999999996</v>
      </c>
      <c r="I570" s="657"/>
      <c r="J570" s="694"/>
    </row>
    <row r="571" spans="1:11" s="644" customFormat="1">
      <c r="A571" s="668"/>
      <c r="B571" s="654"/>
      <c r="C571" s="654"/>
      <c r="D571" s="682" t="s">
        <v>2936</v>
      </c>
      <c r="E571" s="679"/>
      <c r="F571" s="680"/>
      <c r="G571" s="661"/>
      <c r="H571" s="680">
        <f>0.1*H570</f>
        <v>0.28499999999999998</v>
      </c>
      <c r="I571" s="657"/>
      <c r="J571" s="694"/>
    </row>
    <row r="572" spans="1:11" s="644" customFormat="1">
      <c r="A572" s="668"/>
      <c r="B572" s="654"/>
      <c r="C572" s="654"/>
      <c r="D572" s="682" t="s">
        <v>946</v>
      </c>
      <c r="E572" s="679"/>
      <c r="F572" s="680"/>
      <c r="G572" s="661"/>
      <c r="H572" s="684">
        <f>SUM(H570:H571)</f>
        <v>3.1349999999999998</v>
      </c>
      <c r="I572" s="657"/>
      <c r="J572" s="694"/>
    </row>
    <row r="573" spans="1:11" s="644" customFormat="1" ht="127.5">
      <c r="A573" s="668"/>
      <c r="B573" s="654" t="s">
        <v>2937</v>
      </c>
      <c r="C573" s="735" t="s">
        <v>2938</v>
      </c>
      <c r="D573" s="682" t="s">
        <v>2939</v>
      </c>
      <c r="E573" s="679">
        <f>H572</f>
        <v>3.1349999999999998</v>
      </c>
      <c r="F573" s="680" t="s">
        <v>2948</v>
      </c>
      <c r="G573" s="661">
        <v>1</v>
      </c>
      <c r="H573" s="680" t="s">
        <v>2948</v>
      </c>
      <c r="I573" s="657">
        <v>4940</v>
      </c>
      <c r="J573" s="694">
        <f>SUM(E573*I573/G573)</f>
        <v>15486.9</v>
      </c>
      <c r="K573" s="644" t="s">
        <v>2949</v>
      </c>
    </row>
    <row r="574" spans="1:11" s="644" customFormat="1" ht="63.75">
      <c r="A574" s="653"/>
      <c r="B574" s="665" t="s">
        <v>2915</v>
      </c>
      <c r="C574" s="735" t="s">
        <v>2956</v>
      </c>
      <c r="D574" s="682" t="s">
        <v>2957</v>
      </c>
      <c r="E574" s="695">
        <v>1</v>
      </c>
      <c r="F574" s="645" t="s">
        <v>955</v>
      </c>
      <c r="G574" s="661">
        <v>1</v>
      </c>
      <c r="H574" s="645" t="s">
        <v>1509</v>
      </c>
      <c r="I574" s="757">
        <v>37611</v>
      </c>
      <c r="J574" s="694">
        <f>SUM(E574*I574/G574)</f>
        <v>37611</v>
      </c>
    </row>
    <row r="575" spans="1:11" s="644" customFormat="1">
      <c r="A575" s="668"/>
      <c r="B575" s="654"/>
      <c r="C575" s="654"/>
      <c r="D575" s="682"/>
      <c r="E575" s="695"/>
      <c r="F575" s="645"/>
      <c r="G575" s="661"/>
      <c r="H575" s="645"/>
      <c r="I575" s="657"/>
      <c r="J575" s="758">
        <f>SUM(J573:J574)</f>
        <v>53097.9</v>
      </c>
    </row>
    <row r="576" spans="1:11" s="644" customFormat="1">
      <c r="A576" s="668"/>
      <c r="B576" s="654"/>
      <c r="C576" s="654"/>
      <c r="D576" s="682" t="s">
        <v>2958</v>
      </c>
      <c r="E576" s="759">
        <v>0</v>
      </c>
      <c r="F576" s="680"/>
      <c r="G576" s="659"/>
      <c r="H576" s="680"/>
      <c r="I576" s="657"/>
      <c r="J576" s="758">
        <f>J575*E576</f>
        <v>0</v>
      </c>
    </row>
    <row r="577" spans="1:10" s="644" customFormat="1" ht="25.5">
      <c r="A577" s="668"/>
      <c r="B577" s="654"/>
      <c r="C577" s="654"/>
      <c r="D577" s="682" t="s">
        <v>2959</v>
      </c>
      <c r="E577" s="759">
        <v>0</v>
      </c>
      <c r="F577" s="681"/>
      <c r="G577" s="665"/>
      <c r="H577" s="681"/>
      <c r="I577" s="657"/>
      <c r="J577" s="758">
        <f>J575*E577</f>
        <v>0</v>
      </c>
    </row>
    <row r="578" spans="1:10" s="644" customFormat="1">
      <c r="A578" s="668"/>
      <c r="B578" s="654"/>
      <c r="C578" s="654"/>
      <c r="D578" s="682" t="s">
        <v>2943</v>
      </c>
      <c r="E578" s="759">
        <v>0.01</v>
      </c>
      <c r="F578" s="680"/>
      <c r="G578" s="661"/>
      <c r="H578" s="680"/>
      <c r="I578" s="657"/>
      <c r="J578" s="758">
        <f>J575*E578</f>
        <v>530.97900000000004</v>
      </c>
    </row>
    <row r="579" spans="1:10" s="644" customFormat="1" ht="51">
      <c r="A579" s="668"/>
      <c r="B579" s="654"/>
      <c r="C579" s="654"/>
      <c r="D579" s="682" t="s">
        <v>2944</v>
      </c>
      <c r="E579" s="760">
        <v>5.0000000000000001E-3</v>
      </c>
      <c r="F579" s="680"/>
      <c r="G579" s="661"/>
      <c r="H579" s="680"/>
      <c r="I579" s="657"/>
      <c r="J579" s="758">
        <f>J575*E579</f>
        <v>265.48950000000002</v>
      </c>
    </row>
    <row r="580" spans="1:10" s="644" customFormat="1" ht="25.5">
      <c r="A580" s="668"/>
      <c r="B580" s="654"/>
      <c r="C580" s="654"/>
      <c r="D580" s="683" t="s">
        <v>2945</v>
      </c>
      <c r="E580" s="681"/>
      <c r="F580" s="659"/>
      <c r="G580" s="659"/>
      <c r="H580" s="659"/>
      <c r="I580" s="657"/>
      <c r="J580" s="758">
        <f>SUM(J575:J579)</f>
        <v>53894.368500000004</v>
      </c>
    </row>
    <row r="581" spans="1:10" s="644" customFormat="1">
      <c r="A581" s="668"/>
      <c r="B581" s="664"/>
      <c r="C581" s="664"/>
      <c r="D581" s="669" t="s">
        <v>2767</v>
      </c>
      <c r="E581" s="670">
        <f>$E$9</f>
        <v>0</v>
      </c>
      <c r="F581" s="684"/>
      <c r="G581" s="663"/>
      <c r="H581" s="684"/>
      <c r="I581" s="672"/>
      <c r="J581" s="761">
        <f>J580*E581</f>
        <v>0</v>
      </c>
    </row>
    <row r="582" spans="1:10" s="644" customFormat="1">
      <c r="A582" s="668"/>
      <c r="B582" s="664"/>
      <c r="C582" s="664"/>
      <c r="D582" s="673"/>
      <c r="E582" s="685"/>
      <c r="F582" s="684"/>
      <c r="G582" s="663"/>
      <c r="H582" s="684"/>
      <c r="I582" s="672"/>
      <c r="J582" s="676">
        <f>SUM(J580:J581)</f>
        <v>53894.368500000004</v>
      </c>
    </row>
    <row r="583" spans="1:10" s="644" customFormat="1">
      <c r="A583" s="668"/>
      <c r="B583" s="664"/>
      <c r="C583" s="664"/>
      <c r="D583" s="669" t="s">
        <v>2380</v>
      </c>
      <c r="E583" s="685"/>
      <c r="F583" s="684"/>
      <c r="G583" s="663"/>
      <c r="H583" s="684"/>
      <c r="I583" s="686"/>
      <c r="J583" s="693">
        <f>ROUND(J582,0)</f>
        <v>53894</v>
      </c>
    </row>
    <row r="584" spans="1:10" s="644" customFormat="1">
      <c r="A584" s="668"/>
      <c r="B584" s="654"/>
      <c r="C584" s="654"/>
      <c r="D584" s="683"/>
      <c r="E584" s="681"/>
      <c r="F584" s="659"/>
      <c r="G584" s="659"/>
      <c r="H584" s="659"/>
      <c r="I584" s="672"/>
      <c r="J584" s="758"/>
    </row>
    <row r="585" spans="1:10" s="644" customFormat="1" ht="382.5">
      <c r="A585" s="653"/>
      <c r="B585" s="677"/>
      <c r="C585" s="677"/>
      <c r="D585" s="662" t="s">
        <v>2960</v>
      </c>
      <c r="E585" s="678"/>
      <c r="F585" s="678"/>
      <c r="G585" s="678"/>
      <c r="H585" s="678"/>
      <c r="I585" s="762"/>
      <c r="J585" s="678"/>
    </row>
    <row r="586" spans="1:10" s="644" customFormat="1">
      <c r="A586" s="668"/>
      <c r="B586" s="654" t="s">
        <v>2961</v>
      </c>
      <c r="C586" s="735"/>
      <c r="D586" s="645" t="s">
        <v>2962</v>
      </c>
      <c r="E586" s="695">
        <v>1</v>
      </c>
      <c r="F586" s="645" t="s">
        <v>955</v>
      </c>
      <c r="G586" s="661">
        <v>1</v>
      </c>
      <c r="H586" s="645" t="s">
        <v>1509</v>
      </c>
      <c r="I586" s="657">
        <v>658845</v>
      </c>
      <c r="J586" s="694">
        <f>SUM(E586*I586/G586)</f>
        <v>658845</v>
      </c>
    </row>
    <row r="587" spans="1:10" s="644" customFormat="1">
      <c r="A587" s="668"/>
      <c r="B587" s="664"/>
      <c r="C587" s="664"/>
      <c r="D587" s="669" t="s">
        <v>2767</v>
      </c>
      <c r="E587" s="670">
        <f>$E$9</f>
        <v>0</v>
      </c>
      <c r="F587" s="684"/>
      <c r="G587" s="663"/>
      <c r="H587" s="684"/>
      <c r="I587" s="672"/>
      <c r="J587" s="676">
        <f>J586*E587</f>
        <v>0</v>
      </c>
    </row>
    <row r="588" spans="1:10" s="644" customFormat="1">
      <c r="A588" s="668"/>
      <c r="B588" s="664"/>
      <c r="C588" s="664"/>
      <c r="D588" s="673"/>
      <c r="E588" s="685"/>
      <c r="F588" s="684"/>
      <c r="G588" s="663"/>
      <c r="H588" s="684"/>
      <c r="I588" s="672"/>
      <c r="J588" s="676">
        <f>SUM(J586:J587)</f>
        <v>658845</v>
      </c>
    </row>
    <row r="589" spans="1:10" s="733" customFormat="1">
      <c r="A589" s="668"/>
      <c r="B589" s="736"/>
      <c r="C589" s="736"/>
      <c r="D589" s="669" t="s">
        <v>2380</v>
      </c>
      <c r="E589" s="747"/>
      <c r="F589" s="748"/>
      <c r="G589" s="743"/>
      <c r="H589" s="748"/>
      <c r="I589" s="763"/>
      <c r="J589" s="750">
        <f>ROUND(J588,0)</f>
        <v>658845</v>
      </c>
    </row>
    <row r="590" spans="1:10" s="644" customFormat="1">
      <c r="A590" s="668" t="s">
        <v>2440</v>
      </c>
      <c r="B590" s="664"/>
      <c r="C590" s="664"/>
      <c r="D590" s="2166" t="s">
        <v>2963</v>
      </c>
      <c r="E590" s="2166"/>
      <c r="F590" s="2166"/>
      <c r="G590" s="2166"/>
      <c r="H590" s="2166"/>
      <c r="I590" s="2166"/>
      <c r="J590" s="2166"/>
    </row>
    <row r="591" spans="1:10" s="644" customFormat="1" ht="123" customHeight="1">
      <c r="A591" s="653">
        <f>SUM(MAX($A$7:$A590),1)</f>
        <v>29</v>
      </c>
      <c r="B591" s="664"/>
      <c r="C591" s="664"/>
      <c r="D591" s="2158" t="s">
        <v>2732</v>
      </c>
      <c r="E591" s="2158"/>
      <c r="F591" s="2158"/>
      <c r="G591" s="2158"/>
      <c r="H591" s="2158"/>
      <c r="I591" s="2158"/>
      <c r="J591" s="2158"/>
    </row>
    <row r="592" spans="1:10" s="644" customFormat="1">
      <c r="A592" s="668"/>
      <c r="B592" s="654" t="s">
        <v>2964</v>
      </c>
      <c r="C592" s="661"/>
      <c r="D592" s="682" t="s">
        <v>2965</v>
      </c>
      <c r="E592" s="661">
        <v>1</v>
      </c>
      <c r="F592" s="654" t="s">
        <v>2927</v>
      </c>
      <c r="G592" s="661">
        <v>1</v>
      </c>
      <c r="H592" s="654" t="s">
        <v>2927</v>
      </c>
      <c r="I592" s="657">
        <v>5836</v>
      </c>
      <c r="J592" s="655">
        <f>I592*G592</f>
        <v>5836</v>
      </c>
    </row>
    <row r="593" spans="1:10" s="644" customFormat="1">
      <c r="A593" s="668"/>
      <c r="B593" s="664"/>
      <c r="C593" s="664"/>
      <c r="D593" s="669" t="s">
        <v>2767</v>
      </c>
      <c r="E593" s="670">
        <f>$E$9</f>
        <v>0</v>
      </c>
      <c r="F593" s="684"/>
      <c r="G593" s="663"/>
      <c r="H593" s="684"/>
      <c r="I593" s="675"/>
      <c r="J593" s="676">
        <f>J592*E593</f>
        <v>0</v>
      </c>
    </row>
    <row r="594" spans="1:10" s="644" customFormat="1">
      <c r="A594" s="668"/>
      <c r="B594" s="664"/>
      <c r="C594" s="664"/>
      <c r="D594" s="673"/>
      <c r="E594" s="685"/>
      <c r="F594" s="684"/>
      <c r="G594" s="663"/>
      <c r="H594" s="684"/>
      <c r="I594" s="675"/>
      <c r="J594" s="676">
        <f>SUM(J592:J593)</f>
        <v>5836</v>
      </c>
    </row>
    <row r="595" spans="1:10" s="644" customFormat="1">
      <c r="A595" s="668"/>
      <c r="B595" s="664"/>
      <c r="C595" s="664"/>
      <c r="D595" s="691" t="s">
        <v>2380</v>
      </c>
      <c r="E595" s="685"/>
      <c r="F595" s="684"/>
      <c r="G595" s="663"/>
      <c r="H595" s="684"/>
      <c r="I595" s="675"/>
      <c r="J595" s="693">
        <f>ROUNDDOWN(J594,0)</f>
        <v>5836</v>
      </c>
    </row>
    <row r="596" spans="1:10" s="644" customFormat="1">
      <c r="A596" s="668"/>
      <c r="B596" s="664"/>
      <c r="C596" s="664"/>
      <c r="D596" s="691"/>
      <c r="E596" s="685"/>
      <c r="F596" s="684"/>
      <c r="G596" s="663"/>
      <c r="H596" s="684"/>
      <c r="I596" s="675"/>
      <c r="J596" s="693"/>
    </row>
    <row r="597" spans="1:10" s="644" customFormat="1">
      <c r="A597" s="653">
        <f>SUM(MAX($A$7:$A596),1)</f>
        <v>30</v>
      </c>
      <c r="B597" s="654"/>
      <c r="C597" s="654"/>
      <c r="D597" s="2158" t="s">
        <v>2966</v>
      </c>
      <c r="E597" s="2158"/>
      <c r="F597" s="2158"/>
      <c r="G597" s="2158"/>
      <c r="H597" s="2158"/>
      <c r="I597" s="2158"/>
      <c r="J597" s="2158"/>
    </row>
    <row r="598" spans="1:10" s="644" customFormat="1">
      <c r="A598" s="668"/>
      <c r="B598" s="654" t="s">
        <v>2967</v>
      </c>
      <c r="C598" s="661"/>
      <c r="D598" s="656" t="s">
        <v>2965</v>
      </c>
      <c r="E598" s="661">
        <v>1</v>
      </c>
      <c r="F598" s="654" t="s">
        <v>2927</v>
      </c>
      <c r="G598" s="661">
        <v>1</v>
      </c>
      <c r="H598" s="654" t="s">
        <v>2927</v>
      </c>
      <c r="I598" s="657">
        <v>16670</v>
      </c>
      <c r="J598" s="655">
        <f>I598*G598</f>
        <v>16670</v>
      </c>
    </row>
    <row r="599" spans="1:10" s="644" customFormat="1">
      <c r="A599" s="668"/>
      <c r="B599" s="664"/>
      <c r="C599" s="664"/>
      <c r="D599" s="669" t="s">
        <v>2767</v>
      </c>
      <c r="E599" s="670">
        <f>$E$9</f>
        <v>0</v>
      </c>
      <c r="F599" s="684"/>
      <c r="G599" s="663"/>
      <c r="H599" s="684"/>
      <c r="I599" s="675"/>
      <c r="J599" s="676">
        <f>J598*E599</f>
        <v>0</v>
      </c>
    </row>
    <row r="600" spans="1:10" s="644" customFormat="1">
      <c r="A600" s="668"/>
      <c r="B600" s="664"/>
      <c r="C600" s="664"/>
      <c r="D600" s="673"/>
      <c r="E600" s="685"/>
      <c r="F600" s="684"/>
      <c r="G600" s="663"/>
      <c r="H600" s="684"/>
      <c r="I600" s="675"/>
      <c r="J600" s="676">
        <f>SUM(J598:J599)</f>
        <v>16670</v>
      </c>
    </row>
    <row r="601" spans="1:10" s="644" customFormat="1">
      <c r="A601" s="668"/>
      <c r="B601" s="664"/>
      <c r="C601" s="664"/>
      <c r="D601" s="691" t="s">
        <v>2380</v>
      </c>
      <c r="E601" s="685"/>
      <c r="F601" s="684"/>
      <c r="G601" s="663"/>
      <c r="H601" s="684"/>
      <c r="I601" s="675"/>
      <c r="J601" s="693">
        <f>ROUND(J600,0)</f>
        <v>16670</v>
      </c>
    </row>
    <row r="602" spans="1:10" s="644" customFormat="1">
      <c r="A602" s="668"/>
      <c r="B602" s="664"/>
      <c r="C602" s="664"/>
      <c r="D602" s="691"/>
      <c r="E602" s="685"/>
      <c r="F602" s="684"/>
      <c r="G602" s="663"/>
      <c r="H602" s="684"/>
      <c r="I602" s="675"/>
      <c r="J602" s="693"/>
    </row>
    <row r="603" spans="1:10" s="644" customFormat="1">
      <c r="A603" s="653">
        <f>SUM(MAX($A$7:$A601),1)</f>
        <v>31</v>
      </c>
      <c r="B603" s="654"/>
      <c r="C603" s="654"/>
      <c r="D603" s="2158" t="s">
        <v>2968</v>
      </c>
      <c r="E603" s="2158"/>
      <c r="F603" s="2158"/>
      <c r="G603" s="2158"/>
      <c r="H603" s="2158"/>
      <c r="I603" s="2158"/>
      <c r="J603" s="2158"/>
    </row>
    <row r="604" spans="1:10" s="644" customFormat="1">
      <c r="A604" s="668"/>
      <c r="B604" s="654" t="s">
        <v>2969</v>
      </c>
      <c r="C604" s="661"/>
      <c r="D604" s="656" t="s">
        <v>2965</v>
      </c>
      <c r="E604" s="661">
        <v>1</v>
      </c>
      <c r="F604" s="654" t="s">
        <v>2927</v>
      </c>
      <c r="G604" s="661">
        <v>1</v>
      </c>
      <c r="H604" s="654" t="s">
        <v>2927</v>
      </c>
      <c r="I604" s="657">
        <v>9550</v>
      </c>
      <c r="J604" s="655">
        <f>I604*G604</f>
        <v>9550</v>
      </c>
    </row>
    <row r="605" spans="1:10" s="644" customFormat="1">
      <c r="A605" s="668"/>
      <c r="B605" s="664"/>
      <c r="C605" s="664"/>
      <c r="D605" s="669" t="s">
        <v>2767</v>
      </c>
      <c r="E605" s="670">
        <f>$E$9</f>
        <v>0</v>
      </c>
      <c r="F605" s="684"/>
      <c r="G605" s="663"/>
      <c r="H605" s="684"/>
      <c r="I605" s="675"/>
      <c r="J605" s="676">
        <f>J604*E605</f>
        <v>0</v>
      </c>
    </row>
    <row r="606" spans="1:10" s="644" customFormat="1">
      <c r="A606" s="668"/>
      <c r="B606" s="664"/>
      <c r="C606" s="664"/>
      <c r="D606" s="673"/>
      <c r="E606" s="685"/>
      <c r="F606" s="684"/>
      <c r="G606" s="663"/>
      <c r="H606" s="684"/>
      <c r="I606" s="675"/>
      <c r="J606" s="676">
        <f>SUM(J604:J605)</f>
        <v>9550</v>
      </c>
    </row>
    <row r="607" spans="1:10" s="644" customFormat="1">
      <c r="A607" s="668"/>
      <c r="B607" s="664"/>
      <c r="C607" s="664"/>
      <c r="D607" s="691" t="s">
        <v>2380</v>
      </c>
      <c r="E607" s="685"/>
      <c r="F607" s="684"/>
      <c r="G607" s="663"/>
      <c r="H607" s="684"/>
      <c r="I607" s="675"/>
      <c r="J607" s="693">
        <f>ROUND(J606,0)</f>
        <v>9550</v>
      </c>
    </row>
    <row r="608" spans="1:10" s="644" customFormat="1">
      <c r="A608" s="668"/>
      <c r="B608" s="664"/>
      <c r="C608" s="664"/>
      <c r="D608" s="691"/>
      <c r="E608" s="685"/>
      <c r="F608" s="684"/>
      <c r="G608" s="663"/>
      <c r="H608" s="684"/>
      <c r="I608" s="675"/>
      <c r="J608" s="693"/>
    </row>
    <row r="609" spans="1:10" s="644" customFormat="1">
      <c r="A609" s="653">
        <f>A603+1</f>
        <v>32</v>
      </c>
      <c r="B609" s="665"/>
      <c r="C609" s="665"/>
      <c r="D609" s="2158" t="s">
        <v>2733</v>
      </c>
      <c r="E609" s="2158"/>
      <c r="F609" s="2158"/>
      <c r="G609" s="2158"/>
      <c r="H609" s="2158"/>
      <c r="I609" s="2158"/>
      <c r="J609" s="2158"/>
    </row>
    <row r="610" spans="1:10" s="644" customFormat="1">
      <c r="A610" s="668"/>
      <c r="B610" s="687"/>
      <c r="C610" s="687"/>
      <c r="D610" s="739" t="s">
        <v>2754</v>
      </c>
      <c r="E610" s="764"/>
      <c r="F610" s="646"/>
      <c r="G610" s="738"/>
      <c r="H610" s="646"/>
      <c r="I610" s="749"/>
      <c r="J610" s="765"/>
    </row>
    <row r="611" spans="1:10" s="644" customFormat="1">
      <c r="A611" s="668"/>
      <c r="B611" s="687">
        <v>1</v>
      </c>
      <c r="C611" s="687"/>
      <c r="D611" s="645" t="s">
        <v>2970</v>
      </c>
      <c r="E611" s="764">
        <v>1</v>
      </c>
      <c r="F611" s="766" t="s">
        <v>1738</v>
      </c>
      <c r="G611" s="738">
        <v>1</v>
      </c>
      <c r="H611" s="766" t="s">
        <v>1738</v>
      </c>
      <c r="I611" s="657">
        <f>IF(B611=$B$2,$G$2,IF(B611=$B$3,$G$3,IF(B611=$B$4,$G$4,IF(B611=$B$5,$G$5,IF(B611=$B$6,$G$6,IF(B611=$B$7,$G$7,FALSE))))))</f>
        <v>660</v>
      </c>
      <c r="J611" s="765">
        <f>SUM(E611*I611/G611)</f>
        <v>660</v>
      </c>
    </row>
    <row r="612" spans="1:10" s="644" customFormat="1">
      <c r="A612" s="668"/>
      <c r="B612" s="687">
        <v>3</v>
      </c>
      <c r="C612" s="687"/>
      <c r="D612" s="645" t="s">
        <v>2742</v>
      </c>
      <c r="E612" s="764">
        <v>1</v>
      </c>
      <c r="F612" s="766" t="s">
        <v>1738</v>
      </c>
      <c r="G612" s="738">
        <v>1</v>
      </c>
      <c r="H612" s="766" t="s">
        <v>1738</v>
      </c>
      <c r="I612" s="657">
        <f>IF(B612=$B$2,$G$2,IF(B612=$B$3,$G$3,IF(B612=$B$4,$G$4,IF(B612=$B$5,$G$5,IF(B612=$B$6,$G$6,IF(B612=$B$7,$G$7,FALSE))))))</f>
        <v>550</v>
      </c>
      <c r="J612" s="749">
        <f>SUM(E612*I612/G612)</f>
        <v>550</v>
      </c>
    </row>
    <row r="613" spans="1:10" s="644" customFormat="1">
      <c r="A613" s="668"/>
      <c r="B613" s="687"/>
      <c r="C613" s="687"/>
      <c r="D613" s="739" t="s">
        <v>2971</v>
      </c>
      <c r="E613" s="764"/>
      <c r="F613" s="766"/>
      <c r="G613" s="738"/>
      <c r="H613" s="766"/>
      <c r="I613" s="749"/>
      <c r="J613" s="765">
        <f>SUM(J611:J612)</f>
        <v>1210</v>
      </c>
    </row>
    <row r="614" spans="1:10" s="644" customFormat="1">
      <c r="A614" s="668"/>
      <c r="B614" s="687"/>
      <c r="C614" s="687"/>
      <c r="D614" s="739" t="s">
        <v>2861</v>
      </c>
      <c r="E614" s="767"/>
      <c r="F614" s="766"/>
      <c r="G614" s="738"/>
      <c r="H614" s="766"/>
      <c r="I614" s="749"/>
      <c r="J614" s="765">
        <f>SUM(J613/100)</f>
        <v>12.1</v>
      </c>
    </row>
    <row r="615" spans="1:10" s="644" customFormat="1">
      <c r="A615" s="668"/>
      <c r="B615" s="687"/>
      <c r="C615" s="687"/>
      <c r="D615" s="768" t="s">
        <v>1879</v>
      </c>
      <c r="E615" s="764"/>
      <c r="F615" s="766"/>
      <c r="G615" s="738"/>
      <c r="H615" s="766"/>
      <c r="I615" s="749"/>
      <c r="J615" s="765"/>
    </row>
    <row r="616" spans="1:10" s="644" customFormat="1">
      <c r="A616" s="668"/>
      <c r="B616" s="654" t="s">
        <v>2972</v>
      </c>
      <c r="C616" s="654"/>
      <c r="D616" s="682" t="s">
        <v>2973</v>
      </c>
      <c r="E616" s="764">
        <v>118</v>
      </c>
      <c r="F616" s="646" t="s">
        <v>1110</v>
      </c>
      <c r="G616" s="738">
        <v>1</v>
      </c>
      <c r="H616" s="646" t="s">
        <v>97</v>
      </c>
      <c r="I616" s="749">
        <v>93</v>
      </c>
      <c r="J616" s="765">
        <f>SUM(E616*I616/G616)</f>
        <v>10974</v>
      </c>
    </row>
    <row r="617" spans="1:10" s="644" customFormat="1">
      <c r="A617" s="668"/>
      <c r="B617" s="654"/>
      <c r="C617" s="687"/>
      <c r="D617" s="739" t="s">
        <v>2974</v>
      </c>
      <c r="E617" s="764"/>
      <c r="F617" s="646"/>
      <c r="G617" s="738"/>
      <c r="H617" s="646"/>
      <c r="I617" s="749"/>
      <c r="J617" s="765"/>
    </row>
    <row r="618" spans="1:10" s="644" customFormat="1">
      <c r="A618" s="668"/>
      <c r="B618" s="687"/>
      <c r="C618" s="687"/>
      <c r="D618" s="739" t="s">
        <v>2863</v>
      </c>
      <c r="E618" s="764"/>
      <c r="F618" s="646"/>
      <c r="G618" s="738"/>
      <c r="H618" s="646"/>
      <c r="I618" s="749"/>
      <c r="J618" s="765">
        <f>SUM(J616:J617)</f>
        <v>10974</v>
      </c>
    </row>
    <row r="619" spans="1:10" s="644" customFormat="1" ht="25.5">
      <c r="A619" s="668"/>
      <c r="B619" s="687"/>
      <c r="C619" s="687"/>
      <c r="D619" s="739" t="s">
        <v>2864</v>
      </c>
      <c r="E619" s="764"/>
      <c r="F619" s="646"/>
      <c r="G619" s="738"/>
      <c r="H619" s="646"/>
      <c r="I619" s="749"/>
      <c r="J619" s="765">
        <f>SUM(J618/100)</f>
        <v>109.74</v>
      </c>
    </row>
    <row r="620" spans="1:10" s="644" customFormat="1" ht="25.5">
      <c r="A620" s="668"/>
      <c r="B620" s="687"/>
      <c r="C620" s="687"/>
      <c r="D620" s="656" t="s">
        <v>2766</v>
      </c>
      <c r="E620" s="764"/>
      <c r="F620" s="646"/>
      <c r="G620" s="738"/>
      <c r="H620" s="646"/>
      <c r="I620" s="675"/>
      <c r="J620" s="655">
        <f>ROUNDDOWN(J614+J619,1)</f>
        <v>121.8</v>
      </c>
    </row>
    <row r="621" spans="1:10" s="644" customFormat="1">
      <c r="A621" s="668"/>
      <c r="B621" s="664"/>
      <c r="C621" s="664"/>
      <c r="D621" s="669" t="s">
        <v>2767</v>
      </c>
      <c r="E621" s="670">
        <f>$E$9</f>
        <v>0</v>
      </c>
      <c r="F621" s="684"/>
      <c r="G621" s="663"/>
      <c r="H621" s="684"/>
      <c r="I621" s="675"/>
      <c r="J621" s="676">
        <f>J620*E621</f>
        <v>0</v>
      </c>
    </row>
    <row r="622" spans="1:10" s="644" customFormat="1">
      <c r="A622" s="668"/>
      <c r="B622" s="664"/>
      <c r="C622" s="664"/>
      <c r="D622" s="673"/>
      <c r="E622" s="685"/>
      <c r="F622" s="684"/>
      <c r="G622" s="663"/>
      <c r="H622" s="684"/>
      <c r="I622" s="675"/>
      <c r="J622" s="676">
        <f>SUM(J620:J621)</f>
        <v>121.8</v>
      </c>
    </row>
    <row r="623" spans="1:10" s="644" customFormat="1">
      <c r="A623" s="668"/>
      <c r="B623" s="664"/>
      <c r="C623" s="664"/>
      <c r="D623" s="691" t="s">
        <v>2768</v>
      </c>
      <c r="E623" s="685"/>
      <c r="F623" s="684"/>
      <c r="G623" s="663"/>
      <c r="H623" s="684"/>
      <c r="I623" s="675"/>
      <c r="J623" s="693">
        <f>ROUND(J622,0)</f>
        <v>122</v>
      </c>
    </row>
    <row r="624" spans="1:10" s="644" customFormat="1">
      <c r="A624" s="668"/>
      <c r="B624" s="664"/>
      <c r="C624" s="664"/>
      <c r="D624" s="691"/>
      <c r="E624" s="685"/>
      <c r="F624" s="684"/>
      <c r="G624" s="663"/>
      <c r="H624" s="684"/>
      <c r="I624" s="675"/>
      <c r="J624" s="693"/>
    </row>
    <row r="625" spans="1:10" s="644" customFormat="1">
      <c r="A625" s="653">
        <f>SUM(MAX($A$7:$A624),1)</f>
        <v>33</v>
      </c>
      <c r="B625" s="665"/>
      <c r="C625" s="665"/>
      <c r="D625" s="2158" t="s">
        <v>2975</v>
      </c>
      <c r="E625" s="2158"/>
      <c r="F625" s="2158"/>
      <c r="G625" s="2158"/>
      <c r="H625" s="2158"/>
      <c r="I625" s="2158"/>
      <c r="J625" s="2158"/>
    </row>
    <row r="626" spans="1:10" s="644" customFormat="1">
      <c r="A626" s="668"/>
      <c r="B626" s="687"/>
      <c r="C626" s="687"/>
      <c r="D626" s="739" t="s">
        <v>2754</v>
      </c>
      <c r="E626" s="764"/>
      <c r="F626" s="646"/>
      <c r="G626" s="738"/>
      <c r="H626" s="646"/>
      <c r="I626" s="749"/>
      <c r="J626" s="765"/>
    </row>
    <row r="627" spans="1:10" s="644" customFormat="1">
      <c r="A627" s="668"/>
      <c r="B627" s="687">
        <v>1</v>
      </c>
      <c r="C627" s="687"/>
      <c r="D627" s="645" t="s">
        <v>2970</v>
      </c>
      <c r="E627" s="764">
        <v>2</v>
      </c>
      <c r="F627" s="766" t="s">
        <v>1738</v>
      </c>
      <c r="G627" s="738">
        <v>1</v>
      </c>
      <c r="H627" s="766" t="s">
        <v>1738</v>
      </c>
      <c r="I627" s="657">
        <f>IF(B627=$B$2,$G$2,IF(B627=$B$3,$G$3,IF(B627=$B$4,$G$4,IF(B627=$B$5,$G$5,IF(B627=$B$6,$G$6,IF(B627=$B$7,$G$7,FALSE))))))</f>
        <v>660</v>
      </c>
      <c r="J627" s="765">
        <f>SUM(E627*I627/G627)</f>
        <v>1320</v>
      </c>
    </row>
    <row r="628" spans="1:10" s="644" customFormat="1">
      <c r="A628" s="668"/>
      <c r="B628" s="687">
        <v>3</v>
      </c>
      <c r="C628" s="687"/>
      <c r="D628" s="645" t="s">
        <v>2742</v>
      </c>
      <c r="E628" s="764">
        <v>2</v>
      </c>
      <c r="F628" s="766" t="s">
        <v>1738</v>
      </c>
      <c r="G628" s="738">
        <v>1</v>
      </c>
      <c r="H628" s="766" t="s">
        <v>1738</v>
      </c>
      <c r="I628" s="657">
        <f>IF(B628=$B$2,$G$2,IF(B628=$B$3,$G$3,IF(B628=$B$4,$G$4,IF(B628=$B$5,$G$5,IF(B628=$B$6,$G$6,IF(B628=$B$7,$G$7,FALSE))))))</f>
        <v>550</v>
      </c>
      <c r="J628" s="749">
        <f>SUM(E628*I628/G628)</f>
        <v>1100</v>
      </c>
    </row>
    <row r="629" spans="1:10" s="644" customFormat="1">
      <c r="A629" s="668"/>
      <c r="B629" s="687"/>
      <c r="C629" s="687"/>
      <c r="D629" s="739" t="s">
        <v>2971</v>
      </c>
      <c r="E629" s="764"/>
      <c r="F629" s="766"/>
      <c r="G629" s="738"/>
      <c r="H629" s="766"/>
      <c r="I629" s="749"/>
      <c r="J629" s="765">
        <f>SUM(J627:J628)</f>
        <v>2420</v>
      </c>
    </row>
    <row r="630" spans="1:10" s="644" customFormat="1">
      <c r="A630" s="668"/>
      <c r="B630" s="687"/>
      <c r="C630" s="687"/>
      <c r="D630" s="739" t="s">
        <v>2861</v>
      </c>
      <c r="E630" s="767"/>
      <c r="F630" s="766"/>
      <c r="G630" s="738"/>
      <c r="H630" s="766"/>
      <c r="I630" s="749"/>
      <c r="J630" s="765">
        <f>SUM(J629/100)</f>
        <v>24.2</v>
      </c>
    </row>
    <row r="631" spans="1:10" s="644" customFormat="1">
      <c r="A631" s="668"/>
      <c r="B631" s="687"/>
      <c r="C631" s="687"/>
      <c r="D631" s="768" t="s">
        <v>1879</v>
      </c>
      <c r="E631" s="764"/>
      <c r="F631" s="766"/>
      <c r="G631" s="738"/>
      <c r="H631" s="766"/>
      <c r="I631" s="749"/>
      <c r="J631" s="765"/>
    </row>
    <row r="632" spans="1:10" s="644" customFormat="1">
      <c r="A632" s="668"/>
      <c r="B632" s="661" t="s">
        <v>2972</v>
      </c>
      <c r="C632" s="654"/>
      <c r="D632" s="682" t="s">
        <v>2973</v>
      </c>
      <c r="E632" s="764">
        <v>236</v>
      </c>
      <c r="F632" s="646" t="s">
        <v>1110</v>
      </c>
      <c r="G632" s="738">
        <v>1</v>
      </c>
      <c r="H632" s="646" t="s">
        <v>97</v>
      </c>
      <c r="I632" s="749">
        <f>I616</f>
        <v>93</v>
      </c>
      <c r="J632" s="765">
        <f>SUM(E632*I632/G632)</f>
        <v>21948</v>
      </c>
    </row>
    <row r="633" spans="1:10" s="644" customFormat="1">
      <c r="A633" s="668"/>
      <c r="B633" s="687"/>
      <c r="C633" s="687"/>
      <c r="D633" s="739" t="s">
        <v>2974</v>
      </c>
      <c r="E633" s="764"/>
      <c r="F633" s="646"/>
      <c r="G633" s="738"/>
      <c r="H633" s="646"/>
      <c r="I633" s="749"/>
      <c r="J633" s="765">
        <v>200</v>
      </c>
    </row>
    <row r="634" spans="1:10" s="644" customFormat="1">
      <c r="A634" s="668"/>
      <c r="B634" s="687"/>
      <c r="C634" s="687"/>
      <c r="D634" s="739" t="s">
        <v>2863</v>
      </c>
      <c r="E634" s="764"/>
      <c r="F634" s="646"/>
      <c r="G634" s="738"/>
      <c r="H634" s="646"/>
      <c r="I634" s="749"/>
      <c r="J634" s="765">
        <f>SUM(J632:J633)</f>
        <v>22148</v>
      </c>
    </row>
    <row r="635" spans="1:10" s="644" customFormat="1" ht="25.5">
      <c r="A635" s="668"/>
      <c r="B635" s="687"/>
      <c r="C635" s="687"/>
      <c r="D635" s="739" t="s">
        <v>2864</v>
      </c>
      <c r="E635" s="764"/>
      <c r="F635" s="646"/>
      <c r="G635" s="738"/>
      <c r="H635" s="646"/>
      <c r="I635" s="749"/>
      <c r="J635" s="765">
        <f>SUM(J634/100)</f>
        <v>221.48</v>
      </c>
    </row>
    <row r="636" spans="1:10" s="644" customFormat="1" ht="25.5">
      <c r="A636" s="668"/>
      <c r="B636" s="687"/>
      <c r="C636" s="687"/>
      <c r="D636" s="656" t="s">
        <v>2766</v>
      </c>
      <c r="E636" s="764"/>
      <c r="F636" s="646"/>
      <c r="G636" s="738"/>
      <c r="H636" s="646"/>
      <c r="I636" s="675"/>
      <c r="J636" s="655">
        <f>ROUNDDOWN(J630+J635,1)</f>
        <v>245.6</v>
      </c>
    </row>
    <row r="637" spans="1:10" s="644" customFormat="1">
      <c r="A637" s="668"/>
      <c r="B637" s="664"/>
      <c r="C637" s="664"/>
      <c r="D637" s="669" t="s">
        <v>2767</v>
      </c>
      <c r="E637" s="670">
        <f>$E$9</f>
        <v>0</v>
      </c>
      <c r="F637" s="684"/>
      <c r="G637" s="663"/>
      <c r="H637" s="684"/>
      <c r="I637" s="675"/>
      <c r="J637" s="676">
        <f>J636*E637</f>
        <v>0</v>
      </c>
    </row>
    <row r="638" spans="1:10" s="644" customFormat="1">
      <c r="A638" s="668"/>
      <c r="B638" s="664"/>
      <c r="C638" s="664"/>
      <c r="D638" s="673"/>
      <c r="E638" s="685"/>
      <c r="F638" s="684"/>
      <c r="G638" s="663"/>
      <c r="H638" s="684"/>
      <c r="I638" s="675"/>
      <c r="J638" s="676">
        <f>SUM(J636:J637)</f>
        <v>245.6</v>
      </c>
    </row>
    <row r="639" spans="1:10" s="644" customFormat="1">
      <c r="A639" s="668"/>
      <c r="B639" s="664"/>
      <c r="C639" s="664"/>
      <c r="D639" s="691" t="s">
        <v>2768</v>
      </c>
      <c r="E639" s="685"/>
      <c r="F639" s="684"/>
      <c r="G639" s="663"/>
      <c r="H639" s="684"/>
      <c r="I639" s="675"/>
      <c r="J639" s="693">
        <f>ROUND(J638,0)</f>
        <v>246</v>
      </c>
    </row>
    <row r="640" spans="1:10" s="644" customFormat="1">
      <c r="A640" s="668"/>
      <c r="B640" s="664"/>
      <c r="C640" s="664"/>
      <c r="D640" s="691"/>
      <c r="E640" s="685"/>
      <c r="F640" s="684"/>
      <c r="G640" s="663"/>
      <c r="H640" s="684"/>
      <c r="I640" s="675"/>
      <c r="J640" s="693"/>
    </row>
    <row r="641" spans="1:10" s="644" customFormat="1">
      <c r="A641" s="653">
        <f>SUM(MAX($A$7:$A640),1)</f>
        <v>34</v>
      </c>
      <c r="B641" s="665"/>
      <c r="C641" s="665" t="s">
        <v>575</v>
      </c>
      <c r="D641" s="2155" t="s">
        <v>2976</v>
      </c>
      <c r="E641" s="2155"/>
      <c r="F641" s="2155"/>
      <c r="G641" s="2155"/>
      <c r="H641" s="2155"/>
      <c r="I641" s="2155"/>
      <c r="J641" s="2155"/>
    </row>
    <row r="642" spans="1:10" s="644" customFormat="1">
      <c r="A642" s="668"/>
      <c r="B642" s="687"/>
      <c r="C642" s="687"/>
      <c r="D642" s="739" t="s">
        <v>2754</v>
      </c>
      <c r="E642" s="764"/>
      <c r="F642" s="646"/>
      <c r="G642" s="738"/>
      <c r="H642" s="646"/>
      <c r="I642" s="749"/>
      <c r="J642" s="765"/>
    </row>
    <row r="643" spans="1:10" s="644" customFormat="1">
      <c r="A643" s="668"/>
      <c r="B643" s="687">
        <v>1</v>
      </c>
      <c r="C643" s="687"/>
      <c r="D643" s="645" t="s">
        <v>2740</v>
      </c>
      <c r="E643" s="764">
        <v>1</v>
      </c>
      <c r="F643" s="766" t="s">
        <v>1738</v>
      </c>
      <c r="G643" s="738">
        <v>1</v>
      </c>
      <c r="H643" s="766" t="s">
        <v>1738</v>
      </c>
      <c r="I643" s="657">
        <f>IF(B643=$B$2,$G$2,IF(B643=$B$3,$G$3,IF(B643=$B$4,$G$4,IF(B643=$B$5,$G$5,IF(B643=$B$6,$G$6,IF(B643=$B$7,$G$7,FALSE))))))</f>
        <v>660</v>
      </c>
      <c r="J643" s="765">
        <f>SUM(E643*I643/G643)</f>
        <v>660</v>
      </c>
    </row>
    <row r="644" spans="1:10" s="644" customFormat="1">
      <c r="A644" s="668"/>
      <c r="B644" s="687">
        <v>3</v>
      </c>
      <c r="C644" s="687"/>
      <c r="D644" s="645" t="s">
        <v>2742</v>
      </c>
      <c r="E644" s="764">
        <v>1.5</v>
      </c>
      <c r="F644" s="766" t="s">
        <v>1738</v>
      </c>
      <c r="G644" s="738">
        <v>1</v>
      </c>
      <c r="H644" s="766" t="s">
        <v>1738</v>
      </c>
      <c r="I644" s="657">
        <f>IF(B644=$B$2,$G$2,IF(B644=$B$3,$G$3,IF(B644=$B$4,$G$4,IF(B644=$B$5,$G$5,IF(B644=$B$6,$G$6,IF(B644=$B$7,$G$7,FALSE))))))</f>
        <v>550</v>
      </c>
      <c r="J644" s="749">
        <f>SUM(E644*I644/G644)</f>
        <v>825</v>
      </c>
    </row>
    <row r="645" spans="1:10" s="644" customFormat="1">
      <c r="A645" s="668"/>
      <c r="B645" s="687"/>
      <c r="C645" s="687"/>
      <c r="D645" s="739" t="s">
        <v>2971</v>
      </c>
      <c r="E645" s="764"/>
      <c r="F645" s="766"/>
      <c r="G645" s="738"/>
      <c r="H645" s="766"/>
      <c r="I645" s="749"/>
      <c r="J645" s="765">
        <f>SUM(J643:J644)</f>
        <v>1485</v>
      </c>
    </row>
    <row r="646" spans="1:10" s="644" customFormat="1">
      <c r="A646" s="668"/>
      <c r="B646" s="687"/>
      <c r="C646" s="687"/>
      <c r="D646" s="739" t="s">
        <v>2861</v>
      </c>
      <c r="E646" s="767"/>
      <c r="F646" s="766"/>
      <c r="G646" s="738"/>
      <c r="H646" s="766"/>
      <c r="I646" s="749"/>
      <c r="J646" s="765">
        <f>SUM(J645/100)</f>
        <v>14.85</v>
      </c>
    </row>
    <row r="647" spans="1:10" s="644" customFormat="1">
      <c r="A647" s="668"/>
      <c r="B647" s="687"/>
      <c r="C647" s="687"/>
      <c r="D647" s="768" t="s">
        <v>1879</v>
      </c>
      <c r="E647" s="764"/>
      <c r="F647" s="766"/>
      <c r="G647" s="738"/>
      <c r="H647" s="766"/>
      <c r="I647" s="749"/>
      <c r="J647" s="765"/>
    </row>
    <row r="648" spans="1:10" s="644" customFormat="1" ht="25.5">
      <c r="A648" s="668"/>
      <c r="B648" s="687" t="s">
        <v>2977</v>
      </c>
      <c r="C648" s="738"/>
      <c r="D648" s="682" t="s">
        <v>2978</v>
      </c>
      <c r="E648" s="764">
        <v>66.3</v>
      </c>
      <c r="F648" s="646" t="s">
        <v>1110</v>
      </c>
      <c r="G648" s="738">
        <v>1</v>
      </c>
      <c r="H648" s="646" t="s">
        <v>97</v>
      </c>
      <c r="I648" s="749">
        <v>994</v>
      </c>
      <c r="J648" s="765">
        <f>SUM(E648*I648/G648)</f>
        <v>65902.2</v>
      </c>
    </row>
    <row r="649" spans="1:10" s="644" customFormat="1">
      <c r="A649" s="668"/>
      <c r="B649" s="687"/>
      <c r="C649" s="687"/>
      <c r="D649" s="739" t="s">
        <v>2974</v>
      </c>
      <c r="E649" s="764"/>
      <c r="F649" s="646"/>
      <c r="G649" s="738"/>
      <c r="H649" s="646"/>
      <c r="I649" s="749"/>
      <c r="J649" s="765"/>
    </row>
    <row r="650" spans="1:10" s="644" customFormat="1">
      <c r="A650" s="668"/>
      <c r="B650" s="687"/>
      <c r="C650" s="687"/>
      <c r="D650" s="739" t="s">
        <v>2863</v>
      </c>
      <c r="E650" s="764"/>
      <c r="F650" s="646"/>
      <c r="G650" s="738"/>
      <c r="H650" s="646"/>
      <c r="I650" s="749"/>
      <c r="J650" s="765">
        <f>SUM(J648:J649)</f>
        <v>65902.2</v>
      </c>
    </row>
    <row r="651" spans="1:10" s="644" customFormat="1" ht="25.5">
      <c r="A651" s="668"/>
      <c r="B651" s="687"/>
      <c r="C651" s="687"/>
      <c r="D651" s="739" t="s">
        <v>2864</v>
      </c>
      <c r="E651" s="764"/>
      <c r="F651" s="646"/>
      <c r="G651" s="738"/>
      <c r="H651" s="646"/>
      <c r="I651" s="749"/>
      <c r="J651" s="765">
        <f>SUM(J650/100)</f>
        <v>659.02199999999993</v>
      </c>
    </row>
    <row r="652" spans="1:10" s="644" customFormat="1" ht="25.5">
      <c r="A652" s="668"/>
      <c r="B652" s="687"/>
      <c r="C652" s="687"/>
      <c r="D652" s="656" t="s">
        <v>2766</v>
      </c>
      <c r="E652" s="764"/>
      <c r="F652" s="646"/>
      <c r="G652" s="738"/>
      <c r="H652" s="646"/>
      <c r="I652" s="675"/>
      <c r="J652" s="655">
        <f>ROUNDDOWN(J646+J651,1)</f>
        <v>673.8</v>
      </c>
    </row>
    <row r="653" spans="1:10" s="644" customFormat="1">
      <c r="A653" s="668"/>
      <c r="B653" s="664"/>
      <c r="C653" s="664"/>
      <c r="D653" s="669" t="s">
        <v>2767</v>
      </c>
      <c r="E653" s="670">
        <f>$E$9</f>
        <v>0</v>
      </c>
      <c r="F653" s="684"/>
      <c r="G653" s="663"/>
      <c r="H653" s="684"/>
      <c r="I653" s="675"/>
      <c r="J653" s="676">
        <f>J652*E653</f>
        <v>0</v>
      </c>
    </row>
    <row r="654" spans="1:10" s="644" customFormat="1">
      <c r="A654" s="668"/>
      <c r="B654" s="664"/>
      <c r="C654" s="664"/>
      <c r="D654" s="673"/>
      <c r="E654" s="685"/>
      <c r="F654" s="684"/>
      <c r="G654" s="663"/>
      <c r="H654" s="684"/>
      <c r="I654" s="675"/>
      <c r="J654" s="676">
        <f>SUM(J652:J653)</f>
        <v>673.8</v>
      </c>
    </row>
    <row r="655" spans="1:10" s="644" customFormat="1">
      <c r="A655" s="668"/>
      <c r="B655" s="664"/>
      <c r="C655" s="664"/>
      <c r="D655" s="691" t="s">
        <v>2768</v>
      </c>
      <c r="E655" s="685"/>
      <c r="F655" s="684"/>
      <c r="G655" s="663"/>
      <c r="H655" s="684"/>
      <c r="I655" s="675"/>
      <c r="J655" s="693">
        <f>ROUND(J654,0)</f>
        <v>674</v>
      </c>
    </row>
    <row r="656" spans="1:10" s="644" customFormat="1">
      <c r="A656" s="668"/>
      <c r="B656" s="664"/>
      <c r="C656" s="664"/>
      <c r="D656" s="691"/>
      <c r="E656" s="685"/>
      <c r="F656" s="684"/>
      <c r="G656" s="663"/>
      <c r="H656" s="684"/>
      <c r="I656" s="675"/>
      <c r="J656" s="693"/>
    </row>
    <row r="657" spans="1:10" s="644" customFormat="1">
      <c r="A657" s="653">
        <f>SUM(MAX($A$7:$A656),1)</f>
        <v>35</v>
      </c>
      <c r="B657" s="665"/>
      <c r="C657" s="665" t="s">
        <v>575</v>
      </c>
      <c r="D657" s="2155" t="s">
        <v>2979</v>
      </c>
      <c r="E657" s="2155"/>
      <c r="F657" s="2155"/>
      <c r="G657" s="2155"/>
      <c r="H657" s="2155"/>
      <c r="I657" s="2155"/>
      <c r="J657" s="2155"/>
    </row>
    <row r="658" spans="1:10" s="644" customFormat="1">
      <c r="A658" s="668"/>
      <c r="B658" s="687"/>
      <c r="C658" s="687"/>
      <c r="D658" s="739" t="s">
        <v>2754</v>
      </c>
      <c r="E658" s="764"/>
      <c r="F658" s="646"/>
      <c r="G658" s="738"/>
      <c r="H658" s="646"/>
      <c r="I658" s="749"/>
      <c r="J658" s="765"/>
    </row>
    <row r="659" spans="1:10" s="644" customFormat="1">
      <c r="A659" s="668"/>
      <c r="B659" s="687">
        <v>1</v>
      </c>
      <c r="C659" s="687"/>
      <c r="D659" s="645" t="s">
        <v>2740</v>
      </c>
      <c r="E659" s="764">
        <v>1</v>
      </c>
      <c r="F659" s="766" t="s">
        <v>1738</v>
      </c>
      <c r="G659" s="738">
        <v>1</v>
      </c>
      <c r="H659" s="766" t="s">
        <v>1738</v>
      </c>
      <c r="I659" s="657">
        <f>IF(B659=$B$2,$G$2,IF(B659=$B$3,$G$3,IF(B659=$B$4,$G$4,IF(B659=$B$5,$G$5,IF(B659=$B$6,$G$6,IF(B659=$B$7,$G$7,FALSE))))))</f>
        <v>660</v>
      </c>
      <c r="J659" s="765">
        <f>SUM(E659*I659/G659)</f>
        <v>660</v>
      </c>
    </row>
    <row r="660" spans="1:10" s="644" customFormat="1">
      <c r="A660" s="668"/>
      <c r="B660" s="687">
        <v>3</v>
      </c>
      <c r="C660" s="687"/>
      <c r="D660" s="645" t="s">
        <v>2742</v>
      </c>
      <c r="E660" s="764">
        <v>1.75</v>
      </c>
      <c r="F660" s="766" t="s">
        <v>1738</v>
      </c>
      <c r="G660" s="738">
        <v>1</v>
      </c>
      <c r="H660" s="766" t="s">
        <v>1738</v>
      </c>
      <c r="I660" s="657">
        <f>IF(B660=$B$2,$G$2,IF(B660=$B$3,$G$3,IF(B660=$B$4,$G$4,IF(B660=$B$5,$G$5,IF(B660=$B$6,$G$6,IF(B660=$B$7,$G$7,FALSE))))))</f>
        <v>550</v>
      </c>
      <c r="J660" s="749">
        <f>SUM(E660*I660/G660)</f>
        <v>962.5</v>
      </c>
    </row>
    <row r="661" spans="1:10" s="644" customFormat="1">
      <c r="A661" s="668"/>
      <c r="B661" s="687"/>
      <c r="C661" s="687"/>
      <c r="D661" s="739" t="s">
        <v>2971</v>
      </c>
      <c r="E661" s="764"/>
      <c r="F661" s="766"/>
      <c r="G661" s="738"/>
      <c r="H661" s="766"/>
      <c r="I661" s="749"/>
      <c r="J661" s="765">
        <f>SUM(J659:J660)</f>
        <v>1622.5</v>
      </c>
    </row>
    <row r="662" spans="1:10" s="644" customFormat="1">
      <c r="A662" s="668"/>
      <c r="B662" s="687"/>
      <c r="C662" s="687"/>
      <c r="D662" s="739" t="s">
        <v>2861</v>
      </c>
      <c r="E662" s="767"/>
      <c r="F662" s="766"/>
      <c r="G662" s="738"/>
      <c r="H662" s="766"/>
      <c r="I662" s="749"/>
      <c r="J662" s="765">
        <f>SUM(J661/100)</f>
        <v>16.225000000000001</v>
      </c>
    </row>
    <row r="663" spans="1:10" s="644" customFormat="1">
      <c r="A663" s="668"/>
      <c r="B663" s="687"/>
      <c r="C663" s="687"/>
      <c r="D663" s="768" t="s">
        <v>1879</v>
      </c>
      <c r="E663" s="764"/>
      <c r="F663" s="766"/>
      <c r="G663" s="738"/>
      <c r="H663" s="766"/>
      <c r="I663" s="749"/>
      <c r="J663" s="765"/>
    </row>
    <row r="664" spans="1:10" s="644" customFormat="1" ht="25.5">
      <c r="A664" s="668"/>
      <c r="B664" s="687" t="s">
        <v>2977</v>
      </c>
      <c r="C664" s="738"/>
      <c r="D664" s="682" t="s">
        <v>2978</v>
      </c>
      <c r="E664" s="764">
        <v>134</v>
      </c>
      <c r="F664" s="646" t="s">
        <v>1110</v>
      </c>
      <c r="G664" s="738">
        <v>1</v>
      </c>
      <c r="H664" s="646" t="s">
        <v>97</v>
      </c>
      <c r="I664" s="749">
        <v>994</v>
      </c>
      <c r="J664" s="765">
        <f>SUM(E664*I664/G664)</f>
        <v>133196</v>
      </c>
    </row>
    <row r="665" spans="1:10" s="644" customFormat="1">
      <c r="A665" s="668"/>
      <c r="B665" s="687"/>
      <c r="C665" s="687"/>
      <c r="D665" s="739" t="s">
        <v>2974</v>
      </c>
      <c r="E665" s="764"/>
      <c r="F665" s="646"/>
      <c r="G665" s="738"/>
      <c r="H665" s="646"/>
      <c r="I665" s="749"/>
      <c r="J665" s="765"/>
    </row>
    <row r="666" spans="1:10" s="644" customFormat="1">
      <c r="A666" s="668"/>
      <c r="B666" s="687"/>
      <c r="C666" s="687"/>
      <c r="D666" s="739" t="s">
        <v>2863</v>
      </c>
      <c r="E666" s="764"/>
      <c r="F666" s="646"/>
      <c r="G666" s="738"/>
      <c r="H666" s="646"/>
      <c r="I666" s="749"/>
      <c r="J666" s="765">
        <f>SUM(J664:J665)</f>
        <v>133196</v>
      </c>
    </row>
    <row r="667" spans="1:10" s="644" customFormat="1" ht="25.5">
      <c r="A667" s="668"/>
      <c r="B667" s="687"/>
      <c r="C667" s="687"/>
      <c r="D667" s="739" t="s">
        <v>2864</v>
      </c>
      <c r="E667" s="764"/>
      <c r="F667" s="646"/>
      <c r="G667" s="738"/>
      <c r="H667" s="646"/>
      <c r="I667" s="749"/>
      <c r="J667" s="765">
        <f>SUM(J666/100)</f>
        <v>1331.96</v>
      </c>
    </row>
    <row r="668" spans="1:10" s="644" customFormat="1" ht="25.5">
      <c r="A668" s="668"/>
      <c r="B668" s="687"/>
      <c r="C668" s="687"/>
      <c r="D668" s="656" t="s">
        <v>2766</v>
      </c>
      <c r="E668" s="764"/>
      <c r="F668" s="646"/>
      <c r="G668" s="738"/>
      <c r="H668" s="646"/>
      <c r="I668" s="675"/>
      <c r="J668" s="655">
        <f>ROUNDDOWN(J662+J667,1)</f>
        <v>1348.1</v>
      </c>
    </row>
    <row r="669" spans="1:10" s="644" customFormat="1">
      <c r="A669" s="668"/>
      <c r="B669" s="664"/>
      <c r="C669" s="664"/>
      <c r="D669" s="669" t="s">
        <v>2767</v>
      </c>
      <c r="E669" s="670">
        <f>$E$9</f>
        <v>0</v>
      </c>
      <c r="F669" s="684"/>
      <c r="G669" s="663"/>
      <c r="H669" s="684"/>
      <c r="I669" s="675"/>
      <c r="J669" s="676">
        <f>J668*E669</f>
        <v>0</v>
      </c>
    </row>
    <row r="670" spans="1:10" s="644" customFormat="1">
      <c r="A670" s="668"/>
      <c r="B670" s="664"/>
      <c r="C670" s="664"/>
      <c r="D670" s="673"/>
      <c r="E670" s="685"/>
      <c r="F670" s="684"/>
      <c r="G670" s="663"/>
      <c r="H670" s="684"/>
      <c r="I670" s="675"/>
      <c r="J670" s="676">
        <f>SUM(J668:J669)</f>
        <v>1348.1</v>
      </c>
    </row>
    <row r="671" spans="1:10" s="644" customFormat="1">
      <c r="A671" s="668"/>
      <c r="B671" s="664"/>
      <c r="C671" s="664"/>
      <c r="D671" s="691" t="s">
        <v>2768</v>
      </c>
      <c r="E671" s="685"/>
      <c r="F671" s="684"/>
      <c r="G671" s="663"/>
      <c r="H671" s="684"/>
      <c r="I671" s="675"/>
      <c r="J671" s="693">
        <f>ROUND(J670,0)</f>
        <v>1348</v>
      </c>
    </row>
    <row r="672" spans="1:10" s="644" customFormat="1">
      <c r="A672" s="668"/>
      <c r="B672" s="664"/>
      <c r="C672" s="664"/>
      <c r="D672" s="691"/>
      <c r="E672" s="685"/>
      <c r="F672" s="684"/>
      <c r="G672" s="663"/>
      <c r="H672" s="684"/>
      <c r="I672" s="675"/>
      <c r="J672" s="693"/>
    </row>
    <row r="673" spans="1:10" s="644" customFormat="1">
      <c r="A673" s="653">
        <f>A657+1</f>
        <v>36</v>
      </c>
      <c r="B673" s="665"/>
      <c r="C673" s="665"/>
      <c r="D673" s="2158" t="s">
        <v>2980</v>
      </c>
      <c r="E673" s="2158"/>
      <c r="F673" s="2158"/>
      <c r="G673" s="2158"/>
      <c r="H673" s="2158"/>
      <c r="I673" s="2158"/>
      <c r="J673" s="2158"/>
    </row>
    <row r="674" spans="1:10" s="644" customFormat="1">
      <c r="A674" s="668"/>
      <c r="B674" s="687"/>
      <c r="C674" s="687"/>
      <c r="D674" s="739" t="s">
        <v>2754</v>
      </c>
      <c r="E674" s="764"/>
      <c r="F674" s="646"/>
      <c r="G674" s="738"/>
      <c r="H674" s="646"/>
      <c r="I674" s="749"/>
      <c r="J674" s="765"/>
    </row>
    <row r="675" spans="1:10" s="644" customFormat="1">
      <c r="A675" s="668"/>
      <c r="B675" s="687">
        <v>3</v>
      </c>
      <c r="C675" s="687"/>
      <c r="D675" s="645" t="s">
        <v>2742</v>
      </c>
      <c r="E675" s="764">
        <v>2</v>
      </c>
      <c r="F675" s="766" t="s">
        <v>1738</v>
      </c>
      <c r="G675" s="738">
        <v>1</v>
      </c>
      <c r="H675" s="766" t="s">
        <v>1738</v>
      </c>
      <c r="I675" s="657">
        <f>IF(B675=$B$2,$G$2,IF(B675=$B$3,$G$3,IF(B675=$B$4,$G$4,IF(B675=$B$5,$G$5,IF(B675=$B$6,$G$6,IF(B675=$B$7,$G$7,FALSE))))))</f>
        <v>550</v>
      </c>
      <c r="J675" s="749">
        <f>SUM(E675*I675/G675)</f>
        <v>1100</v>
      </c>
    </row>
    <row r="676" spans="1:10" s="644" customFormat="1">
      <c r="A676" s="668"/>
      <c r="B676" s="687"/>
      <c r="C676" s="687"/>
      <c r="D676" s="739" t="s">
        <v>2971</v>
      </c>
      <c r="E676" s="764"/>
      <c r="F676" s="766"/>
      <c r="G676" s="738"/>
      <c r="H676" s="766"/>
      <c r="I676" s="749"/>
      <c r="J676" s="765">
        <f>SUM(J675)</f>
        <v>1100</v>
      </c>
    </row>
    <row r="677" spans="1:10" s="644" customFormat="1">
      <c r="A677" s="668"/>
      <c r="B677" s="687"/>
      <c r="C677" s="687"/>
      <c r="D677" s="739" t="s">
        <v>2861</v>
      </c>
      <c r="E677" s="767"/>
      <c r="F677" s="766"/>
      <c r="G677" s="738"/>
      <c r="H677" s="766"/>
      <c r="I677" s="749"/>
      <c r="J677" s="765">
        <f>SUM(J676/100)</f>
        <v>11</v>
      </c>
    </row>
    <row r="678" spans="1:10" s="644" customFormat="1">
      <c r="A678" s="668"/>
      <c r="B678" s="687"/>
      <c r="C678" s="687"/>
      <c r="D678" s="768" t="s">
        <v>1879</v>
      </c>
      <c r="E678" s="764"/>
      <c r="F678" s="766"/>
      <c r="G678" s="738"/>
      <c r="H678" s="766"/>
      <c r="I678" s="749"/>
      <c r="J678" s="765"/>
    </row>
    <row r="679" spans="1:10" s="644" customFormat="1">
      <c r="A679" s="668"/>
      <c r="B679" s="769" t="s">
        <v>2972</v>
      </c>
      <c r="C679" s="654"/>
      <c r="D679" s="682" t="s">
        <v>2973</v>
      </c>
      <c r="E679" s="764">
        <v>10.4</v>
      </c>
      <c r="F679" s="646" t="s">
        <v>1110</v>
      </c>
      <c r="G679" s="738">
        <v>1</v>
      </c>
      <c r="H679" s="646" t="s">
        <v>97</v>
      </c>
      <c r="I679" s="749">
        <f>I632</f>
        <v>93</v>
      </c>
      <c r="J679" s="765">
        <f>SUM(E679*I679/G679)</f>
        <v>967.2</v>
      </c>
    </row>
    <row r="680" spans="1:10" s="644" customFormat="1">
      <c r="A680" s="668"/>
      <c r="B680" s="687" t="s">
        <v>2772</v>
      </c>
      <c r="C680" s="687"/>
      <c r="D680" s="682" t="s">
        <v>2981</v>
      </c>
      <c r="E680" s="764">
        <v>150</v>
      </c>
      <c r="F680" s="766" t="s">
        <v>955</v>
      </c>
      <c r="G680" s="738">
        <v>100</v>
      </c>
      <c r="H680" s="766" t="s">
        <v>955</v>
      </c>
      <c r="I680" s="749">
        <v>42</v>
      </c>
      <c r="J680" s="765">
        <f>SUM(E680*I680/G680)</f>
        <v>63</v>
      </c>
    </row>
    <row r="681" spans="1:10" s="644" customFormat="1">
      <c r="A681" s="668"/>
      <c r="B681" s="687"/>
      <c r="C681" s="687"/>
      <c r="D681" s="739" t="s">
        <v>2974</v>
      </c>
      <c r="E681" s="764"/>
      <c r="F681" s="646"/>
      <c r="G681" s="738"/>
      <c r="H681" s="646"/>
      <c r="I681" s="749"/>
      <c r="J681" s="765"/>
    </row>
    <row r="682" spans="1:10" s="644" customFormat="1">
      <c r="A682" s="668"/>
      <c r="B682" s="687"/>
      <c r="C682" s="687"/>
      <c r="D682" s="739" t="s">
        <v>2863</v>
      </c>
      <c r="E682" s="764"/>
      <c r="F682" s="646"/>
      <c r="G682" s="738"/>
      <c r="H682" s="646"/>
      <c r="I682" s="749"/>
      <c r="J682" s="765">
        <f>SUM(J679:J681)</f>
        <v>1030.2</v>
      </c>
    </row>
    <row r="683" spans="1:10" s="644" customFormat="1" ht="25.5">
      <c r="A683" s="668"/>
      <c r="B683" s="687"/>
      <c r="C683" s="687"/>
      <c r="D683" s="739" t="s">
        <v>2864</v>
      </c>
      <c r="E683" s="764"/>
      <c r="F683" s="646"/>
      <c r="G683" s="738"/>
      <c r="H683" s="646"/>
      <c r="I683" s="749"/>
      <c r="J683" s="765">
        <f>SUM(J682/100)</f>
        <v>10.302</v>
      </c>
    </row>
    <row r="684" spans="1:10" s="644" customFormat="1" ht="25.5">
      <c r="A684" s="668"/>
      <c r="B684" s="654"/>
      <c r="C684" s="654"/>
      <c r="D684" s="656" t="s">
        <v>2766</v>
      </c>
      <c r="E684" s="645"/>
      <c r="F684" s="770"/>
      <c r="G684" s="654"/>
      <c r="H684" s="681"/>
      <c r="I684" s="675"/>
      <c r="J684" s="655">
        <f>ROUNDDOWN(J677+J683,1)</f>
        <v>21.3</v>
      </c>
    </row>
    <row r="685" spans="1:10" s="644" customFormat="1">
      <c r="A685" s="668"/>
      <c r="B685" s="664"/>
      <c r="C685" s="664"/>
      <c r="D685" s="669" t="s">
        <v>2767</v>
      </c>
      <c r="E685" s="670">
        <f>$E$9</f>
        <v>0</v>
      </c>
      <c r="F685" s="684"/>
      <c r="G685" s="663"/>
      <c r="H685" s="684"/>
      <c r="I685" s="675"/>
      <c r="J685" s="676">
        <f>J684*E685</f>
        <v>0</v>
      </c>
    </row>
    <row r="686" spans="1:10" s="644" customFormat="1">
      <c r="A686" s="668"/>
      <c r="B686" s="664"/>
      <c r="C686" s="664"/>
      <c r="D686" s="673"/>
      <c r="E686" s="685"/>
      <c r="F686" s="684"/>
      <c r="G686" s="663"/>
      <c r="H686" s="684"/>
      <c r="I686" s="675"/>
      <c r="J686" s="676">
        <f>SUM(J684:J685)</f>
        <v>21.3</v>
      </c>
    </row>
    <row r="687" spans="1:10" s="644" customFormat="1">
      <c r="A687" s="668"/>
      <c r="B687" s="664"/>
      <c r="C687" s="664"/>
      <c r="D687" s="691" t="s">
        <v>2768</v>
      </c>
      <c r="E687" s="685"/>
      <c r="F687" s="684"/>
      <c r="G687" s="663"/>
      <c r="H687" s="684"/>
      <c r="I687" s="675"/>
      <c r="J687" s="693">
        <f>ROUND(J686,0)</f>
        <v>21</v>
      </c>
    </row>
    <row r="688" spans="1:10" s="644" customFormat="1">
      <c r="A688" s="668"/>
      <c r="B688" s="677"/>
      <c r="C688" s="677"/>
      <c r="D688" s="678"/>
      <c r="E688" s="677"/>
      <c r="F688" s="677"/>
      <c r="G688" s="677"/>
      <c r="H688" s="677"/>
      <c r="I688" s="675"/>
      <c r="J688" s="677"/>
    </row>
    <row r="689" spans="1:10" s="644" customFormat="1">
      <c r="A689" s="668" t="s">
        <v>2982</v>
      </c>
      <c r="B689" s="677"/>
      <c r="C689" s="677"/>
      <c r="D689" s="2160" t="s">
        <v>2983</v>
      </c>
      <c r="E689" s="2160"/>
      <c r="F689" s="2160"/>
      <c r="G689" s="2160"/>
      <c r="H689" s="2160"/>
      <c r="I689" s="2160"/>
      <c r="J689" s="2160"/>
    </row>
    <row r="690" spans="1:10" s="644" customFormat="1" ht="110.25" customHeight="1">
      <c r="A690" s="653">
        <f>SUM(MAX($A$7:$A689),1)</f>
        <v>37</v>
      </c>
      <c r="B690" s="677"/>
      <c r="C690" s="665"/>
      <c r="D690" s="2155" t="s">
        <v>2984</v>
      </c>
      <c r="E690" s="2155"/>
      <c r="F690" s="2155"/>
      <c r="G690" s="2155"/>
      <c r="H690" s="2155"/>
      <c r="I690" s="2155"/>
      <c r="J690" s="2155"/>
    </row>
    <row r="691" spans="1:10" s="644" customFormat="1">
      <c r="A691" s="668"/>
      <c r="B691" s="654"/>
      <c r="C691" s="654"/>
      <c r="D691" s="682" t="s">
        <v>2985</v>
      </c>
      <c r="E691" s="679"/>
      <c r="F691" s="645"/>
      <c r="G691" s="661"/>
      <c r="H691" s="645"/>
      <c r="I691" s="657"/>
      <c r="J691" s="694"/>
    </row>
    <row r="692" spans="1:10" s="644" customFormat="1">
      <c r="A692" s="668"/>
      <c r="B692" s="654">
        <v>1</v>
      </c>
      <c r="C692" s="654"/>
      <c r="D692" s="645" t="s">
        <v>2740</v>
      </c>
      <c r="E692" s="679">
        <v>0.1</v>
      </c>
      <c r="F692" s="680" t="s">
        <v>1738</v>
      </c>
      <c r="G692" s="661">
        <v>1</v>
      </c>
      <c r="H692" s="680" t="s">
        <v>1738</v>
      </c>
      <c r="I692" s="657">
        <f>IF(B692=$B$2,$G$2,IF(B692=$B$3,$G$3,IF(B692=$B$4,$G$4,IF(B692=$B$5,$G$5,IF(B692=$B$6,$G$6,IF(B692=$B$7,$G$7,FALSE))))))</f>
        <v>660</v>
      </c>
      <c r="J692" s="694">
        <f>SUM(E692*I692/G692)</f>
        <v>66</v>
      </c>
    </row>
    <row r="693" spans="1:10" s="644" customFormat="1">
      <c r="A693" s="668"/>
      <c r="B693" s="654">
        <v>2</v>
      </c>
      <c r="C693" s="654"/>
      <c r="D693" s="645" t="s">
        <v>2741</v>
      </c>
      <c r="E693" s="679">
        <v>0.1</v>
      </c>
      <c r="F693" s="680" t="s">
        <v>1738</v>
      </c>
      <c r="G693" s="661">
        <v>1</v>
      </c>
      <c r="H693" s="680" t="s">
        <v>1738</v>
      </c>
      <c r="I693" s="657">
        <f>IF(B693=$B$2,$G$2,IF(B693=$B$3,$G$3,IF(B693=$B$4,$G$4,IF(B693=$B$5,$G$5,IF(B693=$B$6,$G$6,IF(B693=$B$7,$G$7,FALSE))))))</f>
        <v>550</v>
      </c>
      <c r="J693" s="694">
        <f>SUM(E693*I693/G693)</f>
        <v>55</v>
      </c>
    </row>
    <row r="694" spans="1:10" s="644" customFormat="1">
      <c r="A694" s="668"/>
      <c r="B694" s="654"/>
      <c r="C694" s="654"/>
      <c r="D694" s="682" t="s">
        <v>2829</v>
      </c>
      <c r="E694" s="679"/>
      <c r="F694" s="680"/>
      <c r="G694" s="661"/>
      <c r="H694" s="680"/>
      <c r="I694" s="657"/>
      <c r="J694" s="694">
        <f>SUM(J692:J693)</f>
        <v>121</v>
      </c>
    </row>
    <row r="695" spans="1:10" s="644" customFormat="1">
      <c r="A695" s="668"/>
      <c r="B695" s="654"/>
      <c r="C695" s="654"/>
      <c r="D695" s="696" t="s">
        <v>1879</v>
      </c>
      <c r="E695" s="679"/>
      <c r="F695" s="680"/>
      <c r="G695" s="661"/>
      <c r="H695" s="680"/>
      <c r="I695" s="657"/>
      <c r="J695" s="694"/>
    </row>
    <row r="696" spans="1:10" s="644" customFormat="1" ht="25.5">
      <c r="A696" s="668"/>
      <c r="B696" s="654" t="s">
        <v>2986</v>
      </c>
      <c r="C696" s="654"/>
      <c r="D696" s="682" t="s">
        <v>2987</v>
      </c>
      <c r="E696" s="679"/>
      <c r="F696" s="680"/>
      <c r="G696" s="661"/>
      <c r="H696" s="680"/>
      <c r="I696" s="657"/>
      <c r="J696" s="694"/>
    </row>
    <row r="697" spans="1:10" s="644" customFormat="1" ht="76.5">
      <c r="A697" s="668"/>
      <c r="B697" s="654"/>
      <c r="C697" s="654"/>
      <c r="D697" s="646" t="s">
        <v>2988</v>
      </c>
      <c r="E697" s="679">
        <v>1</v>
      </c>
      <c r="F697" s="645" t="s">
        <v>2763</v>
      </c>
      <c r="G697" s="661">
        <v>100</v>
      </c>
      <c r="H697" s="645" t="s">
        <v>2805</v>
      </c>
      <c r="I697" s="657">
        <v>1200</v>
      </c>
      <c r="J697" s="694">
        <f>SUM(E697*I697/G697)</f>
        <v>12</v>
      </c>
    </row>
    <row r="698" spans="1:10" s="644" customFormat="1" ht="25.5">
      <c r="A698" s="668"/>
      <c r="B698" s="687" t="s">
        <v>2989</v>
      </c>
      <c r="C698" s="687" t="s">
        <v>1188</v>
      </c>
      <c r="D698" s="682" t="s">
        <v>2990</v>
      </c>
      <c r="E698" s="695">
        <v>2</v>
      </c>
      <c r="F698" s="645" t="s">
        <v>955</v>
      </c>
      <c r="G698" s="661">
        <v>100</v>
      </c>
      <c r="H698" s="645" t="s">
        <v>955</v>
      </c>
      <c r="I698" s="657">
        <v>128</v>
      </c>
      <c r="J698" s="694">
        <f>SUM(E698*I698/G698)</f>
        <v>2.56</v>
      </c>
    </row>
    <row r="699" spans="1:10" s="644" customFormat="1">
      <c r="A699" s="668"/>
      <c r="B699" s="654" t="s">
        <v>2772</v>
      </c>
      <c r="C699" s="664"/>
      <c r="D699" s="682" t="s">
        <v>2991</v>
      </c>
      <c r="E699" s="679">
        <v>2</v>
      </c>
      <c r="F699" s="645" t="s">
        <v>955</v>
      </c>
      <c r="G699" s="661">
        <v>100</v>
      </c>
      <c r="H699" s="645" t="s">
        <v>955</v>
      </c>
      <c r="I699" s="657">
        <v>42</v>
      </c>
      <c r="J699" s="694">
        <f>SUM(E699*I699/G699)</f>
        <v>0.84</v>
      </c>
    </row>
    <row r="700" spans="1:10" s="644" customFormat="1" ht="25.5">
      <c r="A700" s="668"/>
      <c r="B700" s="664"/>
      <c r="C700" s="664"/>
      <c r="D700" s="682" t="s">
        <v>2992</v>
      </c>
      <c r="E700" s="695">
        <v>2</v>
      </c>
      <c r="F700" s="645" t="s">
        <v>955</v>
      </c>
      <c r="G700" s="661">
        <v>1</v>
      </c>
      <c r="H700" s="645" t="s">
        <v>955</v>
      </c>
      <c r="I700" s="657">
        <v>5</v>
      </c>
      <c r="J700" s="694">
        <f>SUM(E700*I700/G700)</f>
        <v>10</v>
      </c>
    </row>
    <row r="701" spans="1:10" s="644" customFormat="1">
      <c r="A701" s="668"/>
      <c r="B701" s="664"/>
      <c r="C701" s="664"/>
      <c r="D701" s="682" t="s">
        <v>2993</v>
      </c>
      <c r="E701" s="679"/>
      <c r="F701" s="680"/>
      <c r="G701" s="661"/>
      <c r="H701" s="680"/>
      <c r="I701" s="657"/>
      <c r="J701" s="694">
        <f>SUM(J697:J700)</f>
        <v>25.4</v>
      </c>
    </row>
    <row r="702" spans="1:10" s="644" customFormat="1" ht="25.5">
      <c r="A702" s="668"/>
      <c r="B702" s="654" t="s">
        <v>2994</v>
      </c>
      <c r="C702" s="664"/>
      <c r="D702" s="682" t="s">
        <v>2995</v>
      </c>
      <c r="E702" s="695">
        <v>1</v>
      </c>
      <c r="F702" s="645" t="s">
        <v>955</v>
      </c>
      <c r="G702" s="661">
        <v>1</v>
      </c>
      <c r="H702" s="645" t="s">
        <v>955</v>
      </c>
      <c r="I702" s="657">
        <v>680</v>
      </c>
      <c r="J702" s="694">
        <f>SUM(E702*I702/G702)</f>
        <v>680</v>
      </c>
    </row>
    <row r="703" spans="1:10" s="644" customFormat="1">
      <c r="A703" s="668"/>
      <c r="B703" s="664"/>
      <c r="C703" s="664"/>
      <c r="D703" s="682" t="s">
        <v>2996</v>
      </c>
      <c r="E703" s="679"/>
      <c r="F703" s="682"/>
      <c r="G703" s="661"/>
      <c r="H703" s="645"/>
      <c r="I703" s="657"/>
      <c r="J703" s="694">
        <f>SUM(J701:J702)</f>
        <v>705.4</v>
      </c>
    </row>
    <row r="704" spans="1:10" s="644" customFormat="1" ht="25.5">
      <c r="A704" s="668"/>
      <c r="B704" s="664"/>
      <c r="C704" s="664"/>
      <c r="D704" s="656" t="s">
        <v>2766</v>
      </c>
      <c r="E704" s="685"/>
      <c r="F704" s="656"/>
      <c r="G704" s="663"/>
      <c r="H704" s="697"/>
      <c r="I704" s="672"/>
      <c r="J704" s="676">
        <f>ROUNDDOWN(J694+J703,0)</f>
        <v>826</v>
      </c>
    </row>
    <row r="705" spans="1:10" s="644" customFormat="1">
      <c r="A705" s="668"/>
      <c r="B705" s="664"/>
      <c r="C705" s="664"/>
      <c r="D705" s="669" t="s">
        <v>2767</v>
      </c>
      <c r="E705" s="670">
        <f>$E$9</f>
        <v>0</v>
      </c>
      <c r="F705" s="684"/>
      <c r="G705" s="663"/>
      <c r="H705" s="684"/>
      <c r="I705" s="672"/>
      <c r="J705" s="676">
        <f>J704*$E705</f>
        <v>0</v>
      </c>
    </row>
    <row r="706" spans="1:10" s="644" customFormat="1">
      <c r="A706" s="668"/>
      <c r="B706" s="664"/>
      <c r="C706" s="664"/>
      <c r="D706" s="673"/>
      <c r="E706" s="685"/>
      <c r="F706" s="684"/>
      <c r="G706" s="663"/>
      <c r="H706" s="684"/>
      <c r="I706" s="672"/>
      <c r="J706" s="676">
        <f>SUM(J704:J705)</f>
        <v>826</v>
      </c>
    </row>
    <row r="707" spans="1:10" s="644" customFormat="1">
      <c r="A707" s="668"/>
      <c r="B707" s="664"/>
      <c r="C707" s="664"/>
      <c r="D707" s="669" t="s">
        <v>2380</v>
      </c>
      <c r="E707" s="685"/>
      <c r="F707" s="684"/>
      <c r="G707" s="663"/>
      <c r="H707" s="684"/>
      <c r="I707" s="686"/>
      <c r="J707" s="693">
        <f>ROUND(J706,0)</f>
        <v>826</v>
      </c>
    </row>
    <row r="708" spans="1:10" s="644" customFormat="1">
      <c r="A708" s="668"/>
      <c r="B708" s="664"/>
      <c r="C708" s="664"/>
      <c r="D708" s="669"/>
      <c r="E708" s="685"/>
      <c r="F708" s="684"/>
      <c r="G708" s="663"/>
      <c r="H708" s="684"/>
      <c r="I708" s="686"/>
      <c r="J708" s="676"/>
    </row>
    <row r="709" spans="1:10" s="644" customFormat="1">
      <c r="A709" s="673"/>
      <c r="B709" s="677"/>
      <c r="C709" s="677"/>
      <c r="D709" s="2160" t="s">
        <v>2997</v>
      </c>
      <c r="E709" s="2160"/>
      <c r="F709" s="2160"/>
      <c r="G709" s="2160"/>
      <c r="H709" s="2160"/>
      <c r="I709" s="2160"/>
      <c r="J709" s="2160"/>
    </row>
    <row r="710" spans="1:10" s="644" customFormat="1" ht="119.25" customHeight="1">
      <c r="A710" s="653">
        <f>SUM(MAX($A$7:$A708),1)</f>
        <v>38</v>
      </c>
      <c r="B710" s="665"/>
      <c r="C710" s="665"/>
      <c r="D710" s="2158" t="s">
        <v>2998</v>
      </c>
      <c r="E710" s="2158"/>
      <c r="F710" s="2158"/>
      <c r="G710" s="2158"/>
      <c r="H710" s="2158"/>
      <c r="I710" s="2158"/>
      <c r="J710" s="2158"/>
    </row>
    <row r="711" spans="1:10" s="644" customFormat="1">
      <c r="A711" s="668"/>
      <c r="B711" s="654"/>
      <c r="C711" s="654"/>
      <c r="D711" s="682" t="s">
        <v>2985</v>
      </c>
      <c r="E711" s="679"/>
      <c r="F711" s="645"/>
      <c r="G711" s="661"/>
      <c r="H711" s="645"/>
      <c r="I711" s="657"/>
      <c r="J711" s="694"/>
    </row>
    <row r="712" spans="1:10" s="644" customFormat="1">
      <c r="A712" s="668"/>
      <c r="B712" s="654">
        <v>1</v>
      </c>
      <c r="C712" s="654"/>
      <c r="D712" s="645" t="s">
        <v>2740</v>
      </c>
      <c r="E712" s="699">
        <v>0.05</v>
      </c>
      <c r="F712" s="680" t="s">
        <v>1738</v>
      </c>
      <c r="G712" s="661">
        <v>1</v>
      </c>
      <c r="H712" s="680" t="s">
        <v>1738</v>
      </c>
      <c r="I712" s="657">
        <f>IF(B712=$B$2,$G$2,IF(B712=$B$3,$G$3,IF(B712=$B$4,$G$4,IF(B712=$B$5,$G$5,IF(B712=$B$6,$G$6,IF(B712=$B$7,$G$7,FALSE))))))</f>
        <v>660</v>
      </c>
      <c r="J712" s="694">
        <f>SUM(E712*I712/G712)</f>
        <v>33</v>
      </c>
    </row>
    <row r="713" spans="1:10" s="644" customFormat="1">
      <c r="A713" s="668"/>
      <c r="B713" s="654">
        <v>3</v>
      </c>
      <c r="C713" s="654"/>
      <c r="D713" s="645" t="s">
        <v>2742</v>
      </c>
      <c r="E713" s="699">
        <v>0.125</v>
      </c>
      <c r="F713" s="645" t="s">
        <v>1738</v>
      </c>
      <c r="G713" s="661">
        <v>1</v>
      </c>
      <c r="H713" s="645" t="s">
        <v>1738</v>
      </c>
      <c r="I713" s="657">
        <f>IF(B713=$B$2,$G$2,IF(B713=$B$3,$G$3,IF(B713=$B$4,$G$4,IF(B713=$B$5,$G$5,IF(B713=$B$6,$G$6,IF(B713=$B$7,$G$7,FALSE))))))</f>
        <v>550</v>
      </c>
      <c r="J713" s="694">
        <f>SUM(E713*I713/G713)</f>
        <v>68.75</v>
      </c>
    </row>
    <row r="714" spans="1:10" s="644" customFormat="1">
      <c r="A714" s="668"/>
      <c r="B714" s="654"/>
      <c r="C714" s="654"/>
      <c r="D714" s="682" t="s">
        <v>2829</v>
      </c>
      <c r="E714" s="679"/>
      <c r="F714" s="680"/>
      <c r="G714" s="661"/>
      <c r="H714" s="680"/>
      <c r="I714" s="657"/>
      <c r="J714" s="694">
        <f>SUM(J712:J713)</f>
        <v>101.75</v>
      </c>
    </row>
    <row r="715" spans="1:10" s="644" customFormat="1">
      <c r="A715" s="668"/>
      <c r="B715" s="654"/>
      <c r="C715" s="654"/>
      <c r="D715" s="696" t="s">
        <v>1879</v>
      </c>
      <c r="E715" s="679"/>
      <c r="F715" s="680"/>
      <c r="G715" s="661"/>
      <c r="H715" s="680"/>
      <c r="I715" s="657"/>
      <c r="J715" s="694"/>
    </row>
    <row r="716" spans="1:10" s="644" customFormat="1" ht="25.5">
      <c r="A716" s="668"/>
      <c r="B716" s="654" t="s">
        <v>2986</v>
      </c>
      <c r="C716" s="654"/>
      <c r="D716" s="682" t="s">
        <v>2999</v>
      </c>
      <c r="E716" s="679">
        <v>2</v>
      </c>
      <c r="F716" s="645" t="s">
        <v>2763</v>
      </c>
      <c r="G716" s="661">
        <v>100</v>
      </c>
      <c r="H716" s="645" t="s">
        <v>2805</v>
      </c>
      <c r="I716" s="657">
        <f>I697</f>
        <v>1200</v>
      </c>
      <c r="J716" s="694">
        <f>SUM(E716*I716/G716)</f>
        <v>24</v>
      </c>
    </row>
    <row r="717" spans="1:10" s="733" customFormat="1" ht="25.5">
      <c r="A717" s="668"/>
      <c r="B717" s="687"/>
      <c r="C717" s="687"/>
      <c r="D717" s="739" t="s">
        <v>3000</v>
      </c>
      <c r="E717" s="764"/>
      <c r="F717" s="646"/>
      <c r="G717" s="738"/>
      <c r="H717" s="646"/>
      <c r="I717" s="749"/>
      <c r="J717" s="765">
        <v>50</v>
      </c>
    </row>
    <row r="718" spans="1:10" s="644" customFormat="1" ht="38.25">
      <c r="A718" s="668"/>
      <c r="B718" s="654" t="s">
        <v>3001</v>
      </c>
      <c r="C718" s="661" t="s">
        <v>1180</v>
      </c>
      <c r="D718" s="682" t="s">
        <v>3002</v>
      </c>
      <c r="E718" s="695">
        <v>1</v>
      </c>
      <c r="F718" s="645" t="s">
        <v>955</v>
      </c>
      <c r="G718" s="661">
        <v>1</v>
      </c>
      <c r="H718" s="645" t="s">
        <v>955</v>
      </c>
      <c r="I718" s="657">
        <v>3077</v>
      </c>
      <c r="J718" s="694">
        <f>SUM(E718*I718/G718)</f>
        <v>3077</v>
      </c>
    </row>
    <row r="719" spans="1:10" s="644" customFormat="1">
      <c r="A719" s="668"/>
      <c r="B719" s="654"/>
      <c r="C719" s="654"/>
      <c r="D719" s="682" t="s">
        <v>2996</v>
      </c>
      <c r="E719" s="679"/>
      <c r="F719" s="682"/>
      <c r="G719" s="661"/>
      <c r="H719" s="645"/>
      <c r="I719" s="657"/>
      <c r="J719" s="694">
        <f>SUM(J716:J718)</f>
        <v>3151</v>
      </c>
    </row>
    <row r="720" spans="1:10" s="644" customFormat="1" ht="25.5">
      <c r="A720" s="668"/>
      <c r="B720" s="654"/>
      <c r="C720" s="654"/>
      <c r="D720" s="656" t="s">
        <v>2766</v>
      </c>
      <c r="E720" s="662"/>
      <c r="F720" s="662"/>
      <c r="G720" s="654"/>
      <c r="H720" s="662"/>
      <c r="I720" s="672"/>
      <c r="J720" s="771">
        <f>ROUNDDOWN(J714+J719,0)</f>
        <v>3252</v>
      </c>
    </row>
    <row r="721" spans="1:10" s="644" customFormat="1">
      <c r="A721" s="668"/>
      <c r="B721" s="664"/>
      <c r="C721" s="664"/>
      <c r="D721" s="669" t="s">
        <v>2767</v>
      </c>
      <c r="E721" s="670">
        <f>$E$9</f>
        <v>0</v>
      </c>
      <c r="F721" s="684"/>
      <c r="G721" s="663"/>
      <c r="H721" s="684"/>
      <c r="I721" s="672"/>
      <c r="J721" s="676">
        <f>J720*$E721</f>
        <v>0</v>
      </c>
    </row>
    <row r="722" spans="1:10" s="644" customFormat="1">
      <c r="A722" s="668"/>
      <c r="B722" s="664"/>
      <c r="C722" s="664"/>
      <c r="D722" s="673"/>
      <c r="E722" s="685"/>
      <c r="F722" s="684"/>
      <c r="G722" s="663"/>
      <c r="H722" s="684"/>
      <c r="I722" s="672"/>
      <c r="J722" s="676">
        <f>SUM(J720:J721)</f>
        <v>3252</v>
      </c>
    </row>
    <row r="723" spans="1:10" s="644" customFormat="1">
      <c r="A723" s="668"/>
      <c r="B723" s="664"/>
      <c r="C723" s="664"/>
      <c r="D723" s="772" t="s">
        <v>2380</v>
      </c>
      <c r="E723" s="685"/>
      <c r="F723" s="684"/>
      <c r="G723" s="663"/>
      <c r="H723" s="684"/>
      <c r="I723" s="672"/>
      <c r="J723" s="693">
        <f>ROUND(J722,0)</f>
        <v>3252</v>
      </c>
    </row>
    <row r="724" spans="1:10" s="644" customFormat="1">
      <c r="A724" s="668"/>
      <c r="B724" s="664"/>
      <c r="C724" s="664"/>
      <c r="D724" s="772"/>
      <c r="E724" s="685"/>
      <c r="F724" s="684"/>
      <c r="G724" s="663"/>
      <c r="H724" s="684"/>
      <c r="I724" s="672"/>
      <c r="J724" s="693"/>
    </row>
    <row r="725" spans="1:10" s="644" customFormat="1">
      <c r="A725" s="673"/>
      <c r="B725" s="677"/>
      <c r="C725" s="677"/>
      <c r="D725" s="2160" t="s">
        <v>3003</v>
      </c>
      <c r="E725" s="2160"/>
      <c r="F725" s="2160"/>
      <c r="G725" s="2160"/>
      <c r="H725" s="2160"/>
      <c r="I725" s="2160"/>
      <c r="J725" s="2160"/>
    </row>
    <row r="726" spans="1:10" s="644" customFormat="1">
      <c r="A726" s="653">
        <f>SUM(MAX($A$7:$A723),1)</f>
        <v>39</v>
      </c>
      <c r="B726" s="665"/>
      <c r="C726" s="665"/>
      <c r="D726" s="2158" t="s">
        <v>3004</v>
      </c>
      <c r="E726" s="2158"/>
      <c r="F726" s="2158"/>
      <c r="G726" s="2158"/>
      <c r="H726" s="2158"/>
      <c r="I726" s="2158"/>
      <c r="J726" s="2158"/>
    </row>
    <row r="727" spans="1:10" s="644" customFormat="1">
      <c r="A727" s="668"/>
      <c r="B727" s="654"/>
      <c r="C727" s="654"/>
      <c r="D727" s="682" t="s">
        <v>2985</v>
      </c>
      <c r="E727" s="679"/>
      <c r="F727" s="645"/>
      <c r="G727" s="661"/>
      <c r="H727" s="645"/>
      <c r="I727" s="657"/>
      <c r="J727" s="694"/>
    </row>
    <row r="728" spans="1:10" s="644" customFormat="1">
      <c r="A728" s="668"/>
      <c r="B728" s="654">
        <v>1</v>
      </c>
      <c r="C728" s="654"/>
      <c r="D728" s="645" t="s">
        <v>2740</v>
      </c>
      <c r="E728" s="699">
        <v>6.6000000000000003E-2</v>
      </c>
      <c r="F728" s="680" t="s">
        <v>1738</v>
      </c>
      <c r="G728" s="661">
        <v>1</v>
      </c>
      <c r="H728" s="680" t="s">
        <v>1738</v>
      </c>
      <c r="I728" s="657">
        <f>IF(B728=$B$2,$G$2,IF(B728=$B$3,$G$3,IF(B728=$B$4,$G$4,IF(B728=$B$5,$G$5,IF(B728=$B$6,$G$6,IF(B728=$B$7,$G$7,FALSE))))))</f>
        <v>660</v>
      </c>
      <c r="J728" s="694">
        <f>SUM(E728*I728/G728)</f>
        <v>43.56</v>
      </c>
    </row>
    <row r="729" spans="1:10" s="644" customFormat="1">
      <c r="A729" s="668"/>
      <c r="B729" s="654">
        <v>2</v>
      </c>
      <c r="C729" s="654"/>
      <c r="D729" s="645" t="s">
        <v>2741</v>
      </c>
      <c r="E729" s="699">
        <v>0</v>
      </c>
      <c r="F729" s="680" t="s">
        <v>1738</v>
      </c>
      <c r="G729" s="661">
        <v>1</v>
      </c>
      <c r="H729" s="680" t="s">
        <v>1738</v>
      </c>
      <c r="I729" s="657">
        <f>IF(B729=$B$2,$G$2,IF(B729=$B$3,$G$3,IF(B729=$B$4,$G$4,IF(B729=$B$5,$G$5,IF(B729=$B$6,$G$6,IF(B729=$B$7,$G$7,FALSE))))))</f>
        <v>550</v>
      </c>
      <c r="J729" s="694">
        <f>SUM(E729*I729/G729)</f>
        <v>0</v>
      </c>
    </row>
    <row r="730" spans="1:10" s="644" customFormat="1">
      <c r="A730" s="668"/>
      <c r="B730" s="654">
        <v>3</v>
      </c>
      <c r="C730" s="654"/>
      <c r="D730" s="645" t="s">
        <v>2742</v>
      </c>
      <c r="E730" s="699">
        <v>0.1</v>
      </c>
      <c r="F730" s="645" t="s">
        <v>1738</v>
      </c>
      <c r="G730" s="661">
        <v>1</v>
      </c>
      <c r="H730" s="645" t="s">
        <v>1738</v>
      </c>
      <c r="I730" s="657">
        <f>IF(B730=$B$2,$G$2,IF(B730=$B$3,$G$3,IF(B730=$B$4,$G$4,IF(B730=$B$5,$G$5,IF(B730=$B$6,$G$6,IF(B730=$B$7,$G$7,FALSE))))))</f>
        <v>550</v>
      </c>
      <c r="J730" s="694">
        <f>SUM(E730*I730/G730)</f>
        <v>55</v>
      </c>
    </row>
    <row r="731" spans="1:10" s="644" customFormat="1">
      <c r="A731" s="668"/>
      <c r="B731" s="654"/>
      <c r="C731" s="654"/>
      <c r="D731" s="682" t="s">
        <v>2829</v>
      </c>
      <c r="E731" s="679"/>
      <c r="F731" s="680"/>
      <c r="G731" s="661"/>
      <c r="H731" s="680"/>
      <c r="I731" s="657"/>
      <c r="J731" s="694">
        <f>SUM(J728:J730)</f>
        <v>98.56</v>
      </c>
    </row>
    <row r="732" spans="1:10" s="644" customFormat="1">
      <c r="A732" s="668"/>
      <c r="B732" s="654"/>
      <c r="C732" s="654"/>
      <c r="D732" s="696" t="s">
        <v>1879</v>
      </c>
      <c r="E732" s="679"/>
      <c r="F732" s="680"/>
      <c r="G732" s="661"/>
      <c r="H732" s="680"/>
      <c r="I732" s="657"/>
      <c r="J732" s="694"/>
    </row>
    <row r="733" spans="1:10" s="644" customFormat="1" ht="25.5">
      <c r="A733" s="668"/>
      <c r="B733" s="658" t="s">
        <v>3005</v>
      </c>
      <c r="C733" s="661"/>
      <c r="D733" s="682" t="s">
        <v>2999</v>
      </c>
      <c r="E733" s="679">
        <v>1</v>
      </c>
      <c r="F733" s="645" t="s">
        <v>2763</v>
      </c>
      <c r="G733" s="661">
        <v>100</v>
      </c>
      <c r="H733" s="645" t="s">
        <v>2805</v>
      </c>
      <c r="I733" s="657">
        <f>I716</f>
        <v>1200</v>
      </c>
      <c r="J733" s="694">
        <f>SUM(E733*I733/G733)</f>
        <v>12</v>
      </c>
    </row>
    <row r="734" spans="1:10" s="644" customFormat="1">
      <c r="A734" s="668"/>
      <c r="B734" s="654" t="s">
        <v>2780</v>
      </c>
      <c r="C734" s="654" t="s">
        <v>1188</v>
      </c>
      <c r="D734" s="682" t="s">
        <v>2990</v>
      </c>
      <c r="E734" s="695">
        <v>2</v>
      </c>
      <c r="F734" s="645" t="s">
        <v>955</v>
      </c>
      <c r="G734" s="661">
        <v>100</v>
      </c>
      <c r="H734" s="645" t="s">
        <v>955</v>
      </c>
      <c r="I734" s="679">
        <f>I698</f>
        <v>128</v>
      </c>
      <c r="J734" s="694">
        <f>SUM(E734*I734/G734)</f>
        <v>2.56</v>
      </c>
    </row>
    <row r="735" spans="1:10" s="644" customFormat="1">
      <c r="A735" s="668"/>
      <c r="B735" s="654" t="s">
        <v>2772</v>
      </c>
      <c r="C735" s="654"/>
      <c r="D735" s="682" t="s">
        <v>2991</v>
      </c>
      <c r="E735" s="679">
        <v>2</v>
      </c>
      <c r="F735" s="645" t="s">
        <v>955</v>
      </c>
      <c r="G735" s="661">
        <v>100</v>
      </c>
      <c r="H735" s="645" t="s">
        <v>955</v>
      </c>
      <c r="I735" s="679">
        <f>I699</f>
        <v>42</v>
      </c>
      <c r="J735" s="694">
        <f>SUM(E735*I735/G735)</f>
        <v>0.84</v>
      </c>
    </row>
    <row r="736" spans="1:10" s="644" customFormat="1" ht="25.5">
      <c r="A736" s="668"/>
      <c r="B736" s="654"/>
      <c r="C736" s="654"/>
      <c r="D736" s="682" t="s">
        <v>2992</v>
      </c>
      <c r="E736" s="695">
        <v>0</v>
      </c>
      <c r="F736" s="645" t="s">
        <v>955</v>
      </c>
      <c r="G736" s="661">
        <v>1</v>
      </c>
      <c r="H736" s="645" t="s">
        <v>955</v>
      </c>
      <c r="I736" s="657">
        <v>5</v>
      </c>
      <c r="J736" s="694">
        <f>SUM(E736*I736/G736)</f>
        <v>0</v>
      </c>
    </row>
    <row r="737" spans="1:10" s="644" customFormat="1" ht="38.25">
      <c r="A737" s="668"/>
      <c r="B737" s="654" t="s">
        <v>3006</v>
      </c>
      <c r="C737" s="661" t="s">
        <v>1180</v>
      </c>
      <c r="D737" s="682" t="s">
        <v>3007</v>
      </c>
      <c r="E737" s="695">
        <v>1</v>
      </c>
      <c r="F737" s="645" t="s">
        <v>955</v>
      </c>
      <c r="G737" s="661">
        <v>1</v>
      </c>
      <c r="H737" s="645" t="s">
        <v>955</v>
      </c>
      <c r="I737" s="657">
        <v>1351</v>
      </c>
      <c r="J737" s="694">
        <f>SUM(E737*I737/G737)</f>
        <v>1351</v>
      </c>
    </row>
    <row r="738" spans="1:10" s="644" customFormat="1">
      <c r="A738" s="668"/>
      <c r="B738" s="654"/>
      <c r="C738" s="654"/>
      <c r="D738" s="682" t="s">
        <v>2996</v>
      </c>
      <c r="E738" s="679"/>
      <c r="F738" s="682"/>
      <c r="G738" s="661"/>
      <c r="H738" s="645"/>
      <c r="I738" s="657"/>
      <c r="J738" s="694">
        <f>SUM(J733:J737)</f>
        <v>1366.4</v>
      </c>
    </row>
    <row r="739" spans="1:10" s="644" customFormat="1" ht="25.5">
      <c r="A739" s="668"/>
      <c r="B739" s="654"/>
      <c r="C739" s="654"/>
      <c r="D739" s="656" t="s">
        <v>2766</v>
      </c>
      <c r="E739" s="662"/>
      <c r="F739" s="662"/>
      <c r="G739" s="654"/>
      <c r="H739" s="662"/>
      <c r="I739" s="675"/>
      <c r="J739" s="655">
        <f>J738+J731</f>
        <v>1464.96</v>
      </c>
    </row>
    <row r="740" spans="1:10" s="644" customFormat="1">
      <c r="A740" s="668"/>
      <c r="B740" s="664"/>
      <c r="C740" s="664"/>
      <c r="D740" s="669" t="s">
        <v>2767</v>
      </c>
      <c r="E740" s="670">
        <f>$E$9</f>
        <v>0</v>
      </c>
      <c r="F740" s="684"/>
      <c r="G740" s="663"/>
      <c r="H740" s="684"/>
      <c r="I740" s="675"/>
      <c r="J740" s="676">
        <f>J739*E740</f>
        <v>0</v>
      </c>
    </row>
    <row r="741" spans="1:10" s="644" customFormat="1">
      <c r="A741" s="668"/>
      <c r="B741" s="664"/>
      <c r="C741" s="664"/>
      <c r="D741" s="673"/>
      <c r="E741" s="685"/>
      <c r="F741" s="684"/>
      <c r="G741" s="663"/>
      <c r="H741" s="684"/>
      <c r="I741" s="675"/>
      <c r="J741" s="676">
        <f>SUM(J739:J740)</f>
        <v>1464.96</v>
      </c>
    </row>
    <row r="742" spans="1:10" s="644" customFormat="1">
      <c r="A742" s="668"/>
      <c r="B742" s="664"/>
      <c r="C742" s="664"/>
      <c r="D742" s="691" t="s">
        <v>2380</v>
      </c>
      <c r="E742" s="685"/>
      <c r="F742" s="684"/>
      <c r="G742" s="663"/>
      <c r="H742" s="684"/>
      <c r="I742" s="675"/>
      <c r="J742" s="693">
        <f>ROUND(J741,0)</f>
        <v>1465</v>
      </c>
    </row>
    <row r="743" spans="1:10" s="644" customFormat="1">
      <c r="A743" s="668"/>
      <c r="B743" s="664"/>
      <c r="C743" s="664"/>
      <c r="D743" s="691"/>
      <c r="E743" s="685"/>
      <c r="F743" s="684"/>
      <c r="G743" s="663"/>
      <c r="H743" s="684"/>
      <c r="I743" s="675"/>
      <c r="J743" s="693"/>
    </row>
    <row r="744" spans="1:10" s="644" customFormat="1">
      <c r="A744" s="673"/>
      <c r="B744" s="677"/>
      <c r="C744" s="677"/>
      <c r="D744" s="2160" t="s">
        <v>3008</v>
      </c>
      <c r="E744" s="2160"/>
      <c r="F744" s="2160"/>
      <c r="G744" s="2160"/>
      <c r="H744" s="2160"/>
      <c r="I744" s="2160"/>
      <c r="J744" s="2160"/>
    </row>
    <row r="745" spans="1:10" s="644" customFormat="1" ht="116.25" customHeight="1">
      <c r="A745" s="653">
        <f>SUM(MAX($A$7:$A743),1)</f>
        <v>40</v>
      </c>
      <c r="B745" s="665"/>
      <c r="C745" s="665"/>
      <c r="D745" s="2158" t="s">
        <v>3009</v>
      </c>
      <c r="E745" s="2158"/>
      <c r="F745" s="2158"/>
      <c r="G745" s="2158"/>
      <c r="H745" s="2158"/>
      <c r="I745" s="2158"/>
      <c r="J745" s="2158"/>
    </row>
    <row r="746" spans="1:10" s="644" customFormat="1">
      <c r="A746" s="668"/>
      <c r="B746" s="654"/>
      <c r="C746" s="654"/>
      <c r="D746" s="682" t="s">
        <v>2985</v>
      </c>
      <c r="E746" s="679"/>
      <c r="F746" s="645"/>
      <c r="G746" s="661"/>
      <c r="H746" s="645"/>
      <c r="I746" s="657"/>
      <c r="J746" s="694"/>
    </row>
    <row r="747" spans="1:10" s="644" customFormat="1">
      <c r="A747" s="668"/>
      <c r="B747" s="654">
        <v>1</v>
      </c>
      <c r="C747" s="654"/>
      <c r="D747" s="645" t="s">
        <v>2740</v>
      </c>
      <c r="E747" s="699">
        <v>6.6000000000000003E-2</v>
      </c>
      <c r="F747" s="680" t="s">
        <v>1738</v>
      </c>
      <c r="G747" s="661">
        <v>1</v>
      </c>
      <c r="H747" s="680" t="s">
        <v>1738</v>
      </c>
      <c r="I747" s="657">
        <f>IF(B747=$B$2,$G$2,IF(B747=$B$3,$G$3,IF(B747=$B$4,$G$4,IF(B747=$B$5,$G$5,IF(B747=$B$6,$G$6,IF(B747=$B$7,$G$7,FALSE))))))</f>
        <v>660</v>
      </c>
      <c r="J747" s="694">
        <f>SUM(E747*I747/G747)</f>
        <v>43.56</v>
      </c>
    </row>
    <row r="748" spans="1:10" s="644" customFormat="1">
      <c r="A748" s="668"/>
      <c r="B748" s="654">
        <v>2</v>
      </c>
      <c r="C748" s="654"/>
      <c r="D748" s="645" t="s">
        <v>2741</v>
      </c>
      <c r="E748" s="699">
        <v>0</v>
      </c>
      <c r="F748" s="680" t="s">
        <v>1738</v>
      </c>
      <c r="G748" s="661">
        <v>1</v>
      </c>
      <c r="H748" s="680" t="s">
        <v>1738</v>
      </c>
      <c r="I748" s="657">
        <f>IF(B748=$B$2,$G$2,IF(B748=$B$3,$G$3,IF(B748=$B$4,$G$4,IF(B748=$B$5,$G$5,IF(B748=$B$6,$G$6,IF(B748=$B$7,$G$7,FALSE))))))</f>
        <v>550</v>
      </c>
      <c r="J748" s="694">
        <f>SUM(E748*I748/G748)</f>
        <v>0</v>
      </c>
    </row>
    <row r="749" spans="1:10" s="644" customFormat="1">
      <c r="A749" s="668"/>
      <c r="B749" s="654">
        <v>3</v>
      </c>
      <c r="C749" s="654"/>
      <c r="D749" s="645" t="s">
        <v>2742</v>
      </c>
      <c r="E749" s="699">
        <v>0.1</v>
      </c>
      <c r="F749" s="645" t="s">
        <v>1738</v>
      </c>
      <c r="G749" s="661">
        <v>1</v>
      </c>
      <c r="H749" s="645" t="s">
        <v>1738</v>
      </c>
      <c r="I749" s="657">
        <f>IF(B749=$B$2,$G$2,IF(B749=$B$3,$G$3,IF(B749=$B$4,$G$4,IF(B749=$B$5,$G$5,IF(B749=$B$6,$G$6,IF(B749=$B$7,$G$7,FALSE))))))</f>
        <v>550</v>
      </c>
      <c r="J749" s="694">
        <f>SUM(E749*I749/G749)</f>
        <v>55</v>
      </c>
    </row>
    <row r="750" spans="1:10" s="644" customFormat="1">
      <c r="A750" s="668"/>
      <c r="B750" s="654"/>
      <c r="C750" s="654"/>
      <c r="D750" s="682" t="s">
        <v>2829</v>
      </c>
      <c r="E750" s="679"/>
      <c r="F750" s="680"/>
      <c r="G750" s="661"/>
      <c r="H750" s="680"/>
      <c r="I750" s="657"/>
      <c r="J750" s="694">
        <f>SUM(J747:J749)</f>
        <v>98.56</v>
      </c>
    </row>
    <row r="751" spans="1:10" s="644" customFormat="1">
      <c r="A751" s="668"/>
      <c r="B751" s="654"/>
      <c r="C751" s="654"/>
      <c r="D751" s="696" t="s">
        <v>1879</v>
      </c>
      <c r="E751" s="679"/>
      <c r="F751" s="680"/>
      <c r="G751" s="661"/>
      <c r="H751" s="680"/>
      <c r="I751" s="657"/>
      <c r="J751" s="694"/>
    </row>
    <row r="752" spans="1:10" s="644" customFormat="1" ht="25.5">
      <c r="A752" s="668"/>
      <c r="B752" s="658" t="s">
        <v>3005</v>
      </c>
      <c r="C752" s="661"/>
      <c r="D752" s="682" t="s">
        <v>2999</v>
      </c>
      <c r="E752" s="679">
        <v>1</v>
      </c>
      <c r="F752" s="645" t="s">
        <v>2763</v>
      </c>
      <c r="G752" s="661">
        <v>100</v>
      </c>
      <c r="H752" s="645" t="s">
        <v>2805</v>
      </c>
      <c r="I752" s="657">
        <f>I733</f>
        <v>1200</v>
      </c>
      <c r="J752" s="694">
        <f>SUM(E752*I752/G752)</f>
        <v>12</v>
      </c>
    </row>
    <row r="753" spans="1:10" s="644" customFormat="1">
      <c r="A753" s="668"/>
      <c r="B753" s="654" t="s">
        <v>2780</v>
      </c>
      <c r="C753" s="654"/>
      <c r="D753" s="682" t="s">
        <v>2990</v>
      </c>
      <c r="E753" s="695">
        <v>2</v>
      </c>
      <c r="F753" s="645" t="s">
        <v>955</v>
      </c>
      <c r="G753" s="661">
        <v>100</v>
      </c>
      <c r="H753" s="645" t="s">
        <v>955</v>
      </c>
      <c r="I753" s="679">
        <f>I734</f>
        <v>128</v>
      </c>
      <c r="J753" s="694">
        <f>SUM(E753*I753/G753)</f>
        <v>2.56</v>
      </c>
    </row>
    <row r="754" spans="1:10" s="644" customFormat="1">
      <c r="A754" s="668"/>
      <c r="B754" s="654" t="s">
        <v>2772</v>
      </c>
      <c r="C754" s="654"/>
      <c r="D754" s="682" t="s">
        <v>2991</v>
      </c>
      <c r="E754" s="679">
        <v>2</v>
      </c>
      <c r="F754" s="645" t="s">
        <v>955</v>
      </c>
      <c r="G754" s="661">
        <v>100</v>
      </c>
      <c r="H754" s="645" t="s">
        <v>955</v>
      </c>
      <c r="I754" s="679">
        <f>I735</f>
        <v>42</v>
      </c>
      <c r="J754" s="694">
        <f>SUM(E754*I754/G754)</f>
        <v>0.84</v>
      </c>
    </row>
    <row r="755" spans="1:10" s="644" customFormat="1" ht="25.5">
      <c r="A755" s="668"/>
      <c r="B755" s="654"/>
      <c r="C755" s="654"/>
      <c r="D755" s="682" t="s">
        <v>2992</v>
      </c>
      <c r="E755" s="695">
        <v>0</v>
      </c>
      <c r="F755" s="645" t="s">
        <v>955</v>
      </c>
      <c r="G755" s="661">
        <v>1</v>
      </c>
      <c r="H755" s="645" t="s">
        <v>955</v>
      </c>
      <c r="I755" s="657">
        <v>5</v>
      </c>
      <c r="J755" s="694">
        <f>SUM(E755*I755/G755)</f>
        <v>0</v>
      </c>
    </row>
    <row r="756" spans="1:10" s="644" customFormat="1">
      <c r="A756" s="668"/>
      <c r="B756" s="654" t="s">
        <v>3006</v>
      </c>
      <c r="C756" s="661" t="s">
        <v>1186</v>
      </c>
      <c r="D756" s="682" t="s">
        <v>3010</v>
      </c>
      <c r="E756" s="695">
        <v>1</v>
      </c>
      <c r="F756" s="645" t="s">
        <v>955</v>
      </c>
      <c r="G756" s="661">
        <v>1</v>
      </c>
      <c r="H756" s="645" t="s">
        <v>955</v>
      </c>
      <c r="I756" s="657">
        <v>1666</v>
      </c>
      <c r="J756" s="694">
        <f>SUM(E756*I756/G756)</f>
        <v>1666</v>
      </c>
    </row>
    <row r="757" spans="1:10" s="644" customFormat="1">
      <c r="A757" s="668"/>
      <c r="B757" s="654"/>
      <c r="C757" s="654"/>
      <c r="D757" s="682" t="s">
        <v>2996</v>
      </c>
      <c r="E757" s="679"/>
      <c r="F757" s="682"/>
      <c r="G757" s="661"/>
      <c r="H757" s="645"/>
      <c r="I757" s="657"/>
      <c r="J757" s="694">
        <f>SUM(J752:J756)</f>
        <v>1681.4</v>
      </c>
    </row>
    <row r="758" spans="1:10" s="644" customFormat="1" ht="25.5">
      <c r="A758" s="668"/>
      <c r="B758" s="654"/>
      <c r="C758" s="654"/>
      <c r="D758" s="656" t="s">
        <v>2766</v>
      </c>
      <c r="E758" s="662"/>
      <c r="F758" s="662"/>
      <c r="G758" s="654"/>
      <c r="H758" s="662"/>
      <c r="I758" s="675"/>
      <c r="J758" s="655">
        <f>J757+J750</f>
        <v>1779.96</v>
      </c>
    </row>
    <row r="759" spans="1:10" s="644" customFormat="1">
      <c r="A759" s="668"/>
      <c r="B759" s="664"/>
      <c r="C759" s="664"/>
      <c r="D759" s="669" t="s">
        <v>2767</v>
      </c>
      <c r="E759" s="670">
        <f>$E$9</f>
        <v>0</v>
      </c>
      <c r="F759" s="684"/>
      <c r="G759" s="663"/>
      <c r="H759" s="684"/>
      <c r="I759" s="675"/>
      <c r="J759" s="676">
        <f>J758*E759</f>
        <v>0</v>
      </c>
    </row>
    <row r="760" spans="1:10" s="644" customFormat="1">
      <c r="A760" s="668"/>
      <c r="B760" s="664"/>
      <c r="C760" s="664"/>
      <c r="D760" s="673"/>
      <c r="E760" s="685"/>
      <c r="F760" s="684"/>
      <c r="G760" s="663"/>
      <c r="H760" s="684"/>
      <c r="I760" s="675"/>
      <c r="J760" s="676">
        <f>SUM(J758:J759)</f>
        <v>1779.96</v>
      </c>
    </row>
    <row r="761" spans="1:10" s="644" customFormat="1">
      <c r="A761" s="668"/>
      <c r="B761" s="664"/>
      <c r="C761" s="664"/>
      <c r="D761" s="691" t="s">
        <v>2380</v>
      </c>
      <c r="E761" s="685"/>
      <c r="F761" s="684"/>
      <c r="G761" s="663"/>
      <c r="H761" s="684"/>
      <c r="I761" s="675"/>
      <c r="J761" s="693">
        <f>ROUND(J760,0)</f>
        <v>1780</v>
      </c>
    </row>
    <row r="762" spans="1:10" s="644" customFormat="1">
      <c r="A762" s="668"/>
      <c r="B762" s="664"/>
      <c r="C762" s="664"/>
      <c r="D762" s="691"/>
      <c r="E762" s="685"/>
      <c r="F762" s="684"/>
      <c r="G762" s="663"/>
      <c r="H762" s="684"/>
      <c r="I762" s="675"/>
      <c r="J762" s="693"/>
    </row>
    <row r="763" spans="1:10" s="644" customFormat="1">
      <c r="A763" s="653">
        <f>SUM(MAX($A$7:$A762),1)</f>
        <v>41</v>
      </c>
      <c r="B763" s="665"/>
      <c r="C763" s="665"/>
      <c r="D763" s="2158" t="s">
        <v>3011</v>
      </c>
      <c r="E763" s="2158"/>
      <c r="F763" s="2158"/>
      <c r="G763" s="2158"/>
      <c r="H763" s="2158"/>
      <c r="I763" s="2158"/>
      <c r="J763" s="2158"/>
    </row>
    <row r="764" spans="1:10" s="644" customFormat="1">
      <c r="A764" s="668"/>
      <c r="B764" s="654"/>
      <c r="C764" s="654"/>
      <c r="D764" s="773" t="s">
        <v>2985</v>
      </c>
      <c r="E764" s="679"/>
      <c r="F764" s="645"/>
      <c r="G764" s="661"/>
      <c r="H764" s="645"/>
      <c r="I764" s="657"/>
      <c r="J764" s="694"/>
    </row>
    <row r="765" spans="1:10" s="644" customFormat="1">
      <c r="A765" s="668"/>
      <c r="B765" s="654">
        <v>1</v>
      </c>
      <c r="C765" s="654"/>
      <c r="D765" s="645" t="s">
        <v>2740</v>
      </c>
      <c r="E765" s="679">
        <v>0.2</v>
      </c>
      <c r="F765" s="680" t="s">
        <v>1738</v>
      </c>
      <c r="G765" s="661">
        <v>1</v>
      </c>
      <c r="H765" s="680" t="s">
        <v>1738</v>
      </c>
      <c r="I765" s="657">
        <f>IF(B765=$B$2,$G$2,IF(B765=$B$3,$G$3,IF(B765=$B$4,$G$4,IF(B765=$B$5,$G$5,IF(B765=$B$6,$G$6,IF(B765=$B$7,$G$7,FALSE))))))</f>
        <v>660</v>
      </c>
      <c r="J765" s="694">
        <f>SUM(E765*I765/G765)</f>
        <v>132</v>
      </c>
    </row>
    <row r="766" spans="1:10" s="644" customFormat="1">
      <c r="A766" s="668"/>
      <c r="B766" s="654">
        <v>2</v>
      </c>
      <c r="C766" s="654"/>
      <c r="D766" s="645" t="s">
        <v>2741</v>
      </c>
      <c r="E766" s="679">
        <v>0.2</v>
      </c>
      <c r="F766" s="680" t="s">
        <v>1738</v>
      </c>
      <c r="G766" s="661">
        <v>1</v>
      </c>
      <c r="H766" s="680" t="s">
        <v>1738</v>
      </c>
      <c r="I766" s="657">
        <f>IF(B766=$B$2,$G$2,IF(B766=$B$3,$G$3,IF(B766=$B$4,$G$4,IF(B766=$B$5,$G$5,IF(B766=$B$6,$G$6,IF(B766=$B$7,$G$7,FALSE))))))</f>
        <v>550</v>
      </c>
      <c r="J766" s="694">
        <f>SUM(E766*I766/G766)</f>
        <v>110</v>
      </c>
    </row>
    <row r="767" spans="1:10" s="644" customFormat="1">
      <c r="A767" s="668"/>
      <c r="B767" s="654"/>
      <c r="C767" s="654"/>
      <c r="D767" s="682" t="s">
        <v>2829</v>
      </c>
      <c r="E767" s="679"/>
      <c r="F767" s="680"/>
      <c r="G767" s="661"/>
      <c r="H767" s="680"/>
      <c r="I767" s="657"/>
      <c r="J767" s="694">
        <f>SUM(J765:J766)</f>
        <v>242</v>
      </c>
    </row>
    <row r="768" spans="1:10" s="644" customFormat="1">
      <c r="A768" s="668"/>
      <c r="B768" s="654"/>
      <c r="C768" s="654"/>
      <c r="D768" s="696" t="s">
        <v>1879</v>
      </c>
      <c r="E768" s="679"/>
      <c r="F768" s="680"/>
      <c r="G768" s="661"/>
      <c r="H768" s="680"/>
      <c r="I768" s="657"/>
      <c r="J768" s="694"/>
    </row>
    <row r="769" spans="1:10" s="644" customFormat="1" ht="25.5">
      <c r="A769" s="664"/>
      <c r="B769" s="661" t="s">
        <v>3012</v>
      </c>
      <c r="C769" s="661" t="s">
        <v>1184</v>
      </c>
      <c r="D769" s="682" t="s">
        <v>3013</v>
      </c>
      <c r="E769" s="679">
        <v>4</v>
      </c>
      <c r="F769" s="645" t="s">
        <v>2805</v>
      </c>
      <c r="G769" s="661">
        <v>100</v>
      </c>
      <c r="H769" s="645" t="s">
        <v>2805</v>
      </c>
      <c r="I769" s="695">
        <v>11248</v>
      </c>
      <c r="J769" s="694">
        <f>SUM(E769*I769/G769)</f>
        <v>449.92</v>
      </c>
    </row>
    <row r="770" spans="1:10" s="644" customFormat="1" ht="25.5">
      <c r="A770" s="668"/>
      <c r="B770" s="654">
        <v>4</v>
      </c>
      <c r="C770" s="654"/>
      <c r="D770" s="682" t="s">
        <v>3014</v>
      </c>
      <c r="E770" s="679"/>
      <c r="F770" s="645"/>
      <c r="G770" s="661"/>
      <c r="H770" s="645"/>
      <c r="I770" s="657" t="s">
        <v>1707</v>
      </c>
      <c r="J770" s="694">
        <v>154</v>
      </c>
    </row>
    <row r="771" spans="1:10" s="644" customFormat="1">
      <c r="A771" s="668"/>
      <c r="B771" s="654">
        <v>5</v>
      </c>
      <c r="C771" s="654"/>
      <c r="D771" s="682" t="s">
        <v>3015</v>
      </c>
      <c r="E771" s="679"/>
      <c r="F771" s="645"/>
      <c r="G771" s="661"/>
      <c r="H771" s="645"/>
      <c r="I771" s="657" t="s">
        <v>1707</v>
      </c>
      <c r="J771" s="694">
        <v>100</v>
      </c>
    </row>
    <row r="772" spans="1:10" s="644" customFormat="1" ht="63.75">
      <c r="A772" s="668"/>
      <c r="B772" s="654" t="s">
        <v>3016</v>
      </c>
      <c r="C772" s="661" t="s">
        <v>1180</v>
      </c>
      <c r="D772" s="682" t="s">
        <v>3017</v>
      </c>
      <c r="E772" s="695">
        <v>1</v>
      </c>
      <c r="F772" s="645" t="s">
        <v>955</v>
      </c>
      <c r="G772" s="661">
        <v>1</v>
      </c>
      <c r="H772" s="645" t="s">
        <v>955</v>
      </c>
      <c r="I772" s="695">
        <v>7267</v>
      </c>
      <c r="J772" s="694">
        <f>SUM(E772*I772/G772)</f>
        <v>7267</v>
      </c>
    </row>
    <row r="773" spans="1:10" s="644" customFormat="1">
      <c r="A773" s="668"/>
      <c r="B773" s="654"/>
      <c r="C773" s="654"/>
      <c r="D773" s="645" t="s">
        <v>2832</v>
      </c>
      <c r="E773" s="679"/>
      <c r="F773" s="682"/>
      <c r="G773" s="661"/>
      <c r="H773" s="645"/>
      <c r="I773" s="657"/>
      <c r="J773" s="694">
        <f>SUM(J769:J772)</f>
        <v>7970.92</v>
      </c>
    </row>
    <row r="774" spans="1:10" s="644" customFormat="1" ht="25.5">
      <c r="A774" s="668"/>
      <c r="B774" s="654"/>
      <c r="C774" s="654"/>
      <c r="D774" s="656" t="s">
        <v>2766</v>
      </c>
      <c r="E774" s="662"/>
      <c r="F774" s="662"/>
      <c r="G774" s="654"/>
      <c r="H774" s="662"/>
      <c r="I774" s="672"/>
      <c r="J774" s="771">
        <f>ROUNDUP(J767+J773,0)+88</f>
        <v>8301</v>
      </c>
    </row>
    <row r="775" spans="1:10" s="644" customFormat="1">
      <c r="A775" s="668"/>
      <c r="B775" s="664"/>
      <c r="C775" s="664"/>
      <c r="D775" s="669" t="s">
        <v>2767</v>
      </c>
      <c r="E775" s="670">
        <f>$E$9</f>
        <v>0</v>
      </c>
      <c r="F775" s="684"/>
      <c r="G775" s="663"/>
      <c r="H775" s="684"/>
      <c r="I775" s="672"/>
      <c r="J775" s="676">
        <f>J774*$E775</f>
        <v>0</v>
      </c>
    </row>
    <row r="776" spans="1:10" s="644" customFormat="1">
      <c r="A776" s="668"/>
      <c r="B776" s="664"/>
      <c r="C776" s="664"/>
      <c r="D776" s="673"/>
      <c r="E776" s="685"/>
      <c r="F776" s="684"/>
      <c r="G776" s="663"/>
      <c r="H776" s="684"/>
      <c r="I776" s="672"/>
      <c r="J776" s="676">
        <f>SUM(J774:J775)</f>
        <v>8301</v>
      </c>
    </row>
    <row r="777" spans="1:10" s="644" customFormat="1">
      <c r="A777" s="668"/>
      <c r="B777" s="664"/>
      <c r="C777" s="664"/>
      <c r="D777" s="669" t="s">
        <v>1686</v>
      </c>
      <c r="E777" s="685"/>
      <c r="F777" s="684"/>
      <c r="G777" s="663"/>
      <c r="H777" s="684"/>
      <c r="I777" s="686"/>
      <c r="J777" s="693">
        <f>ROUND(J776,0)</f>
        <v>8301</v>
      </c>
    </row>
    <row r="778" spans="1:10" s="644" customFormat="1">
      <c r="A778" s="668"/>
      <c r="B778" s="664"/>
      <c r="C778" s="664"/>
      <c r="D778" s="669"/>
      <c r="E778" s="685"/>
      <c r="F778" s="684"/>
      <c r="G778" s="663"/>
      <c r="H778" s="684"/>
      <c r="I778" s="686"/>
      <c r="J778" s="676"/>
    </row>
    <row r="779" spans="1:10" s="644" customFormat="1">
      <c r="A779" s="673"/>
      <c r="B779" s="677"/>
      <c r="C779" s="677"/>
      <c r="D779" s="774" t="s">
        <v>3018</v>
      </c>
      <c r="E779" s="677"/>
      <c r="F779" s="677"/>
      <c r="G779" s="677"/>
      <c r="H779" s="677"/>
      <c r="I779" s="675"/>
      <c r="J779" s="677"/>
    </row>
    <row r="780" spans="1:10" s="644" customFormat="1">
      <c r="A780" s="653">
        <f>SUM(MAX($A$7:$A778),1)</f>
        <v>42</v>
      </c>
      <c r="B780" s="664"/>
      <c r="C780" s="664"/>
      <c r="D780" s="2155" t="s">
        <v>3019</v>
      </c>
      <c r="E780" s="2155"/>
      <c r="F780" s="2155"/>
      <c r="G780" s="2155"/>
      <c r="H780" s="2155"/>
      <c r="I780" s="2155"/>
      <c r="J780" s="2155"/>
    </row>
    <row r="781" spans="1:10" s="644" customFormat="1">
      <c r="A781" s="664"/>
      <c r="B781" s="664"/>
      <c r="C781" s="664"/>
      <c r="D781" s="682" t="s">
        <v>2754</v>
      </c>
      <c r="E781" s="679"/>
      <c r="F781" s="645"/>
      <c r="G781" s="661"/>
      <c r="H781" s="645"/>
      <c r="I781" s="657"/>
      <c r="J781" s="694"/>
    </row>
    <row r="782" spans="1:10" s="644" customFormat="1">
      <c r="A782" s="664"/>
      <c r="B782" s="664">
        <v>1</v>
      </c>
      <c r="C782" s="664"/>
      <c r="D782" s="645" t="s">
        <v>2740</v>
      </c>
      <c r="E782" s="679">
        <v>0.03</v>
      </c>
      <c r="F782" s="680" t="s">
        <v>1738</v>
      </c>
      <c r="G782" s="661">
        <v>1</v>
      </c>
      <c r="H782" s="680" t="s">
        <v>1738</v>
      </c>
      <c r="I782" s="657">
        <f>IF(B782=$B$2,$G$2,IF(B782=$B$3,$G$3,IF(B782=$B$4,$G$4,IF(B782=$B$5,$G$5,IF(B782=$B$6,$G$6,IF(B782=$B$7,$G$7,FALSE))))))</f>
        <v>660</v>
      </c>
      <c r="J782" s="694">
        <f>SUM(E782*I782/G782)</f>
        <v>19.8</v>
      </c>
    </row>
    <row r="783" spans="1:10" s="644" customFormat="1">
      <c r="A783" s="664"/>
      <c r="B783" s="664">
        <v>3</v>
      </c>
      <c r="C783" s="664"/>
      <c r="D783" s="645" t="s">
        <v>2742</v>
      </c>
      <c r="E783" s="679">
        <v>0.03</v>
      </c>
      <c r="F783" s="680" t="s">
        <v>1738</v>
      </c>
      <c r="G783" s="661">
        <v>1</v>
      </c>
      <c r="H783" s="680" t="s">
        <v>1738</v>
      </c>
      <c r="I783" s="657">
        <f>IF(B783=$B$2,$G$2,IF(B783=$B$3,$G$3,IF(B783=$B$4,$G$4,IF(B783=$B$5,$G$5,IF(B783=$B$6,$G$6,IF(B783=$B$7,$G$7,FALSE))))))</f>
        <v>550</v>
      </c>
      <c r="J783" s="657">
        <f>SUM(E783*I783/G783)</f>
        <v>16.5</v>
      </c>
    </row>
    <row r="784" spans="1:10" s="644" customFormat="1">
      <c r="A784" s="664"/>
      <c r="B784" s="664"/>
      <c r="C784" s="664"/>
      <c r="D784" s="682" t="s">
        <v>2829</v>
      </c>
      <c r="E784" s="679"/>
      <c r="F784" s="680"/>
      <c r="G784" s="661"/>
      <c r="H784" s="680"/>
      <c r="I784" s="657"/>
      <c r="J784" s="676">
        <f>SUM(J782:J783)</f>
        <v>36.299999999999997</v>
      </c>
    </row>
    <row r="785" spans="1:10" s="644" customFormat="1">
      <c r="A785" s="664"/>
      <c r="B785" s="664"/>
      <c r="C785" s="664"/>
      <c r="D785" s="696" t="s">
        <v>1879</v>
      </c>
      <c r="E785" s="679"/>
      <c r="F785" s="680"/>
      <c r="G785" s="661"/>
      <c r="H785" s="680"/>
      <c r="I785" s="657"/>
      <c r="J785" s="694"/>
    </row>
    <row r="786" spans="1:10" s="644" customFormat="1" ht="51">
      <c r="A786" s="664"/>
      <c r="B786" s="664" t="s">
        <v>2801</v>
      </c>
      <c r="C786" s="663" t="s">
        <v>3020</v>
      </c>
      <c r="D786" s="645" t="s">
        <v>3021</v>
      </c>
      <c r="E786" s="695">
        <v>1</v>
      </c>
      <c r="F786" s="645" t="s">
        <v>1509</v>
      </c>
      <c r="G786" s="661">
        <v>1</v>
      </c>
      <c r="H786" s="645" t="s">
        <v>1509</v>
      </c>
      <c r="I786" s="685">
        <v>22</v>
      </c>
      <c r="J786" s="694">
        <f>SUM(E786*I786/G786)</f>
        <v>22</v>
      </c>
    </row>
    <row r="787" spans="1:10" s="644" customFormat="1">
      <c r="A787" s="664"/>
      <c r="B787" s="664" t="s">
        <v>3022</v>
      </c>
      <c r="C787" s="664" t="s">
        <v>1186</v>
      </c>
      <c r="D787" s="682" t="s">
        <v>3023</v>
      </c>
      <c r="E787" s="695">
        <v>1</v>
      </c>
      <c r="F787" s="645" t="s">
        <v>1509</v>
      </c>
      <c r="G787" s="661">
        <v>1</v>
      </c>
      <c r="H787" s="645" t="s">
        <v>1509</v>
      </c>
      <c r="I787" s="685">
        <v>102</v>
      </c>
      <c r="J787" s="694">
        <f>SUM(E787*I787/G787)</f>
        <v>102</v>
      </c>
    </row>
    <row r="788" spans="1:10" s="644" customFormat="1" ht="38.25">
      <c r="A788" s="664"/>
      <c r="B788" s="664" t="s">
        <v>2801</v>
      </c>
      <c r="C788" s="664" t="s">
        <v>1839</v>
      </c>
      <c r="D788" s="682" t="s">
        <v>3024</v>
      </c>
      <c r="E788" s="695">
        <v>1</v>
      </c>
      <c r="F788" s="645" t="s">
        <v>1509</v>
      </c>
      <c r="G788" s="661">
        <v>-1</v>
      </c>
      <c r="H788" s="645" t="s">
        <v>1509</v>
      </c>
      <c r="I788" s="685">
        <v>23</v>
      </c>
      <c r="J788" s="694">
        <f>SUM(E788*I788/G788)</f>
        <v>-23</v>
      </c>
    </row>
    <row r="789" spans="1:10" s="644" customFormat="1">
      <c r="A789" s="664"/>
      <c r="B789" s="664"/>
      <c r="C789" s="664"/>
      <c r="D789" s="696" t="s">
        <v>2996</v>
      </c>
      <c r="E789" s="679"/>
      <c r="F789" s="680"/>
      <c r="G789" s="661"/>
      <c r="H789" s="680"/>
      <c r="I789" s="657"/>
      <c r="J789" s="694">
        <f>SUM(J786:J788)</f>
        <v>101</v>
      </c>
    </row>
    <row r="790" spans="1:10" s="644" customFormat="1" ht="25.5">
      <c r="A790" s="664"/>
      <c r="B790" s="664"/>
      <c r="C790" s="664"/>
      <c r="D790" s="656" t="s">
        <v>2766</v>
      </c>
      <c r="E790" s="679"/>
      <c r="F790" s="645"/>
      <c r="G790" s="674"/>
      <c r="H790" s="697"/>
      <c r="I790" s="657"/>
      <c r="J790" s="655">
        <f>ROUNDDOWN(J784+J789,0)</f>
        <v>137</v>
      </c>
    </row>
    <row r="791" spans="1:10" s="644" customFormat="1">
      <c r="A791" s="664"/>
      <c r="B791" s="664"/>
      <c r="C791" s="664"/>
      <c r="D791" s="669" t="s">
        <v>2767</v>
      </c>
      <c r="E791" s="670">
        <f>$E$9</f>
        <v>0</v>
      </c>
      <c r="F791" s="684"/>
      <c r="G791" s="663"/>
      <c r="H791" s="684"/>
      <c r="I791" s="672"/>
      <c r="J791" s="676">
        <f>J790*E791</f>
        <v>0</v>
      </c>
    </row>
    <row r="792" spans="1:10" s="644" customFormat="1">
      <c r="A792" s="664"/>
      <c r="B792" s="664"/>
      <c r="C792" s="664"/>
      <c r="D792" s="673"/>
      <c r="E792" s="685"/>
      <c r="F792" s="684"/>
      <c r="G792" s="663"/>
      <c r="H792" s="684"/>
      <c r="I792" s="672"/>
      <c r="J792" s="676">
        <f>SUM(J790:J791)</f>
        <v>137</v>
      </c>
    </row>
    <row r="793" spans="1:10" s="644" customFormat="1">
      <c r="A793" s="664"/>
      <c r="B793" s="664"/>
      <c r="C793" s="664"/>
      <c r="D793" s="669" t="s">
        <v>2380</v>
      </c>
      <c r="E793" s="685"/>
      <c r="F793" s="684"/>
      <c r="G793" s="663"/>
      <c r="H793" s="684"/>
      <c r="I793" s="672"/>
      <c r="J793" s="693">
        <f>ROUND(J792,0)</f>
        <v>137</v>
      </c>
    </row>
    <row r="794" spans="1:10" s="644" customFormat="1">
      <c r="A794" s="664"/>
      <c r="B794" s="664"/>
      <c r="C794" s="664"/>
      <c r="D794" s="669"/>
      <c r="E794" s="685"/>
      <c r="F794" s="684"/>
      <c r="G794" s="663"/>
      <c r="H794" s="684"/>
      <c r="I794" s="672"/>
      <c r="J794" s="693"/>
    </row>
    <row r="795" spans="1:10" s="644" customFormat="1">
      <c r="A795" s="668"/>
      <c r="B795" s="664"/>
      <c r="C795" s="664"/>
      <c r="D795" s="669"/>
      <c r="E795" s="685"/>
      <c r="F795" s="684"/>
      <c r="G795" s="663"/>
      <c r="H795" s="684"/>
      <c r="I795" s="686"/>
      <c r="J795" s="676"/>
    </row>
    <row r="796" spans="1:10" s="644" customFormat="1">
      <c r="A796" s="653">
        <f>SUM(MAX($A$7:$A795),1)</f>
        <v>43</v>
      </c>
      <c r="B796" s="654"/>
      <c r="C796" s="654"/>
      <c r="D796" s="2155" t="s">
        <v>3025</v>
      </c>
      <c r="E796" s="2155"/>
      <c r="F796" s="2155"/>
      <c r="G796" s="2155"/>
      <c r="H796" s="2155"/>
      <c r="I796" s="2155"/>
      <c r="J796" s="2155"/>
    </row>
    <row r="797" spans="1:10" s="644" customFormat="1">
      <c r="A797" s="668"/>
      <c r="B797" s="654"/>
      <c r="C797" s="654"/>
      <c r="D797" s="682" t="s">
        <v>2754</v>
      </c>
      <c r="E797" s="679"/>
      <c r="F797" s="645"/>
      <c r="G797" s="661"/>
      <c r="H797" s="645"/>
      <c r="I797" s="657"/>
      <c r="J797" s="694"/>
    </row>
    <row r="798" spans="1:10" s="644" customFormat="1">
      <c r="A798" s="668"/>
      <c r="B798" s="654">
        <v>1</v>
      </c>
      <c r="C798" s="654"/>
      <c r="D798" s="645" t="s">
        <v>2740</v>
      </c>
      <c r="E798" s="679">
        <v>0.05</v>
      </c>
      <c r="F798" s="680" t="s">
        <v>1738</v>
      </c>
      <c r="G798" s="661">
        <v>1</v>
      </c>
      <c r="H798" s="680" t="s">
        <v>1738</v>
      </c>
      <c r="I798" s="657">
        <f>IF(B798=$B$2,$G$2,IF(B798=$B$3,$G$3,IF(B798=$B$4,$G$4,IF(B798=$B$5,$G$5,IF(B798=$B$6,$G$6,IF(B798=$B$7,$G$7,FALSE))))))</f>
        <v>660</v>
      </c>
      <c r="J798" s="694">
        <f>SUM(E798*I798/G798)</f>
        <v>33</v>
      </c>
    </row>
    <row r="799" spans="1:10" s="644" customFormat="1">
      <c r="A799" s="668"/>
      <c r="B799" s="654">
        <v>3</v>
      </c>
      <c r="C799" s="654"/>
      <c r="D799" s="645" t="s">
        <v>2742</v>
      </c>
      <c r="E799" s="679">
        <v>0.05</v>
      </c>
      <c r="F799" s="680" t="s">
        <v>1738</v>
      </c>
      <c r="G799" s="661">
        <v>1</v>
      </c>
      <c r="H799" s="680" t="s">
        <v>1738</v>
      </c>
      <c r="I799" s="657">
        <f>IF(B799=$B$2,$G$2,IF(B799=$B$3,$G$3,IF(B799=$B$4,$G$4,IF(B799=$B$5,$G$5,IF(B799=$B$6,$G$6,IF(B799=$B$7,$G$7,FALSE))))))</f>
        <v>550</v>
      </c>
      <c r="J799" s="657">
        <f>SUM(E799*I799/G799)</f>
        <v>27.5</v>
      </c>
    </row>
    <row r="800" spans="1:10" s="644" customFormat="1">
      <c r="A800" s="668"/>
      <c r="B800" s="654"/>
      <c r="C800" s="654"/>
      <c r="D800" s="682" t="s">
        <v>2829</v>
      </c>
      <c r="E800" s="679"/>
      <c r="F800" s="680"/>
      <c r="G800" s="661"/>
      <c r="H800" s="680"/>
      <c r="I800" s="657"/>
      <c r="J800" s="676">
        <f>SUM(J798:J799)</f>
        <v>60.5</v>
      </c>
    </row>
    <row r="801" spans="1:10" s="644" customFormat="1">
      <c r="A801" s="668"/>
      <c r="B801" s="654"/>
      <c r="C801" s="654"/>
      <c r="D801" s="696" t="s">
        <v>1879</v>
      </c>
      <c r="E801" s="679"/>
      <c r="F801" s="680"/>
      <c r="G801" s="661"/>
      <c r="H801" s="680"/>
      <c r="I801" s="657"/>
      <c r="J801" s="694"/>
    </row>
    <row r="802" spans="1:10" s="644" customFormat="1" ht="25.5">
      <c r="A802" s="668"/>
      <c r="B802" s="735" t="s">
        <v>3026</v>
      </c>
      <c r="C802" s="735" t="s">
        <v>1184</v>
      </c>
      <c r="D802" s="775" t="s">
        <v>3027</v>
      </c>
      <c r="E802" s="757">
        <v>1</v>
      </c>
      <c r="F802" s="776" t="s">
        <v>955</v>
      </c>
      <c r="G802" s="735">
        <v>1</v>
      </c>
      <c r="H802" s="776" t="s">
        <v>1509</v>
      </c>
      <c r="I802" s="757">
        <v>27</v>
      </c>
      <c r="J802" s="657">
        <f>SUM(E802*I802/G802)</f>
        <v>27</v>
      </c>
    </row>
    <row r="803" spans="1:10" s="644" customFormat="1" ht="38.25">
      <c r="A803" s="668"/>
      <c r="B803" s="735" t="s">
        <v>3028</v>
      </c>
      <c r="C803" s="735" t="s">
        <v>1180</v>
      </c>
      <c r="D803" s="682" t="s">
        <v>3029</v>
      </c>
      <c r="E803" s="757">
        <v>1</v>
      </c>
      <c r="F803" s="776" t="s">
        <v>955</v>
      </c>
      <c r="G803" s="735">
        <v>1</v>
      </c>
      <c r="H803" s="776" t="s">
        <v>1509</v>
      </c>
      <c r="I803" s="657">
        <v>55</v>
      </c>
      <c r="J803" s="657">
        <f>SUM(E803*I803/G803)</f>
        <v>55</v>
      </c>
    </row>
    <row r="804" spans="1:10" s="644" customFormat="1">
      <c r="A804" s="668"/>
      <c r="B804" s="677"/>
      <c r="C804" s="677"/>
      <c r="D804" s="682"/>
      <c r="E804" s="678"/>
      <c r="F804" s="678"/>
      <c r="G804" s="678"/>
      <c r="H804" s="678"/>
      <c r="I804" s="678"/>
      <c r="J804" s="678"/>
    </row>
    <row r="805" spans="1:10" s="644" customFormat="1">
      <c r="A805" s="668"/>
      <c r="B805" s="654"/>
      <c r="C805" s="654"/>
      <c r="D805" s="696" t="s">
        <v>2996</v>
      </c>
      <c r="E805" s="679"/>
      <c r="F805" s="680"/>
      <c r="G805" s="661"/>
      <c r="H805" s="680"/>
      <c r="I805" s="657"/>
      <c r="J805" s="694">
        <f>SUM(J802:J803)</f>
        <v>82</v>
      </c>
    </row>
    <row r="806" spans="1:10" s="644" customFormat="1" ht="25.5">
      <c r="A806" s="668"/>
      <c r="B806" s="654"/>
      <c r="C806" s="654"/>
      <c r="D806" s="656" t="s">
        <v>2766</v>
      </c>
      <c r="E806" s="679"/>
      <c r="F806" s="680"/>
      <c r="G806" s="661"/>
      <c r="H806" s="680"/>
      <c r="I806" s="657"/>
      <c r="J806" s="655">
        <f>ROUNDDOWN(J800+J805,0)</f>
        <v>142</v>
      </c>
    </row>
    <row r="807" spans="1:10" s="644" customFormat="1">
      <c r="A807" s="668"/>
      <c r="B807" s="664"/>
      <c r="C807" s="664"/>
      <c r="D807" s="669" t="s">
        <v>2767</v>
      </c>
      <c r="E807" s="670">
        <f>$E$9</f>
        <v>0</v>
      </c>
      <c r="F807" s="684"/>
      <c r="G807" s="663"/>
      <c r="H807" s="684"/>
      <c r="I807" s="672"/>
      <c r="J807" s="676">
        <f>J806*E807</f>
        <v>0</v>
      </c>
    </row>
    <row r="808" spans="1:10" s="644" customFormat="1">
      <c r="A808" s="668"/>
      <c r="B808" s="664"/>
      <c r="C808" s="664"/>
      <c r="D808" s="673"/>
      <c r="E808" s="685"/>
      <c r="F808" s="684"/>
      <c r="G808" s="663"/>
      <c r="H808" s="684"/>
      <c r="I808" s="672"/>
      <c r="J808" s="676">
        <f>SUM(J806:J807)</f>
        <v>142</v>
      </c>
    </row>
    <row r="809" spans="1:10" s="644" customFormat="1">
      <c r="A809" s="668"/>
      <c r="B809" s="664"/>
      <c r="C809" s="664"/>
      <c r="D809" s="669" t="s">
        <v>2380</v>
      </c>
      <c r="E809" s="685"/>
      <c r="F809" s="684"/>
      <c r="G809" s="663"/>
      <c r="H809" s="684"/>
      <c r="I809" s="686"/>
      <c r="J809" s="693">
        <f>ROUND(J808,0)</f>
        <v>142</v>
      </c>
    </row>
    <row r="810" spans="1:10" s="644" customFormat="1">
      <c r="A810" s="668"/>
      <c r="B810" s="664"/>
      <c r="C810" s="664"/>
      <c r="D810" s="669"/>
      <c r="E810" s="685"/>
      <c r="F810" s="684"/>
      <c r="G810" s="663"/>
      <c r="H810" s="684"/>
      <c r="I810" s="686"/>
      <c r="J810" s="676"/>
    </row>
    <row r="811" spans="1:10" s="644" customFormat="1">
      <c r="A811" s="653">
        <f>SUM(MAX($A$7:$A810),1)</f>
        <v>44</v>
      </c>
      <c r="B811" s="654"/>
      <c r="C811" s="654"/>
      <c r="D811" s="2155" t="s">
        <v>3030</v>
      </c>
      <c r="E811" s="2155"/>
      <c r="F811" s="2155"/>
      <c r="G811" s="2155"/>
      <c r="H811" s="2155"/>
      <c r="I811" s="2155"/>
      <c r="J811" s="2155"/>
    </row>
    <row r="812" spans="1:10" s="644" customFormat="1">
      <c r="A812" s="668"/>
      <c r="B812" s="654"/>
      <c r="C812" s="654"/>
      <c r="D812" s="682" t="s">
        <v>2754</v>
      </c>
      <c r="E812" s="679"/>
      <c r="F812" s="645"/>
      <c r="G812" s="661"/>
      <c r="H812" s="645"/>
      <c r="I812" s="657"/>
      <c r="J812" s="694"/>
    </row>
    <row r="813" spans="1:10" s="644" customFormat="1">
      <c r="A813" s="668"/>
      <c r="B813" s="654">
        <v>1</v>
      </c>
      <c r="C813" s="654"/>
      <c r="D813" s="645" t="s">
        <v>2740</v>
      </c>
      <c r="E813" s="679">
        <v>0.05</v>
      </c>
      <c r="F813" s="680" t="s">
        <v>1738</v>
      </c>
      <c r="G813" s="661">
        <v>1</v>
      </c>
      <c r="H813" s="680" t="s">
        <v>1738</v>
      </c>
      <c r="I813" s="657">
        <f>IF(B813=$B$2,$G$2,IF(B813=$B$3,$G$3,IF(B813=$B$4,$G$4,IF(B813=$B$5,$G$5,IF(B813=$B$6,$G$6,IF(B813=$B$7,$G$7,FALSE))))))</f>
        <v>660</v>
      </c>
      <c r="J813" s="694">
        <f>SUM(E813*I813/G813)</f>
        <v>33</v>
      </c>
    </row>
    <row r="814" spans="1:10" s="644" customFormat="1">
      <c r="A814" s="668"/>
      <c r="B814" s="654">
        <v>3</v>
      </c>
      <c r="C814" s="654"/>
      <c r="D814" s="645" t="s">
        <v>2742</v>
      </c>
      <c r="E814" s="679">
        <v>5.5E-2</v>
      </c>
      <c r="F814" s="680" t="s">
        <v>1738</v>
      </c>
      <c r="G814" s="661">
        <v>1</v>
      </c>
      <c r="H814" s="680" t="s">
        <v>1738</v>
      </c>
      <c r="I814" s="657">
        <f>IF(B814=$B$2,$G$2,IF(B814=$B$3,$G$3,IF(B814=$B$4,$G$4,IF(B814=$B$5,$G$5,IF(B814=$B$6,$G$6,IF(B814=$B$7,$G$7,FALSE))))))</f>
        <v>550</v>
      </c>
      <c r="J814" s="657">
        <f>SUM(E814*I814/G814)</f>
        <v>30.25</v>
      </c>
    </row>
    <row r="815" spans="1:10" s="644" customFormat="1">
      <c r="A815" s="668"/>
      <c r="B815" s="654"/>
      <c r="C815" s="654"/>
      <c r="D815" s="682" t="s">
        <v>2829</v>
      </c>
      <c r="E815" s="679"/>
      <c r="F815" s="680"/>
      <c r="G815" s="661"/>
      <c r="H815" s="680"/>
      <c r="I815" s="657"/>
      <c r="J815" s="694">
        <f>SUM(J813:J814)</f>
        <v>63.25</v>
      </c>
    </row>
    <row r="816" spans="1:10" s="644" customFormat="1">
      <c r="A816" s="668"/>
      <c r="B816" s="654"/>
      <c r="C816" s="654"/>
      <c r="D816" s="696" t="s">
        <v>1879</v>
      </c>
      <c r="E816" s="679"/>
      <c r="F816" s="680"/>
      <c r="G816" s="661"/>
      <c r="H816" s="680"/>
      <c r="I816" s="657"/>
      <c r="J816" s="694"/>
    </row>
    <row r="817" spans="1:10" s="644" customFormat="1" ht="25.5">
      <c r="A817" s="668"/>
      <c r="B817" s="658" t="s">
        <v>3026</v>
      </c>
      <c r="C817" s="658" t="s">
        <v>1184</v>
      </c>
      <c r="D817" s="775" t="s">
        <v>3031</v>
      </c>
      <c r="E817" s="757">
        <v>1</v>
      </c>
      <c r="F817" s="776" t="s">
        <v>955</v>
      </c>
      <c r="G817" s="735">
        <v>1</v>
      </c>
      <c r="H817" s="776" t="s">
        <v>1509</v>
      </c>
      <c r="I817" s="657">
        <v>27</v>
      </c>
      <c r="J817" s="657">
        <f>SUM(E817*I817/G817)</f>
        <v>27</v>
      </c>
    </row>
    <row r="818" spans="1:10" s="644" customFormat="1" ht="38.25">
      <c r="A818" s="668"/>
      <c r="B818" s="654" t="s">
        <v>3028</v>
      </c>
      <c r="C818" s="661" t="s">
        <v>1186</v>
      </c>
      <c r="D818" s="682" t="s">
        <v>3032</v>
      </c>
      <c r="E818" s="695">
        <v>1</v>
      </c>
      <c r="F818" s="645" t="s">
        <v>955</v>
      </c>
      <c r="G818" s="661">
        <v>1</v>
      </c>
      <c r="H818" s="645" t="s">
        <v>1509</v>
      </c>
      <c r="I818" s="657">
        <v>266</v>
      </c>
      <c r="J818" s="657">
        <f>SUM(E818*I818/G818)</f>
        <v>266</v>
      </c>
    </row>
    <row r="819" spans="1:10" s="644" customFormat="1">
      <c r="A819" s="668"/>
      <c r="B819" s="677"/>
      <c r="C819" s="677"/>
      <c r="D819" s="682"/>
      <c r="E819" s="678"/>
      <c r="F819" s="678"/>
      <c r="G819" s="678"/>
      <c r="H819" s="678"/>
      <c r="I819" s="678"/>
      <c r="J819" s="678"/>
    </row>
    <row r="820" spans="1:10" s="644" customFormat="1">
      <c r="A820" s="668"/>
      <c r="B820" s="654"/>
      <c r="C820" s="654"/>
      <c r="D820" s="696" t="s">
        <v>2996</v>
      </c>
      <c r="E820" s="679"/>
      <c r="F820" s="680"/>
      <c r="G820" s="661"/>
      <c r="H820" s="680"/>
      <c r="I820" s="657"/>
      <c r="J820" s="694">
        <f>SUM(J817:J818)</f>
        <v>293</v>
      </c>
    </row>
    <row r="821" spans="1:10" s="644" customFormat="1" ht="25.5">
      <c r="A821" s="668"/>
      <c r="B821" s="654"/>
      <c r="C821" s="654"/>
      <c r="D821" s="656" t="s">
        <v>2766</v>
      </c>
      <c r="E821" s="679"/>
      <c r="F821" s="680"/>
      <c r="G821" s="661"/>
      <c r="H821" s="680"/>
      <c r="I821" s="657"/>
      <c r="J821" s="655">
        <f>ROUNDDOWN(J815+J820,0)</f>
        <v>356</v>
      </c>
    </row>
    <row r="822" spans="1:10" s="644" customFormat="1">
      <c r="A822" s="668"/>
      <c r="B822" s="664"/>
      <c r="C822" s="664"/>
      <c r="D822" s="669" t="s">
        <v>2767</v>
      </c>
      <c r="E822" s="670">
        <f>$E$9</f>
        <v>0</v>
      </c>
      <c r="F822" s="684"/>
      <c r="G822" s="663"/>
      <c r="H822" s="684"/>
      <c r="I822" s="672"/>
      <c r="J822" s="676">
        <f>J821*E822</f>
        <v>0</v>
      </c>
    </row>
    <row r="823" spans="1:10" s="644" customFormat="1">
      <c r="A823" s="668"/>
      <c r="B823" s="664"/>
      <c r="C823" s="664"/>
      <c r="D823" s="673"/>
      <c r="E823" s="685"/>
      <c r="F823" s="684"/>
      <c r="G823" s="663"/>
      <c r="H823" s="684"/>
      <c r="I823" s="672"/>
      <c r="J823" s="676">
        <f>SUM(J821:J822)</f>
        <v>356</v>
      </c>
    </row>
    <row r="824" spans="1:10" s="644" customFormat="1">
      <c r="A824" s="668"/>
      <c r="B824" s="664"/>
      <c r="C824" s="664"/>
      <c r="D824" s="669" t="s">
        <v>2380</v>
      </c>
      <c r="E824" s="685"/>
      <c r="F824" s="684"/>
      <c r="G824" s="663"/>
      <c r="H824" s="684"/>
      <c r="I824" s="686"/>
      <c r="J824" s="693">
        <f>ROUND(J823,0)</f>
        <v>356</v>
      </c>
    </row>
    <row r="825" spans="1:10" s="644" customFormat="1">
      <c r="A825" s="664"/>
      <c r="B825" s="664"/>
      <c r="C825" s="664"/>
      <c r="D825" s="669"/>
      <c r="E825" s="685"/>
      <c r="F825" s="684"/>
      <c r="G825" s="663"/>
      <c r="H825" s="684"/>
      <c r="I825" s="672"/>
      <c r="J825" s="676"/>
    </row>
    <row r="826" spans="1:10" s="778" customFormat="1">
      <c r="A826" s="777" t="s">
        <v>3033</v>
      </c>
      <c r="B826" s="777"/>
      <c r="C826" s="777"/>
      <c r="D826" s="2168" t="s">
        <v>3034</v>
      </c>
      <c r="E826" s="2168"/>
      <c r="F826" s="2168"/>
      <c r="G826" s="2168"/>
      <c r="H826" s="2168"/>
      <c r="I826" s="2168"/>
      <c r="J826" s="2168"/>
    </row>
    <row r="827" spans="1:10" s="778" customFormat="1" ht="357">
      <c r="A827" s="779">
        <f>SUM(MAX($A$7:$A825),1)</f>
        <v>45</v>
      </c>
      <c r="B827" s="777" t="s">
        <v>3035</v>
      </c>
      <c r="C827" s="777"/>
      <c r="D827" s="960" t="s">
        <v>3036</v>
      </c>
      <c r="E827" s="781" t="s">
        <v>501</v>
      </c>
      <c r="F827" s="782">
        <v>1</v>
      </c>
      <c r="G827" s="783">
        <v>1</v>
      </c>
      <c r="H827" s="784" t="s">
        <v>955</v>
      </c>
      <c r="I827" s="785">
        <v>3060</v>
      </c>
      <c r="J827" s="786">
        <f>I827*F827</f>
        <v>3060</v>
      </c>
    </row>
    <row r="828" spans="1:10" s="778" customFormat="1">
      <c r="A828" s="782"/>
      <c r="B828" s="777"/>
      <c r="C828" s="777"/>
      <c r="D828" s="787" t="s">
        <v>2767</v>
      </c>
      <c r="E828" s="788">
        <f>$E$9</f>
        <v>0</v>
      </c>
      <c r="F828" s="789"/>
      <c r="G828" s="790"/>
      <c r="H828" s="789"/>
      <c r="I828" s="791"/>
      <c r="J828" s="792">
        <f>J827*E828</f>
        <v>0</v>
      </c>
    </row>
    <row r="829" spans="1:10" s="778" customFormat="1">
      <c r="A829" s="782"/>
      <c r="B829" s="777"/>
      <c r="C829" s="777"/>
      <c r="D829" s="793"/>
      <c r="E829" s="794"/>
      <c r="F829" s="789"/>
      <c r="G829" s="790"/>
      <c r="H829" s="789"/>
      <c r="I829" s="791"/>
      <c r="J829" s="792">
        <f>SUM(J827:J828)</f>
        <v>3060</v>
      </c>
    </row>
    <row r="830" spans="1:10" s="778" customFormat="1">
      <c r="A830" s="782"/>
      <c r="B830" s="777"/>
      <c r="C830" s="777"/>
      <c r="D830" s="795" t="s">
        <v>2380</v>
      </c>
      <c r="E830" s="794"/>
      <c r="F830" s="789"/>
      <c r="G830" s="790"/>
      <c r="H830" s="789"/>
      <c r="I830" s="791"/>
      <c r="J830" s="796">
        <f>ROUND(J829,0)</f>
        <v>3060</v>
      </c>
    </row>
    <row r="831" spans="1:10" s="801" customFormat="1">
      <c r="A831" s="777"/>
      <c r="B831" s="777"/>
      <c r="C831" s="777"/>
      <c r="D831" s="777"/>
      <c r="E831" s="797"/>
      <c r="F831" s="777"/>
      <c r="G831" s="798"/>
      <c r="H831" s="799"/>
      <c r="I831" s="785"/>
      <c r="J831" s="800"/>
    </row>
    <row r="832" spans="1:10" s="778" customFormat="1" ht="344.25">
      <c r="A832" s="779"/>
      <c r="B832" s="777" t="s">
        <v>3037</v>
      </c>
      <c r="C832" s="777"/>
      <c r="D832" s="780" t="s">
        <v>3038</v>
      </c>
      <c r="E832" s="781" t="s">
        <v>501</v>
      </c>
      <c r="F832" s="782">
        <v>1</v>
      </c>
      <c r="G832" s="783">
        <v>1</v>
      </c>
      <c r="H832" s="784" t="s">
        <v>955</v>
      </c>
      <c r="I832" s="785">
        <v>3366</v>
      </c>
      <c r="J832" s="786">
        <f>I832*F832</f>
        <v>3366</v>
      </c>
    </row>
    <row r="833" spans="1:10" s="778" customFormat="1">
      <c r="A833" s="782"/>
      <c r="B833" s="777"/>
      <c r="C833" s="777"/>
      <c r="D833" s="787" t="s">
        <v>2767</v>
      </c>
      <c r="E833" s="788">
        <f>$E$9</f>
        <v>0</v>
      </c>
      <c r="F833" s="789"/>
      <c r="G833" s="790"/>
      <c r="H833" s="789"/>
      <c r="I833" s="791"/>
      <c r="J833" s="792">
        <f>J832*E833</f>
        <v>0</v>
      </c>
    </row>
    <row r="834" spans="1:10" s="778" customFormat="1">
      <c r="A834" s="782"/>
      <c r="B834" s="777"/>
      <c r="C834" s="777"/>
      <c r="D834" s="793"/>
      <c r="E834" s="794"/>
      <c r="F834" s="789"/>
      <c r="G834" s="790"/>
      <c r="H834" s="789"/>
      <c r="I834" s="791"/>
      <c r="J834" s="792">
        <f>SUM(J832:J833)</f>
        <v>3366</v>
      </c>
    </row>
    <row r="835" spans="1:10" s="778" customFormat="1">
      <c r="A835" s="782"/>
      <c r="B835" s="777"/>
      <c r="C835" s="777"/>
      <c r="D835" s="795" t="s">
        <v>2380</v>
      </c>
      <c r="E835" s="794"/>
      <c r="F835" s="789"/>
      <c r="G835" s="790"/>
      <c r="H835" s="789"/>
      <c r="I835" s="791"/>
      <c r="J835" s="796">
        <f>ROUND(J834,0)</f>
        <v>3366</v>
      </c>
    </row>
    <row r="836" spans="1:10" s="644" customFormat="1">
      <c r="A836" s="668"/>
      <c r="B836" s="664"/>
      <c r="C836" s="664"/>
      <c r="D836" s="691"/>
      <c r="E836" s="685"/>
      <c r="F836" s="684"/>
      <c r="G836" s="663"/>
      <c r="H836" s="684"/>
      <c r="I836" s="675"/>
      <c r="J836" s="693"/>
    </row>
    <row r="837" spans="1:10" s="644" customFormat="1" ht="45" customHeight="1">
      <c r="A837" s="653">
        <f>SUM(MAX($A$7:$A836),1)</f>
        <v>46</v>
      </c>
      <c r="B837" s="665"/>
      <c r="C837" s="665"/>
      <c r="D837" s="2155" t="s">
        <v>2734</v>
      </c>
      <c r="E837" s="2155"/>
      <c r="F837" s="2155"/>
      <c r="G837" s="2155"/>
      <c r="H837" s="2155"/>
      <c r="I837" s="2155"/>
      <c r="J837" s="2155"/>
    </row>
    <row r="838" spans="1:10" s="644" customFormat="1">
      <c r="A838" s="668"/>
      <c r="B838" s="654"/>
      <c r="C838" s="654"/>
      <c r="D838" s="802" t="s">
        <v>2985</v>
      </c>
      <c r="E838" s="679"/>
      <c r="F838" s="645"/>
      <c r="G838" s="661"/>
      <c r="H838" s="645"/>
      <c r="I838" s="657"/>
      <c r="J838" s="694"/>
    </row>
    <row r="839" spans="1:10" s="644" customFormat="1">
      <c r="A839" s="668"/>
      <c r="B839" s="654">
        <v>2</v>
      </c>
      <c r="C839" s="654"/>
      <c r="D839" s="645" t="s">
        <v>2741</v>
      </c>
      <c r="E839" s="679">
        <v>0.05</v>
      </c>
      <c r="F839" s="645" t="s">
        <v>955</v>
      </c>
      <c r="G839" s="661">
        <v>1</v>
      </c>
      <c r="H839" s="645" t="s">
        <v>955</v>
      </c>
      <c r="I839" s="657">
        <f>IF(B839=$B$2,$G$2,IF(B839=$B$3,$G$3,IF(B839=$B$4,$G$4,IF(B839=$B$5,$G$5,IF(B839=$B$6,$G$6,IF(B839=$B$7,$G$7,FALSE))))))</f>
        <v>550</v>
      </c>
      <c r="J839" s="694">
        <f>SUM(E839*I839/G839)</f>
        <v>27.5</v>
      </c>
    </row>
    <row r="840" spans="1:10" s="644" customFormat="1">
      <c r="A840" s="668"/>
      <c r="B840" s="654"/>
      <c r="C840" s="654"/>
      <c r="D840" s="682" t="s">
        <v>2829</v>
      </c>
      <c r="E840" s="679"/>
      <c r="F840" s="680"/>
      <c r="G840" s="661"/>
      <c r="H840" s="680"/>
      <c r="I840" s="657"/>
      <c r="J840" s="694">
        <f>SUM(J839:J839)</f>
        <v>27.5</v>
      </c>
    </row>
    <row r="841" spans="1:10" s="644" customFormat="1">
      <c r="A841" s="668"/>
      <c r="B841" s="654"/>
      <c r="C841" s="654"/>
      <c r="D841" s="696" t="s">
        <v>3039</v>
      </c>
      <c r="E841" s="696"/>
      <c r="F841" s="696"/>
      <c r="G841" s="754"/>
      <c r="H841" s="696"/>
      <c r="I841" s="657"/>
      <c r="J841" s="696"/>
    </row>
    <row r="842" spans="1:10" s="644" customFormat="1">
      <c r="A842" s="668"/>
      <c r="B842" s="654" t="s">
        <v>2799</v>
      </c>
      <c r="C842" s="661" t="s">
        <v>3020</v>
      </c>
      <c r="D842" s="682" t="s">
        <v>3040</v>
      </c>
      <c r="E842" s="695">
        <v>1</v>
      </c>
      <c r="F842" s="645" t="s">
        <v>955</v>
      </c>
      <c r="G842" s="661">
        <v>1</v>
      </c>
      <c r="H842" s="645" t="s">
        <v>955</v>
      </c>
      <c r="I842" s="657">
        <v>592</v>
      </c>
      <c r="J842" s="694">
        <f>SUM(E842*I842/G842)</f>
        <v>592</v>
      </c>
    </row>
    <row r="843" spans="1:10" s="644" customFormat="1">
      <c r="A843" s="668"/>
      <c r="B843" s="654"/>
      <c r="C843" s="654"/>
      <c r="D843" s="682" t="s">
        <v>2832</v>
      </c>
      <c r="E843" s="679"/>
      <c r="F843" s="645"/>
      <c r="G843" s="661"/>
      <c r="H843" s="645"/>
      <c r="I843" s="657"/>
      <c r="J843" s="694">
        <f>SUM(J842:J842)</f>
        <v>592</v>
      </c>
    </row>
    <row r="844" spans="1:10" s="644" customFormat="1" ht="25.5">
      <c r="A844" s="668"/>
      <c r="B844" s="654"/>
      <c r="C844" s="654"/>
      <c r="D844" s="656" t="s">
        <v>2766</v>
      </c>
      <c r="E844" s="662"/>
      <c r="F844" s="662"/>
      <c r="G844" s="654"/>
      <c r="H844" s="662"/>
      <c r="I844" s="675"/>
      <c r="J844" s="655">
        <f>ROUNDDOWN(J840+J843,0)</f>
        <v>619</v>
      </c>
    </row>
    <row r="845" spans="1:10" s="644" customFormat="1">
      <c r="A845" s="668"/>
      <c r="B845" s="664"/>
      <c r="C845" s="664"/>
      <c r="D845" s="669" t="s">
        <v>2767</v>
      </c>
      <c r="E845" s="670">
        <f>$E$9</f>
        <v>0</v>
      </c>
      <c r="F845" s="684"/>
      <c r="G845" s="663"/>
      <c r="H845" s="684"/>
      <c r="I845" s="675"/>
      <c r="J845" s="676">
        <f>J844*E845</f>
        <v>0</v>
      </c>
    </row>
    <row r="846" spans="1:10" s="644" customFormat="1">
      <c r="A846" s="668"/>
      <c r="B846" s="664"/>
      <c r="C846" s="664"/>
      <c r="D846" s="673"/>
      <c r="E846" s="685"/>
      <c r="F846" s="684"/>
      <c r="G846" s="663"/>
      <c r="H846" s="684"/>
      <c r="I846" s="675"/>
      <c r="J846" s="676">
        <f>SUM(J844:J845)</f>
        <v>619</v>
      </c>
    </row>
    <row r="847" spans="1:10" s="644" customFormat="1">
      <c r="A847" s="668"/>
      <c r="B847" s="664"/>
      <c r="C847" s="664"/>
      <c r="D847" s="691" t="s">
        <v>2380</v>
      </c>
      <c r="E847" s="685"/>
      <c r="F847" s="684"/>
      <c r="G847" s="663"/>
      <c r="H847" s="684"/>
      <c r="I847" s="675"/>
      <c r="J847" s="693">
        <f>ROUND(J846,0)</f>
        <v>619</v>
      </c>
    </row>
    <row r="848" spans="1:10" s="644" customFormat="1">
      <c r="A848" s="668"/>
      <c r="B848" s="664"/>
      <c r="C848" s="664"/>
      <c r="D848" s="691"/>
      <c r="E848" s="685"/>
      <c r="F848" s="684"/>
      <c r="G848" s="663"/>
      <c r="H848" s="684"/>
      <c r="I848" s="675"/>
      <c r="J848" s="693"/>
    </row>
    <row r="849" spans="1:10" s="644" customFormat="1">
      <c r="A849" s="653">
        <f>SUM(MAX($A$7:$A847),1)</f>
        <v>47</v>
      </c>
      <c r="B849" s="665"/>
      <c r="C849" s="665"/>
      <c r="D849" s="2155" t="s">
        <v>2735</v>
      </c>
      <c r="E849" s="2155"/>
      <c r="F849" s="2155"/>
      <c r="G849" s="2155"/>
      <c r="H849" s="2155"/>
      <c r="I849" s="2155"/>
      <c r="J849" s="2155"/>
    </row>
    <row r="850" spans="1:10" s="644" customFormat="1">
      <c r="A850" s="668"/>
      <c r="B850" s="654"/>
      <c r="C850" s="654"/>
      <c r="D850" s="802" t="s">
        <v>2985</v>
      </c>
      <c r="E850" s="679"/>
      <c r="F850" s="645"/>
      <c r="G850" s="661"/>
      <c r="H850" s="645"/>
      <c r="I850" s="657"/>
      <c r="J850" s="694"/>
    </row>
    <row r="851" spans="1:10" s="644" customFormat="1">
      <c r="A851" s="668"/>
      <c r="B851" s="654">
        <v>1</v>
      </c>
      <c r="C851" s="654"/>
      <c r="D851" s="645" t="s">
        <v>2740</v>
      </c>
      <c r="E851" s="699">
        <v>0.125</v>
      </c>
      <c r="F851" s="680" t="s">
        <v>1738</v>
      </c>
      <c r="G851" s="661">
        <v>1</v>
      </c>
      <c r="H851" s="680" t="s">
        <v>1738</v>
      </c>
      <c r="I851" s="657">
        <f>IF(B851=$B$2,$G$2,IF(B851=$B$3,$G$3,IF(B851=$B$4,$G$4,IF(B851=$B$5,$G$5,IF(B851=$B$6,$G$6,IF(B851=$B$7,$G$7,FALSE))))))</f>
        <v>660</v>
      </c>
      <c r="J851" s="694">
        <f>SUM(E851*I851/G851)</f>
        <v>82.5</v>
      </c>
    </row>
    <row r="852" spans="1:10" s="644" customFormat="1">
      <c r="A852" s="668"/>
      <c r="B852" s="654">
        <v>2</v>
      </c>
      <c r="C852" s="654"/>
      <c r="D852" s="645" t="s">
        <v>2742</v>
      </c>
      <c r="E852" s="699">
        <v>0.125</v>
      </c>
      <c r="F852" s="680" t="s">
        <v>1738</v>
      </c>
      <c r="G852" s="661">
        <v>1</v>
      </c>
      <c r="H852" s="680" t="s">
        <v>1738</v>
      </c>
      <c r="I852" s="657">
        <f>IF(B852=$B$2,$G$2,IF(B852=$B$3,$G$3,IF(B852=$B$4,$G$4,IF(B852=$B$5,$G$5,IF(B852=$B$6,$G$6,IF(B852=$B$7,$G$7,FALSE))))))</f>
        <v>550</v>
      </c>
      <c r="J852" s="657">
        <f>SUM(E852*I852/G852)</f>
        <v>68.75</v>
      </c>
    </row>
    <row r="853" spans="1:10" s="644" customFormat="1">
      <c r="A853" s="668"/>
      <c r="B853" s="654"/>
      <c r="C853" s="654"/>
      <c r="D853" s="682" t="s">
        <v>2829</v>
      </c>
      <c r="E853" s="679"/>
      <c r="F853" s="680"/>
      <c r="G853" s="661"/>
      <c r="H853" s="680"/>
      <c r="I853" s="657"/>
      <c r="J853" s="676">
        <f>SUM(J851:J852)</f>
        <v>151.25</v>
      </c>
    </row>
    <row r="854" spans="1:10" s="644" customFormat="1">
      <c r="A854" s="668"/>
      <c r="B854" s="654"/>
      <c r="C854" s="654"/>
      <c r="D854" s="696" t="s">
        <v>3039</v>
      </c>
      <c r="E854" s="679"/>
      <c r="F854" s="680"/>
      <c r="G854" s="661"/>
      <c r="H854" s="680"/>
      <c r="I854" s="657"/>
      <c r="J854" s="694"/>
    </row>
    <row r="855" spans="1:10" s="644" customFormat="1" ht="25.5">
      <c r="A855" s="668"/>
      <c r="B855" s="654" t="s">
        <v>3005</v>
      </c>
      <c r="C855" s="661"/>
      <c r="D855" s="682" t="s">
        <v>2999</v>
      </c>
      <c r="E855" s="679">
        <v>1</v>
      </c>
      <c r="F855" s="645" t="s">
        <v>2805</v>
      </c>
      <c r="G855" s="661">
        <v>100</v>
      </c>
      <c r="H855" s="645" t="s">
        <v>2805</v>
      </c>
      <c r="I855" s="657">
        <v>1200</v>
      </c>
      <c r="J855" s="694">
        <f>SUM(E855*I855/G855)</f>
        <v>12</v>
      </c>
    </row>
    <row r="856" spans="1:10" s="644" customFormat="1">
      <c r="A856" s="668"/>
      <c r="B856" s="654"/>
      <c r="C856" s="654"/>
      <c r="D856" s="682" t="s">
        <v>3041</v>
      </c>
      <c r="E856" s="679"/>
      <c r="F856" s="680"/>
      <c r="G856" s="661"/>
      <c r="H856" s="680"/>
      <c r="I856" s="657"/>
      <c r="J856" s="694">
        <f>SUM(J855:J855)</f>
        <v>12</v>
      </c>
    </row>
    <row r="857" spans="1:10" s="644" customFormat="1" ht="25.5">
      <c r="A857" s="668"/>
      <c r="B857" s="654"/>
      <c r="C857" s="654"/>
      <c r="D857" s="656" t="s">
        <v>2766</v>
      </c>
      <c r="E857" s="662"/>
      <c r="F857" s="662"/>
      <c r="G857" s="654"/>
      <c r="H857" s="662"/>
      <c r="I857" s="675"/>
      <c r="J857" s="655">
        <f>ROUNDDOWN(J853+J856,0)</f>
        <v>163</v>
      </c>
    </row>
    <row r="858" spans="1:10" s="644" customFormat="1">
      <c r="A858" s="668"/>
      <c r="B858" s="664"/>
      <c r="C858" s="664"/>
      <c r="D858" s="669" t="s">
        <v>2767</v>
      </c>
      <c r="E858" s="670">
        <f>$E$9</f>
        <v>0</v>
      </c>
      <c r="F858" s="684"/>
      <c r="G858" s="663"/>
      <c r="H858" s="684"/>
      <c r="I858" s="675"/>
      <c r="J858" s="676">
        <f>J857*E858</f>
        <v>0</v>
      </c>
    </row>
    <row r="859" spans="1:10" s="644" customFormat="1">
      <c r="A859" s="668"/>
      <c r="B859" s="664"/>
      <c r="C859" s="664"/>
      <c r="D859" s="673"/>
      <c r="E859" s="685"/>
      <c r="F859" s="684"/>
      <c r="G859" s="663"/>
      <c r="H859" s="684"/>
      <c r="I859" s="675"/>
      <c r="J859" s="676">
        <f>SUM(J857:J858)</f>
        <v>163</v>
      </c>
    </row>
    <row r="860" spans="1:10" s="644" customFormat="1">
      <c r="A860" s="668"/>
      <c r="B860" s="664"/>
      <c r="C860" s="664"/>
      <c r="D860" s="691" t="s">
        <v>2380</v>
      </c>
      <c r="E860" s="685"/>
      <c r="F860" s="684"/>
      <c r="G860" s="663"/>
      <c r="H860" s="684"/>
      <c r="I860" s="675"/>
      <c r="J860" s="693">
        <f>ROUND(J859,0)</f>
        <v>163</v>
      </c>
    </row>
    <row r="861" spans="1:10" s="644" customFormat="1">
      <c r="A861" s="668"/>
      <c r="B861" s="664"/>
      <c r="C861" s="664"/>
      <c r="D861" s="691"/>
      <c r="E861" s="685"/>
      <c r="F861" s="684"/>
      <c r="G861" s="663"/>
      <c r="H861" s="684"/>
      <c r="I861" s="675"/>
      <c r="J861" s="693"/>
    </row>
    <row r="862" spans="1:10" s="644" customFormat="1" ht="54" customHeight="1">
      <c r="A862" s="653">
        <f>SUM(MAX($A$7:$A861),1)</f>
        <v>48</v>
      </c>
      <c r="B862" s="665"/>
      <c r="C862" s="665"/>
      <c r="D862" s="2155" t="s">
        <v>2738</v>
      </c>
      <c r="E862" s="2155"/>
      <c r="F862" s="2155"/>
      <c r="G862" s="2155"/>
      <c r="H862" s="2155"/>
      <c r="I862" s="2155"/>
      <c r="J862" s="2155"/>
    </row>
    <row r="863" spans="1:10" s="644" customFormat="1">
      <c r="A863" s="668"/>
      <c r="B863" s="654"/>
      <c r="C863" s="654"/>
      <c r="D863" s="802" t="s">
        <v>2985</v>
      </c>
      <c r="E863" s="679"/>
      <c r="F863" s="645"/>
      <c r="G863" s="661"/>
      <c r="H863" s="645"/>
      <c r="I863" s="657"/>
      <c r="J863" s="694"/>
    </row>
    <row r="864" spans="1:10" s="644" customFormat="1">
      <c r="A864" s="668"/>
      <c r="B864" s="654">
        <v>3</v>
      </c>
      <c r="C864" s="654"/>
      <c r="D864" s="645" t="s">
        <v>2742</v>
      </c>
      <c r="E864" s="699">
        <v>0.1</v>
      </c>
      <c r="F864" s="680" t="s">
        <v>1738</v>
      </c>
      <c r="G864" s="661">
        <v>1</v>
      </c>
      <c r="H864" s="680" t="s">
        <v>1738</v>
      </c>
      <c r="I864" s="657">
        <f>IF(B864=$B$2,$G$2,IF(B864=$B$3,$G$3,IF(B864=$B$4,$G$4,IF(B864=$B$5,$G$5,IF(B864=$B$6,$G$6,IF(B864=$B$7,$G$7,FALSE))))))</f>
        <v>550</v>
      </c>
      <c r="J864" s="657">
        <f>SUM(E864*I864/G864)</f>
        <v>55</v>
      </c>
    </row>
    <row r="865" spans="1:10" s="644" customFormat="1">
      <c r="A865" s="668"/>
      <c r="B865" s="654"/>
      <c r="C865" s="654"/>
      <c r="D865" s="682" t="s">
        <v>2829</v>
      </c>
      <c r="E865" s="679"/>
      <c r="F865" s="680"/>
      <c r="G865" s="661"/>
      <c r="H865" s="680"/>
      <c r="I865" s="657"/>
      <c r="J865" s="676">
        <f>SUM(J864:J864)</f>
        <v>55</v>
      </c>
    </row>
    <row r="866" spans="1:10" s="644" customFormat="1">
      <c r="A866" s="668"/>
      <c r="B866" s="654"/>
      <c r="C866" s="654"/>
      <c r="D866" s="696" t="s">
        <v>3039</v>
      </c>
      <c r="E866" s="679"/>
      <c r="F866" s="680"/>
      <c r="G866" s="661"/>
      <c r="H866" s="680"/>
      <c r="I866" s="657"/>
      <c r="J866" s="694"/>
    </row>
    <row r="867" spans="1:10" s="644" customFormat="1" ht="38.25">
      <c r="A867" s="668"/>
      <c r="B867" s="654" t="s">
        <v>3042</v>
      </c>
      <c r="C867" s="661"/>
      <c r="D867" s="682" t="s">
        <v>3043</v>
      </c>
      <c r="E867" s="679">
        <v>1</v>
      </c>
      <c r="F867" s="645" t="s">
        <v>2805</v>
      </c>
      <c r="G867" s="661">
        <v>1</v>
      </c>
      <c r="H867" s="645" t="s">
        <v>2805</v>
      </c>
      <c r="I867" s="657">
        <v>110</v>
      </c>
      <c r="J867" s="694">
        <f>SUM(E867*I867/G867)</f>
        <v>110</v>
      </c>
    </row>
    <row r="868" spans="1:10" s="644" customFormat="1" ht="25.5">
      <c r="A868" s="668"/>
      <c r="B868" s="654"/>
      <c r="C868" s="654"/>
      <c r="D868" s="656" t="s">
        <v>2766</v>
      </c>
      <c r="E868" s="662"/>
      <c r="F868" s="662"/>
      <c r="G868" s="654"/>
      <c r="H868" s="662"/>
      <c r="I868" s="672"/>
      <c r="J868" s="771">
        <f>SUM(J865:J867)</f>
        <v>165</v>
      </c>
    </row>
    <row r="869" spans="1:10" s="644" customFormat="1" ht="38.25">
      <c r="A869" s="668"/>
      <c r="B869" s="654"/>
      <c r="C869" s="654"/>
      <c r="D869" s="682" t="s">
        <v>3044</v>
      </c>
      <c r="E869" s="679">
        <v>0.23</v>
      </c>
      <c r="F869" s="645" t="s">
        <v>2805</v>
      </c>
      <c r="G869" s="661">
        <v>1</v>
      </c>
      <c r="H869" s="645" t="s">
        <v>2805</v>
      </c>
      <c r="I869" s="657">
        <v>100</v>
      </c>
      <c r="J869" s="694">
        <f>SUM(E869*I869/G869)</f>
        <v>23</v>
      </c>
    </row>
    <row r="870" spans="1:10" s="644" customFormat="1">
      <c r="A870" s="668"/>
      <c r="B870" s="654"/>
      <c r="C870" s="654"/>
      <c r="D870" s="682"/>
      <c r="E870" s="679"/>
      <c r="F870" s="645"/>
      <c r="G870" s="661"/>
      <c r="H870" s="645"/>
      <c r="I870" s="675"/>
      <c r="J870" s="658">
        <f>J868-J869</f>
        <v>142</v>
      </c>
    </row>
    <row r="871" spans="1:10" s="644" customFormat="1">
      <c r="A871" s="668"/>
      <c r="B871" s="664"/>
      <c r="C871" s="664"/>
      <c r="D871" s="669" t="s">
        <v>2767</v>
      </c>
      <c r="E871" s="670">
        <f>$E$9</f>
        <v>0</v>
      </c>
      <c r="F871" s="684"/>
      <c r="G871" s="663"/>
      <c r="H871" s="684"/>
      <c r="I871" s="675"/>
      <c r="J871" s="655">
        <f>J868*E871</f>
        <v>0</v>
      </c>
    </row>
    <row r="872" spans="1:10" s="644" customFormat="1">
      <c r="A872" s="668"/>
      <c r="B872" s="664"/>
      <c r="C872" s="664"/>
      <c r="D872" s="669"/>
      <c r="E872" s="670"/>
      <c r="F872" s="684"/>
      <c r="G872" s="663"/>
      <c r="H872" s="684"/>
      <c r="I872" s="675"/>
      <c r="J872" s="655">
        <f>SUM(J870:J871)</f>
        <v>142</v>
      </c>
    </row>
    <row r="873" spans="1:10" s="644" customFormat="1">
      <c r="A873" s="668"/>
      <c r="B873" s="664"/>
      <c r="C873" s="664"/>
      <c r="D873" s="691" t="s">
        <v>2380</v>
      </c>
      <c r="E873" s="685"/>
      <c r="F873" s="684"/>
      <c r="G873" s="663"/>
      <c r="H873" s="684"/>
      <c r="I873" s="675"/>
      <c r="J873" s="693">
        <f>ROUND(J872,0)</f>
        <v>142</v>
      </c>
    </row>
    <row r="874" spans="1:10" s="644" customFormat="1">
      <c r="A874" s="668"/>
      <c r="B874" s="664"/>
      <c r="C874" s="664"/>
      <c r="D874" s="691"/>
      <c r="E874" s="685"/>
      <c r="F874" s="684"/>
      <c r="G874" s="663"/>
      <c r="H874" s="684"/>
      <c r="I874" s="675"/>
      <c r="J874" s="693"/>
    </row>
    <row r="875" spans="1:10" s="644" customFormat="1" ht="51">
      <c r="A875" s="653">
        <f>SUM(MAX($A$7:$A874),1)</f>
        <v>49</v>
      </c>
      <c r="B875" s="663" t="s">
        <v>3045</v>
      </c>
      <c r="C875" s="668" t="s">
        <v>1184</v>
      </c>
      <c r="D875" s="1643" t="s">
        <v>2736</v>
      </c>
      <c r="E875" s="803" t="s">
        <v>501</v>
      </c>
      <c r="F875" s="668">
        <v>1</v>
      </c>
      <c r="G875" s="661">
        <v>1</v>
      </c>
      <c r="H875" s="645" t="s">
        <v>955</v>
      </c>
      <c r="I875" s="657">
        <v>1615</v>
      </c>
      <c r="J875" s="655">
        <f>I875*F875</f>
        <v>1615</v>
      </c>
    </row>
    <row r="876" spans="1:10" s="644" customFormat="1">
      <c r="A876" s="664"/>
      <c r="B876" s="664"/>
      <c r="C876" s="664"/>
      <c r="D876" s="753" t="s">
        <v>3046</v>
      </c>
      <c r="E876" s="804">
        <v>0.02</v>
      </c>
      <c r="F876" s="668"/>
      <c r="G876" s="661"/>
      <c r="H876" s="645"/>
      <c r="I876" s="657"/>
      <c r="J876" s="655">
        <f>E876*J875</f>
        <v>32.299999999999997</v>
      </c>
    </row>
    <row r="877" spans="1:10" s="644" customFormat="1">
      <c r="A877" s="664"/>
      <c r="B877" s="664"/>
      <c r="C877" s="664"/>
      <c r="D877" s="753" t="s">
        <v>2935</v>
      </c>
      <c r="E877" s="804"/>
      <c r="F877" s="668"/>
      <c r="G877" s="661"/>
      <c r="H877" s="645"/>
      <c r="I877" s="657"/>
      <c r="J877" s="655">
        <f>SUM(J875:J876)</f>
        <v>1647.3</v>
      </c>
    </row>
    <row r="878" spans="1:10" s="644" customFormat="1">
      <c r="A878" s="668"/>
      <c r="B878" s="664"/>
      <c r="C878" s="664"/>
      <c r="D878" s="669" t="s">
        <v>2767</v>
      </c>
      <c r="E878" s="670">
        <f>$E$9</f>
        <v>0</v>
      </c>
      <c r="F878" s="684"/>
      <c r="G878" s="663"/>
      <c r="H878" s="684"/>
      <c r="I878" s="675"/>
      <c r="J878" s="676">
        <f>J877*E878</f>
        <v>0</v>
      </c>
    </row>
    <row r="879" spans="1:10" s="644" customFormat="1">
      <c r="A879" s="668"/>
      <c r="B879" s="664"/>
      <c r="C879" s="664"/>
      <c r="D879" s="673"/>
      <c r="E879" s="685"/>
      <c r="F879" s="684"/>
      <c r="G879" s="663"/>
      <c r="H879" s="684"/>
      <c r="I879" s="675"/>
      <c r="J879" s="676">
        <f>SUM(J877:J878)</f>
        <v>1647.3</v>
      </c>
    </row>
    <row r="880" spans="1:10" s="644" customFormat="1">
      <c r="A880" s="668"/>
      <c r="B880" s="664"/>
      <c r="C880" s="664"/>
      <c r="D880" s="691" t="s">
        <v>2380</v>
      </c>
      <c r="E880" s="685"/>
      <c r="F880" s="684"/>
      <c r="G880" s="663"/>
      <c r="H880" s="684"/>
      <c r="I880" s="675"/>
      <c r="J880" s="693">
        <f>ROUND(J879,0)</f>
        <v>1647</v>
      </c>
    </row>
    <row r="881" spans="1:10" s="644" customFormat="1">
      <c r="A881" s="668"/>
      <c r="B881" s="664"/>
      <c r="C881" s="664"/>
      <c r="D881" s="691"/>
      <c r="E881" s="685"/>
      <c r="F881" s="684"/>
      <c r="G881" s="663"/>
      <c r="H881" s="684"/>
      <c r="I881" s="675"/>
      <c r="J881" s="677"/>
    </row>
    <row r="882" spans="1:10" s="644" customFormat="1" ht="72.75" customHeight="1">
      <c r="A882" s="653">
        <f>SUM(MAX($A$7:$A881),1)</f>
        <v>50</v>
      </c>
      <c r="B882" s="677"/>
      <c r="C882" s="677"/>
      <c r="D882" s="2158" t="s">
        <v>2737</v>
      </c>
      <c r="E882" s="2158"/>
      <c r="F882" s="2158"/>
      <c r="G882" s="2158"/>
      <c r="H882" s="2158"/>
      <c r="I882" s="2158"/>
      <c r="J882" s="2158"/>
    </row>
    <row r="883" spans="1:10" ht="25.5">
      <c r="A883" s="673"/>
      <c r="B883" s="664" t="s">
        <v>3047</v>
      </c>
      <c r="C883" s="663" t="s">
        <v>1180</v>
      </c>
      <c r="D883" s="662" t="s">
        <v>3048</v>
      </c>
      <c r="E883" s="803" t="s">
        <v>501</v>
      </c>
      <c r="F883" s="668">
        <v>1</v>
      </c>
      <c r="G883" s="661">
        <v>1</v>
      </c>
      <c r="H883" s="645" t="s">
        <v>955</v>
      </c>
      <c r="I883" s="657">
        <v>3183</v>
      </c>
      <c r="J883" s="655">
        <f>I883*F883</f>
        <v>3183</v>
      </c>
    </row>
    <row r="884" spans="1:10">
      <c r="A884" s="673"/>
      <c r="B884" s="664"/>
      <c r="C884" s="664"/>
      <c r="D884" s="805" t="s">
        <v>2943</v>
      </c>
      <c r="E884" s="658">
        <v>0.02</v>
      </c>
      <c r="F884" s="668"/>
      <c r="G884" s="661"/>
      <c r="H884" s="645"/>
      <c r="I884" s="675"/>
      <c r="J884" s="655">
        <f>J883*E884</f>
        <v>63.660000000000004</v>
      </c>
    </row>
    <row r="885" spans="1:10">
      <c r="A885" s="673"/>
      <c r="B885" s="664"/>
      <c r="C885" s="664"/>
      <c r="D885" s="805"/>
      <c r="E885" s="806"/>
      <c r="F885" s="668"/>
      <c r="G885" s="661"/>
      <c r="H885" s="645"/>
      <c r="I885" s="657"/>
      <c r="J885" s="655">
        <f>SUM(J883:J884)</f>
        <v>3246.66</v>
      </c>
    </row>
    <row r="886" spans="1:10" s="644" customFormat="1">
      <c r="A886" s="668"/>
      <c r="B886" s="664"/>
      <c r="C886" s="664"/>
      <c r="D886" s="669" t="s">
        <v>2767</v>
      </c>
      <c r="E886" s="670">
        <f>$E$9</f>
        <v>0</v>
      </c>
      <c r="F886" s="684"/>
      <c r="G886" s="663"/>
      <c r="H886" s="684"/>
      <c r="I886" s="675"/>
      <c r="J886" s="676">
        <f>J885*E886</f>
        <v>0</v>
      </c>
    </row>
    <row r="887" spans="1:10" s="644" customFormat="1">
      <c r="A887" s="668"/>
      <c r="B887" s="664"/>
      <c r="C887" s="664"/>
      <c r="D887" s="673"/>
      <c r="E887" s="685"/>
      <c r="F887" s="684"/>
      <c r="G887" s="663"/>
      <c r="H887" s="684"/>
      <c r="I887" s="675"/>
      <c r="J887" s="676">
        <f>SUM(J885:J886)</f>
        <v>3246.66</v>
      </c>
    </row>
    <row r="888" spans="1:10" s="644" customFormat="1">
      <c r="A888" s="668"/>
      <c r="B888" s="664"/>
      <c r="C888" s="664"/>
      <c r="D888" s="691" t="s">
        <v>2380</v>
      </c>
      <c r="E888" s="685"/>
      <c r="F888" s="684"/>
      <c r="G888" s="663"/>
      <c r="H888" s="684"/>
      <c r="I888" s="675"/>
      <c r="J888" s="693">
        <f>ROUND(J887,0)</f>
        <v>3247</v>
      </c>
    </row>
    <row r="889" spans="1:10" s="644" customFormat="1">
      <c r="A889" s="668"/>
      <c r="B889" s="677"/>
      <c r="C889" s="677"/>
      <c r="D889" s="678"/>
      <c r="E889" s="677"/>
      <c r="F889" s="677"/>
      <c r="G889" s="677"/>
      <c r="H889" s="677"/>
      <c r="I889" s="675"/>
      <c r="J889" s="677"/>
    </row>
    <row r="890" spans="1:10" s="644" customFormat="1" ht="48.75" customHeight="1">
      <c r="A890" s="653">
        <f>SUM(MAX($A$7:$A889),1)</f>
        <v>51</v>
      </c>
      <c r="B890" s="665"/>
      <c r="C890" s="665"/>
      <c r="D890" s="2155" t="s">
        <v>3049</v>
      </c>
      <c r="E890" s="2155"/>
      <c r="F890" s="2155"/>
      <c r="G890" s="2155"/>
      <c r="H890" s="2155"/>
      <c r="I890" s="2155"/>
      <c r="J890" s="2155"/>
    </row>
    <row r="891" spans="1:10" s="644" customFormat="1">
      <c r="A891" s="668"/>
      <c r="B891" s="654"/>
      <c r="C891" s="654"/>
      <c r="D891" s="802" t="s">
        <v>2985</v>
      </c>
      <c r="E891" s="679"/>
      <c r="F891" s="645"/>
      <c r="G891" s="661"/>
      <c r="H891" s="645"/>
      <c r="I891" s="657"/>
      <c r="J891" s="694"/>
    </row>
    <row r="892" spans="1:10" s="644" customFormat="1">
      <c r="A892" s="668"/>
      <c r="B892" s="654">
        <v>1</v>
      </c>
      <c r="C892" s="654"/>
      <c r="D892" s="645" t="s">
        <v>2740</v>
      </c>
      <c r="E892" s="699">
        <v>0.25</v>
      </c>
      <c r="F892" s="680" t="s">
        <v>1738</v>
      </c>
      <c r="G892" s="661">
        <v>1</v>
      </c>
      <c r="H892" s="680" t="s">
        <v>1738</v>
      </c>
      <c r="I892" s="657">
        <f>IF(B892=$B$2,$G$2,IF(B892=$B$3,$G$3,IF(B892=$B$4,$G$4,IF(B892=$B$5,$G$5,IF(B892=$B$6,$G$6,IF(B892=$B$7,$G$7,FALSE))))))</f>
        <v>660</v>
      </c>
      <c r="J892" s="694">
        <f>SUM(E892*I892/G892)</f>
        <v>165</v>
      </c>
    </row>
    <row r="893" spans="1:10" s="644" customFormat="1">
      <c r="A893" s="668"/>
      <c r="B893" s="654">
        <v>2</v>
      </c>
      <c r="C893" s="654"/>
      <c r="D893" s="645" t="s">
        <v>2741</v>
      </c>
      <c r="E893" s="699">
        <v>0.25</v>
      </c>
      <c r="F893" s="680" t="s">
        <v>1738</v>
      </c>
      <c r="G893" s="661">
        <v>1</v>
      </c>
      <c r="H893" s="680" t="s">
        <v>1738</v>
      </c>
      <c r="I893" s="657">
        <f>IF(B893=$B$2,$G$2,IF(B893=$B$3,$G$3,IF(B893=$B$4,$G$4,IF(B893=$B$5,$G$5,IF(B893=$B$6,$G$6,IF(B893=$B$7,$G$7,FALSE))))))</f>
        <v>550</v>
      </c>
      <c r="J893" s="694">
        <f>SUM(E893*I893/G893)</f>
        <v>137.5</v>
      </c>
    </row>
    <row r="894" spans="1:10" s="644" customFormat="1">
      <c r="A894" s="668"/>
      <c r="B894" s="654">
        <v>4</v>
      </c>
      <c r="C894" s="654"/>
      <c r="D894" s="646" t="s">
        <v>2743</v>
      </c>
      <c r="E894" s="699">
        <v>0.25</v>
      </c>
      <c r="F894" s="680" t="s">
        <v>1738</v>
      </c>
      <c r="G894" s="661">
        <v>1</v>
      </c>
      <c r="H894" s="680" t="s">
        <v>1738</v>
      </c>
      <c r="I894" s="657">
        <f>IF(B894=$B$2,$G$2,IF(B894=$B$3,$G$3,IF(B894=$B$4,$G$4,IF(B894=$B$5,$G$5,IF(B894=$B$6,$G$6,IF(B894=$B$7,$G$7,FALSE))))))</f>
        <v>580</v>
      </c>
      <c r="J894" s="694">
        <f>SUM(E894*I894/G894)</f>
        <v>145</v>
      </c>
    </row>
    <row r="895" spans="1:10" s="644" customFormat="1">
      <c r="A895" s="668"/>
      <c r="B895" s="654"/>
      <c r="C895" s="654"/>
      <c r="D895" s="682" t="s">
        <v>2829</v>
      </c>
      <c r="E895" s="679"/>
      <c r="F895" s="680"/>
      <c r="G895" s="661"/>
      <c r="H895" s="680"/>
      <c r="I895" s="657"/>
      <c r="J895" s="694">
        <f>SUM(J892:J894)</f>
        <v>447.5</v>
      </c>
    </row>
    <row r="896" spans="1:10" s="644" customFormat="1" ht="25.5">
      <c r="A896" s="668"/>
      <c r="B896" s="658" t="s">
        <v>3005</v>
      </c>
      <c r="C896" s="661"/>
      <c r="D896" s="682" t="s">
        <v>3050</v>
      </c>
      <c r="E896" s="679">
        <v>1</v>
      </c>
      <c r="F896" s="645" t="s">
        <v>2805</v>
      </c>
      <c r="G896" s="661">
        <v>100</v>
      </c>
      <c r="H896" s="645" t="s">
        <v>2805</v>
      </c>
      <c r="I896" s="657">
        <f>I855</f>
        <v>1200</v>
      </c>
      <c r="J896" s="694">
        <f>SUM(E896*I896/G896)</f>
        <v>12</v>
      </c>
    </row>
    <row r="897" spans="1:10" s="644" customFormat="1">
      <c r="A897" s="668"/>
      <c r="B897" s="654" t="s">
        <v>2770</v>
      </c>
      <c r="C897" s="654"/>
      <c r="D897" s="645" t="s">
        <v>3051</v>
      </c>
      <c r="E897" s="695">
        <v>25</v>
      </c>
      <c r="F897" s="645" t="s">
        <v>97</v>
      </c>
      <c r="G897" s="661">
        <v>1</v>
      </c>
      <c r="H897" s="645" t="s">
        <v>97</v>
      </c>
      <c r="I897" s="700">
        <f>I455</f>
        <v>9</v>
      </c>
      <c r="J897" s="694">
        <f>SUM(E897*I897/G897)</f>
        <v>225</v>
      </c>
    </row>
    <row r="898" spans="1:10" s="644" customFormat="1" ht="25.5">
      <c r="A898" s="668"/>
      <c r="B898" s="654"/>
      <c r="C898" s="654"/>
      <c r="D898" s="682" t="s">
        <v>3052</v>
      </c>
      <c r="E898" s="695">
        <v>1</v>
      </c>
      <c r="F898" s="645" t="s">
        <v>3053</v>
      </c>
      <c r="G898" s="661">
        <v>1</v>
      </c>
      <c r="H898" s="645" t="s">
        <v>3053</v>
      </c>
      <c r="I898" s="657">
        <v>15</v>
      </c>
      <c r="J898" s="694">
        <f>SUM(E898*I898/G898)</f>
        <v>15</v>
      </c>
    </row>
    <row r="899" spans="1:10" s="644" customFormat="1">
      <c r="A899" s="668"/>
      <c r="B899" s="654"/>
      <c r="C899" s="654"/>
      <c r="D899" s="682" t="s">
        <v>3041</v>
      </c>
      <c r="E899" s="679"/>
      <c r="F899" s="680"/>
      <c r="G899" s="661"/>
      <c r="H899" s="680"/>
      <c r="I899" s="657"/>
      <c r="J899" s="694">
        <f>SUM(J896:J898)</f>
        <v>252</v>
      </c>
    </row>
    <row r="900" spans="1:10" s="644" customFormat="1" ht="25.5">
      <c r="A900" s="668"/>
      <c r="B900" s="654"/>
      <c r="C900" s="654"/>
      <c r="D900" s="656" t="s">
        <v>2766</v>
      </c>
      <c r="E900" s="662"/>
      <c r="F900" s="662"/>
      <c r="G900" s="654"/>
      <c r="H900" s="662"/>
      <c r="I900" s="675"/>
      <c r="J900" s="655">
        <f>ROUNDDOWN(J895+J899,0)</f>
        <v>699</v>
      </c>
    </row>
    <row r="901" spans="1:10" s="644" customFormat="1">
      <c r="A901" s="668"/>
      <c r="B901" s="664"/>
      <c r="C901" s="664"/>
      <c r="D901" s="669" t="s">
        <v>2767</v>
      </c>
      <c r="E901" s="670">
        <f>$E$9</f>
        <v>0</v>
      </c>
      <c r="F901" s="684"/>
      <c r="G901" s="663"/>
      <c r="H901" s="684"/>
      <c r="I901" s="675"/>
      <c r="J901" s="676">
        <f>J900*E901</f>
        <v>0</v>
      </c>
    </row>
    <row r="902" spans="1:10" s="644" customFormat="1">
      <c r="A902" s="668"/>
      <c r="B902" s="664"/>
      <c r="C902" s="664"/>
      <c r="D902" s="673"/>
      <c r="E902" s="685"/>
      <c r="F902" s="684"/>
      <c r="G902" s="663"/>
      <c r="H902" s="684"/>
      <c r="I902" s="675"/>
      <c r="J902" s="676">
        <f>SUM(J900:J901)</f>
        <v>699</v>
      </c>
    </row>
    <row r="903" spans="1:10" s="644" customFormat="1">
      <c r="A903" s="668"/>
      <c r="B903" s="664"/>
      <c r="C903" s="664"/>
      <c r="D903" s="691" t="s">
        <v>2380</v>
      </c>
      <c r="E903" s="685"/>
      <c r="F903" s="684"/>
      <c r="G903" s="663"/>
      <c r="H903" s="684"/>
      <c r="I903" s="675"/>
      <c r="J903" s="693">
        <f>ROUND(J902,0)</f>
        <v>699</v>
      </c>
    </row>
    <row r="904" spans="1:10" s="644" customFormat="1">
      <c r="A904" s="668"/>
      <c r="B904" s="677"/>
      <c r="C904" s="677"/>
      <c r="D904" s="678"/>
      <c r="E904" s="677"/>
      <c r="F904" s="677"/>
      <c r="G904" s="677"/>
      <c r="H904" s="677"/>
      <c r="I904" s="675"/>
      <c r="J904" s="677"/>
    </row>
    <row r="905" spans="1:10" s="644" customFormat="1">
      <c r="A905" s="653">
        <f>SUM(MAX($A$7:$A904),1)</f>
        <v>52</v>
      </c>
      <c r="B905" s="664"/>
      <c r="C905" s="664"/>
      <c r="D905" s="2158" t="s">
        <v>3054</v>
      </c>
      <c r="E905" s="2158"/>
      <c r="F905" s="2158"/>
      <c r="G905" s="2158"/>
      <c r="H905" s="2158"/>
      <c r="I905" s="2158"/>
      <c r="J905" s="2158"/>
    </row>
    <row r="906" spans="1:10" ht="38.25">
      <c r="A906" s="673"/>
      <c r="B906" s="664" t="s">
        <v>3055</v>
      </c>
      <c r="C906" s="668" t="s">
        <v>1184</v>
      </c>
      <c r="D906" s="662" t="s">
        <v>3056</v>
      </c>
      <c r="E906" s="803" t="s">
        <v>501</v>
      </c>
      <c r="F906" s="668">
        <v>1</v>
      </c>
      <c r="G906" s="661">
        <v>1</v>
      </c>
      <c r="H906" s="645" t="s">
        <v>955</v>
      </c>
      <c r="I906" s="657">
        <v>169</v>
      </c>
      <c r="J906" s="655">
        <f>I906*F906</f>
        <v>169</v>
      </c>
    </row>
    <row r="907" spans="1:10">
      <c r="A907" s="673"/>
      <c r="B907" s="664"/>
      <c r="C907" s="664"/>
      <c r="D907" s="805"/>
      <c r="E907" s="806"/>
      <c r="F907" s="668"/>
      <c r="G907" s="661"/>
      <c r="H907" s="645"/>
      <c r="I907" s="657"/>
      <c r="J907" s="655">
        <f>SUM(J906:J906)</f>
        <v>169</v>
      </c>
    </row>
    <row r="908" spans="1:10" s="644" customFormat="1">
      <c r="A908" s="668"/>
      <c r="B908" s="664"/>
      <c r="C908" s="664"/>
      <c r="D908" s="669" t="s">
        <v>2767</v>
      </c>
      <c r="E908" s="670">
        <f>$E$9</f>
        <v>0</v>
      </c>
      <c r="F908" s="684"/>
      <c r="G908" s="663"/>
      <c r="H908" s="684"/>
      <c r="I908" s="672"/>
      <c r="J908" s="676">
        <f>J907*$E908</f>
        <v>0</v>
      </c>
    </row>
    <row r="909" spans="1:10" s="644" customFormat="1">
      <c r="A909" s="668"/>
      <c r="B909" s="664"/>
      <c r="C909" s="664"/>
      <c r="D909" s="673"/>
      <c r="E909" s="685"/>
      <c r="F909" s="684"/>
      <c r="G909" s="663"/>
      <c r="H909" s="684"/>
      <c r="I909" s="672"/>
      <c r="J909" s="676">
        <f>SUM(J907:J908)</f>
        <v>169</v>
      </c>
    </row>
    <row r="910" spans="1:10" s="644" customFormat="1">
      <c r="A910" s="668"/>
      <c r="B910" s="664"/>
      <c r="C910" s="664"/>
      <c r="D910" s="691" t="s">
        <v>2380</v>
      </c>
      <c r="E910" s="685"/>
      <c r="F910" s="684"/>
      <c r="G910" s="663"/>
      <c r="H910" s="684"/>
      <c r="I910" s="686"/>
      <c r="J910" s="693">
        <f>ROUND(J909,0)</f>
        <v>169</v>
      </c>
    </row>
    <row r="911" spans="1:10" s="644" customFormat="1">
      <c r="A911" s="668"/>
      <c r="B911" s="664"/>
      <c r="C911" s="664"/>
      <c r="D911" s="691"/>
      <c r="E911" s="685"/>
      <c r="F911" s="684"/>
      <c r="G911" s="663"/>
      <c r="H911" s="684"/>
      <c r="I911" s="686"/>
      <c r="J911" s="676"/>
    </row>
    <row r="912" spans="1:10" s="644" customFormat="1">
      <c r="A912" s="668"/>
      <c r="B912" s="664"/>
      <c r="C912" s="664"/>
      <c r="D912" s="669"/>
      <c r="E912" s="685"/>
      <c r="F912" s="684"/>
      <c r="G912" s="663"/>
      <c r="H912" s="684"/>
      <c r="I912" s="686"/>
      <c r="J912" s="693"/>
    </row>
    <row r="913" spans="1:11" s="811" customFormat="1">
      <c r="A913" s="807"/>
      <c r="B913" s="808"/>
      <c r="C913" s="808"/>
      <c r="D913" s="809" t="s">
        <v>3057</v>
      </c>
      <c r="E913" s="808"/>
      <c r="F913" s="808"/>
      <c r="G913" s="808"/>
      <c r="H913" s="808"/>
      <c r="I913" s="810"/>
      <c r="J913" s="808"/>
    </row>
    <row r="914" spans="1:11" s="811" customFormat="1">
      <c r="A914" s="812"/>
      <c r="B914" s="813"/>
      <c r="C914" s="813"/>
      <c r="D914" s="2169" t="s">
        <v>3058</v>
      </c>
      <c r="E914" s="2169"/>
      <c r="F914" s="2169"/>
      <c r="G914" s="2169"/>
      <c r="H914" s="2169"/>
      <c r="I914" s="2169"/>
      <c r="J914" s="2169"/>
    </row>
    <row r="915" spans="1:11" s="811" customFormat="1">
      <c r="A915" s="813"/>
      <c r="B915" s="813"/>
      <c r="C915" s="813"/>
      <c r="D915" s="814" t="s">
        <v>2754</v>
      </c>
      <c r="E915" s="815"/>
      <c r="F915" s="816"/>
      <c r="G915" s="817"/>
      <c r="H915" s="816"/>
      <c r="I915" s="818"/>
      <c r="J915" s="819"/>
    </row>
    <row r="916" spans="1:11" s="811" customFormat="1">
      <c r="A916" s="813"/>
      <c r="B916" s="813">
        <v>1</v>
      </c>
      <c r="C916" s="813"/>
      <c r="D916" s="816" t="s">
        <v>2740</v>
      </c>
      <c r="E916" s="815">
        <v>0.05</v>
      </c>
      <c r="F916" s="820" t="s">
        <v>1738</v>
      </c>
      <c r="G916" s="817">
        <v>1</v>
      </c>
      <c r="H916" s="820" t="s">
        <v>1738</v>
      </c>
      <c r="I916" s="818">
        <f>IF(B916=$B$2,$G$2,IF(B916=$B$3,$G$3,IF(B916=$B$4,$G$4,IF(B916=$B$5,$G$5,IF(B916=$B$6,$G$6,IF(B916=$B$7,$G$7,FALSE))))))</f>
        <v>660</v>
      </c>
      <c r="J916" s="819">
        <f>SUM(E916*I916/G916)</f>
        <v>33</v>
      </c>
    </row>
    <row r="917" spans="1:11" s="811" customFormat="1">
      <c r="A917" s="813"/>
      <c r="B917" s="813">
        <v>3</v>
      </c>
      <c r="C917" s="813"/>
      <c r="D917" s="816" t="s">
        <v>2742</v>
      </c>
      <c r="E917" s="815">
        <v>0.05</v>
      </c>
      <c r="F917" s="820" t="s">
        <v>1738</v>
      </c>
      <c r="G917" s="817">
        <v>1</v>
      </c>
      <c r="H917" s="820" t="s">
        <v>1738</v>
      </c>
      <c r="I917" s="818">
        <f>IF(B917=$B$2,$G$2,IF(B917=$B$3,$G$3,IF(B917=$B$4,$G$4,IF(B917=$B$5,$G$5,IF(B917=$B$6,$G$6,IF(B917=$B$7,$G$7,FALSE))))))</f>
        <v>550</v>
      </c>
      <c r="J917" s="818">
        <f>SUM(E917*I917/G917)</f>
        <v>27.5</v>
      </c>
    </row>
    <row r="918" spans="1:11" s="811" customFormat="1">
      <c r="A918" s="813"/>
      <c r="B918" s="813"/>
      <c r="C918" s="813"/>
      <c r="D918" s="814" t="s">
        <v>2829</v>
      </c>
      <c r="E918" s="815"/>
      <c r="F918" s="820"/>
      <c r="G918" s="817"/>
      <c r="H918" s="820"/>
      <c r="I918" s="818"/>
      <c r="J918" s="821">
        <f>SUM(J916:J917)</f>
        <v>60.5</v>
      </c>
    </row>
    <row r="919" spans="1:11" s="811" customFormat="1">
      <c r="A919" s="813"/>
      <c r="B919" s="813"/>
      <c r="C919" s="813"/>
      <c r="D919" s="822" t="s">
        <v>1879</v>
      </c>
      <c r="E919" s="815"/>
      <c r="F919" s="820"/>
      <c r="G919" s="817"/>
      <c r="H919" s="820"/>
      <c r="I919" s="818"/>
      <c r="J919" s="819"/>
    </row>
    <row r="920" spans="1:11" s="811" customFormat="1" ht="25.5">
      <c r="A920" s="813"/>
      <c r="B920" s="813" t="s">
        <v>3059</v>
      </c>
      <c r="C920" s="823" t="s">
        <v>1180</v>
      </c>
      <c r="D920" s="816" t="s">
        <v>3060</v>
      </c>
      <c r="E920" s="824">
        <v>1</v>
      </c>
      <c r="F920" s="816" t="s">
        <v>1509</v>
      </c>
      <c r="G920" s="817">
        <v>1</v>
      </c>
      <c r="H920" s="816" t="s">
        <v>1509</v>
      </c>
      <c r="I920" s="825">
        <v>544</v>
      </c>
      <c r="J920" s="819">
        <f>SUM(E920*I920/G920)</f>
        <v>544</v>
      </c>
      <c r="K920" s="811" t="s">
        <v>3061</v>
      </c>
    </row>
    <row r="921" spans="1:11" s="811" customFormat="1" ht="38.25">
      <c r="A921" s="813"/>
      <c r="B921" s="813">
        <v>1.7</v>
      </c>
      <c r="C921" s="813" t="s">
        <v>1180</v>
      </c>
      <c r="D921" s="814" t="s">
        <v>3024</v>
      </c>
      <c r="E921" s="824">
        <v>1</v>
      </c>
      <c r="F921" s="816" t="s">
        <v>1509</v>
      </c>
      <c r="G921" s="817">
        <v>-1</v>
      </c>
      <c r="H921" s="816" t="s">
        <v>1509</v>
      </c>
      <c r="I921" s="825">
        <v>23</v>
      </c>
      <c r="J921" s="819">
        <f>SUM(E921*I921/G921)</f>
        <v>-23</v>
      </c>
    </row>
    <row r="922" spans="1:11" s="811" customFormat="1">
      <c r="A922" s="813"/>
      <c r="B922" s="813"/>
      <c r="C922" s="813"/>
      <c r="D922" s="822" t="s">
        <v>2996</v>
      </c>
      <c r="E922" s="815"/>
      <c r="F922" s="820"/>
      <c r="G922" s="817"/>
      <c r="H922" s="820"/>
      <c r="I922" s="818"/>
      <c r="J922" s="819">
        <f>SUM(J920:J921)</f>
        <v>521</v>
      </c>
    </row>
    <row r="923" spans="1:11" s="811" customFormat="1" ht="25.5">
      <c r="A923" s="813"/>
      <c r="B923" s="813"/>
      <c r="C923" s="813"/>
      <c r="D923" s="826" t="s">
        <v>2766</v>
      </c>
      <c r="E923" s="815"/>
      <c r="F923" s="816"/>
      <c r="G923" s="827"/>
      <c r="H923" s="828"/>
      <c r="I923" s="818"/>
      <c r="J923" s="829">
        <f>ROUNDDOWN(J918+J922,0)</f>
        <v>581</v>
      </c>
    </row>
    <row r="924" spans="1:11" s="811" customFormat="1">
      <c r="A924" s="813"/>
      <c r="B924" s="813"/>
      <c r="C924" s="813"/>
      <c r="D924" s="830" t="s">
        <v>2767</v>
      </c>
      <c r="E924" s="831">
        <f>$E$9</f>
        <v>0</v>
      </c>
      <c r="F924" s="832"/>
      <c r="G924" s="823"/>
      <c r="H924" s="832"/>
      <c r="I924" s="833"/>
      <c r="J924" s="821">
        <f>J923*E924</f>
        <v>0</v>
      </c>
    </row>
    <row r="925" spans="1:11" s="811" customFormat="1">
      <c r="A925" s="813"/>
      <c r="B925" s="813"/>
      <c r="C925" s="813"/>
      <c r="D925" s="807"/>
      <c r="E925" s="825"/>
      <c r="F925" s="832"/>
      <c r="G925" s="823"/>
      <c r="H925" s="832"/>
      <c r="I925" s="833"/>
      <c r="J925" s="821">
        <f>SUM(J923:J924)</f>
        <v>581</v>
      </c>
    </row>
    <row r="926" spans="1:11" s="811" customFormat="1">
      <c r="A926" s="813"/>
      <c r="B926" s="813"/>
      <c r="C926" s="813"/>
      <c r="D926" s="830" t="s">
        <v>2380</v>
      </c>
      <c r="E926" s="825"/>
      <c r="F926" s="832"/>
      <c r="G926" s="823"/>
      <c r="H926" s="832"/>
      <c r="I926" s="833"/>
      <c r="J926" s="834">
        <f>ROUND(J925,0)</f>
        <v>581</v>
      </c>
    </row>
    <row r="927" spans="1:11" s="644" customFormat="1">
      <c r="A927" s="668"/>
      <c r="B927" s="664"/>
      <c r="C927" s="664"/>
      <c r="D927" s="669"/>
      <c r="E927" s="685"/>
      <c r="F927" s="684"/>
      <c r="G927" s="663"/>
      <c r="H927" s="684"/>
      <c r="I927" s="686"/>
      <c r="J927" s="693"/>
    </row>
    <row r="928" spans="1:11" s="644" customFormat="1">
      <c r="A928" s="673"/>
      <c r="B928" s="677"/>
      <c r="C928" s="677"/>
      <c r="D928" s="774" t="s">
        <v>3062</v>
      </c>
      <c r="E928" s="677"/>
      <c r="F928" s="677"/>
      <c r="G928" s="677"/>
      <c r="H928" s="677"/>
      <c r="I928" s="675"/>
      <c r="J928" s="677"/>
    </row>
    <row r="929" spans="1:10" s="644" customFormat="1">
      <c r="A929" s="653">
        <f>SUM(MAX($A$7:$A927),1)</f>
        <v>53</v>
      </c>
      <c r="B929" s="665"/>
      <c r="C929" s="665"/>
      <c r="D929" s="2155" t="s">
        <v>3063</v>
      </c>
      <c r="E929" s="2155"/>
      <c r="F929" s="2155"/>
      <c r="G929" s="2155"/>
      <c r="H929" s="2155"/>
      <c r="I929" s="2155"/>
      <c r="J929" s="2155"/>
    </row>
    <row r="930" spans="1:10" s="644" customFormat="1">
      <c r="A930" s="668"/>
      <c r="B930" s="654"/>
      <c r="C930" s="654"/>
      <c r="D930" s="682" t="s">
        <v>2985</v>
      </c>
      <c r="E930" s="679"/>
      <c r="F930" s="645"/>
      <c r="G930" s="661"/>
      <c r="H930" s="645"/>
      <c r="I930" s="657"/>
      <c r="J930" s="694"/>
    </row>
    <row r="931" spans="1:10" s="644" customFormat="1">
      <c r="A931" s="668"/>
      <c r="B931" s="654">
        <v>1</v>
      </c>
      <c r="C931" s="654"/>
      <c r="D931" s="645" t="s">
        <v>2740</v>
      </c>
      <c r="E931" s="679">
        <v>0.1</v>
      </c>
      <c r="F931" s="680" t="s">
        <v>1738</v>
      </c>
      <c r="G931" s="661">
        <v>1</v>
      </c>
      <c r="H931" s="680" t="s">
        <v>1738</v>
      </c>
      <c r="I931" s="657">
        <f>IF(B931=$B$2,$G$2,IF(B931=$B$3,$G$3,IF(B931=$B$4,$G$4,IF(B931=$B$5,$G$5,IF(B931=$B$6,$G$6,IF(B931=$B$7,$G$7,FALSE))))))</f>
        <v>660</v>
      </c>
      <c r="J931" s="694">
        <f>SUM(E931*I931/G931)</f>
        <v>66</v>
      </c>
    </row>
    <row r="932" spans="1:10" s="644" customFormat="1">
      <c r="A932" s="668"/>
      <c r="B932" s="654">
        <v>2</v>
      </c>
      <c r="C932" s="654"/>
      <c r="D932" s="645" t="s">
        <v>2741</v>
      </c>
      <c r="E932" s="679">
        <v>0.1</v>
      </c>
      <c r="F932" s="680" t="s">
        <v>1738</v>
      </c>
      <c r="G932" s="661">
        <v>1</v>
      </c>
      <c r="H932" s="680" t="s">
        <v>1738</v>
      </c>
      <c r="I932" s="657">
        <f>IF(B932=$B$2,$G$2,IF(B932=$B$3,$G$3,IF(B932=$B$4,$G$4,IF(B932=$B$5,$G$5,IF(B932=$B$6,$G$6,IF(B932=$B$7,$G$7,FALSE))))))</f>
        <v>550</v>
      </c>
      <c r="J932" s="694">
        <f>SUM(E932*I932/G932)</f>
        <v>55</v>
      </c>
    </row>
    <row r="933" spans="1:10" s="644" customFormat="1">
      <c r="A933" s="668"/>
      <c r="B933" s="654"/>
      <c r="C933" s="654"/>
      <c r="D933" s="682" t="s">
        <v>2829</v>
      </c>
      <c r="E933" s="679"/>
      <c r="F933" s="680"/>
      <c r="G933" s="661"/>
      <c r="H933" s="680"/>
      <c r="I933" s="657"/>
      <c r="J933" s="694">
        <f>SUM(J931:J932)</f>
        <v>121</v>
      </c>
    </row>
    <row r="934" spans="1:10" s="644" customFormat="1">
      <c r="A934" s="668"/>
      <c r="B934" s="654"/>
      <c r="C934" s="654"/>
      <c r="D934" s="696" t="s">
        <v>1879</v>
      </c>
      <c r="E934" s="679"/>
      <c r="F934" s="680"/>
      <c r="G934" s="661"/>
      <c r="H934" s="680"/>
      <c r="I934" s="657"/>
      <c r="J934" s="694"/>
    </row>
    <row r="935" spans="1:10" s="644" customFormat="1" ht="25.5">
      <c r="A935" s="668"/>
      <c r="B935" s="654" t="s">
        <v>2986</v>
      </c>
      <c r="C935" s="654"/>
      <c r="D935" s="682" t="s">
        <v>2987</v>
      </c>
      <c r="E935" s="679"/>
      <c r="F935" s="680"/>
      <c r="G935" s="661"/>
      <c r="H935" s="680"/>
      <c r="I935" s="657"/>
      <c r="J935" s="694"/>
    </row>
    <row r="936" spans="1:10" s="644" customFormat="1" ht="76.5">
      <c r="A936" s="668"/>
      <c r="B936" s="654"/>
      <c r="C936" s="654"/>
      <c r="D936" s="646" t="s">
        <v>2988</v>
      </c>
      <c r="E936" s="679">
        <v>1</v>
      </c>
      <c r="F936" s="645" t="s">
        <v>2763</v>
      </c>
      <c r="G936" s="661">
        <v>100</v>
      </c>
      <c r="H936" s="645" t="s">
        <v>2805</v>
      </c>
      <c r="I936" s="657">
        <v>1200</v>
      </c>
      <c r="J936" s="694">
        <f>SUM(E936*I936/G936)</f>
        <v>12</v>
      </c>
    </row>
    <row r="937" spans="1:10" s="644" customFormat="1" ht="25.5">
      <c r="A937" s="668"/>
      <c r="B937" s="687" t="s">
        <v>2989</v>
      </c>
      <c r="C937" s="687" t="s">
        <v>1188</v>
      </c>
      <c r="D937" s="682" t="s">
        <v>2990</v>
      </c>
      <c r="E937" s="695">
        <v>2</v>
      </c>
      <c r="F937" s="645" t="s">
        <v>955</v>
      </c>
      <c r="G937" s="661">
        <v>100</v>
      </c>
      <c r="H937" s="645" t="s">
        <v>955</v>
      </c>
      <c r="I937" s="657">
        <v>128</v>
      </c>
      <c r="J937" s="694">
        <f>SUM(E937*I937/G937)</f>
        <v>2.56</v>
      </c>
    </row>
    <row r="938" spans="1:10" s="644" customFormat="1">
      <c r="A938" s="668"/>
      <c r="B938" s="654" t="s">
        <v>2772</v>
      </c>
      <c r="C938" s="664"/>
      <c r="D938" s="682" t="s">
        <v>2991</v>
      </c>
      <c r="E938" s="679">
        <v>2</v>
      </c>
      <c r="F938" s="645" t="s">
        <v>955</v>
      </c>
      <c r="G938" s="661">
        <v>100</v>
      </c>
      <c r="H938" s="645" t="s">
        <v>955</v>
      </c>
      <c r="I938" s="657">
        <v>43</v>
      </c>
      <c r="J938" s="694">
        <f>SUM(E938*I938/G938)</f>
        <v>0.86</v>
      </c>
    </row>
    <row r="939" spans="1:10" s="644" customFormat="1" ht="25.5">
      <c r="A939" s="668"/>
      <c r="B939" s="664"/>
      <c r="C939" s="664"/>
      <c r="D939" s="682" t="s">
        <v>2992</v>
      </c>
      <c r="E939" s="695">
        <v>2</v>
      </c>
      <c r="F939" s="645" t="s">
        <v>955</v>
      </c>
      <c r="G939" s="661">
        <v>1</v>
      </c>
      <c r="H939" s="645" t="s">
        <v>955</v>
      </c>
      <c r="I939" s="657">
        <v>5</v>
      </c>
      <c r="J939" s="694">
        <f>SUM(E939*I939/G939)</f>
        <v>10</v>
      </c>
    </row>
    <row r="940" spans="1:10" s="644" customFormat="1">
      <c r="A940" s="668"/>
      <c r="B940" s="664"/>
      <c r="C940" s="664"/>
      <c r="D940" s="682" t="s">
        <v>2993</v>
      </c>
      <c r="E940" s="679"/>
      <c r="F940" s="680"/>
      <c r="G940" s="661"/>
      <c r="H940" s="680"/>
      <c r="I940" s="657"/>
      <c r="J940" s="694">
        <f>SUM(J936:J939)</f>
        <v>25.42</v>
      </c>
    </row>
    <row r="941" spans="1:10" s="644" customFormat="1" ht="25.5">
      <c r="A941" s="668"/>
      <c r="B941" s="664" t="s">
        <v>3064</v>
      </c>
      <c r="C941" s="664"/>
      <c r="D941" s="682" t="s">
        <v>3065</v>
      </c>
      <c r="E941" s="695">
        <v>1</v>
      </c>
      <c r="F941" s="645" t="s">
        <v>955</v>
      </c>
      <c r="G941" s="661">
        <v>1</v>
      </c>
      <c r="H941" s="645" t="s">
        <v>955</v>
      </c>
      <c r="I941" s="657">
        <v>425</v>
      </c>
      <c r="J941" s="694">
        <f>SUM(E941*I941/G941)</f>
        <v>425</v>
      </c>
    </row>
    <row r="942" spans="1:10" s="644" customFormat="1">
      <c r="A942" s="668"/>
      <c r="B942" s="664"/>
      <c r="C942" s="664"/>
      <c r="D942" s="682" t="s">
        <v>2996</v>
      </c>
      <c r="E942" s="679"/>
      <c r="F942" s="682"/>
      <c r="G942" s="661"/>
      <c r="H942" s="645"/>
      <c r="I942" s="657"/>
      <c r="J942" s="694">
        <f>SUM(J940:J941)</f>
        <v>450.42</v>
      </c>
    </row>
    <row r="943" spans="1:10" s="644" customFormat="1" ht="25.5">
      <c r="A943" s="668"/>
      <c r="B943" s="664"/>
      <c r="C943" s="664"/>
      <c r="D943" s="656" t="s">
        <v>2766</v>
      </c>
      <c r="E943" s="685"/>
      <c r="F943" s="656"/>
      <c r="G943" s="663"/>
      <c r="H943" s="697"/>
      <c r="I943" s="672"/>
      <c r="J943" s="676">
        <f>ROUNDDOWN(J933+J942,0)</f>
        <v>571</v>
      </c>
    </row>
    <row r="944" spans="1:10" s="644" customFormat="1">
      <c r="A944" s="668"/>
      <c r="B944" s="664"/>
      <c r="C944" s="664"/>
      <c r="D944" s="669" t="s">
        <v>2767</v>
      </c>
      <c r="E944" s="670">
        <f>$E$9</f>
        <v>0</v>
      </c>
      <c r="F944" s="684"/>
      <c r="G944" s="663"/>
      <c r="H944" s="684"/>
      <c r="I944" s="672"/>
      <c r="J944" s="676">
        <f>J943*$E944</f>
        <v>0</v>
      </c>
    </row>
    <row r="945" spans="1:10" s="644" customFormat="1">
      <c r="A945" s="668"/>
      <c r="B945" s="664"/>
      <c r="C945" s="664"/>
      <c r="D945" s="673"/>
      <c r="E945" s="685"/>
      <c r="F945" s="684"/>
      <c r="G945" s="663"/>
      <c r="H945" s="684"/>
      <c r="I945" s="672"/>
      <c r="J945" s="676">
        <f>SUM(J943:J944)</f>
        <v>571</v>
      </c>
    </row>
    <row r="946" spans="1:10" s="644" customFormat="1">
      <c r="A946" s="668"/>
      <c r="B946" s="664"/>
      <c r="C946" s="664"/>
      <c r="D946" s="669" t="s">
        <v>2380</v>
      </c>
      <c r="E946" s="685"/>
      <c r="F946" s="684"/>
      <c r="G946" s="663"/>
      <c r="H946" s="684"/>
      <c r="I946" s="686"/>
      <c r="J946" s="693">
        <f>ROUND(J945,0)</f>
        <v>571</v>
      </c>
    </row>
    <row r="947" spans="1:10" s="644" customFormat="1">
      <c r="A947" s="668"/>
      <c r="B947" s="664"/>
      <c r="C947" s="664"/>
      <c r="D947" s="669"/>
      <c r="E947" s="685"/>
      <c r="F947" s="684"/>
      <c r="G947" s="663"/>
      <c r="H947" s="684"/>
      <c r="I947" s="686"/>
      <c r="J947" s="693"/>
    </row>
    <row r="948" spans="1:10" s="644" customFormat="1">
      <c r="A948" s="673"/>
      <c r="B948" s="677"/>
      <c r="C948" s="677"/>
      <c r="D948" s="2161" t="s">
        <v>3066</v>
      </c>
      <c r="E948" s="2161"/>
      <c r="F948" s="2161"/>
      <c r="G948" s="2161"/>
      <c r="H948" s="2161"/>
      <c r="I948" s="2161"/>
      <c r="J948" s="2161"/>
    </row>
    <row r="949" spans="1:10" s="644" customFormat="1">
      <c r="A949" s="653">
        <f>SUM(MAX($A$7:$A947),1)</f>
        <v>54</v>
      </c>
      <c r="B949" s="668"/>
      <c r="C949" s="668"/>
      <c r="D949" s="2158" t="s">
        <v>3067</v>
      </c>
      <c r="E949" s="2158"/>
      <c r="F949" s="2158"/>
      <c r="G949" s="2158"/>
      <c r="H949" s="2158"/>
      <c r="I949" s="2158"/>
      <c r="J949" s="2158"/>
    </row>
    <row r="950" spans="1:10" s="644" customFormat="1">
      <c r="A950" s="668"/>
      <c r="B950" s="677"/>
      <c r="C950" s="677"/>
      <c r="D950" s="682" t="s">
        <v>2930</v>
      </c>
      <c r="E950" s="679"/>
      <c r="F950" s="659" t="s">
        <v>2430</v>
      </c>
      <c r="G950" s="660" t="s">
        <v>2431</v>
      </c>
      <c r="H950" s="661" t="s">
        <v>929</v>
      </c>
      <c r="I950" s="679"/>
      <c r="J950" s="682" t="s">
        <v>955</v>
      </c>
    </row>
    <row r="951" spans="1:10" s="644" customFormat="1">
      <c r="A951" s="668"/>
      <c r="B951" s="677"/>
      <c r="C951" s="677"/>
      <c r="D951" s="682" t="s">
        <v>2931</v>
      </c>
      <c r="E951" s="679"/>
      <c r="F951" s="679">
        <v>2.25</v>
      </c>
      <c r="G951" s="660">
        <v>1.98</v>
      </c>
      <c r="H951" s="755">
        <v>0.45</v>
      </c>
      <c r="I951" s="679"/>
      <c r="J951" s="682"/>
    </row>
    <row r="952" spans="1:10" s="644" customFormat="1">
      <c r="A952" s="668"/>
      <c r="B952" s="677"/>
      <c r="C952" s="677"/>
      <c r="D952" s="682" t="s">
        <v>2932</v>
      </c>
      <c r="E952" s="679"/>
      <c r="F952" s="679">
        <v>2</v>
      </c>
      <c r="G952" s="660">
        <f>F951</f>
        <v>2.25</v>
      </c>
      <c r="H952" s="755">
        <f>G951</f>
        <v>1.98</v>
      </c>
      <c r="I952" s="679">
        <f t="shared" ref="I952:I958" si="3">F952*G952*H952</f>
        <v>8.91</v>
      </c>
      <c r="J952" s="654">
        <v>2</v>
      </c>
    </row>
    <row r="953" spans="1:10" s="644" customFormat="1">
      <c r="A953" s="668"/>
      <c r="B953" s="677"/>
      <c r="C953" s="677"/>
      <c r="D953" s="682" t="s">
        <v>2933</v>
      </c>
      <c r="E953" s="679"/>
      <c r="F953" s="679">
        <v>2</v>
      </c>
      <c r="G953" s="660">
        <f>F951</f>
        <v>2.25</v>
      </c>
      <c r="H953" s="755">
        <f>H951</f>
        <v>0.45</v>
      </c>
      <c r="I953" s="679">
        <f t="shared" si="3"/>
        <v>2.0249999999999999</v>
      </c>
      <c r="J953" s="654">
        <v>2</v>
      </c>
    </row>
    <row r="954" spans="1:10" s="644" customFormat="1">
      <c r="A954" s="668"/>
      <c r="B954" s="677"/>
      <c r="C954" s="677"/>
      <c r="D954" s="682" t="s">
        <v>2934</v>
      </c>
      <c r="E954" s="679"/>
      <c r="F954" s="679">
        <v>2</v>
      </c>
      <c r="G954" s="660">
        <f>G951</f>
        <v>1.98</v>
      </c>
      <c r="H954" s="755">
        <f>H951</f>
        <v>0.45</v>
      </c>
      <c r="I954" s="679">
        <f t="shared" si="3"/>
        <v>1.782</v>
      </c>
      <c r="J954" s="654">
        <v>2</v>
      </c>
    </row>
    <row r="955" spans="1:10" s="644" customFormat="1">
      <c r="A955" s="668"/>
      <c r="B955" s="677"/>
      <c r="C955" s="677"/>
      <c r="D955" s="682" t="s">
        <v>3068</v>
      </c>
      <c r="E955" s="679"/>
      <c r="F955" s="679">
        <v>2</v>
      </c>
      <c r="G955" s="660">
        <f>G951</f>
        <v>1.98</v>
      </c>
      <c r="H955" s="755">
        <f>H951</f>
        <v>0.45</v>
      </c>
      <c r="I955" s="679">
        <f t="shared" si="3"/>
        <v>1.782</v>
      </c>
      <c r="J955" s="654">
        <v>2</v>
      </c>
    </row>
    <row r="956" spans="1:10" s="644" customFormat="1">
      <c r="A956" s="668"/>
      <c r="B956" s="677"/>
      <c r="C956" s="677"/>
      <c r="D956" s="682"/>
      <c r="E956" s="679"/>
      <c r="F956" s="679">
        <v>2</v>
      </c>
      <c r="G956" s="660">
        <v>1.6</v>
      </c>
      <c r="H956" s="755">
        <v>1</v>
      </c>
      <c r="I956" s="679">
        <f t="shared" si="3"/>
        <v>3.2</v>
      </c>
      <c r="J956" s="654"/>
    </row>
    <row r="957" spans="1:10" s="644" customFormat="1">
      <c r="A957" s="668"/>
      <c r="B957" s="677"/>
      <c r="C957" s="677"/>
      <c r="D957" s="682" t="s">
        <v>3069</v>
      </c>
      <c r="E957" s="679"/>
      <c r="F957" s="679">
        <v>13</v>
      </c>
      <c r="G957" s="660">
        <v>0.45</v>
      </c>
      <c r="H957" s="835">
        <v>0.55000000000000004</v>
      </c>
      <c r="I957" s="679">
        <f t="shared" si="3"/>
        <v>3.2175000000000007</v>
      </c>
      <c r="J957" s="654">
        <v>0</v>
      </c>
    </row>
    <row r="958" spans="1:10" s="644" customFormat="1">
      <c r="A958" s="668"/>
      <c r="B958" s="677"/>
      <c r="C958" s="677"/>
      <c r="D958" s="682" t="s">
        <v>3069</v>
      </c>
      <c r="E958" s="679"/>
      <c r="F958" s="679"/>
      <c r="G958" s="660"/>
      <c r="H958" s="835"/>
      <c r="I958" s="679">
        <f t="shared" si="3"/>
        <v>0</v>
      </c>
      <c r="J958" s="654">
        <v>6</v>
      </c>
    </row>
    <row r="959" spans="1:10" s="644" customFormat="1">
      <c r="A959" s="668"/>
      <c r="B959" s="677"/>
      <c r="C959" s="677"/>
      <c r="D959" s="682" t="s">
        <v>2935</v>
      </c>
      <c r="E959" s="679"/>
      <c r="F959" s="679"/>
      <c r="G959" s="660"/>
      <c r="H959" s="770"/>
      <c r="I959" s="679">
        <f>SUM(I952:I958)</f>
        <v>20.916500000000003</v>
      </c>
      <c r="J959" s="654">
        <v>0</v>
      </c>
    </row>
    <row r="960" spans="1:10" s="644" customFormat="1">
      <c r="A960" s="668"/>
      <c r="B960" s="677"/>
      <c r="C960" s="677"/>
      <c r="D960" s="682" t="s">
        <v>2936</v>
      </c>
      <c r="E960" s="679"/>
      <c r="F960" s="679"/>
      <c r="G960" s="660"/>
      <c r="H960" s="770"/>
      <c r="I960" s="679">
        <f>0.1*I959</f>
        <v>2.0916500000000005</v>
      </c>
      <c r="J960" s="654">
        <v>0</v>
      </c>
    </row>
    <row r="961" spans="1:10" s="644" customFormat="1">
      <c r="A961" s="668"/>
      <c r="B961" s="677"/>
      <c r="C961" s="677"/>
      <c r="D961" s="682" t="s">
        <v>946</v>
      </c>
      <c r="E961" s="679"/>
      <c r="F961" s="679"/>
      <c r="G961" s="660"/>
      <c r="H961" s="770"/>
      <c r="I961" s="685">
        <f>SUM(I959:I960)</f>
        <v>23.008150000000004</v>
      </c>
      <c r="J961" s="682"/>
    </row>
    <row r="962" spans="1:10" s="644" customFormat="1" ht="127.5">
      <c r="A962" s="668"/>
      <c r="B962" s="665" t="s">
        <v>2937</v>
      </c>
      <c r="C962" s="735" t="s">
        <v>2938</v>
      </c>
      <c r="D962" s="682" t="s">
        <v>2939</v>
      </c>
      <c r="E962" s="679">
        <f>I961</f>
        <v>23.008150000000004</v>
      </c>
      <c r="F962" s="680" t="s">
        <v>2948</v>
      </c>
      <c r="G962" s="661">
        <v>1</v>
      </c>
      <c r="H962" s="680" t="s">
        <v>2948</v>
      </c>
      <c r="I962" s="657">
        <v>4940</v>
      </c>
      <c r="J962" s="694">
        <f t="shared" ref="J962:J966" si="4">SUM(E962*I962/G962)</f>
        <v>113660.26100000001</v>
      </c>
    </row>
    <row r="963" spans="1:10" s="644" customFormat="1" ht="102">
      <c r="A963" s="668"/>
      <c r="B963" s="665" t="s">
        <v>2915</v>
      </c>
      <c r="C963" s="735" t="s">
        <v>2237</v>
      </c>
      <c r="D963" s="682" t="s">
        <v>3070</v>
      </c>
      <c r="E963" s="695">
        <v>1</v>
      </c>
      <c r="F963" s="645" t="s">
        <v>955</v>
      </c>
      <c r="G963" s="661">
        <v>1</v>
      </c>
      <c r="H963" s="645" t="s">
        <v>1509</v>
      </c>
      <c r="I963" s="757">
        <v>29878</v>
      </c>
      <c r="J963" s="694">
        <f t="shared" si="4"/>
        <v>29878</v>
      </c>
    </row>
    <row r="964" spans="1:10" s="644" customFormat="1" ht="102">
      <c r="A964" s="668"/>
      <c r="B964" s="665" t="s">
        <v>2915</v>
      </c>
      <c r="C964" s="735" t="s">
        <v>1186</v>
      </c>
      <c r="D964" s="682" t="s">
        <v>3071</v>
      </c>
      <c r="E964" s="695">
        <v>4</v>
      </c>
      <c r="F964" s="645" t="s">
        <v>955</v>
      </c>
      <c r="G964" s="661">
        <v>1</v>
      </c>
      <c r="H964" s="645" t="s">
        <v>1509</v>
      </c>
      <c r="I964" s="757">
        <v>10325</v>
      </c>
      <c r="J964" s="694">
        <f t="shared" si="4"/>
        <v>41300</v>
      </c>
    </row>
    <row r="965" spans="1:10" s="644" customFormat="1" ht="102">
      <c r="A965" s="668"/>
      <c r="B965" s="665" t="s">
        <v>2915</v>
      </c>
      <c r="C965" s="735" t="s">
        <v>1180</v>
      </c>
      <c r="D965" s="682" t="s">
        <v>3072</v>
      </c>
      <c r="E965" s="695">
        <v>2</v>
      </c>
      <c r="F965" s="645" t="s">
        <v>955</v>
      </c>
      <c r="G965" s="661">
        <v>1</v>
      </c>
      <c r="H965" s="645" t="s">
        <v>1509</v>
      </c>
      <c r="I965" s="757">
        <v>8699</v>
      </c>
      <c r="J965" s="694">
        <f t="shared" si="4"/>
        <v>17398</v>
      </c>
    </row>
    <row r="966" spans="1:10" s="644" customFormat="1" ht="51">
      <c r="A966" s="668"/>
      <c r="B966" s="665" t="s">
        <v>2906</v>
      </c>
      <c r="C966" s="665" t="s">
        <v>1197</v>
      </c>
      <c r="D966" s="682" t="s">
        <v>3073</v>
      </c>
      <c r="E966" s="695">
        <v>12</v>
      </c>
      <c r="F966" s="645" t="s">
        <v>955</v>
      </c>
      <c r="G966" s="661">
        <v>1</v>
      </c>
      <c r="H966" s="645" t="s">
        <v>1509</v>
      </c>
      <c r="I966" s="657">
        <v>2064</v>
      </c>
      <c r="J966" s="694">
        <f t="shared" si="4"/>
        <v>24768</v>
      </c>
    </row>
    <row r="967" spans="1:10" s="644" customFormat="1">
      <c r="A967" s="668"/>
      <c r="B967" s="665"/>
      <c r="C967" s="735"/>
      <c r="D967" s="656" t="s">
        <v>3074</v>
      </c>
      <c r="E967" s="695"/>
      <c r="F967" s="645"/>
      <c r="G967" s="661"/>
      <c r="H967" s="645"/>
      <c r="I967" s="657"/>
      <c r="J967" s="694"/>
    </row>
    <row r="968" spans="1:10" s="644" customFormat="1" ht="76.5">
      <c r="A968" s="668"/>
      <c r="B968" s="659" t="s">
        <v>3075</v>
      </c>
      <c r="C968" s="665" t="s">
        <v>294</v>
      </c>
      <c r="D968" s="682" t="s">
        <v>3076</v>
      </c>
      <c r="E968" s="695">
        <v>1</v>
      </c>
      <c r="F968" s="645" t="s">
        <v>2927</v>
      </c>
      <c r="G968" s="661">
        <v>1</v>
      </c>
      <c r="H968" s="645" t="s">
        <v>2927</v>
      </c>
      <c r="I968" s="757">
        <v>2200</v>
      </c>
      <c r="J968" s="694">
        <f t="shared" ref="J968:J974" si="5">SUM(E968*I968)</f>
        <v>2200</v>
      </c>
    </row>
    <row r="969" spans="1:10" s="644" customFormat="1" ht="89.25">
      <c r="A969" s="668"/>
      <c r="B969" s="661" t="s">
        <v>3077</v>
      </c>
      <c r="C969" s="665" t="s">
        <v>294</v>
      </c>
      <c r="D969" s="682" t="s">
        <v>3078</v>
      </c>
      <c r="E969" s="695">
        <v>1</v>
      </c>
      <c r="F969" s="645" t="s">
        <v>2927</v>
      </c>
      <c r="G969" s="661">
        <v>1</v>
      </c>
      <c r="H969" s="645" t="s">
        <v>2927</v>
      </c>
      <c r="I969" s="757">
        <v>2200</v>
      </c>
      <c r="J969" s="694">
        <f t="shared" si="5"/>
        <v>2200</v>
      </c>
    </row>
    <row r="970" spans="1:10" s="644" customFormat="1" ht="51">
      <c r="A970" s="668"/>
      <c r="B970" s="654" t="s">
        <v>3079</v>
      </c>
      <c r="C970" s="735" t="s">
        <v>294</v>
      </c>
      <c r="D970" s="682" t="s">
        <v>3080</v>
      </c>
      <c r="E970" s="695">
        <v>1</v>
      </c>
      <c r="F970" s="645" t="s">
        <v>2927</v>
      </c>
      <c r="G970" s="661">
        <v>1</v>
      </c>
      <c r="H970" s="645" t="s">
        <v>2927</v>
      </c>
      <c r="I970" s="757">
        <v>8250</v>
      </c>
      <c r="J970" s="694">
        <f t="shared" si="5"/>
        <v>8250</v>
      </c>
    </row>
    <row r="971" spans="1:10" s="644" customFormat="1" ht="89.25">
      <c r="A971" s="668"/>
      <c r="B971" s="661" t="s">
        <v>3081</v>
      </c>
      <c r="C971" s="665" t="s">
        <v>294</v>
      </c>
      <c r="D971" s="682" t="s">
        <v>3082</v>
      </c>
      <c r="E971" s="695">
        <v>2</v>
      </c>
      <c r="F971" s="645" t="s">
        <v>2927</v>
      </c>
      <c r="G971" s="661">
        <v>1</v>
      </c>
      <c r="H971" s="645" t="s">
        <v>2927</v>
      </c>
      <c r="I971" s="757">
        <v>193</v>
      </c>
      <c r="J971" s="694">
        <f t="shared" si="5"/>
        <v>386</v>
      </c>
    </row>
    <row r="972" spans="1:10" s="644" customFormat="1" ht="63.75">
      <c r="A972" s="668"/>
      <c r="B972" s="661" t="s">
        <v>3081</v>
      </c>
      <c r="C972" s="735" t="s">
        <v>297</v>
      </c>
      <c r="D972" s="682" t="s">
        <v>3083</v>
      </c>
      <c r="E972" s="695">
        <v>3</v>
      </c>
      <c r="F972" s="645" t="s">
        <v>2927</v>
      </c>
      <c r="G972" s="661">
        <v>1</v>
      </c>
      <c r="H972" s="645" t="s">
        <v>2927</v>
      </c>
      <c r="I972" s="757">
        <v>149</v>
      </c>
      <c r="J972" s="694">
        <f t="shared" si="5"/>
        <v>447</v>
      </c>
    </row>
    <row r="973" spans="1:10" s="644" customFormat="1" ht="51">
      <c r="A973" s="668"/>
      <c r="B973" s="665" t="s">
        <v>3084</v>
      </c>
      <c r="C973" s="735" t="s">
        <v>294</v>
      </c>
      <c r="D973" s="682" t="s">
        <v>3085</v>
      </c>
      <c r="E973" s="695">
        <v>3</v>
      </c>
      <c r="F973" s="645" t="s">
        <v>2927</v>
      </c>
      <c r="G973" s="661">
        <v>1</v>
      </c>
      <c r="H973" s="645" t="s">
        <v>2927</v>
      </c>
      <c r="I973" s="757">
        <v>101</v>
      </c>
      <c r="J973" s="694">
        <f t="shared" si="5"/>
        <v>303</v>
      </c>
    </row>
    <row r="974" spans="1:10" s="644" customFormat="1" ht="76.5">
      <c r="A974" s="668"/>
      <c r="B974" s="665" t="s">
        <v>3086</v>
      </c>
      <c r="C974" s="665"/>
      <c r="D974" s="682" t="s">
        <v>3087</v>
      </c>
      <c r="E974" s="695">
        <v>3</v>
      </c>
      <c r="F974" s="645" t="s">
        <v>2927</v>
      </c>
      <c r="G974" s="661">
        <v>1</v>
      </c>
      <c r="H974" s="645" t="s">
        <v>2927</v>
      </c>
      <c r="I974" s="757">
        <v>484</v>
      </c>
      <c r="J974" s="694">
        <f t="shared" si="5"/>
        <v>1452</v>
      </c>
    </row>
    <row r="975" spans="1:10" s="644" customFormat="1">
      <c r="A975" s="668"/>
      <c r="B975" s="677"/>
      <c r="C975" s="677"/>
      <c r="D975" s="682"/>
      <c r="E975" s="695"/>
      <c r="F975" s="645"/>
      <c r="G975" s="661"/>
      <c r="H975" s="645"/>
      <c r="I975" s="657"/>
      <c r="J975" s="758">
        <f>SUM(J962:J974)</f>
        <v>242242.261</v>
      </c>
    </row>
    <row r="976" spans="1:10" s="644" customFormat="1">
      <c r="A976" s="668"/>
      <c r="B976" s="677"/>
      <c r="C976" s="677"/>
      <c r="D976" s="682" t="s">
        <v>2958</v>
      </c>
      <c r="E976" s="759">
        <v>0.05</v>
      </c>
      <c r="F976" s="680"/>
      <c r="G976" s="659"/>
      <c r="H976" s="680"/>
      <c r="I976" s="657"/>
      <c r="J976" s="758">
        <f>J975*E976</f>
        <v>12112.11305</v>
      </c>
    </row>
    <row r="977" spans="1:10" s="644" customFormat="1" ht="25.5">
      <c r="A977" s="668"/>
      <c r="B977" s="677"/>
      <c r="C977" s="677"/>
      <c r="D977" s="682" t="s">
        <v>2959</v>
      </c>
      <c r="E977" s="759">
        <v>0.02</v>
      </c>
      <c r="F977" s="681"/>
      <c r="G977" s="665"/>
      <c r="H977" s="681"/>
      <c r="I977" s="657"/>
      <c r="J977" s="758">
        <f>J975*E977</f>
        <v>4844.8452200000002</v>
      </c>
    </row>
    <row r="978" spans="1:10" s="644" customFormat="1">
      <c r="A978" s="668"/>
      <c r="B978" s="677"/>
      <c r="C978" s="677"/>
      <c r="D978" s="682" t="s">
        <v>2943</v>
      </c>
      <c r="E978" s="759">
        <v>0.02</v>
      </c>
      <c r="F978" s="680"/>
      <c r="G978" s="661"/>
      <c r="H978" s="680"/>
      <c r="I978" s="657"/>
      <c r="J978" s="758">
        <f>J975*E978</f>
        <v>4844.8452200000002</v>
      </c>
    </row>
    <row r="979" spans="1:10" s="644" customFormat="1" ht="38.25">
      <c r="A979" s="668"/>
      <c r="B979" s="677"/>
      <c r="C979" s="677"/>
      <c r="D979" s="682" t="s">
        <v>3088</v>
      </c>
      <c r="E979" s="759">
        <v>0.05</v>
      </c>
      <c r="F979" s="680"/>
      <c r="G979" s="661"/>
      <c r="H979" s="680"/>
      <c r="I979" s="657"/>
      <c r="J979" s="758">
        <f>J975*E979</f>
        <v>12112.11305</v>
      </c>
    </row>
    <row r="980" spans="1:10" s="644" customFormat="1" ht="25.5">
      <c r="A980" s="668"/>
      <c r="B980" s="677"/>
      <c r="C980" s="677"/>
      <c r="D980" s="683" t="s">
        <v>2945</v>
      </c>
      <c r="E980" s="681"/>
      <c r="F980" s="659"/>
      <c r="G980" s="659"/>
      <c r="H980" s="659"/>
      <c r="I980" s="657"/>
      <c r="J980" s="758">
        <f>SUM(J975:J979)</f>
        <v>276156.17753999995</v>
      </c>
    </row>
    <row r="981" spans="1:10" s="644" customFormat="1">
      <c r="A981" s="668"/>
      <c r="B981" s="664"/>
      <c r="C981" s="664"/>
      <c r="D981" s="669" t="s">
        <v>2767</v>
      </c>
      <c r="E981" s="670">
        <f>$E$9</f>
        <v>0</v>
      </c>
      <c r="F981" s="684"/>
      <c r="G981" s="663"/>
      <c r="H981" s="684"/>
      <c r="I981" s="672"/>
      <c r="J981" s="761">
        <f>J980*E981</f>
        <v>0</v>
      </c>
    </row>
    <row r="982" spans="1:10" s="644" customFormat="1">
      <c r="A982" s="668"/>
      <c r="B982" s="664"/>
      <c r="C982" s="664"/>
      <c r="D982" s="673"/>
      <c r="E982" s="685"/>
      <c r="F982" s="684"/>
      <c r="G982" s="663"/>
      <c r="H982" s="684"/>
      <c r="I982" s="672"/>
      <c r="J982" s="676">
        <f>SUM(J980:J981)</f>
        <v>276156.17753999995</v>
      </c>
    </row>
    <row r="983" spans="1:10" s="644" customFormat="1">
      <c r="A983" s="668"/>
      <c r="B983" s="664"/>
      <c r="C983" s="664"/>
      <c r="D983" s="669" t="s">
        <v>2380</v>
      </c>
      <c r="E983" s="685"/>
      <c r="F983" s="684"/>
      <c r="G983" s="663"/>
      <c r="H983" s="684"/>
      <c r="I983" s="686"/>
      <c r="J983" s="693">
        <f>ROUND(J982,0)</f>
        <v>276156</v>
      </c>
    </row>
    <row r="984" spans="1:10" s="644" customFormat="1">
      <c r="A984" s="668"/>
      <c r="B984" s="677"/>
      <c r="C984" s="677"/>
      <c r="D984" s="683"/>
      <c r="E984" s="681"/>
      <c r="F984" s="659"/>
      <c r="G984" s="659"/>
      <c r="H984" s="659"/>
      <c r="I984" s="672"/>
      <c r="J984" s="693"/>
    </row>
    <row r="985" spans="1:10" s="644" customFormat="1">
      <c r="A985" s="673"/>
      <c r="B985" s="677"/>
      <c r="C985" s="677"/>
      <c r="D985" s="2161" t="s">
        <v>3089</v>
      </c>
      <c r="E985" s="2161"/>
      <c r="F985" s="2161"/>
      <c r="G985" s="2161"/>
      <c r="H985" s="2161"/>
      <c r="I985" s="2161"/>
      <c r="J985" s="2161"/>
    </row>
    <row r="986" spans="1:10" s="644" customFormat="1">
      <c r="A986" s="653">
        <f>SUM(MAX($A$7:$A984),1)</f>
        <v>55</v>
      </c>
      <c r="B986" s="668"/>
      <c r="C986" s="668"/>
      <c r="D986" s="2158" t="s">
        <v>3067</v>
      </c>
      <c r="E986" s="2158"/>
      <c r="F986" s="2158"/>
      <c r="G986" s="2158"/>
      <c r="H986" s="2158"/>
      <c r="I986" s="2158"/>
      <c r="J986" s="2158"/>
    </row>
    <row r="987" spans="1:10" s="644" customFormat="1">
      <c r="A987" s="668"/>
      <c r="B987" s="677"/>
      <c r="C987" s="677"/>
      <c r="D987" s="682" t="s">
        <v>2930</v>
      </c>
      <c r="E987" s="679"/>
      <c r="F987" s="659" t="s">
        <v>2430</v>
      </c>
      <c r="G987" s="660" t="s">
        <v>2431</v>
      </c>
      <c r="H987" s="661" t="s">
        <v>929</v>
      </c>
      <c r="I987" s="679"/>
      <c r="J987" s="682" t="s">
        <v>955</v>
      </c>
    </row>
    <row r="988" spans="1:10" s="644" customFormat="1">
      <c r="A988" s="668"/>
      <c r="B988" s="677"/>
      <c r="C988" s="677"/>
      <c r="D988" s="682" t="s">
        <v>2931</v>
      </c>
      <c r="E988" s="679"/>
      <c r="F988" s="679">
        <v>2.25</v>
      </c>
      <c r="G988" s="660">
        <v>1.98</v>
      </c>
      <c r="H988" s="755">
        <v>0.45</v>
      </c>
      <c r="I988" s="679"/>
      <c r="J988" s="682"/>
    </row>
    <row r="989" spans="1:10" s="644" customFormat="1">
      <c r="A989" s="668"/>
      <c r="B989" s="677"/>
      <c r="C989" s="677"/>
      <c r="D989" s="682" t="s">
        <v>2932</v>
      </c>
      <c r="E989" s="679"/>
      <c r="F989" s="679">
        <v>2</v>
      </c>
      <c r="G989" s="660">
        <f>F988</f>
        <v>2.25</v>
      </c>
      <c r="H989" s="755">
        <f>G988</f>
        <v>1.98</v>
      </c>
      <c r="I989" s="679">
        <f t="shared" ref="I989:I995" si="6">F989*G989*H989</f>
        <v>8.91</v>
      </c>
      <c r="J989" s="654">
        <v>2</v>
      </c>
    </row>
    <row r="990" spans="1:10" s="644" customFormat="1">
      <c r="A990" s="668"/>
      <c r="B990" s="677"/>
      <c r="C990" s="677"/>
      <c r="D990" s="682" t="s">
        <v>2933</v>
      </c>
      <c r="E990" s="679"/>
      <c r="F990" s="679">
        <v>2</v>
      </c>
      <c r="G990" s="660">
        <f>F988</f>
        <v>2.25</v>
      </c>
      <c r="H990" s="755">
        <f>H988</f>
        <v>0.45</v>
      </c>
      <c r="I990" s="679">
        <f t="shared" si="6"/>
        <v>2.0249999999999999</v>
      </c>
      <c r="J990" s="654">
        <v>2</v>
      </c>
    </row>
    <row r="991" spans="1:10" s="644" customFormat="1">
      <c r="A991" s="668"/>
      <c r="B991" s="677"/>
      <c r="C991" s="677"/>
      <c r="D991" s="682" t="s">
        <v>2934</v>
      </c>
      <c r="E991" s="679"/>
      <c r="F991" s="679">
        <v>2</v>
      </c>
      <c r="G991" s="660">
        <f>G988</f>
        <v>1.98</v>
      </c>
      <c r="H991" s="755">
        <f>H988</f>
        <v>0.45</v>
      </c>
      <c r="I991" s="679">
        <f t="shared" si="6"/>
        <v>1.782</v>
      </c>
      <c r="J991" s="654">
        <v>2</v>
      </c>
    </row>
    <row r="992" spans="1:10" s="644" customFormat="1">
      <c r="A992" s="668"/>
      <c r="B992" s="677"/>
      <c r="C992" s="677"/>
      <c r="D992" s="682" t="s">
        <v>3068</v>
      </c>
      <c r="E992" s="679"/>
      <c r="F992" s="679">
        <v>2</v>
      </c>
      <c r="G992" s="660">
        <f>G988</f>
        <v>1.98</v>
      </c>
      <c r="H992" s="755">
        <f>H988</f>
        <v>0.45</v>
      </c>
      <c r="I992" s="679">
        <f t="shared" si="6"/>
        <v>1.782</v>
      </c>
      <c r="J992" s="654">
        <v>2</v>
      </c>
    </row>
    <row r="993" spans="1:10" s="644" customFormat="1">
      <c r="A993" s="668"/>
      <c r="B993" s="677"/>
      <c r="C993" s="677"/>
      <c r="D993" s="682"/>
      <c r="E993" s="679"/>
      <c r="F993" s="679">
        <v>2</v>
      </c>
      <c r="G993" s="660">
        <v>1.6</v>
      </c>
      <c r="H993" s="755">
        <v>1</v>
      </c>
      <c r="I993" s="679">
        <f t="shared" si="6"/>
        <v>3.2</v>
      </c>
      <c r="J993" s="654"/>
    </row>
    <row r="994" spans="1:10" s="644" customFormat="1">
      <c r="A994" s="668"/>
      <c r="B994" s="677"/>
      <c r="C994" s="677"/>
      <c r="D994" s="682" t="s">
        <v>3069</v>
      </c>
      <c r="E994" s="679"/>
      <c r="F994" s="679">
        <v>13</v>
      </c>
      <c r="G994" s="660">
        <v>0.45</v>
      </c>
      <c r="H994" s="835">
        <v>0.55000000000000004</v>
      </c>
      <c r="I994" s="679">
        <f t="shared" si="6"/>
        <v>3.2175000000000007</v>
      </c>
      <c r="J994" s="654">
        <v>0</v>
      </c>
    </row>
    <row r="995" spans="1:10" s="644" customFormat="1">
      <c r="A995" s="668"/>
      <c r="B995" s="677"/>
      <c r="C995" s="677"/>
      <c r="D995" s="682" t="s">
        <v>3069</v>
      </c>
      <c r="E995" s="679"/>
      <c r="F995" s="679"/>
      <c r="G995" s="660"/>
      <c r="H995" s="835"/>
      <c r="I995" s="679">
        <f t="shared" si="6"/>
        <v>0</v>
      </c>
      <c r="J995" s="654">
        <v>6</v>
      </c>
    </row>
    <row r="996" spans="1:10" s="644" customFormat="1">
      <c r="A996" s="668"/>
      <c r="B996" s="677"/>
      <c r="C996" s="677"/>
      <c r="D996" s="682" t="s">
        <v>2935</v>
      </c>
      <c r="E996" s="679"/>
      <c r="F996" s="679"/>
      <c r="G996" s="660"/>
      <c r="H996" s="770"/>
      <c r="I996" s="679">
        <f>SUM(I989:I995)</f>
        <v>20.916500000000003</v>
      </c>
      <c r="J996" s="654">
        <v>0</v>
      </c>
    </row>
    <row r="997" spans="1:10" s="644" customFormat="1">
      <c r="A997" s="668"/>
      <c r="B997" s="677"/>
      <c r="C997" s="677"/>
      <c r="D997" s="682" t="s">
        <v>2936</v>
      </c>
      <c r="E997" s="679"/>
      <c r="F997" s="679"/>
      <c r="G997" s="660"/>
      <c r="H997" s="770"/>
      <c r="I997" s="679">
        <f>0.1*I996</f>
        <v>2.0916500000000005</v>
      </c>
      <c r="J997" s="654">
        <v>0</v>
      </c>
    </row>
    <row r="998" spans="1:10" s="644" customFormat="1">
      <c r="A998" s="668"/>
      <c r="B998" s="677"/>
      <c r="C998" s="677"/>
      <c r="D998" s="682" t="s">
        <v>946</v>
      </c>
      <c r="E998" s="679"/>
      <c r="F998" s="679"/>
      <c r="G998" s="660"/>
      <c r="H998" s="770"/>
      <c r="I998" s="685">
        <f>SUM(I996:I997)</f>
        <v>23.008150000000004</v>
      </c>
      <c r="J998" s="682"/>
    </row>
    <row r="999" spans="1:10" s="644" customFormat="1" ht="127.5">
      <c r="A999" s="668"/>
      <c r="B999" s="665" t="s">
        <v>2937</v>
      </c>
      <c r="C999" s="735" t="s">
        <v>2938</v>
      </c>
      <c r="D999" s="682" t="s">
        <v>2939</v>
      </c>
      <c r="E999" s="679">
        <f>I998</f>
        <v>23.008150000000004</v>
      </c>
      <c r="F999" s="680" t="s">
        <v>2948</v>
      </c>
      <c r="G999" s="661">
        <v>1</v>
      </c>
      <c r="H999" s="680" t="s">
        <v>2948</v>
      </c>
      <c r="I999" s="657">
        <v>4940</v>
      </c>
      <c r="J999" s="694">
        <f t="shared" ref="J999:J1003" si="7">SUM(E999*I999/G999)</f>
        <v>113660.26100000001</v>
      </c>
    </row>
    <row r="1000" spans="1:10" s="644" customFormat="1" ht="102">
      <c r="A1000" s="668"/>
      <c r="B1000" s="665" t="s">
        <v>2915</v>
      </c>
      <c r="C1000" s="735" t="s">
        <v>1197</v>
      </c>
      <c r="D1000" s="682" t="s">
        <v>3090</v>
      </c>
      <c r="E1000" s="695">
        <v>1</v>
      </c>
      <c r="F1000" s="645" t="s">
        <v>955</v>
      </c>
      <c r="G1000" s="661">
        <v>1</v>
      </c>
      <c r="H1000" s="645" t="s">
        <v>1509</v>
      </c>
      <c r="I1000" s="757">
        <v>17881</v>
      </c>
      <c r="J1000" s="694">
        <f t="shared" si="7"/>
        <v>17881</v>
      </c>
    </row>
    <row r="1001" spans="1:10" s="644" customFormat="1" ht="102">
      <c r="A1001" s="668"/>
      <c r="B1001" s="665" t="s">
        <v>2915</v>
      </c>
      <c r="C1001" s="735" t="s">
        <v>1186</v>
      </c>
      <c r="D1001" s="682" t="s">
        <v>3091</v>
      </c>
      <c r="E1001" s="695">
        <v>4</v>
      </c>
      <c r="F1001" s="645" t="s">
        <v>955</v>
      </c>
      <c r="G1001" s="661">
        <v>1</v>
      </c>
      <c r="H1001" s="645" t="s">
        <v>1509</v>
      </c>
      <c r="I1001" s="757">
        <v>10325</v>
      </c>
      <c r="J1001" s="694">
        <f t="shared" si="7"/>
        <v>41300</v>
      </c>
    </row>
    <row r="1002" spans="1:10" s="644" customFormat="1" ht="102">
      <c r="A1002" s="668"/>
      <c r="B1002" s="665" t="s">
        <v>2915</v>
      </c>
      <c r="C1002" s="735" t="s">
        <v>1180</v>
      </c>
      <c r="D1002" s="682" t="s">
        <v>3072</v>
      </c>
      <c r="E1002" s="695">
        <v>2</v>
      </c>
      <c r="F1002" s="645" t="s">
        <v>955</v>
      </c>
      <c r="G1002" s="661">
        <v>1</v>
      </c>
      <c r="H1002" s="645" t="s">
        <v>1509</v>
      </c>
      <c r="I1002" s="757">
        <v>8699</v>
      </c>
      <c r="J1002" s="694">
        <f t="shared" si="7"/>
        <v>17398</v>
      </c>
    </row>
    <row r="1003" spans="1:10" s="644" customFormat="1" ht="38.25">
      <c r="A1003" s="668"/>
      <c r="B1003" s="665" t="s">
        <v>2906</v>
      </c>
      <c r="C1003" s="665" t="s">
        <v>1197</v>
      </c>
      <c r="D1003" s="682" t="s">
        <v>3092</v>
      </c>
      <c r="E1003" s="695">
        <v>12</v>
      </c>
      <c r="F1003" s="645" t="s">
        <v>955</v>
      </c>
      <c r="G1003" s="661">
        <v>1</v>
      </c>
      <c r="H1003" s="645" t="s">
        <v>1509</v>
      </c>
      <c r="I1003" s="657">
        <v>2064</v>
      </c>
      <c r="J1003" s="694">
        <f t="shared" si="7"/>
        <v>24768</v>
      </c>
    </row>
    <row r="1004" spans="1:10" s="644" customFormat="1">
      <c r="A1004" s="668"/>
      <c r="B1004" s="665"/>
      <c r="C1004" s="735"/>
      <c r="D1004" s="656" t="s">
        <v>3074</v>
      </c>
      <c r="E1004" s="695"/>
      <c r="F1004" s="645"/>
      <c r="G1004" s="661"/>
      <c r="H1004" s="645"/>
      <c r="I1004" s="657"/>
      <c r="J1004" s="694"/>
    </row>
    <row r="1005" spans="1:10" s="644" customFormat="1" ht="76.5">
      <c r="A1005" s="668"/>
      <c r="B1005" s="659" t="s">
        <v>3075</v>
      </c>
      <c r="C1005" s="665" t="s">
        <v>294</v>
      </c>
      <c r="D1005" s="682" t="s">
        <v>3076</v>
      </c>
      <c r="E1005" s="695">
        <v>1</v>
      </c>
      <c r="F1005" s="645" t="s">
        <v>2927</v>
      </c>
      <c r="G1005" s="661">
        <v>1</v>
      </c>
      <c r="H1005" s="645" t="s">
        <v>2927</v>
      </c>
      <c r="I1005" s="757">
        <v>2200</v>
      </c>
      <c r="J1005" s="694">
        <f t="shared" ref="J1005:J1011" si="8">SUM(E1005*I1005)</f>
        <v>2200</v>
      </c>
    </row>
    <row r="1006" spans="1:10" s="644" customFormat="1" ht="89.25">
      <c r="A1006" s="668"/>
      <c r="B1006" s="661" t="s">
        <v>3077</v>
      </c>
      <c r="C1006" s="665" t="s">
        <v>294</v>
      </c>
      <c r="D1006" s="682" t="s">
        <v>3078</v>
      </c>
      <c r="E1006" s="695">
        <v>1</v>
      </c>
      <c r="F1006" s="645" t="s">
        <v>2927</v>
      </c>
      <c r="G1006" s="661">
        <v>1</v>
      </c>
      <c r="H1006" s="645" t="s">
        <v>2927</v>
      </c>
      <c r="I1006" s="757">
        <v>2200</v>
      </c>
      <c r="J1006" s="694">
        <f t="shared" si="8"/>
        <v>2200</v>
      </c>
    </row>
    <row r="1007" spans="1:10" s="644" customFormat="1" ht="51">
      <c r="A1007" s="668"/>
      <c r="B1007" s="654" t="s">
        <v>3079</v>
      </c>
      <c r="C1007" s="735" t="s">
        <v>294</v>
      </c>
      <c r="D1007" s="682" t="s">
        <v>3080</v>
      </c>
      <c r="E1007" s="695">
        <v>1</v>
      </c>
      <c r="F1007" s="645" t="s">
        <v>2927</v>
      </c>
      <c r="G1007" s="661">
        <v>1</v>
      </c>
      <c r="H1007" s="645" t="s">
        <v>2927</v>
      </c>
      <c r="I1007" s="757">
        <v>8250</v>
      </c>
      <c r="J1007" s="694">
        <f t="shared" si="8"/>
        <v>8250</v>
      </c>
    </row>
    <row r="1008" spans="1:10" s="644" customFormat="1" ht="89.25">
      <c r="A1008" s="668"/>
      <c r="B1008" s="661" t="s">
        <v>3081</v>
      </c>
      <c r="C1008" s="665" t="s">
        <v>294</v>
      </c>
      <c r="D1008" s="682" t="s">
        <v>3082</v>
      </c>
      <c r="E1008" s="695">
        <v>2</v>
      </c>
      <c r="F1008" s="645" t="s">
        <v>2927</v>
      </c>
      <c r="G1008" s="661">
        <v>1</v>
      </c>
      <c r="H1008" s="645" t="s">
        <v>2927</v>
      </c>
      <c r="I1008" s="757">
        <v>193</v>
      </c>
      <c r="J1008" s="694">
        <f t="shared" si="8"/>
        <v>386</v>
      </c>
    </row>
    <row r="1009" spans="1:10" s="644" customFormat="1" ht="63.75">
      <c r="A1009" s="668"/>
      <c r="B1009" s="661" t="s">
        <v>3081</v>
      </c>
      <c r="C1009" s="735" t="s">
        <v>297</v>
      </c>
      <c r="D1009" s="682" t="s">
        <v>3083</v>
      </c>
      <c r="E1009" s="695">
        <v>3</v>
      </c>
      <c r="F1009" s="645" t="s">
        <v>2927</v>
      </c>
      <c r="G1009" s="661">
        <v>1</v>
      </c>
      <c r="H1009" s="645" t="s">
        <v>2927</v>
      </c>
      <c r="I1009" s="757">
        <v>149</v>
      </c>
      <c r="J1009" s="694">
        <f t="shared" si="8"/>
        <v>447</v>
      </c>
    </row>
    <row r="1010" spans="1:10" s="644" customFormat="1" ht="51">
      <c r="A1010" s="668"/>
      <c r="B1010" s="665" t="s">
        <v>3084</v>
      </c>
      <c r="C1010" s="735" t="s">
        <v>294</v>
      </c>
      <c r="D1010" s="682" t="s">
        <v>3085</v>
      </c>
      <c r="E1010" s="695">
        <v>3</v>
      </c>
      <c r="F1010" s="645" t="s">
        <v>2927</v>
      </c>
      <c r="G1010" s="661">
        <v>1</v>
      </c>
      <c r="H1010" s="645" t="s">
        <v>2927</v>
      </c>
      <c r="I1010" s="757">
        <v>101</v>
      </c>
      <c r="J1010" s="694">
        <f t="shared" si="8"/>
        <v>303</v>
      </c>
    </row>
    <row r="1011" spans="1:10" s="644" customFormat="1" ht="76.5">
      <c r="A1011" s="668"/>
      <c r="B1011" s="665" t="s">
        <v>3086</v>
      </c>
      <c r="C1011" s="665"/>
      <c r="D1011" s="682" t="s">
        <v>3087</v>
      </c>
      <c r="E1011" s="695">
        <v>3</v>
      </c>
      <c r="F1011" s="645" t="s">
        <v>2927</v>
      </c>
      <c r="G1011" s="661">
        <v>1</v>
      </c>
      <c r="H1011" s="645" t="s">
        <v>2927</v>
      </c>
      <c r="I1011" s="757">
        <v>484</v>
      </c>
      <c r="J1011" s="694">
        <f t="shared" si="8"/>
        <v>1452</v>
      </c>
    </row>
    <row r="1012" spans="1:10" s="644" customFormat="1">
      <c r="A1012" s="668"/>
      <c r="B1012" s="677"/>
      <c r="C1012" s="677"/>
      <c r="D1012" s="682"/>
      <c r="E1012" s="695"/>
      <c r="F1012" s="645"/>
      <c r="G1012" s="661"/>
      <c r="H1012" s="645"/>
      <c r="I1012" s="657"/>
      <c r="J1012" s="758">
        <f>SUM(J999:J1011)</f>
        <v>230245.261</v>
      </c>
    </row>
    <row r="1013" spans="1:10" s="644" customFormat="1">
      <c r="A1013" s="668"/>
      <c r="B1013" s="677"/>
      <c r="C1013" s="677"/>
      <c r="D1013" s="682" t="s">
        <v>2958</v>
      </c>
      <c r="E1013" s="759">
        <v>0.05</v>
      </c>
      <c r="F1013" s="680"/>
      <c r="G1013" s="659"/>
      <c r="H1013" s="680"/>
      <c r="I1013" s="657"/>
      <c r="J1013" s="758">
        <f>J1012*E1013</f>
        <v>11512.263050000001</v>
      </c>
    </row>
    <row r="1014" spans="1:10" s="644" customFormat="1" ht="25.5">
      <c r="A1014" s="668"/>
      <c r="B1014" s="677"/>
      <c r="C1014" s="677"/>
      <c r="D1014" s="682" t="s">
        <v>2959</v>
      </c>
      <c r="E1014" s="759">
        <v>0.02</v>
      </c>
      <c r="F1014" s="681"/>
      <c r="G1014" s="665"/>
      <c r="H1014" s="681"/>
      <c r="I1014" s="657"/>
      <c r="J1014" s="758">
        <f>J1012*E1014</f>
        <v>4604.9052199999996</v>
      </c>
    </row>
    <row r="1015" spans="1:10" s="644" customFormat="1">
      <c r="A1015" s="668"/>
      <c r="B1015" s="677"/>
      <c r="C1015" s="677"/>
      <c r="D1015" s="682" t="s">
        <v>2943</v>
      </c>
      <c r="E1015" s="759">
        <v>0.02</v>
      </c>
      <c r="F1015" s="680"/>
      <c r="G1015" s="661"/>
      <c r="H1015" s="680"/>
      <c r="I1015" s="657"/>
      <c r="J1015" s="758">
        <f>J1012*E1015</f>
        <v>4604.9052199999996</v>
      </c>
    </row>
    <row r="1016" spans="1:10" s="644" customFormat="1" ht="38.25">
      <c r="A1016" s="668"/>
      <c r="B1016" s="677"/>
      <c r="C1016" s="677"/>
      <c r="D1016" s="682" t="s">
        <v>3088</v>
      </c>
      <c r="E1016" s="759">
        <v>0.05</v>
      </c>
      <c r="F1016" s="680"/>
      <c r="G1016" s="661"/>
      <c r="H1016" s="680"/>
      <c r="I1016" s="657"/>
      <c r="J1016" s="758">
        <f>J1012*E1016</f>
        <v>11512.263050000001</v>
      </c>
    </row>
    <row r="1017" spans="1:10" s="644" customFormat="1" ht="25.5">
      <c r="A1017" s="668"/>
      <c r="B1017" s="677"/>
      <c r="C1017" s="677"/>
      <c r="D1017" s="683" t="s">
        <v>2945</v>
      </c>
      <c r="E1017" s="681"/>
      <c r="F1017" s="659"/>
      <c r="G1017" s="659"/>
      <c r="H1017" s="659"/>
      <c r="I1017" s="657"/>
      <c r="J1017" s="758">
        <f>SUM(J1012:J1016)</f>
        <v>262479.59753999999</v>
      </c>
    </row>
    <row r="1018" spans="1:10" s="644" customFormat="1">
      <c r="A1018" s="668"/>
      <c r="B1018" s="664"/>
      <c r="C1018" s="664"/>
      <c r="D1018" s="669" t="s">
        <v>2767</v>
      </c>
      <c r="E1018" s="670">
        <f>$E$9</f>
        <v>0</v>
      </c>
      <c r="F1018" s="684"/>
      <c r="G1018" s="663"/>
      <c r="H1018" s="684"/>
      <c r="I1018" s="672"/>
      <c r="J1018" s="761">
        <f>J1017*E1018</f>
        <v>0</v>
      </c>
    </row>
    <row r="1019" spans="1:10" s="644" customFormat="1">
      <c r="A1019" s="668"/>
      <c r="B1019" s="664"/>
      <c r="C1019" s="664"/>
      <c r="D1019" s="673"/>
      <c r="E1019" s="685"/>
      <c r="F1019" s="684"/>
      <c r="G1019" s="663"/>
      <c r="H1019" s="684"/>
      <c r="I1019" s="672"/>
      <c r="J1019" s="676">
        <f>SUM(J1017:J1018)</f>
        <v>262479.59753999999</v>
      </c>
    </row>
    <row r="1020" spans="1:10" s="644" customFormat="1">
      <c r="A1020" s="668"/>
      <c r="B1020" s="664"/>
      <c r="C1020" s="664"/>
      <c r="D1020" s="669" t="s">
        <v>2380</v>
      </c>
      <c r="E1020" s="685"/>
      <c r="F1020" s="684"/>
      <c r="G1020" s="663"/>
      <c r="H1020" s="684"/>
      <c r="I1020" s="686"/>
      <c r="J1020" s="693">
        <f>ROUND(J1019,0)</f>
        <v>262480</v>
      </c>
    </row>
    <row r="1021" spans="1:10" s="644" customFormat="1">
      <c r="A1021" s="668"/>
      <c r="B1021" s="677"/>
      <c r="C1021" s="677"/>
      <c r="D1021" s="683"/>
      <c r="E1021" s="681"/>
      <c r="F1021" s="659"/>
      <c r="G1021" s="659"/>
      <c r="H1021" s="659"/>
      <c r="I1021" s="672"/>
      <c r="J1021" s="758"/>
    </row>
    <row r="1022" spans="1:10" s="644" customFormat="1">
      <c r="A1022" s="673"/>
      <c r="B1022" s="677"/>
      <c r="C1022" s="677"/>
      <c r="D1022" s="2161" t="s">
        <v>3093</v>
      </c>
      <c r="E1022" s="2161"/>
      <c r="F1022" s="2161"/>
      <c r="G1022" s="2161"/>
      <c r="H1022" s="2161"/>
      <c r="I1022" s="2161"/>
      <c r="J1022" s="2161"/>
    </row>
    <row r="1023" spans="1:10" s="644" customFormat="1">
      <c r="A1023" s="653">
        <f>SUM(MAX($A$7:$A1021),1)</f>
        <v>56</v>
      </c>
      <c r="B1023" s="668"/>
      <c r="C1023" s="668"/>
      <c r="D1023" s="2158" t="s">
        <v>3067</v>
      </c>
      <c r="E1023" s="2158"/>
      <c r="F1023" s="2158"/>
      <c r="G1023" s="2158"/>
      <c r="H1023" s="2158"/>
      <c r="I1023" s="2158"/>
      <c r="J1023" s="2158"/>
    </row>
    <row r="1024" spans="1:10" s="644" customFormat="1">
      <c r="A1024" s="668"/>
      <c r="B1024" s="677"/>
      <c r="C1024" s="677"/>
      <c r="D1024" s="682" t="s">
        <v>2930</v>
      </c>
      <c r="E1024" s="679"/>
      <c r="F1024" s="659" t="s">
        <v>2430</v>
      </c>
      <c r="G1024" s="660" t="s">
        <v>2431</v>
      </c>
      <c r="H1024" s="661" t="s">
        <v>929</v>
      </c>
      <c r="I1024" s="679"/>
      <c r="J1024" s="682" t="s">
        <v>955</v>
      </c>
    </row>
    <row r="1025" spans="1:11" s="644" customFormat="1">
      <c r="A1025" s="668"/>
      <c r="B1025" s="677"/>
      <c r="C1025" s="677"/>
      <c r="D1025" s="682" t="s">
        <v>2931</v>
      </c>
      <c r="E1025" s="679"/>
      <c r="F1025" s="679">
        <v>2.25</v>
      </c>
      <c r="G1025" s="660">
        <v>1.98</v>
      </c>
      <c r="H1025" s="755">
        <v>0.45</v>
      </c>
      <c r="I1025" s="679"/>
      <c r="J1025" s="682"/>
    </row>
    <row r="1026" spans="1:11" s="644" customFormat="1">
      <c r="A1026" s="668"/>
      <c r="B1026" s="677"/>
      <c r="C1026" s="677"/>
      <c r="D1026" s="682" t="s">
        <v>2932</v>
      </c>
      <c r="E1026" s="679"/>
      <c r="F1026" s="679">
        <v>2</v>
      </c>
      <c r="G1026" s="660">
        <f>F1025</f>
        <v>2.25</v>
      </c>
      <c r="H1026" s="755">
        <f>G1025</f>
        <v>1.98</v>
      </c>
      <c r="I1026" s="679">
        <f t="shared" ref="I1026:I1032" si="9">F1026*G1026*H1026</f>
        <v>8.91</v>
      </c>
      <c r="J1026" s="654">
        <v>2</v>
      </c>
    </row>
    <row r="1027" spans="1:11" s="644" customFormat="1">
      <c r="A1027" s="668"/>
      <c r="B1027" s="677"/>
      <c r="C1027" s="677"/>
      <c r="D1027" s="682" t="s">
        <v>2933</v>
      </c>
      <c r="E1027" s="679"/>
      <c r="F1027" s="679">
        <v>2</v>
      </c>
      <c r="G1027" s="660">
        <f>F1025</f>
        <v>2.25</v>
      </c>
      <c r="H1027" s="755">
        <f>H1025</f>
        <v>0.45</v>
      </c>
      <c r="I1027" s="679">
        <f t="shared" si="9"/>
        <v>2.0249999999999999</v>
      </c>
      <c r="J1027" s="654">
        <v>2</v>
      </c>
    </row>
    <row r="1028" spans="1:11" s="644" customFormat="1">
      <c r="A1028" s="668"/>
      <c r="B1028" s="677"/>
      <c r="C1028" s="677"/>
      <c r="D1028" s="682" t="s">
        <v>2934</v>
      </c>
      <c r="E1028" s="679"/>
      <c r="F1028" s="679">
        <v>2</v>
      </c>
      <c r="G1028" s="660">
        <f>G1025</f>
        <v>1.98</v>
      </c>
      <c r="H1028" s="755">
        <f>H1025</f>
        <v>0.45</v>
      </c>
      <c r="I1028" s="679">
        <f t="shared" si="9"/>
        <v>1.782</v>
      </c>
      <c r="J1028" s="654">
        <v>2</v>
      </c>
    </row>
    <row r="1029" spans="1:11" s="644" customFormat="1">
      <c r="A1029" s="668"/>
      <c r="B1029" s="677"/>
      <c r="C1029" s="677"/>
      <c r="D1029" s="682" t="s">
        <v>3068</v>
      </c>
      <c r="E1029" s="679"/>
      <c r="F1029" s="679">
        <v>2</v>
      </c>
      <c r="G1029" s="660">
        <f>G1025</f>
        <v>1.98</v>
      </c>
      <c r="H1029" s="755">
        <f>H1025</f>
        <v>0.45</v>
      </c>
      <c r="I1029" s="679">
        <f t="shared" si="9"/>
        <v>1.782</v>
      </c>
      <c r="J1029" s="654">
        <v>2</v>
      </c>
    </row>
    <row r="1030" spans="1:11" s="644" customFormat="1">
      <c r="A1030" s="668"/>
      <c r="B1030" s="677"/>
      <c r="C1030" s="677"/>
      <c r="D1030" s="682"/>
      <c r="E1030" s="679"/>
      <c r="F1030" s="679">
        <v>2</v>
      </c>
      <c r="G1030" s="660">
        <v>1.6</v>
      </c>
      <c r="H1030" s="755">
        <v>1</v>
      </c>
      <c r="I1030" s="679">
        <f t="shared" si="9"/>
        <v>3.2</v>
      </c>
      <c r="J1030" s="654"/>
    </row>
    <row r="1031" spans="1:11" s="644" customFormat="1">
      <c r="A1031" s="668"/>
      <c r="B1031" s="677"/>
      <c r="C1031" s="677"/>
      <c r="D1031" s="682" t="s">
        <v>3069</v>
      </c>
      <c r="E1031" s="679"/>
      <c r="F1031" s="679">
        <v>13</v>
      </c>
      <c r="G1031" s="660">
        <v>0.45</v>
      </c>
      <c r="H1031" s="835">
        <v>0.55000000000000004</v>
      </c>
      <c r="I1031" s="679">
        <f t="shared" si="9"/>
        <v>3.2175000000000007</v>
      </c>
      <c r="J1031" s="654">
        <v>0</v>
      </c>
    </row>
    <row r="1032" spans="1:11" s="644" customFormat="1">
      <c r="A1032" s="668"/>
      <c r="B1032" s="677"/>
      <c r="C1032" s="677"/>
      <c r="D1032" s="682" t="s">
        <v>3069</v>
      </c>
      <c r="E1032" s="679"/>
      <c r="F1032" s="679"/>
      <c r="G1032" s="660"/>
      <c r="H1032" s="835"/>
      <c r="I1032" s="679">
        <f t="shared" si="9"/>
        <v>0</v>
      </c>
      <c r="J1032" s="654">
        <v>6</v>
      </c>
    </row>
    <row r="1033" spans="1:11" s="644" customFormat="1">
      <c r="A1033" s="668"/>
      <c r="B1033" s="677"/>
      <c r="C1033" s="677"/>
      <c r="D1033" s="682" t="s">
        <v>2935</v>
      </c>
      <c r="E1033" s="679"/>
      <c r="F1033" s="679"/>
      <c r="G1033" s="660"/>
      <c r="H1033" s="770"/>
      <c r="I1033" s="679">
        <f>SUM(I1026:I1032)</f>
        <v>20.916500000000003</v>
      </c>
      <c r="J1033" s="654">
        <v>0</v>
      </c>
    </row>
    <row r="1034" spans="1:11" s="644" customFormat="1">
      <c r="A1034" s="668"/>
      <c r="B1034" s="677"/>
      <c r="C1034" s="677"/>
      <c r="D1034" s="682" t="s">
        <v>2936</v>
      </c>
      <c r="E1034" s="679"/>
      <c r="F1034" s="679"/>
      <c r="G1034" s="660"/>
      <c r="H1034" s="770"/>
      <c r="I1034" s="679">
        <f>0.1*I1033</f>
        <v>2.0916500000000005</v>
      </c>
      <c r="J1034" s="654">
        <v>0</v>
      </c>
    </row>
    <row r="1035" spans="1:11" s="644" customFormat="1">
      <c r="A1035" s="668"/>
      <c r="B1035" s="677"/>
      <c r="C1035" s="677"/>
      <c r="D1035" s="682" t="s">
        <v>946</v>
      </c>
      <c r="E1035" s="679"/>
      <c r="F1035" s="679"/>
      <c r="G1035" s="660"/>
      <c r="H1035" s="770"/>
      <c r="I1035" s="685">
        <f>SUM(I1033:I1034)</f>
        <v>23.008150000000004</v>
      </c>
      <c r="J1035" s="682"/>
    </row>
    <row r="1036" spans="1:11" s="644" customFormat="1" ht="127.5">
      <c r="A1036" s="668"/>
      <c r="B1036" s="665" t="s">
        <v>2937</v>
      </c>
      <c r="C1036" s="735" t="s">
        <v>2938</v>
      </c>
      <c r="D1036" s="682" t="s">
        <v>2939</v>
      </c>
      <c r="E1036" s="679">
        <f>I1035</f>
        <v>23.008150000000004</v>
      </c>
      <c r="F1036" s="680" t="s">
        <v>2948</v>
      </c>
      <c r="G1036" s="661">
        <v>1</v>
      </c>
      <c r="H1036" s="680" t="s">
        <v>2948</v>
      </c>
      <c r="I1036" s="657">
        <v>4940</v>
      </c>
      <c r="J1036" s="694">
        <f t="shared" ref="J1036:J1039" si="10">SUM(E1036*I1036/G1036)</f>
        <v>113660.26100000001</v>
      </c>
      <c r="K1036" s="644" t="s">
        <v>2949</v>
      </c>
    </row>
    <row r="1037" spans="1:11" s="644" customFormat="1" ht="102">
      <c r="A1037" s="668"/>
      <c r="B1037" s="665" t="s">
        <v>2915</v>
      </c>
      <c r="C1037" s="735" t="s">
        <v>2237</v>
      </c>
      <c r="D1037" s="682" t="s">
        <v>3070</v>
      </c>
      <c r="E1037" s="695">
        <v>1</v>
      </c>
      <c r="F1037" s="645" t="s">
        <v>955</v>
      </c>
      <c r="G1037" s="661">
        <v>1</v>
      </c>
      <c r="H1037" s="645" t="s">
        <v>1509</v>
      </c>
      <c r="I1037" s="757">
        <v>29878</v>
      </c>
      <c r="J1037" s="694">
        <f t="shared" si="10"/>
        <v>29878</v>
      </c>
    </row>
    <row r="1038" spans="1:11" s="644" customFormat="1" ht="102">
      <c r="A1038" s="668"/>
      <c r="B1038" s="665" t="s">
        <v>2915</v>
      </c>
      <c r="C1038" s="735" t="s">
        <v>1186</v>
      </c>
      <c r="D1038" s="682" t="s">
        <v>3071</v>
      </c>
      <c r="E1038" s="695">
        <v>4</v>
      </c>
      <c r="F1038" s="645" t="s">
        <v>955</v>
      </c>
      <c r="G1038" s="661">
        <v>1</v>
      </c>
      <c r="H1038" s="645" t="s">
        <v>1509</v>
      </c>
      <c r="I1038" s="757">
        <v>10325</v>
      </c>
      <c r="J1038" s="694">
        <f t="shared" si="10"/>
        <v>41300</v>
      </c>
    </row>
    <row r="1039" spans="1:11" s="644" customFormat="1" ht="102">
      <c r="A1039" s="668"/>
      <c r="B1039" s="665" t="s">
        <v>2915</v>
      </c>
      <c r="C1039" s="735" t="s">
        <v>1180</v>
      </c>
      <c r="D1039" s="682" t="s">
        <v>3072</v>
      </c>
      <c r="E1039" s="695">
        <v>4</v>
      </c>
      <c r="F1039" s="645" t="s">
        <v>955</v>
      </c>
      <c r="G1039" s="661">
        <v>1</v>
      </c>
      <c r="H1039" s="645" t="s">
        <v>1509</v>
      </c>
      <c r="I1039" s="757">
        <v>8699</v>
      </c>
      <c r="J1039" s="694">
        <f t="shared" si="10"/>
        <v>34796</v>
      </c>
    </row>
    <row r="1040" spans="1:11" s="644" customFormat="1">
      <c r="A1040" s="668"/>
      <c r="B1040" s="665"/>
      <c r="C1040" s="735"/>
      <c r="D1040" s="656" t="s">
        <v>3074</v>
      </c>
      <c r="E1040" s="695"/>
      <c r="F1040" s="645"/>
      <c r="G1040" s="661"/>
      <c r="H1040" s="645"/>
      <c r="I1040" s="657"/>
      <c r="J1040" s="694"/>
    </row>
    <row r="1041" spans="1:10" s="644" customFormat="1" ht="76.5">
      <c r="A1041" s="668"/>
      <c r="B1041" s="654" t="s">
        <v>3075</v>
      </c>
      <c r="C1041" s="665" t="s">
        <v>294</v>
      </c>
      <c r="D1041" s="682" t="s">
        <v>3076</v>
      </c>
      <c r="E1041" s="695">
        <v>1</v>
      </c>
      <c r="F1041" s="645" t="s">
        <v>2927</v>
      </c>
      <c r="G1041" s="661">
        <v>1</v>
      </c>
      <c r="H1041" s="645" t="s">
        <v>2927</v>
      </c>
      <c r="I1041" s="757">
        <v>2200</v>
      </c>
      <c r="J1041" s="694">
        <f t="shared" ref="J1041:J1047" si="11">SUM(E1041*I1041)</f>
        <v>2200</v>
      </c>
    </row>
    <row r="1042" spans="1:10" s="644" customFormat="1" ht="89.25">
      <c r="A1042" s="668"/>
      <c r="B1042" s="654" t="s">
        <v>3077</v>
      </c>
      <c r="C1042" s="665" t="s">
        <v>294</v>
      </c>
      <c r="D1042" s="682" t="s">
        <v>3078</v>
      </c>
      <c r="E1042" s="695">
        <v>1</v>
      </c>
      <c r="F1042" s="645" t="s">
        <v>2927</v>
      </c>
      <c r="G1042" s="661">
        <v>1</v>
      </c>
      <c r="H1042" s="645" t="s">
        <v>2927</v>
      </c>
      <c r="I1042" s="757">
        <v>2200</v>
      </c>
      <c r="J1042" s="694">
        <f t="shared" si="11"/>
        <v>2200</v>
      </c>
    </row>
    <row r="1043" spans="1:10" s="644" customFormat="1" ht="51">
      <c r="A1043" s="668"/>
      <c r="B1043" s="654" t="s">
        <v>3079</v>
      </c>
      <c r="C1043" s="665" t="s">
        <v>294</v>
      </c>
      <c r="D1043" s="682" t="s">
        <v>3080</v>
      </c>
      <c r="E1043" s="695">
        <v>1</v>
      </c>
      <c r="F1043" s="645" t="s">
        <v>2927</v>
      </c>
      <c r="G1043" s="661">
        <v>1</v>
      </c>
      <c r="H1043" s="645" t="s">
        <v>2927</v>
      </c>
      <c r="I1043" s="757">
        <v>8250</v>
      </c>
      <c r="J1043" s="694">
        <f t="shared" si="11"/>
        <v>8250</v>
      </c>
    </row>
    <row r="1044" spans="1:10" s="644" customFormat="1" ht="89.25">
      <c r="A1044" s="668"/>
      <c r="B1044" s="654" t="s">
        <v>3081</v>
      </c>
      <c r="C1044" s="665" t="s">
        <v>294</v>
      </c>
      <c r="D1044" s="682" t="s">
        <v>3082</v>
      </c>
      <c r="E1044" s="695">
        <v>2</v>
      </c>
      <c r="F1044" s="645" t="s">
        <v>2927</v>
      </c>
      <c r="G1044" s="661">
        <v>1</v>
      </c>
      <c r="H1044" s="645" t="s">
        <v>2927</v>
      </c>
      <c r="I1044" s="757">
        <v>193</v>
      </c>
      <c r="J1044" s="694">
        <f t="shared" si="11"/>
        <v>386</v>
      </c>
    </row>
    <row r="1045" spans="1:10" s="644" customFormat="1" ht="63.75">
      <c r="A1045" s="668"/>
      <c r="B1045" s="654" t="s">
        <v>3081</v>
      </c>
      <c r="C1045" s="665" t="s">
        <v>297</v>
      </c>
      <c r="D1045" s="682" t="s">
        <v>3083</v>
      </c>
      <c r="E1045" s="695">
        <f>24+3</f>
        <v>27</v>
      </c>
      <c r="F1045" s="645" t="s">
        <v>2927</v>
      </c>
      <c r="G1045" s="661">
        <v>1</v>
      </c>
      <c r="H1045" s="645" t="s">
        <v>2927</v>
      </c>
      <c r="I1045" s="757">
        <v>149</v>
      </c>
      <c r="J1045" s="694">
        <f t="shared" si="11"/>
        <v>4023</v>
      </c>
    </row>
    <row r="1046" spans="1:10" s="644" customFormat="1" ht="51">
      <c r="A1046" s="668"/>
      <c r="B1046" s="665" t="s">
        <v>3084</v>
      </c>
      <c r="C1046" s="665" t="s">
        <v>294</v>
      </c>
      <c r="D1046" s="682" t="s">
        <v>3085</v>
      </c>
      <c r="E1046" s="695">
        <v>3</v>
      </c>
      <c r="F1046" s="645" t="s">
        <v>2927</v>
      </c>
      <c r="G1046" s="661">
        <v>1</v>
      </c>
      <c r="H1046" s="645" t="s">
        <v>2927</v>
      </c>
      <c r="I1046" s="757">
        <v>101</v>
      </c>
      <c r="J1046" s="694">
        <f t="shared" si="11"/>
        <v>303</v>
      </c>
    </row>
    <row r="1047" spans="1:10" s="644" customFormat="1" ht="76.5">
      <c r="A1047" s="668"/>
      <c r="B1047" s="665" t="s">
        <v>3086</v>
      </c>
      <c r="C1047" s="665"/>
      <c r="D1047" s="682" t="s">
        <v>3087</v>
      </c>
      <c r="E1047" s="695">
        <v>3</v>
      </c>
      <c r="F1047" s="645" t="s">
        <v>2927</v>
      </c>
      <c r="G1047" s="661">
        <v>1</v>
      </c>
      <c r="H1047" s="645" t="s">
        <v>2927</v>
      </c>
      <c r="I1047" s="757">
        <v>484</v>
      </c>
      <c r="J1047" s="694">
        <f t="shared" si="11"/>
        <v>1452</v>
      </c>
    </row>
    <row r="1048" spans="1:10" s="644" customFormat="1">
      <c r="A1048" s="668"/>
      <c r="B1048" s="677"/>
      <c r="C1048" s="677"/>
      <c r="D1048" s="682"/>
      <c r="E1048" s="695"/>
      <c r="F1048" s="645"/>
      <c r="G1048" s="661"/>
      <c r="H1048" s="645"/>
      <c r="I1048" s="657"/>
      <c r="J1048" s="758">
        <f>SUM(J1036:J1047)</f>
        <v>238448.261</v>
      </c>
    </row>
    <row r="1049" spans="1:10" s="644" customFormat="1">
      <c r="A1049" s="668"/>
      <c r="B1049" s="677"/>
      <c r="C1049" s="677"/>
      <c r="D1049" s="682" t="s">
        <v>2958</v>
      </c>
      <c r="E1049" s="759">
        <v>0.05</v>
      </c>
      <c r="F1049" s="680"/>
      <c r="G1049" s="659"/>
      <c r="H1049" s="680"/>
      <c r="I1049" s="657"/>
      <c r="J1049" s="758">
        <f>J1048*E1049</f>
        <v>11922.413050000001</v>
      </c>
    </row>
    <row r="1050" spans="1:10" s="644" customFormat="1" ht="25.5">
      <c r="A1050" s="668"/>
      <c r="B1050" s="677"/>
      <c r="C1050" s="677"/>
      <c r="D1050" s="682" t="s">
        <v>2959</v>
      </c>
      <c r="E1050" s="759">
        <v>0.02</v>
      </c>
      <c r="F1050" s="681"/>
      <c r="G1050" s="665"/>
      <c r="H1050" s="681"/>
      <c r="I1050" s="657"/>
      <c r="J1050" s="758">
        <f>J1048*E1050</f>
        <v>4768.96522</v>
      </c>
    </row>
    <row r="1051" spans="1:10" s="644" customFormat="1">
      <c r="A1051" s="668"/>
      <c r="B1051" s="677"/>
      <c r="C1051" s="677"/>
      <c r="D1051" s="682" t="s">
        <v>2943</v>
      </c>
      <c r="E1051" s="759">
        <v>0.02</v>
      </c>
      <c r="F1051" s="680"/>
      <c r="G1051" s="661"/>
      <c r="H1051" s="680"/>
      <c r="I1051" s="657"/>
      <c r="J1051" s="758">
        <f>J1048*E1051</f>
        <v>4768.96522</v>
      </c>
    </row>
    <row r="1052" spans="1:10" s="644" customFormat="1" ht="38.25">
      <c r="A1052" s="668"/>
      <c r="B1052" s="677"/>
      <c r="C1052" s="677"/>
      <c r="D1052" s="682" t="s">
        <v>3088</v>
      </c>
      <c r="E1052" s="759">
        <v>0.05</v>
      </c>
      <c r="F1052" s="680"/>
      <c r="G1052" s="661"/>
      <c r="H1052" s="680"/>
      <c r="I1052" s="657"/>
      <c r="J1052" s="758">
        <f>J1048*E1052</f>
        <v>11922.413050000001</v>
      </c>
    </row>
    <row r="1053" spans="1:10" s="644" customFormat="1" ht="25.5">
      <c r="A1053" s="668"/>
      <c r="B1053" s="677"/>
      <c r="C1053" s="677"/>
      <c r="D1053" s="683" t="s">
        <v>2945</v>
      </c>
      <c r="E1053" s="681"/>
      <c r="F1053" s="659"/>
      <c r="G1053" s="659"/>
      <c r="H1053" s="659"/>
      <c r="I1053" s="657"/>
      <c r="J1053" s="758">
        <f>SUM(J1048:J1052)</f>
        <v>271831.01754000003</v>
      </c>
    </row>
    <row r="1054" spans="1:10" s="644" customFormat="1">
      <c r="A1054" s="668"/>
      <c r="B1054" s="664"/>
      <c r="C1054" s="664"/>
      <c r="D1054" s="669" t="s">
        <v>2767</v>
      </c>
      <c r="E1054" s="670">
        <f>$E$9</f>
        <v>0</v>
      </c>
      <c r="F1054" s="684"/>
      <c r="G1054" s="663"/>
      <c r="H1054" s="684"/>
      <c r="I1054" s="672"/>
      <c r="J1054" s="761">
        <f>J1053*E1054</f>
        <v>0</v>
      </c>
    </row>
    <row r="1055" spans="1:10" s="644" customFormat="1">
      <c r="A1055" s="668"/>
      <c r="B1055" s="664"/>
      <c r="C1055" s="664"/>
      <c r="D1055" s="673"/>
      <c r="E1055" s="685"/>
      <c r="F1055" s="684"/>
      <c r="G1055" s="663"/>
      <c r="H1055" s="684"/>
      <c r="I1055" s="672"/>
      <c r="J1055" s="676">
        <f>SUM(J1053:J1054)</f>
        <v>271831.01754000003</v>
      </c>
    </row>
    <row r="1056" spans="1:10" s="644" customFormat="1">
      <c r="A1056" s="668"/>
      <c r="B1056" s="664"/>
      <c r="C1056" s="664"/>
      <c r="D1056" s="669" t="s">
        <v>2380</v>
      </c>
      <c r="E1056" s="685"/>
      <c r="F1056" s="684"/>
      <c r="G1056" s="663"/>
      <c r="H1056" s="684"/>
      <c r="I1056" s="686"/>
      <c r="J1056" s="693">
        <f>ROUND(J1055,0)</f>
        <v>271831</v>
      </c>
    </row>
    <row r="1057" spans="1:10" s="644" customFormat="1">
      <c r="A1057" s="668"/>
      <c r="B1057" s="677"/>
      <c r="C1057" s="677"/>
      <c r="D1057" s="683"/>
      <c r="E1057" s="681"/>
      <c r="F1057" s="659"/>
      <c r="G1057" s="659"/>
      <c r="H1057" s="659"/>
      <c r="I1057" s="672"/>
      <c r="J1057" s="758"/>
    </row>
    <row r="1058" spans="1:10" s="644" customFormat="1">
      <c r="A1058" s="673"/>
      <c r="B1058" s="677"/>
      <c r="C1058" s="677"/>
      <c r="D1058" s="2161" t="s">
        <v>3094</v>
      </c>
      <c r="E1058" s="2161"/>
      <c r="F1058" s="2161"/>
      <c r="G1058" s="2161"/>
      <c r="H1058" s="2161"/>
      <c r="I1058" s="2161"/>
      <c r="J1058" s="2161"/>
    </row>
    <row r="1059" spans="1:10" s="644" customFormat="1">
      <c r="A1059" s="653">
        <f>SUM(MAX($A$7:$A1057),1)</f>
        <v>57</v>
      </c>
      <c r="B1059" s="668"/>
      <c r="C1059" s="668"/>
      <c r="D1059" s="2158" t="s">
        <v>3067</v>
      </c>
      <c r="E1059" s="2158"/>
      <c r="F1059" s="2158"/>
      <c r="G1059" s="2158"/>
      <c r="H1059" s="2158"/>
      <c r="I1059" s="2158"/>
      <c r="J1059" s="2158"/>
    </row>
    <row r="1060" spans="1:10" s="644" customFormat="1">
      <c r="A1060" s="668"/>
      <c r="B1060" s="677"/>
      <c r="C1060" s="677"/>
      <c r="D1060" s="682" t="s">
        <v>2930</v>
      </c>
      <c r="E1060" s="679"/>
      <c r="F1060" s="659" t="s">
        <v>2430</v>
      </c>
      <c r="G1060" s="660" t="s">
        <v>2431</v>
      </c>
      <c r="H1060" s="661" t="s">
        <v>929</v>
      </c>
      <c r="I1060" s="679"/>
      <c r="J1060" s="682" t="s">
        <v>955</v>
      </c>
    </row>
    <row r="1061" spans="1:10" s="644" customFormat="1">
      <c r="A1061" s="668"/>
      <c r="B1061" s="677"/>
      <c r="C1061" s="677"/>
      <c r="D1061" s="682" t="s">
        <v>2931</v>
      </c>
      <c r="E1061" s="679"/>
      <c r="F1061" s="679">
        <v>2.25</v>
      </c>
      <c r="G1061" s="660">
        <v>1.98</v>
      </c>
      <c r="H1061" s="755">
        <v>0.45</v>
      </c>
      <c r="I1061" s="679"/>
      <c r="J1061" s="682"/>
    </row>
    <row r="1062" spans="1:10" s="644" customFormat="1">
      <c r="A1062" s="668"/>
      <c r="B1062" s="677"/>
      <c r="C1062" s="677"/>
      <c r="D1062" s="682" t="s">
        <v>2932</v>
      </c>
      <c r="E1062" s="679"/>
      <c r="F1062" s="679">
        <v>2</v>
      </c>
      <c r="G1062" s="660">
        <f>F1061</f>
        <v>2.25</v>
      </c>
      <c r="H1062" s="755">
        <f>G1061</f>
        <v>1.98</v>
      </c>
      <c r="I1062" s="679">
        <f t="shared" ref="I1062:I1068" si="12">F1062*G1062*H1062</f>
        <v>8.91</v>
      </c>
      <c r="J1062" s="654">
        <v>2</v>
      </c>
    </row>
    <row r="1063" spans="1:10" s="644" customFormat="1">
      <c r="A1063" s="668"/>
      <c r="B1063" s="677"/>
      <c r="C1063" s="677"/>
      <c r="D1063" s="682" t="s">
        <v>2933</v>
      </c>
      <c r="E1063" s="679"/>
      <c r="F1063" s="679">
        <v>2</v>
      </c>
      <c r="G1063" s="660">
        <f>F1061</f>
        <v>2.25</v>
      </c>
      <c r="H1063" s="755">
        <f>H1061</f>
        <v>0.45</v>
      </c>
      <c r="I1063" s="679">
        <f t="shared" si="12"/>
        <v>2.0249999999999999</v>
      </c>
      <c r="J1063" s="654">
        <v>2</v>
      </c>
    </row>
    <row r="1064" spans="1:10" s="644" customFormat="1">
      <c r="A1064" s="668"/>
      <c r="B1064" s="677"/>
      <c r="C1064" s="677"/>
      <c r="D1064" s="682" t="s">
        <v>2934</v>
      </c>
      <c r="E1064" s="679"/>
      <c r="F1064" s="679">
        <v>2</v>
      </c>
      <c r="G1064" s="660">
        <f>G1061</f>
        <v>1.98</v>
      </c>
      <c r="H1064" s="755">
        <f>H1061</f>
        <v>0.45</v>
      </c>
      <c r="I1064" s="679">
        <f t="shared" si="12"/>
        <v>1.782</v>
      </c>
      <c r="J1064" s="654">
        <v>2</v>
      </c>
    </row>
    <row r="1065" spans="1:10" s="644" customFormat="1">
      <c r="A1065" s="668"/>
      <c r="B1065" s="677"/>
      <c r="C1065" s="677"/>
      <c r="D1065" s="682" t="s">
        <v>3068</v>
      </c>
      <c r="E1065" s="679"/>
      <c r="F1065" s="679">
        <v>2</v>
      </c>
      <c r="G1065" s="660">
        <f>G1061</f>
        <v>1.98</v>
      </c>
      <c r="H1065" s="755">
        <f>H1061</f>
        <v>0.45</v>
      </c>
      <c r="I1065" s="679">
        <f t="shared" si="12"/>
        <v>1.782</v>
      </c>
      <c r="J1065" s="654">
        <v>2</v>
      </c>
    </row>
    <row r="1066" spans="1:10" s="644" customFormat="1">
      <c r="A1066" s="668"/>
      <c r="B1066" s="677"/>
      <c r="C1066" s="677"/>
      <c r="D1066" s="682"/>
      <c r="E1066" s="679"/>
      <c r="F1066" s="679">
        <v>2</v>
      </c>
      <c r="G1066" s="660">
        <v>1.6</v>
      </c>
      <c r="H1066" s="755">
        <v>1</v>
      </c>
      <c r="I1066" s="679">
        <f t="shared" si="12"/>
        <v>3.2</v>
      </c>
      <c r="J1066" s="654"/>
    </row>
    <row r="1067" spans="1:10" s="644" customFormat="1">
      <c r="A1067" s="668"/>
      <c r="B1067" s="677"/>
      <c r="C1067" s="677"/>
      <c r="D1067" s="682" t="s">
        <v>3069</v>
      </c>
      <c r="E1067" s="679"/>
      <c r="F1067" s="679">
        <v>13</v>
      </c>
      <c r="G1067" s="660">
        <v>0.45</v>
      </c>
      <c r="H1067" s="835">
        <v>0.55000000000000004</v>
      </c>
      <c r="I1067" s="679">
        <f t="shared" si="12"/>
        <v>3.2175000000000007</v>
      </c>
      <c r="J1067" s="654">
        <v>0</v>
      </c>
    </row>
    <row r="1068" spans="1:10" s="644" customFormat="1">
      <c r="A1068" s="668"/>
      <c r="B1068" s="677"/>
      <c r="C1068" s="677"/>
      <c r="D1068" s="682" t="s">
        <v>3069</v>
      </c>
      <c r="E1068" s="679"/>
      <c r="F1068" s="679"/>
      <c r="G1068" s="660"/>
      <c r="H1068" s="835"/>
      <c r="I1068" s="679">
        <f t="shared" si="12"/>
        <v>0</v>
      </c>
      <c r="J1068" s="654">
        <v>6</v>
      </c>
    </row>
    <row r="1069" spans="1:10" s="644" customFormat="1">
      <c r="A1069" s="668"/>
      <c r="B1069" s="677"/>
      <c r="C1069" s="677"/>
      <c r="D1069" s="682" t="s">
        <v>2935</v>
      </c>
      <c r="E1069" s="679"/>
      <c r="F1069" s="679"/>
      <c r="G1069" s="660"/>
      <c r="H1069" s="770"/>
      <c r="I1069" s="679">
        <f>SUM(I1062:I1068)</f>
        <v>20.916500000000003</v>
      </c>
      <c r="J1069" s="654">
        <v>0</v>
      </c>
    </row>
    <row r="1070" spans="1:10" s="644" customFormat="1">
      <c r="A1070" s="668"/>
      <c r="B1070" s="677"/>
      <c r="C1070" s="677"/>
      <c r="D1070" s="682" t="s">
        <v>2936</v>
      </c>
      <c r="E1070" s="679"/>
      <c r="F1070" s="679"/>
      <c r="G1070" s="660"/>
      <c r="H1070" s="770"/>
      <c r="I1070" s="679">
        <f>0.1*I1069</f>
        <v>2.0916500000000005</v>
      </c>
      <c r="J1070" s="654">
        <v>0</v>
      </c>
    </row>
    <row r="1071" spans="1:10" s="644" customFormat="1">
      <c r="A1071" s="668"/>
      <c r="B1071" s="677"/>
      <c r="C1071" s="677"/>
      <c r="D1071" s="682" t="s">
        <v>946</v>
      </c>
      <c r="E1071" s="679"/>
      <c r="F1071" s="679"/>
      <c r="G1071" s="660"/>
      <c r="H1071" s="770"/>
      <c r="I1071" s="685">
        <f>SUM(I1069:I1070)</f>
        <v>23.008150000000004</v>
      </c>
      <c r="J1071" s="682"/>
    </row>
    <row r="1072" spans="1:10" s="644" customFormat="1" ht="127.5">
      <c r="A1072" s="668"/>
      <c r="B1072" s="665" t="s">
        <v>2937</v>
      </c>
      <c r="C1072" s="735" t="s">
        <v>2938</v>
      </c>
      <c r="D1072" s="682" t="s">
        <v>2939</v>
      </c>
      <c r="E1072" s="679">
        <f>I1071</f>
        <v>23.008150000000004</v>
      </c>
      <c r="F1072" s="680" t="s">
        <v>2948</v>
      </c>
      <c r="G1072" s="661">
        <v>1</v>
      </c>
      <c r="H1072" s="680" t="s">
        <v>2948</v>
      </c>
      <c r="I1072" s="657">
        <v>4940</v>
      </c>
      <c r="J1072" s="694">
        <f t="shared" ref="J1072:J1075" si="13">SUM(E1072*I1072/G1072)</f>
        <v>113660.26100000001</v>
      </c>
    </row>
    <row r="1073" spans="1:10" s="644" customFormat="1" ht="102">
      <c r="A1073" s="668"/>
      <c r="B1073" s="665" t="s">
        <v>2915</v>
      </c>
      <c r="C1073" s="665" t="s">
        <v>2237</v>
      </c>
      <c r="D1073" s="682" t="s">
        <v>3070</v>
      </c>
      <c r="E1073" s="695">
        <v>1</v>
      </c>
      <c r="F1073" s="645" t="s">
        <v>955</v>
      </c>
      <c r="G1073" s="661">
        <v>1</v>
      </c>
      <c r="H1073" s="645" t="s">
        <v>1509</v>
      </c>
      <c r="I1073" s="657">
        <v>29878</v>
      </c>
      <c r="J1073" s="694">
        <f t="shared" si="13"/>
        <v>29878</v>
      </c>
    </row>
    <row r="1074" spans="1:10" s="644" customFormat="1" ht="102">
      <c r="A1074" s="668"/>
      <c r="B1074" s="665" t="s">
        <v>2915</v>
      </c>
      <c r="C1074" s="665" t="s">
        <v>1186</v>
      </c>
      <c r="D1074" s="682" t="s">
        <v>3071</v>
      </c>
      <c r="E1074" s="695">
        <v>2</v>
      </c>
      <c r="F1074" s="645" t="s">
        <v>955</v>
      </c>
      <c r="G1074" s="661">
        <v>1</v>
      </c>
      <c r="H1074" s="645" t="s">
        <v>1509</v>
      </c>
      <c r="I1074" s="657">
        <v>10325</v>
      </c>
      <c r="J1074" s="694">
        <f t="shared" si="13"/>
        <v>20650</v>
      </c>
    </row>
    <row r="1075" spans="1:10" s="644" customFormat="1" ht="102">
      <c r="A1075" s="668"/>
      <c r="B1075" s="665" t="s">
        <v>2915</v>
      </c>
      <c r="C1075" s="665" t="s">
        <v>1180</v>
      </c>
      <c r="D1075" s="682" t="s">
        <v>3072</v>
      </c>
      <c r="E1075" s="695">
        <v>8</v>
      </c>
      <c r="F1075" s="645" t="s">
        <v>955</v>
      </c>
      <c r="G1075" s="661">
        <v>1</v>
      </c>
      <c r="H1075" s="645" t="s">
        <v>1509</v>
      </c>
      <c r="I1075" s="657">
        <v>8699</v>
      </c>
      <c r="J1075" s="694">
        <f t="shared" si="13"/>
        <v>69592</v>
      </c>
    </row>
    <row r="1076" spans="1:10" s="644" customFormat="1">
      <c r="A1076" s="668"/>
      <c r="B1076" s="665"/>
      <c r="C1076" s="665"/>
      <c r="D1076" s="656" t="s">
        <v>3074</v>
      </c>
      <c r="E1076" s="695"/>
      <c r="F1076" s="645"/>
      <c r="G1076" s="661"/>
      <c r="H1076" s="645"/>
      <c r="I1076" s="836"/>
      <c r="J1076" s="694"/>
    </row>
    <row r="1077" spans="1:10" s="644" customFormat="1" ht="76.5">
      <c r="A1077" s="668"/>
      <c r="B1077" s="654" t="s">
        <v>3075</v>
      </c>
      <c r="C1077" s="665" t="s">
        <v>294</v>
      </c>
      <c r="D1077" s="682" t="s">
        <v>3076</v>
      </c>
      <c r="E1077" s="695">
        <v>1</v>
      </c>
      <c r="F1077" s="645" t="s">
        <v>2927</v>
      </c>
      <c r="G1077" s="661">
        <v>1</v>
      </c>
      <c r="H1077" s="645" t="s">
        <v>2927</v>
      </c>
      <c r="I1077" s="657">
        <v>2200</v>
      </c>
      <c r="J1077" s="694">
        <f t="shared" ref="J1077:J1083" si="14">SUM(E1077*I1077)</f>
        <v>2200</v>
      </c>
    </row>
    <row r="1078" spans="1:10" s="644" customFormat="1" ht="89.25">
      <c r="A1078" s="668"/>
      <c r="B1078" s="654" t="s">
        <v>3077</v>
      </c>
      <c r="C1078" s="665" t="s">
        <v>294</v>
      </c>
      <c r="D1078" s="682" t="s">
        <v>3078</v>
      </c>
      <c r="E1078" s="695">
        <v>1</v>
      </c>
      <c r="F1078" s="645" t="s">
        <v>2927</v>
      </c>
      <c r="G1078" s="661">
        <v>1</v>
      </c>
      <c r="H1078" s="645" t="s">
        <v>2927</v>
      </c>
      <c r="I1078" s="657">
        <v>2200</v>
      </c>
      <c r="J1078" s="694">
        <f t="shared" si="14"/>
        <v>2200</v>
      </c>
    </row>
    <row r="1079" spans="1:10" s="644" customFormat="1" ht="51">
      <c r="A1079" s="668"/>
      <c r="B1079" s="654" t="s">
        <v>3081</v>
      </c>
      <c r="C1079" s="665" t="s">
        <v>294</v>
      </c>
      <c r="D1079" s="682" t="s">
        <v>3080</v>
      </c>
      <c r="E1079" s="695">
        <v>1</v>
      </c>
      <c r="F1079" s="645" t="s">
        <v>2927</v>
      </c>
      <c r="G1079" s="661">
        <v>1</v>
      </c>
      <c r="H1079" s="645" t="s">
        <v>2927</v>
      </c>
      <c r="I1079" s="657">
        <v>8250</v>
      </c>
      <c r="J1079" s="694">
        <f t="shared" si="14"/>
        <v>8250</v>
      </c>
    </row>
    <row r="1080" spans="1:10" s="644" customFormat="1" ht="89.25">
      <c r="A1080" s="668"/>
      <c r="B1080" s="654" t="s">
        <v>3081</v>
      </c>
      <c r="C1080" s="665" t="s">
        <v>294</v>
      </c>
      <c r="D1080" s="682" t="s">
        <v>3082</v>
      </c>
      <c r="E1080" s="695">
        <v>2</v>
      </c>
      <c r="F1080" s="645" t="s">
        <v>2927</v>
      </c>
      <c r="G1080" s="661">
        <v>1</v>
      </c>
      <c r="H1080" s="645" t="s">
        <v>2927</v>
      </c>
      <c r="I1080" s="657">
        <v>193</v>
      </c>
      <c r="J1080" s="694">
        <f t="shared" si="14"/>
        <v>386</v>
      </c>
    </row>
    <row r="1081" spans="1:10" s="644" customFormat="1" ht="63.75">
      <c r="A1081" s="668"/>
      <c r="B1081" s="654" t="s">
        <v>3081</v>
      </c>
      <c r="C1081" s="665" t="s">
        <v>297</v>
      </c>
      <c r="D1081" s="682" t="s">
        <v>3083</v>
      </c>
      <c r="E1081" s="695">
        <f>24+3</f>
        <v>27</v>
      </c>
      <c r="F1081" s="645" t="s">
        <v>2927</v>
      </c>
      <c r="G1081" s="661">
        <v>1</v>
      </c>
      <c r="H1081" s="645" t="s">
        <v>2927</v>
      </c>
      <c r="I1081" s="657">
        <v>149</v>
      </c>
      <c r="J1081" s="694">
        <f t="shared" si="14"/>
        <v>4023</v>
      </c>
    </row>
    <row r="1082" spans="1:10" s="644" customFormat="1" ht="51">
      <c r="A1082" s="668"/>
      <c r="B1082" s="665" t="s">
        <v>3084</v>
      </c>
      <c r="C1082" s="665" t="s">
        <v>294</v>
      </c>
      <c r="D1082" s="682" t="s">
        <v>3085</v>
      </c>
      <c r="E1082" s="695">
        <v>3</v>
      </c>
      <c r="F1082" s="645" t="s">
        <v>2927</v>
      </c>
      <c r="G1082" s="661">
        <v>1</v>
      </c>
      <c r="H1082" s="645" t="s">
        <v>2927</v>
      </c>
      <c r="I1082" s="657">
        <v>101</v>
      </c>
      <c r="J1082" s="694">
        <f t="shared" si="14"/>
        <v>303</v>
      </c>
    </row>
    <row r="1083" spans="1:10" s="644" customFormat="1" ht="76.5">
      <c r="A1083" s="668"/>
      <c r="B1083" s="665" t="s">
        <v>3086</v>
      </c>
      <c r="C1083" s="665"/>
      <c r="D1083" s="682" t="s">
        <v>3087</v>
      </c>
      <c r="E1083" s="695">
        <v>3</v>
      </c>
      <c r="F1083" s="645" t="s">
        <v>2927</v>
      </c>
      <c r="G1083" s="661">
        <v>1</v>
      </c>
      <c r="H1083" s="645" t="s">
        <v>2927</v>
      </c>
      <c r="I1083" s="657">
        <v>484</v>
      </c>
      <c r="J1083" s="694">
        <f t="shared" si="14"/>
        <v>1452</v>
      </c>
    </row>
    <row r="1084" spans="1:10" s="644" customFormat="1">
      <c r="A1084" s="668"/>
      <c r="B1084" s="677"/>
      <c r="C1084" s="677"/>
      <c r="D1084" s="682"/>
      <c r="E1084" s="695"/>
      <c r="F1084" s="645"/>
      <c r="G1084" s="661"/>
      <c r="H1084" s="645"/>
      <c r="I1084" s="657"/>
      <c r="J1084" s="758">
        <f>SUM(J1072:J1083)</f>
        <v>252594.261</v>
      </c>
    </row>
    <row r="1085" spans="1:10" s="644" customFormat="1">
      <c r="A1085" s="668"/>
      <c r="B1085" s="677"/>
      <c r="C1085" s="677"/>
      <c r="D1085" s="682" t="s">
        <v>2958</v>
      </c>
      <c r="E1085" s="759">
        <v>0.05</v>
      </c>
      <c r="F1085" s="680"/>
      <c r="G1085" s="659"/>
      <c r="H1085" s="680"/>
      <c r="I1085" s="657"/>
      <c r="J1085" s="758">
        <f>J1084*E1085</f>
        <v>12629.71305</v>
      </c>
    </row>
    <row r="1086" spans="1:10" s="644" customFormat="1" ht="25.5">
      <c r="A1086" s="668"/>
      <c r="B1086" s="677"/>
      <c r="C1086" s="677"/>
      <c r="D1086" s="682" t="s">
        <v>2959</v>
      </c>
      <c r="E1086" s="759">
        <v>0.02</v>
      </c>
      <c r="F1086" s="681"/>
      <c r="G1086" s="665"/>
      <c r="H1086" s="681"/>
      <c r="I1086" s="657"/>
      <c r="J1086" s="758">
        <f>J1084*E1086</f>
        <v>5051.8852200000001</v>
      </c>
    </row>
    <row r="1087" spans="1:10" s="644" customFormat="1">
      <c r="A1087" s="668"/>
      <c r="B1087" s="677"/>
      <c r="C1087" s="677"/>
      <c r="D1087" s="682" t="s">
        <v>2943</v>
      </c>
      <c r="E1087" s="759">
        <v>0.02</v>
      </c>
      <c r="F1087" s="680"/>
      <c r="G1087" s="661"/>
      <c r="H1087" s="680"/>
      <c r="I1087" s="657"/>
      <c r="J1087" s="758">
        <f>J1084*E1087</f>
        <v>5051.8852200000001</v>
      </c>
    </row>
    <row r="1088" spans="1:10" s="644" customFormat="1" ht="38.25">
      <c r="A1088" s="668"/>
      <c r="B1088" s="677"/>
      <c r="C1088" s="677"/>
      <c r="D1088" s="682" t="s">
        <v>3088</v>
      </c>
      <c r="E1088" s="759">
        <v>0.05</v>
      </c>
      <c r="F1088" s="680"/>
      <c r="G1088" s="661"/>
      <c r="H1088" s="680"/>
      <c r="I1088" s="657"/>
      <c r="J1088" s="758">
        <f>J1084*E1088</f>
        <v>12629.71305</v>
      </c>
    </row>
    <row r="1089" spans="1:10" s="644" customFormat="1" ht="25.5">
      <c r="A1089" s="668"/>
      <c r="B1089" s="677"/>
      <c r="C1089" s="677"/>
      <c r="D1089" s="683" t="s">
        <v>2945</v>
      </c>
      <c r="E1089" s="681"/>
      <c r="F1089" s="659"/>
      <c r="G1089" s="659"/>
      <c r="H1089" s="659"/>
      <c r="I1089" s="657"/>
      <c r="J1089" s="758">
        <f>SUM(J1084:J1088)</f>
        <v>287957.45754000003</v>
      </c>
    </row>
    <row r="1090" spans="1:10" s="644" customFormat="1">
      <c r="A1090" s="668"/>
      <c r="B1090" s="664"/>
      <c r="C1090" s="664"/>
      <c r="D1090" s="669" t="s">
        <v>2767</v>
      </c>
      <c r="E1090" s="670">
        <f>$E$9</f>
        <v>0</v>
      </c>
      <c r="F1090" s="684"/>
      <c r="G1090" s="663"/>
      <c r="H1090" s="684"/>
      <c r="I1090" s="672"/>
      <c r="J1090" s="761">
        <f>J1089*E1090</f>
        <v>0</v>
      </c>
    </row>
    <row r="1091" spans="1:10" s="644" customFormat="1">
      <c r="A1091" s="668"/>
      <c r="B1091" s="664"/>
      <c r="C1091" s="664"/>
      <c r="D1091" s="673"/>
      <c r="E1091" s="685"/>
      <c r="F1091" s="684"/>
      <c r="G1091" s="663"/>
      <c r="H1091" s="684"/>
      <c r="I1091" s="672"/>
      <c r="J1091" s="676">
        <f>SUM(J1089:J1090)</f>
        <v>287957.45754000003</v>
      </c>
    </row>
    <row r="1092" spans="1:10" s="644" customFormat="1">
      <c r="A1092" s="668"/>
      <c r="B1092" s="664"/>
      <c r="C1092" s="664"/>
      <c r="D1092" s="669" t="s">
        <v>2380</v>
      </c>
      <c r="E1092" s="685"/>
      <c r="F1092" s="684"/>
      <c r="G1092" s="663"/>
      <c r="H1092" s="684"/>
      <c r="I1092" s="686"/>
      <c r="J1092" s="693">
        <f>ROUND(J1091,0)</f>
        <v>287957</v>
      </c>
    </row>
    <row r="1093" spans="1:10" s="644" customFormat="1">
      <c r="A1093" s="668"/>
      <c r="B1093" s="677"/>
      <c r="C1093" s="677"/>
      <c r="D1093" s="683"/>
      <c r="E1093" s="681"/>
      <c r="F1093" s="659"/>
      <c r="G1093" s="659"/>
      <c r="H1093" s="659"/>
      <c r="I1093" s="672"/>
      <c r="J1093" s="693"/>
    </row>
    <row r="1094" spans="1:10" s="644" customFormat="1">
      <c r="A1094" s="673"/>
      <c r="B1094" s="677"/>
      <c r="C1094" s="677"/>
      <c r="D1094" s="2161" t="s">
        <v>2928</v>
      </c>
      <c r="E1094" s="2161"/>
      <c r="F1094" s="2161"/>
      <c r="G1094" s="2161"/>
      <c r="H1094" s="2161"/>
      <c r="I1094" s="2161"/>
      <c r="J1094" s="2161"/>
    </row>
    <row r="1095" spans="1:10" s="644" customFormat="1">
      <c r="A1095" s="653"/>
      <c r="B1095" s="654"/>
      <c r="C1095" s="654"/>
      <c r="D1095" s="2167" t="s">
        <v>2929</v>
      </c>
      <c r="E1095" s="2167"/>
      <c r="F1095" s="2167"/>
      <c r="G1095" s="2167"/>
      <c r="H1095" s="2167"/>
      <c r="I1095" s="2167"/>
      <c r="J1095" s="2167"/>
    </row>
    <row r="1096" spans="1:10" s="644" customFormat="1">
      <c r="A1096" s="668"/>
      <c r="B1096" s="654"/>
      <c r="C1096" s="654"/>
      <c r="D1096" s="682" t="s">
        <v>2930</v>
      </c>
      <c r="E1096" s="659" t="s">
        <v>2430</v>
      </c>
      <c r="F1096" s="660" t="s">
        <v>2431</v>
      </c>
      <c r="G1096" s="661" t="s">
        <v>929</v>
      </c>
      <c r="H1096" s="680"/>
      <c r="I1096" s="657" t="s">
        <v>955</v>
      </c>
      <c r="J1096" s="694"/>
    </row>
    <row r="1097" spans="1:10" s="644" customFormat="1">
      <c r="A1097" s="668"/>
      <c r="B1097" s="654"/>
      <c r="C1097" s="654"/>
      <c r="D1097" s="682" t="s">
        <v>2931</v>
      </c>
      <c r="E1097" s="679">
        <v>0.3</v>
      </c>
      <c r="F1097" s="680">
        <v>0.3</v>
      </c>
      <c r="G1097" s="755">
        <v>0.3</v>
      </c>
      <c r="H1097" s="680"/>
      <c r="I1097" s="657"/>
      <c r="J1097" s="694"/>
    </row>
    <row r="1098" spans="1:10" s="644" customFormat="1">
      <c r="A1098" s="668"/>
      <c r="B1098" s="654"/>
      <c r="C1098" s="654"/>
      <c r="D1098" s="682" t="s">
        <v>2932</v>
      </c>
      <c r="E1098" s="679"/>
      <c r="F1098" s="680">
        <f>E1097</f>
        <v>0.3</v>
      </c>
      <c r="G1098" s="755"/>
      <c r="H1098" s="680">
        <f>I1098*F1098</f>
        <v>0.6</v>
      </c>
      <c r="I1098" s="657">
        <v>2</v>
      </c>
      <c r="J1098" s="694"/>
    </row>
    <row r="1099" spans="1:10" s="644" customFormat="1">
      <c r="A1099" s="668"/>
      <c r="B1099" s="654"/>
      <c r="C1099" s="654"/>
      <c r="D1099" s="682" t="s">
        <v>2933</v>
      </c>
      <c r="E1099" s="679"/>
      <c r="F1099" s="680">
        <f>E1097</f>
        <v>0.3</v>
      </c>
      <c r="G1099" s="755">
        <f>G1097</f>
        <v>0.3</v>
      </c>
      <c r="H1099" s="680">
        <f>I1099*F1099*G1099</f>
        <v>0.18</v>
      </c>
      <c r="I1099" s="657">
        <v>2</v>
      </c>
      <c r="J1099" s="694"/>
    </row>
    <row r="1100" spans="1:10" s="644" customFormat="1">
      <c r="A1100" s="668"/>
      <c r="B1100" s="654"/>
      <c r="C1100" s="654"/>
      <c r="D1100" s="682" t="s">
        <v>2934</v>
      </c>
      <c r="E1100" s="679"/>
      <c r="F1100" s="680">
        <f>F1097</f>
        <v>0.3</v>
      </c>
      <c r="G1100" s="755">
        <f>G1097</f>
        <v>0.3</v>
      </c>
      <c r="H1100" s="680">
        <f>I1100*F1100*G1100</f>
        <v>0.18</v>
      </c>
      <c r="I1100" s="657">
        <v>2</v>
      </c>
      <c r="J1100" s="694"/>
    </row>
    <row r="1101" spans="1:10" s="644" customFormat="1">
      <c r="A1101" s="668"/>
      <c r="B1101" s="654"/>
      <c r="C1101" s="654"/>
      <c r="D1101" s="682" t="s">
        <v>2935</v>
      </c>
      <c r="E1101" s="679"/>
      <c r="F1101" s="680"/>
      <c r="G1101" s="661"/>
      <c r="H1101" s="680">
        <f>SUM(H1098:H1100)</f>
        <v>0.96</v>
      </c>
      <c r="I1101" s="657"/>
      <c r="J1101" s="694"/>
    </row>
    <row r="1102" spans="1:10" s="644" customFormat="1">
      <c r="A1102" s="668"/>
      <c r="B1102" s="654"/>
      <c r="C1102" s="654"/>
      <c r="D1102" s="682" t="s">
        <v>2936</v>
      </c>
      <c r="E1102" s="679"/>
      <c r="F1102" s="680"/>
      <c r="G1102" s="661"/>
      <c r="H1102" s="680">
        <f>0.1*H1101</f>
        <v>9.6000000000000002E-2</v>
      </c>
      <c r="I1102" s="657"/>
      <c r="J1102" s="694"/>
    </row>
    <row r="1103" spans="1:10" s="644" customFormat="1">
      <c r="A1103" s="668"/>
      <c r="B1103" s="654"/>
      <c r="C1103" s="654"/>
      <c r="D1103" s="682" t="s">
        <v>946</v>
      </c>
      <c r="E1103" s="679"/>
      <c r="F1103" s="680"/>
      <c r="G1103" s="661"/>
      <c r="H1103" s="684">
        <f>SUM(H1101:H1102)</f>
        <v>1.056</v>
      </c>
      <c r="I1103" s="657"/>
      <c r="J1103" s="694"/>
    </row>
    <row r="1104" spans="1:10" s="644" customFormat="1" ht="127.5">
      <c r="A1104" s="668"/>
      <c r="B1104" s="661" t="s">
        <v>2937</v>
      </c>
      <c r="C1104" s="665" t="s">
        <v>2938</v>
      </c>
      <c r="D1104" s="682" t="s">
        <v>2939</v>
      </c>
      <c r="E1104" s="679">
        <f>H1103</f>
        <v>1.056</v>
      </c>
      <c r="F1104" s="680" t="s">
        <v>2940</v>
      </c>
      <c r="G1104" s="661">
        <v>1</v>
      </c>
      <c r="H1104" s="680" t="s">
        <v>2940</v>
      </c>
      <c r="I1104" s="657">
        <v>4940</v>
      </c>
      <c r="J1104" s="694">
        <f>SUM(E1104*I1104/G1104)</f>
        <v>5216.6400000000003</v>
      </c>
    </row>
    <row r="1105" spans="1:10" s="644" customFormat="1">
      <c r="A1105" s="668"/>
      <c r="B1105" s="654"/>
      <c r="C1105" s="654"/>
      <c r="D1105" s="756" t="s">
        <v>2941</v>
      </c>
      <c r="E1105" s="679"/>
      <c r="F1105" s="680"/>
      <c r="G1105" s="661"/>
      <c r="H1105" s="680"/>
      <c r="I1105" s="657"/>
      <c r="J1105" s="694"/>
    </row>
    <row r="1106" spans="1:10" s="644" customFormat="1" ht="102">
      <c r="A1106" s="668"/>
      <c r="B1106" s="665" t="s">
        <v>2915</v>
      </c>
      <c r="C1106" s="735" t="s">
        <v>1184</v>
      </c>
      <c r="D1106" s="682" t="s">
        <v>2942</v>
      </c>
      <c r="E1106" s="695">
        <v>1</v>
      </c>
      <c r="F1106" s="645" t="s">
        <v>955</v>
      </c>
      <c r="G1106" s="661">
        <v>1</v>
      </c>
      <c r="H1106" s="645" t="s">
        <v>1509</v>
      </c>
      <c r="I1106" s="757">
        <v>9781</v>
      </c>
      <c r="J1106" s="694">
        <f>SUM(E1106*I1106/G1106)</f>
        <v>9781</v>
      </c>
    </row>
    <row r="1107" spans="1:10" s="644" customFormat="1">
      <c r="A1107" s="668"/>
      <c r="B1107" s="654"/>
      <c r="C1107" s="654"/>
      <c r="D1107" s="682"/>
      <c r="E1107" s="695"/>
      <c r="F1107" s="645"/>
      <c r="G1107" s="661"/>
      <c r="H1107" s="645"/>
      <c r="I1107" s="657"/>
      <c r="J1107" s="758">
        <f>SUM(J1104:J1106)</f>
        <v>14997.64</v>
      </c>
    </row>
    <row r="1108" spans="1:10" s="644" customFormat="1">
      <c r="A1108" s="668"/>
      <c r="B1108" s="654"/>
      <c r="C1108" s="654"/>
      <c r="D1108" s="682" t="s">
        <v>2958</v>
      </c>
      <c r="E1108" s="759">
        <v>0</v>
      </c>
      <c r="F1108" s="680"/>
      <c r="G1108" s="659"/>
      <c r="H1108" s="680"/>
      <c r="I1108" s="657"/>
      <c r="J1108" s="758">
        <f>J1107*E1108</f>
        <v>0</v>
      </c>
    </row>
    <row r="1109" spans="1:10" s="644" customFormat="1" ht="25.5">
      <c r="A1109" s="668"/>
      <c r="B1109" s="654"/>
      <c r="C1109" s="654"/>
      <c r="D1109" s="682" t="s">
        <v>2959</v>
      </c>
      <c r="E1109" s="759">
        <v>0</v>
      </c>
      <c r="F1109" s="681"/>
      <c r="G1109" s="665"/>
      <c r="H1109" s="681"/>
      <c r="I1109" s="657"/>
      <c r="J1109" s="758">
        <f>J1107*E1109</f>
        <v>0</v>
      </c>
    </row>
    <row r="1110" spans="1:10" s="644" customFormat="1">
      <c r="A1110" s="668"/>
      <c r="B1110" s="654"/>
      <c r="C1110" s="654"/>
      <c r="D1110" s="682" t="s">
        <v>2943</v>
      </c>
      <c r="E1110" s="759">
        <v>0.01</v>
      </c>
      <c r="F1110" s="680"/>
      <c r="G1110" s="661"/>
      <c r="H1110" s="680"/>
      <c r="I1110" s="657"/>
      <c r="J1110" s="758">
        <f>J1107*E1110</f>
        <v>149.97639999999998</v>
      </c>
    </row>
    <row r="1111" spans="1:10" s="644" customFormat="1" ht="51">
      <c r="A1111" s="668"/>
      <c r="B1111" s="654"/>
      <c r="C1111" s="654"/>
      <c r="D1111" s="682" t="s">
        <v>2944</v>
      </c>
      <c r="E1111" s="760">
        <v>5.0000000000000001E-3</v>
      </c>
      <c r="F1111" s="680"/>
      <c r="G1111" s="661"/>
      <c r="H1111" s="680"/>
      <c r="I1111" s="657"/>
      <c r="J1111" s="758">
        <f>J1107*E1111</f>
        <v>74.988199999999992</v>
      </c>
    </row>
    <row r="1112" spans="1:10" s="644" customFormat="1" ht="25.5">
      <c r="A1112" s="668"/>
      <c r="B1112" s="654"/>
      <c r="C1112" s="654"/>
      <c r="D1112" s="683" t="s">
        <v>2945</v>
      </c>
      <c r="E1112" s="681"/>
      <c r="F1112" s="659"/>
      <c r="G1112" s="659"/>
      <c r="H1112" s="659"/>
      <c r="I1112" s="657"/>
      <c r="J1112" s="758">
        <f>SUM(J1107:J1111)</f>
        <v>15222.604599999999</v>
      </c>
    </row>
    <row r="1113" spans="1:10" s="644" customFormat="1">
      <c r="A1113" s="668"/>
      <c r="B1113" s="664"/>
      <c r="C1113" s="664"/>
      <c r="D1113" s="669" t="s">
        <v>2767</v>
      </c>
      <c r="E1113" s="670">
        <f>$E$9</f>
        <v>0</v>
      </c>
      <c r="F1113" s="684"/>
      <c r="G1113" s="663"/>
      <c r="H1113" s="684"/>
      <c r="I1113" s="672"/>
      <c r="J1113" s="761">
        <f>J1112*E1113</f>
        <v>0</v>
      </c>
    </row>
    <row r="1114" spans="1:10" s="644" customFormat="1">
      <c r="A1114" s="668"/>
      <c r="B1114" s="664"/>
      <c r="C1114" s="664"/>
      <c r="D1114" s="673"/>
      <c r="E1114" s="685"/>
      <c r="F1114" s="684"/>
      <c r="G1114" s="663"/>
      <c r="H1114" s="684"/>
      <c r="I1114" s="672"/>
      <c r="J1114" s="676">
        <f>SUM(J1112:J1113)</f>
        <v>15222.604599999999</v>
      </c>
    </row>
    <row r="1115" spans="1:10" s="644" customFormat="1">
      <c r="A1115" s="668"/>
      <c r="B1115" s="664"/>
      <c r="C1115" s="664"/>
      <c r="D1115" s="669" t="s">
        <v>2380</v>
      </c>
      <c r="E1115" s="685"/>
      <c r="F1115" s="684"/>
      <c r="G1115" s="663"/>
      <c r="H1115" s="684"/>
      <c r="I1115" s="686"/>
      <c r="J1115" s="693">
        <f>ROUND(J1114,0)</f>
        <v>15223</v>
      </c>
    </row>
    <row r="1116" spans="1:10" s="644" customFormat="1">
      <c r="A1116" s="668"/>
      <c r="B1116" s="654"/>
      <c r="C1116" s="654"/>
      <c r="D1116" s="683"/>
      <c r="E1116" s="681"/>
      <c r="F1116" s="659"/>
      <c r="G1116" s="659"/>
      <c r="H1116" s="659"/>
      <c r="I1116" s="672"/>
      <c r="J1116" s="758"/>
    </row>
    <row r="1117" spans="1:10" s="644" customFormat="1">
      <c r="A1117" s="673"/>
      <c r="B1117" s="677"/>
      <c r="C1117" s="677"/>
      <c r="D1117" s="2161" t="s">
        <v>2946</v>
      </c>
      <c r="E1117" s="2161"/>
      <c r="F1117" s="2161"/>
      <c r="G1117" s="2161"/>
      <c r="H1117" s="2161"/>
      <c r="I1117" s="2161"/>
      <c r="J1117" s="2161"/>
    </row>
    <row r="1118" spans="1:10" s="644" customFormat="1">
      <c r="A1118" s="653"/>
      <c r="B1118" s="654"/>
      <c r="C1118" s="654"/>
      <c r="D1118" s="2167" t="s">
        <v>2947</v>
      </c>
      <c r="E1118" s="2167"/>
      <c r="F1118" s="2167"/>
      <c r="G1118" s="2167"/>
      <c r="H1118" s="2167"/>
      <c r="I1118" s="2167"/>
      <c r="J1118" s="2167"/>
    </row>
    <row r="1119" spans="1:10" s="644" customFormat="1">
      <c r="A1119" s="668"/>
      <c r="B1119" s="654"/>
      <c r="C1119" s="654"/>
      <c r="D1119" s="682" t="s">
        <v>2930</v>
      </c>
      <c r="E1119" s="659" t="s">
        <v>2430</v>
      </c>
      <c r="F1119" s="660" t="s">
        <v>2431</v>
      </c>
      <c r="G1119" s="661" t="s">
        <v>929</v>
      </c>
      <c r="H1119" s="680"/>
      <c r="I1119" s="657" t="s">
        <v>955</v>
      </c>
      <c r="J1119" s="694"/>
    </row>
    <row r="1120" spans="1:10" s="644" customFormat="1">
      <c r="A1120" s="668"/>
      <c r="B1120" s="654"/>
      <c r="C1120" s="654"/>
      <c r="D1120" s="682" t="s">
        <v>2931</v>
      </c>
      <c r="E1120" s="679">
        <v>0.45</v>
      </c>
      <c r="F1120" s="680">
        <v>0.45</v>
      </c>
      <c r="G1120" s="755">
        <v>0.4</v>
      </c>
      <c r="H1120" s="680"/>
      <c r="I1120" s="657"/>
      <c r="J1120" s="694"/>
    </row>
    <row r="1121" spans="1:11" s="644" customFormat="1">
      <c r="A1121" s="668"/>
      <c r="B1121" s="654"/>
      <c r="C1121" s="654"/>
      <c r="D1121" s="682" t="s">
        <v>2932</v>
      </c>
      <c r="E1121" s="679"/>
      <c r="F1121" s="680">
        <f>E1120</f>
        <v>0.45</v>
      </c>
      <c r="G1121" s="755"/>
      <c r="H1121" s="680">
        <f>I1121*F1121</f>
        <v>0.9</v>
      </c>
      <c r="I1121" s="657">
        <v>2</v>
      </c>
      <c r="J1121" s="694"/>
    </row>
    <row r="1122" spans="1:11" s="644" customFormat="1">
      <c r="A1122" s="668"/>
      <c r="B1122" s="654"/>
      <c r="C1122" s="654"/>
      <c r="D1122" s="682" t="s">
        <v>2933</v>
      </c>
      <c r="E1122" s="679"/>
      <c r="F1122" s="680">
        <f>E1120</f>
        <v>0.45</v>
      </c>
      <c r="G1122" s="755">
        <f>G1120</f>
        <v>0.4</v>
      </c>
      <c r="H1122" s="680">
        <f>I1122*F1122*G1122</f>
        <v>0.36000000000000004</v>
      </c>
      <c r="I1122" s="657">
        <v>2</v>
      </c>
      <c r="J1122" s="694"/>
    </row>
    <row r="1123" spans="1:11" s="644" customFormat="1">
      <c r="A1123" s="668"/>
      <c r="B1123" s="654"/>
      <c r="C1123" s="654"/>
      <c r="D1123" s="682" t="s">
        <v>2934</v>
      </c>
      <c r="E1123" s="679"/>
      <c r="F1123" s="680">
        <f>F1120</f>
        <v>0.45</v>
      </c>
      <c r="G1123" s="755">
        <f>G1120</f>
        <v>0.4</v>
      </c>
      <c r="H1123" s="680">
        <f>I1123*F1123*G1123</f>
        <v>0.36000000000000004</v>
      </c>
      <c r="I1123" s="657">
        <v>2</v>
      </c>
      <c r="J1123" s="694"/>
    </row>
    <row r="1124" spans="1:11" s="644" customFormat="1">
      <c r="A1124" s="668"/>
      <c r="B1124" s="654"/>
      <c r="C1124" s="654"/>
      <c r="D1124" s="682" t="s">
        <v>2935</v>
      </c>
      <c r="E1124" s="679"/>
      <c r="F1124" s="680"/>
      <c r="G1124" s="661"/>
      <c r="H1124" s="680">
        <f>SUM(H1121:H1123)</f>
        <v>1.62</v>
      </c>
      <c r="I1124" s="657"/>
      <c r="J1124" s="694"/>
    </row>
    <row r="1125" spans="1:11" s="644" customFormat="1">
      <c r="A1125" s="668"/>
      <c r="B1125" s="654"/>
      <c r="C1125" s="654"/>
      <c r="D1125" s="682" t="s">
        <v>2936</v>
      </c>
      <c r="E1125" s="679"/>
      <c r="F1125" s="680"/>
      <c r="G1125" s="661"/>
      <c r="H1125" s="680">
        <f>0.1*H1124</f>
        <v>0.16200000000000003</v>
      </c>
      <c r="I1125" s="657"/>
      <c r="J1125" s="694"/>
    </row>
    <row r="1126" spans="1:11" s="644" customFormat="1">
      <c r="A1126" s="668"/>
      <c r="B1126" s="654"/>
      <c r="C1126" s="654"/>
      <c r="D1126" s="682" t="s">
        <v>946</v>
      </c>
      <c r="E1126" s="679"/>
      <c r="F1126" s="680"/>
      <c r="G1126" s="661"/>
      <c r="H1126" s="684">
        <f>SUM(H1124:H1125)</f>
        <v>1.782</v>
      </c>
      <c r="I1126" s="657"/>
      <c r="J1126" s="694"/>
    </row>
    <row r="1127" spans="1:11" s="644" customFormat="1" ht="127.5">
      <c r="A1127" s="668"/>
      <c r="B1127" s="654" t="s">
        <v>2937</v>
      </c>
      <c r="C1127" s="735" t="s">
        <v>2938</v>
      </c>
      <c r="D1127" s="682" t="s">
        <v>2939</v>
      </c>
      <c r="E1127" s="679">
        <f>H1126</f>
        <v>1.782</v>
      </c>
      <c r="F1127" s="680" t="s">
        <v>2948</v>
      </c>
      <c r="G1127" s="661">
        <v>1</v>
      </c>
      <c r="H1127" s="680" t="s">
        <v>2948</v>
      </c>
      <c r="I1127" s="657">
        <v>4940</v>
      </c>
      <c r="J1127" s="694">
        <f>SUM(E1127*I1127/G1127)</f>
        <v>8803.08</v>
      </c>
      <c r="K1127" s="644" t="s">
        <v>2949</v>
      </c>
    </row>
    <row r="1128" spans="1:11" s="644" customFormat="1">
      <c r="A1128" s="668"/>
      <c r="B1128" s="654"/>
      <c r="C1128" s="654"/>
      <c r="D1128" s="756" t="s">
        <v>2941</v>
      </c>
      <c r="E1128" s="679"/>
      <c r="F1128" s="680"/>
      <c r="G1128" s="661"/>
      <c r="H1128" s="680"/>
      <c r="I1128" s="657"/>
      <c r="J1128" s="694"/>
    </row>
    <row r="1129" spans="1:11" s="644" customFormat="1" ht="63.75">
      <c r="A1129" s="668"/>
      <c r="B1129" s="665" t="s">
        <v>2915</v>
      </c>
      <c r="C1129" s="735" t="s">
        <v>1188</v>
      </c>
      <c r="D1129" s="682" t="s">
        <v>2950</v>
      </c>
      <c r="E1129" s="695">
        <v>1</v>
      </c>
      <c r="F1129" s="645" t="s">
        <v>955</v>
      </c>
      <c r="G1129" s="661">
        <v>1</v>
      </c>
      <c r="H1129" s="645" t="s">
        <v>1509</v>
      </c>
      <c r="I1129" s="757">
        <v>12486</v>
      </c>
      <c r="J1129" s="694">
        <f>SUM(E1129*I1129/G1129)</f>
        <v>12486</v>
      </c>
    </row>
    <row r="1130" spans="1:11" s="644" customFormat="1">
      <c r="A1130" s="668"/>
      <c r="B1130" s="654"/>
      <c r="C1130" s="654"/>
      <c r="D1130" s="682"/>
      <c r="E1130" s="695"/>
      <c r="F1130" s="645"/>
      <c r="G1130" s="661"/>
      <c r="H1130" s="645"/>
      <c r="I1130" s="657"/>
      <c r="J1130" s="758">
        <f>SUM(J1127:J1129)</f>
        <v>21289.08</v>
      </c>
    </row>
    <row r="1131" spans="1:11" s="644" customFormat="1">
      <c r="A1131" s="668"/>
      <c r="B1131" s="654"/>
      <c r="C1131" s="654"/>
      <c r="D1131" s="682" t="s">
        <v>2958</v>
      </c>
      <c r="E1131" s="759">
        <v>0</v>
      </c>
      <c r="F1131" s="680"/>
      <c r="G1131" s="659"/>
      <c r="H1131" s="680"/>
      <c r="I1131" s="657"/>
      <c r="J1131" s="758">
        <f>J1130*E1131</f>
        <v>0</v>
      </c>
    </row>
    <row r="1132" spans="1:11" s="644" customFormat="1" ht="25.5">
      <c r="A1132" s="668"/>
      <c r="B1132" s="654"/>
      <c r="C1132" s="654"/>
      <c r="D1132" s="682" t="s">
        <v>2959</v>
      </c>
      <c r="E1132" s="759">
        <v>0</v>
      </c>
      <c r="F1132" s="681"/>
      <c r="G1132" s="665"/>
      <c r="H1132" s="681"/>
      <c r="I1132" s="657"/>
      <c r="J1132" s="758">
        <f>J1130*E1132</f>
        <v>0</v>
      </c>
    </row>
    <row r="1133" spans="1:11" s="644" customFormat="1">
      <c r="A1133" s="668"/>
      <c r="B1133" s="654"/>
      <c r="C1133" s="654"/>
      <c r="D1133" s="682" t="s">
        <v>2943</v>
      </c>
      <c r="E1133" s="759">
        <v>0.01</v>
      </c>
      <c r="F1133" s="680"/>
      <c r="G1133" s="661"/>
      <c r="H1133" s="680"/>
      <c r="I1133" s="657"/>
      <c r="J1133" s="758">
        <f>J1130*E1133</f>
        <v>212.89080000000001</v>
      </c>
    </row>
    <row r="1134" spans="1:11" s="644" customFormat="1" ht="51">
      <c r="A1134" s="668"/>
      <c r="B1134" s="654"/>
      <c r="C1134" s="654"/>
      <c r="D1134" s="682" t="s">
        <v>2944</v>
      </c>
      <c r="E1134" s="760">
        <v>5.0000000000000001E-3</v>
      </c>
      <c r="F1134" s="680"/>
      <c r="G1134" s="661"/>
      <c r="H1134" s="680"/>
      <c r="I1134" s="657"/>
      <c r="J1134" s="758">
        <f>J1130*E1134</f>
        <v>106.44540000000001</v>
      </c>
    </row>
    <row r="1135" spans="1:11" s="644" customFormat="1" ht="25.5">
      <c r="A1135" s="668"/>
      <c r="B1135" s="654"/>
      <c r="C1135" s="654"/>
      <c r="D1135" s="683" t="s">
        <v>2945</v>
      </c>
      <c r="E1135" s="681"/>
      <c r="F1135" s="659"/>
      <c r="G1135" s="659"/>
      <c r="H1135" s="659"/>
      <c r="I1135" s="657"/>
      <c r="J1135" s="758">
        <f>SUM(J1130:J1134)</f>
        <v>21608.416200000003</v>
      </c>
    </row>
    <row r="1136" spans="1:11" s="644" customFormat="1">
      <c r="A1136" s="668"/>
      <c r="B1136" s="664"/>
      <c r="C1136" s="664"/>
      <c r="D1136" s="669" t="s">
        <v>2767</v>
      </c>
      <c r="E1136" s="670">
        <f>$E$9</f>
        <v>0</v>
      </c>
      <c r="F1136" s="684"/>
      <c r="G1136" s="663"/>
      <c r="H1136" s="684"/>
      <c r="I1136" s="672"/>
      <c r="J1136" s="761">
        <f>J1135*E1136</f>
        <v>0</v>
      </c>
    </row>
    <row r="1137" spans="1:11" s="644" customFormat="1">
      <c r="A1137" s="668"/>
      <c r="B1137" s="664"/>
      <c r="C1137" s="664"/>
      <c r="D1137" s="673"/>
      <c r="E1137" s="685"/>
      <c r="F1137" s="684"/>
      <c r="G1137" s="663"/>
      <c r="H1137" s="684"/>
      <c r="I1137" s="672"/>
      <c r="J1137" s="676">
        <f>SUM(J1135:J1136)</f>
        <v>21608.416200000003</v>
      </c>
    </row>
    <row r="1138" spans="1:11" s="644" customFormat="1">
      <c r="A1138" s="668"/>
      <c r="B1138" s="664"/>
      <c r="C1138" s="664"/>
      <c r="D1138" s="669" t="s">
        <v>2380</v>
      </c>
      <c r="E1138" s="685"/>
      <c r="F1138" s="684"/>
      <c r="G1138" s="663"/>
      <c r="H1138" s="684"/>
      <c r="I1138" s="686"/>
      <c r="J1138" s="693">
        <f>ROUND(J1137,0)</f>
        <v>21608</v>
      </c>
    </row>
    <row r="1139" spans="1:11" s="644" customFormat="1">
      <c r="A1139" s="668"/>
      <c r="B1139" s="654"/>
      <c r="C1139" s="654"/>
      <c r="D1139" s="683"/>
      <c r="E1139" s="681"/>
      <c r="F1139" s="659"/>
      <c r="G1139" s="659"/>
      <c r="H1139" s="659"/>
      <c r="I1139" s="672"/>
      <c r="J1139" s="758"/>
    </row>
    <row r="1140" spans="1:11" s="644" customFormat="1">
      <c r="A1140" s="673"/>
      <c r="B1140" s="654"/>
      <c r="C1140" s="654"/>
      <c r="D1140" s="756" t="s">
        <v>2951</v>
      </c>
      <c r="E1140" s="679"/>
      <c r="F1140" s="680"/>
      <c r="G1140" s="661"/>
      <c r="H1140" s="680"/>
      <c r="I1140" s="657"/>
      <c r="J1140" s="694"/>
    </row>
    <row r="1141" spans="1:11" s="644" customFormat="1">
      <c r="A1141" s="653"/>
      <c r="B1141" s="654"/>
      <c r="C1141" s="654"/>
      <c r="D1141" s="2167" t="s">
        <v>2952</v>
      </c>
      <c r="E1141" s="2167"/>
      <c r="F1141" s="2167"/>
      <c r="G1141" s="2167"/>
      <c r="H1141" s="2167"/>
      <c r="I1141" s="2167"/>
      <c r="J1141" s="2167"/>
    </row>
    <row r="1142" spans="1:11" s="644" customFormat="1">
      <c r="A1142" s="668"/>
      <c r="B1142" s="654"/>
      <c r="C1142" s="654"/>
      <c r="D1142" s="682" t="s">
        <v>2930</v>
      </c>
      <c r="E1142" s="659" t="s">
        <v>2430</v>
      </c>
      <c r="F1142" s="660" t="s">
        <v>2431</v>
      </c>
      <c r="G1142" s="661" t="s">
        <v>929</v>
      </c>
      <c r="H1142" s="680"/>
      <c r="I1142" s="657" t="s">
        <v>955</v>
      </c>
      <c r="J1142" s="694"/>
    </row>
    <row r="1143" spans="1:11" s="644" customFormat="1">
      <c r="A1143" s="668"/>
      <c r="B1143" s="654"/>
      <c r="C1143" s="654"/>
      <c r="D1143" s="682" t="s">
        <v>2931</v>
      </c>
      <c r="E1143" s="679">
        <v>0.6</v>
      </c>
      <c r="F1143" s="680">
        <v>0.6</v>
      </c>
      <c r="G1143" s="755">
        <v>0.45</v>
      </c>
      <c r="H1143" s="680"/>
      <c r="I1143" s="657"/>
      <c r="J1143" s="694"/>
    </row>
    <row r="1144" spans="1:11" s="644" customFormat="1">
      <c r="A1144" s="668"/>
      <c r="B1144" s="654"/>
      <c r="C1144" s="654"/>
      <c r="D1144" s="682" t="s">
        <v>2932</v>
      </c>
      <c r="E1144" s="679"/>
      <c r="F1144" s="680">
        <f>E1143</f>
        <v>0.6</v>
      </c>
      <c r="G1144" s="755"/>
      <c r="H1144" s="680">
        <f>I1144*F1144</f>
        <v>1.2</v>
      </c>
      <c r="I1144" s="657">
        <v>2</v>
      </c>
      <c r="J1144" s="694"/>
    </row>
    <row r="1145" spans="1:11" s="644" customFormat="1">
      <c r="A1145" s="668"/>
      <c r="B1145" s="654"/>
      <c r="C1145" s="654"/>
      <c r="D1145" s="682" t="s">
        <v>2933</v>
      </c>
      <c r="E1145" s="679"/>
      <c r="F1145" s="680">
        <f>E1143</f>
        <v>0.6</v>
      </c>
      <c r="G1145" s="755">
        <f>G1143</f>
        <v>0.45</v>
      </c>
      <c r="H1145" s="680">
        <f>I1145*F1145*G1145</f>
        <v>0.54</v>
      </c>
      <c r="I1145" s="657">
        <v>2</v>
      </c>
      <c r="J1145" s="694"/>
    </row>
    <row r="1146" spans="1:11" s="644" customFormat="1">
      <c r="A1146" s="668"/>
      <c r="B1146" s="654"/>
      <c r="C1146" s="654"/>
      <c r="D1146" s="682" t="s">
        <v>2934</v>
      </c>
      <c r="E1146" s="679"/>
      <c r="F1146" s="680">
        <f>F1143</f>
        <v>0.6</v>
      </c>
      <c r="G1146" s="755">
        <f>G1143</f>
        <v>0.45</v>
      </c>
      <c r="H1146" s="680">
        <f>I1146*F1146*G1146</f>
        <v>0.54</v>
      </c>
      <c r="I1146" s="657">
        <v>2</v>
      </c>
      <c r="J1146" s="694"/>
    </row>
    <row r="1147" spans="1:11" s="644" customFormat="1">
      <c r="A1147" s="668"/>
      <c r="B1147" s="654"/>
      <c r="C1147" s="654"/>
      <c r="D1147" s="682" t="s">
        <v>2935</v>
      </c>
      <c r="E1147" s="679"/>
      <c r="F1147" s="680"/>
      <c r="G1147" s="661"/>
      <c r="H1147" s="680">
        <f>SUM(H1144:H1146)</f>
        <v>2.2800000000000002</v>
      </c>
      <c r="I1147" s="657"/>
      <c r="J1147" s="694"/>
    </row>
    <row r="1148" spans="1:11" s="644" customFormat="1">
      <c r="A1148" s="668"/>
      <c r="B1148" s="654"/>
      <c r="C1148" s="654"/>
      <c r="D1148" s="682" t="s">
        <v>2936</v>
      </c>
      <c r="E1148" s="679"/>
      <c r="F1148" s="680"/>
      <c r="G1148" s="661"/>
      <c r="H1148" s="680">
        <f>0.1*H1147</f>
        <v>0.22800000000000004</v>
      </c>
      <c r="I1148" s="657"/>
      <c r="J1148" s="694"/>
    </row>
    <row r="1149" spans="1:11" s="644" customFormat="1">
      <c r="A1149" s="668"/>
      <c r="B1149" s="654"/>
      <c r="C1149" s="654"/>
      <c r="D1149" s="682" t="s">
        <v>946</v>
      </c>
      <c r="E1149" s="679"/>
      <c r="F1149" s="680"/>
      <c r="G1149" s="661"/>
      <c r="H1149" s="684">
        <f>SUM(H1147:H1148)</f>
        <v>2.5080000000000005</v>
      </c>
      <c r="I1149" s="657"/>
      <c r="J1149" s="694"/>
    </row>
    <row r="1150" spans="1:11" s="644" customFormat="1" ht="127.5">
      <c r="A1150" s="668"/>
      <c r="B1150" s="654" t="s">
        <v>2937</v>
      </c>
      <c r="C1150" s="735" t="s">
        <v>2938</v>
      </c>
      <c r="D1150" s="682" t="s">
        <v>2939</v>
      </c>
      <c r="E1150" s="679">
        <f>H1149</f>
        <v>2.5080000000000005</v>
      </c>
      <c r="F1150" s="680" t="s">
        <v>2948</v>
      </c>
      <c r="G1150" s="661">
        <v>1</v>
      </c>
      <c r="H1150" s="680" t="s">
        <v>2948</v>
      </c>
      <c r="I1150" s="657">
        <v>4940</v>
      </c>
      <c r="J1150" s="694">
        <f>SUM(E1150*I1150/G1150)</f>
        <v>12389.520000000002</v>
      </c>
      <c r="K1150" s="644" t="s">
        <v>2949</v>
      </c>
    </row>
    <row r="1151" spans="1:11" s="644" customFormat="1" ht="63.75">
      <c r="A1151" s="653"/>
      <c r="B1151" s="665" t="s">
        <v>2915</v>
      </c>
      <c r="C1151" s="735" t="s">
        <v>2237</v>
      </c>
      <c r="D1151" s="682" t="s">
        <v>2953</v>
      </c>
      <c r="E1151" s="695">
        <v>1</v>
      </c>
      <c r="F1151" s="645" t="s">
        <v>955</v>
      </c>
      <c r="G1151" s="661">
        <v>1</v>
      </c>
      <c r="H1151" s="645" t="s">
        <v>1509</v>
      </c>
      <c r="I1151" s="757">
        <v>29878</v>
      </c>
      <c r="J1151" s="694">
        <f>SUM(E1151*I1151/G1151)</f>
        <v>29878</v>
      </c>
    </row>
    <row r="1152" spans="1:11" s="644" customFormat="1">
      <c r="A1152" s="668"/>
      <c r="B1152" s="654"/>
      <c r="C1152" s="654"/>
      <c r="D1152" s="682"/>
      <c r="E1152" s="695"/>
      <c r="F1152" s="645"/>
      <c r="G1152" s="661"/>
      <c r="H1152" s="645"/>
      <c r="I1152" s="657"/>
      <c r="J1152" s="758">
        <f>SUM(J1150:J1151)</f>
        <v>42267.520000000004</v>
      </c>
    </row>
    <row r="1153" spans="1:10" s="644" customFormat="1">
      <c r="A1153" s="668"/>
      <c r="B1153" s="654"/>
      <c r="C1153" s="654"/>
      <c r="D1153" s="682" t="s">
        <v>2958</v>
      </c>
      <c r="E1153" s="759">
        <v>0</v>
      </c>
      <c r="F1153" s="680"/>
      <c r="G1153" s="659"/>
      <c r="H1153" s="680"/>
      <c r="I1153" s="657"/>
      <c r="J1153" s="758">
        <f>J1152*E1153</f>
        <v>0</v>
      </c>
    </row>
    <row r="1154" spans="1:10" s="644" customFormat="1" ht="25.5">
      <c r="A1154" s="668"/>
      <c r="B1154" s="654"/>
      <c r="C1154" s="654"/>
      <c r="D1154" s="682" t="s">
        <v>2959</v>
      </c>
      <c r="E1154" s="759">
        <v>0</v>
      </c>
      <c r="F1154" s="681"/>
      <c r="G1154" s="665"/>
      <c r="H1154" s="681"/>
      <c r="I1154" s="657"/>
      <c r="J1154" s="758">
        <f>J1152*E1154</f>
        <v>0</v>
      </c>
    </row>
    <row r="1155" spans="1:10" s="644" customFormat="1">
      <c r="A1155" s="668"/>
      <c r="B1155" s="654"/>
      <c r="C1155" s="654"/>
      <c r="D1155" s="682" t="s">
        <v>2943</v>
      </c>
      <c r="E1155" s="759">
        <v>0.01</v>
      </c>
      <c r="F1155" s="680"/>
      <c r="G1155" s="661"/>
      <c r="H1155" s="680"/>
      <c r="I1155" s="657"/>
      <c r="J1155" s="758">
        <f>J1152*E1155</f>
        <v>422.67520000000007</v>
      </c>
    </row>
    <row r="1156" spans="1:10" s="644" customFormat="1" ht="51">
      <c r="A1156" s="668"/>
      <c r="B1156" s="654"/>
      <c r="C1156" s="654"/>
      <c r="D1156" s="682" t="s">
        <v>2944</v>
      </c>
      <c r="E1156" s="760">
        <v>5.0000000000000001E-3</v>
      </c>
      <c r="F1156" s="680"/>
      <c r="G1156" s="661"/>
      <c r="H1156" s="680"/>
      <c r="I1156" s="657"/>
      <c r="J1156" s="758">
        <f>J1152*E1156</f>
        <v>211.33760000000004</v>
      </c>
    </row>
    <row r="1157" spans="1:10" s="644" customFormat="1" ht="25.5">
      <c r="A1157" s="668"/>
      <c r="B1157" s="654"/>
      <c r="C1157" s="654"/>
      <c r="D1157" s="683" t="s">
        <v>2945</v>
      </c>
      <c r="E1157" s="681"/>
      <c r="F1157" s="659"/>
      <c r="G1157" s="659"/>
      <c r="H1157" s="659"/>
      <c r="I1157" s="657"/>
      <c r="J1157" s="758">
        <f>SUM(J1152:J1156)</f>
        <v>42901.532800000001</v>
      </c>
    </row>
    <row r="1158" spans="1:10" s="644" customFormat="1">
      <c r="A1158" s="668"/>
      <c r="B1158" s="664"/>
      <c r="C1158" s="664"/>
      <c r="D1158" s="669" t="s">
        <v>2767</v>
      </c>
      <c r="E1158" s="670">
        <f>$E$9</f>
        <v>0</v>
      </c>
      <c r="F1158" s="684"/>
      <c r="G1158" s="663"/>
      <c r="H1158" s="684"/>
      <c r="I1158" s="672"/>
      <c r="J1158" s="761">
        <f>J1157*E1158</f>
        <v>0</v>
      </c>
    </row>
    <row r="1159" spans="1:10" s="644" customFormat="1">
      <c r="A1159" s="668"/>
      <c r="B1159" s="664"/>
      <c r="C1159" s="664"/>
      <c r="D1159" s="673"/>
      <c r="E1159" s="685"/>
      <c r="F1159" s="684"/>
      <c r="G1159" s="663"/>
      <c r="H1159" s="684"/>
      <c r="I1159" s="672"/>
      <c r="J1159" s="676">
        <f>SUM(J1157:J1158)</f>
        <v>42901.532800000001</v>
      </c>
    </row>
    <row r="1160" spans="1:10" s="644" customFormat="1">
      <c r="A1160" s="668"/>
      <c r="B1160" s="664"/>
      <c r="C1160" s="664"/>
      <c r="D1160" s="669" t="s">
        <v>2380</v>
      </c>
      <c r="E1160" s="685"/>
      <c r="F1160" s="684"/>
      <c r="G1160" s="663"/>
      <c r="H1160" s="684"/>
      <c r="I1160" s="686"/>
      <c r="J1160" s="693">
        <f>ROUND(J1159,0)</f>
        <v>42902</v>
      </c>
    </row>
    <row r="1161" spans="1:10" s="644" customFormat="1">
      <c r="A1161" s="673"/>
      <c r="B1161" s="654"/>
      <c r="C1161" s="654"/>
      <c r="D1161" s="756"/>
      <c r="E1161" s="679"/>
      <c r="F1161" s="680"/>
      <c r="G1161" s="661"/>
      <c r="H1161" s="680"/>
      <c r="I1161" s="657"/>
      <c r="J1161" s="694"/>
    </row>
    <row r="1162" spans="1:10" s="644" customFormat="1">
      <c r="A1162" s="673"/>
      <c r="B1162" s="654"/>
      <c r="C1162" s="654"/>
      <c r="D1162" s="756" t="s">
        <v>2954</v>
      </c>
      <c r="E1162" s="679"/>
      <c r="F1162" s="680"/>
      <c r="G1162" s="661"/>
      <c r="H1162" s="680"/>
      <c r="I1162" s="657"/>
      <c r="J1162" s="694"/>
    </row>
    <row r="1163" spans="1:10" s="644" customFormat="1">
      <c r="A1163" s="653"/>
      <c r="B1163" s="654"/>
      <c r="C1163" s="654"/>
      <c r="D1163" s="2167" t="s">
        <v>2955</v>
      </c>
      <c r="E1163" s="2167"/>
      <c r="F1163" s="2167"/>
      <c r="G1163" s="2167"/>
      <c r="H1163" s="2167"/>
      <c r="I1163" s="2167"/>
      <c r="J1163" s="2167"/>
    </row>
    <row r="1164" spans="1:10" s="644" customFormat="1">
      <c r="A1164" s="668"/>
      <c r="B1164" s="654"/>
      <c r="C1164" s="654"/>
      <c r="D1164" s="682" t="s">
        <v>2930</v>
      </c>
      <c r="E1164" s="659" t="s">
        <v>2430</v>
      </c>
      <c r="F1164" s="660" t="s">
        <v>2431</v>
      </c>
      <c r="G1164" s="661" t="s">
        <v>929</v>
      </c>
      <c r="H1164" s="680"/>
      <c r="I1164" s="657" t="s">
        <v>955</v>
      </c>
      <c r="J1164" s="694"/>
    </row>
    <row r="1165" spans="1:10" s="644" customFormat="1">
      <c r="A1165" s="668"/>
      <c r="B1165" s="654"/>
      <c r="C1165" s="654"/>
      <c r="D1165" s="682" t="s">
        <v>2931</v>
      </c>
      <c r="E1165" s="679">
        <v>0.75</v>
      </c>
      <c r="F1165" s="680">
        <v>0.75</v>
      </c>
      <c r="G1165" s="755">
        <v>0.45</v>
      </c>
      <c r="H1165" s="680"/>
      <c r="I1165" s="657"/>
      <c r="J1165" s="694"/>
    </row>
    <row r="1166" spans="1:10" s="644" customFormat="1">
      <c r="A1166" s="668"/>
      <c r="B1166" s="654"/>
      <c r="C1166" s="654"/>
      <c r="D1166" s="682" t="s">
        <v>2932</v>
      </c>
      <c r="E1166" s="679"/>
      <c r="F1166" s="680">
        <f>E1165</f>
        <v>0.75</v>
      </c>
      <c r="G1166" s="755"/>
      <c r="H1166" s="680">
        <f>I1166*F1166</f>
        <v>1.5</v>
      </c>
      <c r="I1166" s="657">
        <v>2</v>
      </c>
      <c r="J1166" s="694"/>
    </row>
    <row r="1167" spans="1:10" s="644" customFormat="1">
      <c r="A1167" s="668"/>
      <c r="B1167" s="654"/>
      <c r="C1167" s="654"/>
      <c r="D1167" s="682" t="s">
        <v>2933</v>
      </c>
      <c r="E1167" s="679"/>
      <c r="F1167" s="680">
        <f>E1165</f>
        <v>0.75</v>
      </c>
      <c r="G1167" s="755">
        <f>G1165</f>
        <v>0.45</v>
      </c>
      <c r="H1167" s="680">
        <f>I1167*F1167*G1167</f>
        <v>0.67500000000000004</v>
      </c>
      <c r="I1167" s="657">
        <v>2</v>
      </c>
      <c r="J1167" s="694"/>
    </row>
    <row r="1168" spans="1:10" s="644" customFormat="1">
      <c r="A1168" s="668"/>
      <c r="B1168" s="654"/>
      <c r="C1168" s="654"/>
      <c r="D1168" s="682" t="s">
        <v>2934</v>
      </c>
      <c r="E1168" s="679"/>
      <c r="F1168" s="680">
        <f>F1165</f>
        <v>0.75</v>
      </c>
      <c r="G1168" s="755">
        <f>G1165</f>
        <v>0.45</v>
      </c>
      <c r="H1168" s="680">
        <f>I1168*F1168*G1168</f>
        <v>0.67500000000000004</v>
      </c>
      <c r="I1168" s="657">
        <v>2</v>
      </c>
      <c r="J1168" s="694"/>
    </row>
    <row r="1169" spans="1:12" s="644" customFormat="1">
      <c r="A1169" s="668"/>
      <c r="B1169" s="654"/>
      <c r="C1169" s="654"/>
      <c r="D1169" s="682" t="s">
        <v>2935</v>
      </c>
      <c r="E1169" s="679"/>
      <c r="F1169" s="680"/>
      <c r="G1169" s="661"/>
      <c r="H1169" s="680">
        <f>SUM(H1166:H1168)</f>
        <v>2.8499999999999996</v>
      </c>
      <c r="I1169" s="657"/>
      <c r="J1169" s="694"/>
    </row>
    <row r="1170" spans="1:12" s="644" customFormat="1">
      <c r="A1170" s="668"/>
      <c r="B1170" s="654"/>
      <c r="C1170" s="654"/>
      <c r="D1170" s="682" t="s">
        <v>2936</v>
      </c>
      <c r="E1170" s="679"/>
      <c r="F1170" s="680"/>
      <c r="G1170" s="661"/>
      <c r="H1170" s="680">
        <f>0.1*H1169</f>
        <v>0.28499999999999998</v>
      </c>
      <c r="I1170" s="657"/>
      <c r="J1170" s="694"/>
    </row>
    <row r="1171" spans="1:12" s="644" customFormat="1">
      <c r="A1171" s="668"/>
      <c r="B1171" s="654"/>
      <c r="C1171" s="654"/>
      <c r="D1171" s="682" t="s">
        <v>946</v>
      </c>
      <c r="E1171" s="679"/>
      <c r="F1171" s="680"/>
      <c r="G1171" s="661"/>
      <c r="H1171" s="684">
        <f>SUM(H1169:H1170)</f>
        <v>3.1349999999999998</v>
      </c>
      <c r="I1171" s="657"/>
      <c r="J1171" s="694"/>
    </row>
    <row r="1172" spans="1:12" s="644" customFormat="1" ht="127.5">
      <c r="A1172" s="668"/>
      <c r="B1172" s="654" t="s">
        <v>2937</v>
      </c>
      <c r="C1172" s="735" t="s">
        <v>2938</v>
      </c>
      <c r="D1172" s="682" t="s">
        <v>2939</v>
      </c>
      <c r="E1172" s="679">
        <f>H1171</f>
        <v>3.1349999999999998</v>
      </c>
      <c r="F1172" s="680" t="s">
        <v>2948</v>
      </c>
      <c r="G1172" s="661">
        <v>1</v>
      </c>
      <c r="H1172" s="680" t="s">
        <v>2948</v>
      </c>
      <c r="I1172" s="657">
        <v>4940</v>
      </c>
      <c r="J1172" s="694">
        <f>SUM(E1172*I1172/G1172)</f>
        <v>15486.9</v>
      </c>
      <c r="K1172" s="644" t="s">
        <v>2949</v>
      </c>
    </row>
    <row r="1173" spans="1:12" s="644" customFormat="1" ht="63.75">
      <c r="A1173" s="653"/>
      <c r="B1173" s="665" t="s">
        <v>2915</v>
      </c>
      <c r="C1173" s="735" t="s">
        <v>2956</v>
      </c>
      <c r="D1173" s="682" t="s">
        <v>2957</v>
      </c>
      <c r="E1173" s="695">
        <v>1</v>
      </c>
      <c r="F1173" s="645" t="s">
        <v>955</v>
      </c>
      <c r="G1173" s="661">
        <v>1</v>
      </c>
      <c r="H1173" s="645" t="s">
        <v>1509</v>
      </c>
      <c r="I1173" s="757">
        <v>37611</v>
      </c>
      <c r="J1173" s="694">
        <f>SUM(E1173*I1173/G1173)</f>
        <v>37611</v>
      </c>
    </row>
    <row r="1174" spans="1:12" s="644" customFormat="1">
      <c r="A1174" s="668"/>
      <c r="B1174" s="654"/>
      <c r="C1174" s="654"/>
      <c r="D1174" s="682"/>
      <c r="E1174" s="695"/>
      <c r="F1174" s="645"/>
      <c r="G1174" s="661"/>
      <c r="H1174" s="645"/>
      <c r="I1174" s="657"/>
      <c r="J1174" s="758">
        <f>SUM(J1172:J1173)</f>
        <v>53097.9</v>
      </c>
    </row>
    <row r="1175" spans="1:12" s="644" customFormat="1">
      <c r="A1175" s="668"/>
      <c r="B1175" s="654"/>
      <c r="C1175" s="654"/>
      <c r="D1175" s="682" t="s">
        <v>2958</v>
      </c>
      <c r="E1175" s="759">
        <v>0</v>
      </c>
      <c r="F1175" s="680"/>
      <c r="G1175" s="659"/>
      <c r="H1175" s="680"/>
      <c r="I1175" s="657"/>
      <c r="J1175" s="758">
        <f>J1174*E1175</f>
        <v>0</v>
      </c>
    </row>
    <row r="1176" spans="1:12" s="644" customFormat="1" ht="25.5">
      <c r="A1176" s="668"/>
      <c r="B1176" s="654"/>
      <c r="C1176" s="654"/>
      <c r="D1176" s="682" t="s">
        <v>2959</v>
      </c>
      <c r="E1176" s="759">
        <v>0</v>
      </c>
      <c r="F1176" s="681"/>
      <c r="G1176" s="665"/>
      <c r="H1176" s="681"/>
      <c r="I1176" s="657"/>
      <c r="J1176" s="758">
        <f>J1174*E1176</f>
        <v>0</v>
      </c>
    </row>
    <row r="1177" spans="1:12" s="644" customFormat="1">
      <c r="A1177" s="668"/>
      <c r="B1177" s="654"/>
      <c r="C1177" s="654"/>
      <c r="D1177" s="682" t="s">
        <v>2943</v>
      </c>
      <c r="E1177" s="759">
        <v>0.01</v>
      </c>
      <c r="F1177" s="680"/>
      <c r="G1177" s="661"/>
      <c r="H1177" s="680"/>
      <c r="I1177" s="657"/>
      <c r="J1177" s="758">
        <f>J1174*E1177</f>
        <v>530.97900000000004</v>
      </c>
    </row>
    <row r="1178" spans="1:12" s="644" customFormat="1" ht="51">
      <c r="A1178" s="668"/>
      <c r="B1178" s="654"/>
      <c r="C1178" s="654"/>
      <c r="D1178" s="682" t="s">
        <v>2944</v>
      </c>
      <c r="E1178" s="760">
        <v>5.0000000000000001E-3</v>
      </c>
      <c r="F1178" s="680"/>
      <c r="G1178" s="661"/>
      <c r="H1178" s="680"/>
      <c r="I1178" s="657"/>
      <c r="J1178" s="758">
        <f>J1174*E1178</f>
        <v>265.48950000000002</v>
      </c>
    </row>
    <row r="1179" spans="1:12" s="644" customFormat="1" ht="25.5">
      <c r="A1179" s="668"/>
      <c r="B1179" s="654"/>
      <c r="C1179" s="654"/>
      <c r="D1179" s="683" t="s">
        <v>2945</v>
      </c>
      <c r="E1179" s="681"/>
      <c r="F1179" s="659"/>
      <c r="G1179" s="659"/>
      <c r="H1179" s="659"/>
      <c r="I1179" s="657"/>
      <c r="J1179" s="758">
        <f>SUM(J1174:J1178)</f>
        <v>53894.368500000004</v>
      </c>
    </row>
    <row r="1180" spans="1:12" s="644" customFormat="1">
      <c r="A1180" s="668"/>
      <c r="B1180" s="664"/>
      <c r="C1180" s="664"/>
      <c r="D1180" s="669" t="s">
        <v>2767</v>
      </c>
      <c r="E1180" s="670">
        <f>$E$9</f>
        <v>0</v>
      </c>
      <c r="F1180" s="684"/>
      <c r="G1180" s="663"/>
      <c r="H1180" s="684"/>
      <c r="I1180" s="672"/>
      <c r="J1180" s="761">
        <f>J1179*E1180</f>
        <v>0</v>
      </c>
    </row>
    <row r="1181" spans="1:12" s="644" customFormat="1">
      <c r="A1181" s="668"/>
      <c r="B1181" s="664"/>
      <c r="C1181" s="664"/>
      <c r="D1181" s="673"/>
      <c r="E1181" s="685"/>
      <c r="F1181" s="684"/>
      <c r="G1181" s="663"/>
      <c r="H1181" s="684"/>
      <c r="I1181" s="672"/>
      <c r="J1181" s="676">
        <f>SUM(J1179:J1180)</f>
        <v>53894.368500000004</v>
      </c>
    </row>
    <row r="1182" spans="1:12" s="644" customFormat="1">
      <c r="A1182" s="668"/>
      <c r="B1182" s="664"/>
      <c r="C1182" s="664"/>
      <c r="D1182" s="669" t="s">
        <v>2380</v>
      </c>
      <c r="E1182" s="685"/>
      <c r="F1182" s="684"/>
      <c r="G1182" s="663"/>
      <c r="H1182" s="684"/>
      <c r="I1182" s="686"/>
      <c r="J1182" s="693">
        <f>ROUND(J1181,0)</f>
        <v>53894</v>
      </c>
    </row>
    <row r="1183" spans="1:12" s="644" customFormat="1">
      <c r="A1183" s="668"/>
      <c r="B1183" s="654"/>
      <c r="C1183" s="654"/>
      <c r="D1183" s="683"/>
      <c r="E1183" s="681"/>
      <c r="F1183" s="659"/>
      <c r="G1183" s="659"/>
      <c r="H1183" s="659"/>
      <c r="I1183" s="672"/>
      <c r="J1183" s="758"/>
    </row>
    <row r="1184" spans="1:12" s="644" customFormat="1">
      <c r="A1184" s="668"/>
      <c r="B1184" s="677"/>
      <c r="C1184" s="677"/>
      <c r="D1184" s="683"/>
      <c r="E1184" s="681"/>
      <c r="F1184" s="659"/>
      <c r="G1184" s="659"/>
      <c r="H1184" s="659"/>
      <c r="I1184" s="672"/>
      <c r="J1184" s="758"/>
      <c r="L1184" s="644">
        <v>1537305</v>
      </c>
    </row>
    <row r="1185" spans="1:12" s="644" customFormat="1">
      <c r="A1185" s="668"/>
      <c r="B1185" s="677"/>
      <c r="C1185" s="677"/>
      <c r="D1185" s="2161" t="s">
        <v>3095</v>
      </c>
      <c r="E1185" s="2161"/>
      <c r="F1185" s="2161"/>
      <c r="G1185" s="2161"/>
      <c r="H1185" s="2161"/>
      <c r="I1185" s="2161"/>
      <c r="J1185" s="2161"/>
      <c r="L1185" s="644">
        <v>1</v>
      </c>
    </row>
    <row r="1186" spans="1:12" s="644" customFormat="1">
      <c r="A1186" s="653">
        <f>SUM(MAX($A$7:$A1185),1)</f>
        <v>58</v>
      </c>
      <c r="B1186" s="664"/>
      <c r="C1186" s="664"/>
      <c r="D1186" s="2158" t="s">
        <v>3096</v>
      </c>
      <c r="E1186" s="2158"/>
      <c r="F1186" s="2158"/>
      <c r="G1186" s="2158"/>
      <c r="H1186" s="2158"/>
      <c r="I1186" s="2158"/>
      <c r="J1186" s="2158"/>
    </row>
    <row r="1187" spans="1:12" s="644" customFormat="1" ht="25.5">
      <c r="A1187" s="668"/>
      <c r="B1187" s="664" t="s">
        <v>3097</v>
      </c>
      <c r="C1187" s="663" t="s">
        <v>1197</v>
      </c>
      <c r="D1187" s="645" t="s">
        <v>3098</v>
      </c>
      <c r="E1187" s="695">
        <v>1</v>
      </c>
      <c r="F1187" s="645" t="s">
        <v>2927</v>
      </c>
      <c r="G1187" s="661">
        <v>1</v>
      </c>
      <c r="H1187" s="645" t="s">
        <v>501</v>
      </c>
      <c r="I1187" s="751">
        <v>1502598</v>
      </c>
      <c r="J1187" s="688">
        <f>G1187*I1187</f>
        <v>1502598</v>
      </c>
    </row>
    <row r="1188" spans="1:12" s="644" customFormat="1">
      <c r="A1188" s="668"/>
      <c r="B1188" s="664"/>
      <c r="C1188" s="664"/>
      <c r="D1188" s="669" t="s">
        <v>2767</v>
      </c>
      <c r="E1188" s="670">
        <f>$E$9</f>
        <v>0</v>
      </c>
      <c r="F1188" s="684"/>
      <c r="G1188" s="663"/>
      <c r="H1188" s="684"/>
      <c r="I1188" s="672"/>
      <c r="J1188" s="676">
        <f>J1187*E1188</f>
        <v>0</v>
      </c>
    </row>
    <row r="1189" spans="1:12" s="644" customFormat="1">
      <c r="A1189" s="668"/>
      <c r="B1189" s="664"/>
      <c r="C1189" s="664"/>
      <c r="D1189" s="673"/>
      <c r="E1189" s="685"/>
      <c r="F1189" s="684"/>
      <c r="G1189" s="663"/>
      <c r="H1189" s="684"/>
      <c r="I1189" s="672"/>
      <c r="J1189" s="676">
        <f>SUM(J1188:J1188)</f>
        <v>0</v>
      </c>
    </row>
    <row r="1190" spans="1:12" s="644" customFormat="1">
      <c r="A1190" s="668"/>
      <c r="B1190" s="664"/>
      <c r="C1190" s="664"/>
      <c r="D1190" s="669" t="s">
        <v>2380</v>
      </c>
      <c r="E1190" s="685"/>
      <c r="F1190" s="684"/>
      <c r="G1190" s="663"/>
      <c r="H1190" s="684"/>
      <c r="I1190" s="686"/>
      <c r="J1190" s="693">
        <f>ROUND(J1189,0)</f>
        <v>0</v>
      </c>
    </row>
    <row r="1191" spans="1:12" s="644" customFormat="1">
      <c r="A1191" s="668"/>
      <c r="B1191" s="654"/>
      <c r="C1191" s="654"/>
      <c r="D1191" s="683"/>
      <c r="E1191" s="681"/>
      <c r="F1191" s="659"/>
      <c r="G1191" s="659"/>
      <c r="H1191" s="659"/>
      <c r="I1191" s="672"/>
      <c r="J1191" s="744"/>
    </row>
    <row r="1192" spans="1:12" s="644" customFormat="1" ht="255">
      <c r="A1192" s="653">
        <f>SUM(MAX($A$7:$A1191),1)</f>
        <v>59</v>
      </c>
      <c r="B1192" s="654"/>
      <c r="C1192" s="654"/>
      <c r="D1192" s="662" t="s">
        <v>3099</v>
      </c>
      <c r="E1192" s="803"/>
      <c r="F1192" s="668"/>
      <c r="G1192" s="661"/>
      <c r="H1192" s="654"/>
      <c r="I1192" s="672"/>
      <c r="J1192" s="655"/>
    </row>
    <row r="1193" spans="1:12" s="644" customFormat="1">
      <c r="A1193" s="668"/>
      <c r="B1193" s="654"/>
      <c r="C1193" s="654"/>
      <c r="D1193" s="662"/>
      <c r="E1193" s="678"/>
      <c r="F1193" s="678"/>
      <c r="G1193" s="678"/>
      <c r="H1193" s="678"/>
      <c r="I1193" s="675"/>
      <c r="J1193" s="678"/>
    </row>
    <row r="1194" spans="1:12" s="644" customFormat="1">
      <c r="A1194" s="668"/>
      <c r="B1194" s="654" t="s">
        <v>3100</v>
      </c>
      <c r="C1194" s="654" t="s">
        <v>1188</v>
      </c>
      <c r="D1194" s="662" t="s">
        <v>3101</v>
      </c>
      <c r="E1194" s="803" t="s">
        <v>955</v>
      </c>
      <c r="F1194" s="668">
        <v>1</v>
      </c>
      <c r="G1194" s="661">
        <v>1</v>
      </c>
      <c r="H1194" s="654" t="s">
        <v>501</v>
      </c>
      <c r="I1194" s="679">
        <v>2495840</v>
      </c>
      <c r="J1194" s="655">
        <f>I1194*G1194</f>
        <v>2495840</v>
      </c>
    </row>
    <row r="1195" spans="1:12" s="644" customFormat="1">
      <c r="A1195" s="668"/>
      <c r="B1195" s="664"/>
      <c r="C1195" s="664"/>
      <c r="D1195" s="669" t="s">
        <v>2767</v>
      </c>
      <c r="E1195" s="670">
        <f>$E$9</f>
        <v>0</v>
      </c>
      <c r="F1195" s="684"/>
      <c r="G1195" s="663"/>
      <c r="H1195" s="684"/>
      <c r="I1195" s="672"/>
      <c r="J1195" s="676">
        <f>J1194*E1195</f>
        <v>0</v>
      </c>
    </row>
    <row r="1196" spans="1:12" s="644" customFormat="1">
      <c r="A1196" s="668"/>
      <c r="B1196" s="664"/>
      <c r="C1196" s="664"/>
      <c r="D1196" s="673"/>
      <c r="E1196" s="685"/>
      <c r="F1196" s="684"/>
      <c r="G1196" s="663"/>
      <c r="H1196" s="684"/>
      <c r="I1196" s="672"/>
      <c r="J1196" s="676">
        <f>SUM(J1194:J1195)</f>
        <v>2495840</v>
      </c>
    </row>
    <row r="1197" spans="1:12" s="644" customFormat="1">
      <c r="A1197" s="668"/>
      <c r="B1197" s="664"/>
      <c r="C1197" s="664"/>
      <c r="D1197" s="669" t="s">
        <v>2380</v>
      </c>
      <c r="E1197" s="685"/>
      <c r="F1197" s="684"/>
      <c r="G1197" s="663"/>
      <c r="H1197" s="684"/>
      <c r="I1197" s="686"/>
      <c r="J1197" s="693">
        <f>ROUND(J1196,0)</f>
        <v>2495840</v>
      </c>
    </row>
    <row r="1198" spans="1:12" s="644" customFormat="1">
      <c r="A1198" s="668"/>
      <c r="B1198" s="664"/>
      <c r="C1198" s="664"/>
      <c r="D1198" s="669"/>
      <c r="E1198" s="685"/>
      <c r="F1198" s="684"/>
      <c r="G1198" s="663"/>
      <c r="H1198" s="684"/>
      <c r="I1198" s="686"/>
      <c r="J1198" s="693"/>
    </row>
    <row r="1199" spans="1:12" s="644" customFormat="1" ht="178.5">
      <c r="A1199" s="653">
        <f>SUM(MAX($A$7:$A1198),1)</f>
        <v>60</v>
      </c>
      <c r="B1199" s="661" t="s">
        <v>3102</v>
      </c>
      <c r="C1199" s="665" t="s">
        <v>1184</v>
      </c>
      <c r="D1199" s="662" t="s">
        <v>3103</v>
      </c>
      <c r="E1199" s="659">
        <v>1</v>
      </c>
      <c r="F1199" s="654" t="s">
        <v>1509</v>
      </c>
      <c r="G1199" s="661">
        <v>1</v>
      </c>
      <c r="H1199" s="654" t="s">
        <v>501</v>
      </c>
      <c r="I1199" s="695">
        <v>143000</v>
      </c>
      <c r="J1199" s="655">
        <f>SUM(E1199*I1199/G1199)</f>
        <v>143000</v>
      </c>
    </row>
    <row r="1200" spans="1:12" s="644" customFormat="1">
      <c r="A1200" s="668"/>
      <c r="B1200" s="664"/>
      <c r="C1200" s="664"/>
      <c r="D1200" s="669" t="s">
        <v>2767</v>
      </c>
      <c r="E1200" s="670">
        <f>$E$9</f>
        <v>0</v>
      </c>
      <c r="F1200" s="684"/>
      <c r="G1200" s="663"/>
      <c r="H1200" s="684"/>
      <c r="I1200" s="672"/>
      <c r="J1200" s="673">
        <f>J1199*$E1200</f>
        <v>0</v>
      </c>
    </row>
    <row r="1201" spans="1:10" s="644" customFormat="1">
      <c r="A1201" s="668"/>
      <c r="B1201" s="664"/>
      <c r="C1201" s="664"/>
      <c r="D1201" s="673"/>
      <c r="E1201" s="685"/>
      <c r="F1201" s="684"/>
      <c r="G1201" s="663"/>
      <c r="H1201" s="684"/>
      <c r="I1201" s="672"/>
      <c r="J1201" s="676">
        <f>SUM(J1199:J1200)</f>
        <v>143000</v>
      </c>
    </row>
    <row r="1202" spans="1:10" s="644" customFormat="1">
      <c r="A1202" s="668"/>
      <c r="B1202" s="664"/>
      <c r="C1202" s="664"/>
      <c r="D1202" s="669" t="s">
        <v>2380</v>
      </c>
      <c r="E1202" s="685"/>
      <c r="F1202" s="684"/>
      <c r="G1202" s="663"/>
      <c r="H1202" s="684"/>
      <c r="I1202" s="686"/>
      <c r="J1202" s="693">
        <f>ROUND(J1201,0)</f>
        <v>143000</v>
      </c>
    </row>
    <row r="1203" spans="1:10" s="644" customFormat="1">
      <c r="A1203" s="668"/>
      <c r="B1203" s="664"/>
      <c r="C1203" s="664"/>
      <c r="D1203" s="669"/>
      <c r="E1203" s="685"/>
      <c r="F1203" s="684"/>
      <c r="G1203" s="663"/>
      <c r="H1203" s="684"/>
      <c r="I1203" s="686"/>
      <c r="J1203" s="693"/>
    </row>
    <row r="1204" spans="1:10" s="644" customFormat="1" ht="25.5">
      <c r="A1204" s="653">
        <f>SUM(MAX($A$7:$A1203),1)</f>
        <v>61</v>
      </c>
      <c r="B1204" s="654" t="s">
        <v>3104</v>
      </c>
      <c r="C1204" s="661" t="s">
        <v>1186</v>
      </c>
      <c r="D1204" s="682" t="s">
        <v>3105</v>
      </c>
      <c r="E1204" s="659">
        <v>1</v>
      </c>
      <c r="F1204" s="654" t="s">
        <v>1509</v>
      </c>
      <c r="G1204" s="661">
        <v>1</v>
      </c>
      <c r="H1204" s="654" t="s">
        <v>501</v>
      </c>
      <c r="I1204" s="695">
        <v>5060</v>
      </c>
      <c r="J1204" s="655">
        <f>SUM(E1204*I1204/G1204)</f>
        <v>5060</v>
      </c>
    </row>
    <row r="1205" spans="1:10" s="644" customFormat="1">
      <c r="A1205" s="668"/>
      <c r="B1205" s="664"/>
      <c r="C1205" s="664"/>
      <c r="D1205" s="669" t="s">
        <v>2767</v>
      </c>
      <c r="E1205" s="670">
        <f>$E$9</f>
        <v>0</v>
      </c>
      <c r="F1205" s="684"/>
      <c r="G1205" s="663"/>
      <c r="H1205" s="684"/>
      <c r="I1205" s="672"/>
      <c r="J1205" s="673">
        <f>J1204*$E1205</f>
        <v>0</v>
      </c>
    </row>
    <row r="1206" spans="1:10" s="644" customFormat="1">
      <c r="A1206" s="668"/>
      <c r="B1206" s="664"/>
      <c r="C1206" s="664"/>
      <c r="D1206" s="673"/>
      <c r="E1206" s="685"/>
      <c r="F1206" s="684"/>
      <c r="G1206" s="663"/>
      <c r="H1206" s="684"/>
      <c r="I1206" s="672"/>
      <c r="J1206" s="676">
        <f>SUM(J1204:J1205)</f>
        <v>5060</v>
      </c>
    </row>
    <row r="1207" spans="1:10" s="644" customFormat="1">
      <c r="A1207" s="668"/>
      <c r="B1207" s="664"/>
      <c r="C1207" s="664"/>
      <c r="D1207" s="669" t="s">
        <v>2380</v>
      </c>
      <c r="E1207" s="685"/>
      <c r="F1207" s="684"/>
      <c r="G1207" s="663"/>
      <c r="H1207" s="684"/>
      <c r="I1207" s="686"/>
      <c r="J1207" s="693">
        <f>ROUND(J1206,0)</f>
        <v>5060</v>
      </c>
    </row>
    <row r="1208" spans="1:10" s="644" customFormat="1">
      <c r="A1208" s="668"/>
      <c r="B1208" s="664"/>
      <c r="C1208" s="664"/>
      <c r="D1208" s="669"/>
      <c r="E1208" s="685"/>
      <c r="F1208" s="684"/>
      <c r="G1208" s="663"/>
      <c r="H1208" s="684"/>
      <c r="I1208" s="686"/>
      <c r="J1208" s="693"/>
    </row>
    <row r="1209" spans="1:10" s="644" customFormat="1" ht="38.25">
      <c r="A1209" s="653">
        <f>SUM(MAX($A$7:$A1208),1)</f>
        <v>62</v>
      </c>
      <c r="B1209" s="654" t="s">
        <v>3106</v>
      </c>
      <c r="C1209" s="661" t="s">
        <v>1186</v>
      </c>
      <c r="D1209" s="682" t="s">
        <v>3107</v>
      </c>
      <c r="E1209" s="659">
        <v>1</v>
      </c>
      <c r="F1209" s="654" t="s">
        <v>1509</v>
      </c>
      <c r="G1209" s="661">
        <v>1</v>
      </c>
      <c r="H1209" s="654" t="s">
        <v>501</v>
      </c>
      <c r="I1209" s="695">
        <v>7700</v>
      </c>
      <c r="J1209" s="655">
        <f>SUM(E1209*I1209/G1209)</f>
        <v>7700</v>
      </c>
    </row>
    <row r="1210" spans="1:10" s="644" customFormat="1">
      <c r="A1210" s="668"/>
      <c r="B1210" s="664"/>
      <c r="C1210" s="664"/>
      <c r="D1210" s="669" t="s">
        <v>2767</v>
      </c>
      <c r="E1210" s="670">
        <f>$E$9</f>
        <v>0</v>
      </c>
      <c r="F1210" s="684"/>
      <c r="G1210" s="663"/>
      <c r="H1210" s="684"/>
      <c r="I1210" s="672"/>
      <c r="J1210" s="673">
        <f>J1209*$E1210</f>
        <v>0</v>
      </c>
    </row>
    <row r="1211" spans="1:10" s="644" customFormat="1">
      <c r="A1211" s="668"/>
      <c r="B1211" s="664"/>
      <c r="C1211" s="664"/>
      <c r="D1211" s="673"/>
      <c r="E1211" s="685"/>
      <c r="F1211" s="684"/>
      <c r="G1211" s="663"/>
      <c r="H1211" s="684"/>
      <c r="I1211" s="672"/>
      <c r="J1211" s="676">
        <f>SUM(J1209:J1210)</f>
        <v>7700</v>
      </c>
    </row>
    <row r="1212" spans="1:10" s="644" customFormat="1">
      <c r="A1212" s="668"/>
      <c r="B1212" s="664"/>
      <c r="C1212" s="664"/>
      <c r="D1212" s="669" t="s">
        <v>2380</v>
      </c>
      <c r="E1212" s="685"/>
      <c r="F1212" s="684"/>
      <c r="G1212" s="663"/>
      <c r="H1212" s="684"/>
      <c r="I1212" s="686"/>
      <c r="J1212" s="693">
        <f>ROUND(J1211,0)</f>
        <v>7700</v>
      </c>
    </row>
    <row r="1213" spans="1:10" s="644" customFormat="1">
      <c r="A1213" s="668"/>
      <c r="B1213" s="654"/>
      <c r="C1213" s="654"/>
      <c r="D1213" s="683"/>
      <c r="E1213" s="681"/>
      <c r="F1213" s="659"/>
      <c r="G1213" s="659"/>
      <c r="H1213" s="659"/>
      <c r="I1213" s="672"/>
      <c r="J1213" s="744"/>
    </row>
    <row r="1214" spans="1:10" s="644" customFormat="1">
      <c r="A1214" s="668"/>
      <c r="B1214" s="664"/>
      <c r="C1214" s="664"/>
      <c r="D1214" s="837"/>
      <c r="E1214" s="736"/>
      <c r="F1214" s="2170"/>
      <c r="G1214" s="2170"/>
      <c r="H1214" s="838"/>
      <c r="I1214" s="672"/>
      <c r="J1214" s="664"/>
    </row>
    <row r="1215" spans="1:10" s="644" customFormat="1">
      <c r="A1215" s="673"/>
      <c r="B1215" s="677"/>
      <c r="C1215" s="677"/>
      <c r="D1215" s="774" t="s">
        <v>3108</v>
      </c>
      <c r="E1215" s="677"/>
      <c r="F1215" s="677"/>
      <c r="G1215" s="677"/>
      <c r="H1215" s="677"/>
      <c r="I1215" s="675"/>
      <c r="J1215" s="677"/>
    </row>
    <row r="1216" spans="1:10" s="644" customFormat="1" ht="102">
      <c r="A1216" s="653">
        <f>SUM(MAX($A$7:$A1214),1)</f>
        <v>63</v>
      </c>
      <c r="B1216" s="665" t="s">
        <v>3109</v>
      </c>
      <c r="C1216" s="735" t="s">
        <v>1188</v>
      </c>
      <c r="D1216" s="662" t="s">
        <v>3110</v>
      </c>
      <c r="E1216" s="803" t="s">
        <v>3111</v>
      </c>
      <c r="F1216" s="668">
        <v>1</v>
      </c>
      <c r="G1216" s="661">
        <v>1</v>
      </c>
      <c r="H1216" s="654" t="s">
        <v>3112</v>
      </c>
      <c r="I1216" s="757">
        <v>1510</v>
      </c>
      <c r="J1216" s="655">
        <f>I1216*G1216</f>
        <v>1510</v>
      </c>
    </row>
    <row r="1217" spans="1:10" s="644" customFormat="1">
      <c r="A1217" s="668"/>
      <c r="B1217" s="664"/>
      <c r="C1217" s="664"/>
      <c r="D1217" s="669" t="s">
        <v>2767</v>
      </c>
      <c r="E1217" s="670">
        <f>$E$9</f>
        <v>0</v>
      </c>
      <c r="F1217" s="684"/>
      <c r="G1217" s="663"/>
      <c r="H1217" s="684"/>
      <c r="I1217" s="672"/>
      <c r="J1217" s="673">
        <f>J1216*$E1217</f>
        <v>0</v>
      </c>
    </row>
    <row r="1218" spans="1:10" s="644" customFormat="1">
      <c r="A1218" s="668"/>
      <c r="B1218" s="664"/>
      <c r="C1218" s="664"/>
      <c r="D1218" s="673"/>
      <c r="E1218" s="685"/>
      <c r="F1218" s="684"/>
      <c r="G1218" s="663"/>
      <c r="H1218" s="684"/>
      <c r="I1218" s="672"/>
      <c r="J1218" s="676">
        <f>SUM(J1216:J1217)</f>
        <v>1510</v>
      </c>
    </row>
    <row r="1219" spans="1:10" s="644" customFormat="1">
      <c r="A1219" s="668"/>
      <c r="B1219" s="664"/>
      <c r="C1219" s="664"/>
      <c r="D1219" s="669" t="s">
        <v>2768</v>
      </c>
      <c r="E1219" s="685"/>
      <c r="F1219" s="684"/>
      <c r="G1219" s="663"/>
      <c r="H1219" s="684"/>
      <c r="I1219" s="686"/>
      <c r="J1219" s="693">
        <f>ROUND(J1218,0)</f>
        <v>1510</v>
      </c>
    </row>
    <row r="1220" spans="1:10" s="644" customFormat="1">
      <c r="A1220" s="668"/>
      <c r="B1220" s="664"/>
      <c r="C1220" s="664"/>
      <c r="D1220" s="669"/>
      <c r="E1220" s="685"/>
      <c r="F1220" s="684"/>
      <c r="G1220" s="663"/>
      <c r="H1220" s="684"/>
      <c r="I1220" s="686"/>
      <c r="J1220" s="693"/>
    </row>
    <row r="1221" spans="1:10" s="644" customFormat="1" ht="89.25">
      <c r="A1221" s="653">
        <f>SUM(MAX($A$7:$A1219),1)</f>
        <v>64</v>
      </c>
      <c r="B1221" s="665" t="s">
        <v>3113</v>
      </c>
      <c r="C1221" s="735" t="s">
        <v>1180</v>
      </c>
      <c r="D1221" s="662" t="s">
        <v>3114</v>
      </c>
      <c r="E1221" s="803" t="s">
        <v>501</v>
      </c>
      <c r="F1221" s="668">
        <v>1</v>
      </c>
      <c r="G1221" s="661">
        <v>1</v>
      </c>
      <c r="H1221" s="654" t="s">
        <v>955</v>
      </c>
      <c r="I1221" s="757">
        <v>17851</v>
      </c>
      <c r="J1221" s="655">
        <f>I1221*G1221</f>
        <v>17851</v>
      </c>
    </row>
    <row r="1222" spans="1:10" s="644" customFormat="1">
      <c r="A1222" s="668"/>
      <c r="B1222" s="664"/>
      <c r="C1222" s="664"/>
      <c r="D1222" s="669" t="s">
        <v>2767</v>
      </c>
      <c r="E1222" s="670">
        <f>$E$9</f>
        <v>0</v>
      </c>
      <c r="F1222" s="684"/>
      <c r="G1222" s="663"/>
      <c r="H1222" s="684"/>
      <c r="I1222" s="672"/>
      <c r="J1222" s="673">
        <f>J1221*$E1222</f>
        <v>0</v>
      </c>
    </row>
    <row r="1223" spans="1:10" s="644" customFormat="1">
      <c r="A1223" s="668"/>
      <c r="B1223" s="664"/>
      <c r="C1223" s="664"/>
      <c r="D1223" s="673"/>
      <c r="E1223" s="685"/>
      <c r="F1223" s="684"/>
      <c r="G1223" s="663"/>
      <c r="H1223" s="684"/>
      <c r="I1223" s="672"/>
      <c r="J1223" s="676">
        <f>SUM(J1221:J1222)</f>
        <v>17851</v>
      </c>
    </row>
    <row r="1224" spans="1:10" s="644" customFormat="1">
      <c r="A1224" s="668"/>
      <c r="B1224" s="664"/>
      <c r="C1224" s="664"/>
      <c r="D1224" s="669" t="s">
        <v>2380</v>
      </c>
      <c r="E1224" s="685"/>
      <c r="F1224" s="684"/>
      <c r="G1224" s="663"/>
      <c r="H1224" s="684"/>
      <c r="I1224" s="686"/>
      <c r="J1224" s="693">
        <f>ROUND(J1223,0)</f>
        <v>17851</v>
      </c>
    </row>
    <row r="1225" spans="1:10" s="644" customFormat="1">
      <c r="A1225" s="668"/>
      <c r="B1225" s="735"/>
      <c r="C1225" s="735"/>
      <c r="D1225" s="682"/>
      <c r="E1225" s="654"/>
      <c r="F1225" s="665"/>
      <c r="G1225" s="658"/>
      <c r="H1225" s="654"/>
      <c r="I1225" s="657"/>
      <c r="J1225" s="658"/>
    </row>
    <row r="1226" spans="1:10" s="644" customFormat="1" ht="89.25">
      <c r="A1226" s="653">
        <f>SUM(MAX($A$7:$A1225),1)</f>
        <v>65</v>
      </c>
      <c r="B1226" s="665" t="s">
        <v>3115</v>
      </c>
      <c r="C1226" s="735" t="s">
        <v>1180</v>
      </c>
      <c r="D1226" s="662" t="s">
        <v>3116</v>
      </c>
      <c r="E1226" s="803" t="s">
        <v>501</v>
      </c>
      <c r="F1226" s="668">
        <v>1</v>
      </c>
      <c r="G1226" s="661">
        <v>1</v>
      </c>
      <c r="H1226" s="654" t="s">
        <v>955</v>
      </c>
      <c r="I1226" s="757">
        <v>11759</v>
      </c>
      <c r="J1226" s="655">
        <f>I1226*G1226</f>
        <v>11759</v>
      </c>
    </row>
    <row r="1227" spans="1:10" s="644" customFormat="1">
      <c r="A1227" s="668"/>
      <c r="B1227" s="664"/>
      <c r="C1227" s="664"/>
      <c r="D1227" s="669" t="s">
        <v>2767</v>
      </c>
      <c r="E1227" s="670">
        <f>$E$9</f>
        <v>0</v>
      </c>
      <c r="F1227" s="684"/>
      <c r="G1227" s="663"/>
      <c r="H1227" s="684"/>
      <c r="I1227" s="672"/>
      <c r="J1227" s="673">
        <f>J1226*$E1227</f>
        <v>0</v>
      </c>
    </row>
    <row r="1228" spans="1:10" s="644" customFormat="1">
      <c r="A1228" s="668"/>
      <c r="B1228" s="664"/>
      <c r="C1228" s="664"/>
      <c r="D1228" s="673"/>
      <c r="E1228" s="685"/>
      <c r="F1228" s="684"/>
      <c r="G1228" s="663"/>
      <c r="H1228" s="684"/>
      <c r="I1228" s="672"/>
      <c r="J1228" s="676">
        <f>SUM(J1226:J1227)</f>
        <v>11759</v>
      </c>
    </row>
    <row r="1229" spans="1:10" s="644" customFormat="1">
      <c r="A1229" s="668"/>
      <c r="B1229" s="664"/>
      <c r="C1229" s="664"/>
      <c r="D1229" s="669" t="s">
        <v>2380</v>
      </c>
      <c r="E1229" s="685"/>
      <c r="F1229" s="684"/>
      <c r="G1229" s="663"/>
      <c r="H1229" s="684"/>
      <c r="I1229" s="686"/>
      <c r="J1229" s="693">
        <f>ROUND(J1228,0)</f>
        <v>11759</v>
      </c>
    </row>
    <row r="1230" spans="1:10" s="644" customFormat="1">
      <c r="A1230" s="668"/>
      <c r="B1230" s="735"/>
      <c r="C1230" s="735"/>
      <c r="D1230" s="682"/>
      <c r="E1230" s="654"/>
      <c r="F1230" s="665"/>
      <c r="G1230" s="658"/>
      <c r="H1230" s="654"/>
      <c r="I1230" s="657"/>
      <c r="J1230" s="658"/>
    </row>
    <row r="1231" spans="1:10" s="644" customFormat="1">
      <c r="A1231" s="653">
        <f>SUM(MAX($A$7:$A1230),1)</f>
        <v>66</v>
      </c>
      <c r="B1231" s="654"/>
      <c r="C1231" s="654"/>
      <c r="D1231" s="2155" t="s">
        <v>3117</v>
      </c>
      <c r="E1231" s="2155"/>
      <c r="F1231" s="2155"/>
      <c r="G1231" s="2155"/>
      <c r="H1231" s="2155"/>
      <c r="I1231" s="2155"/>
      <c r="J1231" s="2155"/>
    </row>
    <row r="1232" spans="1:10" s="733" customFormat="1">
      <c r="A1232" s="673"/>
      <c r="B1232" s="687" t="s">
        <v>3118</v>
      </c>
      <c r="C1232" s="738"/>
      <c r="D1232" s="739" t="s">
        <v>3119</v>
      </c>
      <c r="E1232" s="687">
        <v>1</v>
      </c>
      <c r="F1232" s="687" t="s">
        <v>955</v>
      </c>
      <c r="G1232" s="687">
        <v>1</v>
      </c>
      <c r="H1232" s="732" t="s">
        <v>501</v>
      </c>
      <c r="I1232" s="749">
        <v>87846</v>
      </c>
      <c r="J1232" s="839">
        <f>I1232*G1232</f>
        <v>87846</v>
      </c>
    </row>
    <row r="1233" spans="1:11" s="644" customFormat="1">
      <c r="A1233" s="668"/>
      <c r="B1233" s="664"/>
      <c r="C1233" s="664"/>
      <c r="D1233" s="669" t="s">
        <v>2767</v>
      </c>
      <c r="E1233" s="670">
        <f>$E$9</f>
        <v>0</v>
      </c>
      <c r="F1233" s="684"/>
      <c r="G1233" s="663"/>
      <c r="H1233" s="684"/>
      <c r="I1233" s="672"/>
      <c r="J1233" s="676">
        <f>J1232*E1233</f>
        <v>0</v>
      </c>
    </row>
    <row r="1234" spans="1:11" s="644" customFormat="1">
      <c r="A1234" s="668"/>
      <c r="B1234" s="664"/>
      <c r="C1234" s="664"/>
      <c r="D1234" s="673"/>
      <c r="E1234" s="685"/>
      <c r="F1234" s="684"/>
      <c r="G1234" s="663"/>
      <c r="H1234" s="684"/>
      <c r="I1234" s="672"/>
      <c r="J1234" s="676">
        <f>SUM(J1232:J1233)</f>
        <v>87846</v>
      </c>
    </row>
    <row r="1235" spans="1:11" s="644" customFormat="1">
      <c r="A1235" s="668"/>
      <c r="B1235" s="664"/>
      <c r="C1235" s="664"/>
      <c r="D1235" s="669" t="s">
        <v>2380</v>
      </c>
      <c r="E1235" s="685"/>
      <c r="F1235" s="684"/>
      <c r="G1235" s="663"/>
      <c r="H1235" s="684"/>
      <c r="I1235" s="686"/>
      <c r="J1235" s="693">
        <f>ROUND(J1234,0)</f>
        <v>87846</v>
      </c>
    </row>
    <row r="1236" spans="1:11" s="644" customFormat="1">
      <c r="A1236" s="664"/>
      <c r="B1236" s="654"/>
      <c r="C1236" s="654"/>
      <c r="D1236" s="806"/>
      <c r="E1236" s="687"/>
      <c r="F1236" s="687"/>
      <c r="G1236" s="840"/>
      <c r="H1236" s="841"/>
      <c r="I1236" s="657"/>
      <c r="J1236" s="658"/>
    </row>
    <row r="1237" spans="1:11" s="644" customFormat="1" ht="63.75">
      <c r="A1237" s="653">
        <f>SUM(MAX($A$7:$A1236),1)</f>
        <v>67</v>
      </c>
      <c r="B1237" s="654" t="s">
        <v>3120</v>
      </c>
      <c r="C1237" s="661"/>
      <c r="D1237" s="682" t="s">
        <v>3121</v>
      </c>
      <c r="E1237" s="661">
        <v>1</v>
      </c>
      <c r="F1237" s="654" t="s">
        <v>2927</v>
      </c>
      <c r="G1237" s="661">
        <v>1</v>
      </c>
      <c r="H1237" s="654" t="s">
        <v>2927</v>
      </c>
      <c r="I1237" s="658">
        <v>25000</v>
      </c>
      <c r="J1237" s="664">
        <f>I1237*E1237</f>
        <v>25000</v>
      </c>
    </row>
    <row r="1238" spans="1:11" s="644" customFormat="1">
      <c r="A1238" s="668"/>
      <c r="B1238" s="735"/>
      <c r="C1238" s="735"/>
      <c r="D1238" s="682"/>
      <c r="E1238" s="654"/>
      <c r="F1238" s="665"/>
      <c r="G1238" s="658"/>
      <c r="H1238" s="654"/>
      <c r="I1238" s="657"/>
      <c r="J1238" s="658"/>
    </row>
    <row r="1239" spans="1:11" s="644" customFormat="1" ht="153">
      <c r="A1239" s="653">
        <f>SUM(MAX($A$7:$A1238),1)</f>
        <v>68</v>
      </c>
      <c r="B1239" s="661" t="s">
        <v>3122</v>
      </c>
      <c r="C1239" s="661"/>
      <c r="D1239" s="682" t="s">
        <v>3123</v>
      </c>
      <c r="E1239" s="661">
        <v>1</v>
      </c>
      <c r="F1239" s="654" t="s">
        <v>2927</v>
      </c>
      <c r="G1239" s="661">
        <v>1</v>
      </c>
      <c r="H1239" s="654" t="s">
        <v>2927</v>
      </c>
      <c r="I1239" s="657">
        <v>17364</v>
      </c>
      <c r="J1239" s="664">
        <f>I1239*E1239</f>
        <v>17364</v>
      </c>
    </row>
    <row r="1240" spans="1:11" s="644" customFormat="1">
      <c r="A1240" s="668"/>
      <c r="B1240" s="664"/>
      <c r="C1240" s="664"/>
      <c r="D1240" s="669" t="s">
        <v>2767</v>
      </c>
      <c r="E1240" s="670">
        <f>$E$9</f>
        <v>0</v>
      </c>
      <c r="F1240" s="684"/>
      <c r="G1240" s="663"/>
      <c r="H1240" s="684"/>
      <c r="I1240" s="672"/>
      <c r="J1240" s="676">
        <f>J1239*E1240</f>
        <v>0</v>
      </c>
    </row>
    <row r="1241" spans="1:11" s="644" customFormat="1">
      <c r="A1241" s="668"/>
      <c r="B1241" s="664"/>
      <c r="C1241" s="664"/>
      <c r="D1241" s="673"/>
      <c r="E1241" s="685"/>
      <c r="F1241" s="684"/>
      <c r="G1241" s="663"/>
      <c r="H1241" s="684"/>
      <c r="I1241" s="672"/>
      <c r="J1241" s="676">
        <f>SUM(J1239:J1240)</f>
        <v>17364</v>
      </c>
    </row>
    <row r="1242" spans="1:11" s="644" customFormat="1">
      <c r="A1242" s="668"/>
      <c r="B1242" s="664"/>
      <c r="C1242" s="664"/>
      <c r="D1242" s="669" t="s">
        <v>2380</v>
      </c>
      <c r="E1242" s="685"/>
      <c r="F1242" s="684"/>
      <c r="G1242" s="663"/>
      <c r="H1242" s="684"/>
      <c r="I1242" s="686"/>
      <c r="J1242" s="693">
        <f>ROUND(J1241,0)</f>
        <v>17364</v>
      </c>
    </row>
    <row r="1243" spans="1:11" s="644" customFormat="1">
      <c r="A1243" s="668"/>
      <c r="B1243" s="664"/>
      <c r="C1243" s="664"/>
      <c r="D1243" s="669"/>
      <c r="E1243" s="685"/>
      <c r="F1243" s="684"/>
      <c r="G1243" s="663"/>
      <c r="H1243" s="684"/>
      <c r="I1243" s="686"/>
      <c r="J1243" s="693"/>
    </row>
    <row r="1244" spans="1:11" s="845" customFormat="1">
      <c r="A1244" s="653">
        <f>SUM(MAX($A$7:$A1243),1)</f>
        <v>69</v>
      </c>
      <c r="B1244" s="842"/>
      <c r="C1244" s="842"/>
      <c r="D1244" s="2171" t="s">
        <v>3124</v>
      </c>
      <c r="E1244" s="2171"/>
      <c r="F1244" s="2171"/>
      <c r="G1244" s="2171"/>
      <c r="H1244" s="2171"/>
      <c r="I1244" s="843"/>
      <c r="J1244" s="843"/>
      <c r="K1244" s="844"/>
    </row>
    <row r="1245" spans="1:11" s="845" customFormat="1" ht="25.5">
      <c r="A1245" s="846"/>
      <c r="B1245" s="847" t="s">
        <v>3125</v>
      </c>
      <c r="C1245" s="847"/>
      <c r="D1245" s="848" t="s">
        <v>3126</v>
      </c>
      <c r="E1245" s="849">
        <v>1</v>
      </c>
      <c r="F1245" s="850" t="s">
        <v>46</v>
      </c>
      <c r="G1245" s="851"/>
      <c r="H1245" s="851"/>
      <c r="I1245" s="852">
        <v>581</v>
      </c>
      <c r="J1245" s="853">
        <f>E1245*I1245</f>
        <v>581</v>
      </c>
      <c r="K1245" s="844"/>
    </row>
    <row r="1246" spans="1:11" s="861" customFormat="1">
      <c r="A1246" s="854"/>
      <c r="B1246" s="855"/>
      <c r="C1246" s="855"/>
      <c r="D1246" s="856" t="s">
        <v>3127</v>
      </c>
      <c r="E1246" s="857"/>
      <c r="F1246" s="858"/>
      <c r="G1246" s="859"/>
      <c r="H1246" s="859"/>
      <c r="I1246" s="860"/>
      <c r="J1246" s="853"/>
    </row>
    <row r="1247" spans="1:11" s="861" customFormat="1">
      <c r="A1247" s="854"/>
      <c r="B1247" s="855">
        <v>1</v>
      </c>
      <c r="C1247" s="855"/>
      <c r="D1247" s="862" t="s">
        <v>2740</v>
      </c>
      <c r="E1247" s="863">
        <v>0.5</v>
      </c>
      <c r="F1247" s="864" t="s">
        <v>1738</v>
      </c>
      <c r="G1247" s="859"/>
      <c r="H1247" s="859"/>
      <c r="I1247" s="860">
        <v>660</v>
      </c>
      <c r="J1247" s="853">
        <f>E1247*I1247</f>
        <v>330</v>
      </c>
    </row>
    <row r="1248" spans="1:11" s="861" customFormat="1">
      <c r="A1248" s="854"/>
      <c r="B1248" s="865">
        <v>2</v>
      </c>
      <c r="C1248" s="865"/>
      <c r="D1248" s="862" t="s">
        <v>2741</v>
      </c>
      <c r="E1248" s="863">
        <v>0.5</v>
      </c>
      <c r="F1248" s="866" t="s">
        <v>1738</v>
      </c>
      <c r="G1248" s="859"/>
      <c r="H1248" s="859"/>
      <c r="I1248" s="867">
        <v>550</v>
      </c>
      <c r="J1248" s="853">
        <f>E1248*I1248</f>
        <v>275</v>
      </c>
    </row>
    <row r="1249" spans="1:10" s="861" customFormat="1">
      <c r="A1249" s="854"/>
      <c r="B1249" s="855">
        <v>3</v>
      </c>
      <c r="C1249" s="855"/>
      <c r="D1249" s="862" t="s">
        <v>2742</v>
      </c>
      <c r="E1249" s="863">
        <v>0.5</v>
      </c>
      <c r="F1249" s="864" t="s">
        <v>1738</v>
      </c>
      <c r="G1249" s="859"/>
      <c r="H1249" s="859"/>
      <c r="I1249" s="860">
        <v>550</v>
      </c>
      <c r="J1249" s="853">
        <f>E1249*I1249</f>
        <v>275</v>
      </c>
    </row>
    <row r="1250" spans="1:10" s="874" customFormat="1">
      <c r="A1250" s="854"/>
      <c r="B1250" s="855"/>
      <c r="C1250" s="855"/>
      <c r="D1250" s="868" t="s">
        <v>1117</v>
      </c>
      <c r="E1250" s="869"/>
      <c r="F1250" s="870"/>
      <c r="G1250" s="871"/>
      <c r="H1250" s="871"/>
      <c r="I1250" s="872"/>
      <c r="J1250" s="873">
        <f>ROUND(SUM(J1245:J1249),0)</f>
        <v>1461</v>
      </c>
    </row>
    <row r="1251" spans="1:10" s="882" customFormat="1">
      <c r="A1251" s="854"/>
      <c r="B1251" s="875"/>
      <c r="C1251" s="875"/>
      <c r="D1251" s="876" t="s">
        <v>2767</v>
      </c>
      <c r="E1251" s="877">
        <v>0.10614999999999999</v>
      </c>
      <c r="F1251" s="878"/>
      <c r="G1251" s="879"/>
      <c r="H1251" s="879"/>
      <c r="I1251" s="880"/>
      <c r="J1251" s="881">
        <f>J1250*E1251</f>
        <v>155.08515</v>
      </c>
    </row>
    <row r="1252" spans="1:10" s="882" customFormat="1">
      <c r="A1252" s="854"/>
      <c r="B1252" s="875"/>
      <c r="C1252" s="875"/>
      <c r="D1252" s="883"/>
      <c r="E1252" s="884"/>
      <c r="F1252" s="878"/>
      <c r="G1252" s="879"/>
      <c r="H1252" s="879"/>
      <c r="I1252" s="880"/>
      <c r="J1252" s="881">
        <f>SUM(J1250:J1251)</f>
        <v>1616.0851499999999</v>
      </c>
    </row>
    <row r="1253" spans="1:10" s="892" customFormat="1">
      <c r="A1253" s="854"/>
      <c r="B1253" s="885"/>
      <c r="C1253" s="885"/>
      <c r="D1253" s="886" t="s">
        <v>3128</v>
      </c>
      <c r="E1253" s="887"/>
      <c r="F1253" s="888"/>
      <c r="G1253" s="889"/>
      <c r="H1253" s="889"/>
      <c r="I1253" s="890"/>
      <c r="J1253" s="891">
        <f>ROUND(J1252,0)</f>
        <v>1616</v>
      </c>
    </row>
    <row r="1254" spans="1:10" s="644" customFormat="1">
      <c r="A1254" s="668"/>
      <c r="B1254" s="664"/>
      <c r="C1254" s="664"/>
      <c r="D1254" s="669"/>
      <c r="E1254" s="685"/>
      <c r="F1254" s="684"/>
      <c r="G1254" s="663"/>
      <c r="H1254" s="684"/>
      <c r="I1254" s="686"/>
      <c r="J1254" s="693"/>
    </row>
    <row r="1255" spans="1:10" s="874" customFormat="1">
      <c r="A1255" s="653">
        <f>SUM(MAX($A$7:$A1254),1)</f>
        <v>70</v>
      </c>
      <c r="B1255" s="893"/>
      <c r="C1255" s="893"/>
      <c r="D1255" s="2172" t="s">
        <v>3129</v>
      </c>
      <c r="E1255" s="2172"/>
      <c r="F1255" s="2172"/>
      <c r="G1255" s="2172"/>
      <c r="H1255" s="2172"/>
      <c r="I1255" s="893"/>
      <c r="J1255" s="893"/>
    </row>
    <row r="1256" spans="1:10" s="861" customFormat="1">
      <c r="A1256" s="894"/>
      <c r="B1256" s="895" t="s">
        <v>2925</v>
      </c>
      <c r="C1256" s="895"/>
      <c r="D1256" s="896" t="s">
        <v>3130</v>
      </c>
      <c r="E1256" s="849">
        <v>1</v>
      </c>
      <c r="F1256" s="850" t="s">
        <v>1509</v>
      </c>
      <c r="G1256" s="849">
        <v>5200</v>
      </c>
      <c r="H1256" s="859"/>
      <c r="I1256" s="852"/>
      <c r="J1256" s="849">
        <f>G1256*E1256</f>
        <v>5200</v>
      </c>
    </row>
    <row r="1257" spans="1:10" s="874" customFormat="1">
      <c r="A1257" s="894"/>
      <c r="B1257" s="893"/>
      <c r="C1257" s="893"/>
      <c r="D1257" s="897" t="s">
        <v>3131</v>
      </c>
      <c r="E1257" s="898"/>
      <c r="F1257" s="898"/>
      <c r="G1257" s="899"/>
      <c r="H1257" s="871"/>
      <c r="I1257" s="893"/>
      <c r="J1257" s="900">
        <f>SUM(J1256:J1256)</f>
        <v>5200</v>
      </c>
    </row>
    <row r="1258" spans="1:10" s="892" customFormat="1">
      <c r="A1258" s="854"/>
      <c r="B1258" s="885"/>
      <c r="C1258" s="885"/>
      <c r="D1258" s="886"/>
      <c r="E1258" s="887"/>
      <c r="F1258" s="888"/>
      <c r="G1258" s="901"/>
      <c r="H1258" s="888"/>
      <c r="I1258" s="890"/>
      <c r="J1258" s="891"/>
    </row>
    <row r="1259" spans="1:10" s="904" customFormat="1">
      <c r="A1259" s="902">
        <f>SUM(MAX($A$7:$A1258),1)</f>
        <v>71</v>
      </c>
      <c r="B1259" s="903"/>
      <c r="C1259" s="903"/>
      <c r="D1259" s="2173" t="s">
        <v>3132</v>
      </c>
      <c r="E1259" s="2173"/>
      <c r="F1259" s="2173"/>
      <c r="G1259" s="2173"/>
      <c r="H1259" s="2173"/>
      <c r="I1259" s="903"/>
      <c r="J1259" s="903"/>
    </row>
    <row r="1260" spans="1:10" s="912" customFormat="1">
      <c r="A1260" s="905"/>
      <c r="B1260" s="906" t="s">
        <v>2925</v>
      </c>
      <c r="C1260" s="906"/>
      <c r="D1260" s="907" t="s">
        <v>3133</v>
      </c>
      <c r="E1260" s="908">
        <v>1</v>
      </c>
      <c r="F1260" s="909" t="s">
        <v>484</v>
      </c>
      <c r="G1260" s="908">
        <v>1460</v>
      </c>
      <c r="H1260" s="910"/>
      <c r="I1260" s="911"/>
      <c r="J1260" s="908">
        <f>G1260*E1260</f>
        <v>1460</v>
      </c>
    </row>
    <row r="1261" spans="1:10" s="904" customFormat="1">
      <c r="A1261" s="905"/>
      <c r="B1261" s="903"/>
      <c r="C1261" s="903"/>
      <c r="D1261" s="913" t="s">
        <v>3134</v>
      </c>
      <c r="E1261" s="914"/>
      <c r="F1261" s="914"/>
      <c r="G1261" s="915"/>
      <c r="H1261" s="916"/>
      <c r="I1261" s="903"/>
      <c r="J1261" s="917">
        <f>SUM(J1260:J1260)</f>
        <v>1460</v>
      </c>
    </row>
    <row r="1262" spans="1:10" s="644" customFormat="1">
      <c r="A1262" s="668"/>
      <c r="B1262" s="664"/>
      <c r="C1262" s="664"/>
      <c r="D1262" s="669"/>
      <c r="E1262" s="685"/>
      <c r="F1262" s="684"/>
      <c r="G1262" s="663"/>
      <c r="H1262" s="684"/>
      <c r="I1262" s="686"/>
      <c r="J1262" s="693"/>
    </row>
    <row r="1263" spans="1:10" s="644" customFormat="1">
      <c r="A1263" s="668"/>
      <c r="B1263" s="735"/>
      <c r="C1263" s="735"/>
      <c r="D1263" s="682"/>
      <c r="E1263" s="654"/>
      <c r="F1263" s="665"/>
      <c r="G1263" s="658"/>
      <c r="H1263" s="654"/>
      <c r="I1263" s="657"/>
      <c r="J1263" s="658"/>
    </row>
    <row r="1264" spans="1:10" s="644" customFormat="1">
      <c r="A1264" s="653">
        <f>SUM(MAX($A$7:$A1263),1)</f>
        <v>72</v>
      </c>
      <c r="B1264" s="677"/>
      <c r="C1264" s="677"/>
      <c r="D1264" s="774" t="s">
        <v>3135</v>
      </c>
      <c r="E1264" s="677"/>
      <c r="F1264" s="677"/>
      <c r="G1264" s="677"/>
      <c r="H1264" s="677"/>
      <c r="I1264" s="675"/>
      <c r="J1264" s="677"/>
    </row>
    <row r="1265" spans="1:16" s="644" customFormat="1" ht="114.75">
      <c r="A1265" s="668" t="s">
        <v>294</v>
      </c>
      <c r="B1265" s="664" t="s">
        <v>3136</v>
      </c>
      <c r="C1265" s="735" t="s">
        <v>1197</v>
      </c>
      <c r="D1265" s="1733" t="s">
        <v>3137</v>
      </c>
      <c r="E1265" s="803" t="s">
        <v>3111</v>
      </c>
      <c r="F1265" s="668">
        <v>1</v>
      </c>
      <c r="G1265" s="661">
        <v>1</v>
      </c>
      <c r="H1265" s="654" t="s">
        <v>3112</v>
      </c>
      <c r="I1265" s="657">
        <v>268</v>
      </c>
      <c r="J1265" s="655">
        <f>I1265*F1265</f>
        <v>268</v>
      </c>
    </row>
    <row r="1266" spans="1:16" s="644" customFormat="1">
      <c r="A1266" s="668"/>
      <c r="B1266" s="664"/>
      <c r="C1266" s="664"/>
      <c r="D1266" s="669" t="s">
        <v>2767</v>
      </c>
      <c r="E1266" s="670">
        <f>$E$9</f>
        <v>0</v>
      </c>
      <c r="F1266" s="684"/>
      <c r="G1266" s="663"/>
      <c r="H1266" s="684"/>
      <c r="I1266" s="672"/>
      <c r="J1266" s="676">
        <f>J1265*$E1266</f>
        <v>0</v>
      </c>
    </row>
    <row r="1267" spans="1:16" s="644" customFormat="1">
      <c r="A1267" s="668"/>
      <c r="B1267" s="664"/>
      <c r="C1267" s="664"/>
      <c r="D1267" s="673"/>
      <c r="E1267" s="685"/>
      <c r="F1267" s="684"/>
      <c r="G1267" s="663"/>
      <c r="H1267" s="684"/>
      <c r="I1267" s="672"/>
      <c r="J1267" s="676">
        <f>SUM(J1265:J1266)</f>
        <v>268</v>
      </c>
    </row>
    <row r="1268" spans="1:16" s="644" customFormat="1">
      <c r="A1268" s="668"/>
      <c r="B1268" s="664"/>
      <c r="C1268" s="664"/>
      <c r="D1268" s="691" t="s">
        <v>2768</v>
      </c>
      <c r="E1268" s="685"/>
      <c r="F1268" s="684"/>
      <c r="G1268" s="663"/>
      <c r="H1268" s="684"/>
      <c r="I1268" s="686"/>
      <c r="J1268" s="693">
        <f>ROUNDUP(J1267,0)</f>
        <v>268</v>
      </c>
    </row>
    <row r="1269" spans="1:16" s="644" customFormat="1">
      <c r="A1269" s="668"/>
      <c r="B1269" s="677"/>
      <c r="C1269" s="677"/>
      <c r="D1269" s="691"/>
      <c r="E1269" s="685"/>
      <c r="F1269" s="684"/>
      <c r="G1269" s="663"/>
      <c r="H1269" s="684"/>
      <c r="I1269" s="675"/>
      <c r="J1269" s="693"/>
    </row>
    <row r="1270" spans="1:16" s="644" customFormat="1" ht="114.75">
      <c r="A1270" s="668" t="s">
        <v>297</v>
      </c>
      <c r="B1270" s="665" t="s">
        <v>3136</v>
      </c>
      <c r="C1270" s="735" t="s">
        <v>2237</v>
      </c>
      <c r="D1270" s="662" t="s">
        <v>3138</v>
      </c>
      <c r="E1270" s="803" t="s">
        <v>3111</v>
      </c>
      <c r="F1270" s="668">
        <v>1</v>
      </c>
      <c r="G1270" s="661">
        <v>1</v>
      </c>
      <c r="H1270" s="654" t="s">
        <v>3112</v>
      </c>
      <c r="I1270" s="757">
        <v>408</v>
      </c>
      <c r="J1270" s="655">
        <f>I1270*F1270</f>
        <v>408</v>
      </c>
    </row>
    <row r="1271" spans="1:16" s="644" customFormat="1">
      <c r="A1271" s="668"/>
      <c r="B1271" s="664"/>
      <c r="C1271" s="664"/>
      <c r="D1271" s="669" t="s">
        <v>2767</v>
      </c>
      <c r="E1271" s="670">
        <f>$E$9</f>
        <v>0</v>
      </c>
      <c r="F1271" s="684"/>
      <c r="G1271" s="663"/>
      <c r="H1271" s="684"/>
      <c r="I1271" s="669"/>
      <c r="J1271" s="676">
        <f>J1270*$E1271</f>
        <v>0</v>
      </c>
    </row>
    <row r="1272" spans="1:16" s="644" customFormat="1">
      <c r="A1272" s="668"/>
      <c r="B1272" s="664"/>
      <c r="C1272" s="664"/>
      <c r="D1272" s="673"/>
      <c r="E1272" s="685"/>
      <c r="F1272" s="684"/>
      <c r="G1272" s="663"/>
      <c r="H1272" s="684"/>
      <c r="I1272" s="669"/>
      <c r="J1272" s="676">
        <f>SUM(J1270:J1271)</f>
        <v>408</v>
      </c>
    </row>
    <row r="1273" spans="1:16" s="644" customFormat="1">
      <c r="A1273" s="668"/>
      <c r="B1273" s="664"/>
      <c r="C1273" s="664"/>
      <c r="D1273" s="691" t="s">
        <v>2768</v>
      </c>
      <c r="E1273" s="685"/>
      <c r="F1273" s="684"/>
      <c r="G1273" s="663"/>
      <c r="H1273" s="684"/>
      <c r="I1273" s="669"/>
      <c r="J1273" s="693">
        <f>ROUNDUP(J1272,0)</f>
        <v>408</v>
      </c>
    </row>
    <row r="1274" spans="1:16" s="644" customFormat="1">
      <c r="A1274" s="668"/>
      <c r="B1274" s="677"/>
      <c r="C1274" s="677"/>
      <c r="D1274" s="691"/>
      <c r="E1274" s="685"/>
      <c r="F1274" s="684"/>
      <c r="G1274" s="663"/>
      <c r="H1274" s="684"/>
      <c r="I1274" s="762"/>
      <c r="J1274" s="693"/>
    </row>
    <row r="1275" spans="1:16" s="644" customFormat="1" ht="114.75">
      <c r="A1275" s="668" t="s">
        <v>430</v>
      </c>
      <c r="B1275" s="665" t="s">
        <v>3136</v>
      </c>
      <c r="C1275" s="735" t="s">
        <v>3139</v>
      </c>
      <c r="D1275" s="662" t="s">
        <v>3140</v>
      </c>
      <c r="E1275" s="803" t="s">
        <v>3111</v>
      </c>
      <c r="F1275" s="668">
        <v>1</v>
      </c>
      <c r="G1275" s="661">
        <v>1</v>
      </c>
      <c r="H1275" s="654" t="s">
        <v>3112</v>
      </c>
      <c r="I1275" s="757">
        <v>539</v>
      </c>
      <c r="J1275" s="655">
        <f>I1275*F1275</f>
        <v>539</v>
      </c>
      <c r="M1275" s="644">
        <v>50</v>
      </c>
      <c r="N1275" s="644">
        <v>30</v>
      </c>
      <c r="O1275" s="644">
        <v>539</v>
      </c>
      <c r="P1275" s="644">
        <f>N1275*O1275</f>
        <v>16170</v>
      </c>
    </row>
    <row r="1276" spans="1:16" s="644" customFormat="1">
      <c r="A1276" s="668"/>
      <c r="B1276" s="664"/>
      <c r="C1276" s="664"/>
      <c r="D1276" s="669" t="s">
        <v>2767</v>
      </c>
      <c r="E1276" s="670">
        <f>$E$9</f>
        <v>0</v>
      </c>
      <c r="F1276" s="684"/>
      <c r="G1276" s="663"/>
      <c r="H1276" s="684"/>
      <c r="I1276" s="669"/>
      <c r="J1276" s="676">
        <f>J1275*$E1276</f>
        <v>0</v>
      </c>
    </row>
    <row r="1277" spans="1:16" s="644" customFormat="1">
      <c r="A1277" s="668"/>
      <c r="B1277" s="664"/>
      <c r="C1277" s="664"/>
      <c r="D1277" s="673"/>
      <c r="E1277" s="685"/>
      <c r="F1277" s="684"/>
      <c r="G1277" s="663"/>
      <c r="H1277" s="684"/>
      <c r="I1277" s="669"/>
      <c r="J1277" s="676">
        <f>SUM(J1275:J1276)</f>
        <v>539</v>
      </c>
    </row>
    <row r="1278" spans="1:16" s="644" customFormat="1">
      <c r="A1278" s="668"/>
      <c r="B1278" s="664"/>
      <c r="C1278" s="664"/>
      <c r="D1278" s="691" t="s">
        <v>2768</v>
      </c>
      <c r="E1278" s="685"/>
      <c r="F1278" s="684"/>
      <c r="G1278" s="663"/>
      <c r="H1278" s="684"/>
      <c r="I1278" s="669"/>
      <c r="J1278" s="693">
        <f>ROUNDUP(J1277,0)</f>
        <v>539</v>
      </c>
    </row>
    <row r="1279" spans="1:16" s="644" customFormat="1">
      <c r="A1279" s="668"/>
      <c r="B1279" s="677"/>
      <c r="C1279" s="677"/>
      <c r="D1279" s="691"/>
      <c r="E1279" s="685"/>
      <c r="F1279" s="684"/>
      <c r="G1279" s="663"/>
      <c r="H1279" s="684"/>
      <c r="I1279" s="762"/>
      <c r="J1279" s="693"/>
    </row>
    <row r="1280" spans="1:16" s="644" customFormat="1" ht="108.6" customHeight="1">
      <c r="A1280" s="668" t="s">
        <v>433</v>
      </c>
      <c r="B1280" s="665" t="s">
        <v>3136</v>
      </c>
      <c r="C1280" s="735" t="s">
        <v>2956</v>
      </c>
      <c r="D1280" s="662" t="s">
        <v>3141</v>
      </c>
      <c r="E1280" s="803" t="s">
        <v>3111</v>
      </c>
      <c r="F1280" s="668">
        <v>1</v>
      </c>
      <c r="G1280" s="661">
        <v>1</v>
      </c>
      <c r="H1280" s="654" t="s">
        <v>3112</v>
      </c>
      <c r="I1280" s="757">
        <v>695</v>
      </c>
      <c r="J1280" s="655">
        <f>I1280*F1280</f>
        <v>695</v>
      </c>
    </row>
    <row r="1281" spans="1:10" s="644" customFormat="1">
      <c r="A1281" s="668"/>
      <c r="B1281" s="664"/>
      <c r="C1281" s="664"/>
      <c r="D1281" s="669" t="s">
        <v>2767</v>
      </c>
      <c r="E1281" s="670">
        <f>$E$9</f>
        <v>0</v>
      </c>
      <c r="F1281" s="684"/>
      <c r="G1281" s="663"/>
      <c r="H1281" s="684"/>
      <c r="I1281" s="669"/>
      <c r="J1281" s="676">
        <f>J1280*$E1281</f>
        <v>0</v>
      </c>
    </row>
    <row r="1282" spans="1:10" s="644" customFormat="1">
      <c r="A1282" s="668"/>
      <c r="B1282" s="664"/>
      <c r="C1282" s="664"/>
      <c r="D1282" s="673"/>
      <c r="E1282" s="685"/>
      <c r="F1282" s="684"/>
      <c r="G1282" s="663"/>
      <c r="H1282" s="684"/>
      <c r="I1282" s="669"/>
      <c r="J1282" s="676">
        <f>SUM(J1280:J1281)</f>
        <v>695</v>
      </c>
    </row>
    <row r="1283" spans="1:10" s="644" customFormat="1">
      <c r="A1283" s="668"/>
      <c r="B1283" s="664"/>
      <c r="C1283" s="664"/>
      <c r="D1283" s="691" t="s">
        <v>2768</v>
      </c>
      <c r="E1283" s="685"/>
      <c r="F1283" s="684"/>
      <c r="G1283" s="663"/>
      <c r="H1283" s="684"/>
      <c r="I1283" s="669"/>
      <c r="J1283" s="693">
        <f>ROUNDUP(J1282,0)</f>
        <v>695</v>
      </c>
    </row>
    <row r="1284" spans="1:10" s="644" customFormat="1">
      <c r="A1284" s="668"/>
      <c r="B1284" s="677"/>
      <c r="C1284" s="677"/>
      <c r="D1284" s="691"/>
      <c r="E1284" s="685"/>
      <c r="F1284" s="684"/>
      <c r="G1284" s="663"/>
      <c r="H1284" s="684"/>
      <c r="I1284" s="762"/>
      <c r="J1284" s="693"/>
    </row>
    <row r="1285" spans="1:10" s="644" customFormat="1" ht="114.75">
      <c r="A1285" s="668" t="s">
        <v>436</v>
      </c>
      <c r="B1285" s="665" t="s">
        <v>3136</v>
      </c>
      <c r="C1285" s="735" t="s">
        <v>3142</v>
      </c>
      <c r="D1285" s="662" t="s">
        <v>3143</v>
      </c>
      <c r="E1285" s="803" t="s">
        <v>3111</v>
      </c>
      <c r="F1285" s="668">
        <v>1</v>
      </c>
      <c r="G1285" s="661">
        <v>1</v>
      </c>
      <c r="H1285" s="654" t="s">
        <v>3112</v>
      </c>
      <c r="I1285" s="757">
        <v>903</v>
      </c>
      <c r="J1285" s="655">
        <f>I1285*F1285</f>
        <v>903</v>
      </c>
    </row>
    <row r="1286" spans="1:10" s="644" customFormat="1">
      <c r="A1286" s="668"/>
      <c r="B1286" s="664"/>
      <c r="C1286" s="664"/>
      <c r="D1286" s="669" t="s">
        <v>2767</v>
      </c>
      <c r="E1286" s="670">
        <f>$E$9</f>
        <v>0</v>
      </c>
      <c r="F1286" s="684"/>
      <c r="G1286" s="663"/>
      <c r="H1286" s="684"/>
      <c r="I1286" s="669"/>
      <c r="J1286" s="676">
        <f>J1285*$E1286</f>
        <v>0</v>
      </c>
    </row>
    <row r="1287" spans="1:10" s="644" customFormat="1">
      <c r="A1287" s="668"/>
      <c r="B1287" s="664"/>
      <c r="C1287" s="664"/>
      <c r="D1287" s="673"/>
      <c r="E1287" s="685"/>
      <c r="F1287" s="684"/>
      <c r="G1287" s="663"/>
      <c r="H1287" s="684"/>
      <c r="I1287" s="669"/>
      <c r="J1287" s="676">
        <f>SUM(J1285:J1286)</f>
        <v>903</v>
      </c>
    </row>
    <row r="1288" spans="1:10" s="644" customFormat="1">
      <c r="A1288" s="668"/>
      <c r="B1288" s="664"/>
      <c r="C1288" s="664"/>
      <c r="D1288" s="691" t="s">
        <v>2768</v>
      </c>
      <c r="E1288" s="685"/>
      <c r="F1288" s="684"/>
      <c r="G1288" s="663"/>
      <c r="H1288" s="684"/>
      <c r="I1288" s="669"/>
      <c r="J1288" s="693">
        <f>ROUNDUP(J1287,0)</f>
        <v>903</v>
      </c>
    </row>
    <row r="1289" spans="1:10" s="644" customFormat="1">
      <c r="A1289" s="668"/>
      <c r="B1289" s="664"/>
      <c r="C1289" s="664"/>
      <c r="D1289" s="691"/>
      <c r="E1289" s="685"/>
      <c r="F1289" s="684"/>
      <c r="G1289" s="663"/>
      <c r="H1289" s="684"/>
      <c r="I1289" s="669"/>
      <c r="J1289" s="693"/>
    </row>
    <row r="1290" spans="1:10" s="644" customFormat="1" ht="114.75">
      <c r="A1290" s="668" t="s">
        <v>439</v>
      </c>
      <c r="B1290" s="665" t="s">
        <v>3136</v>
      </c>
      <c r="C1290" s="735" t="s">
        <v>3144</v>
      </c>
      <c r="D1290" s="662" t="s">
        <v>3145</v>
      </c>
      <c r="E1290" s="803" t="s">
        <v>3111</v>
      </c>
      <c r="F1290" s="668">
        <v>1</v>
      </c>
      <c r="G1290" s="661">
        <v>1</v>
      </c>
      <c r="H1290" s="654" t="s">
        <v>3112</v>
      </c>
      <c r="I1290" s="757">
        <v>1110</v>
      </c>
      <c r="J1290" s="655">
        <f>I1290*F1290</f>
        <v>1110</v>
      </c>
    </row>
    <row r="1291" spans="1:10" s="644" customFormat="1">
      <c r="A1291" s="668"/>
      <c r="B1291" s="664"/>
      <c r="C1291" s="664"/>
      <c r="D1291" s="669" t="s">
        <v>2767</v>
      </c>
      <c r="E1291" s="670">
        <f>$E$9</f>
        <v>0</v>
      </c>
      <c r="F1291" s="684"/>
      <c r="G1291" s="663"/>
      <c r="H1291" s="684"/>
      <c r="I1291" s="669"/>
      <c r="J1291" s="676">
        <f>J1290*$E1291</f>
        <v>0</v>
      </c>
    </row>
    <row r="1292" spans="1:10" s="644" customFormat="1">
      <c r="A1292" s="668"/>
      <c r="B1292" s="664"/>
      <c r="C1292" s="664"/>
      <c r="D1292" s="673"/>
      <c r="E1292" s="685"/>
      <c r="F1292" s="684"/>
      <c r="G1292" s="663"/>
      <c r="H1292" s="684"/>
      <c r="I1292" s="669"/>
      <c r="J1292" s="676">
        <f>SUM(J1290:J1291)</f>
        <v>1110</v>
      </c>
    </row>
    <row r="1293" spans="1:10" s="644" customFormat="1">
      <c r="A1293" s="668"/>
      <c r="B1293" s="664"/>
      <c r="C1293" s="664"/>
      <c r="D1293" s="691" t="s">
        <v>2768</v>
      </c>
      <c r="E1293" s="685"/>
      <c r="F1293" s="684"/>
      <c r="G1293" s="663"/>
      <c r="H1293" s="684"/>
      <c r="I1293" s="669"/>
      <c r="J1293" s="693">
        <f>ROUNDUP(J1292,0)</f>
        <v>1110</v>
      </c>
    </row>
    <row r="1294" spans="1:10" s="644" customFormat="1">
      <c r="A1294" s="668"/>
      <c r="B1294" s="677"/>
      <c r="C1294" s="677"/>
      <c r="D1294" s="691"/>
      <c r="E1294" s="685"/>
      <c r="F1294" s="684"/>
      <c r="G1294" s="663"/>
      <c r="H1294" s="684"/>
      <c r="I1294" s="762"/>
      <c r="J1294" s="693"/>
    </row>
    <row r="1295" spans="1:10" s="644" customFormat="1" ht="114.75">
      <c r="A1295" s="668" t="s">
        <v>442</v>
      </c>
      <c r="B1295" s="665" t="s">
        <v>3136</v>
      </c>
      <c r="C1295" s="735" t="s">
        <v>3020</v>
      </c>
      <c r="D1295" s="662" t="s">
        <v>3146</v>
      </c>
      <c r="E1295" s="803" t="s">
        <v>3111</v>
      </c>
      <c r="F1295" s="668">
        <v>1</v>
      </c>
      <c r="G1295" s="661">
        <v>1</v>
      </c>
      <c r="H1295" s="654" t="s">
        <v>3112</v>
      </c>
      <c r="I1295" s="757">
        <v>1544</v>
      </c>
      <c r="J1295" s="655">
        <f>I1295*F1295</f>
        <v>1544</v>
      </c>
    </row>
    <row r="1296" spans="1:10" s="644" customFormat="1">
      <c r="A1296" s="668"/>
      <c r="B1296" s="664"/>
      <c r="C1296" s="664"/>
      <c r="D1296" s="669" t="s">
        <v>2767</v>
      </c>
      <c r="E1296" s="670">
        <f>$E$9</f>
        <v>0</v>
      </c>
      <c r="F1296" s="684"/>
      <c r="G1296" s="663"/>
      <c r="H1296" s="684"/>
      <c r="I1296" s="669"/>
      <c r="J1296" s="676">
        <f>J1295*$E1296</f>
        <v>0</v>
      </c>
    </row>
    <row r="1297" spans="1:10" s="644" customFormat="1">
      <c r="A1297" s="668"/>
      <c r="B1297" s="664"/>
      <c r="C1297" s="664"/>
      <c r="D1297" s="673"/>
      <c r="E1297" s="685"/>
      <c r="F1297" s="684"/>
      <c r="G1297" s="663"/>
      <c r="H1297" s="684"/>
      <c r="I1297" s="669"/>
      <c r="J1297" s="676">
        <f>SUM(J1295:J1296)</f>
        <v>1544</v>
      </c>
    </row>
    <row r="1298" spans="1:10" s="644" customFormat="1">
      <c r="A1298" s="668"/>
      <c r="B1298" s="664"/>
      <c r="C1298" s="664"/>
      <c r="D1298" s="691" t="s">
        <v>2768</v>
      </c>
      <c r="E1298" s="685"/>
      <c r="F1298" s="684"/>
      <c r="G1298" s="663"/>
      <c r="H1298" s="684"/>
      <c r="I1298" s="669"/>
      <c r="J1298" s="693">
        <f>ROUNDUP(J1297,0)</f>
        <v>1544</v>
      </c>
    </row>
    <row r="1299" spans="1:10" s="644" customFormat="1">
      <c r="A1299" s="668"/>
      <c r="B1299" s="677"/>
      <c r="C1299" s="677"/>
      <c r="D1299" s="691"/>
      <c r="E1299" s="685"/>
      <c r="F1299" s="684"/>
      <c r="G1299" s="663"/>
      <c r="H1299" s="684"/>
      <c r="I1299" s="762"/>
      <c r="J1299" s="693"/>
    </row>
    <row r="1300" spans="1:10" s="644" customFormat="1" ht="114.75">
      <c r="A1300" s="668" t="s">
        <v>445</v>
      </c>
      <c r="B1300" s="665" t="s">
        <v>3136</v>
      </c>
      <c r="C1300" s="735" t="s">
        <v>3147</v>
      </c>
      <c r="D1300" s="662" t="s">
        <v>3148</v>
      </c>
      <c r="E1300" s="803" t="s">
        <v>3111</v>
      </c>
      <c r="F1300" s="668">
        <v>1</v>
      </c>
      <c r="G1300" s="661">
        <v>1</v>
      </c>
      <c r="H1300" s="654" t="s">
        <v>3112</v>
      </c>
      <c r="I1300" s="757">
        <v>1959</v>
      </c>
      <c r="J1300" s="655">
        <f>I1300*F1300</f>
        <v>1959</v>
      </c>
    </row>
    <row r="1301" spans="1:10" s="644" customFormat="1">
      <c r="A1301" s="668"/>
      <c r="B1301" s="664"/>
      <c r="C1301" s="664"/>
      <c r="D1301" s="669" t="s">
        <v>2767</v>
      </c>
      <c r="E1301" s="670">
        <f>$E$9</f>
        <v>0</v>
      </c>
      <c r="F1301" s="684"/>
      <c r="G1301" s="663"/>
      <c r="H1301" s="684"/>
      <c r="I1301" s="669"/>
      <c r="J1301" s="676">
        <f>J1300*$E1301</f>
        <v>0</v>
      </c>
    </row>
    <row r="1302" spans="1:10" s="644" customFormat="1">
      <c r="A1302" s="668"/>
      <c r="B1302" s="664"/>
      <c r="C1302" s="664"/>
      <c r="D1302" s="673"/>
      <c r="E1302" s="685"/>
      <c r="F1302" s="684"/>
      <c r="G1302" s="663"/>
      <c r="H1302" s="684"/>
      <c r="I1302" s="669"/>
      <c r="J1302" s="676">
        <f>SUM(J1300:J1301)</f>
        <v>1959</v>
      </c>
    </row>
    <row r="1303" spans="1:10" s="644" customFormat="1">
      <c r="A1303" s="668"/>
      <c r="B1303" s="664"/>
      <c r="C1303" s="664"/>
      <c r="D1303" s="691" t="s">
        <v>2768</v>
      </c>
      <c r="E1303" s="685"/>
      <c r="F1303" s="684"/>
      <c r="G1303" s="663"/>
      <c r="H1303" s="684"/>
      <c r="I1303" s="669"/>
      <c r="J1303" s="693">
        <f>ROUNDUP(J1302,0)</f>
        <v>1959</v>
      </c>
    </row>
    <row r="1304" spans="1:10" s="644" customFormat="1">
      <c r="A1304" s="668"/>
      <c r="B1304" s="677"/>
      <c r="C1304" s="677"/>
      <c r="D1304" s="691"/>
      <c r="E1304" s="685"/>
      <c r="F1304" s="684"/>
      <c r="G1304" s="663"/>
      <c r="H1304" s="684"/>
      <c r="I1304" s="762"/>
      <c r="J1304" s="693"/>
    </row>
    <row r="1305" spans="1:10" s="644" customFormat="1" ht="114.75">
      <c r="A1305" s="668" t="s">
        <v>261</v>
      </c>
      <c r="B1305" s="665" t="s">
        <v>3136</v>
      </c>
      <c r="C1305" s="735" t="s">
        <v>3149</v>
      </c>
      <c r="D1305" s="662" t="s">
        <v>3150</v>
      </c>
      <c r="E1305" s="803" t="s">
        <v>3111</v>
      </c>
      <c r="F1305" s="668">
        <v>1</v>
      </c>
      <c r="G1305" s="661">
        <v>1</v>
      </c>
      <c r="H1305" s="654" t="s">
        <v>3112</v>
      </c>
      <c r="I1305" s="757">
        <v>2393</v>
      </c>
      <c r="J1305" s="655">
        <f>I1305*F1305</f>
        <v>2393</v>
      </c>
    </row>
    <row r="1306" spans="1:10" s="644" customFormat="1">
      <c r="A1306" s="668"/>
      <c r="B1306" s="664"/>
      <c r="C1306" s="664"/>
      <c r="D1306" s="669" t="s">
        <v>2767</v>
      </c>
      <c r="E1306" s="670">
        <f>$E$9</f>
        <v>0</v>
      </c>
      <c r="F1306" s="684"/>
      <c r="G1306" s="663"/>
      <c r="H1306" s="684"/>
      <c r="I1306" s="657"/>
      <c r="J1306" s="676">
        <f>J1305*$E1306</f>
        <v>0</v>
      </c>
    </row>
    <row r="1307" spans="1:10" s="644" customFormat="1">
      <c r="A1307" s="668"/>
      <c r="B1307" s="664"/>
      <c r="C1307" s="664"/>
      <c r="D1307" s="673"/>
      <c r="E1307" s="685"/>
      <c r="F1307" s="684"/>
      <c r="G1307" s="663"/>
      <c r="H1307" s="684"/>
      <c r="I1307" s="672"/>
      <c r="J1307" s="676">
        <f>SUM(J1305:J1306)</f>
        <v>2393</v>
      </c>
    </row>
    <row r="1308" spans="1:10" s="644" customFormat="1">
      <c r="A1308" s="668"/>
      <c r="B1308" s="664"/>
      <c r="C1308" s="664"/>
      <c r="D1308" s="691" t="s">
        <v>2768</v>
      </c>
      <c r="E1308" s="685"/>
      <c r="F1308" s="684"/>
      <c r="G1308" s="663"/>
      <c r="H1308" s="684"/>
      <c r="I1308" s="686"/>
      <c r="J1308" s="693">
        <f>ROUNDUP(J1307,0)</f>
        <v>2393</v>
      </c>
    </row>
    <row r="1309" spans="1:10" s="644" customFormat="1">
      <c r="A1309" s="668"/>
      <c r="B1309" s="664"/>
      <c r="C1309" s="664"/>
      <c r="D1309" s="669"/>
      <c r="E1309" s="685"/>
      <c r="F1309" s="684"/>
      <c r="G1309" s="663"/>
      <c r="H1309" s="684"/>
      <c r="I1309" s="686"/>
      <c r="J1309" s="676"/>
    </row>
    <row r="1310" spans="1:10" s="644" customFormat="1" ht="64.5" customHeight="1">
      <c r="A1310" s="653">
        <f>SUM(MAX($A$7:$A1309),1)</f>
        <v>73</v>
      </c>
      <c r="B1310" s="665"/>
      <c r="C1310" s="665"/>
      <c r="D1310" s="2158" t="s">
        <v>3151</v>
      </c>
      <c r="E1310" s="2158"/>
      <c r="F1310" s="2158"/>
      <c r="G1310" s="2158"/>
      <c r="H1310" s="2158"/>
      <c r="I1310" s="2158"/>
      <c r="J1310" s="2158"/>
    </row>
    <row r="1311" spans="1:10" s="644" customFormat="1">
      <c r="A1311" s="668"/>
      <c r="B1311" s="654"/>
      <c r="C1311" s="654"/>
      <c r="D1311" s="802" t="s">
        <v>3127</v>
      </c>
      <c r="E1311" s="679"/>
      <c r="F1311" s="645"/>
      <c r="G1311" s="661"/>
      <c r="H1311" s="645"/>
      <c r="I1311" s="657"/>
      <c r="J1311" s="694"/>
    </row>
    <row r="1312" spans="1:10" s="644" customFormat="1">
      <c r="A1312" s="668"/>
      <c r="B1312" s="654">
        <v>1</v>
      </c>
      <c r="C1312" s="654"/>
      <c r="D1312" s="645" t="s">
        <v>2740</v>
      </c>
      <c r="E1312" s="679">
        <v>1.6</v>
      </c>
      <c r="F1312" s="680" t="s">
        <v>1738</v>
      </c>
      <c r="G1312" s="661">
        <v>1</v>
      </c>
      <c r="H1312" s="680" t="s">
        <v>1738</v>
      </c>
      <c r="I1312" s="657">
        <f>IF(B1312=$B$2,$G$2,IF(B1312=$B$3,$G$3,IF(B1312=$B$4,$G$4,IF(B1312=$B$5,$G$5,IF(B1312=$B$6,$G$6,IF(B1312=$B$7,$G$7,FALSE))))))</f>
        <v>660</v>
      </c>
      <c r="J1312" s="694">
        <f>SUM(E1312*I1312/G1312)</f>
        <v>1056</v>
      </c>
    </row>
    <row r="1313" spans="1:10" s="644" customFormat="1">
      <c r="A1313" s="668"/>
      <c r="B1313" s="654">
        <v>3</v>
      </c>
      <c r="C1313" s="654"/>
      <c r="D1313" s="645" t="s">
        <v>2742</v>
      </c>
      <c r="E1313" s="679">
        <v>3.3</v>
      </c>
      <c r="F1313" s="680" t="s">
        <v>1738</v>
      </c>
      <c r="G1313" s="661">
        <v>1</v>
      </c>
      <c r="H1313" s="680" t="s">
        <v>1738</v>
      </c>
      <c r="I1313" s="657">
        <f>IF(B1313=$B$2,$G$2,IF(B1313=$B$3,$G$3,IF(B1313=$B$4,$G$4,IF(B1313=$B$5,$G$5,IF(B1313=$B$6,$G$6,IF(B1313=$B$7,$G$7,FALSE))))))</f>
        <v>550</v>
      </c>
      <c r="J1313" s="694">
        <f>SUM(E1313*I1313/G1313)</f>
        <v>1815</v>
      </c>
    </row>
    <row r="1314" spans="1:10" s="644" customFormat="1" ht="38.25">
      <c r="A1314" s="668"/>
      <c r="B1314" s="654">
        <v>5</v>
      </c>
      <c r="C1314" s="654"/>
      <c r="D1314" s="682" t="s">
        <v>3152</v>
      </c>
      <c r="E1314" s="679">
        <v>2.5</v>
      </c>
      <c r="F1314" s="680" t="s">
        <v>1738</v>
      </c>
      <c r="G1314" s="661">
        <v>1</v>
      </c>
      <c r="H1314" s="680" t="s">
        <v>1738</v>
      </c>
      <c r="I1314" s="657">
        <f>IF(B1314=$B$2,$G$2,IF(B1314=$B$3,$G$3,IF(B1314=$B$4,$G$4,IF(B1314=$B$5,$G$5,IF(B1314=$B$6,$G$6,IF(B1314=$B$7,$G$7,FALSE))))))</f>
        <v>520</v>
      </c>
      <c r="J1314" s="694">
        <f>SUM(E1314*I1314/G1314)</f>
        <v>1300</v>
      </c>
    </row>
    <row r="1315" spans="1:10" s="644" customFormat="1" ht="25.5">
      <c r="A1315" s="668"/>
      <c r="B1315" s="654">
        <v>5</v>
      </c>
      <c r="C1315" s="654"/>
      <c r="D1315" s="682" t="s">
        <v>3153</v>
      </c>
      <c r="E1315" s="679">
        <v>2.1</v>
      </c>
      <c r="F1315" s="680" t="s">
        <v>1738</v>
      </c>
      <c r="G1315" s="661">
        <v>1</v>
      </c>
      <c r="H1315" s="680" t="s">
        <v>1738</v>
      </c>
      <c r="I1315" s="657">
        <v>520</v>
      </c>
      <c r="J1315" s="694">
        <f>SUM(E1315*I1315/G1315)</f>
        <v>1092</v>
      </c>
    </row>
    <row r="1316" spans="1:10" s="644" customFormat="1">
      <c r="A1316" s="668"/>
      <c r="B1316" s="654"/>
      <c r="C1316" s="654"/>
      <c r="D1316" s="681" t="s">
        <v>3154</v>
      </c>
      <c r="E1316" s="679"/>
      <c r="F1316" s="680"/>
      <c r="G1316" s="661"/>
      <c r="H1316" s="680"/>
      <c r="I1316" s="657"/>
      <c r="J1316" s="694">
        <f>SUM(J1312:J1315)</f>
        <v>5263</v>
      </c>
    </row>
    <row r="1317" spans="1:10" s="644" customFormat="1">
      <c r="A1317" s="668"/>
      <c r="B1317" s="654"/>
      <c r="C1317" s="654"/>
      <c r="D1317" s="681" t="s">
        <v>3155</v>
      </c>
      <c r="E1317" s="679"/>
      <c r="F1317" s="680"/>
      <c r="G1317" s="661"/>
      <c r="H1317" s="680"/>
      <c r="I1317" s="657"/>
      <c r="J1317" s="694">
        <f>SUM(J1316/100)</f>
        <v>52.63</v>
      </c>
    </row>
    <row r="1318" spans="1:10" s="644" customFormat="1">
      <c r="A1318" s="668"/>
      <c r="B1318" s="654"/>
      <c r="C1318" s="654"/>
      <c r="D1318" s="696" t="s">
        <v>2785</v>
      </c>
      <c r="E1318" s="679"/>
      <c r="F1318" s="680"/>
      <c r="G1318" s="661"/>
      <c r="H1318" s="680"/>
      <c r="I1318" s="657"/>
      <c r="J1318" s="694"/>
    </row>
    <row r="1319" spans="1:10" s="644" customFormat="1">
      <c r="A1319" s="668"/>
      <c r="B1319" s="654" t="s">
        <v>3156</v>
      </c>
      <c r="C1319" s="661"/>
      <c r="D1319" s="682" t="s">
        <v>3157</v>
      </c>
      <c r="E1319" s="679">
        <v>36</v>
      </c>
      <c r="F1319" s="645" t="s">
        <v>484</v>
      </c>
      <c r="G1319" s="661">
        <v>1</v>
      </c>
      <c r="H1319" s="645" t="s">
        <v>484</v>
      </c>
      <c r="I1319" s="657">
        <v>289</v>
      </c>
      <c r="J1319" s="694">
        <f>E1319*I1319</f>
        <v>10404</v>
      </c>
    </row>
    <row r="1320" spans="1:10" s="644" customFormat="1">
      <c r="A1320" s="668"/>
      <c r="B1320" s="654" t="s">
        <v>3158</v>
      </c>
      <c r="C1320" s="654"/>
      <c r="D1320" s="682" t="s">
        <v>3159</v>
      </c>
      <c r="E1320" s="679">
        <v>4</v>
      </c>
      <c r="F1320" s="645" t="s">
        <v>484</v>
      </c>
      <c r="G1320" s="661">
        <v>1</v>
      </c>
      <c r="H1320" s="645" t="s">
        <v>484</v>
      </c>
      <c r="I1320" s="657">
        <v>693</v>
      </c>
      <c r="J1320" s="694">
        <f>E1320*I1320</f>
        <v>2772</v>
      </c>
    </row>
    <row r="1321" spans="1:10" s="644" customFormat="1">
      <c r="A1321" s="668"/>
      <c r="B1321" s="654" t="s">
        <v>3160</v>
      </c>
      <c r="C1321" s="654"/>
      <c r="D1321" s="682" t="s">
        <v>3161</v>
      </c>
      <c r="E1321" s="679">
        <v>1000</v>
      </c>
      <c r="F1321" s="645" t="s">
        <v>955</v>
      </c>
      <c r="G1321" s="661">
        <v>952</v>
      </c>
      <c r="H1321" s="645" t="s">
        <v>955</v>
      </c>
      <c r="I1321" s="657">
        <v>4620</v>
      </c>
      <c r="J1321" s="694">
        <f>G1321*I1321/E1321</f>
        <v>4398.24</v>
      </c>
    </row>
    <row r="1322" spans="1:10" s="644" customFormat="1">
      <c r="A1322" s="668"/>
      <c r="B1322" s="654" t="s">
        <v>2770</v>
      </c>
      <c r="C1322" s="654"/>
      <c r="D1322" s="645" t="s">
        <v>3051</v>
      </c>
      <c r="E1322" s="679">
        <v>25</v>
      </c>
      <c r="F1322" s="645" t="s">
        <v>97</v>
      </c>
      <c r="G1322" s="661">
        <v>1</v>
      </c>
      <c r="H1322" s="645" t="s">
        <v>97</v>
      </c>
      <c r="I1322" s="657">
        <v>9</v>
      </c>
      <c r="J1322" s="694">
        <f>SUM(E1322*I1322/G1322)</f>
        <v>225</v>
      </c>
    </row>
    <row r="1323" spans="1:10" s="644" customFormat="1">
      <c r="A1323" s="668"/>
      <c r="B1323" s="654" t="s">
        <v>3162</v>
      </c>
      <c r="C1323" s="661"/>
      <c r="D1323" s="682" t="s">
        <v>3163</v>
      </c>
      <c r="E1323" s="679">
        <v>12</v>
      </c>
      <c r="F1323" s="645" t="s">
        <v>955</v>
      </c>
      <c r="G1323" s="661">
        <v>1</v>
      </c>
      <c r="H1323" s="645" t="s">
        <v>955</v>
      </c>
      <c r="I1323" s="657">
        <v>118</v>
      </c>
      <c r="J1323" s="694">
        <f>SUM(E1323*I1323/G1323)</f>
        <v>1416</v>
      </c>
    </row>
    <row r="1324" spans="1:10" s="644" customFormat="1" ht="25.5">
      <c r="A1324" s="668"/>
      <c r="B1324" s="654"/>
      <c r="C1324" s="654"/>
      <c r="D1324" s="682" t="s">
        <v>3164</v>
      </c>
      <c r="E1324" s="679">
        <v>100</v>
      </c>
      <c r="F1324" s="682" t="s">
        <v>2805</v>
      </c>
      <c r="G1324" s="661"/>
      <c r="H1324" s="645"/>
      <c r="I1324" s="657"/>
      <c r="J1324" s="694">
        <f>SUM(J1319:J1323)</f>
        <v>19215.239999999998</v>
      </c>
    </row>
    <row r="1325" spans="1:10" s="644" customFormat="1" ht="25.5">
      <c r="A1325" s="668"/>
      <c r="B1325" s="654"/>
      <c r="C1325" s="654"/>
      <c r="D1325" s="682" t="s">
        <v>3164</v>
      </c>
      <c r="E1325" s="679">
        <v>1</v>
      </c>
      <c r="F1325" s="682" t="s">
        <v>2805</v>
      </c>
      <c r="G1325" s="661"/>
      <c r="H1325" s="680"/>
      <c r="I1325" s="657"/>
      <c r="J1325" s="694">
        <f>SUM(J1324/100)</f>
        <v>192.15239999999997</v>
      </c>
    </row>
    <row r="1326" spans="1:10" s="644" customFormat="1" ht="25.5">
      <c r="A1326" s="668"/>
      <c r="B1326" s="654"/>
      <c r="C1326" s="654"/>
      <c r="D1326" s="656" t="s">
        <v>2766</v>
      </c>
      <c r="E1326" s="679"/>
      <c r="F1326" s="682"/>
      <c r="G1326" s="661"/>
      <c r="H1326" s="680"/>
      <c r="I1326" s="675"/>
      <c r="J1326" s="655">
        <f>ROUNDDOWN(J1317+J1325,0)</f>
        <v>244</v>
      </c>
    </row>
    <row r="1327" spans="1:10" s="644" customFormat="1">
      <c r="A1327" s="668"/>
      <c r="B1327" s="664"/>
      <c r="C1327" s="664"/>
      <c r="D1327" s="669" t="s">
        <v>2767</v>
      </c>
      <c r="E1327" s="670">
        <f>$E$9</f>
        <v>0</v>
      </c>
      <c r="F1327" s="684"/>
      <c r="G1327" s="663"/>
      <c r="H1327" s="684"/>
      <c r="I1327" s="675"/>
      <c r="J1327" s="676">
        <f>J1326*E1327</f>
        <v>0</v>
      </c>
    </row>
    <row r="1328" spans="1:10" s="644" customFormat="1">
      <c r="A1328" s="668"/>
      <c r="B1328" s="664"/>
      <c r="C1328" s="664"/>
      <c r="D1328" s="673"/>
      <c r="E1328" s="685"/>
      <c r="F1328" s="684"/>
      <c r="G1328" s="663"/>
      <c r="H1328" s="684"/>
      <c r="I1328" s="675"/>
      <c r="J1328" s="676">
        <f>SUM(J1326:J1327)</f>
        <v>244</v>
      </c>
    </row>
    <row r="1329" spans="1:10" s="644" customFormat="1">
      <c r="A1329" s="668"/>
      <c r="B1329" s="664"/>
      <c r="C1329" s="664"/>
      <c r="D1329" s="691" t="s">
        <v>2768</v>
      </c>
      <c r="E1329" s="685"/>
      <c r="F1329" s="684"/>
      <c r="G1329" s="663"/>
      <c r="H1329" s="684"/>
      <c r="I1329" s="675"/>
      <c r="J1329" s="693">
        <f>ROUND(J1328,0)</f>
        <v>244</v>
      </c>
    </row>
    <row r="1330" spans="1:10" s="644" customFormat="1">
      <c r="A1330" s="668"/>
      <c r="B1330" s="664"/>
      <c r="C1330" s="664"/>
      <c r="D1330" s="691"/>
      <c r="E1330" s="685"/>
      <c r="F1330" s="684"/>
      <c r="G1330" s="663"/>
      <c r="H1330" s="684"/>
      <c r="I1330" s="675"/>
      <c r="J1330" s="693"/>
    </row>
    <row r="1331" spans="1:10" s="644" customFormat="1" ht="71.25" customHeight="1">
      <c r="A1331" s="653">
        <f>SUM(MAX($A$7:$A1330),1)</f>
        <v>74</v>
      </c>
      <c r="B1331" s="665"/>
      <c r="C1331" s="665"/>
      <c r="D1331" s="2158" t="s">
        <v>3165</v>
      </c>
      <c r="E1331" s="2158"/>
      <c r="F1331" s="2158"/>
      <c r="G1331" s="2158"/>
      <c r="H1331" s="2158"/>
      <c r="I1331" s="2158"/>
      <c r="J1331" s="2158"/>
    </row>
    <row r="1332" spans="1:10" s="644" customFormat="1">
      <c r="A1332" s="668"/>
      <c r="B1332" s="654"/>
      <c r="C1332" s="654"/>
      <c r="D1332" s="802" t="s">
        <v>3127</v>
      </c>
      <c r="E1332" s="679"/>
      <c r="F1332" s="645"/>
      <c r="G1332" s="661"/>
      <c r="H1332" s="645"/>
      <c r="I1332" s="657"/>
      <c r="J1332" s="694"/>
    </row>
    <row r="1333" spans="1:10" s="644" customFormat="1">
      <c r="A1333" s="668"/>
      <c r="B1333" s="654">
        <v>1</v>
      </c>
      <c r="C1333" s="654"/>
      <c r="D1333" s="645" t="s">
        <v>2740</v>
      </c>
      <c r="E1333" s="679">
        <v>1</v>
      </c>
      <c r="F1333" s="680" t="s">
        <v>1738</v>
      </c>
      <c r="G1333" s="661">
        <v>1</v>
      </c>
      <c r="H1333" s="680" t="s">
        <v>1738</v>
      </c>
      <c r="I1333" s="657">
        <f>IF(B1333=$B$2,$G$2,IF(B1333=$B$3,$G$3,IF(B1333=$B$4,$G$4,IF(B1333=$B$5,$G$5,IF(B1333=$B$6,$G$6,IF(B1333=$B$7,$G$7,FALSE))))))</f>
        <v>660</v>
      </c>
      <c r="J1333" s="694">
        <f>E1333*I1333</f>
        <v>660</v>
      </c>
    </row>
    <row r="1334" spans="1:10" s="644" customFormat="1">
      <c r="A1334" s="668"/>
      <c r="B1334" s="654">
        <v>3</v>
      </c>
      <c r="C1334" s="654"/>
      <c r="D1334" s="645" t="s">
        <v>2742</v>
      </c>
      <c r="E1334" s="679">
        <v>2</v>
      </c>
      <c r="F1334" s="680" t="s">
        <v>1738</v>
      </c>
      <c r="G1334" s="661">
        <v>1</v>
      </c>
      <c r="H1334" s="680" t="s">
        <v>1738</v>
      </c>
      <c r="I1334" s="657">
        <f>IF(B1334=$B$2,$G$2,IF(B1334=$B$3,$G$3,IF(B1334=$B$4,$G$4,IF(B1334=$B$5,$G$5,IF(B1334=$B$6,$G$6,IF(B1334=$B$7,$G$7,FALSE))))))</f>
        <v>550</v>
      </c>
      <c r="J1334" s="694">
        <f>E1334*I1334</f>
        <v>1100</v>
      </c>
    </row>
    <row r="1335" spans="1:10" s="644" customFormat="1" ht="38.25">
      <c r="A1335" s="668"/>
      <c r="B1335" s="654">
        <v>5</v>
      </c>
      <c r="C1335" s="654"/>
      <c r="D1335" s="682" t="s">
        <v>3152</v>
      </c>
      <c r="E1335" s="679">
        <v>2.5</v>
      </c>
      <c r="F1335" s="680" t="s">
        <v>1738</v>
      </c>
      <c r="G1335" s="661">
        <v>1</v>
      </c>
      <c r="H1335" s="680" t="s">
        <v>1738</v>
      </c>
      <c r="I1335" s="657">
        <f>IF(B1335=$B$2,$G$2,IF(B1335=$B$3,$G$3,IF(B1335=$B$4,$G$4,IF(B1335=$B$5,$G$5,IF(B1335=$B$6,$G$6,IF(B1335=$B$7,$G$7,FALSE))))))</f>
        <v>520</v>
      </c>
      <c r="J1335" s="694">
        <f>E1335*I1335</f>
        <v>1300</v>
      </c>
    </row>
    <row r="1336" spans="1:10" s="644" customFormat="1" ht="25.5">
      <c r="A1336" s="668"/>
      <c r="B1336" s="654">
        <v>5</v>
      </c>
      <c r="C1336" s="654"/>
      <c r="D1336" s="682" t="s">
        <v>3153</v>
      </c>
      <c r="E1336" s="679">
        <v>2.1</v>
      </c>
      <c r="F1336" s="680" t="s">
        <v>1738</v>
      </c>
      <c r="G1336" s="661">
        <v>1</v>
      </c>
      <c r="H1336" s="680" t="s">
        <v>1738</v>
      </c>
      <c r="I1336" s="657">
        <f>IF(B1336=$B$2,$G$2,IF(B1336=$B$3,$G$3,IF(B1336=$B$4,$G$4,IF(B1336=$B$5,$G$5,IF(B1336=$B$6,$G$6,IF(B1336=$B$7,$G$7,FALSE))))))</f>
        <v>520</v>
      </c>
      <c r="J1336" s="694">
        <f>E1336*I1336</f>
        <v>1092</v>
      </c>
    </row>
    <row r="1337" spans="1:10" s="644" customFormat="1">
      <c r="A1337" s="668"/>
      <c r="B1337" s="654"/>
      <c r="C1337" s="654"/>
      <c r="D1337" s="681" t="s">
        <v>3154</v>
      </c>
      <c r="E1337" s="679"/>
      <c r="F1337" s="680"/>
      <c r="G1337" s="661"/>
      <c r="H1337" s="680"/>
      <c r="I1337" s="657"/>
      <c r="J1337" s="694">
        <f>SUM(J1333:J1336)</f>
        <v>4152</v>
      </c>
    </row>
    <row r="1338" spans="1:10" s="644" customFormat="1">
      <c r="A1338" s="668"/>
      <c r="B1338" s="654"/>
      <c r="C1338" s="654"/>
      <c r="D1338" s="681" t="s">
        <v>3155</v>
      </c>
      <c r="E1338" s="679"/>
      <c r="F1338" s="680"/>
      <c r="G1338" s="661"/>
      <c r="H1338" s="680"/>
      <c r="I1338" s="657"/>
      <c r="J1338" s="694">
        <f>SUM(J1337/100)</f>
        <v>41.52</v>
      </c>
    </row>
    <row r="1339" spans="1:10" s="644" customFormat="1">
      <c r="A1339" s="668"/>
      <c r="B1339" s="654"/>
      <c r="C1339" s="654"/>
      <c r="D1339" s="696" t="s">
        <v>2785</v>
      </c>
      <c r="E1339" s="679"/>
      <c r="F1339" s="680"/>
      <c r="G1339" s="661"/>
      <c r="H1339" s="680"/>
      <c r="I1339" s="657"/>
      <c r="J1339" s="694"/>
    </row>
    <row r="1340" spans="1:10" s="644" customFormat="1" ht="25.5">
      <c r="A1340" s="668"/>
      <c r="B1340" s="658" t="s">
        <v>3156</v>
      </c>
      <c r="C1340" s="654"/>
      <c r="D1340" s="682" t="s">
        <v>3166</v>
      </c>
      <c r="E1340" s="679">
        <v>36</v>
      </c>
      <c r="F1340" s="645" t="s">
        <v>484</v>
      </c>
      <c r="G1340" s="661">
        <v>1</v>
      </c>
      <c r="H1340" s="645" t="s">
        <v>484</v>
      </c>
      <c r="I1340" s="657">
        <v>289</v>
      </c>
      <c r="J1340" s="694">
        <f>E1340*I1340</f>
        <v>10404</v>
      </c>
    </row>
    <row r="1341" spans="1:10" s="644" customFormat="1">
      <c r="A1341" s="668"/>
      <c r="B1341" s="658" t="s">
        <v>3158</v>
      </c>
      <c r="C1341" s="654"/>
      <c r="D1341" s="776" t="s">
        <v>3159</v>
      </c>
      <c r="E1341" s="679">
        <v>4</v>
      </c>
      <c r="F1341" s="645" t="s">
        <v>484</v>
      </c>
      <c r="G1341" s="661">
        <v>1</v>
      </c>
      <c r="H1341" s="645" t="s">
        <v>484</v>
      </c>
      <c r="I1341" s="657">
        <v>693</v>
      </c>
      <c r="J1341" s="694">
        <f>E1341*I1341</f>
        <v>2772</v>
      </c>
    </row>
    <row r="1342" spans="1:10" s="644" customFormat="1">
      <c r="A1342" s="668"/>
      <c r="B1342" s="658" t="s">
        <v>3160</v>
      </c>
      <c r="C1342" s="654"/>
      <c r="D1342" s="682" t="s">
        <v>3167</v>
      </c>
      <c r="E1342" s="679">
        <v>1000</v>
      </c>
      <c r="F1342" s="645" t="s">
        <v>955</v>
      </c>
      <c r="G1342" s="661">
        <v>952</v>
      </c>
      <c r="H1342" s="645" t="s">
        <v>955</v>
      </c>
      <c r="I1342" s="657">
        <v>4620</v>
      </c>
      <c r="J1342" s="694">
        <f>G1342*I1342/E1342</f>
        <v>4398.24</v>
      </c>
    </row>
    <row r="1343" spans="1:10" s="644" customFormat="1">
      <c r="A1343" s="668"/>
      <c r="B1343" s="658" t="s">
        <v>2770</v>
      </c>
      <c r="C1343" s="661"/>
      <c r="D1343" s="645" t="s">
        <v>3051</v>
      </c>
      <c r="E1343" s="679">
        <v>25</v>
      </c>
      <c r="F1343" s="645" t="s">
        <v>97</v>
      </c>
      <c r="G1343" s="661">
        <v>1</v>
      </c>
      <c r="H1343" s="645" t="s">
        <v>97</v>
      </c>
      <c r="I1343" s="657">
        <v>9</v>
      </c>
      <c r="J1343" s="694">
        <f>SUM(E1343*I1343/G1343)</f>
        <v>225</v>
      </c>
    </row>
    <row r="1344" spans="1:10" s="644" customFormat="1">
      <c r="A1344" s="668"/>
      <c r="B1344" s="658" t="s">
        <v>3162</v>
      </c>
      <c r="C1344" s="654"/>
      <c r="D1344" s="682" t="s">
        <v>3163</v>
      </c>
      <c r="E1344" s="679">
        <v>12</v>
      </c>
      <c r="F1344" s="645" t="s">
        <v>955</v>
      </c>
      <c r="G1344" s="661">
        <v>1</v>
      </c>
      <c r="H1344" s="645" t="s">
        <v>955</v>
      </c>
      <c r="I1344" s="657">
        <v>118</v>
      </c>
      <c r="J1344" s="694">
        <f>SUM(E1344*I1344/G1344)</f>
        <v>1416</v>
      </c>
    </row>
    <row r="1345" spans="1:10" s="644" customFormat="1" ht="25.5">
      <c r="A1345" s="668"/>
      <c r="B1345" s="654"/>
      <c r="C1345" s="654"/>
      <c r="D1345" s="682" t="s">
        <v>3164</v>
      </c>
      <c r="E1345" s="679">
        <v>100</v>
      </c>
      <c r="F1345" s="682" t="s">
        <v>2805</v>
      </c>
      <c r="G1345" s="661"/>
      <c r="H1345" s="645"/>
      <c r="I1345" s="657"/>
      <c r="J1345" s="694">
        <f>SUM(J1340:J1344)</f>
        <v>19215.239999999998</v>
      </c>
    </row>
    <row r="1346" spans="1:10" s="644" customFormat="1" ht="25.5">
      <c r="A1346" s="668"/>
      <c r="B1346" s="654"/>
      <c r="C1346" s="654"/>
      <c r="D1346" s="682" t="s">
        <v>3164</v>
      </c>
      <c r="E1346" s="679">
        <v>1</v>
      </c>
      <c r="F1346" s="682" t="s">
        <v>2805</v>
      </c>
      <c r="G1346" s="661"/>
      <c r="H1346" s="680"/>
      <c r="I1346" s="657"/>
      <c r="J1346" s="694">
        <f>J1345/100</f>
        <v>192.15239999999997</v>
      </c>
    </row>
    <row r="1347" spans="1:10" s="644" customFormat="1" ht="25.5">
      <c r="A1347" s="668"/>
      <c r="B1347" s="654"/>
      <c r="C1347" s="654"/>
      <c r="D1347" s="656" t="s">
        <v>2766</v>
      </c>
      <c r="E1347" s="662"/>
      <c r="F1347" s="662"/>
      <c r="G1347" s="654"/>
      <c r="H1347" s="662"/>
      <c r="I1347" s="675"/>
      <c r="J1347" s="655">
        <f>ROUNDDOWN(J1338+J1346,0)</f>
        <v>233</v>
      </c>
    </row>
    <row r="1348" spans="1:10" s="644" customFormat="1">
      <c r="A1348" s="668"/>
      <c r="B1348" s="664"/>
      <c r="C1348" s="664"/>
      <c r="D1348" s="669" t="s">
        <v>2767</v>
      </c>
      <c r="E1348" s="670">
        <f>$E$9</f>
        <v>0</v>
      </c>
      <c r="F1348" s="684"/>
      <c r="G1348" s="663"/>
      <c r="H1348" s="684"/>
      <c r="I1348" s="675"/>
      <c r="J1348" s="676">
        <f>J1347*E1348</f>
        <v>0</v>
      </c>
    </row>
    <row r="1349" spans="1:10" s="644" customFormat="1">
      <c r="A1349" s="668"/>
      <c r="B1349" s="664"/>
      <c r="C1349" s="664"/>
      <c r="D1349" s="673"/>
      <c r="E1349" s="685"/>
      <c r="F1349" s="684"/>
      <c r="G1349" s="663"/>
      <c r="H1349" s="684"/>
      <c r="I1349" s="675"/>
      <c r="J1349" s="676">
        <f>SUM(J1347:J1348)</f>
        <v>233</v>
      </c>
    </row>
    <row r="1350" spans="1:10" s="644" customFormat="1">
      <c r="A1350" s="668"/>
      <c r="B1350" s="664"/>
      <c r="C1350" s="664"/>
      <c r="D1350" s="691" t="s">
        <v>2768</v>
      </c>
      <c r="E1350" s="685"/>
      <c r="F1350" s="684"/>
      <c r="G1350" s="663"/>
      <c r="H1350" s="684"/>
      <c r="I1350" s="675"/>
      <c r="J1350" s="693">
        <f>ROUND(J1349,0)</f>
        <v>233</v>
      </c>
    </row>
    <row r="1351" spans="1:10" s="644" customFormat="1">
      <c r="A1351" s="668"/>
      <c r="B1351" s="664"/>
      <c r="C1351" s="664"/>
      <c r="D1351" s="669"/>
      <c r="E1351" s="685"/>
      <c r="F1351" s="684"/>
      <c r="G1351" s="663"/>
      <c r="H1351" s="684"/>
      <c r="I1351" s="686"/>
      <c r="J1351" s="676"/>
    </row>
    <row r="1352" spans="1:10" s="644" customFormat="1">
      <c r="A1352" s="653">
        <f>SUM(MAX($A$7:$A1351),1)</f>
        <v>75</v>
      </c>
      <c r="B1352" s="665"/>
      <c r="C1352" s="665"/>
      <c r="D1352" s="2155" t="s">
        <v>3168</v>
      </c>
      <c r="E1352" s="2155"/>
      <c r="F1352" s="2155"/>
      <c r="G1352" s="2155"/>
      <c r="H1352" s="2155"/>
      <c r="I1352" s="2155"/>
      <c r="J1352" s="2155"/>
    </row>
    <row r="1353" spans="1:10" s="644" customFormat="1">
      <c r="A1353" s="668"/>
      <c r="B1353" s="654"/>
      <c r="C1353" s="654"/>
      <c r="D1353" s="802" t="s">
        <v>3127</v>
      </c>
      <c r="E1353" s="679"/>
      <c r="F1353" s="645"/>
      <c r="G1353" s="661"/>
      <c r="H1353" s="645"/>
      <c r="I1353" s="657"/>
      <c r="J1353" s="694"/>
    </row>
    <row r="1354" spans="1:10" s="644" customFormat="1">
      <c r="A1354" s="668"/>
      <c r="B1354" s="654">
        <v>1</v>
      </c>
      <c r="C1354" s="654"/>
      <c r="D1354" s="645" t="s">
        <v>2740</v>
      </c>
      <c r="E1354" s="679">
        <v>1.5</v>
      </c>
      <c r="F1354" s="680" t="s">
        <v>1738</v>
      </c>
      <c r="G1354" s="661">
        <v>1</v>
      </c>
      <c r="H1354" s="680" t="s">
        <v>1738</v>
      </c>
      <c r="I1354" s="657">
        <f>IF(B1354=$B$2,$G$2,IF(B1354=$B$3,$G$3,IF(B1354=$B$4,$G$4,IF(B1354=$B$5,$G$5,IF(B1354=$B$6,$G$6,IF(B1354=$B$7,$G$7,FALSE))))))</f>
        <v>660</v>
      </c>
      <c r="J1354" s="694">
        <f>SUM(E1354*I1354/G1354)</f>
        <v>990</v>
      </c>
    </row>
    <row r="1355" spans="1:10" s="644" customFormat="1">
      <c r="A1355" s="668"/>
      <c r="B1355" s="654">
        <v>3</v>
      </c>
      <c r="C1355" s="654"/>
      <c r="D1355" s="645" t="s">
        <v>2742</v>
      </c>
      <c r="E1355" s="679">
        <v>2.2999999999999998</v>
      </c>
      <c r="F1355" s="680" t="s">
        <v>1738</v>
      </c>
      <c r="G1355" s="661">
        <v>1</v>
      </c>
      <c r="H1355" s="680" t="s">
        <v>1738</v>
      </c>
      <c r="I1355" s="657">
        <f>IF(B1355=$B$2,$G$2,IF(B1355=$B$3,$G$3,IF(B1355=$B$4,$G$4,IF(B1355=$B$5,$G$5,IF(B1355=$B$6,$G$6,IF(B1355=$B$7,$G$7,FALSE))))))</f>
        <v>550</v>
      </c>
      <c r="J1355" s="694">
        <f>SUM(E1355*I1355/G1355)</f>
        <v>1265</v>
      </c>
    </row>
    <row r="1356" spans="1:10" s="644" customFormat="1">
      <c r="A1356" s="668"/>
      <c r="B1356" s="654"/>
      <c r="C1356" s="654"/>
      <c r="D1356" s="681" t="s">
        <v>3154</v>
      </c>
      <c r="E1356" s="679"/>
      <c r="F1356" s="680"/>
      <c r="G1356" s="661"/>
      <c r="H1356" s="680"/>
      <c r="I1356" s="657"/>
      <c r="J1356" s="694">
        <f>SUM(J1354:J1355)</f>
        <v>2255</v>
      </c>
    </row>
    <row r="1357" spans="1:10" s="644" customFormat="1">
      <c r="A1357" s="668"/>
      <c r="B1357" s="654"/>
      <c r="C1357" s="654"/>
      <c r="D1357" s="681" t="s">
        <v>3155</v>
      </c>
      <c r="E1357" s="679"/>
      <c r="F1357" s="680"/>
      <c r="G1357" s="661"/>
      <c r="H1357" s="680"/>
      <c r="I1357" s="657"/>
      <c r="J1357" s="694">
        <f>SUM(J1356/100)</f>
        <v>22.55</v>
      </c>
    </row>
    <row r="1358" spans="1:10" s="644" customFormat="1">
      <c r="A1358" s="668"/>
      <c r="B1358" s="654"/>
      <c r="C1358" s="654"/>
      <c r="D1358" s="696" t="s">
        <v>2785</v>
      </c>
      <c r="E1358" s="679"/>
      <c r="F1358" s="680"/>
      <c r="G1358" s="661"/>
      <c r="H1358" s="680"/>
      <c r="I1358" s="657"/>
      <c r="J1358" s="694"/>
    </row>
    <row r="1359" spans="1:10" s="644" customFormat="1">
      <c r="A1359" s="668"/>
      <c r="B1359" s="654" t="s">
        <v>2778</v>
      </c>
      <c r="C1359" s="661"/>
      <c r="D1359" s="682" t="s">
        <v>3169</v>
      </c>
      <c r="E1359" s="679">
        <v>4</v>
      </c>
      <c r="F1359" s="645" t="s">
        <v>955</v>
      </c>
      <c r="G1359" s="661">
        <v>100</v>
      </c>
      <c r="H1359" s="645" t="s">
        <v>955</v>
      </c>
      <c r="I1359" s="657">
        <v>43</v>
      </c>
      <c r="J1359" s="694">
        <f>SUM(E1359*I1359/G1359)</f>
        <v>1.72</v>
      </c>
    </row>
    <row r="1360" spans="1:10" s="644" customFormat="1">
      <c r="A1360" s="668"/>
      <c r="B1360" s="654" t="s">
        <v>2780</v>
      </c>
      <c r="C1360" s="661" t="s">
        <v>1197</v>
      </c>
      <c r="D1360" s="682" t="s">
        <v>3170</v>
      </c>
      <c r="E1360" s="679">
        <v>4</v>
      </c>
      <c r="F1360" s="645" t="s">
        <v>955</v>
      </c>
      <c r="G1360" s="661">
        <v>100</v>
      </c>
      <c r="H1360" s="645" t="s">
        <v>955</v>
      </c>
      <c r="I1360" s="657">
        <v>178</v>
      </c>
      <c r="J1360" s="694">
        <f>SUM(E1360*I1360/G1360)</f>
        <v>7.12</v>
      </c>
    </row>
    <row r="1361" spans="1:10" s="644" customFormat="1" ht="25.5">
      <c r="A1361" s="668"/>
      <c r="B1361" s="654" t="s">
        <v>3171</v>
      </c>
      <c r="C1361" s="661" t="s">
        <v>2237</v>
      </c>
      <c r="D1361" s="682" t="s">
        <v>3172</v>
      </c>
      <c r="E1361" s="679">
        <v>2</v>
      </c>
      <c r="F1361" s="645" t="s">
        <v>955</v>
      </c>
      <c r="G1361" s="661">
        <v>100</v>
      </c>
      <c r="H1361" s="645" t="s">
        <v>955</v>
      </c>
      <c r="I1361" s="657">
        <v>982</v>
      </c>
      <c r="J1361" s="694">
        <f>SUM(E1361*I1361/G1361)</f>
        <v>19.64</v>
      </c>
    </row>
    <row r="1362" spans="1:10" s="644" customFormat="1">
      <c r="A1362" s="668"/>
      <c r="B1362" s="654"/>
      <c r="C1362" s="654"/>
      <c r="D1362" s="682"/>
      <c r="E1362" s="679"/>
      <c r="F1362" s="645"/>
      <c r="G1362" s="661"/>
      <c r="H1362" s="645"/>
      <c r="I1362" s="657"/>
      <c r="J1362" s="694">
        <f>SUM(J1359:J1361)</f>
        <v>28.48</v>
      </c>
    </row>
    <row r="1363" spans="1:10" s="644" customFormat="1" ht="25.5">
      <c r="A1363" s="668"/>
      <c r="B1363" s="654"/>
      <c r="C1363" s="654"/>
      <c r="D1363" s="656" t="s">
        <v>2766</v>
      </c>
      <c r="E1363" s="679"/>
      <c r="F1363" s="682"/>
      <c r="G1363" s="661"/>
      <c r="H1363" s="645"/>
      <c r="I1363" s="675"/>
      <c r="J1363" s="655">
        <f>ROUNDUP(J1362+J1357,0)</f>
        <v>52</v>
      </c>
    </row>
    <row r="1364" spans="1:10" s="644" customFormat="1">
      <c r="A1364" s="668"/>
      <c r="B1364" s="664"/>
      <c r="C1364" s="664"/>
      <c r="D1364" s="669" t="s">
        <v>2767</v>
      </c>
      <c r="E1364" s="670">
        <f>$E$9</f>
        <v>0</v>
      </c>
      <c r="F1364" s="684"/>
      <c r="G1364" s="663"/>
      <c r="H1364" s="684"/>
      <c r="I1364" s="675"/>
      <c r="J1364" s="676">
        <f>J1363*E1364</f>
        <v>0</v>
      </c>
    </row>
    <row r="1365" spans="1:10" s="644" customFormat="1">
      <c r="A1365" s="668"/>
      <c r="B1365" s="664"/>
      <c r="C1365" s="664"/>
      <c r="D1365" s="673"/>
      <c r="E1365" s="685"/>
      <c r="F1365" s="684"/>
      <c r="G1365" s="663"/>
      <c r="H1365" s="684"/>
      <c r="I1365" s="675"/>
      <c r="J1365" s="676">
        <f>SUM(J1363:J1364)</f>
        <v>52</v>
      </c>
    </row>
    <row r="1366" spans="1:10" s="644" customFormat="1">
      <c r="A1366" s="668"/>
      <c r="B1366" s="664"/>
      <c r="C1366" s="664"/>
      <c r="D1366" s="691" t="s">
        <v>2768</v>
      </c>
      <c r="E1366" s="685"/>
      <c r="F1366" s="684"/>
      <c r="G1366" s="663"/>
      <c r="H1366" s="684"/>
      <c r="I1366" s="675"/>
      <c r="J1366" s="693">
        <f>ROUND(J1365,0)</f>
        <v>52</v>
      </c>
    </row>
    <row r="1367" spans="1:10" s="644" customFormat="1">
      <c r="A1367" s="668"/>
      <c r="B1367" s="664"/>
      <c r="C1367" s="664"/>
      <c r="D1367" s="691"/>
      <c r="E1367" s="685"/>
      <c r="F1367" s="684"/>
      <c r="G1367" s="663"/>
      <c r="H1367" s="684"/>
      <c r="I1367" s="675"/>
      <c r="J1367" s="693"/>
    </row>
    <row r="1368" spans="1:10" s="644" customFormat="1">
      <c r="A1368" s="653">
        <f>SUM(MAX($A$7:$A1367),1)</f>
        <v>76</v>
      </c>
      <c r="B1368" s="665"/>
      <c r="C1368" s="665"/>
      <c r="D1368" s="2155" t="s">
        <v>3173</v>
      </c>
      <c r="E1368" s="2155"/>
      <c r="F1368" s="2155"/>
      <c r="G1368" s="2155"/>
      <c r="H1368" s="2155"/>
      <c r="I1368" s="2155"/>
      <c r="J1368" s="2155"/>
    </row>
    <row r="1369" spans="1:10" s="644" customFormat="1">
      <c r="A1369" s="668"/>
      <c r="B1369" s="654"/>
      <c r="C1369" s="654"/>
      <c r="D1369" s="802" t="s">
        <v>3127</v>
      </c>
      <c r="E1369" s="679"/>
      <c r="F1369" s="645"/>
      <c r="G1369" s="661"/>
      <c r="H1369" s="645"/>
      <c r="I1369" s="657"/>
      <c r="J1369" s="694"/>
    </row>
    <row r="1370" spans="1:10" s="644" customFormat="1">
      <c r="A1370" s="668"/>
      <c r="B1370" s="654">
        <v>1</v>
      </c>
      <c r="C1370" s="654"/>
      <c r="D1370" s="645" t="s">
        <v>2740</v>
      </c>
      <c r="E1370" s="679">
        <v>1.5</v>
      </c>
      <c r="F1370" s="680" t="s">
        <v>1738</v>
      </c>
      <c r="G1370" s="661">
        <v>1</v>
      </c>
      <c r="H1370" s="680" t="s">
        <v>1738</v>
      </c>
      <c r="I1370" s="657">
        <f>IF(B1370=$B$2,$G$2,IF(B1370=$B$3,$G$3,IF(B1370=$B$4,$G$4,IF(B1370=$B$5,$G$5,IF(B1370=$B$6,$G$6,IF(B1370=$B$7,$G$7,FALSE))))))</f>
        <v>660</v>
      </c>
      <c r="J1370" s="694">
        <f>SUM(E1370*I1370/G1370)</f>
        <v>990</v>
      </c>
    </row>
    <row r="1371" spans="1:10" s="644" customFormat="1">
      <c r="A1371" s="668"/>
      <c r="B1371" s="654">
        <v>3</v>
      </c>
      <c r="C1371" s="654"/>
      <c r="D1371" s="645" t="s">
        <v>2742</v>
      </c>
      <c r="E1371" s="679">
        <v>2.2999999999999998</v>
      </c>
      <c r="F1371" s="680" t="s">
        <v>1738</v>
      </c>
      <c r="G1371" s="661">
        <v>1</v>
      </c>
      <c r="H1371" s="680" t="s">
        <v>1738</v>
      </c>
      <c r="I1371" s="657">
        <f>IF(B1371=$B$2,$G$2,IF(B1371=$B$3,$G$3,IF(B1371=$B$4,$G$4,IF(B1371=$B$5,$G$5,IF(B1371=$B$6,$G$6,IF(B1371=$B$7,$G$7,FALSE))))))</f>
        <v>550</v>
      </c>
      <c r="J1371" s="694">
        <f>SUM(E1371*I1371/G1371)</f>
        <v>1265</v>
      </c>
    </row>
    <row r="1372" spans="1:10" s="644" customFormat="1">
      <c r="A1372" s="668"/>
      <c r="B1372" s="654"/>
      <c r="C1372" s="654"/>
      <c r="D1372" s="681" t="s">
        <v>3154</v>
      </c>
      <c r="E1372" s="679"/>
      <c r="F1372" s="680"/>
      <c r="G1372" s="661"/>
      <c r="H1372" s="680"/>
      <c r="I1372" s="657"/>
      <c r="J1372" s="694">
        <f>SUM(J1370:J1371)</f>
        <v>2255</v>
      </c>
    </row>
    <row r="1373" spans="1:10" s="644" customFormat="1">
      <c r="A1373" s="668"/>
      <c r="B1373" s="654"/>
      <c r="C1373" s="654"/>
      <c r="D1373" s="681" t="s">
        <v>3155</v>
      </c>
      <c r="E1373" s="679"/>
      <c r="F1373" s="680"/>
      <c r="G1373" s="661"/>
      <c r="H1373" s="680"/>
      <c r="I1373" s="657"/>
      <c r="J1373" s="694">
        <f>SUM(J1372/100)</f>
        <v>22.55</v>
      </c>
    </row>
    <row r="1374" spans="1:10" s="644" customFormat="1">
      <c r="A1374" s="668"/>
      <c r="B1374" s="654"/>
      <c r="C1374" s="654"/>
      <c r="D1374" s="696" t="s">
        <v>2785</v>
      </c>
      <c r="E1374" s="679"/>
      <c r="F1374" s="680"/>
      <c r="G1374" s="661"/>
      <c r="H1374" s="680"/>
      <c r="I1374" s="657"/>
      <c r="J1374" s="694"/>
    </row>
    <row r="1375" spans="1:10" s="644" customFormat="1">
      <c r="A1375" s="668"/>
      <c r="B1375" s="658" t="s">
        <v>2778</v>
      </c>
      <c r="C1375" s="661"/>
      <c r="D1375" s="682" t="s">
        <v>2991</v>
      </c>
      <c r="E1375" s="679">
        <v>4</v>
      </c>
      <c r="F1375" s="645" t="s">
        <v>955</v>
      </c>
      <c r="G1375" s="661">
        <v>100</v>
      </c>
      <c r="H1375" s="645" t="s">
        <v>955</v>
      </c>
      <c r="I1375" s="657">
        <f>I1359</f>
        <v>43</v>
      </c>
      <c r="J1375" s="694">
        <f>SUM(E1375*I1375/G1375)</f>
        <v>1.72</v>
      </c>
    </row>
    <row r="1376" spans="1:10" s="644" customFormat="1">
      <c r="A1376" s="668"/>
      <c r="B1376" s="658" t="s">
        <v>2780</v>
      </c>
      <c r="C1376" s="661" t="s">
        <v>1188</v>
      </c>
      <c r="D1376" s="682" t="s">
        <v>2990</v>
      </c>
      <c r="E1376" s="679">
        <v>4</v>
      </c>
      <c r="F1376" s="645" t="s">
        <v>955</v>
      </c>
      <c r="G1376" s="661">
        <v>100</v>
      </c>
      <c r="H1376" s="645" t="s">
        <v>955</v>
      </c>
      <c r="I1376" s="657">
        <v>128</v>
      </c>
      <c r="J1376" s="694">
        <f>SUM(E1376*I1376/G1376)</f>
        <v>5.12</v>
      </c>
    </row>
    <row r="1377" spans="1:10" s="644" customFormat="1" ht="25.5">
      <c r="A1377" s="668"/>
      <c r="B1377" s="654" t="s">
        <v>3171</v>
      </c>
      <c r="C1377" s="661" t="s">
        <v>1192</v>
      </c>
      <c r="D1377" s="682" t="s">
        <v>3174</v>
      </c>
      <c r="E1377" s="679">
        <v>2</v>
      </c>
      <c r="F1377" s="645" t="s">
        <v>955</v>
      </c>
      <c r="G1377" s="661">
        <v>100</v>
      </c>
      <c r="H1377" s="645" t="s">
        <v>955</v>
      </c>
      <c r="I1377" s="657">
        <v>578</v>
      </c>
      <c r="J1377" s="694">
        <f>SUM(E1377*I1377/G1377)</f>
        <v>11.56</v>
      </c>
    </row>
    <row r="1378" spans="1:10" s="644" customFormat="1" ht="25.5">
      <c r="A1378" s="668"/>
      <c r="B1378" s="654"/>
      <c r="C1378" s="654"/>
      <c r="D1378" s="682" t="s">
        <v>3175</v>
      </c>
      <c r="E1378" s="679">
        <v>1</v>
      </c>
      <c r="F1378" s="682" t="s">
        <v>2763</v>
      </c>
      <c r="G1378" s="661"/>
      <c r="H1378" s="645"/>
      <c r="I1378" s="657"/>
      <c r="J1378" s="694">
        <f>SUM(J1375:J1377)</f>
        <v>18.399999999999999</v>
      </c>
    </row>
    <row r="1379" spans="1:10" s="644" customFormat="1" ht="25.5">
      <c r="A1379" s="668"/>
      <c r="B1379" s="654"/>
      <c r="C1379" s="654"/>
      <c r="D1379" s="656" t="s">
        <v>2766</v>
      </c>
      <c r="E1379" s="662"/>
      <c r="F1379" s="662"/>
      <c r="G1379" s="654"/>
      <c r="H1379" s="662"/>
      <c r="I1379" s="675"/>
      <c r="J1379" s="655">
        <f>ROUNDUP(J1373+J1378,0)</f>
        <v>41</v>
      </c>
    </row>
    <row r="1380" spans="1:10" s="644" customFormat="1">
      <c r="A1380" s="668"/>
      <c r="B1380" s="664"/>
      <c r="C1380" s="664"/>
      <c r="D1380" s="669" t="s">
        <v>2767</v>
      </c>
      <c r="E1380" s="670">
        <f>$E$9</f>
        <v>0</v>
      </c>
      <c r="F1380" s="684"/>
      <c r="G1380" s="663"/>
      <c r="H1380" s="684"/>
      <c r="I1380" s="675"/>
      <c r="J1380" s="676">
        <f>J1379*E1380</f>
        <v>0</v>
      </c>
    </row>
    <row r="1381" spans="1:10" s="644" customFormat="1">
      <c r="A1381" s="668"/>
      <c r="B1381" s="664"/>
      <c r="C1381" s="664"/>
      <c r="D1381" s="673"/>
      <c r="E1381" s="685"/>
      <c r="F1381" s="684"/>
      <c r="G1381" s="663"/>
      <c r="H1381" s="684"/>
      <c r="I1381" s="675"/>
      <c r="J1381" s="676">
        <f>SUM(J1379:J1380)</f>
        <v>41</v>
      </c>
    </row>
    <row r="1382" spans="1:10" s="644" customFormat="1">
      <c r="A1382" s="668"/>
      <c r="B1382" s="664"/>
      <c r="C1382" s="664"/>
      <c r="D1382" s="691" t="s">
        <v>2768</v>
      </c>
      <c r="E1382" s="685"/>
      <c r="F1382" s="684"/>
      <c r="G1382" s="663"/>
      <c r="H1382" s="684"/>
      <c r="I1382" s="675"/>
      <c r="J1382" s="693">
        <f>ROUND(J1381,0)</f>
        <v>41</v>
      </c>
    </row>
    <row r="1383" spans="1:10" s="644" customFormat="1">
      <c r="A1383" s="668"/>
      <c r="B1383" s="664"/>
      <c r="C1383" s="664"/>
      <c r="D1383" s="669"/>
      <c r="E1383" s="685"/>
      <c r="F1383" s="684"/>
      <c r="G1383" s="663"/>
      <c r="H1383" s="684"/>
      <c r="I1383" s="686"/>
      <c r="J1383" s="676"/>
    </row>
    <row r="1384" spans="1:10" s="644" customFormat="1">
      <c r="A1384" s="653">
        <f>SUM(MAX($A$7:$A1383),1)</f>
        <v>77</v>
      </c>
      <c r="B1384" s="654"/>
      <c r="C1384" s="654"/>
      <c r="D1384" s="2161" t="s">
        <v>3176</v>
      </c>
      <c r="E1384" s="2161"/>
      <c r="F1384" s="2161"/>
      <c r="G1384" s="2161"/>
      <c r="H1384" s="2161"/>
      <c r="I1384" s="2161"/>
      <c r="J1384" s="2161"/>
    </row>
    <row r="1385" spans="1:10" s="644" customFormat="1">
      <c r="A1385" s="653" t="s">
        <v>1180</v>
      </c>
      <c r="B1385" s="665"/>
      <c r="C1385" s="665"/>
      <c r="D1385" s="2155" t="s">
        <v>3177</v>
      </c>
      <c r="E1385" s="2155"/>
      <c r="F1385" s="2155"/>
      <c r="G1385" s="2155"/>
      <c r="H1385" s="2155"/>
      <c r="I1385" s="2155"/>
      <c r="J1385" s="2155"/>
    </row>
    <row r="1386" spans="1:10" s="644" customFormat="1">
      <c r="A1386" s="668"/>
      <c r="B1386" s="654"/>
      <c r="C1386" s="654"/>
      <c r="D1386" s="802" t="s">
        <v>3127</v>
      </c>
      <c r="E1386" s="679"/>
      <c r="F1386" s="645"/>
      <c r="G1386" s="661"/>
      <c r="H1386" s="645"/>
      <c r="I1386" s="657"/>
      <c r="J1386" s="694"/>
    </row>
    <row r="1387" spans="1:10" s="644" customFormat="1">
      <c r="A1387" s="668"/>
      <c r="B1387" s="654">
        <v>1</v>
      </c>
      <c r="C1387" s="654"/>
      <c r="D1387" s="645" t="s">
        <v>2740</v>
      </c>
      <c r="E1387" s="699">
        <v>0.02</v>
      </c>
      <c r="F1387" s="680" t="s">
        <v>1738</v>
      </c>
      <c r="G1387" s="661">
        <v>1</v>
      </c>
      <c r="H1387" s="680" t="s">
        <v>1738</v>
      </c>
      <c r="I1387" s="657">
        <f>IF(B1387=$B$2,$G$2,IF(B1387=$B$3,$G$3,IF(B1387=$B$4,$G$4,IF(B1387=$B$5,$G$5,IF(B1387=$B$6,$G$6,IF(B1387=$B$7,$G$7,FALSE))))))</f>
        <v>660</v>
      </c>
      <c r="J1387" s="694">
        <f>SUM(E1387*I1387/G1387)</f>
        <v>13.200000000000001</v>
      </c>
    </row>
    <row r="1388" spans="1:10" s="644" customFormat="1">
      <c r="A1388" s="668"/>
      <c r="B1388" s="654">
        <v>2</v>
      </c>
      <c r="C1388" s="654"/>
      <c r="D1388" s="645" t="s">
        <v>2741</v>
      </c>
      <c r="E1388" s="699">
        <v>0.02</v>
      </c>
      <c r="F1388" s="680" t="s">
        <v>1738</v>
      </c>
      <c r="G1388" s="661">
        <v>1</v>
      </c>
      <c r="H1388" s="680" t="s">
        <v>1738</v>
      </c>
      <c r="I1388" s="657">
        <f>IF(B1388=$B$2,$G$2,IF(B1388=$B$3,$G$3,IF(B1388=$B$4,$G$4,IF(B1388=$B$5,$G$5,IF(B1388=$B$6,$G$6,IF(B1388=$B$7,$G$7,FALSE))))))</f>
        <v>550</v>
      </c>
      <c r="J1388" s="694">
        <f>SUM(E1388*I1388/G1388)</f>
        <v>11</v>
      </c>
    </row>
    <row r="1389" spans="1:10" s="644" customFormat="1">
      <c r="A1389" s="668"/>
      <c r="B1389" s="654">
        <v>3</v>
      </c>
      <c r="C1389" s="654"/>
      <c r="D1389" s="645" t="s">
        <v>2742</v>
      </c>
      <c r="E1389" s="699">
        <v>0.02</v>
      </c>
      <c r="F1389" s="680" t="s">
        <v>1738</v>
      </c>
      <c r="G1389" s="661">
        <v>1</v>
      </c>
      <c r="H1389" s="680" t="s">
        <v>1738</v>
      </c>
      <c r="I1389" s="657">
        <f>IF(B1389=$B$2,$G$2,IF(B1389=$B$3,$G$3,IF(B1389=$B$4,$G$4,IF(B1389=$B$5,$G$5,IF(B1389=$B$6,$G$6,IF(B1389=$B$7,$G$7,FALSE))))))</f>
        <v>550</v>
      </c>
      <c r="J1389" s="694">
        <f>SUM(E1389*I1389/G1389)</f>
        <v>11</v>
      </c>
    </row>
    <row r="1390" spans="1:10" s="644" customFormat="1">
      <c r="A1390" s="668"/>
      <c r="B1390" s="654"/>
      <c r="C1390" s="654"/>
      <c r="D1390" s="681" t="s">
        <v>3178</v>
      </c>
      <c r="E1390" s="679"/>
      <c r="F1390" s="680"/>
      <c r="G1390" s="661"/>
      <c r="H1390" s="680"/>
      <c r="I1390" s="657"/>
      <c r="J1390" s="694">
        <f>SUM(J1387:J1389)</f>
        <v>35.200000000000003</v>
      </c>
    </row>
    <row r="1391" spans="1:10" s="644" customFormat="1">
      <c r="A1391" s="668"/>
      <c r="B1391" s="654"/>
      <c r="C1391" s="654"/>
      <c r="D1391" s="696" t="s">
        <v>2785</v>
      </c>
      <c r="E1391" s="679"/>
      <c r="F1391" s="680"/>
      <c r="G1391" s="661"/>
      <c r="H1391" s="680"/>
      <c r="I1391" s="657"/>
      <c r="J1391" s="694"/>
    </row>
    <row r="1392" spans="1:10" s="644" customFormat="1" ht="51">
      <c r="A1392" s="668"/>
      <c r="B1392" s="654">
        <v>4.3099999999999996</v>
      </c>
      <c r="C1392" s="654" t="s">
        <v>922</v>
      </c>
      <c r="D1392" s="682" t="s">
        <v>3179</v>
      </c>
      <c r="E1392" s="679">
        <v>1</v>
      </c>
      <c r="F1392" s="645" t="s">
        <v>955</v>
      </c>
      <c r="G1392" s="661">
        <v>1</v>
      </c>
      <c r="H1392" s="645" t="s">
        <v>955</v>
      </c>
      <c r="I1392" s="657">
        <v>306</v>
      </c>
      <c r="J1392" s="694">
        <f>SUM(E1392*I1392/G1392)</f>
        <v>306</v>
      </c>
    </row>
    <row r="1393" spans="1:10" s="644" customFormat="1" ht="25.5">
      <c r="A1393" s="668"/>
      <c r="B1393" s="654" t="s">
        <v>3180</v>
      </c>
      <c r="C1393" s="661" t="s">
        <v>1180</v>
      </c>
      <c r="D1393" s="682" t="s">
        <v>3181</v>
      </c>
      <c r="E1393" s="679">
        <v>4</v>
      </c>
      <c r="F1393" s="645" t="s">
        <v>955</v>
      </c>
      <c r="G1393" s="661">
        <v>1</v>
      </c>
      <c r="H1393" s="645" t="s">
        <v>955</v>
      </c>
      <c r="I1393" s="695">
        <v>17</v>
      </c>
      <c r="J1393" s="694">
        <f>SUM(E1393*I1393/G1393)</f>
        <v>68</v>
      </c>
    </row>
    <row r="1394" spans="1:10" s="644" customFormat="1">
      <c r="A1394" s="668"/>
      <c r="B1394" s="654"/>
      <c r="C1394" s="654"/>
      <c r="D1394" s="682"/>
      <c r="E1394" s="679"/>
      <c r="F1394" s="645"/>
      <c r="G1394" s="661"/>
      <c r="H1394" s="645"/>
      <c r="I1394" s="657"/>
      <c r="J1394" s="676">
        <f>SUM(J1392:J1393)</f>
        <v>374</v>
      </c>
    </row>
    <row r="1395" spans="1:10" s="644" customFormat="1" ht="25.5">
      <c r="A1395" s="668"/>
      <c r="B1395" s="654"/>
      <c r="C1395" s="654"/>
      <c r="D1395" s="656" t="s">
        <v>2766</v>
      </c>
      <c r="E1395" s="679"/>
      <c r="F1395" s="682"/>
      <c r="G1395" s="661"/>
      <c r="H1395" s="645"/>
      <c r="I1395" s="675"/>
      <c r="J1395" s="655">
        <f>ROUNDDOWN(J1394+J1390,0)</f>
        <v>409</v>
      </c>
    </row>
    <row r="1396" spans="1:10" s="644" customFormat="1">
      <c r="A1396" s="668"/>
      <c r="B1396" s="664"/>
      <c r="C1396" s="664"/>
      <c r="D1396" s="669" t="s">
        <v>2767</v>
      </c>
      <c r="E1396" s="670">
        <f>$E$9</f>
        <v>0</v>
      </c>
      <c r="F1396" s="684"/>
      <c r="G1396" s="663"/>
      <c r="H1396" s="684"/>
      <c r="I1396" s="675"/>
      <c r="J1396" s="676">
        <f>J1395*E1396</f>
        <v>0</v>
      </c>
    </row>
    <row r="1397" spans="1:10" s="644" customFormat="1">
      <c r="A1397" s="668"/>
      <c r="B1397" s="664"/>
      <c r="C1397" s="664"/>
      <c r="D1397" s="673"/>
      <c r="E1397" s="685"/>
      <c r="F1397" s="684"/>
      <c r="G1397" s="663"/>
      <c r="H1397" s="684"/>
      <c r="I1397" s="675"/>
      <c r="J1397" s="676">
        <f>SUM(J1395:J1396)</f>
        <v>409</v>
      </c>
    </row>
    <row r="1398" spans="1:10" s="644" customFormat="1">
      <c r="A1398" s="668"/>
      <c r="B1398" s="664"/>
      <c r="C1398" s="664"/>
      <c r="D1398" s="691" t="s">
        <v>2380</v>
      </c>
      <c r="E1398" s="685"/>
      <c r="F1398" s="684"/>
      <c r="G1398" s="663"/>
      <c r="H1398" s="684"/>
      <c r="I1398" s="675"/>
      <c r="J1398" s="693">
        <f>ROUND(J1397,0)</f>
        <v>409</v>
      </c>
    </row>
    <row r="1399" spans="1:10" s="644" customFormat="1">
      <c r="A1399" s="668"/>
      <c r="B1399" s="664"/>
      <c r="C1399" s="664"/>
      <c r="D1399" s="669"/>
      <c r="E1399" s="685"/>
      <c r="F1399" s="684"/>
      <c r="G1399" s="663"/>
      <c r="H1399" s="684"/>
      <c r="I1399" s="686"/>
      <c r="J1399" s="676"/>
    </row>
    <row r="1400" spans="1:10" s="644" customFormat="1">
      <c r="A1400" s="653" t="s">
        <v>1184</v>
      </c>
      <c r="B1400" s="665"/>
      <c r="C1400" s="665"/>
      <c r="D1400" s="2155" t="s">
        <v>3182</v>
      </c>
      <c r="E1400" s="2155"/>
      <c r="F1400" s="2155"/>
      <c r="G1400" s="2155"/>
      <c r="H1400" s="2155"/>
      <c r="I1400" s="2155"/>
      <c r="J1400" s="2155"/>
    </row>
    <row r="1401" spans="1:10" s="644" customFormat="1">
      <c r="A1401" s="668"/>
      <c r="B1401" s="654"/>
      <c r="C1401" s="654"/>
      <c r="D1401" s="802" t="s">
        <v>3127</v>
      </c>
      <c r="E1401" s="679"/>
      <c r="F1401" s="645"/>
      <c r="G1401" s="661"/>
      <c r="H1401" s="645"/>
      <c r="I1401" s="657"/>
      <c r="J1401" s="694"/>
    </row>
    <row r="1402" spans="1:10" s="644" customFormat="1">
      <c r="A1402" s="668"/>
      <c r="B1402" s="654">
        <v>1</v>
      </c>
      <c r="C1402" s="654"/>
      <c r="D1402" s="645" t="s">
        <v>2740</v>
      </c>
      <c r="E1402" s="699">
        <v>0.03</v>
      </c>
      <c r="F1402" s="680" t="s">
        <v>1738</v>
      </c>
      <c r="G1402" s="661">
        <v>1</v>
      </c>
      <c r="H1402" s="680" t="s">
        <v>1738</v>
      </c>
      <c r="I1402" s="657">
        <f>IF(B1402=$B$2,$G$2,IF(B1402=$B$3,$G$3,IF(B1402=$B$4,$G$4,IF(B1402=$B$5,$G$5,IF(B1402=$B$6,$G$6,IF(B1402=$B$7,$G$7,FALSE))))))</f>
        <v>660</v>
      </c>
      <c r="J1402" s="694">
        <f>SUM(E1402*I1402/G1402)</f>
        <v>19.8</v>
      </c>
    </row>
    <row r="1403" spans="1:10" s="644" customFormat="1">
      <c r="A1403" s="668"/>
      <c r="B1403" s="654">
        <v>2</v>
      </c>
      <c r="C1403" s="654"/>
      <c r="D1403" s="645" t="s">
        <v>2741</v>
      </c>
      <c r="E1403" s="699">
        <v>0.03</v>
      </c>
      <c r="F1403" s="680" t="s">
        <v>1738</v>
      </c>
      <c r="G1403" s="661">
        <v>1</v>
      </c>
      <c r="H1403" s="680" t="s">
        <v>1738</v>
      </c>
      <c r="I1403" s="657">
        <f>IF(B1403=$B$2,$G$2,IF(B1403=$B$3,$G$3,IF(B1403=$B$4,$G$4,IF(B1403=$B$5,$G$5,IF(B1403=$B$6,$G$6,IF(B1403=$B$7,$G$7,FALSE))))))</f>
        <v>550</v>
      </c>
      <c r="J1403" s="694">
        <f>SUM(E1403*I1403/G1403)</f>
        <v>16.5</v>
      </c>
    </row>
    <row r="1404" spans="1:10" s="644" customFormat="1">
      <c r="A1404" s="668"/>
      <c r="B1404" s="654">
        <v>3</v>
      </c>
      <c r="C1404" s="654"/>
      <c r="D1404" s="645" t="s">
        <v>2742</v>
      </c>
      <c r="E1404" s="699">
        <v>0.03</v>
      </c>
      <c r="F1404" s="680" t="s">
        <v>1738</v>
      </c>
      <c r="G1404" s="661">
        <v>1</v>
      </c>
      <c r="H1404" s="680" t="s">
        <v>1738</v>
      </c>
      <c r="I1404" s="657">
        <f>IF(B1404=$B$2,$G$2,IF(B1404=$B$3,$G$3,IF(B1404=$B$4,$G$4,IF(B1404=$B$5,$G$5,IF(B1404=$B$6,$G$6,IF(B1404=$B$7,$G$7,FALSE))))))</f>
        <v>550</v>
      </c>
      <c r="J1404" s="694">
        <f>SUM(E1404*I1404/G1404)</f>
        <v>16.5</v>
      </c>
    </row>
    <row r="1405" spans="1:10" s="644" customFormat="1">
      <c r="A1405" s="668"/>
      <c r="B1405" s="654"/>
      <c r="C1405" s="654"/>
      <c r="D1405" s="681" t="s">
        <v>3178</v>
      </c>
      <c r="E1405" s="679"/>
      <c r="F1405" s="680"/>
      <c r="G1405" s="661"/>
      <c r="H1405" s="680"/>
      <c r="I1405" s="657"/>
      <c r="J1405" s="694">
        <f>SUM(J1402:J1404)</f>
        <v>52.8</v>
      </c>
    </row>
    <row r="1406" spans="1:10" s="644" customFormat="1">
      <c r="A1406" s="668"/>
      <c r="B1406" s="654"/>
      <c r="C1406" s="654"/>
      <c r="D1406" s="696" t="s">
        <v>2785</v>
      </c>
      <c r="E1406" s="679"/>
      <c r="F1406" s="680"/>
      <c r="G1406" s="661"/>
      <c r="H1406" s="680"/>
      <c r="I1406" s="657"/>
      <c r="J1406" s="694"/>
    </row>
    <row r="1407" spans="1:10" s="644" customFormat="1" ht="51">
      <c r="A1407" s="668"/>
      <c r="B1407" s="654" t="s">
        <v>3183</v>
      </c>
      <c r="C1407" s="654" t="s">
        <v>1188</v>
      </c>
      <c r="D1407" s="682" t="s">
        <v>3184</v>
      </c>
      <c r="E1407" s="679">
        <v>1</v>
      </c>
      <c r="F1407" s="645" t="s">
        <v>955</v>
      </c>
      <c r="G1407" s="661">
        <v>1</v>
      </c>
      <c r="H1407" s="645" t="s">
        <v>955</v>
      </c>
      <c r="I1407" s="679">
        <v>377</v>
      </c>
      <c r="J1407" s="694">
        <f>SUM(E1407*I1407/G1407)</f>
        <v>377</v>
      </c>
    </row>
    <row r="1408" spans="1:10" s="644" customFormat="1" ht="25.5">
      <c r="A1408" s="668"/>
      <c r="B1408" s="654" t="s">
        <v>3180</v>
      </c>
      <c r="C1408" s="661" t="s">
        <v>1180</v>
      </c>
      <c r="D1408" s="682" t="s">
        <v>3185</v>
      </c>
      <c r="E1408" s="679">
        <v>1</v>
      </c>
      <c r="F1408" s="645" t="s">
        <v>955</v>
      </c>
      <c r="G1408" s="661">
        <v>1</v>
      </c>
      <c r="H1408" s="645" t="s">
        <v>955</v>
      </c>
      <c r="I1408" s="695">
        <v>17</v>
      </c>
      <c r="J1408" s="694">
        <f>SUM(E1408*I1408/G1408)</f>
        <v>17</v>
      </c>
    </row>
    <row r="1409" spans="1:10" s="644" customFormat="1" ht="25.5">
      <c r="A1409" s="668"/>
      <c r="B1409" s="654" t="s">
        <v>3180</v>
      </c>
      <c r="C1409" s="661" t="s">
        <v>1186</v>
      </c>
      <c r="D1409" s="682" t="s">
        <v>3186</v>
      </c>
      <c r="E1409" s="679">
        <v>3</v>
      </c>
      <c r="F1409" s="645" t="s">
        <v>955</v>
      </c>
      <c r="G1409" s="661">
        <v>1</v>
      </c>
      <c r="H1409" s="645" t="s">
        <v>955</v>
      </c>
      <c r="I1409" s="657">
        <v>24</v>
      </c>
      <c r="J1409" s="694">
        <f>SUM(E1409*I1409/G1409)</f>
        <v>72</v>
      </c>
    </row>
    <row r="1410" spans="1:10" s="644" customFormat="1">
      <c r="A1410" s="668"/>
      <c r="B1410" s="654"/>
      <c r="C1410" s="654"/>
      <c r="D1410" s="682"/>
      <c r="E1410" s="679"/>
      <c r="F1410" s="645"/>
      <c r="G1410" s="661"/>
      <c r="H1410" s="645"/>
      <c r="I1410" s="657"/>
      <c r="J1410" s="694">
        <f>SUM(J1407:J1409)</f>
        <v>466</v>
      </c>
    </row>
    <row r="1411" spans="1:10" s="644" customFormat="1" ht="25.5">
      <c r="A1411" s="668"/>
      <c r="B1411" s="654"/>
      <c r="C1411" s="654"/>
      <c r="D1411" s="656" t="s">
        <v>2766</v>
      </c>
      <c r="E1411" s="679"/>
      <c r="F1411" s="682"/>
      <c r="G1411" s="661"/>
      <c r="H1411" s="645"/>
      <c r="I1411" s="675"/>
      <c r="J1411" s="655">
        <f>ROUNDDOWN(J1410+J1405,0)</f>
        <v>518</v>
      </c>
    </row>
    <row r="1412" spans="1:10" s="644" customFormat="1">
      <c r="A1412" s="668"/>
      <c r="B1412" s="664"/>
      <c r="C1412" s="664"/>
      <c r="D1412" s="669" t="s">
        <v>2767</v>
      </c>
      <c r="E1412" s="670">
        <f>$E$9</f>
        <v>0</v>
      </c>
      <c r="F1412" s="684"/>
      <c r="G1412" s="663"/>
      <c r="H1412" s="684"/>
      <c r="I1412" s="675"/>
      <c r="J1412" s="676">
        <f>J1411*E1412</f>
        <v>0</v>
      </c>
    </row>
    <row r="1413" spans="1:10" s="644" customFormat="1">
      <c r="A1413" s="668"/>
      <c r="B1413" s="664"/>
      <c r="C1413" s="664"/>
      <c r="D1413" s="673"/>
      <c r="E1413" s="685"/>
      <c r="F1413" s="684"/>
      <c r="G1413" s="663"/>
      <c r="H1413" s="684"/>
      <c r="I1413" s="675"/>
      <c r="J1413" s="676">
        <f>SUM(J1411:J1412)</f>
        <v>518</v>
      </c>
    </row>
    <row r="1414" spans="1:10" s="644" customFormat="1">
      <c r="A1414" s="668"/>
      <c r="B1414" s="664"/>
      <c r="C1414" s="664"/>
      <c r="D1414" s="691" t="s">
        <v>2380</v>
      </c>
      <c r="E1414" s="685"/>
      <c r="F1414" s="684"/>
      <c r="G1414" s="663"/>
      <c r="H1414" s="684"/>
      <c r="I1414" s="675"/>
      <c r="J1414" s="693">
        <f>ROUND(J1413,0)</f>
        <v>518</v>
      </c>
    </row>
    <row r="1415" spans="1:10" s="644" customFormat="1">
      <c r="A1415" s="668"/>
      <c r="B1415" s="664"/>
      <c r="C1415" s="664"/>
      <c r="D1415" s="669"/>
      <c r="E1415" s="685"/>
      <c r="F1415" s="684"/>
      <c r="G1415" s="663"/>
      <c r="H1415" s="684"/>
      <c r="I1415" s="686"/>
      <c r="J1415" s="676"/>
    </row>
    <row r="1416" spans="1:10" s="644" customFormat="1">
      <c r="A1416" s="653" t="s">
        <v>1186</v>
      </c>
      <c r="B1416" s="665"/>
      <c r="C1416" s="665"/>
      <c r="D1416" s="2155" t="s">
        <v>3187</v>
      </c>
      <c r="E1416" s="2155"/>
      <c r="F1416" s="2155"/>
      <c r="G1416" s="2155"/>
      <c r="H1416" s="2155"/>
      <c r="I1416" s="2155"/>
      <c r="J1416" s="2155"/>
    </row>
    <row r="1417" spans="1:10" s="644" customFormat="1">
      <c r="A1417" s="668"/>
      <c r="B1417" s="654"/>
      <c r="C1417" s="654"/>
      <c r="D1417" s="802" t="s">
        <v>3127</v>
      </c>
      <c r="E1417" s="679"/>
      <c r="F1417" s="645"/>
      <c r="G1417" s="661"/>
      <c r="H1417" s="645"/>
      <c r="I1417" s="657"/>
      <c r="J1417" s="694"/>
    </row>
    <row r="1418" spans="1:10" s="644" customFormat="1">
      <c r="A1418" s="668"/>
      <c r="B1418" s="654">
        <v>1</v>
      </c>
      <c r="C1418" s="654"/>
      <c r="D1418" s="645" t="s">
        <v>2740</v>
      </c>
      <c r="E1418" s="699">
        <v>0.05</v>
      </c>
      <c r="F1418" s="680" t="s">
        <v>1738</v>
      </c>
      <c r="G1418" s="661">
        <v>1</v>
      </c>
      <c r="H1418" s="680" t="s">
        <v>1738</v>
      </c>
      <c r="I1418" s="657">
        <f>IF(B1418=$B$2,$G$2,IF(B1418=$B$3,$G$3,IF(B1418=$B$4,$G$4,IF(B1418=$B$5,$G$5,IF(B1418=$B$6,$G$6,IF(B1418=$B$7,$G$7,FALSE))))))</f>
        <v>660</v>
      </c>
      <c r="J1418" s="694">
        <f>SUM(E1418*I1418/G1418)</f>
        <v>33</v>
      </c>
    </row>
    <row r="1419" spans="1:10" s="644" customFormat="1">
      <c r="A1419" s="668"/>
      <c r="B1419" s="654">
        <v>2</v>
      </c>
      <c r="C1419" s="654"/>
      <c r="D1419" s="645" t="s">
        <v>2741</v>
      </c>
      <c r="E1419" s="699">
        <v>0.05</v>
      </c>
      <c r="F1419" s="680" t="s">
        <v>1738</v>
      </c>
      <c r="G1419" s="661">
        <v>1</v>
      </c>
      <c r="H1419" s="680" t="s">
        <v>1738</v>
      </c>
      <c r="I1419" s="657">
        <f>IF(B1419=$B$2,$G$2,IF(B1419=$B$3,$G$3,IF(B1419=$B$4,$G$4,IF(B1419=$B$5,$G$5,IF(B1419=$B$6,$G$6,IF(B1419=$B$7,$G$7,FALSE))))))</f>
        <v>550</v>
      </c>
      <c r="J1419" s="694">
        <f>SUM(E1419*I1419/G1419)</f>
        <v>27.5</v>
      </c>
    </row>
    <row r="1420" spans="1:10" s="644" customFormat="1">
      <c r="A1420" s="668"/>
      <c r="B1420" s="654">
        <v>3</v>
      </c>
      <c r="C1420" s="654"/>
      <c r="D1420" s="645" t="s">
        <v>2742</v>
      </c>
      <c r="E1420" s="699">
        <v>0.05</v>
      </c>
      <c r="F1420" s="680" t="s">
        <v>1738</v>
      </c>
      <c r="G1420" s="661">
        <v>1</v>
      </c>
      <c r="H1420" s="680" t="s">
        <v>1738</v>
      </c>
      <c r="I1420" s="657">
        <f>IF(B1420=$B$2,$G$2,IF(B1420=$B$3,$G$3,IF(B1420=$B$4,$G$4,IF(B1420=$B$5,$G$5,IF(B1420=$B$6,$G$6,IF(B1420=$B$7,$G$7,FALSE))))))</f>
        <v>550</v>
      </c>
      <c r="J1420" s="694">
        <f>SUM(E1420*I1420/G1420)</f>
        <v>27.5</v>
      </c>
    </row>
    <row r="1421" spans="1:10" s="644" customFormat="1">
      <c r="A1421" s="668"/>
      <c r="B1421" s="654"/>
      <c r="C1421" s="654"/>
      <c r="D1421" s="681" t="s">
        <v>3178</v>
      </c>
      <c r="E1421" s="679"/>
      <c r="F1421" s="680"/>
      <c r="G1421" s="661"/>
      <c r="H1421" s="680"/>
      <c r="I1421" s="657"/>
      <c r="J1421" s="694">
        <f>SUM(J1418:J1420)</f>
        <v>88</v>
      </c>
    </row>
    <row r="1422" spans="1:10" s="644" customFormat="1">
      <c r="A1422" s="668"/>
      <c r="B1422" s="654"/>
      <c r="C1422" s="654"/>
      <c r="D1422" s="696" t="s">
        <v>2785</v>
      </c>
      <c r="E1422" s="679"/>
      <c r="F1422" s="680"/>
      <c r="G1422" s="661"/>
      <c r="H1422" s="680"/>
      <c r="I1422" s="657"/>
      <c r="J1422" s="694"/>
    </row>
    <row r="1423" spans="1:10" s="644" customFormat="1" ht="51">
      <c r="A1423" s="668"/>
      <c r="B1423" s="654" t="s">
        <v>3183</v>
      </c>
      <c r="C1423" s="654" t="s">
        <v>1192</v>
      </c>
      <c r="D1423" s="682" t="s">
        <v>3188</v>
      </c>
      <c r="E1423" s="679">
        <v>1</v>
      </c>
      <c r="F1423" s="645" t="s">
        <v>955</v>
      </c>
      <c r="G1423" s="661">
        <v>1</v>
      </c>
      <c r="H1423" s="645" t="s">
        <v>955</v>
      </c>
      <c r="I1423" s="700">
        <v>483</v>
      </c>
      <c r="J1423" s="694">
        <f>SUM(E1423*I1423/G1423)</f>
        <v>483</v>
      </c>
    </row>
    <row r="1424" spans="1:10" s="644" customFormat="1" ht="25.5">
      <c r="A1424" s="668"/>
      <c r="B1424" s="654" t="s">
        <v>3180</v>
      </c>
      <c r="C1424" s="661" t="s">
        <v>1184</v>
      </c>
      <c r="D1424" s="682" t="s">
        <v>3189</v>
      </c>
      <c r="E1424" s="679">
        <v>1</v>
      </c>
      <c r="F1424" s="645" t="s">
        <v>955</v>
      </c>
      <c r="G1424" s="661">
        <v>1</v>
      </c>
      <c r="H1424" s="645" t="s">
        <v>955</v>
      </c>
      <c r="I1424" s="695">
        <v>21</v>
      </c>
      <c r="J1424" s="694">
        <f>SUM(E1424*I1424/G1424)</f>
        <v>21</v>
      </c>
    </row>
    <row r="1425" spans="1:10" s="644" customFormat="1" ht="25.5">
      <c r="A1425" s="668"/>
      <c r="B1425" s="654" t="s">
        <v>3180</v>
      </c>
      <c r="C1425" s="661" t="s">
        <v>1188</v>
      </c>
      <c r="D1425" s="682" t="s">
        <v>3190</v>
      </c>
      <c r="E1425" s="679">
        <v>3</v>
      </c>
      <c r="F1425" s="645" t="s">
        <v>955</v>
      </c>
      <c r="G1425" s="661">
        <v>1</v>
      </c>
      <c r="H1425" s="645" t="s">
        <v>955</v>
      </c>
      <c r="I1425" s="695">
        <v>26</v>
      </c>
      <c r="J1425" s="694">
        <f>SUM(E1425*I1425/G1425)</f>
        <v>78</v>
      </c>
    </row>
    <row r="1426" spans="1:10" s="644" customFormat="1">
      <c r="A1426" s="668"/>
      <c r="B1426" s="654"/>
      <c r="C1426" s="654"/>
      <c r="D1426" s="682"/>
      <c r="E1426" s="679"/>
      <c r="F1426" s="645"/>
      <c r="G1426" s="661"/>
      <c r="H1426" s="645"/>
      <c r="I1426" s="657"/>
      <c r="J1426" s="694">
        <f>SUM(J1423:J1425)</f>
        <v>582</v>
      </c>
    </row>
    <row r="1427" spans="1:10" s="644" customFormat="1" ht="25.5">
      <c r="A1427" s="668"/>
      <c r="B1427" s="654"/>
      <c r="C1427" s="654"/>
      <c r="D1427" s="656" t="s">
        <v>2766</v>
      </c>
      <c r="E1427" s="679"/>
      <c r="F1427" s="682"/>
      <c r="G1427" s="661"/>
      <c r="H1427" s="645"/>
      <c r="I1427" s="675"/>
      <c r="J1427" s="655">
        <f>ROUNDDOWN(J1426+J1421,0)</f>
        <v>670</v>
      </c>
    </row>
    <row r="1428" spans="1:10" s="644" customFormat="1">
      <c r="A1428" s="668"/>
      <c r="B1428" s="664"/>
      <c r="C1428" s="664"/>
      <c r="D1428" s="669" t="s">
        <v>2767</v>
      </c>
      <c r="E1428" s="670">
        <f>$E$9</f>
        <v>0</v>
      </c>
      <c r="F1428" s="684"/>
      <c r="G1428" s="663"/>
      <c r="H1428" s="684"/>
      <c r="I1428" s="675"/>
      <c r="J1428" s="676">
        <f>J1427*E1428</f>
        <v>0</v>
      </c>
    </row>
    <row r="1429" spans="1:10" s="644" customFormat="1">
      <c r="A1429" s="668"/>
      <c r="B1429" s="664"/>
      <c r="C1429" s="664"/>
      <c r="D1429" s="673"/>
      <c r="E1429" s="685"/>
      <c r="F1429" s="684"/>
      <c r="G1429" s="663"/>
      <c r="H1429" s="684"/>
      <c r="I1429" s="675"/>
      <c r="J1429" s="676">
        <f>SUM(J1427:J1428)</f>
        <v>670</v>
      </c>
    </row>
    <row r="1430" spans="1:10" s="644" customFormat="1">
      <c r="A1430" s="668"/>
      <c r="B1430" s="664"/>
      <c r="C1430" s="664"/>
      <c r="D1430" s="691" t="s">
        <v>2380</v>
      </c>
      <c r="E1430" s="685"/>
      <c r="F1430" s="684"/>
      <c r="G1430" s="663"/>
      <c r="H1430" s="684"/>
      <c r="I1430" s="675"/>
      <c r="J1430" s="693">
        <f>ROUND(J1429,0)</f>
        <v>670</v>
      </c>
    </row>
    <row r="1431" spans="1:10" s="644" customFormat="1">
      <c r="A1431" s="668"/>
      <c r="B1431" s="664"/>
      <c r="C1431" s="664"/>
      <c r="D1431" s="669"/>
      <c r="E1431" s="685"/>
      <c r="F1431" s="684"/>
      <c r="G1431" s="663"/>
      <c r="H1431" s="684"/>
      <c r="I1431" s="686"/>
      <c r="J1431" s="676"/>
    </row>
    <row r="1432" spans="1:10" s="644" customFormat="1">
      <c r="A1432" s="653" t="s">
        <v>1188</v>
      </c>
      <c r="B1432" s="665"/>
      <c r="C1432" s="665"/>
      <c r="D1432" s="2155" t="s">
        <v>3191</v>
      </c>
      <c r="E1432" s="2155"/>
      <c r="F1432" s="2155"/>
      <c r="G1432" s="2155"/>
      <c r="H1432" s="2155"/>
      <c r="I1432" s="2155"/>
      <c r="J1432" s="2155"/>
    </row>
    <row r="1433" spans="1:10" s="644" customFormat="1">
      <c r="A1433" s="668"/>
      <c r="B1433" s="654"/>
      <c r="C1433" s="654"/>
      <c r="D1433" s="802" t="s">
        <v>3127</v>
      </c>
      <c r="E1433" s="679"/>
      <c r="F1433" s="645"/>
      <c r="G1433" s="661"/>
      <c r="H1433" s="645"/>
      <c r="I1433" s="657"/>
      <c r="J1433" s="694"/>
    </row>
    <row r="1434" spans="1:10" s="644" customFormat="1">
      <c r="A1434" s="668"/>
      <c r="B1434" s="654">
        <v>1</v>
      </c>
      <c r="C1434" s="654"/>
      <c r="D1434" s="645" t="s">
        <v>2740</v>
      </c>
      <c r="E1434" s="699">
        <v>7.0000000000000007E-2</v>
      </c>
      <c r="F1434" s="680" t="s">
        <v>1738</v>
      </c>
      <c r="G1434" s="661">
        <v>1</v>
      </c>
      <c r="H1434" s="680" t="s">
        <v>1738</v>
      </c>
      <c r="I1434" s="657">
        <f>IF(B1434=$B$2,$G$2,IF(B1434=$B$3,$G$3,IF(B1434=$B$4,$G$4,IF(B1434=$B$5,$G$5,IF(B1434=$B$6,$G$6,IF(B1434=$B$7,$G$7,FALSE))))))</f>
        <v>660</v>
      </c>
      <c r="J1434" s="694">
        <f>SUM(E1434*I1434/G1434)</f>
        <v>46.2</v>
      </c>
    </row>
    <row r="1435" spans="1:10" s="644" customFormat="1">
      <c r="A1435" s="668"/>
      <c r="B1435" s="654">
        <v>2</v>
      </c>
      <c r="C1435" s="654"/>
      <c r="D1435" s="645" t="s">
        <v>2741</v>
      </c>
      <c r="E1435" s="699">
        <v>7.0000000000000007E-2</v>
      </c>
      <c r="F1435" s="680" t="s">
        <v>1738</v>
      </c>
      <c r="G1435" s="661">
        <v>1</v>
      </c>
      <c r="H1435" s="680" t="s">
        <v>1738</v>
      </c>
      <c r="I1435" s="657">
        <f>IF(B1435=$B$2,$G$2,IF(B1435=$B$3,$G$3,IF(B1435=$B$4,$G$4,IF(B1435=$B$5,$G$5,IF(B1435=$B$6,$G$6,IF(B1435=$B$7,$G$7,FALSE))))))</f>
        <v>550</v>
      </c>
      <c r="J1435" s="694">
        <f>SUM(E1435*I1435/G1435)</f>
        <v>38.500000000000007</v>
      </c>
    </row>
    <row r="1436" spans="1:10" s="644" customFormat="1">
      <c r="A1436" s="668"/>
      <c r="B1436" s="654">
        <v>3</v>
      </c>
      <c r="C1436" s="654"/>
      <c r="D1436" s="645" t="s">
        <v>2742</v>
      </c>
      <c r="E1436" s="699">
        <v>7.0000000000000007E-2</v>
      </c>
      <c r="F1436" s="680" t="s">
        <v>1738</v>
      </c>
      <c r="G1436" s="661">
        <v>1</v>
      </c>
      <c r="H1436" s="680" t="s">
        <v>1738</v>
      </c>
      <c r="I1436" s="657">
        <f>IF(B1436=$B$2,$G$2,IF(B1436=$B$3,$G$3,IF(B1436=$B$4,$G$4,IF(B1436=$B$5,$G$5,IF(B1436=$B$6,$G$6,IF(B1436=$B$7,$G$7,FALSE))))))</f>
        <v>550</v>
      </c>
      <c r="J1436" s="694">
        <f>SUM(E1436*I1436/G1436)</f>
        <v>38.500000000000007</v>
      </c>
    </row>
    <row r="1437" spans="1:10" s="644" customFormat="1">
      <c r="A1437" s="668"/>
      <c r="B1437" s="654"/>
      <c r="C1437" s="654"/>
      <c r="D1437" s="681" t="s">
        <v>3178</v>
      </c>
      <c r="E1437" s="679"/>
      <c r="F1437" s="680"/>
      <c r="G1437" s="661"/>
      <c r="H1437" s="680"/>
      <c r="I1437" s="657"/>
      <c r="J1437" s="694">
        <f>SUM(J1434:J1436)</f>
        <v>123.20000000000002</v>
      </c>
    </row>
    <row r="1438" spans="1:10" s="644" customFormat="1">
      <c r="A1438" s="668"/>
      <c r="B1438" s="654"/>
      <c r="C1438" s="654"/>
      <c r="D1438" s="696" t="s">
        <v>2785</v>
      </c>
      <c r="E1438" s="679"/>
      <c r="F1438" s="680"/>
      <c r="G1438" s="661"/>
      <c r="H1438" s="680"/>
      <c r="I1438" s="657"/>
      <c r="J1438" s="694"/>
    </row>
    <row r="1439" spans="1:10" s="644" customFormat="1" ht="51">
      <c r="A1439" s="668"/>
      <c r="B1439" s="654" t="s">
        <v>3183</v>
      </c>
      <c r="C1439" s="661" t="s">
        <v>1197</v>
      </c>
      <c r="D1439" s="662" t="s">
        <v>3192</v>
      </c>
      <c r="E1439" s="679">
        <v>1</v>
      </c>
      <c r="F1439" s="645" t="s">
        <v>955</v>
      </c>
      <c r="G1439" s="661">
        <v>1</v>
      </c>
      <c r="H1439" s="645" t="s">
        <v>955</v>
      </c>
      <c r="I1439" s="695">
        <v>729</v>
      </c>
      <c r="J1439" s="694">
        <f>SUM(E1439*I1439/G1439)</f>
        <v>729</v>
      </c>
    </row>
    <row r="1440" spans="1:10" s="644" customFormat="1" ht="25.5">
      <c r="A1440" s="668"/>
      <c r="B1440" s="654" t="s">
        <v>3180</v>
      </c>
      <c r="C1440" s="661" t="s">
        <v>1186</v>
      </c>
      <c r="D1440" s="682" t="s">
        <v>3186</v>
      </c>
      <c r="E1440" s="679">
        <v>1</v>
      </c>
      <c r="F1440" s="645" t="s">
        <v>955</v>
      </c>
      <c r="G1440" s="661">
        <v>1</v>
      </c>
      <c r="H1440" s="645" t="s">
        <v>955</v>
      </c>
      <c r="I1440" s="657">
        <v>24</v>
      </c>
      <c r="J1440" s="694">
        <f>SUM(E1440*I1440/G1440)</f>
        <v>24</v>
      </c>
    </row>
    <row r="1441" spans="1:10" s="644" customFormat="1" ht="25.5">
      <c r="A1441" s="668"/>
      <c r="B1441" s="654" t="s">
        <v>3180</v>
      </c>
      <c r="C1441" s="661" t="s">
        <v>1192</v>
      </c>
      <c r="D1441" s="682" t="s">
        <v>3193</v>
      </c>
      <c r="E1441" s="679">
        <v>3</v>
      </c>
      <c r="F1441" s="645" t="s">
        <v>955</v>
      </c>
      <c r="G1441" s="661">
        <v>1</v>
      </c>
      <c r="H1441" s="645" t="s">
        <v>955</v>
      </c>
      <c r="I1441" s="657">
        <v>33</v>
      </c>
      <c r="J1441" s="694">
        <f>SUM(E1441*I1441/G1441)</f>
        <v>99</v>
      </c>
    </row>
    <row r="1442" spans="1:10" s="644" customFormat="1">
      <c r="A1442" s="668"/>
      <c r="B1442" s="654"/>
      <c r="C1442" s="654"/>
      <c r="D1442" s="682"/>
      <c r="E1442" s="679"/>
      <c r="F1442" s="645"/>
      <c r="G1442" s="661"/>
      <c r="H1442" s="645"/>
      <c r="I1442" s="657"/>
      <c r="J1442" s="694">
        <f>SUM(J1439:J1441)</f>
        <v>852</v>
      </c>
    </row>
    <row r="1443" spans="1:10" s="644" customFormat="1" ht="25.5">
      <c r="A1443" s="668"/>
      <c r="B1443" s="654"/>
      <c r="C1443" s="654"/>
      <c r="D1443" s="656" t="s">
        <v>2766</v>
      </c>
      <c r="E1443" s="679"/>
      <c r="F1443" s="682"/>
      <c r="G1443" s="661"/>
      <c r="H1443" s="645"/>
      <c r="I1443" s="675"/>
      <c r="J1443" s="655">
        <f>ROUNDDOWN(J1442+J1437,0)</f>
        <v>975</v>
      </c>
    </row>
    <row r="1444" spans="1:10" s="644" customFormat="1">
      <c r="A1444" s="668"/>
      <c r="B1444" s="664"/>
      <c r="C1444" s="664"/>
      <c r="D1444" s="669" t="s">
        <v>2767</v>
      </c>
      <c r="E1444" s="670">
        <f>$E$9</f>
        <v>0</v>
      </c>
      <c r="F1444" s="684"/>
      <c r="G1444" s="663"/>
      <c r="H1444" s="684"/>
      <c r="I1444" s="675"/>
      <c r="J1444" s="676">
        <f>J1443*E1444</f>
        <v>0</v>
      </c>
    </row>
    <row r="1445" spans="1:10" s="644" customFormat="1">
      <c r="A1445" s="668"/>
      <c r="B1445" s="664"/>
      <c r="C1445" s="664"/>
      <c r="D1445" s="673"/>
      <c r="E1445" s="685"/>
      <c r="F1445" s="684"/>
      <c r="G1445" s="663"/>
      <c r="H1445" s="684"/>
      <c r="I1445" s="675"/>
      <c r="J1445" s="676">
        <f>SUM(J1443:J1444)</f>
        <v>975</v>
      </c>
    </row>
    <row r="1446" spans="1:10" s="644" customFormat="1">
      <c r="A1446" s="668"/>
      <c r="B1446" s="664"/>
      <c r="C1446" s="664"/>
      <c r="D1446" s="691" t="s">
        <v>2380</v>
      </c>
      <c r="E1446" s="685"/>
      <c r="F1446" s="684"/>
      <c r="G1446" s="663"/>
      <c r="H1446" s="684"/>
      <c r="I1446" s="675"/>
      <c r="J1446" s="693">
        <f>ROUND(J1445,0)</f>
        <v>975</v>
      </c>
    </row>
    <row r="1447" spans="1:10" s="644" customFormat="1">
      <c r="A1447" s="668"/>
      <c r="B1447" s="664"/>
      <c r="C1447" s="664"/>
      <c r="D1447" s="669"/>
      <c r="E1447" s="685"/>
      <c r="F1447" s="684"/>
      <c r="G1447" s="663"/>
      <c r="H1447" s="684"/>
      <c r="I1447" s="686"/>
      <c r="J1447" s="676"/>
    </row>
    <row r="1448" spans="1:10" s="644" customFormat="1">
      <c r="A1448" s="653" t="s">
        <v>1192</v>
      </c>
      <c r="B1448" s="665"/>
      <c r="C1448" s="665"/>
      <c r="D1448" s="2155" t="s">
        <v>3194</v>
      </c>
      <c r="E1448" s="2155"/>
      <c r="F1448" s="2155"/>
      <c r="G1448" s="2155"/>
      <c r="H1448" s="2155"/>
      <c r="I1448" s="2155"/>
      <c r="J1448" s="2155"/>
    </row>
    <row r="1449" spans="1:10" s="644" customFormat="1">
      <c r="A1449" s="668"/>
      <c r="B1449" s="654"/>
      <c r="C1449" s="654"/>
      <c r="D1449" s="802" t="s">
        <v>3127</v>
      </c>
      <c r="E1449" s="679"/>
      <c r="F1449" s="645"/>
      <c r="G1449" s="661"/>
      <c r="H1449" s="645"/>
      <c r="I1449" s="657"/>
      <c r="J1449" s="694"/>
    </row>
    <row r="1450" spans="1:10" s="644" customFormat="1">
      <c r="A1450" s="668"/>
      <c r="B1450" s="654">
        <v>1</v>
      </c>
      <c r="C1450" s="654"/>
      <c r="D1450" s="645" t="s">
        <v>2740</v>
      </c>
      <c r="E1450" s="699">
        <v>9.5000000000000001E-2</v>
      </c>
      <c r="F1450" s="680" t="s">
        <v>1738</v>
      </c>
      <c r="G1450" s="661">
        <v>1</v>
      </c>
      <c r="H1450" s="680" t="s">
        <v>1738</v>
      </c>
      <c r="I1450" s="657">
        <f>IF(B1450=$B$2,$G$2,IF(B1450=$B$3,$G$3,IF(B1450=$B$4,$G$4,IF(B1450=$B$5,$G$5,IF(B1450=$B$6,$G$6,IF(B1450=$B$7,$G$7,FALSE))))))</f>
        <v>660</v>
      </c>
      <c r="J1450" s="694">
        <f>SUM(E1450*I1450/G1450)</f>
        <v>62.7</v>
      </c>
    </row>
    <row r="1451" spans="1:10" s="644" customFormat="1">
      <c r="A1451" s="668"/>
      <c r="B1451" s="654">
        <v>2</v>
      </c>
      <c r="C1451" s="654"/>
      <c r="D1451" s="645" t="s">
        <v>2741</v>
      </c>
      <c r="E1451" s="699">
        <v>9.5000000000000001E-2</v>
      </c>
      <c r="F1451" s="680" t="s">
        <v>1738</v>
      </c>
      <c r="G1451" s="661">
        <v>1</v>
      </c>
      <c r="H1451" s="680" t="s">
        <v>1738</v>
      </c>
      <c r="I1451" s="657">
        <f>IF(B1451=$B$2,$G$2,IF(B1451=$B$3,$G$3,IF(B1451=$B$4,$G$4,IF(B1451=$B$5,$G$5,IF(B1451=$B$6,$G$6,IF(B1451=$B$7,$G$7,FALSE))))))</f>
        <v>550</v>
      </c>
      <c r="J1451" s="694">
        <f>SUM(E1451*I1451/G1451)</f>
        <v>52.25</v>
      </c>
    </row>
    <row r="1452" spans="1:10" s="644" customFormat="1">
      <c r="A1452" s="668"/>
      <c r="B1452" s="654">
        <v>3</v>
      </c>
      <c r="C1452" s="654"/>
      <c r="D1452" s="645" t="s">
        <v>2742</v>
      </c>
      <c r="E1452" s="699">
        <v>9.5000000000000001E-2</v>
      </c>
      <c r="F1452" s="680" t="s">
        <v>1738</v>
      </c>
      <c r="G1452" s="661">
        <v>1</v>
      </c>
      <c r="H1452" s="680" t="s">
        <v>1738</v>
      </c>
      <c r="I1452" s="657">
        <f>IF(B1452=$B$2,$G$2,IF(B1452=$B$3,$G$3,IF(B1452=$B$4,$G$4,IF(B1452=$B$5,$G$5,IF(B1452=$B$6,$G$6,IF(B1452=$B$7,$G$7,FALSE))))))</f>
        <v>550</v>
      </c>
      <c r="J1452" s="694">
        <f>SUM(E1452*I1452/G1452)</f>
        <v>52.25</v>
      </c>
    </row>
    <row r="1453" spans="1:10" s="644" customFormat="1">
      <c r="A1453" s="668"/>
      <c r="B1453" s="654"/>
      <c r="C1453" s="654"/>
      <c r="D1453" s="681" t="s">
        <v>3178</v>
      </c>
      <c r="E1453" s="679"/>
      <c r="F1453" s="680"/>
      <c r="G1453" s="661"/>
      <c r="H1453" s="680"/>
      <c r="I1453" s="657"/>
      <c r="J1453" s="694">
        <f>SUM(J1450:J1452)</f>
        <v>167.2</v>
      </c>
    </row>
    <row r="1454" spans="1:10" s="644" customFormat="1">
      <c r="A1454" s="668"/>
      <c r="B1454" s="654"/>
      <c r="C1454" s="654"/>
      <c r="D1454" s="696" t="s">
        <v>2785</v>
      </c>
      <c r="E1454" s="679"/>
      <c r="F1454" s="680"/>
      <c r="G1454" s="661"/>
      <c r="H1454" s="680"/>
      <c r="I1454" s="657"/>
      <c r="J1454" s="694"/>
    </row>
    <row r="1455" spans="1:10" s="644" customFormat="1" ht="51">
      <c r="A1455" s="668"/>
      <c r="B1455" s="654" t="s">
        <v>3183</v>
      </c>
      <c r="C1455" s="661" t="s">
        <v>1197</v>
      </c>
      <c r="D1455" s="662" t="s">
        <v>3195</v>
      </c>
      <c r="E1455" s="679">
        <v>1</v>
      </c>
      <c r="F1455" s="645" t="s">
        <v>955</v>
      </c>
      <c r="G1455" s="661">
        <v>1</v>
      </c>
      <c r="H1455" s="645" t="s">
        <v>955</v>
      </c>
      <c r="I1455" s="695">
        <v>729</v>
      </c>
      <c r="J1455" s="694">
        <f>SUM(E1455*I1455/G1455)</f>
        <v>729</v>
      </c>
    </row>
    <row r="1456" spans="1:10" s="644" customFormat="1" ht="25.5">
      <c r="A1456" s="668"/>
      <c r="B1456" s="654" t="s">
        <v>3180</v>
      </c>
      <c r="C1456" s="661" t="s">
        <v>1186</v>
      </c>
      <c r="D1456" s="682" t="s">
        <v>3186</v>
      </c>
      <c r="E1456" s="679">
        <v>1</v>
      </c>
      <c r="F1456" s="645" t="s">
        <v>955</v>
      </c>
      <c r="G1456" s="661">
        <v>1</v>
      </c>
      <c r="H1456" s="645" t="s">
        <v>955</v>
      </c>
      <c r="I1456" s="657">
        <v>24</v>
      </c>
      <c r="J1456" s="694">
        <f>SUM(E1456*I1456/G1456)</f>
        <v>24</v>
      </c>
    </row>
    <row r="1457" spans="1:10" s="644" customFormat="1" ht="25.5">
      <c r="A1457" s="668"/>
      <c r="B1457" s="654" t="s">
        <v>3180</v>
      </c>
      <c r="C1457" s="661" t="s">
        <v>1192</v>
      </c>
      <c r="D1457" s="682" t="s">
        <v>3193</v>
      </c>
      <c r="E1457" s="679">
        <v>3</v>
      </c>
      <c r="F1457" s="645" t="s">
        <v>955</v>
      </c>
      <c r="G1457" s="661">
        <v>1</v>
      </c>
      <c r="H1457" s="645" t="s">
        <v>955</v>
      </c>
      <c r="I1457" s="657">
        <v>33</v>
      </c>
      <c r="J1457" s="694">
        <f>SUM(E1457*I1457/G1457)</f>
        <v>99</v>
      </c>
    </row>
    <row r="1458" spans="1:10" s="644" customFormat="1">
      <c r="A1458" s="668"/>
      <c r="B1458" s="654"/>
      <c r="C1458" s="654"/>
      <c r="D1458" s="682"/>
      <c r="E1458" s="679"/>
      <c r="F1458" s="645"/>
      <c r="G1458" s="661"/>
      <c r="H1458" s="645"/>
      <c r="I1458" s="657"/>
      <c r="J1458" s="694">
        <f>SUM(J1455:J1457)</f>
        <v>852</v>
      </c>
    </row>
    <row r="1459" spans="1:10" s="644" customFormat="1" ht="25.5">
      <c r="A1459" s="668"/>
      <c r="B1459" s="654"/>
      <c r="C1459" s="654"/>
      <c r="D1459" s="656" t="s">
        <v>2766</v>
      </c>
      <c r="E1459" s="679"/>
      <c r="F1459" s="682"/>
      <c r="G1459" s="661"/>
      <c r="H1459" s="645"/>
      <c r="I1459" s="675"/>
      <c r="J1459" s="655">
        <f>ROUNDDOWN(J1458+J1453,0)</f>
        <v>1019</v>
      </c>
    </row>
    <row r="1460" spans="1:10" s="644" customFormat="1">
      <c r="A1460" s="668"/>
      <c r="B1460" s="664"/>
      <c r="C1460" s="664"/>
      <c r="D1460" s="669" t="s">
        <v>2767</v>
      </c>
      <c r="E1460" s="670">
        <f>$E$9</f>
        <v>0</v>
      </c>
      <c r="F1460" s="684"/>
      <c r="G1460" s="663"/>
      <c r="H1460" s="684"/>
      <c r="I1460" s="675"/>
      <c r="J1460" s="676">
        <f>J1459*E1460</f>
        <v>0</v>
      </c>
    </row>
    <row r="1461" spans="1:10" s="644" customFormat="1">
      <c r="A1461" s="668"/>
      <c r="B1461" s="664"/>
      <c r="C1461" s="664"/>
      <c r="D1461" s="673"/>
      <c r="E1461" s="685"/>
      <c r="F1461" s="684"/>
      <c r="G1461" s="663"/>
      <c r="H1461" s="684"/>
      <c r="I1461" s="675"/>
      <c r="J1461" s="676">
        <f>SUM(J1459:J1460)</f>
        <v>1019</v>
      </c>
    </row>
    <row r="1462" spans="1:10" s="644" customFormat="1">
      <c r="A1462" s="668"/>
      <c r="B1462" s="664"/>
      <c r="C1462" s="664"/>
      <c r="D1462" s="691" t="s">
        <v>2380</v>
      </c>
      <c r="E1462" s="685"/>
      <c r="F1462" s="684"/>
      <c r="G1462" s="663"/>
      <c r="H1462" s="684"/>
      <c r="I1462" s="675"/>
      <c r="J1462" s="693">
        <f>ROUND(J1461,0)</f>
        <v>1019</v>
      </c>
    </row>
    <row r="1463" spans="1:10" s="644" customFormat="1">
      <c r="A1463" s="653" t="s">
        <v>1197</v>
      </c>
      <c r="B1463" s="665"/>
      <c r="C1463" s="665"/>
      <c r="D1463" s="2155" t="s">
        <v>3196</v>
      </c>
      <c r="E1463" s="2155"/>
      <c r="F1463" s="2155"/>
      <c r="G1463" s="2155"/>
      <c r="H1463" s="2155"/>
      <c r="I1463" s="2155"/>
      <c r="J1463" s="2155"/>
    </row>
    <row r="1464" spans="1:10" s="644" customFormat="1">
      <c r="A1464" s="668"/>
      <c r="B1464" s="654"/>
      <c r="C1464" s="654"/>
      <c r="D1464" s="802" t="s">
        <v>3127</v>
      </c>
      <c r="E1464" s="679"/>
      <c r="F1464" s="645"/>
      <c r="G1464" s="661"/>
      <c r="H1464" s="645"/>
      <c r="I1464" s="657"/>
      <c r="J1464" s="694"/>
    </row>
    <row r="1465" spans="1:10" s="644" customFormat="1">
      <c r="A1465" s="668"/>
      <c r="B1465" s="654">
        <v>1</v>
      </c>
      <c r="C1465" s="654"/>
      <c r="D1465" s="645" t="s">
        <v>2740</v>
      </c>
      <c r="E1465" s="699">
        <v>0.12</v>
      </c>
      <c r="F1465" s="680" t="s">
        <v>1738</v>
      </c>
      <c r="G1465" s="661">
        <v>1</v>
      </c>
      <c r="H1465" s="680" t="s">
        <v>1738</v>
      </c>
      <c r="I1465" s="657">
        <f>IF(B1465=$B$2,$G$2,IF(B1465=$B$3,$G$3,IF(B1465=$B$4,$G$4,IF(B1465=$B$5,$G$5,IF(B1465=$B$6,$G$6,IF(B1465=$B$7,$G$7,FALSE))))))</f>
        <v>660</v>
      </c>
      <c r="J1465" s="694">
        <f>SUM(E1465*I1465/G1465)</f>
        <v>79.2</v>
      </c>
    </row>
    <row r="1466" spans="1:10" s="644" customFormat="1">
      <c r="A1466" s="668"/>
      <c r="B1466" s="654">
        <v>2</v>
      </c>
      <c r="C1466" s="654"/>
      <c r="D1466" s="645" t="s">
        <v>2741</v>
      </c>
      <c r="E1466" s="699">
        <v>0.12</v>
      </c>
      <c r="F1466" s="680" t="s">
        <v>1738</v>
      </c>
      <c r="G1466" s="661">
        <v>1</v>
      </c>
      <c r="H1466" s="680" t="s">
        <v>1738</v>
      </c>
      <c r="I1466" s="657">
        <f>IF(B1466=$B$2,$G$2,IF(B1466=$B$3,$G$3,IF(B1466=$B$4,$G$4,IF(B1466=$B$5,$G$5,IF(B1466=$B$6,$G$6,IF(B1466=$B$7,$G$7,FALSE))))))</f>
        <v>550</v>
      </c>
      <c r="J1466" s="694">
        <f>SUM(E1466*I1466/G1466)</f>
        <v>66</v>
      </c>
    </row>
    <row r="1467" spans="1:10" s="644" customFormat="1">
      <c r="A1467" s="668"/>
      <c r="B1467" s="654">
        <v>3</v>
      </c>
      <c r="C1467" s="654"/>
      <c r="D1467" s="645" t="s">
        <v>2742</v>
      </c>
      <c r="E1467" s="699">
        <v>0.12</v>
      </c>
      <c r="F1467" s="680" t="s">
        <v>1738</v>
      </c>
      <c r="G1467" s="661">
        <v>1</v>
      </c>
      <c r="H1467" s="680" t="s">
        <v>1738</v>
      </c>
      <c r="I1467" s="657">
        <f>IF(B1467=$B$2,$G$2,IF(B1467=$B$3,$G$3,IF(B1467=$B$4,$G$4,IF(B1467=$B$5,$G$5,IF(B1467=$B$6,$G$6,IF(B1467=$B$7,$G$7,FALSE))))))</f>
        <v>550</v>
      </c>
      <c r="J1467" s="694">
        <f>SUM(E1467*I1467/G1467)</f>
        <v>66</v>
      </c>
    </row>
    <row r="1468" spans="1:10" s="644" customFormat="1">
      <c r="A1468" s="668"/>
      <c r="B1468" s="654"/>
      <c r="C1468" s="654"/>
      <c r="D1468" s="681" t="s">
        <v>3178</v>
      </c>
      <c r="E1468" s="679"/>
      <c r="F1468" s="680"/>
      <c r="G1468" s="661"/>
      <c r="H1468" s="680"/>
      <c r="I1468" s="657"/>
      <c r="J1468" s="694">
        <f>SUM(J1465:J1467)</f>
        <v>211.2</v>
      </c>
    </row>
    <row r="1469" spans="1:10" s="644" customFormat="1">
      <c r="A1469" s="668"/>
      <c r="B1469" s="654"/>
      <c r="C1469" s="654"/>
      <c r="D1469" s="696" t="s">
        <v>2785</v>
      </c>
      <c r="E1469" s="679"/>
      <c r="F1469" s="680"/>
      <c r="G1469" s="661"/>
      <c r="H1469" s="680"/>
      <c r="I1469" s="657"/>
      <c r="J1469" s="694"/>
    </row>
    <row r="1470" spans="1:10" s="644" customFormat="1" ht="51">
      <c r="A1470" s="668"/>
      <c r="B1470" s="654" t="s">
        <v>3183</v>
      </c>
      <c r="C1470" s="661" t="s">
        <v>1199</v>
      </c>
      <c r="D1470" s="682" t="s">
        <v>3197</v>
      </c>
      <c r="E1470" s="679">
        <v>1</v>
      </c>
      <c r="F1470" s="645" t="s">
        <v>955</v>
      </c>
      <c r="G1470" s="661">
        <v>1</v>
      </c>
      <c r="H1470" s="645" t="s">
        <v>955</v>
      </c>
      <c r="I1470" s="695">
        <v>1011</v>
      </c>
      <c r="J1470" s="694">
        <f>SUM(E1470*I1470/G1470)</f>
        <v>1011</v>
      </c>
    </row>
    <row r="1471" spans="1:10" s="644" customFormat="1" ht="25.5">
      <c r="A1471" s="668"/>
      <c r="B1471" s="654" t="s">
        <v>3198</v>
      </c>
      <c r="C1471" s="661" t="s">
        <v>1192</v>
      </c>
      <c r="D1471" s="682" t="s">
        <v>3199</v>
      </c>
      <c r="E1471" s="679">
        <v>1</v>
      </c>
      <c r="F1471" s="645" t="s">
        <v>955</v>
      </c>
      <c r="G1471" s="661">
        <v>1</v>
      </c>
      <c r="H1471" s="645" t="s">
        <v>955</v>
      </c>
      <c r="I1471" s="657">
        <v>33</v>
      </c>
      <c r="J1471" s="694">
        <f>SUM(E1471*I1471/G1471)</f>
        <v>33</v>
      </c>
    </row>
    <row r="1472" spans="1:10" s="644" customFormat="1" ht="25.5">
      <c r="A1472" s="668"/>
      <c r="B1472" s="654" t="s">
        <v>3198</v>
      </c>
      <c r="C1472" s="661" t="s">
        <v>1199</v>
      </c>
      <c r="D1472" s="682" t="s">
        <v>3200</v>
      </c>
      <c r="E1472" s="679">
        <v>3</v>
      </c>
      <c r="F1472" s="645" t="s">
        <v>955</v>
      </c>
      <c r="G1472" s="661">
        <v>1</v>
      </c>
      <c r="H1472" s="645" t="s">
        <v>955</v>
      </c>
      <c r="I1472" s="657">
        <v>49</v>
      </c>
      <c r="J1472" s="694">
        <f>SUM(E1472*I1472/G1472)</f>
        <v>147</v>
      </c>
    </row>
    <row r="1473" spans="1:10" s="644" customFormat="1">
      <c r="A1473" s="668"/>
      <c r="B1473" s="654"/>
      <c r="C1473" s="654"/>
      <c r="D1473" s="682"/>
      <c r="E1473" s="679"/>
      <c r="F1473" s="645"/>
      <c r="G1473" s="661"/>
      <c r="H1473" s="645"/>
      <c r="I1473" s="657"/>
      <c r="J1473" s="676">
        <f>SUM(J1470:J1472)</f>
        <v>1191</v>
      </c>
    </row>
    <row r="1474" spans="1:10" s="644" customFormat="1" ht="25.5">
      <c r="A1474" s="668"/>
      <c r="B1474" s="654"/>
      <c r="C1474" s="654"/>
      <c r="D1474" s="656" t="s">
        <v>2766</v>
      </c>
      <c r="E1474" s="679"/>
      <c r="F1474" s="682"/>
      <c r="G1474" s="661"/>
      <c r="H1474" s="645"/>
      <c r="I1474" s="675"/>
      <c r="J1474" s="655">
        <f>ROUNDDOWN(J1473+J1468,0)</f>
        <v>1402</v>
      </c>
    </row>
    <row r="1475" spans="1:10" s="644" customFormat="1">
      <c r="A1475" s="668"/>
      <c r="B1475" s="664"/>
      <c r="C1475" s="664"/>
      <c r="D1475" s="669" t="s">
        <v>2767</v>
      </c>
      <c r="E1475" s="670">
        <f>$E$9</f>
        <v>0</v>
      </c>
      <c r="F1475" s="684"/>
      <c r="G1475" s="663"/>
      <c r="H1475" s="684"/>
      <c r="I1475" s="675"/>
      <c r="J1475" s="676">
        <f>J1474*E1475</f>
        <v>0</v>
      </c>
    </row>
    <row r="1476" spans="1:10" s="644" customFormat="1">
      <c r="A1476" s="668"/>
      <c r="B1476" s="664"/>
      <c r="C1476" s="664"/>
      <c r="D1476" s="673"/>
      <c r="E1476" s="685"/>
      <c r="F1476" s="684"/>
      <c r="G1476" s="663"/>
      <c r="H1476" s="684"/>
      <c r="I1476" s="675"/>
      <c r="J1476" s="676">
        <f>SUM(J1474:J1475)</f>
        <v>1402</v>
      </c>
    </row>
    <row r="1477" spans="1:10" s="644" customFormat="1">
      <c r="A1477" s="668"/>
      <c r="B1477" s="664"/>
      <c r="C1477" s="664"/>
      <c r="D1477" s="691" t="s">
        <v>2380</v>
      </c>
      <c r="E1477" s="685"/>
      <c r="F1477" s="684"/>
      <c r="G1477" s="663"/>
      <c r="H1477" s="684"/>
      <c r="I1477" s="675"/>
      <c r="J1477" s="693">
        <f>ROUND(J1476,0)</f>
        <v>1402</v>
      </c>
    </row>
    <row r="1478" spans="1:10" s="644" customFormat="1">
      <c r="A1478" s="668"/>
      <c r="B1478" s="664"/>
      <c r="C1478" s="664"/>
      <c r="D1478" s="669"/>
      <c r="E1478" s="685"/>
      <c r="F1478" s="684"/>
      <c r="G1478" s="663"/>
      <c r="H1478" s="684"/>
      <c r="I1478" s="686"/>
      <c r="J1478" s="676"/>
    </row>
    <row r="1479" spans="1:10" s="644" customFormat="1">
      <c r="A1479" s="653" t="s">
        <v>1199</v>
      </c>
      <c r="B1479" s="665"/>
      <c r="C1479" s="665"/>
      <c r="D1479" s="2155" t="s">
        <v>3201</v>
      </c>
      <c r="E1479" s="2155"/>
      <c r="F1479" s="2155"/>
      <c r="G1479" s="2155"/>
      <c r="H1479" s="2155"/>
      <c r="I1479" s="2155"/>
      <c r="J1479" s="2155"/>
    </row>
    <row r="1480" spans="1:10" s="644" customFormat="1">
      <c r="A1480" s="668"/>
      <c r="B1480" s="654"/>
      <c r="C1480" s="654"/>
      <c r="D1480" s="802" t="s">
        <v>3127</v>
      </c>
      <c r="E1480" s="679"/>
      <c r="F1480" s="645"/>
      <c r="G1480" s="661"/>
      <c r="H1480" s="645"/>
      <c r="I1480" s="657"/>
      <c r="J1480" s="694"/>
    </row>
    <row r="1481" spans="1:10" s="644" customFormat="1">
      <c r="A1481" s="668"/>
      <c r="B1481" s="654">
        <v>1</v>
      </c>
      <c r="C1481" s="654"/>
      <c r="D1481" s="645" t="s">
        <v>2740</v>
      </c>
      <c r="E1481" s="699">
        <v>0.185</v>
      </c>
      <c r="F1481" s="680" t="s">
        <v>1738</v>
      </c>
      <c r="G1481" s="661">
        <v>1</v>
      </c>
      <c r="H1481" s="680" t="s">
        <v>1738</v>
      </c>
      <c r="I1481" s="657">
        <f>IF(B1481=$B$2,$G$2,IF(B1481=$B$3,$G$3,IF(B1481=$B$4,$G$4,IF(B1481=$B$5,$G$5,IF(B1481=$B$6,$G$6,IF(B1481=$B$7,$G$7,FALSE))))))</f>
        <v>660</v>
      </c>
      <c r="J1481" s="694">
        <f>SUM(E1481*I1481/G1481)</f>
        <v>122.1</v>
      </c>
    </row>
    <row r="1482" spans="1:10" s="644" customFormat="1">
      <c r="A1482" s="668"/>
      <c r="B1482" s="654">
        <v>2</v>
      </c>
      <c r="C1482" s="654"/>
      <c r="D1482" s="645" t="s">
        <v>2741</v>
      </c>
      <c r="E1482" s="699">
        <v>0.185</v>
      </c>
      <c r="F1482" s="680" t="s">
        <v>1738</v>
      </c>
      <c r="G1482" s="661">
        <v>1</v>
      </c>
      <c r="H1482" s="680" t="s">
        <v>1738</v>
      </c>
      <c r="I1482" s="657">
        <f>IF(B1482=$B$2,$G$2,IF(B1482=$B$3,$G$3,IF(B1482=$B$4,$G$4,IF(B1482=$B$5,$G$5,IF(B1482=$B$6,$G$6,IF(B1482=$B$7,$G$7,FALSE))))))</f>
        <v>550</v>
      </c>
      <c r="J1482" s="694">
        <f>SUM(E1482*I1482/G1482)</f>
        <v>101.75</v>
      </c>
    </row>
    <row r="1483" spans="1:10" s="644" customFormat="1">
      <c r="A1483" s="668"/>
      <c r="B1483" s="654">
        <v>3</v>
      </c>
      <c r="C1483" s="654"/>
      <c r="D1483" s="645" t="s">
        <v>2742</v>
      </c>
      <c r="E1483" s="699">
        <v>0.185</v>
      </c>
      <c r="F1483" s="680" t="s">
        <v>1738</v>
      </c>
      <c r="G1483" s="661">
        <v>1</v>
      </c>
      <c r="H1483" s="680" t="s">
        <v>1738</v>
      </c>
      <c r="I1483" s="657">
        <f>IF(B1483=$B$2,$G$2,IF(B1483=$B$3,$G$3,IF(B1483=$B$4,$G$4,IF(B1483=$B$5,$G$5,IF(B1483=$B$6,$G$6,IF(B1483=$B$7,$G$7,FALSE))))))</f>
        <v>550</v>
      </c>
      <c r="J1483" s="694">
        <f>SUM(E1483*I1483/G1483)</f>
        <v>101.75</v>
      </c>
    </row>
    <row r="1484" spans="1:10" s="644" customFormat="1">
      <c r="A1484" s="668"/>
      <c r="B1484" s="654"/>
      <c r="C1484" s="654"/>
      <c r="D1484" s="681" t="s">
        <v>3178</v>
      </c>
      <c r="E1484" s="679"/>
      <c r="F1484" s="680"/>
      <c r="G1484" s="661"/>
      <c r="H1484" s="680"/>
      <c r="I1484" s="657"/>
      <c r="J1484" s="694">
        <f>SUM(J1481:J1483)</f>
        <v>325.60000000000002</v>
      </c>
    </row>
    <row r="1485" spans="1:10" s="644" customFormat="1">
      <c r="A1485" s="668"/>
      <c r="B1485" s="654"/>
      <c r="C1485" s="654"/>
      <c r="D1485" s="696" t="s">
        <v>2785</v>
      </c>
      <c r="E1485" s="679"/>
      <c r="F1485" s="680"/>
      <c r="G1485" s="661"/>
      <c r="H1485" s="680"/>
      <c r="I1485" s="657"/>
      <c r="J1485" s="694"/>
    </row>
    <row r="1486" spans="1:10" s="644" customFormat="1" ht="51">
      <c r="A1486" s="668"/>
      <c r="B1486" s="654" t="s">
        <v>3183</v>
      </c>
      <c r="C1486" s="661" t="s">
        <v>2237</v>
      </c>
      <c r="D1486" s="682" t="s">
        <v>3202</v>
      </c>
      <c r="E1486" s="679">
        <v>1</v>
      </c>
      <c r="F1486" s="645" t="s">
        <v>955</v>
      </c>
      <c r="G1486" s="661">
        <v>1</v>
      </c>
      <c r="H1486" s="645" t="s">
        <v>955</v>
      </c>
      <c r="I1486" s="695">
        <v>1240</v>
      </c>
      <c r="J1486" s="694">
        <f>SUM(E1486*I1486/G1486)</f>
        <v>1240</v>
      </c>
    </row>
    <row r="1487" spans="1:10" s="644" customFormat="1" ht="38.25">
      <c r="A1487" s="668"/>
      <c r="B1487" s="654" t="s">
        <v>3198</v>
      </c>
      <c r="C1487" s="661" t="s">
        <v>1197</v>
      </c>
      <c r="D1487" s="682" t="s">
        <v>3203</v>
      </c>
      <c r="E1487" s="679">
        <v>1</v>
      </c>
      <c r="F1487" s="645" t="s">
        <v>955</v>
      </c>
      <c r="G1487" s="661">
        <v>1</v>
      </c>
      <c r="H1487" s="645" t="s">
        <v>955</v>
      </c>
      <c r="I1487" s="695">
        <v>35</v>
      </c>
      <c r="J1487" s="694">
        <f>SUM(E1487*I1487/G1487)</f>
        <v>35</v>
      </c>
    </row>
    <row r="1488" spans="1:10" s="644" customFormat="1" ht="38.25">
      <c r="A1488" s="668"/>
      <c r="B1488" s="654" t="s">
        <v>3198</v>
      </c>
      <c r="C1488" s="661" t="s">
        <v>3139</v>
      </c>
      <c r="D1488" s="682" t="s">
        <v>3204</v>
      </c>
      <c r="E1488" s="679">
        <v>3</v>
      </c>
      <c r="F1488" s="645" t="s">
        <v>955</v>
      </c>
      <c r="G1488" s="661">
        <v>1</v>
      </c>
      <c r="H1488" s="645" t="s">
        <v>955</v>
      </c>
      <c r="I1488" s="657">
        <v>81</v>
      </c>
      <c r="J1488" s="694">
        <f>SUM(E1488*I1488/G1488)</f>
        <v>243</v>
      </c>
    </row>
    <row r="1489" spans="1:10" s="644" customFormat="1">
      <c r="A1489" s="668"/>
      <c r="B1489" s="654"/>
      <c r="C1489" s="654"/>
      <c r="D1489" s="682"/>
      <c r="E1489" s="679"/>
      <c r="F1489" s="645"/>
      <c r="G1489" s="661"/>
      <c r="H1489" s="645"/>
      <c r="I1489" s="657"/>
      <c r="J1489" s="694">
        <f>SUM(J1486:J1488)</f>
        <v>1518</v>
      </c>
    </row>
    <row r="1490" spans="1:10" s="644" customFormat="1" ht="25.5">
      <c r="A1490" s="668"/>
      <c r="B1490" s="654"/>
      <c r="C1490" s="654"/>
      <c r="D1490" s="656" t="s">
        <v>2766</v>
      </c>
      <c r="E1490" s="679"/>
      <c r="F1490" s="682"/>
      <c r="G1490" s="661"/>
      <c r="H1490" s="645"/>
      <c r="I1490" s="675"/>
      <c r="J1490" s="655">
        <f>ROUNDDOWN(J1489+J1484,0)</f>
        <v>1843</v>
      </c>
    </row>
    <row r="1491" spans="1:10" s="644" customFormat="1">
      <c r="A1491" s="668"/>
      <c r="B1491" s="664"/>
      <c r="C1491" s="664"/>
      <c r="D1491" s="669" t="s">
        <v>2767</v>
      </c>
      <c r="E1491" s="670">
        <f>$E$9</f>
        <v>0</v>
      </c>
      <c r="F1491" s="684"/>
      <c r="G1491" s="663"/>
      <c r="H1491" s="684"/>
      <c r="I1491" s="675"/>
      <c r="J1491" s="676">
        <f>J1490*E1491</f>
        <v>0</v>
      </c>
    </row>
    <row r="1492" spans="1:10" s="644" customFormat="1">
      <c r="A1492" s="668"/>
      <c r="B1492" s="664"/>
      <c r="C1492" s="664"/>
      <c r="D1492" s="673"/>
      <c r="E1492" s="685"/>
      <c r="F1492" s="684"/>
      <c r="G1492" s="663"/>
      <c r="H1492" s="684"/>
      <c r="I1492" s="675"/>
      <c r="J1492" s="676">
        <f>SUM(J1490:J1491)</f>
        <v>1843</v>
      </c>
    </row>
    <row r="1493" spans="1:10" s="644" customFormat="1">
      <c r="A1493" s="668"/>
      <c r="B1493" s="664"/>
      <c r="C1493" s="664"/>
      <c r="D1493" s="691" t="s">
        <v>2380</v>
      </c>
      <c r="E1493" s="685"/>
      <c r="F1493" s="684"/>
      <c r="G1493" s="663"/>
      <c r="H1493" s="684"/>
      <c r="I1493" s="675"/>
      <c r="J1493" s="693">
        <f>ROUND(J1492,0)</f>
        <v>1843</v>
      </c>
    </row>
    <row r="1494" spans="1:10" s="644" customFormat="1">
      <c r="A1494" s="668"/>
      <c r="B1494" s="664"/>
      <c r="C1494" s="664"/>
      <c r="D1494" s="691"/>
      <c r="E1494" s="685"/>
      <c r="F1494" s="684"/>
      <c r="G1494" s="663"/>
      <c r="H1494" s="684"/>
      <c r="I1494" s="675"/>
      <c r="J1494" s="693"/>
    </row>
    <row r="1495" spans="1:10" s="644" customFormat="1">
      <c r="A1495" s="653" t="s">
        <v>2237</v>
      </c>
      <c r="B1495" s="665"/>
      <c r="C1495" s="665"/>
      <c r="D1495" s="2155" t="s">
        <v>3205</v>
      </c>
      <c r="E1495" s="2155"/>
      <c r="F1495" s="2155"/>
      <c r="G1495" s="2155"/>
      <c r="H1495" s="2155"/>
      <c r="I1495" s="2155"/>
      <c r="J1495" s="2155"/>
    </row>
    <row r="1496" spans="1:10" s="644" customFormat="1">
      <c r="A1496" s="668"/>
      <c r="B1496" s="654"/>
      <c r="C1496" s="654"/>
      <c r="D1496" s="802" t="s">
        <v>3127</v>
      </c>
      <c r="E1496" s="679"/>
      <c r="F1496" s="645"/>
      <c r="G1496" s="661"/>
      <c r="H1496" s="645"/>
      <c r="I1496" s="657"/>
      <c r="J1496" s="694"/>
    </row>
    <row r="1497" spans="1:10" s="644" customFormat="1">
      <c r="A1497" s="668"/>
      <c r="B1497" s="654">
        <v>1</v>
      </c>
      <c r="C1497" s="654"/>
      <c r="D1497" s="645" t="s">
        <v>2740</v>
      </c>
      <c r="E1497" s="699">
        <v>0.2</v>
      </c>
      <c r="F1497" s="680" t="s">
        <v>1738</v>
      </c>
      <c r="G1497" s="661">
        <v>1</v>
      </c>
      <c r="H1497" s="680" t="s">
        <v>1738</v>
      </c>
      <c r="I1497" s="657">
        <f>IF(B1497=$B$2,$G$2,IF(B1497=$B$3,$G$3,IF(B1497=$B$4,$G$4,IF(B1497=$B$5,$G$5,IF(B1497=$B$6,$G$6,IF(B1497=$B$7,$G$7,FALSE))))))</f>
        <v>660</v>
      </c>
      <c r="J1497" s="694">
        <f>SUM(E1497*I1497/G1497)</f>
        <v>132</v>
      </c>
    </row>
    <row r="1498" spans="1:10" s="644" customFormat="1">
      <c r="A1498" s="668"/>
      <c r="B1498" s="654">
        <v>2</v>
      </c>
      <c r="C1498" s="654"/>
      <c r="D1498" s="645" t="s">
        <v>2741</v>
      </c>
      <c r="E1498" s="699">
        <v>0.2</v>
      </c>
      <c r="F1498" s="680" t="s">
        <v>1738</v>
      </c>
      <c r="G1498" s="661">
        <v>1</v>
      </c>
      <c r="H1498" s="680" t="s">
        <v>1738</v>
      </c>
      <c r="I1498" s="657">
        <f>IF(B1498=$B$2,$G$2,IF(B1498=$B$3,$G$3,IF(B1498=$B$4,$G$4,IF(B1498=$B$5,$G$5,IF(B1498=$B$6,$G$6,IF(B1498=$B$7,$G$7,FALSE))))))</f>
        <v>550</v>
      </c>
      <c r="J1498" s="694">
        <f>SUM(E1498*I1498/G1498)</f>
        <v>110</v>
      </c>
    </row>
    <row r="1499" spans="1:10" s="644" customFormat="1">
      <c r="A1499" s="668"/>
      <c r="B1499" s="654">
        <v>3</v>
      </c>
      <c r="C1499" s="654"/>
      <c r="D1499" s="645" t="s">
        <v>2742</v>
      </c>
      <c r="E1499" s="699">
        <v>0.2</v>
      </c>
      <c r="F1499" s="680" t="s">
        <v>1738</v>
      </c>
      <c r="G1499" s="661">
        <v>1</v>
      </c>
      <c r="H1499" s="680" t="s">
        <v>1738</v>
      </c>
      <c r="I1499" s="657">
        <f>IF(B1499=$B$2,$G$2,IF(B1499=$B$3,$G$3,IF(B1499=$B$4,$G$4,IF(B1499=$B$5,$G$5,IF(B1499=$B$6,$G$6,IF(B1499=$B$7,$G$7,FALSE))))))</f>
        <v>550</v>
      </c>
      <c r="J1499" s="694">
        <f>SUM(E1499*I1499/G1499)</f>
        <v>110</v>
      </c>
    </row>
    <row r="1500" spans="1:10" s="644" customFormat="1">
      <c r="A1500" s="668"/>
      <c r="B1500" s="654"/>
      <c r="C1500" s="654"/>
      <c r="D1500" s="681" t="s">
        <v>3178</v>
      </c>
      <c r="E1500" s="679"/>
      <c r="F1500" s="680"/>
      <c r="G1500" s="661"/>
      <c r="H1500" s="680"/>
      <c r="I1500" s="657"/>
      <c r="J1500" s="694">
        <f>SUM(J1497:J1499)</f>
        <v>352</v>
      </c>
    </row>
    <row r="1501" spans="1:10" s="644" customFormat="1">
      <c r="A1501" s="668"/>
      <c r="B1501" s="654"/>
      <c r="C1501" s="654"/>
      <c r="D1501" s="696" t="s">
        <v>2785</v>
      </c>
      <c r="E1501" s="679"/>
      <c r="F1501" s="680"/>
      <c r="G1501" s="661"/>
      <c r="H1501" s="680"/>
      <c r="I1501" s="657"/>
      <c r="J1501" s="694"/>
    </row>
    <row r="1502" spans="1:10" s="644" customFormat="1" ht="51">
      <c r="A1502" s="668"/>
      <c r="B1502" s="654" t="s">
        <v>3183</v>
      </c>
      <c r="C1502" s="661" t="s">
        <v>3139</v>
      </c>
      <c r="D1502" s="682" t="s">
        <v>3206</v>
      </c>
      <c r="E1502" s="679">
        <v>1</v>
      </c>
      <c r="F1502" s="645" t="s">
        <v>955</v>
      </c>
      <c r="G1502" s="661">
        <v>1</v>
      </c>
      <c r="H1502" s="645" t="s">
        <v>955</v>
      </c>
      <c r="I1502" s="695">
        <v>1639</v>
      </c>
      <c r="J1502" s="694">
        <f>SUM(E1502*I1502/G1502)</f>
        <v>1639</v>
      </c>
    </row>
    <row r="1503" spans="1:10" s="644" customFormat="1" ht="38.25">
      <c r="A1503" s="668"/>
      <c r="B1503" s="654" t="s">
        <v>3198</v>
      </c>
      <c r="C1503" s="661" t="s">
        <v>1199</v>
      </c>
      <c r="D1503" s="682" t="s">
        <v>3207</v>
      </c>
      <c r="E1503" s="679">
        <v>1</v>
      </c>
      <c r="F1503" s="645" t="s">
        <v>955</v>
      </c>
      <c r="G1503" s="661">
        <v>1</v>
      </c>
      <c r="H1503" s="645" t="s">
        <v>955</v>
      </c>
      <c r="I1503" s="695">
        <v>49</v>
      </c>
      <c r="J1503" s="694">
        <f>SUM(E1503*I1503/G1503)</f>
        <v>49</v>
      </c>
    </row>
    <row r="1504" spans="1:10" s="644" customFormat="1" ht="38.25">
      <c r="A1504" s="668"/>
      <c r="B1504" s="654" t="s">
        <v>3198</v>
      </c>
      <c r="C1504" s="661" t="s">
        <v>2956</v>
      </c>
      <c r="D1504" s="682" t="s">
        <v>3208</v>
      </c>
      <c r="E1504" s="679">
        <v>3</v>
      </c>
      <c r="F1504" s="645" t="s">
        <v>955</v>
      </c>
      <c r="G1504" s="661">
        <v>1</v>
      </c>
      <c r="H1504" s="645" t="s">
        <v>955</v>
      </c>
      <c r="I1504" s="695">
        <v>116</v>
      </c>
      <c r="J1504" s="694">
        <f>SUM(E1504*I1504/G1504)</f>
        <v>348</v>
      </c>
    </row>
    <row r="1505" spans="1:10" s="644" customFormat="1">
      <c r="A1505" s="668"/>
      <c r="B1505" s="654"/>
      <c r="C1505" s="654"/>
      <c r="D1505" s="682"/>
      <c r="E1505" s="679"/>
      <c r="F1505" s="645"/>
      <c r="G1505" s="661"/>
      <c r="H1505" s="645"/>
      <c r="I1505" s="657"/>
      <c r="J1505" s="694">
        <f>SUM(J1502:J1504)</f>
        <v>2036</v>
      </c>
    </row>
    <row r="1506" spans="1:10" s="644" customFormat="1" ht="25.5">
      <c r="A1506" s="668"/>
      <c r="B1506" s="654"/>
      <c r="C1506" s="654"/>
      <c r="D1506" s="656" t="s">
        <v>2766</v>
      </c>
      <c r="E1506" s="679"/>
      <c r="F1506" s="682"/>
      <c r="G1506" s="661"/>
      <c r="H1506" s="645"/>
      <c r="I1506" s="675"/>
      <c r="J1506" s="655">
        <f>ROUNDDOWN(J1505+J1500,0)</f>
        <v>2388</v>
      </c>
    </row>
    <row r="1507" spans="1:10" s="644" customFormat="1">
      <c r="A1507" s="668"/>
      <c r="B1507" s="664"/>
      <c r="C1507" s="664"/>
      <c r="D1507" s="669" t="s">
        <v>2767</v>
      </c>
      <c r="E1507" s="670">
        <f>$E$9</f>
        <v>0</v>
      </c>
      <c r="F1507" s="684"/>
      <c r="G1507" s="663"/>
      <c r="H1507" s="684"/>
      <c r="I1507" s="675"/>
      <c r="J1507" s="676">
        <f>J1506*E1507</f>
        <v>0</v>
      </c>
    </row>
    <row r="1508" spans="1:10" s="644" customFormat="1">
      <c r="A1508" s="668"/>
      <c r="B1508" s="664"/>
      <c r="C1508" s="664"/>
      <c r="D1508" s="673"/>
      <c r="E1508" s="685"/>
      <c r="F1508" s="684"/>
      <c r="G1508" s="663"/>
      <c r="H1508" s="684"/>
      <c r="I1508" s="675"/>
      <c r="J1508" s="676">
        <f>SUM(J1506:J1507)</f>
        <v>2388</v>
      </c>
    </row>
    <row r="1509" spans="1:10" s="644" customFormat="1">
      <c r="A1509" s="668"/>
      <c r="B1509" s="664"/>
      <c r="C1509" s="664"/>
      <c r="D1509" s="691" t="s">
        <v>2380</v>
      </c>
      <c r="E1509" s="685"/>
      <c r="F1509" s="684"/>
      <c r="G1509" s="663"/>
      <c r="H1509" s="684"/>
      <c r="I1509" s="675"/>
      <c r="J1509" s="693">
        <f>ROUND(J1508,0)</f>
        <v>2388</v>
      </c>
    </row>
    <row r="1510" spans="1:10" s="644" customFormat="1">
      <c r="A1510" s="668"/>
      <c r="B1510" s="664"/>
      <c r="C1510" s="664"/>
      <c r="D1510" s="691"/>
      <c r="E1510" s="685"/>
      <c r="F1510" s="684"/>
      <c r="G1510" s="663"/>
      <c r="H1510" s="684"/>
      <c r="I1510" s="675"/>
      <c r="J1510" s="693"/>
    </row>
    <row r="1511" spans="1:10" s="644" customFormat="1">
      <c r="A1511" s="653" t="s">
        <v>3139</v>
      </c>
      <c r="B1511" s="665"/>
      <c r="C1511" s="665"/>
      <c r="D1511" s="2155" t="s">
        <v>3209</v>
      </c>
      <c r="E1511" s="2155"/>
      <c r="F1511" s="2155"/>
      <c r="G1511" s="2155"/>
      <c r="H1511" s="2155"/>
      <c r="I1511" s="2155"/>
      <c r="J1511" s="2155"/>
    </row>
    <row r="1512" spans="1:10" s="644" customFormat="1">
      <c r="A1512" s="668"/>
      <c r="B1512" s="654"/>
      <c r="C1512" s="654"/>
      <c r="D1512" s="802" t="s">
        <v>3127</v>
      </c>
      <c r="E1512" s="679"/>
      <c r="F1512" s="645"/>
      <c r="G1512" s="661"/>
      <c r="H1512" s="645"/>
      <c r="I1512" s="657"/>
      <c r="J1512" s="694"/>
    </row>
    <row r="1513" spans="1:10" s="644" customFormat="1">
      <c r="A1513" s="668"/>
      <c r="B1513" s="654">
        <v>1</v>
      </c>
      <c r="C1513" s="654"/>
      <c r="D1513" s="645" t="s">
        <v>2740</v>
      </c>
      <c r="E1513" s="699">
        <v>0.2</v>
      </c>
      <c r="F1513" s="680" t="s">
        <v>1738</v>
      </c>
      <c r="G1513" s="661">
        <v>1</v>
      </c>
      <c r="H1513" s="680" t="s">
        <v>1738</v>
      </c>
      <c r="I1513" s="657">
        <f>IF(B1513=$B$2,$G$2,IF(B1513=$B$3,$G$3,IF(B1513=$B$4,$G$4,IF(B1513=$B$5,$G$5,IF(B1513=$B$6,$G$6,IF(B1513=$B$7,$G$7,FALSE))))))</f>
        <v>660</v>
      </c>
      <c r="J1513" s="694">
        <f>SUM(E1513*I1513/G1513)</f>
        <v>132</v>
      </c>
    </row>
    <row r="1514" spans="1:10" s="644" customFormat="1">
      <c r="A1514" s="668"/>
      <c r="B1514" s="654">
        <v>2</v>
      </c>
      <c r="C1514" s="654"/>
      <c r="D1514" s="645" t="s">
        <v>2741</v>
      </c>
      <c r="E1514" s="699">
        <v>0.2</v>
      </c>
      <c r="F1514" s="680" t="s">
        <v>1738</v>
      </c>
      <c r="G1514" s="661">
        <v>1</v>
      </c>
      <c r="H1514" s="680" t="s">
        <v>1738</v>
      </c>
      <c r="I1514" s="657">
        <f>IF(B1514=$B$2,$G$2,IF(B1514=$B$3,$G$3,IF(B1514=$B$4,$G$4,IF(B1514=$B$5,$G$5,IF(B1514=$B$6,$G$6,IF(B1514=$B$7,$G$7,FALSE))))))</f>
        <v>550</v>
      </c>
      <c r="J1514" s="694">
        <f>SUM(E1514*I1514/G1514)</f>
        <v>110</v>
      </c>
    </row>
    <row r="1515" spans="1:10" s="644" customFormat="1">
      <c r="A1515" s="668"/>
      <c r="B1515" s="654">
        <v>3</v>
      </c>
      <c r="C1515" s="654"/>
      <c r="D1515" s="645" t="s">
        <v>2742</v>
      </c>
      <c r="E1515" s="699">
        <v>0.2</v>
      </c>
      <c r="F1515" s="680" t="s">
        <v>1738</v>
      </c>
      <c r="G1515" s="661">
        <v>1</v>
      </c>
      <c r="H1515" s="680" t="s">
        <v>1738</v>
      </c>
      <c r="I1515" s="657">
        <f>IF(B1515=$B$2,$G$2,IF(B1515=$B$3,$G$3,IF(B1515=$B$4,$G$4,IF(B1515=$B$5,$G$5,IF(B1515=$B$6,$G$6,IF(B1515=$B$7,$G$7,FALSE))))))</f>
        <v>550</v>
      </c>
      <c r="J1515" s="694">
        <f>SUM(E1515*I1515/G1515)</f>
        <v>110</v>
      </c>
    </row>
    <row r="1516" spans="1:10" s="644" customFormat="1">
      <c r="A1516" s="668"/>
      <c r="B1516" s="654"/>
      <c r="C1516" s="654"/>
      <c r="D1516" s="681" t="s">
        <v>3178</v>
      </c>
      <c r="E1516" s="679"/>
      <c r="F1516" s="680"/>
      <c r="G1516" s="661"/>
      <c r="H1516" s="680"/>
      <c r="I1516" s="657"/>
      <c r="J1516" s="694">
        <f>SUM(J1513:J1515)</f>
        <v>352</v>
      </c>
    </row>
    <row r="1517" spans="1:10" s="644" customFormat="1">
      <c r="A1517" s="668"/>
      <c r="B1517" s="654"/>
      <c r="C1517" s="654"/>
      <c r="D1517" s="696" t="s">
        <v>2785</v>
      </c>
      <c r="E1517" s="679"/>
      <c r="F1517" s="680"/>
      <c r="G1517" s="661"/>
      <c r="H1517" s="680"/>
      <c r="I1517" s="657"/>
      <c r="J1517" s="694"/>
    </row>
    <row r="1518" spans="1:10" s="644" customFormat="1" ht="51">
      <c r="A1518" s="668"/>
      <c r="B1518" s="654" t="s">
        <v>3183</v>
      </c>
      <c r="C1518" s="661" t="s">
        <v>2956</v>
      </c>
      <c r="D1518" s="682" t="s">
        <v>3210</v>
      </c>
      <c r="E1518" s="679">
        <v>1</v>
      </c>
      <c r="F1518" s="645" t="s">
        <v>955</v>
      </c>
      <c r="G1518" s="661">
        <v>1</v>
      </c>
      <c r="H1518" s="645" t="s">
        <v>955</v>
      </c>
      <c r="I1518" s="695">
        <v>1898</v>
      </c>
      <c r="J1518" s="694">
        <f>SUM(E1518*I1518/G1518)</f>
        <v>1898</v>
      </c>
    </row>
    <row r="1519" spans="1:10" s="644" customFormat="1" ht="38.25">
      <c r="A1519" s="668"/>
      <c r="B1519" s="654" t="s">
        <v>3198</v>
      </c>
      <c r="C1519" s="661" t="s">
        <v>2237</v>
      </c>
      <c r="D1519" s="682" t="s">
        <v>3211</v>
      </c>
      <c r="E1519" s="679">
        <v>1</v>
      </c>
      <c r="F1519" s="645" t="s">
        <v>955</v>
      </c>
      <c r="G1519" s="661">
        <v>1</v>
      </c>
      <c r="H1519" s="645" t="s">
        <v>955</v>
      </c>
      <c r="I1519" s="695">
        <v>62</v>
      </c>
      <c r="J1519" s="694">
        <f>SUM(E1519*I1519/G1519)</f>
        <v>62</v>
      </c>
    </row>
    <row r="1520" spans="1:10" s="644" customFormat="1" ht="38.25">
      <c r="A1520" s="668"/>
      <c r="B1520" s="654" t="s">
        <v>3198</v>
      </c>
      <c r="C1520" s="661" t="s">
        <v>3142</v>
      </c>
      <c r="D1520" s="682" t="s">
        <v>3212</v>
      </c>
      <c r="E1520" s="679">
        <v>3</v>
      </c>
      <c r="F1520" s="645" t="s">
        <v>955</v>
      </c>
      <c r="G1520" s="661">
        <v>1</v>
      </c>
      <c r="H1520" s="645" t="s">
        <v>955</v>
      </c>
      <c r="I1520" s="657">
        <v>154</v>
      </c>
      <c r="J1520" s="694">
        <f>SUM(E1520*I1520/G1520)</f>
        <v>462</v>
      </c>
    </row>
    <row r="1521" spans="1:12" s="644" customFormat="1">
      <c r="A1521" s="668"/>
      <c r="B1521" s="654"/>
      <c r="C1521" s="654"/>
      <c r="D1521" s="682"/>
      <c r="E1521" s="679"/>
      <c r="F1521" s="645"/>
      <c r="G1521" s="661"/>
      <c r="H1521" s="645"/>
      <c r="I1521" s="657"/>
      <c r="J1521" s="694">
        <f>SUM(J1518:J1520)</f>
        <v>2422</v>
      </c>
    </row>
    <row r="1522" spans="1:12" s="644" customFormat="1" ht="25.5">
      <c r="A1522" s="668"/>
      <c r="B1522" s="654"/>
      <c r="C1522" s="654"/>
      <c r="D1522" s="656" t="s">
        <v>2766</v>
      </c>
      <c r="E1522" s="679"/>
      <c r="F1522" s="682"/>
      <c r="G1522" s="661"/>
      <c r="H1522" s="645"/>
      <c r="I1522" s="675"/>
      <c r="J1522" s="655">
        <f>ROUNDDOWN(J1521+J1516,0)</f>
        <v>2774</v>
      </c>
    </row>
    <row r="1523" spans="1:12" s="644" customFormat="1">
      <c r="A1523" s="668"/>
      <c r="B1523" s="664"/>
      <c r="C1523" s="664"/>
      <c r="D1523" s="669" t="s">
        <v>2767</v>
      </c>
      <c r="E1523" s="670">
        <f>$E$9</f>
        <v>0</v>
      </c>
      <c r="F1523" s="684"/>
      <c r="G1523" s="663"/>
      <c r="H1523" s="684"/>
      <c r="I1523" s="675"/>
      <c r="J1523" s="676">
        <f>J1522*E1523</f>
        <v>0</v>
      </c>
    </row>
    <row r="1524" spans="1:12" s="644" customFormat="1">
      <c r="A1524" s="668"/>
      <c r="B1524" s="664"/>
      <c r="C1524" s="664"/>
      <c r="D1524" s="673"/>
      <c r="E1524" s="685"/>
      <c r="F1524" s="684"/>
      <c r="G1524" s="663"/>
      <c r="H1524" s="684"/>
      <c r="I1524" s="675"/>
      <c r="J1524" s="676">
        <f>SUM(J1522:J1523)</f>
        <v>2774</v>
      </c>
    </row>
    <row r="1525" spans="1:12" s="644" customFormat="1">
      <c r="A1525" s="668"/>
      <c r="B1525" s="664"/>
      <c r="C1525" s="664"/>
      <c r="D1525" s="691" t="s">
        <v>2380</v>
      </c>
      <c r="E1525" s="685"/>
      <c r="F1525" s="684"/>
      <c r="G1525" s="663"/>
      <c r="H1525" s="684"/>
      <c r="I1525" s="675"/>
      <c r="J1525" s="693">
        <f>ROUND(J1524,0)</f>
        <v>2774</v>
      </c>
    </row>
    <row r="1526" spans="1:12" s="644" customFormat="1">
      <c r="A1526" s="668"/>
      <c r="B1526" s="664"/>
      <c r="C1526" s="664"/>
      <c r="D1526" s="691"/>
      <c r="E1526" s="685"/>
      <c r="F1526" s="684"/>
      <c r="G1526" s="663"/>
      <c r="H1526" s="684"/>
      <c r="I1526" s="675"/>
      <c r="J1526" s="693"/>
    </row>
    <row r="1527" spans="1:12" s="644" customFormat="1" ht="114.75">
      <c r="A1527" s="653">
        <f>A1384+1</f>
        <v>78</v>
      </c>
      <c r="B1527" s="664" t="s">
        <v>3213</v>
      </c>
      <c r="C1527" s="663" t="s">
        <v>1197</v>
      </c>
      <c r="D1527" s="682" t="s">
        <v>3214</v>
      </c>
      <c r="E1527" s="679">
        <v>1</v>
      </c>
      <c r="F1527" s="645" t="s">
        <v>2763</v>
      </c>
      <c r="G1527" s="661">
        <v>1</v>
      </c>
      <c r="H1527" s="645" t="s">
        <v>2763</v>
      </c>
      <c r="I1527" s="657">
        <v>320</v>
      </c>
      <c r="J1527" s="694">
        <f>SUM(E1527*I1527/G1527)</f>
        <v>320</v>
      </c>
      <c r="L1527" s="918">
        <f>J1527+J1528</f>
        <v>416</v>
      </c>
    </row>
    <row r="1528" spans="1:12" s="644" customFormat="1" ht="25.5">
      <c r="A1528" s="653"/>
      <c r="B1528" s="664"/>
      <c r="C1528" s="663"/>
      <c r="D1528" s="682" t="s">
        <v>3215</v>
      </c>
      <c r="E1528" s="670">
        <v>0.3</v>
      </c>
      <c r="F1528" s="645"/>
      <c r="G1528" s="661"/>
      <c r="H1528" s="645"/>
      <c r="I1528" s="657"/>
      <c r="J1528" s="694">
        <f>J1527*E1528</f>
        <v>96</v>
      </c>
    </row>
    <row r="1529" spans="1:12" s="644" customFormat="1">
      <c r="A1529" s="668"/>
      <c r="B1529" s="664"/>
      <c r="C1529" s="664"/>
      <c r="D1529" s="669" t="s">
        <v>2767</v>
      </c>
      <c r="E1529" s="670">
        <f>$E$9</f>
        <v>0</v>
      </c>
      <c r="F1529" s="684"/>
      <c r="G1529" s="663"/>
      <c r="H1529" s="684"/>
      <c r="I1529" s="672"/>
      <c r="J1529" s="676">
        <f>(J1527+J1528)*$E1529</f>
        <v>0</v>
      </c>
    </row>
    <row r="1530" spans="1:12" s="644" customFormat="1">
      <c r="A1530" s="668"/>
      <c r="B1530" s="664"/>
      <c r="C1530" s="664"/>
      <c r="D1530" s="673"/>
      <c r="E1530" s="685"/>
      <c r="F1530" s="684"/>
      <c r="G1530" s="663"/>
      <c r="H1530" s="684"/>
      <c r="I1530" s="672"/>
      <c r="J1530" s="676">
        <f>SUM(J1527:J1529)</f>
        <v>416</v>
      </c>
    </row>
    <row r="1531" spans="1:12" s="644" customFormat="1">
      <c r="A1531" s="668"/>
      <c r="B1531" s="664"/>
      <c r="C1531" s="664"/>
      <c r="D1531" s="691" t="s">
        <v>2768</v>
      </c>
      <c r="E1531" s="685"/>
      <c r="F1531" s="684"/>
      <c r="G1531" s="663"/>
      <c r="H1531" s="684"/>
      <c r="I1531" s="686"/>
      <c r="J1531" s="693">
        <f>ROUND(J1530,0)</f>
        <v>416</v>
      </c>
    </row>
    <row r="1532" spans="1:12" s="644" customFormat="1">
      <c r="A1532" s="668"/>
      <c r="B1532" s="664"/>
      <c r="C1532" s="664"/>
      <c r="D1532" s="691"/>
      <c r="E1532" s="685"/>
      <c r="F1532" s="684"/>
      <c r="G1532" s="663"/>
      <c r="H1532" s="684"/>
      <c r="I1532" s="675"/>
      <c r="J1532" s="693"/>
    </row>
    <row r="1533" spans="1:12" s="644" customFormat="1" ht="114.75">
      <c r="A1533" s="653">
        <f>A1527+1</f>
        <v>79</v>
      </c>
      <c r="B1533" s="664" t="s">
        <v>3213</v>
      </c>
      <c r="C1533" s="663" t="s">
        <v>1192</v>
      </c>
      <c r="D1533" s="682" t="s">
        <v>3216</v>
      </c>
      <c r="E1533" s="679">
        <v>1</v>
      </c>
      <c r="F1533" s="645" t="s">
        <v>2763</v>
      </c>
      <c r="G1533" s="661">
        <v>1</v>
      </c>
      <c r="H1533" s="645" t="s">
        <v>2763</v>
      </c>
      <c r="I1533" s="657">
        <v>547</v>
      </c>
      <c r="J1533" s="694">
        <f>SUM(E1533*I1533/G1533)</f>
        <v>547</v>
      </c>
    </row>
    <row r="1534" spans="1:12" s="644" customFormat="1" ht="25.5">
      <c r="A1534" s="653"/>
      <c r="B1534" s="664"/>
      <c r="C1534" s="663"/>
      <c r="D1534" s="682" t="s">
        <v>3215</v>
      </c>
      <c r="E1534" s="670">
        <v>0.3</v>
      </c>
      <c r="F1534" s="645"/>
      <c r="G1534" s="661"/>
      <c r="H1534" s="645"/>
      <c r="I1534" s="657"/>
      <c r="J1534" s="694">
        <f>J1533*E1534</f>
        <v>164.1</v>
      </c>
    </row>
    <row r="1535" spans="1:12" s="644" customFormat="1">
      <c r="A1535" s="668"/>
      <c r="B1535" s="664"/>
      <c r="C1535" s="664"/>
      <c r="D1535" s="669" t="s">
        <v>2767</v>
      </c>
      <c r="E1535" s="670">
        <f>$E$9</f>
        <v>0</v>
      </c>
      <c r="F1535" s="684"/>
      <c r="G1535" s="663"/>
      <c r="H1535" s="684"/>
      <c r="I1535" s="672"/>
      <c r="J1535" s="676">
        <f>(J1533+J1534)*$E1535</f>
        <v>0</v>
      </c>
    </row>
    <row r="1536" spans="1:12" s="644" customFormat="1">
      <c r="A1536" s="668"/>
      <c r="B1536" s="664"/>
      <c r="C1536" s="664"/>
      <c r="D1536" s="673"/>
      <c r="E1536" s="685"/>
      <c r="F1536" s="684"/>
      <c r="G1536" s="663"/>
      <c r="H1536" s="684"/>
      <c r="I1536" s="672"/>
      <c r="J1536" s="676">
        <f>SUM(J1533:J1535)</f>
        <v>711.1</v>
      </c>
    </row>
    <row r="1537" spans="1:10" s="644" customFormat="1">
      <c r="A1537" s="668"/>
      <c r="B1537" s="664"/>
      <c r="C1537" s="664"/>
      <c r="D1537" s="691" t="s">
        <v>2768</v>
      </c>
      <c r="E1537" s="685"/>
      <c r="F1537" s="684"/>
      <c r="G1537" s="663"/>
      <c r="H1537" s="684"/>
      <c r="I1537" s="686"/>
      <c r="J1537" s="693">
        <f>ROUND(J1536,0)</f>
        <v>711</v>
      </c>
    </row>
    <row r="1538" spans="1:10" s="644" customFormat="1">
      <c r="A1538" s="668"/>
      <c r="B1538" s="664"/>
      <c r="C1538" s="664"/>
      <c r="D1538" s="669"/>
      <c r="E1538" s="685"/>
      <c r="F1538" s="684"/>
      <c r="G1538" s="663"/>
      <c r="H1538" s="684"/>
      <c r="I1538" s="686"/>
      <c r="J1538" s="676"/>
    </row>
    <row r="1539" spans="1:10" s="644" customFormat="1" ht="114.75">
      <c r="A1539" s="653">
        <f>SUM(MAX($A$7:$A1538),1)</f>
        <v>80</v>
      </c>
      <c r="B1539" s="664" t="s">
        <v>3213</v>
      </c>
      <c r="C1539" s="663" t="s">
        <v>1188</v>
      </c>
      <c r="D1539" s="682" t="s">
        <v>3217</v>
      </c>
      <c r="E1539" s="679">
        <v>1</v>
      </c>
      <c r="F1539" s="645" t="s">
        <v>2763</v>
      </c>
      <c r="G1539" s="661">
        <v>1</v>
      </c>
      <c r="H1539" s="645" t="s">
        <v>2763</v>
      </c>
      <c r="I1539" s="657">
        <v>980</v>
      </c>
      <c r="J1539" s="694">
        <f>SUM(E1539*I1539/G1539)</f>
        <v>980</v>
      </c>
    </row>
    <row r="1540" spans="1:10" s="644" customFormat="1">
      <c r="A1540" s="668"/>
      <c r="B1540" s="664"/>
      <c r="C1540" s="664"/>
      <c r="D1540" s="669" t="s">
        <v>2767</v>
      </c>
      <c r="E1540" s="670">
        <f>$E$9</f>
        <v>0</v>
      </c>
      <c r="F1540" s="684"/>
      <c r="G1540" s="663"/>
      <c r="H1540" s="684"/>
      <c r="I1540" s="672"/>
      <c r="J1540" s="676">
        <f>J1539*$E1540</f>
        <v>0</v>
      </c>
    </row>
    <row r="1541" spans="1:10" s="644" customFormat="1">
      <c r="A1541" s="668"/>
      <c r="B1541" s="664"/>
      <c r="C1541" s="664"/>
      <c r="D1541" s="673"/>
      <c r="E1541" s="685"/>
      <c r="F1541" s="684"/>
      <c r="G1541" s="663"/>
      <c r="H1541" s="684"/>
      <c r="I1541" s="672"/>
      <c r="J1541" s="676">
        <f>SUM(J1539:J1540)</f>
        <v>980</v>
      </c>
    </row>
    <row r="1542" spans="1:10" s="644" customFormat="1">
      <c r="A1542" s="668"/>
      <c r="B1542" s="664"/>
      <c r="C1542" s="664"/>
      <c r="D1542" s="691" t="s">
        <v>2768</v>
      </c>
      <c r="E1542" s="685"/>
      <c r="F1542" s="684"/>
      <c r="G1542" s="663"/>
      <c r="H1542" s="684"/>
      <c r="I1542" s="686"/>
      <c r="J1542" s="693">
        <f>ROUND(J1541,0)</f>
        <v>980</v>
      </c>
    </row>
    <row r="1543" spans="1:10" s="644" customFormat="1">
      <c r="A1543" s="668"/>
      <c r="B1543" s="664"/>
      <c r="C1543" s="664"/>
      <c r="D1543" s="669"/>
      <c r="E1543" s="685"/>
      <c r="F1543" s="684"/>
      <c r="G1543" s="663"/>
      <c r="H1543" s="684"/>
      <c r="I1543" s="686"/>
      <c r="J1543" s="693"/>
    </row>
    <row r="1544" spans="1:10" s="644" customFormat="1" ht="114.75">
      <c r="A1544" s="653">
        <f>SUM(MAX($A$7:$A1543),1)</f>
        <v>81</v>
      </c>
      <c r="B1544" s="664" t="s">
        <v>3213</v>
      </c>
      <c r="C1544" s="663" t="s">
        <v>1186</v>
      </c>
      <c r="D1544" s="682" t="s">
        <v>3218</v>
      </c>
      <c r="E1544" s="679">
        <v>1</v>
      </c>
      <c r="F1544" s="645" t="s">
        <v>2763</v>
      </c>
      <c r="G1544" s="661">
        <v>1</v>
      </c>
      <c r="H1544" s="645" t="s">
        <v>2763</v>
      </c>
      <c r="I1544" s="751">
        <v>1159</v>
      </c>
      <c r="J1544" s="694">
        <f>SUM(E1544*I1544/G1544)</f>
        <v>1159</v>
      </c>
    </row>
    <row r="1545" spans="1:10" s="644" customFormat="1">
      <c r="A1545" s="668"/>
      <c r="B1545" s="664"/>
      <c r="C1545" s="664"/>
      <c r="D1545" s="669" t="s">
        <v>2767</v>
      </c>
      <c r="E1545" s="670">
        <f>$E$9</f>
        <v>0</v>
      </c>
      <c r="F1545" s="684"/>
      <c r="G1545" s="663"/>
      <c r="H1545" s="684"/>
      <c r="I1545" s="672"/>
      <c r="J1545" s="676">
        <f>J1544*$E1545</f>
        <v>0</v>
      </c>
    </row>
    <row r="1546" spans="1:10" s="644" customFormat="1">
      <c r="A1546" s="668"/>
      <c r="B1546" s="664"/>
      <c r="C1546" s="664"/>
      <c r="D1546" s="673"/>
      <c r="E1546" s="685"/>
      <c r="F1546" s="684"/>
      <c r="G1546" s="663"/>
      <c r="H1546" s="684"/>
      <c r="I1546" s="672"/>
      <c r="J1546" s="676">
        <f>SUM(J1544:J1545)</f>
        <v>1159</v>
      </c>
    </row>
    <row r="1547" spans="1:10" s="644" customFormat="1">
      <c r="A1547" s="668"/>
      <c r="B1547" s="664"/>
      <c r="C1547" s="664"/>
      <c r="D1547" s="691" t="s">
        <v>2768</v>
      </c>
      <c r="E1547" s="685"/>
      <c r="F1547" s="684"/>
      <c r="G1547" s="663"/>
      <c r="H1547" s="684"/>
      <c r="I1547" s="686"/>
      <c r="J1547" s="693">
        <f>ROUND(J1546,0)</f>
        <v>1159</v>
      </c>
    </row>
    <row r="1548" spans="1:10" s="644" customFormat="1">
      <c r="A1548" s="668"/>
      <c r="B1548" s="664"/>
      <c r="C1548" s="664"/>
      <c r="D1548" s="669"/>
      <c r="E1548" s="685"/>
      <c r="F1548" s="684"/>
      <c r="G1548" s="663"/>
      <c r="H1548" s="684"/>
      <c r="I1548" s="686"/>
      <c r="J1548" s="693"/>
    </row>
    <row r="1549" spans="1:10" s="644" customFormat="1" ht="140.25">
      <c r="A1549" s="653">
        <f>SUM(MAX($A$7:$A1548),1)</f>
        <v>82</v>
      </c>
      <c r="B1549" s="664" t="s">
        <v>3219</v>
      </c>
      <c r="C1549" s="663" t="s">
        <v>1186</v>
      </c>
      <c r="D1549" s="682" t="s">
        <v>3220</v>
      </c>
      <c r="E1549" s="679">
        <v>1</v>
      </c>
      <c r="F1549" s="645" t="s">
        <v>2763</v>
      </c>
      <c r="G1549" s="661">
        <v>1</v>
      </c>
      <c r="H1549" s="645" t="s">
        <v>2763</v>
      </c>
      <c r="I1549" s="751">
        <v>1118</v>
      </c>
      <c r="J1549" s="694">
        <f>SUM(E1549*I1549/G1549)</f>
        <v>1118</v>
      </c>
    </row>
    <row r="1550" spans="1:10" s="644" customFormat="1">
      <c r="A1550" s="668"/>
      <c r="B1550" s="664"/>
      <c r="C1550" s="664"/>
      <c r="D1550" s="669" t="s">
        <v>2767</v>
      </c>
      <c r="E1550" s="670">
        <f>$E$9</f>
        <v>0</v>
      </c>
      <c r="F1550" s="684"/>
      <c r="G1550" s="663"/>
      <c r="H1550" s="684"/>
      <c r="I1550" s="672"/>
      <c r="J1550" s="676">
        <f>J1549*$E1550</f>
        <v>0</v>
      </c>
    </row>
    <row r="1551" spans="1:10" s="644" customFormat="1">
      <c r="A1551" s="668"/>
      <c r="B1551" s="664"/>
      <c r="C1551" s="664"/>
      <c r="D1551" s="673"/>
      <c r="E1551" s="685"/>
      <c r="F1551" s="684"/>
      <c r="G1551" s="663"/>
      <c r="H1551" s="684"/>
      <c r="I1551" s="672"/>
      <c r="J1551" s="676">
        <f>SUM(J1549:J1550)</f>
        <v>1118</v>
      </c>
    </row>
    <row r="1552" spans="1:10" s="644" customFormat="1">
      <c r="A1552" s="668"/>
      <c r="B1552" s="664"/>
      <c r="C1552" s="664"/>
      <c r="D1552" s="691" t="s">
        <v>2768</v>
      </c>
      <c r="E1552" s="685"/>
      <c r="F1552" s="684"/>
      <c r="G1552" s="663"/>
      <c r="H1552" s="684"/>
      <c r="I1552" s="686"/>
      <c r="J1552" s="693">
        <f>ROUND(J1551,0)</f>
        <v>1118</v>
      </c>
    </row>
    <row r="1553" spans="1:10" s="644" customFormat="1">
      <c r="A1553" s="668"/>
      <c r="B1553" s="664"/>
      <c r="C1553" s="664"/>
      <c r="D1553" s="682"/>
      <c r="E1553" s="685"/>
      <c r="F1553" s="684"/>
      <c r="G1553" s="663"/>
      <c r="H1553" s="684"/>
      <c r="I1553" s="686"/>
      <c r="J1553" s="676"/>
    </row>
    <row r="1554" spans="1:10" s="644" customFormat="1">
      <c r="A1554" s="653">
        <f>SUM(MAX($A$7:$A1553),1)</f>
        <v>83</v>
      </c>
      <c r="B1554" s="677"/>
      <c r="C1554" s="738"/>
      <c r="D1554" s="2158" t="s">
        <v>3221</v>
      </c>
      <c r="E1554" s="2158"/>
      <c r="F1554" s="2158"/>
      <c r="G1554" s="2158"/>
      <c r="H1554" s="2158"/>
      <c r="I1554" s="2158"/>
      <c r="J1554" s="2158"/>
    </row>
    <row r="1555" spans="1:10" s="644" customFormat="1">
      <c r="A1555" s="668"/>
      <c r="B1555" s="687" t="s">
        <v>3222</v>
      </c>
      <c r="C1555" s="677"/>
      <c r="D1555" s="682" t="s">
        <v>3223</v>
      </c>
      <c r="E1555" s="764">
        <v>1</v>
      </c>
      <c r="F1555" s="646" t="s">
        <v>97</v>
      </c>
      <c r="G1555" s="738">
        <v>1</v>
      </c>
      <c r="H1555" s="646" t="s">
        <v>97</v>
      </c>
      <c r="I1555" s="749">
        <v>81</v>
      </c>
      <c r="J1555" s="765">
        <f>SUM(E1555*I1555/G1555)</f>
        <v>81</v>
      </c>
    </row>
    <row r="1556" spans="1:10" s="644" customFormat="1" ht="25.5">
      <c r="A1556" s="668"/>
      <c r="B1556" s="677"/>
      <c r="C1556" s="677"/>
      <c r="D1556" s="656" t="s">
        <v>3224</v>
      </c>
      <c r="E1556" s="764">
        <v>1</v>
      </c>
      <c r="F1556" s="646" t="s">
        <v>97</v>
      </c>
      <c r="G1556" s="738">
        <v>1</v>
      </c>
      <c r="H1556" s="646" t="s">
        <v>97</v>
      </c>
      <c r="I1556" s="749">
        <v>37</v>
      </c>
      <c r="J1556" s="765">
        <f>SUM(E1556*I1556/G1556)</f>
        <v>37</v>
      </c>
    </row>
    <row r="1557" spans="1:10" s="644" customFormat="1">
      <c r="A1557" s="668"/>
      <c r="B1557" s="677"/>
      <c r="C1557" s="677"/>
      <c r="D1557" s="2175" t="s">
        <v>3225</v>
      </c>
      <c r="E1557" s="2175"/>
      <c r="F1557" s="2175"/>
      <c r="G1557" s="2175"/>
      <c r="H1557" s="697"/>
      <c r="I1557" s="672"/>
      <c r="J1557" s="672">
        <f>SUM(J1555:J1556)</f>
        <v>118</v>
      </c>
    </row>
    <row r="1558" spans="1:10" s="644" customFormat="1">
      <c r="A1558" s="668"/>
      <c r="B1558" s="664"/>
      <c r="C1558" s="664"/>
      <c r="D1558" s="669" t="s">
        <v>2767</v>
      </c>
      <c r="E1558" s="670">
        <f>$E$9</f>
        <v>0</v>
      </c>
      <c r="F1558" s="684"/>
      <c r="G1558" s="663"/>
      <c r="H1558" s="684"/>
      <c r="I1558" s="672"/>
      <c r="J1558" s="761">
        <f>J1557*$E1558</f>
        <v>0</v>
      </c>
    </row>
    <row r="1559" spans="1:10" s="644" customFormat="1">
      <c r="A1559" s="668"/>
      <c r="B1559" s="664"/>
      <c r="C1559" s="664"/>
      <c r="D1559" s="673"/>
      <c r="E1559" s="685"/>
      <c r="F1559" s="684"/>
      <c r="G1559" s="663"/>
      <c r="H1559" s="684"/>
      <c r="I1559" s="672"/>
      <c r="J1559" s="676">
        <f>SUM(J1557:J1558)</f>
        <v>118</v>
      </c>
    </row>
    <row r="1560" spans="1:10" s="644" customFormat="1">
      <c r="A1560" s="668"/>
      <c r="B1560" s="664"/>
      <c r="C1560" s="664"/>
      <c r="D1560" s="669" t="s">
        <v>3226</v>
      </c>
      <c r="E1560" s="685"/>
      <c r="F1560" s="684"/>
      <c r="G1560" s="663"/>
      <c r="H1560" s="684"/>
      <c r="I1560" s="686"/>
      <c r="J1560" s="693">
        <f>ROUND(J1559,0)</f>
        <v>118</v>
      </c>
    </row>
    <row r="1561" spans="1:10" s="644" customFormat="1">
      <c r="A1561" s="668"/>
      <c r="B1561" s="664"/>
      <c r="C1561" s="664"/>
      <c r="D1561" s="669"/>
      <c r="E1561" s="685"/>
      <c r="F1561" s="684"/>
      <c r="G1561" s="663"/>
      <c r="H1561" s="684"/>
      <c r="I1561" s="686"/>
      <c r="J1561" s="676"/>
    </row>
    <row r="1562" spans="1:10" s="644" customFormat="1" ht="25.5">
      <c r="A1562" s="653">
        <f>SUM(MAX($A$7:$A1561),1)</f>
        <v>84</v>
      </c>
      <c r="B1562" s="665" t="s">
        <v>3227</v>
      </c>
      <c r="C1562" s="735"/>
      <c r="D1562" s="662" t="s">
        <v>3228</v>
      </c>
      <c r="E1562" s="803" t="s">
        <v>955</v>
      </c>
      <c r="F1562" s="668">
        <v>1</v>
      </c>
      <c r="G1562" s="661">
        <v>2</v>
      </c>
      <c r="H1562" s="803" t="s">
        <v>3229</v>
      </c>
      <c r="I1562" s="657">
        <v>270</v>
      </c>
      <c r="J1562" s="655">
        <f>I1562*G1562</f>
        <v>540</v>
      </c>
    </row>
    <row r="1563" spans="1:10" s="644" customFormat="1">
      <c r="A1563" s="668"/>
      <c r="B1563" s="664"/>
      <c r="C1563" s="664"/>
      <c r="D1563" s="669" t="s">
        <v>2767</v>
      </c>
      <c r="E1563" s="670">
        <f>$E$9</f>
        <v>0</v>
      </c>
      <c r="F1563" s="684"/>
      <c r="G1563" s="663"/>
      <c r="H1563" s="684"/>
      <c r="I1563" s="672"/>
      <c r="J1563" s="761">
        <f>J1562*$E1563</f>
        <v>0</v>
      </c>
    </row>
    <row r="1564" spans="1:10" s="644" customFormat="1">
      <c r="A1564" s="668"/>
      <c r="B1564" s="664"/>
      <c r="C1564" s="664"/>
      <c r="D1564" s="673"/>
      <c r="E1564" s="685"/>
      <c r="F1564" s="684"/>
      <c r="G1564" s="663"/>
      <c r="H1564" s="684"/>
      <c r="I1564" s="672"/>
      <c r="J1564" s="676">
        <f>SUM(J1562:J1563)</f>
        <v>540</v>
      </c>
    </row>
    <row r="1565" spans="1:10" s="644" customFormat="1">
      <c r="A1565" s="668"/>
      <c r="B1565" s="664"/>
      <c r="C1565" s="664"/>
      <c r="D1565" s="669" t="s">
        <v>3230</v>
      </c>
      <c r="E1565" s="685"/>
      <c r="F1565" s="684"/>
      <c r="G1565" s="663"/>
      <c r="H1565" s="684"/>
      <c r="I1565" s="686"/>
      <c r="J1565" s="693">
        <f>ROUND(J1564,0)</f>
        <v>540</v>
      </c>
    </row>
    <row r="1566" spans="1:10" s="644" customFormat="1">
      <c r="A1566" s="668"/>
      <c r="B1566" s="664"/>
      <c r="C1566" s="664"/>
      <c r="D1566" s="669"/>
      <c r="E1566" s="685"/>
      <c r="F1566" s="684"/>
      <c r="G1566" s="663"/>
      <c r="H1566" s="684"/>
      <c r="I1566" s="686"/>
      <c r="J1566" s="693"/>
    </row>
    <row r="1567" spans="1:10" s="644" customFormat="1" ht="63.75">
      <c r="A1567" s="653">
        <f>SUM(MAX($A$7:$A1566),1)</f>
        <v>85</v>
      </c>
      <c r="B1567" s="665" t="s">
        <v>3231</v>
      </c>
      <c r="C1567" s="661" t="s">
        <v>1184</v>
      </c>
      <c r="D1567" s="662" t="s">
        <v>3232</v>
      </c>
      <c r="E1567" s="803" t="s">
        <v>3233</v>
      </c>
      <c r="F1567" s="668">
        <v>1</v>
      </c>
      <c r="G1567" s="661">
        <v>1</v>
      </c>
      <c r="H1567" s="664" t="s">
        <v>3234</v>
      </c>
      <c r="I1567" s="695">
        <v>4505</v>
      </c>
      <c r="J1567" s="655">
        <f>I1567*G1567</f>
        <v>4505</v>
      </c>
    </row>
    <row r="1568" spans="1:10" s="644" customFormat="1">
      <c r="A1568" s="668"/>
      <c r="B1568" s="664"/>
      <c r="C1568" s="664"/>
      <c r="D1568" s="669" t="s">
        <v>2767</v>
      </c>
      <c r="E1568" s="670">
        <f>$E$9</f>
        <v>0</v>
      </c>
      <c r="F1568" s="684"/>
      <c r="G1568" s="663"/>
      <c r="H1568" s="684"/>
      <c r="I1568" s="672"/>
      <c r="J1568" s="761">
        <f>J1567*$E1568</f>
        <v>0</v>
      </c>
    </row>
    <row r="1569" spans="1:10" s="644" customFormat="1">
      <c r="A1569" s="668"/>
      <c r="B1569" s="664"/>
      <c r="C1569" s="664"/>
      <c r="D1569" s="673"/>
      <c r="E1569" s="685"/>
      <c r="F1569" s="684"/>
      <c r="G1569" s="663"/>
      <c r="H1569" s="684"/>
      <c r="I1569" s="672"/>
      <c r="J1569" s="676">
        <f>SUM(J1567:J1568)</f>
        <v>4505</v>
      </c>
    </row>
    <row r="1570" spans="1:10" s="644" customFormat="1">
      <c r="A1570" s="668"/>
      <c r="B1570" s="664"/>
      <c r="C1570" s="664"/>
      <c r="D1570" s="669" t="s">
        <v>2380</v>
      </c>
      <c r="E1570" s="685"/>
      <c r="F1570" s="684"/>
      <c r="G1570" s="663"/>
      <c r="H1570" s="684"/>
      <c r="I1570" s="686"/>
      <c r="J1570" s="693">
        <f>ROUND(J1569,0)</f>
        <v>4505</v>
      </c>
    </row>
    <row r="1571" spans="1:10" s="644" customFormat="1">
      <c r="A1571" s="668"/>
      <c r="B1571" s="664"/>
      <c r="C1571" s="664"/>
      <c r="D1571" s="669"/>
      <c r="E1571" s="685"/>
      <c r="F1571" s="684"/>
      <c r="G1571" s="663"/>
      <c r="H1571" s="684"/>
      <c r="I1571" s="686"/>
      <c r="J1571" s="693"/>
    </row>
    <row r="1572" spans="1:10" s="644" customFormat="1" ht="38.25">
      <c r="A1572" s="653">
        <f>SUM(MAX($A$7:$A1570),1)</f>
        <v>86</v>
      </c>
      <c r="B1572" s="654" t="s">
        <v>3235</v>
      </c>
      <c r="C1572" s="661"/>
      <c r="D1572" s="662" t="s">
        <v>3236</v>
      </c>
      <c r="E1572" s="803" t="s">
        <v>955</v>
      </c>
      <c r="F1572" s="668">
        <v>1</v>
      </c>
      <c r="G1572" s="661">
        <v>1</v>
      </c>
      <c r="H1572" s="803" t="s">
        <v>3229</v>
      </c>
      <c r="I1572" s="657">
        <v>549</v>
      </c>
      <c r="J1572" s="655">
        <f>I1572*F1572</f>
        <v>549</v>
      </c>
    </row>
    <row r="1573" spans="1:10" s="644" customFormat="1">
      <c r="A1573" s="668"/>
      <c r="B1573" s="664"/>
      <c r="C1573" s="664"/>
      <c r="D1573" s="669" t="s">
        <v>2767</v>
      </c>
      <c r="E1573" s="670">
        <f>$E$9</f>
        <v>0</v>
      </c>
      <c r="F1573" s="684"/>
      <c r="G1573" s="663"/>
      <c r="H1573" s="684"/>
      <c r="I1573" s="672"/>
      <c r="J1573" s="761">
        <f>J1572*$E1573</f>
        <v>0</v>
      </c>
    </row>
    <row r="1574" spans="1:10" s="644" customFormat="1">
      <c r="A1574" s="668"/>
      <c r="B1574" s="664"/>
      <c r="C1574" s="664"/>
      <c r="D1574" s="673"/>
      <c r="E1574" s="685"/>
      <c r="F1574" s="684"/>
      <c r="G1574" s="663"/>
      <c r="H1574" s="684"/>
      <c r="I1574" s="672"/>
      <c r="J1574" s="676">
        <f>SUM(J1572:J1573)</f>
        <v>549</v>
      </c>
    </row>
    <row r="1575" spans="1:10" s="644" customFormat="1">
      <c r="A1575" s="668"/>
      <c r="B1575" s="664"/>
      <c r="C1575" s="664"/>
      <c r="D1575" s="669" t="s">
        <v>2380</v>
      </c>
      <c r="E1575" s="685"/>
      <c r="F1575" s="684"/>
      <c r="G1575" s="663"/>
      <c r="H1575" s="684"/>
      <c r="I1575" s="686"/>
      <c r="J1575" s="693">
        <f>ROUND(J1574,0)</f>
        <v>549</v>
      </c>
    </row>
    <row r="1576" spans="1:10" s="644" customFormat="1">
      <c r="A1576" s="668"/>
      <c r="B1576" s="664"/>
      <c r="C1576" s="664"/>
      <c r="D1576" s="669"/>
      <c r="E1576" s="685"/>
      <c r="F1576" s="684"/>
      <c r="G1576" s="663"/>
      <c r="H1576" s="684"/>
      <c r="I1576" s="686"/>
      <c r="J1576" s="693"/>
    </row>
    <row r="1577" spans="1:10" s="644" customFormat="1" ht="38.25">
      <c r="A1577" s="653">
        <f>SUM(MAX($A$7:$A1575),1)</f>
        <v>87</v>
      </c>
      <c r="B1577" s="654" t="s">
        <v>3237</v>
      </c>
      <c r="C1577" s="661" t="s">
        <v>1180</v>
      </c>
      <c r="D1577" s="662" t="s">
        <v>3238</v>
      </c>
      <c r="E1577" s="803" t="s">
        <v>955</v>
      </c>
      <c r="F1577" s="668">
        <v>1</v>
      </c>
      <c r="G1577" s="661">
        <v>1</v>
      </c>
      <c r="H1577" s="803" t="s">
        <v>3229</v>
      </c>
      <c r="I1577" s="657">
        <v>272</v>
      </c>
      <c r="J1577" s="655">
        <f>I1577*F1577</f>
        <v>272</v>
      </c>
    </row>
    <row r="1578" spans="1:10" s="644" customFormat="1">
      <c r="A1578" s="668"/>
      <c r="B1578" s="664"/>
      <c r="C1578" s="664"/>
      <c r="D1578" s="669" t="s">
        <v>2767</v>
      </c>
      <c r="E1578" s="670">
        <f>$E$9</f>
        <v>0</v>
      </c>
      <c r="F1578" s="684"/>
      <c r="G1578" s="663"/>
      <c r="H1578" s="684"/>
      <c r="I1578" s="672"/>
      <c r="J1578" s="676">
        <f>J1577*$E1578</f>
        <v>0</v>
      </c>
    </row>
    <row r="1579" spans="1:10" s="644" customFormat="1">
      <c r="A1579" s="668"/>
      <c r="B1579" s="664"/>
      <c r="C1579" s="664"/>
      <c r="D1579" s="673"/>
      <c r="E1579" s="685"/>
      <c r="F1579" s="684"/>
      <c r="G1579" s="663"/>
      <c r="H1579" s="684"/>
      <c r="I1579" s="672"/>
      <c r="J1579" s="676">
        <f>SUM(J1577:J1578)</f>
        <v>272</v>
      </c>
    </row>
    <row r="1580" spans="1:10" s="644" customFormat="1">
      <c r="A1580" s="668"/>
      <c r="B1580" s="664"/>
      <c r="C1580" s="664"/>
      <c r="D1580" s="669" t="s">
        <v>2380</v>
      </c>
      <c r="E1580" s="685"/>
      <c r="F1580" s="684"/>
      <c r="G1580" s="663"/>
      <c r="H1580" s="684"/>
      <c r="I1580" s="686"/>
      <c r="J1580" s="693">
        <f>ROUND(J1579,0)</f>
        <v>272</v>
      </c>
    </row>
    <row r="1581" spans="1:10" s="644" customFormat="1">
      <c r="A1581" s="668"/>
      <c r="B1581" s="664"/>
      <c r="C1581" s="664"/>
      <c r="D1581" s="669"/>
      <c r="E1581" s="685"/>
      <c r="F1581" s="684"/>
      <c r="G1581" s="663"/>
      <c r="H1581" s="684"/>
      <c r="I1581" s="686"/>
      <c r="J1581" s="693"/>
    </row>
    <row r="1582" spans="1:10" s="644" customFormat="1" ht="89.25">
      <c r="A1582" s="653">
        <f>SUM(MAX($A$7:$A1580),1)</f>
        <v>88</v>
      </c>
      <c r="B1582" s="661" t="s">
        <v>3239</v>
      </c>
      <c r="C1582" s="661"/>
      <c r="D1582" s="662" t="s">
        <v>3240</v>
      </c>
      <c r="E1582" s="803" t="s">
        <v>955</v>
      </c>
      <c r="F1582" s="668">
        <v>1</v>
      </c>
      <c r="G1582" s="661">
        <v>1</v>
      </c>
      <c r="H1582" s="803" t="s">
        <v>3229</v>
      </c>
      <c r="I1582" s="657">
        <v>1271</v>
      </c>
      <c r="J1582" s="655">
        <f>I1582*F1582</f>
        <v>1271</v>
      </c>
    </row>
    <row r="1583" spans="1:10" s="644" customFormat="1">
      <c r="A1583" s="668"/>
      <c r="B1583" s="664"/>
      <c r="C1583" s="664"/>
      <c r="D1583" s="669" t="s">
        <v>2767</v>
      </c>
      <c r="E1583" s="670">
        <f>$E$9</f>
        <v>0</v>
      </c>
      <c r="F1583" s="684"/>
      <c r="G1583" s="663"/>
      <c r="H1583" s="684"/>
      <c r="I1583" s="672"/>
      <c r="J1583" s="676">
        <f>J1582*$E1583</f>
        <v>0</v>
      </c>
    </row>
    <row r="1584" spans="1:10" s="644" customFormat="1">
      <c r="A1584" s="668"/>
      <c r="B1584" s="664"/>
      <c r="C1584" s="664"/>
      <c r="D1584" s="673"/>
      <c r="E1584" s="685"/>
      <c r="F1584" s="684"/>
      <c r="G1584" s="663"/>
      <c r="H1584" s="684"/>
      <c r="I1584" s="672"/>
      <c r="J1584" s="676">
        <f>SUM(J1582:J1583)</f>
        <v>1271</v>
      </c>
    </row>
    <row r="1585" spans="1:10" s="644" customFormat="1">
      <c r="A1585" s="668"/>
      <c r="B1585" s="664"/>
      <c r="C1585" s="664"/>
      <c r="D1585" s="669" t="s">
        <v>2380</v>
      </c>
      <c r="E1585" s="685"/>
      <c r="F1585" s="684"/>
      <c r="G1585" s="663"/>
      <c r="H1585" s="684"/>
      <c r="I1585" s="686"/>
      <c r="J1585" s="693">
        <f>ROUND(J1584,0)</f>
        <v>1271</v>
      </c>
    </row>
    <row r="1586" spans="1:10" s="644" customFormat="1">
      <c r="A1586" s="668"/>
      <c r="B1586" s="664"/>
      <c r="C1586" s="664"/>
      <c r="D1586" s="669"/>
      <c r="E1586" s="685"/>
      <c r="F1586" s="684"/>
      <c r="G1586" s="663"/>
      <c r="H1586" s="684"/>
      <c r="I1586" s="686"/>
      <c r="J1586" s="693"/>
    </row>
    <row r="1587" spans="1:10" s="644" customFormat="1" ht="114.75">
      <c r="A1587" s="653">
        <f>SUM(MAX($A$7:$A1585),1)</f>
        <v>89</v>
      </c>
      <c r="B1587" s="661" t="s">
        <v>3241</v>
      </c>
      <c r="C1587" s="654"/>
      <c r="D1587" s="662" t="s">
        <v>3242</v>
      </c>
      <c r="E1587" s="803" t="s">
        <v>955</v>
      </c>
      <c r="F1587" s="668">
        <v>1</v>
      </c>
      <c r="G1587" s="661">
        <v>1</v>
      </c>
      <c r="H1587" s="803" t="s">
        <v>3229</v>
      </c>
      <c r="I1587" s="657">
        <v>312</v>
      </c>
      <c r="J1587" s="655">
        <f>I1587*F1587</f>
        <v>312</v>
      </c>
    </row>
    <row r="1588" spans="1:10" s="644" customFormat="1">
      <c r="A1588" s="668"/>
      <c r="B1588" s="664"/>
      <c r="C1588" s="664"/>
      <c r="D1588" s="669" t="s">
        <v>2767</v>
      </c>
      <c r="E1588" s="670">
        <f>$E$9</f>
        <v>0</v>
      </c>
      <c r="F1588" s="684"/>
      <c r="G1588" s="663"/>
      <c r="H1588" s="684"/>
      <c r="I1588" s="672"/>
      <c r="J1588" s="676">
        <f>J1587*$E1588</f>
        <v>0</v>
      </c>
    </row>
    <row r="1589" spans="1:10" s="644" customFormat="1">
      <c r="A1589" s="668"/>
      <c r="B1589" s="664"/>
      <c r="C1589" s="664"/>
      <c r="D1589" s="673"/>
      <c r="E1589" s="685"/>
      <c r="F1589" s="684"/>
      <c r="G1589" s="663"/>
      <c r="H1589" s="684"/>
      <c r="I1589" s="672"/>
      <c r="J1589" s="676">
        <f>SUM(J1587:J1588)</f>
        <v>312</v>
      </c>
    </row>
    <row r="1590" spans="1:10" s="644" customFormat="1">
      <c r="A1590" s="668"/>
      <c r="B1590" s="664"/>
      <c r="C1590" s="664"/>
      <c r="D1590" s="669" t="s">
        <v>2380</v>
      </c>
      <c r="E1590" s="685"/>
      <c r="F1590" s="684"/>
      <c r="G1590" s="663"/>
      <c r="H1590" s="684"/>
      <c r="I1590" s="686"/>
      <c r="J1590" s="693">
        <f>ROUND(J1589,0)</f>
        <v>312</v>
      </c>
    </row>
    <row r="1591" spans="1:10" s="644" customFormat="1">
      <c r="A1591" s="668"/>
      <c r="B1591" s="664"/>
      <c r="C1591" s="664"/>
      <c r="D1591" s="669"/>
      <c r="E1591" s="685"/>
      <c r="F1591" s="684"/>
      <c r="G1591" s="663"/>
      <c r="H1591" s="684"/>
      <c r="I1591" s="686"/>
      <c r="J1591" s="693"/>
    </row>
    <row r="1592" spans="1:10" s="644" customFormat="1" ht="63.75">
      <c r="A1592" s="653">
        <f>SUM(MAX($A$7:$A1590),1)</f>
        <v>90</v>
      </c>
      <c r="B1592" s="654" t="s">
        <v>3243</v>
      </c>
      <c r="C1592" s="661"/>
      <c r="D1592" s="662" t="s">
        <v>3244</v>
      </c>
      <c r="E1592" s="803" t="s">
        <v>955</v>
      </c>
      <c r="F1592" s="668">
        <v>1</v>
      </c>
      <c r="G1592" s="661">
        <v>1</v>
      </c>
      <c r="H1592" s="803" t="s">
        <v>3229</v>
      </c>
      <c r="I1592" s="657">
        <v>1440</v>
      </c>
      <c r="J1592" s="655">
        <f>I1592*F1592</f>
        <v>1440</v>
      </c>
    </row>
    <row r="1593" spans="1:10" s="644" customFormat="1">
      <c r="A1593" s="668"/>
      <c r="B1593" s="664"/>
      <c r="C1593" s="664"/>
      <c r="D1593" s="669" t="s">
        <v>2767</v>
      </c>
      <c r="E1593" s="670">
        <f>$E$9</f>
        <v>0</v>
      </c>
      <c r="F1593" s="684"/>
      <c r="G1593" s="663"/>
      <c r="H1593" s="684"/>
      <c r="I1593" s="672"/>
      <c r="J1593" s="673">
        <f>J1592*$E1593</f>
        <v>0</v>
      </c>
    </row>
    <row r="1594" spans="1:10" s="644" customFormat="1">
      <c r="A1594" s="668"/>
      <c r="B1594" s="664"/>
      <c r="C1594" s="664"/>
      <c r="D1594" s="673"/>
      <c r="E1594" s="685"/>
      <c r="F1594" s="684"/>
      <c r="G1594" s="663"/>
      <c r="H1594" s="684"/>
      <c r="I1594" s="672"/>
      <c r="J1594" s="676">
        <f>SUM(J1592:J1593)</f>
        <v>1440</v>
      </c>
    </row>
    <row r="1595" spans="1:10" s="644" customFormat="1">
      <c r="A1595" s="668"/>
      <c r="B1595" s="664"/>
      <c r="C1595" s="664"/>
      <c r="D1595" s="669" t="s">
        <v>2380</v>
      </c>
      <c r="E1595" s="685"/>
      <c r="F1595" s="684"/>
      <c r="G1595" s="663"/>
      <c r="H1595" s="684"/>
      <c r="I1595" s="686"/>
      <c r="J1595" s="693">
        <f>ROUND(J1594,0)</f>
        <v>1440</v>
      </c>
    </row>
    <row r="1596" spans="1:10" s="644" customFormat="1">
      <c r="A1596" s="668"/>
      <c r="B1596" s="664"/>
      <c r="C1596" s="664"/>
      <c r="D1596" s="669"/>
      <c r="E1596" s="685"/>
      <c r="F1596" s="684"/>
      <c r="G1596" s="663"/>
      <c r="H1596" s="684"/>
      <c r="I1596" s="686"/>
      <c r="J1596" s="693"/>
    </row>
    <row r="1597" spans="1:10" s="644" customFormat="1" ht="51">
      <c r="A1597" s="653">
        <f>SUM(MAX($A$7:$A1595),1)</f>
        <v>91</v>
      </c>
      <c r="B1597" s="654" t="s">
        <v>2925</v>
      </c>
      <c r="C1597" s="654"/>
      <c r="D1597" s="662" t="s">
        <v>3245</v>
      </c>
      <c r="E1597" s="803" t="s">
        <v>955</v>
      </c>
      <c r="F1597" s="668">
        <v>1</v>
      </c>
      <c r="G1597" s="661">
        <v>1</v>
      </c>
      <c r="H1597" s="803" t="s">
        <v>3229</v>
      </c>
      <c r="I1597" s="657">
        <v>40000</v>
      </c>
      <c r="J1597" s="655">
        <f>I1597*F1597</f>
        <v>40000</v>
      </c>
    </row>
    <row r="1598" spans="1:10" s="644" customFormat="1">
      <c r="A1598" s="668"/>
      <c r="B1598" s="664"/>
      <c r="C1598" s="664"/>
      <c r="D1598" s="669" t="s">
        <v>3246</v>
      </c>
      <c r="E1598" s="685"/>
      <c r="F1598" s="684"/>
      <c r="G1598" s="663"/>
      <c r="H1598" s="684"/>
      <c r="I1598" s="686"/>
      <c r="J1598" s="693">
        <f>SUM(J1597)</f>
        <v>40000</v>
      </c>
    </row>
    <row r="1599" spans="1:10" s="644" customFormat="1">
      <c r="A1599" s="668"/>
      <c r="B1599" s="664"/>
      <c r="C1599" s="664"/>
      <c r="D1599" s="669"/>
      <c r="E1599" s="685"/>
      <c r="F1599" s="684"/>
      <c r="G1599" s="663"/>
      <c r="H1599" s="684"/>
      <c r="I1599" s="686"/>
      <c r="J1599" s="693"/>
    </row>
    <row r="1600" spans="1:10" s="644" customFormat="1">
      <c r="A1600" s="653">
        <f>SUM(MAX($A$7:$A1598),1)</f>
        <v>92</v>
      </c>
      <c r="B1600" s="654"/>
      <c r="C1600" s="654"/>
      <c r="D1600" s="2155" t="s">
        <v>3247</v>
      </c>
      <c r="E1600" s="2155"/>
      <c r="F1600" s="2155"/>
      <c r="G1600" s="2155"/>
      <c r="H1600" s="2155"/>
      <c r="I1600" s="2155"/>
      <c r="J1600" s="2155"/>
    </row>
    <row r="1601" spans="1:10" s="644" customFormat="1">
      <c r="A1601" s="668"/>
      <c r="B1601" s="654"/>
      <c r="C1601" s="654"/>
      <c r="D1601" s="802" t="s">
        <v>3127</v>
      </c>
      <c r="E1601" s="679"/>
      <c r="F1601" s="645"/>
      <c r="G1601" s="661"/>
      <c r="H1601" s="645"/>
      <c r="I1601" s="657"/>
      <c r="J1601" s="694"/>
    </row>
    <row r="1602" spans="1:10" s="644" customFormat="1">
      <c r="A1602" s="668"/>
      <c r="B1602" s="654">
        <v>1</v>
      </c>
      <c r="C1602" s="654"/>
      <c r="D1602" s="645" t="s">
        <v>2740</v>
      </c>
      <c r="E1602" s="679">
        <v>1</v>
      </c>
      <c r="F1602" s="645" t="s">
        <v>1509</v>
      </c>
      <c r="G1602" s="661">
        <v>1</v>
      </c>
      <c r="H1602" s="645" t="s">
        <v>1509</v>
      </c>
      <c r="I1602" s="657">
        <f>IF(B1602=$B$2,$G$2,IF(B1602=$B$3,$G$3,IF(B1602=$B$4,$G$4,IF(B1602=$B$5,$G$5,IF(B1602=$B$6,$G$6,IF(B1602=$B$7,$G$7,FALSE))))))</f>
        <v>660</v>
      </c>
      <c r="J1602" s="694">
        <f>SUM(E1602*I1602/G1602)</f>
        <v>660</v>
      </c>
    </row>
    <row r="1603" spans="1:10" s="644" customFormat="1">
      <c r="A1603" s="668"/>
      <c r="B1603" s="654">
        <v>3</v>
      </c>
      <c r="C1603" s="654"/>
      <c r="D1603" s="645" t="s">
        <v>2742</v>
      </c>
      <c r="E1603" s="679">
        <v>3.3</v>
      </c>
      <c r="F1603" s="680" t="s">
        <v>1738</v>
      </c>
      <c r="G1603" s="661">
        <v>1</v>
      </c>
      <c r="H1603" s="680" t="s">
        <v>1738</v>
      </c>
      <c r="I1603" s="657">
        <f>IF(B1603=$B$2,$G$2,IF(B1603=$B$3,$G$3,IF(B1603=$B$4,$G$4,IF(B1603=$B$5,$G$5,IF(B1603=$B$6,$G$6,IF(B1603=$B$7,$G$7,FALSE))))))</f>
        <v>550</v>
      </c>
      <c r="J1603" s="657">
        <f>SUM(E1603*I1603/G1603)</f>
        <v>1815</v>
      </c>
    </row>
    <row r="1604" spans="1:10" s="644" customFormat="1" ht="38.25">
      <c r="A1604" s="668"/>
      <c r="B1604" s="654">
        <v>5</v>
      </c>
      <c r="C1604" s="654"/>
      <c r="D1604" s="682" t="s">
        <v>3152</v>
      </c>
      <c r="E1604" s="679">
        <v>2.5</v>
      </c>
      <c r="F1604" s="680" t="s">
        <v>1738</v>
      </c>
      <c r="G1604" s="661">
        <v>1</v>
      </c>
      <c r="H1604" s="680" t="s">
        <v>1738</v>
      </c>
      <c r="I1604" s="657">
        <f>IF(B1604=$B$2,$G$2,IF(B1604=$B$3,$G$3,IF(B1604=$B$4,$G$4,IF(B1604=$B$5,$G$5,IF(B1604=$B$6,$G$6,IF(B1604=$B$7,$G$7,FALSE))))))</f>
        <v>520</v>
      </c>
      <c r="J1604" s="694">
        <f>SUM(E1604*I1604/G1604)</f>
        <v>1300</v>
      </c>
    </row>
    <row r="1605" spans="1:10" s="644" customFormat="1">
      <c r="A1605" s="668"/>
      <c r="B1605" s="654"/>
      <c r="C1605" s="654"/>
      <c r="D1605" s="681" t="s">
        <v>3248</v>
      </c>
      <c r="E1605" s="679"/>
      <c r="F1605" s="680"/>
      <c r="G1605" s="661"/>
      <c r="H1605" s="680"/>
      <c r="I1605" s="657"/>
      <c r="J1605" s="694">
        <f>SUM(J1602:J1604)</f>
        <v>3775</v>
      </c>
    </row>
    <row r="1606" spans="1:10" s="644" customFormat="1">
      <c r="A1606" s="668"/>
      <c r="B1606" s="654"/>
      <c r="C1606" s="654"/>
      <c r="D1606" s="681" t="s">
        <v>3155</v>
      </c>
      <c r="E1606" s="679"/>
      <c r="F1606" s="680"/>
      <c r="G1606" s="661"/>
      <c r="H1606" s="680"/>
      <c r="I1606" s="657"/>
      <c r="J1606" s="694">
        <f>SUM(J1605/60)</f>
        <v>62.916666666666664</v>
      </c>
    </row>
    <row r="1607" spans="1:10" s="644" customFormat="1">
      <c r="A1607" s="668"/>
      <c r="B1607" s="654"/>
      <c r="C1607" s="654"/>
      <c r="D1607" s="696" t="s">
        <v>2785</v>
      </c>
      <c r="E1607" s="679"/>
      <c r="F1607" s="680"/>
      <c r="G1607" s="661"/>
      <c r="H1607" s="680"/>
      <c r="I1607" s="657"/>
      <c r="J1607" s="694"/>
    </row>
    <row r="1608" spans="1:10" s="644" customFormat="1" ht="38.25">
      <c r="A1608" s="668"/>
      <c r="B1608" s="654" t="s">
        <v>3156</v>
      </c>
      <c r="C1608" s="661"/>
      <c r="D1608" s="919" t="s">
        <v>3249</v>
      </c>
      <c r="E1608" s="679">
        <v>41.5</v>
      </c>
      <c r="F1608" s="645" t="s">
        <v>484</v>
      </c>
      <c r="G1608" s="661">
        <v>1</v>
      </c>
      <c r="H1608" s="645" t="s">
        <v>484</v>
      </c>
      <c r="I1608" s="657">
        <v>289</v>
      </c>
      <c r="J1608" s="694">
        <f>SUM(E1608*I1608/G1608)</f>
        <v>11993.5</v>
      </c>
    </row>
    <row r="1609" spans="1:10" s="644" customFormat="1">
      <c r="A1609" s="668"/>
      <c r="B1609" s="654"/>
      <c r="C1609" s="654"/>
      <c r="D1609" s="682" t="s">
        <v>3250</v>
      </c>
      <c r="E1609" s="679"/>
      <c r="F1609" s="682"/>
      <c r="G1609" s="661"/>
      <c r="H1609" s="645"/>
      <c r="I1609" s="657"/>
      <c r="J1609" s="694">
        <f>SUM(J1608)</f>
        <v>11993.5</v>
      </c>
    </row>
    <row r="1610" spans="1:10" s="644" customFormat="1">
      <c r="A1610" s="668"/>
      <c r="B1610" s="654"/>
      <c r="C1610" s="654"/>
      <c r="D1610" s="682" t="s">
        <v>3251</v>
      </c>
      <c r="E1610" s="679"/>
      <c r="F1610" s="680"/>
      <c r="G1610" s="661"/>
      <c r="H1610" s="680"/>
      <c r="I1610" s="657"/>
      <c r="J1610" s="694">
        <f>SUM(J1609/100)</f>
        <v>119.935</v>
      </c>
    </row>
    <row r="1611" spans="1:10" s="644" customFormat="1" ht="89.25">
      <c r="A1611" s="668"/>
      <c r="B1611" s="654" t="s">
        <v>3252</v>
      </c>
      <c r="C1611" s="661" t="s">
        <v>1184</v>
      </c>
      <c r="D1611" s="919" t="s">
        <v>3253</v>
      </c>
      <c r="E1611" s="679"/>
      <c r="F1611" s="680"/>
      <c r="G1611" s="661"/>
      <c r="H1611" s="680"/>
      <c r="I1611" s="657"/>
      <c r="J1611" s="694"/>
    </row>
    <row r="1612" spans="1:10" s="644" customFormat="1" ht="25.5">
      <c r="A1612" s="668"/>
      <c r="B1612" s="654"/>
      <c r="C1612" s="654"/>
      <c r="D1612" s="919" t="s">
        <v>3254</v>
      </c>
      <c r="E1612" s="679">
        <v>1</v>
      </c>
      <c r="F1612" s="645" t="s">
        <v>2763</v>
      </c>
      <c r="G1612" s="661">
        <v>1</v>
      </c>
      <c r="H1612" s="645" t="s">
        <v>2805</v>
      </c>
      <c r="I1612" s="657">
        <v>135</v>
      </c>
      <c r="J1612" s="694">
        <f>SUM(E1612*I1612/G1612)</f>
        <v>135</v>
      </c>
    </row>
    <row r="1613" spans="1:10" s="644" customFormat="1">
      <c r="A1613" s="668"/>
      <c r="B1613" s="654"/>
      <c r="C1613" s="654"/>
      <c r="D1613" s="682" t="s">
        <v>3251</v>
      </c>
      <c r="E1613" s="679"/>
      <c r="F1613" s="645"/>
      <c r="G1613" s="663"/>
      <c r="H1613" s="645"/>
      <c r="I1613" s="657"/>
      <c r="J1613" s="694">
        <f>SUM(J1610:J1612)</f>
        <v>254.935</v>
      </c>
    </row>
    <row r="1614" spans="1:10" s="644" customFormat="1" ht="25.5">
      <c r="A1614" s="668"/>
      <c r="B1614" s="654"/>
      <c r="C1614" s="654"/>
      <c r="D1614" s="656" t="s">
        <v>2766</v>
      </c>
      <c r="E1614" s="679"/>
      <c r="F1614" s="645"/>
      <c r="G1614" s="663"/>
      <c r="H1614" s="645"/>
      <c r="I1614" s="672"/>
      <c r="J1614" s="694">
        <f>ROUNDDOWN(J1606+J1613,0)</f>
        <v>317</v>
      </c>
    </row>
    <row r="1615" spans="1:10" s="644" customFormat="1">
      <c r="A1615" s="668"/>
      <c r="B1615" s="668"/>
      <c r="C1615" s="668"/>
      <c r="D1615" s="2175" t="s">
        <v>2767</v>
      </c>
      <c r="E1615" s="2175"/>
      <c r="F1615" s="920">
        <v>0.13614999999999999</v>
      </c>
      <c r="G1615" s="671"/>
      <c r="H1615" s="921"/>
      <c r="I1615" s="672"/>
      <c r="J1615" s="676">
        <f>J1614*F1615</f>
        <v>43.159549999999996</v>
      </c>
    </row>
    <row r="1616" spans="1:10" s="644" customFormat="1">
      <c r="A1616" s="668"/>
      <c r="B1616" s="668"/>
      <c r="C1616" s="668"/>
      <c r="D1616" s="664"/>
      <c r="E1616" s="673"/>
      <c r="F1616" s="685"/>
      <c r="G1616" s="671"/>
      <c r="H1616" s="921"/>
      <c r="I1616" s="672"/>
      <c r="J1616" s="676">
        <f>SUM(J1614:J1615)</f>
        <v>360.15954999999997</v>
      </c>
    </row>
    <row r="1617" spans="1:10" s="644" customFormat="1">
      <c r="A1617" s="668"/>
      <c r="B1617" s="668"/>
      <c r="C1617" s="668"/>
      <c r="D1617" s="669" t="s">
        <v>2768</v>
      </c>
      <c r="E1617" s="683"/>
      <c r="F1617" s="685"/>
      <c r="G1617" s="671"/>
      <c r="H1617" s="921"/>
      <c r="I1617" s="672"/>
      <c r="J1617" s="693">
        <f>ROUND(J1616,0)</f>
        <v>360</v>
      </c>
    </row>
    <row r="1618" spans="1:10" s="644" customFormat="1">
      <c r="A1618" s="668"/>
      <c r="B1618" s="668"/>
      <c r="C1618" s="668"/>
      <c r="D1618" s="664"/>
      <c r="E1618" s="664"/>
      <c r="F1618" s="685"/>
      <c r="G1618" s="671"/>
      <c r="H1618" s="921"/>
      <c r="I1618" s="672"/>
      <c r="J1618" s="693"/>
    </row>
    <row r="1619" spans="1:10" s="644" customFormat="1">
      <c r="A1619" s="668" t="s">
        <v>3255</v>
      </c>
      <c r="B1619" s="664"/>
      <c r="C1619" s="664"/>
      <c r="D1619" s="2174" t="s">
        <v>3256</v>
      </c>
      <c r="E1619" s="2174"/>
      <c r="F1619" s="2174"/>
      <c r="G1619" s="2174"/>
      <c r="H1619" s="2174"/>
      <c r="I1619" s="2174"/>
      <c r="J1619" s="2174"/>
    </row>
    <row r="1620" spans="1:10" s="644" customFormat="1">
      <c r="A1620" s="653">
        <f>SUM(MAX($A$7:$A1619),1)</f>
        <v>93</v>
      </c>
      <c r="B1620" s="665"/>
      <c r="C1620" s="665"/>
      <c r="D1620" s="2155" t="s">
        <v>3257</v>
      </c>
      <c r="E1620" s="2155"/>
      <c r="F1620" s="2155"/>
      <c r="G1620" s="2155"/>
      <c r="H1620" s="2155"/>
      <c r="I1620" s="2155"/>
      <c r="J1620" s="2155"/>
    </row>
    <row r="1621" spans="1:10" s="644" customFormat="1">
      <c r="A1621" s="668"/>
      <c r="B1621" s="654"/>
      <c r="C1621" s="654"/>
      <c r="D1621" s="682" t="s">
        <v>2754</v>
      </c>
      <c r="E1621" s="679"/>
      <c r="F1621" s="645"/>
      <c r="G1621" s="661"/>
      <c r="H1621" s="645"/>
      <c r="I1621" s="657"/>
      <c r="J1621" s="694"/>
    </row>
    <row r="1622" spans="1:10" s="644" customFormat="1">
      <c r="A1622" s="668"/>
      <c r="B1622" s="654">
        <v>1</v>
      </c>
      <c r="C1622" s="654"/>
      <c r="D1622" s="645" t="s">
        <v>2741</v>
      </c>
      <c r="E1622" s="679">
        <v>5.5E-2</v>
      </c>
      <c r="F1622" s="680" t="s">
        <v>1738</v>
      </c>
      <c r="G1622" s="661">
        <v>1</v>
      </c>
      <c r="H1622" s="680" t="s">
        <v>1738</v>
      </c>
      <c r="I1622" s="657">
        <v>550</v>
      </c>
      <c r="J1622" s="694">
        <f>SUM(E1622*I1622/G1622)</f>
        <v>30.25</v>
      </c>
    </row>
    <row r="1623" spans="1:10" s="644" customFormat="1">
      <c r="A1623" s="668"/>
      <c r="B1623" s="654"/>
      <c r="C1623" s="654"/>
      <c r="D1623" s="682" t="s">
        <v>2829</v>
      </c>
      <c r="E1623" s="679"/>
      <c r="F1623" s="680"/>
      <c r="G1623" s="661"/>
      <c r="H1623" s="680"/>
      <c r="I1623" s="657"/>
      <c r="J1623" s="694">
        <f>SUM(J1622:J1622)</f>
        <v>30.25</v>
      </c>
    </row>
    <row r="1624" spans="1:10" s="644" customFormat="1">
      <c r="A1624" s="668"/>
      <c r="B1624" s="654"/>
      <c r="C1624" s="654"/>
      <c r="D1624" s="696" t="s">
        <v>1879</v>
      </c>
      <c r="E1624" s="679"/>
      <c r="F1624" s="680"/>
      <c r="G1624" s="661"/>
      <c r="H1624" s="680"/>
      <c r="I1624" s="657"/>
      <c r="J1624" s="694"/>
    </row>
    <row r="1625" spans="1:10" s="644" customFormat="1">
      <c r="A1625" s="668"/>
      <c r="B1625" s="654" t="s">
        <v>2795</v>
      </c>
      <c r="C1625" s="661" t="s">
        <v>1180</v>
      </c>
      <c r="D1625" s="682" t="s">
        <v>3258</v>
      </c>
      <c r="E1625" s="679">
        <v>1</v>
      </c>
      <c r="F1625" s="645" t="s">
        <v>955</v>
      </c>
      <c r="G1625" s="661">
        <v>1</v>
      </c>
      <c r="H1625" s="645" t="s">
        <v>1509</v>
      </c>
      <c r="I1625" s="657">
        <v>71</v>
      </c>
      <c r="J1625" s="694">
        <f>SUM(E1625*I1625/G1625)</f>
        <v>71</v>
      </c>
    </row>
    <row r="1626" spans="1:10" s="644" customFormat="1" ht="25.5">
      <c r="A1626" s="668"/>
      <c r="B1626" s="654" t="s">
        <v>2797</v>
      </c>
      <c r="C1626" s="661" t="s">
        <v>1180</v>
      </c>
      <c r="D1626" s="682" t="s">
        <v>3259</v>
      </c>
      <c r="E1626" s="679">
        <v>1</v>
      </c>
      <c r="F1626" s="645" t="s">
        <v>955</v>
      </c>
      <c r="G1626" s="661">
        <v>1</v>
      </c>
      <c r="H1626" s="645" t="s">
        <v>1509</v>
      </c>
      <c r="I1626" s="657">
        <v>79</v>
      </c>
      <c r="J1626" s="694">
        <f>SUM(E1626*I1626/G1626)</f>
        <v>79</v>
      </c>
    </row>
    <row r="1627" spans="1:10" s="644" customFormat="1" ht="25.5">
      <c r="A1627" s="668"/>
      <c r="B1627" s="654" t="s">
        <v>2799</v>
      </c>
      <c r="C1627" s="661" t="s">
        <v>3147</v>
      </c>
      <c r="D1627" s="682" t="s">
        <v>3260</v>
      </c>
      <c r="E1627" s="679">
        <v>1</v>
      </c>
      <c r="F1627" s="645" t="s">
        <v>955</v>
      </c>
      <c r="G1627" s="661">
        <v>1</v>
      </c>
      <c r="H1627" s="645" t="s">
        <v>1509</v>
      </c>
      <c r="I1627" s="657">
        <v>125</v>
      </c>
      <c r="J1627" s="694">
        <f>SUM(E1627*I1627/G1627)</f>
        <v>125</v>
      </c>
    </row>
    <row r="1628" spans="1:10" s="644" customFormat="1">
      <c r="A1628" s="668"/>
      <c r="B1628" s="654"/>
      <c r="C1628" s="654"/>
      <c r="D1628" s="696" t="s">
        <v>2996</v>
      </c>
      <c r="E1628" s="679"/>
      <c r="F1628" s="680"/>
      <c r="G1628" s="661"/>
      <c r="H1628" s="680"/>
      <c r="I1628" s="657"/>
      <c r="J1628" s="694">
        <f>SUM(J1625:J1627)</f>
        <v>275</v>
      </c>
    </row>
    <row r="1629" spans="1:10" s="644" customFormat="1" ht="25.5">
      <c r="A1629" s="668"/>
      <c r="B1629" s="654"/>
      <c r="C1629" s="654"/>
      <c r="D1629" s="656" t="s">
        <v>2766</v>
      </c>
      <c r="E1629" s="679"/>
      <c r="F1629" s="680"/>
      <c r="G1629" s="661"/>
      <c r="H1629" s="680"/>
      <c r="I1629" s="657"/>
      <c r="J1629" s="655">
        <f>ROUNDDOWN(J1623+J1628,0)</f>
        <v>305</v>
      </c>
    </row>
    <row r="1630" spans="1:10" s="644" customFormat="1">
      <c r="A1630" s="668"/>
      <c r="B1630" s="664"/>
      <c r="C1630" s="664"/>
      <c r="D1630" s="669" t="s">
        <v>2767</v>
      </c>
      <c r="E1630" s="670">
        <f>$E$9</f>
        <v>0</v>
      </c>
      <c r="F1630" s="684"/>
      <c r="G1630" s="663"/>
      <c r="H1630" s="684"/>
      <c r="I1630" s="672"/>
      <c r="J1630" s="676">
        <f>J1629*E1630</f>
        <v>0</v>
      </c>
    </row>
    <row r="1631" spans="1:10" s="644" customFormat="1">
      <c r="A1631" s="668"/>
      <c r="B1631" s="664"/>
      <c r="C1631" s="664"/>
      <c r="D1631" s="673"/>
      <c r="E1631" s="685"/>
      <c r="F1631" s="684"/>
      <c r="G1631" s="663"/>
      <c r="H1631" s="684"/>
      <c r="I1631" s="672"/>
      <c r="J1631" s="676">
        <f>SUM(J1629:J1630)</f>
        <v>305</v>
      </c>
    </row>
    <row r="1632" spans="1:10" s="644" customFormat="1">
      <c r="A1632" s="668"/>
      <c r="B1632" s="664"/>
      <c r="C1632" s="664"/>
      <c r="D1632" s="669" t="s">
        <v>2380</v>
      </c>
      <c r="E1632" s="685"/>
      <c r="F1632" s="684"/>
      <c r="G1632" s="663"/>
      <c r="H1632" s="684"/>
      <c r="I1632" s="686"/>
      <c r="J1632" s="693">
        <f>ROUND(J1631,0)</f>
        <v>305</v>
      </c>
    </row>
    <row r="1633" spans="1:10" s="644" customFormat="1">
      <c r="A1633" s="668"/>
      <c r="B1633" s="664"/>
      <c r="C1633" s="664"/>
      <c r="D1633" s="691"/>
      <c r="E1633" s="685"/>
      <c r="F1633" s="684"/>
      <c r="G1633" s="663"/>
      <c r="H1633" s="684"/>
      <c r="I1633" s="686"/>
      <c r="J1633" s="676"/>
    </row>
    <row r="1634" spans="1:10" s="644" customFormat="1">
      <c r="A1634" s="653">
        <f>SUM(MAX($A$7:$A1633),1)</f>
        <v>94</v>
      </c>
      <c r="B1634" s="665"/>
      <c r="C1634" s="665"/>
      <c r="D1634" s="2158" t="s">
        <v>3261</v>
      </c>
      <c r="E1634" s="2158"/>
      <c r="F1634" s="2158"/>
      <c r="G1634" s="2158"/>
      <c r="H1634" s="2158"/>
      <c r="I1634" s="2158"/>
      <c r="J1634" s="2158"/>
    </row>
    <row r="1635" spans="1:10" s="644" customFormat="1">
      <c r="A1635" s="668"/>
      <c r="B1635" s="654"/>
      <c r="C1635" s="654"/>
      <c r="D1635" s="802" t="s">
        <v>3262</v>
      </c>
      <c r="E1635" s="679"/>
      <c r="F1635" s="645"/>
      <c r="G1635" s="661"/>
      <c r="H1635" s="645"/>
      <c r="I1635" s="657"/>
      <c r="J1635" s="694"/>
    </row>
    <row r="1636" spans="1:10" s="644" customFormat="1">
      <c r="A1636" s="668"/>
      <c r="B1636" s="654">
        <v>1</v>
      </c>
      <c r="C1636" s="654"/>
      <c r="D1636" s="645" t="s">
        <v>2740</v>
      </c>
      <c r="E1636" s="679">
        <v>0.5</v>
      </c>
      <c r="F1636" s="680" t="s">
        <v>1738</v>
      </c>
      <c r="G1636" s="661">
        <v>1</v>
      </c>
      <c r="H1636" s="680" t="s">
        <v>1738</v>
      </c>
      <c r="I1636" s="657">
        <f>IF(B1636=$B$2,$G$2,IF(B1636=$B$3,$G$3,IF(B1636=$B$4,$G$4,IF(B1636=$B$5,$G$5,IF(B1636=$B$6,$G$6,IF(B1636=$B$7,$G$7,FALSE))))))</f>
        <v>660</v>
      </c>
      <c r="J1636" s="694">
        <f>SUM(E1636*I1636/G1636)</f>
        <v>330</v>
      </c>
    </row>
    <row r="1637" spans="1:10" s="644" customFormat="1">
      <c r="A1637" s="668"/>
      <c r="B1637" s="654">
        <v>2</v>
      </c>
      <c r="C1637" s="654"/>
      <c r="D1637" s="645" t="s">
        <v>2741</v>
      </c>
      <c r="E1637" s="679">
        <v>1</v>
      </c>
      <c r="F1637" s="680" t="s">
        <v>1738</v>
      </c>
      <c r="G1637" s="661">
        <v>1</v>
      </c>
      <c r="H1637" s="680" t="s">
        <v>1738</v>
      </c>
      <c r="I1637" s="657">
        <f>IF(B1637=$B$2,$G$2,IF(B1637=$B$3,$G$3,IF(B1637=$B$4,$G$4,IF(B1637=$B$5,$G$5,IF(B1637=$B$6,$G$6,IF(B1637=$B$7,$G$7,FALSE))))))</f>
        <v>550</v>
      </c>
      <c r="J1637" s="694">
        <f>SUM(E1637*I1637/G1637)</f>
        <v>550</v>
      </c>
    </row>
    <row r="1638" spans="1:10" s="644" customFormat="1">
      <c r="A1638" s="668"/>
      <c r="B1638" s="654">
        <v>3</v>
      </c>
      <c r="C1638" s="654"/>
      <c r="D1638" s="645" t="s">
        <v>2742</v>
      </c>
      <c r="E1638" s="679">
        <v>0.5</v>
      </c>
      <c r="F1638" s="680" t="s">
        <v>1738</v>
      </c>
      <c r="G1638" s="661">
        <v>1</v>
      </c>
      <c r="H1638" s="680" t="s">
        <v>1738</v>
      </c>
      <c r="I1638" s="657">
        <f>IF(B1638=$B$2,$G$2,IF(B1638=$B$3,$G$3,IF(B1638=$B$4,$G$4,IF(B1638=$B$5,$G$5,IF(B1638=$B$6,$G$6,IF(B1638=$B$7,$G$7,FALSE))))))</f>
        <v>550</v>
      </c>
      <c r="J1638" s="657">
        <f>SUM(E1638*I1638/G1638)</f>
        <v>275</v>
      </c>
    </row>
    <row r="1639" spans="1:10" s="644" customFormat="1">
      <c r="A1639" s="668"/>
      <c r="B1639" s="654"/>
      <c r="C1639" s="654"/>
      <c r="D1639" s="682" t="s">
        <v>2971</v>
      </c>
      <c r="E1639" s="679"/>
      <c r="F1639" s="680"/>
      <c r="G1639" s="661"/>
      <c r="H1639" s="680"/>
      <c r="I1639" s="657"/>
      <c r="J1639" s="694">
        <f>SUM(J1636:J1638)</f>
        <v>1155</v>
      </c>
    </row>
    <row r="1640" spans="1:10" s="644" customFormat="1">
      <c r="A1640" s="668"/>
      <c r="B1640" s="654"/>
      <c r="C1640" s="654"/>
      <c r="D1640" s="682" t="s">
        <v>2861</v>
      </c>
      <c r="E1640" s="679"/>
      <c r="F1640" s="680"/>
      <c r="G1640" s="661"/>
      <c r="H1640" s="680"/>
      <c r="I1640" s="657"/>
      <c r="J1640" s="694">
        <f>SUM(J1639/100)</f>
        <v>11.55</v>
      </c>
    </row>
    <row r="1641" spans="1:10" s="644" customFormat="1">
      <c r="A1641" s="668"/>
      <c r="B1641" s="654"/>
      <c r="C1641" s="654"/>
      <c r="D1641" s="696" t="s">
        <v>2785</v>
      </c>
      <c r="E1641" s="679"/>
      <c r="F1641" s="680"/>
      <c r="G1641" s="661"/>
      <c r="H1641" s="680"/>
      <c r="I1641" s="657"/>
      <c r="J1641" s="694"/>
    </row>
    <row r="1642" spans="1:10" s="644" customFormat="1" ht="25.5">
      <c r="A1642" s="668"/>
      <c r="B1642" s="654" t="s">
        <v>3263</v>
      </c>
      <c r="C1642" s="661" t="s">
        <v>1180</v>
      </c>
      <c r="D1642" s="682" t="s">
        <v>3264</v>
      </c>
      <c r="E1642" s="679">
        <v>100</v>
      </c>
      <c r="F1642" s="645" t="s">
        <v>2805</v>
      </c>
      <c r="G1642" s="661">
        <v>100</v>
      </c>
      <c r="H1642" s="645" t="s">
        <v>2805</v>
      </c>
      <c r="I1642" s="695">
        <v>1047</v>
      </c>
      <c r="J1642" s="694">
        <f>SUM(E1642*I1642/G1642)</f>
        <v>1047</v>
      </c>
    </row>
    <row r="1643" spans="1:10" s="644" customFormat="1">
      <c r="A1643" s="668"/>
      <c r="B1643" s="654"/>
      <c r="C1643" s="654"/>
      <c r="D1643" s="682" t="s">
        <v>3250</v>
      </c>
      <c r="E1643" s="679"/>
      <c r="F1643" s="682"/>
      <c r="G1643" s="661"/>
      <c r="H1643" s="645"/>
      <c r="I1643" s="657"/>
      <c r="J1643" s="694">
        <f>SUM(J1642)</f>
        <v>1047</v>
      </c>
    </row>
    <row r="1644" spans="1:10" s="644" customFormat="1">
      <c r="A1644" s="668"/>
      <c r="B1644" s="654"/>
      <c r="C1644" s="654"/>
      <c r="D1644" s="682" t="s">
        <v>3265</v>
      </c>
      <c r="E1644" s="679"/>
      <c r="F1644" s="645"/>
      <c r="G1644" s="661"/>
      <c r="H1644" s="645"/>
      <c r="I1644" s="657"/>
      <c r="J1644" s="694">
        <f>SUM(J1643/100)</f>
        <v>10.47</v>
      </c>
    </row>
    <row r="1645" spans="1:10" s="644" customFormat="1" ht="25.5">
      <c r="A1645" s="668"/>
      <c r="B1645" s="654"/>
      <c r="C1645" s="654"/>
      <c r="D1645" s="656" t="s">
        <v>2766</v>
      </c>
      <c r="E1645" s="682"/>
      <c r="F1645" s="770"/>
      <c r="G1645" s="654"/>
      <c r="H1645" s="681"/>
      <c r="I1645" s="672"/>
      <c r="J1645" s="694">
        <f>ROUNDDOWN(J1640+J1644,1)</f>
        <v>22</v>
      </c>
    </row>
    <row r="1646" spans="1:10" s="644" customFormat="1">
      <c r="A1646" s="668"/>
      <c r="B1646" s="664"/>
      <c r="C1646" s="664"/>
      <c r="D1646" s="669" t="s">
        <v>2767</v>
      </c>
      <c r="E1646" s="670">
        <f>$E$9</f>
        <v>0</v>
      </c>
      <c r="F1646" s="684"/>
      <c r="G1646" s="663"/>
      <c r="H1646" s="684"/>
      <c r="I1646" s="672"/>
      <c r="J1646" s="676">
        <f>J1645*$E1646</f>
        <v>0</v>
      </c>
    </row>
    <row r="1647" spans="1:10" s="644" customFormat="1">
      <c r="A1647" s="668"/>
      <c r="B1647" s="664"/>
      <c r="C1647" s="664"/>
      <c r="D1647" s="673"/>
      <c r="E1647" s="685"/>
      <c r="F1647" s="684"/>
      <c r="G1647" s="663"/>
      <c r="H1647" s="684"/>
      <c r="I1647" s="672"/>
      <c r="J1647" s="676">
        <f>SUM(J1645:J1646)</f>
        <v>22</v>
      </c>
    </row>
    <row r="1648" spans="1:10" s="644" customFormat="1">
      <c r="A1648" s="668"/>
      <c r="B1648" s="664"/>
      <c r="C1648" s="664"/>
      <c r="D1648" s="669" t="s">
        <v>2768</v>
      </c>
      <c r="E1648" s="685"/>
      <c r="F1648" s="684"/>
      <c r="G1648" s="663"/>
      <c r="H1648" s="684"/>
      <c r="I1648" s="686"/>
      <c r="J1648" s="693">
        <f>ROUND(J1647,0)</f>
        <v>22</v>
      </c>
    </row>
    <row r="1649" spans="1:10" s="644" customFormat="1">
      <c r="A1649" s="668"/>
      <c r="B1649" s="664"/>
      <c r="C1649" s="664"/>
      <c r="D1649" s="669"/>
      <c r="E1649" s="685"/>
      <c r="F1649" s="684"/>
      <c r="G1649" s="663"/>
      <c r="H1649" s="684"/>
      <c r="I1649" s="686"/>
      <c r="J1649" s="693"/>
    </row>
    <row r="1650" spans="1:10" s="644" customFormat="1">
      <c r="A1650" s="653">
        <f>SUM(MAX($A$7:$A1649),1)</f>
        <v>95</v>
      </c>
      <c r="B1650" s="665"/>
      <c r="C1650" s="665"/>
      <c r="D1650" s="2158" t="s">
        <v>3266</v>
      </c>
      <c r="E1650" s="2158"/>
      <c r="F1650" s="2158"/>
      <c r="G1650" s="2158"/>
      <c r="H1650" s="2158"/>
      <c r="I1650" s="2158"/>
      <c r="J1650" s="2158"/>
    </row>
    <row r="1651" spans="1:10" s="644" customFormat="1">
      <c r="A1651" s="668"/>
      <c r="B1651" s="654"/>
      <c r="C1651" s="654"/>
      <c r="D1651" s="802" t="s">
        <v>3262</v>
      </c>
      <c r="E1651" s="679"/>
      <c r="F1651" s="645"/>
      <c r="G1651" s="661"/>
      <c r="H1651" s="645"/>
      <c r="I1651" s="657"/>
      <c r="J1651" s="694"/>
    </row>
    <row r="1652" spans="1:10" s="644" customFormat="1">
      <c r="A1652" s="668"/>
      <c r="B1652" s="654">
        <v>1</v>
      </c>
      <c r="C1652" s="654"/>
      <c r="D1652" s="645" t="s">
        <v>2740</v>
      </c>
      <c r="E1652" s="679">
        <v>0.5</v>
      </c>
      <c r="F1652" s="680" t="s">
        <v>1738</v>
      </c>
      <c r="G1652" s="661">
        <v>1</v>
      </c>
      <c r="H1652" s="680" t="s">
        <v>1738</v>
      </c>
      <c r="I1652" s="657">
        <f>IF(B1652=$B$2,$G$2,IF(B1652=$B$3,$G$3,IF(B1652=$B$4,$G$4,IF(B1652=$B$5,$G$5,IF(B1652=$B$6,$G$6,IF(B1652=$B$7,$G$7,FALSE))))))</f>
        <v>660</v>
      </c>
      <c r="J1652" s="694">
        <f>SUM(E1652*I1652/G1652)</f>
        <v>330</v>
      </c>
    </row>
    <row r="1653" spans="1:10" s="644" customFormat="1">
      <c r="A1653" s="668"/>
      <c r="B1653" s="654">
        <v>2</v>
      </c>
      <c r="C1653" s="654"/>
      <c r="D1653" s="645" t="s">
        <v>2741</v>
      </c>
      <c r="E1653" s="679">
        <v>1</v>
      </c>
      <c r="F1653" s="680" t="s">
        <v>1738</v>
      </c>
      <c r="G1653" s="661">
        <v>1</v>
      </c>
      <c r="H1653" s="680" t="s">
        <v>1738</v>
      </c>
      <c r="I1653" s="657">
        <f>IF(B1653=$B$2,$G$2,IF(B1653=$B$3,$G$3,IF(B1653=$B$4,$G$4,IF(B1653=$B$5,$G$5,IF(B1653=$B$6,$G$6,IF(B1653=$B$7,$G$7,FALSE))))))</f>
        <v>550</v>
      </c>
      <c r="J1653" s="694">
        <f>SUM(E1653*I1653/G1653)</f>
        <v>550</v>
      </c>
    </row>
    <row r="1654" spans="1:10" s="644" customFormat="1">
      <c r="A1654" s="668"/>
      <c r="B1654" s="654">
        <v>3</v>
      </c>
      <c r="C1654" s="654"/>
      <c r="D1654" s="645" t="s">
        <v>2742</v>
      </c>
      <c r="E1654" s="679">
        <v>0.5</v>
      </c>
      <c r="F1654" s="680" t="s">
        <v>1738</v>
      </c>
      <c r="G1654" s="661">
        <v>1</v>
      </c>
      <c r="H1654" s="680" t="s">
        <v>1738</v>
      </c>
      <c r="I1654" s="657">
        <f>IF(B1654=$B$2,$G$2,IF(B1654=$B$3,$G$3,IF(B1654=$B$4,$G$4,IF(B1654=$B$5,$G$5,IF(B1654=$B$6,$G$6,IF(B1654=$B$7,$G$7,FALSE))))))</f>
        <v>550</v>
      </c>
      <c r="J1654" s="657">
        <f>SUM(E1654*I1654/G1654)</f>
        <v>275</v>
      </c>
    </row>
    <row r="1655" spans="1:10" s="644" customFormat="1">
      <c r="A1655" s="668"/>
      <c r="B1655" s="654"/>
      <c r="C1655" s="654"/>
      <c r="D1655" s="682" t="s">
        <v>2971</v>
      </c>
      <c r="E1655" s="679"/>
      <c r="F1655" s="680"/>
      <c r="G1655" s="661"/>
      <c r="H1655" s="680"/>
      <c r="I1655" s="657"/>
      <c r="J1655" s="694">
        <f>SUM(J1652:J1654)</f>
        <v>1155</v>
      </c>
    </row>
    <row r="1656" spans="1:10" s="644" customFormat="1">
      <c r="A1656" s="668"/>
      <c r="B1656" s="654"/>
      <c r="C1656" s="654"/>
      <c r="D1656" s="682" t="s">
        <v>2861</v>
      </c>
      <c r="E1656" s="679"/>
      <c r="F1656" s="680"/>
      <c r="G1656" s="661"/>
      <c r="H1656" s="680"/>
      <c r="I1656" s="657"/>
      <c r="J1656" s="694">
        <f>SUM(J1655/100)</f>
        <v>11.55</v>
      </c>
    </row>
    <row r="1657" spans="1:10" s="644" customFormat="1">
      <c r="A1657" s="668"/>
      <c r="B1657" s="654"/>
      <c r="C1657" s="654"/>
      <c r="D1657" s="696" t="s">
        <v>2785</v>
      </c>
      <c r="E1657" s="679"/>
      <c r="F1657" s="680"/>
      <c r="G1657" s="661"/>
      <c r="H1657" s="680"/>
      <c r="I1657" s="657"/>
      <c r="J1657" s="694"/>
    </row>
    <row r="1658" spans="1:10" s="644" customFormat="1" ht="25.5">
      <c r="A1658" s="668"/>
      <c r="B1658" s="654" t="s">
        <v>3263</v>
      </c>
      <c r="C1658" s="661" t="s">
        <v>1184</v>
      </c>
      <c r="D1658" s="682" t="s">
        <v>3267</v>
      </c>
      <c r="E1658" s="679">
        <v>100</v>
      </c>
      <c r="F1658" s="645" t="s">
        <v>2805</v>
      </c>
      <c r="G1658" s="661">
        <v>100</v>
      </c>
      <c r="H1658" s="645" t="s">
        <v>2805</v>
      </c>
      <c r="I1658" s="657">
        <v>2921</v>
      </c>
      <c r="J1658" s="694">
        <f>SUM(E1658*I1658/G1658)</f>
        <v>2921</v>
      </c>
    </row>
    <row r="1659" spans="1:10" s="644" customFormat="1">
      <c r="A1659" s="668"/>
      <c r="B1659" s="654"/>
      <c r="C1659" s="654"/>
      <c r="D1659" s="682" t="s">
        <v>3250</v>
      </c>
      <c r="E1659" s="679"/>
      <c r="F1659" s="682"/>
      <c r="G1659" s="661"/>
      <c r="H1659" s="645"/>
      <c r="I1659" s="657"/>
      <c r="J1659" s="694">
        <f>SUM(J1658)</f>
        <v>2921</v>
      </c>
    </row>
    <row r="1660" spans="1:10" s="644" customFormat="1">
      <c r="A1660" s="668"/>
      <c r="B1660" s="654"/>
      <c r="C1660" s="654"/>
      <c r="D1660" s="682" t="s">
        <v>3265</v>
      </c>
      <c r="E1660" s="679"/>
      <c r="F1660" s="645"/>
      <c r="G1660" s="661"/>
      <c r="H1660" s="645"/>
      <c r="I1660" s="657"/>
      <c r="J1660" s="694">
        <f>SUM(J1659/100)</f>
        <v>29.21</v>
      </c>
    </row>
    <row r="1661" spans="1:10" s="644" customFormat="1" ht="25.5">
      <c r="A1661" s="668"/>
      <c r="B1661" s="654"/>
      <c r="C1661" s="654"/>
      <c r="D1661" s="656" t="s">
        <v>2766</v>
      </c>
      <c r="E1661" s="682"/>
      <c r="F1661" s="770"/>
      <c r="G1661" s="654"/>
      <c r="H1661" s="681"/>
      <c r="I1661" s="672"/>
      <c r="J1661" s="694">
        <f>ROUNDDOWN(J1656+J1660,1)</f>
        <v>40.700000000000003</v>
      </c>
    </row>
    <row r="1662" spans="1:10" s="644" customFormat="1">
      <c r="A1662" s="668"/>
      <c r="B1662" s="664"/>
      <c r="C1662" s="664"/>
      <c r="D1662" s="669" t="s">
        <v>2767</v>
      </c>
      <c r="E1662" s="670">
        <f>$E$9</f>
        <v>0</v>
      </c>
      <c r="F1662" s="684"/>
      <c r="G1662" s="663"/>
      <c r="H1662" s="684"/>
      <c r="I1662" s="672"/>
      <c r="J1662" s="676">
        <f>J1661*$E1662</f>
        <v>0</v>
      </c>
    </row>
    <row r="1663" spans="1:10" s="644" customFormat="1">
      <c r="A1663" s="668"/>
      <c r="B1663" s="664"/>
      <c r="C1663" s="664"/>
      <c r="D1663" s="673"/>
      <c r="E1663" s="685"/>
      <c r="F1663" s="684"/>
      <c r="G1663" s="663"/>
      <c r="H1663" s="684"/>
      <c r="I1663" s="672"/>
      <c r="J1663" s="676">
        <f>SUM(J1661:J1662)</f>
        <v>40.700000000000003</v>
      </c>
    </row>
    <row r="1664" spans="1:10" s="644" customFormat="1">
      <c r="A1664" s="668"/>
      <c r="B1664" s="664"/>
      <c r="C1664" s="664"/>
      <c r="D1664" s="669" t="s">
        <v>2768</v>
      </c>
      <c r="E1664" s="685"/>
      <c r="F1664" s="684"/>
      <c r="G1664" s="663"/>
      <c r="H1664" s="684"/>
      <c r="I1664" s="686"/>
      <c r="J1664" s="693">
        <f>ROUND(J1663,0)</f>
        <v>41</v>
      </c>
    </row>
    <row r="1665" spans="1:10" s="644" customFormat="1">
      <c r="A1665" s="668"/>
      <c r="B1665" s="664"/>
      <c r="C1665" s="664"/>
      <c r="D1665" s="669"/>
      <c r="E1665" s="685"/>
      <c r="F1665" s="684"/>
      <c r="G1665" s="663"/>
      <c r="H1665" s="684"/>
      <c r="I1665" s="686"/>
      <c r="J1665" s="676"/>
    </row>
    <row r="1666" spans="1:10" s="644" customFormat="1">
      <c r="A1666" s="653">
        <f>SUM(MAX($A$7:$A1665),1)</f>
        <v>96</v>
      </c>
      <c r="B1666" s="665"/>
      <c r="C1666" s="665"/>
      <c r="D1666" s="2158" t="s">
        <v>3268</v>
      </c>
      <c r="E1666" s="2158"/>
      <c r="F1666" s="2158"/>
      <c r="G1666" s="2158"/>
      <c r="H1666" s="2158"/>
      <c r="I1666" s="2158"/>
      <c r="J1666" s="2158"/>
    </row>
    <row r="1667" spans="1:10" s="644" customFormat="1">
      <c r="A1667" s="668"/>
      <c r="B1667" s="654"/>
      <c r="C1667" s="654"/>
      <c r="D1667" s="802" t="s">
        <v>3262</v>
      </c>
      <c r="E1667" s="679"/>
      <c r="F1667" s="645"/>
      <c r="G1667" s="661"/>
      <c r="H1667" s="645"/>
      <c r="I1667" s="657"/>
      <c r="J1667" s="694"/>
    </row>
    <row r="1668" spans="1:10" s="644" customFormat="1">
      <c r="A1668" s="668"/>
      <c r="B1668" s="654">
        <v>1</v>
      </c>
      <c r="C1668" s="654"/>
      <c r="D1668" s="645" t="s">
        <v>2740</v>
      </c>
      <c r="E1668" s="679">
        <v>0.5</v>
      </c>
      <c r="F1668" s="680" t="s">
        <v>1738</v>
      </c>
      <c r="G1668" s="661">
        <v>1</v>
      </c>
      <c r="H1668" s="680" t="s">
        <v>1738</v>
      </c>
      <c r="I1668" s="657">
        <f>IF(B1668=$B$2,$G$2,IF(B1668=$B$3,$G$3,IF(B1668=$B$4,$G$4,IF(B1668=$B$5,$G$5,IF(B1668=$B$6,$G$6,IF(B1668=$B$7,$G$7,FALSE))))))</f>
        <v>660</v>
      </c>
      <c r="J1668" s="694">
        <f>SUM(E1668*I1668/G1668)</f>
        <v>330</v>
      </c>
    </row>
    <row r="1669" spans="1:10" s="644" customFormat="1">
      <c r="A1669" s="668"/>
      <c r="B1669" s="654">
        <v>2</v>
      </c>
      <c r="C1669" s="654"/>
      <c r="D1669" s="645" t="s">
        <v>2741</v>
      </c>
      <c r="E1669" s="679">
        <v>1</v>
      </c>
      <c r="F1669" s="680" t="s">
        <v>1738</v>
      </c>
      <c r="G1669" s="661">
        <v>1</v>
      </c>
      <c r="H1669" s="680" t="s">
        <v>1738</v>
      </c>
      <c r="I1669" s="657">
        <f>IF(B1669=$B$2,$G$2,IF(B1669=$B$3,$G$3,IF(B1669=$B$4,$G$4,IF(B1669=$B$5,$G$5,IF(B1669=$B$6,$G$6,IF(B1669=$B$7,$G$7,FALSE))))))</f>
        <v>550</v>
      </c>
      <c r="J1669" s="694">
        <f>SUM(E1669*I1669/G1669)</f>
        <v>550</v>
      </c>
    </row>
    <row r="1670" spans="1:10" s="644" customFormat="1">
      <c r="A1670" s="668"/>
      <c r="B1670" s="654">
        <v>3</v>
      </c>
      <c r="C1670" s="654"/>
      <c r="D1670" s="645" t="s">
        <v>2742</v>
      </c>
      <c r="E1670" s="679">
        <v>1</v>
      </c>
      <c r="F1670" s="680" t="s">
        <v>1738</v>
      </c>
      <c r="G1670" s="661">
        <v>1</v>
      </c>
      <c r="H1670" s="680" t="s">
        <v>1738</v>
      </c>
      <c r="I1670" s="657">
        <f>IF(B1670=$B$2,$G$2,IF(B1670=$B$3,$G$3,IF(B1670=$B$4,$G$4,IF(B1670=$B$5,$G$5,IF(B1670=$B$6,$G$6,IF(B1670=$B$7,$G$7,FALSE))))))</f>
        <v>550</v>
      </c>
      <c r="J1670" s="657">
        <f>SUM(E1670*I1670/G1670)</f>
        <v>550</v>
      </c>
    </row>
    <row r="1671" spans="1:10" s="644" customFormat="1">
      <c r="A1671" s="668"/>
      <c r="B1671" s="654"/>
      <c r="C1671" s="654"/>
      <c r="D1671" s="682" t="s">
        <v>2971</v>
      </c>
      <c r="E1671" s="679"/>
      <c r="F1671" s="680"/>
      <c r="G1671" s="661"/>
      <c r="H1671" s="680"/>
      <c r="I1671" s="657"/>
      <c r="J1671" s="694">
        <f>SUM(J1668:J1670)</f>
        <v>1430</v>
      </c>
    </row>
    <row r="1672" spans="1:10" s="644" customFormat="1">
      <c r="A1672" s="668"/>
      <c r="B1672" s="654"/>
      <c r="C1672" s="654"/>
      <c r="D1672" s="682" t="s">
        <v>2861</v>
      </c>
      <c r="E1672" s="679"/>
      <c r="F1672" s="680"/>
      <c r="G1672" s="661"/>
      <c r="H1672" s="680"/>
      <c r="I1672" s="657"/>
      <c r="J1672" s="694">
        <f>SUM(J1671/100)</f>
        <v>14.3</v>
      </c>
    </row>
    <row r="1673" spans="1:10" s="644" customFormat="1">
      <c r="A1673" s="668"/>
      <c r="B1673" s="654"/>
      <c r="C1673" s="654"/>
      <c r="D1673" s="696" t="s">
        <v>2785</v>
      </c>
      <c r="E1673" s="679"/>
      <c r="F1673" s="680"/>
      <c r="G1673" s="661"/>
      <c r="H1673" s="680"/>
      <c r="I1673" s="657"/>
      <c r="J1673" s="694"/>
    </row>
    <row r="1674" spans="1:10" s="644" customFormat="1" ht="25.5">
      <c r="A1674" s="668"/>
      <c r="B1674" s="654" t="s">
        <v>3263</v>
      </c>
      <c r="C1674" s="661" t="s">
        <v>1186</v>
      </c>
      <c r="D1674" s="682" t="s">
        <v>3269</v>
      </c>
      <c r="E1674" s="679">
        <v>1</v>
      </c>
      <c r="F1674" s="645" t="s">
        <v>2805</v>
      </c>
      <c r="G1674" s="661">
        <v>1</v>
      </c>
      <c r="H1674" s="645" t="s">
        <v>2805</v>
      </c>
      <c r="I1674" s="657">
        <v>41</v>
      </c>
      <c r="J1674" s="694">
        <f>SUM(E1674*I1674/G1674)</f>
        <v>41</v>
      </c>
    </row>
    <row r="1675" spans="1:10" s="644" customFormat="1">
      <c r="A1675" s="668"/>
      <c r="B1675" s="654"/>
      <c r="C1675" s="654"/>
      <c r="D1675" s="682" t="s">
        <v>3265</v>
      </c>
      <c r="E1675" s="679"/>
      <c r="F1675" s="645"/>
      <c r="G1675" s="661"/>
      <c r="H1675" s="645"/>
      <c r="I1675" s="657"/>
      <c r="J1675" s="694">
        <f>SUM(J1674)</f>
        <v>41</v>
      </c>
    </row>
    <row r="1676" spans="1:10" s="644" customFormat="1" ht="25.5">
      <c r="A1676" s="668"/>
      <c r="B1676" s="654"/>
      <c r="C1676" s="654"/>
      <c r="D1676" s="656" t="s">
        <v>2766</v>
      </c>
      <c r="E1676" s="682"/>
      <c r="F1676" s="770"/>
      <c r="G1676" s="654"/>
      <c r="H1676" s="681"/>
      <c r="I1676" s="672"/>
      <c r="J1676" s="694">
        <f>ROUNDDOWN(J1672+J1675,1)</f>
        <v>55.3</v>
      </c>
    </row>
    <row r="1677" spans="1:10" s="644" customFormat="1">
      <c r="A1677" s="668"/>
      <c r="B1677" s="664"/>
      <c r="C1677" s="664"/>
      <c r="D1677" s="669" t="s">
        <v>2767</v>
      </c>
      <c r="E1677" s="670">
        <f>$E$9</f>
        <v>0</v>
      </c>
      <c r="F1677" s="684"/>
      <c r="G1677" s="663"/>
      <c r="H1677" s="684"/>
      <c r="I1677" s="672"/>
      <c r="J1677" s="676">
        <f>J1676*$E1677</f>
        <v>0</v>
      </c>
    </row>
    <row r="1678" spans="1:10" s="644" customFormat="1">
      <c r="A1678" s="668"/>
      <c r="B1678" s="664"/>
      <c r="C1678" s="664"/>
      <c r="D1678" s="673"/>
      <c r="E1678" s="685"/>
      <c r="F1678" s="684"/>
      <c r="G1678" s="663"/>
      <c r="H1678" s="684"/>
      <c r="I1678" s="672"/>
      <c r="J1678" s="676">
        <f>SUM(J1676:J1677)</f>
        <v>55.3</v>
      </c>
    </row>
    <row r="1679" spans="1:10" s="644" customFormat="1">
      <c r="A1679" s="668"/>
      <c r="B1679" s="664"/>
      <c r="C1679" s="664"/>
      <c r="D1679" s="669" t="s">
        <v>2768</v>
      </c>
      <c r="E1679" s="685"/>
      <c r="F1679" s="684"/>
      <c r="G1679" s="663"/>
      <c r="H1679" s="684"/>
      <c r="I1679" s="686"/>
      <c r="J1679" s="693">
        <f>ROUND(J1678,0)</f>
        <v>55</v>
      </c>
    </row>
    <row r="1680" spans="1:10" s="644" customFormat="1">
      <c r="A1680" s="668"/>
      <c r="B1680" s="664"/>
      <c r="C1680" s="664"/>
      <c r="D1680" s="669"/>
      <c r="E1680" s="685"/>
      <c r="F1680" s="684"/>
      <c r="G1680" s="663"/>
      <c r="H1680" s="684"/>
      <c r="I1680" s="686"/>
      <c r="J1680" s="693"/>
    </row>
    <row r="1681" spans="1:10" s="644" customFormat="1">
      <c r="A1681" s="653">
        <f>SUM(MAX($A$7:$A1680),1)</f>
        <v>97</v>
      </c>
      <c r="B1681" s="665"/>
      <c r="C1681" s="665"/>
      <c r="D1681" s="2158" t="s">
        <v>3270</v>
      </c>
      <c r="E1681" s="2158"/>
      <c r="F1681" s="2158"/>
      <c r="G1681" s="2158"/>
      <c r="H1681" s="2158"/>
      <c r="I1681" s="2158"/>
      <c r="J1681" s="2158"/>
    </row>
    <row r="1682" spans="1:10" s="644" customFormat="1">
      <c r="A1682" s="668"/>
      <c r="B1682" s="654"/>
      <c r="C1682" s="654"/>
      <c r="D1682" s="802" t="s">
        <v>3262</v>
      </c>
      <c r="E1682" s="679"/>
      <c r="F1682" s="645"/>
      <c r="G1682" s="661"/>
      <c r="H1682" s="645"/>
      <c r="I1682" s="657"/>
      <c r="J1682" s="694"/>
    </row>
    <row r="1683" spans="1:10" s="644" customFormat="1">
      <c r="A1683" s="668"/>
      <c r="B1683" s="654">
        <v>1</v>
      </c>
      <c r="C1683" s="654"/>
      <c r="D1683" s="645" t="s">
        <v>2740</v>
      </c>
      <c r="E1683" s="679">
        <v>0.7</v>
      </c>
      <c r="F1683" s="680" t="s">
        <v>1738</v>
      </c>
      <c r="G1683" s="661">
        <v>1</v>
      </c>
      <c r="H1683" s="680" t="s">
        <v>1738</v>
      </c>
      <c r="I1683" s="657">
        <f>IF(B1683=$B$2,$G$2,IF(B1683=$B$3,$G$3,IF(B1683=$B$4,$G$4,IF(B1683=$B$5,$G$5,IF(B1683=$B$6,$G$6,IF(B1683=$B$7,$G$7,FALSE))))))</f>
        <v>660</v>
      </c>
      <c r="J1683" s="694">
        <f>SUM(E1683*I1683/G1683)</f>
        <v>461.99999999999994</v>
      </c>
    </row>
    <row r="1684" spans="1:10" s="644" customFormat="1">
      <c r="A1684" s="668"/>
      <c r="B1684" s="654">
        <v>2</v>
      </c>
      <c r="C1684" s="654"/>
      <c r="D1684" s="645" t="s">
        <v>2741</v>
      </c>
      <c r="E1684" s="679">
        <v>1</v>
      </c>
      <c r="F1684" s="680" t="s">
        <v>1738</v>
      </c>
      <c r="G1684" s="661">
        <v>1</v>
      </c>
      <c r="H1684" s="680" t="s">
        <v>1738</v>
      </c>
      <c r="I1684" s="657">
        <f>IF(B1684=$B$2,$G$2,IF(B1684=$B$3,$G$3,IF(B1684=$B$4,$G$4,IF(B1684=$B$5,$G$5,IF(B1684=$B$6,$G$6,IF(B1684=$B$7,$G$7,FALSE))))))</f>
        <v>550</v>
      </c>
      <c r="J1684" s="694">
        <f>SUM(E1684*I1684/G1684)</f>
        <v>550</v>
      </c>
    </row>
    <row r="1685" spans="1:10" s="644" customFormat="1">
      <c r="A1685" s="668"/>
      <c r="B1685" s="654">
        <v>3</v>
      </c>
      <c r="C1685" s="654"/>
      <c r="D1685" s="645" t="s">
        <v>2742</v>
      </c>
      <c r="E1685" s="679">
        <v>1</v>
      </c>
      <c r="F1685" s="680" t="s">
        <v>1738</v>
      </c>
      <c r="G1685" s="661">
        <v>1</v>
      </c>
      <c r="H1685" s="680" t="s">
        <v>1738</v>
      </c>
      <c r="I1685" s="657">
        <f>IF(B1685=$B$2,$G$2,IF(B1685=$B$3,$G$3,IF(B1685=$B$4,$G$4,IF(B1685=$B$5,$G$5,IF(B1685=$B$6,$G$6,IF(B1685=$B$7,$G$7,FALSE))))))</f>
        <v>550</v>
      </c>
      <c r="J1685" s="657">
        <f>SUM(E1685*I1685/G1685)</f>
        <v>550</v>
      </c>
    </row>
    <row r="1686" spans="1:10" s="644" customFormat="1">
      <c r="A1686" s="668"/>
      <c r="B1686" s="654"/>
      <c r="C1686" s="654"/>
      <c r="D1686" s="682" t="s">
        <v>2971</v>
      </c>
      <c r="E1686" s="679"/>
      <c r="F1686" s="680"/>
      <c r="G1686" s="661"/>
      <c r="H1686" s="680"/>
      <c r="I1686" s="657"/>
      <c r="J1686" s="694">
        <f>SUM(J1683:J1685)</f>
        <v>1562</v>
      </c>
    </row>
    <row r="1687" spans="1:10" s="644" customFormat="1">
      <c r="A1687" s="668"/>
      <c r="B1687" s="654"/>
      <c r="C1687" s="654"/>
      <c r="D1687" s="682" t="s">
        <v>2861</v>
      </c>
      <c r="E1687" s="679"/>
      <c r="F1687" s="680"/>
      <c r="G1687" s="661"/>
      <c r="H1687" s="680"/>
      <c r="I1687" s="657"/>
      <c r="J1687" s="694">
        <f>SUM(J1686/100)</f>
        <v>15.62</v>
      </c>
    </row>
    <row r="1688" spans="1:10" s="644" customFormat="1">
      <c r="A1688" s="668"/>
      <c r="B1688" s="654"/>
      <c r="C1688" s="654"/>
      <c r="D1688" s="696" t="s">
        <v>2785</v>
      </c>
      <c r="E1688" s="679"/>
      <c r="F1688" s="680"/>
      <c r="G1688" s="661"/>
      <c r="H1688" s="680"/>
      <c r="I1688" s="657"/>
      <c r="J1688" s="694"/>
    </row>
    <row r="1689" spans="1:10" s="644" customFormat="1" ht="25.5">
      <c r="A1689" s="668"/>
      <c r="B1689" s="654" t="s">
        <v>3263</v>
      </c>
      <c r="C1689" s="661" t="s">
        <v>1188</v>
      </c>
      <c r="D1689" s="696" t="s">
        <v>3271</v>
      </c>
      <c r="E1689" s="679">
        <v>1</v>
      </c>
      <c r="F1689" s="645" t="s">
        <v>2805</v>
      </c>
      <c r="G1689" s="661">
        <v>1</v>
      </c>
      <c r="H1689" s="645" t="s">
        <v>2805</v>
      </c>
      <c r="I1689" s="657">
        <v>81</v>
      </c>
      <c r="J1689" s="694">
        <f>SUM(E1689*I1689/G1689)</f>
        <v>81</v>
      </c>
    </row>
    <row r="1690" spans="1:10" s="644" customFormat="1">
      <c r="A1690" s="668"/>
      <c r="B1690" s="654"/>
      <c r="C1690" s="654"/>
      <c r="D1690" s="682" t="s">
        <v>3265</v>
      </c>
      <c r="E1690" s="679"/>
      <c r="F1690" s="645"/>
      <c r="G1690" s="661"/>
      <c r="H1690" s="645"/>
      <c r="I1690" s="657"/>
      <c r="J1690" s="694">
        <f>SUM(J1689:J1689)</f>
        <v>81</v>
      </c>
    </row>
    <row r="1691" spans="1:10" s="644" customFormat="1" ht="25.5">
      <c r="A1691" s="668"/>
      <c r="B1691" s="654"/>
      <c r="C1691" s="654"/>
      <c r="D1691" s="656" t="s">
        <v>2766</v>
      </c>
      <c r="E1691" s="682"/>
      <c r="F1691" s="770"/>
      <c r="G1691" s="654"/>
      <c r="H1691" s="681"/>
      <c r="I1691" s="672"/>
      <c r="J1691" s="694">
        <f>ROUNDDOWN(J1687+J1690,1)</f>
        <v>96.6</v>
      </c>
    </row>
    <row r="1692" spans="1:10" s="644" customFormat="1">
      <c r="A1692" s="668"/>
      <c r="B1692" s="664"/>
      <c r="C1692" s="664"/>
      <c r="D1692" s="669" t="s">
        <v>2767</v>
      </c>
      <c r="E1692" s="670">
        <f>$E$9</f>
        <v>0</v>
      </c>
      <c r="F1692" s="684"/>
      <c r="G1692" s="663"/>
      <c r="H1692" s="684"/>
      <c r="I1692" s="672"/>
      <c r="J1692" s="676">
        <f>J1691*$E1692</f>
        <v>0</v>
      </c>
    </row>
    <row r="1693" spans="1:10" s="644" customFormat="1">
      <c r="A1693" s="668"/>
      <c r="B1693" s="664"/>
      <c r="C1693" s="664"/>
      <c r="D1693" s="673"/>
      <c r="E1693" s="685"/>
      <c r="F1693" s="684"/>
      <c r="G1693" s="663"/>
      <c r="H1693" s="684"/>
      <c r="I1693" s="672"/>
      <c r="J1693" s="676">
        <f>SUM(J1691:J1692)</f>
        <v>96.6</v>
      </c>
    </row>
    <row r="1694" spans="1:10" s="644" customFormat="1">
      <c r="A1694" s="668"/>
      <c r="B1694" s="664"/>
      <c r="C1694" s="664"/>
      <c r="D1694" s="669" t="s">
        <v>2768</v>
      </c>
      <c r="E1694" s="685"/>
      <c r="F1694" s="684"/>
      <c r="G1694" s="663"/>
      <c r="H1694" s="684"/>
      <c r="I1694" s="686"/>
      <c r="J1694" s="693">
        <f>ROUND(J1693,0)</f>
        <v>97</v>
      </c>
    </row>
    <row r="1695" spans="1:10" s="644" customFormat="1">
      <c r="A1695" s="668"/>
      <c r="B1695" s="664"/>
      <c r="C1695" s="664"/>
      <c r="D1695" s="669"/>
      <c r="E1695" s="685"/>
      <c r="F1695" s="684"/>
      <c r="G1695" s="663"/>
      <c r="H1695" s="684"/>
      <c r="I1695" s="686"/>
      <c r="J1695" s="676"/>
    </row>
    <row r="1696" spans="1:10" s="644" customFormat="1">
      <c r="A1696" s="653">
        <f>SUM(MAX($A$7:$A1695),1)</f>
        <v>98</v>
      </c>
      <c r="B1696" s="665"/>
      <c r="C1696" s="665"/>
      <c r="D1696" s="2158" t="s">
        <v>3272</v>
      </c>
      <c r="E1696" s="2158"/>
      <c r="F1696" s="2158"/>
      <c r="G1696" s="2158"/>
      <c r="H1696" s="2158"/>
      <c r="I1696" s="2158"/>
      <c r="J1696" s="2158"/>
    </row>
    <row r="1697" spans="1:10" s="644" customFormat="1">
      <c r="A1697" s="668"/>
      <c r="B1697" s="654"/>
      <c r="C1697" s="654"/>
      <c r="D1697" s="802" t="s">
        <v>3262</v>
      </c>
      <c r="E1697" s="679"/>
      <c r="F1697" s="645"/>
      <c r="G1697" s="661"/>
      <c r="H1697" s="645"/>
      <c r="I1697" s="657"/>
      <c r="J1697" s="694"/>
    </row>
    <row r="1698" spans="1:10" s="644" customFormat="1">
      <c r="A1698" s="668"/>
      <c r="B1698" s="654">
        <v>1</v>
      </c>
      <c r="C1698" s="654"/>
      <c r="D1698" s="645" t="s">
        <v>2740</v>
      </c>
      <c r="E1698" s="679">
        <v>1</v>
      </c>
      <c r="F1698" s="680" t="s">
        <v>1738</v>
      </c>
      <c r="G1698" s="661">
        <v>1</v>
      </c>
      <c r="H1698" s="680" t="s">
        <v>1738</v>
      </c>
      <c r="I1698" s="657">
        <f>IF(B1698=$B$2,$G$2,IF(B1698=$B$3,$G$3,IF(B1698=$B$4,$G$4,IF(B1698=$B$5,$G$5,IF(B1698=$B$6,$G$6,IF(B1698=$B$7,$G$7,FALSE))))))</f>
        <v>660</v>
      </c>
      <c r="J1698" s="694">
        <f>SUM(E1698*I1698/G1698)</f>
        <v>660</v>
      </c>
    </row>
    <row r="1699" spans="1:10" s="644" customFormat="1">
      <c r="A1699" s="668"/>
      <c r="B1699" s="654">
        <v>2</v>
      </c>
      <c r="C1699" s="654"/>
      <c r="D1699" s="645" t="s">
        <v>2741</v>
      </c>
      <c r="E1699" s="679">
        <v>1</v>
      </c>
      <c r="F1699" s="680" t="s">
        <v>1738</v>
      </c>
      <c r="G1699" s="661">
        <v>1</v>
      </c>
      <c r="H1699" s="680" t="s">
        <v>1738</v>
      </c>
      <c r="I1699" s="657">
        <f>IF(B1699=$B$2,$G$2,IF(B1699=$B$3,$G$3,IF(B1699=$B$4,$G$4,IF(B1699=$B$5,$G$5,IF(B1699=$B$6,$G$6,IF(B1699=$B$7,$G$7,FALSE))))))</f>
        <v>550</v>
      </c>
      <c r="J1699" s="694">
        <f>SUM(E1699*I1699/G1699)</f>
        <v>550</v>
      </c>
    </row>
    <row r="1700" spans="1:10" s="644" customFormat="1">
      <c r="A1700" s="668"/>
      <c r="B1700" s="654">
        <v>3</v>
      </c>
      <c r="C1700" s="654"/>
      <c r="D1700" s="645" t="s">
        <v>2742</v>
      </c>
      <c r="E1700" s="679">
        <v>1</v>
      </c>
      <c r="F1700" s="680" t="s">
        <v>1738</v>
      </c>
      <c r="G1700" s="661">
        <v>1</v>
      </c>
      <c r="H1700" s="680" t="s">
        <v>1738</v>
      </c>
      <c r="I1700" s="657">
        <f>IF(B1700=$B$2,$G$2,IF(B1700=$B$3,$G$3,IF(B1700=$B$4,$G$4,IF(B1700=$B$5,$G$5,IF(B1700=$B$6,$G$6,IF(B1700=$B$7,$G$7,FALSE))))))</f>
        <v>550</v>
      </c>
      <c r="J1700" s="657">
        <f>SUM(E1700*I1700/G1700)</f>
        <v>550</v>
      </c>
    </row>
    <row r="1701" spans="1:10" s="644" customFormat="1">
      <c r="A1701" s="668"/>
      <c r="B1701" s="654"/>
      <c r="C1701" s="654"/>
      <c r="D1701" s="682" t="s">
        <v>2971</v>
      </c>
      <c r="E1701" s="679"/>
      <c r="F1701" s="680"/>
      <c r="G1701" s="661"/>
      <c r="H1701" s="680"/>
      <c r="I1701" s="657"/>
      <c r="J1701" s="694">
        <f>SUM(J1698:J1700)</f>
        <v>1760</v>
      </c>
    </row>
    <row r="1702" spans="1:10" s="644" customFormat="1">
      <c r="A1702" s="668"/>
      <c r="B1702" s="654"/>
      <c r="C1702" s="654"/>
      <c r="D1702" s="682" t="s">
        <v>2861</v>
      </c>
      <c r="E1702" s="679"/>
      <c r="F1702" s="680"/>
      <c r="G1702" s="661"/>
      <c r="H1702" s="680"/>
      <c r="I1702" s="657"/>
      <c r="J1702" s="694">
        <f>SUM(J1701/100)</f>
        <v>17.600000000000001</v>
      </c>
    </row>
    <row r="1703" spans="1:10" s="644" customFormat="1">
      <c r="A1703" s="668"/>
      <c r="B1703" s="654"/>
      <c r="C1703" s="654"/>
      <c r="D1703" s="696" t="s">
        <v>2785</v>
      </c>
      <c r="E1703" s="679"/>
      <c r="F1703" s="680"/>
      <c r="G1703" s="661"/>
      <c r="H1703" s="680"/>
      <c r="I1703" s="657"/>
      <c r="J1703" s="694"/>
    </row>
    <row r="1704" spans="1:10" s="644" customFormat="1" ht="25.5">
      <c r="A1704" s="668"/>
      <c r="B1704" s="654" t="s">
        <v>3263</v>
      </c>
      <c r="C1704" s="661" t="s">
        <v>1192</v>
      </c>
      <c r="D1704" s="696" t="s">
        <v>3273</v>
      </c>
      <c r="E1704" s="679">
        <v>1</v>
      </c>
      <c r="F1704" s="645" t="s">
        <v>2805</v>
      </c>
      <c r="G1704" s="661">
        <v>1</v>
      </c>
      <c r="H1704" s="645" t="s">
        <v>2805</v>
      </c>
      <c r="I1704" s="657">
        <v>201</v>
      </c>
      <c r="J1704" s="694">
        <f>SUM(E1704*I1704/G1704)</f>
        <v>201</v>
      </c>
    </row>
    <row r="1705" spans="1:10" s="644" customFormat="1">
      <c r="A1705" s="668"/>
      <c r="B1705" s="654"/>
      <c r="C1705" s="654"/>
      <c r="D1705" s="682" t="s">
        <v>3265</v>
      </c>
      <c r="E1705" s="679"/>
      <c r="F1705" s="645"/>
      <c r="G1705" s="661"/>
      <c r="H1705" s="645"/>
      <c r="I1705" s="657"/>
      <c r="J1705" s="694">
        <f>SUM(J1704:J1704)</f>
        <v>201</v>
      </c>
    </row>
    <row r="1706" spans="1:10" s="644" customFormat="1" ht="25.5">
      <c r="A1706" s="668"/>
      <c r="B1706" s="654"/>
      <c r="C1706" s="654"/>
      <c r="D1706" s="656" t="s">
        <v>2766</v>
      </c>
      <c r="E1706" s="682"/>
      <c r="F1706" s="770"/>
      <c r="G1706" s="654"/>
      <c r="H1706" s="681"/>
      <c r="I1706" s="672"/>
      <c r="J1706" s="694">
        <f>ROUNDDOWN(J1702+J1705,1)</f>
        <v>218.6</v>
      </c>
    </row>
    <row r="1707" spans="1:10" s="644" customFormat="1">
      <c r="A1707" s="668"/>
      <c r="B1707" s="664"/>
      <c r="C1707" s="664"/>
      <c r="D1707" s="669" t="s">
        <v>2767</v>
      </c>
      <c r="E1707" s="670">
        <f>$E$9</f>
        <v>0</v>
      </c>
      <c r="F1707" s="684"/>
      <c r="G1707" s="663"/>
      <c r="H1707" s="684"/>
      <c r="I1707" s="672"/>
      <c r="J1707" s="676">
        <f>J1706*$E1707</f>
        <v>0</v>
      </c>
    </row>
    <row r="1708" spans="1:10" s="644" customFormat="1">
      <c r="A1708" s="668"/>
      <c r="B1708" s="664"/>
      <c r="C1708" s="664"/>
      <c r="D1708" s="673"/>
      <c r="E1708" s="685"/>
      <c r="F1708" s="684"/>
      <c r="G1708" s="663"/>
      <c r="H1708" s="684"/>
      <c r="I1708" s="672"/>
      <c r="J1708" s="676">
        <f>SUM(J1706:J1707)</f>
        <v>218.6</v>
      </c>
    </row>
    <row r="1709" spans="1:10" s="644" customFormat="1">
      <c r="A1709" s="668"/>
      <c r="B1709" s="664"/>
      <c r="C1709" s="664"/>
      <c r="D1709" s="669" t="s">
        <v>2768</v>
      </c>
      <c r="E1709" s="685"/>
      <c r="F1709" s="684"/>
      <c r="G1709" s="663"/>
      <c r="H1709" s="684"/>
      <c r="I1709" s="686"/>
      <c r="J1709" s="693">
        <f>ROUND(J1708,0)</f>
        <v>219</v>
      </c>
    </row>
    <row r="1710" spans="1:10" s="644" customFormat="1">
      <c r="A1710" s="668"/>
      <c r="B1710" s="664"/>
      <c r="C1710" s="664"/>
      <c r="D1710" s="669"/>
      <c r="E1710" s="685"/>
      <c r="F1710" s="684"/>
      <c r="G1710" s="663"/>
      <c r="H1710" s="684"/>
      <c r="I1710" s="686"/>
      <c r="J1710" s="676"/>
    </row>
    <row r="1711" spans="1:10" s="644" customFormat="1">
      <c r="A1711" s="653"/>
      <c r="B1711" s="665"/>
      <c r="C1711" s="665"/>
      <c r="D1711" s="2158" t="s">
        <v>3274</v>
      </c>
      <c r="E1711" s="2158"/>
      <c r="F1711" s="2158"/>
      <c r="G1711" s="2158"/>
      <c r="H1711" s="2158"/>
      <c r="I1711" s="2158"/>
      <c r="J1711" s="2158"/>
    </row>
    <row r="1712" spans="1:10" s="644" customFormat="1">
      <c r="A1712" s="668"/>
      <c r="B1712" s="654"/>
      <c r="C1712" s="654"/>
      <c r="D1712" s="802" t="s">
        <v>3262</v>
      </c>
      <c r="E1712" s="679"/>
      <c r="F1712" s="645"/>
      <c r="G1712" s="661"/>
      <c r="H1712" s="645"/>
      <c r="I1712" s="657"/>
      <c r="J1712" s="694"/>
    </row>
    <row r="1713" spans="1:10" s="644" customFormat="1">
      <c r="A1713" s="668"/>
      <c r="B1713" s="654">
        <v>1</v>
      </c>
      <c r="C1713" s="654"/>
      <c r="D1713" s="645" t="s">
        <v>2740</v>
      </c>
      <c r="E1713" s="679">
        <v>1.2</v>
      </c>
      <c r="F1713" s="680" t="s">
        <v>1738</v>
      </c>
      <c r="G1713" s="661">
        <v>1</v>
      </c>
      <c r="H1713" s="680" t="s">
        <v>1738</v>
      </c>
      <c r="I1713" s="657">
        <f>IF(B1713=$B$2,$G$2,IF(B1713=$B$3,$G$3,IF(B1713=$B$4,$G$4,IF(B1713=$B$5,$G$5,IF(B1713=$B$6,$G$6,IF(B1713=$B$7,$G$7,FALSE))))))</f>
        <v>660</v>
      </c>
      <c r="J1713" s="694">
        <f>SUM(E1713*I1713/G1713)</f>
        <v>792</v>
      </c>
    </row>
    <row r="1714" spans="1:10" s="644" customFormat="1">
      <c r="A1714" s="668"/>
      <c r="B1714" s="654">
        <v>2</v>
      </c>
      <c r="C1714" s="654"/>
      <c r="D1714" s="645" t="s">
        <v>2741</v>
      </c>
      <c r="E1714" s="679">
        <v>1</v>
      </c>
      <c r="F1714" s="680" t="s">
        <v>1738</v>
      </c>
      <c r="G1714" s="661">
        <v>1</v>
      </c>
      <c r="H1714" s="680" t="s">
        <v>1738</v>
      </c>
      <c r="I1714" s="657">
        <f>IF(B1714=$B$2,$G$2,IF(B1714=$B$3,$G$3,IF(B1714=$B$4,$G$4,IF(B1714=$B$5,$G$5,IF(B1714=$B$6,$G$6,IF(B1714=$B$7,$G$7,FALSE))))))</f>
        <v>550</v>
      </c>
      <c r="J1714" s="694">
        <f>SUM(E1714*I1714/G1714)</f>
        <v>550</v>
      </c>
    </row>
    <row r="1715" spans="1:10" s="644" customFormat="1">
      <c r="A1715" s="668"/>
      <c r="B1715" s="654">
        <v>3</v>
      </c>
      <c r="C1715" s="654"/>
      <c r="D1715" s="645" t="s">
        <v>2742</v>
      </c>
      <c r="E1715" s="679">
        <v>1</v>
      </c>
      <c r="F1715" s="680" t="s">
        <v>1738</v>
      </c>
      <c r="G1715" s="661">
        <v>1</v>
      </c>
      <c r="H1715" s="680" t="s">
        <v>1738</v>
      </c>
      <c r="I1715" s="657">
        <f>IF(B1715=$B$2,$G$2,IF(B1715=$B$3,$G$3,IF(B1715=$B$4,$G$4,IF(B1715=$B$5,$G$5,IF(B1715=$B$6,$G$6,IF(B1715=$B$7,$G$7,FALSE))))))</f>
        <v>550</v>
      </c>
      <c r="J1715" s="657">
        <f>SUM(E1715*I1715/G1715)</f>
        <v>550</v>
      </c>
    </row>
    <row r="1716" spans="1:10" s="644" customFormat="1">
      <c r="A1716" s="668"/>
      <c r="B1716" s="654"/>
      <c r="C1716" s="654"/>
      <c r="D1716" s="682" t="s">
        <v>2971</v>
      </c>
      <c r="E1716" s="679"/>
      <c r="F1716" s="680"/>
      <c r="G1716" s="661"/>
      <c r="H1716" s="680"/>
      <c r="I1716" s="657"/>
      <c r="J1716" s="694">
        <f>SUM(J1713:J1715)</f>
        <v>1892</v>
      </c>
    </row>
    <row r="1717" spans="1:10" s="644" customFormat="1">
      <c r="A1717" s="668"/>
      <c r="B1717" s="654"/>
      <c r="C1717" s="654"/>
      <c r="D1717" s="682" t="s">
        <v>2861</v>
      </c>
      <c r="E1717" s="679"/>
      <c r="F1717" s="680"/>
      <c r="G1717" s="661"/>
      <c r="H1717" s="680"/>
      <c r="I1717" s="657"/>
      <c r="J1717" s="694">
        <f>SUM(J1716/100)</f>
        <v>18.920000000000002</v>
      </c>
    </row>
    <row r="1718" spans="1:10" s="644" customFormat="1">
      <c r="A1718" s="668"/>
      <c r="B1718" s="654"/>
      <c r="C1718" s="654"/>
      <c r="D1718" s="696" t="s">
        <v>2785</v>
      </c>
      <c r="E1718" s="679"/>
      <c r="F1718" s="680"/>
      <c r="G1718" s="661"/>
      <c r="H1718" s="680"/>
      <c r="I1718" s="657"/>
      <c r="J1718" s="694"/>
    </row>
    <row r="1719" spans="1:10" s="644" customFormat="1" ht="25.5">
      <c r="A1719" s="668"/>
      <c r="B1719" s="654" t="s">
        <v>3263</v>
      </c>
      <c r="C1719" s="661" t="s">
        <v>3275</v>
      </c>
      <c r="D1719" s="696" t="s">
        <v>3276</v>
      </c>
      <c r="E1719" s="679">
        <v>1</v>
      </c>
      <c r="F1719" s="645" t="s">
        <v>2805</v>
      </c>
      <c r="G1719" s="661">
        <v>1</v>
      </c>
      <c r="H1719" s="645" t="s">
        <v>2805</v>
      </c>
      <c r="I1719" s="657">
        <v>403</v>
      </c>
      <c r="J1719" s="694">
        <f>SUM(E1719*I1719/G1719)</f>
        <v>403</v>
      </c>
    </row>
    <row r="1720" spans="1:10" s="644" customFormat="1">
      <c r="A1720" s="668"/>
      <c r="B1720" s="654"/>
      <c r="C1720" s="654"/>
      <c r="D1720" s="682" t="s">
        <v>3265</v>
      </c>
      <c r="E1720" s="679"/>
      <c r="F1720" s="645"/>
      <c r="G1720" s="661"/>
      <c r="H1720" s="645"/>
      <c r="I1720" s="657"/>
      <c r="J1720" s="694">
        <f>SUM(J1719:J1719)</f>
        <v>403</v>
      </c>
    </row>
    <row r="1721" spans="1:10" s="644" customFormat="1" ht="25.5">
      <c r="A1721" s="668"/>
      <c r="B1721" s="654"/>
      <c r="C1721" s="654"/>
      <c r="D1721" s="656" t="s">
        <v>2766</v>
      </c>
      <c r="E1721" s="682"/>
      <c r="F1721" s="770"/>
      <c r="G1721" s="654"/>
      <c r="H1721" s="681"/>
      <c r="I1721" s="672"/>
      <c r="J1721" s="694">
        <f>ROUNDDOWN(J1717+J1720,1)</f>
        <v>421.9</v>
      </c>
    </row>
    <row r="1722" spans="1:10" s="644" customFormat="1">
      <c r="A1722" s="668"/>
      <c r="B1722" s="664"/>
      <c r="C1722" s="664"/>
      <c r="D1722" s="669" t="s">
        <v>2767</v>
      </c>
      <c r="E1722" s="670">
        <f>$E$9</f>
        <v>0</v>
      </c>
      <c r="F1722" s="684"/>
      <c r="G1722" s="663"/>
      <c r="H1722" s="684"/>
      <c r="I1722" s="672"/>
      <c r="J1722" s="676">
        <f>J1721*$E1722</f>
        <v>0</v>
      </c>
    </row>
    <row r="1723" spans="1:10" s="644" customFormat="1">
      <c r="A1723" s="668"/>
      <c r="B1723" s="664"/>
      <c r="C1723" s="664"/>
      <c r="D1723" s="673"/>
      <c r="E1723" s="685"/>
      <c r="F1723" s="684"/>
      <c r="G1723" s="663"/>
      <c r="H1723" s="684"/>
      <c r="I1723" s="672"/>
      <c r="J1723" s="676">
        <f>SUM(J1721:J1722)</f>
        <v>421.9</v>
      </c>
    </row>
    <row r="1724" spans="1:10" s="644" customFormat="1">
      <c r="A1724" s="668"/>
      <c r="B1724" s="664"/>
      <c r="C1724" s="664"/>
      <c r="D1724" s="669" t="s">
        <v>2768</v>
      </c>
      <c r="E1724" s="685"/>
      <c r="F1724" s="684"/>
      <c r="G1724" s="663"/>
      <c r="H1724" s="684"/>
      <c r="I1724" s="686"/>
      <c r="J1724" s="693">
        <f>ROUND(J1723,0)</f>
        <v>422</v>
      </c>
    </row>
    <row r="1725" spans="1:10" s="644" customFormat="1">
      <c r="A1725" s="668"/>
      <c r="B1725" s="664"/>
      <c r="C1725" s="664"/>
      <c r="D1725" s="669"/>
      <c r="E1725" s="685"/>
      <c r="F1725" s="684"/>
      <c r="G1725" s="663"/>
      <c r="H1725" s="684"/>
      <c r="I1725" s="686"/>
      <c r="J1725" s="676"/>
    </row>
    <row r="1726" spans="1:10" s="644" customFormat="1">
      <c r="A1726" s="653">
        <f>SUM(MAX($A$7:$A1725),1)</f>
        <v>99</v>
      </c>
      <c r="B1726" s="665"/>
      <c r="C1726" s="665"/>
      <c r="D1726" s="2155" t="s">
        <v>3277</v>
      </c>
      <c r="E1726" s="2155"/>
      <c r="F1726" s="2155"/>
      <c r="G1726" s="2155"/>
      <c r="H1726" s="2155"/>
      <c r="I1726" s="2155"/>
      <c r="J1726" s="2155"/>
    </row>
    <row r="1727" spans="1:10" s="644" customFormat="1">
      <c r="A1727" s="668"/>
      <c r="B1727" s="665"/>
      <c r="C1727" s="665"/>
      <c r="D1727" s="682"/>
      <c r="E1727" s="662"/>
      <c r="F1727" s="662"/>
      <c r="G1727" s="654"/>
      <c r="H1727" s="662"/>
      <c r="I1727" s="657"/>
      <c r="J1727" s="662"/>
    </row>
    <row r="1728" spans="1:10" s="644" customFormat="1">
      <c r="A1728" s="668"/>
      <c r="B1728" s="654"/>
      <c r="C1728" s="654"/>
      <c r="D1728" s="802" t="s">
        <v>3262</v>
      </c>
      <c r="E1728" s="679"/>
      <c r="F1728" s="645"/>
      <c r="G1728" s="661"/>
      <c r="H1728" s="645"/>
      <c r="I1728" s="657"/>
      <c r="J1728" s="694"/>
    </row>
    <row r="1729" spans="1:10" s="644" customFormat="1">
      <c r="A1729" s="668"/>
      <c r="B1729" s="654">
        <v>1</v>
      </c>
      <c r="C1729" s="654"/>
      <c r="D1729" s="645" t="s">
        <v>2740</v>
      </c>
      <c r="E1729" s="679">
        <v>0.1</v>
      </c>
      <c r="F1729" s="680" t="s">
        <v>1738</v>
      </c>
      <c r="G1729" s="661">
        <v>1</v>
      </c>
      <c r="H1729" s="680" t="s">
        <v>1738</v>
      </c>
      <c r="I1729" s="657">
        <f>IF(B1729=$B$2,$G$2,IF(B1729=$B$3,$G$3,IF(B1729=$B$4,$G$4,IF(B1729=$B$5,$G$5,IF(B1729=$B$6,$G$6,IF(B1729=$B$7,$G$7,FALSE))))))</f>
        <v>660</v>
      </c>
      <c r="J1729" s="694">
        <f>SUM(E1729*I1729/G1729)</f>
        <v>66</v>
      </c>
    </row>
    <row r="1730" spans="1:10" s="644" customFormat="1">
      <c r="A1730" s="668"/>
      <c r="B1730" s="654">
        <v>2</v>
      </c>
      <c r="C1730" s="654"/>
      <c r="D1730" s="645" t="s">
        <v>2741</v>
      </c>
      <c r="E1730" s="679">
        <v>0.115</v>
      </c>
      <c r="F1730" s="680" t="s">
        <v>1738</v>
      </c>
      <c r="G1730" s="661">
        <v>1</v>
      </c>
      <c r="H1730" s="680" t="s">
        <v>1738</v>
      </c>
      <c r="I1730" s="657">
        <f>IF(B1730=$B$2,$G$2,IF(B1730=$B$3,$G$3,IF(B1730=$B$4,$G$4,IF(B1730=$B$5,$G$5,IF(B1730=$B$6,$G$6,IF(B1730=$B$7,$G$7,FALSE))))))</f>
        <v>550</v>
      </c>
      <c r="J1730" s="694">
        <f>SUM(E1730*I1730/G1730)</f>
        <v>63.25</v>
      </c>
    </row>
    <row r="1731" spans="1:10" s="644" customFormat="1">
      <c r="A1731" s="668"/>
      <c r="B1731" s="654">
        <v>3</v>
      </c>
      <c r="C1731" s="654"/>
      <c r="D1731" s="645" t="s">
        <v>2742</v>
      </c>
      <c r="E1731" s="679"/>
      <c r="F1731" s="680" t="s">
        <v>1738</v>
      </c>
      <c r="G1731" s="661">
        <v>1</v>
      </c>
      <c r="H1731" s="680" t="s">
        <v>1738</v>
      </c>
      <c r="I1731" s="657">
        <f>IF(B1731=$B$2,$G$2,IF(B1731=$B$3,$G$3,IF(B1731=$B$4,$G$4,IF(B1731=$B$5,$G$5,IF(B1731=$B$6,$G$6,IF(B1731=$B$7,$G$7,FALSE))))))</f>
        <v>550</v>
      </c>
      <c r="J1731" s="657">
        <f>SUM(E1731*I1731/G1731)</f>
        <v>0</v>
      </c>
    </row>
    <row r="1732" spans="1:10" s="644" customFormat="1">
      <c r="A1732" s="668"/>
      <c r="B1732" s="654"/>
      <c r="C1732" s="654"/>
      <c r="D1732" s="682" t="s">
        <v>2861</v>
      </c>
      <c r="E1732" s="679"/>
      <c r="F1732" s="680"/>
      <c r="G1732" s="661"/>
      <c r="H1732" s="680"/>
      <c r="I1732" s="657"/>
      <c r="J1732" s="694">
        <f>SUM(J1729:J1731)</f>
        <v>129.25</v>
      </c>
    </row>
    <row r="1733" spans="1:10" s="644" customFormat="1">
      <c r="A1733" s="668"/>
      <c r="B1733" s="654"/>
      <c r="C1733" s="654"/>
      <c r="D1733" s="696" t="s">
        <v>2785</v>
      </c>
      <c r="E1733" s="679"/>
      <c r="F1733" s="680"/>
      <c r="G1733" s="661"/>
      <c r="H1733" s="680"/>
      <c r="I1733" s="657"/>
      <c r="J1733" s="694"/>
    </row>
    <row r="1734" spans="1:10" s="644" customFormat="1" ht="63.75">
      <c r="A1734" s="668"/>
      <c r="B1734" s="654" t="s">
        <v>3278</v>
      </c>
      <c r="C1734" s="661" t="s">
        <v>1180</v>
      </c>
      <c r="D1734" s="922" t="s">
        <v>3279</v>
      </c>
      <c r="E1734" s="679">
        <v>1</v>
      </c>
      <c r="F1734" s="680" t="s">
        <v>955</v>
      </c>
      <c r="G1734" s="661">
        <v>1</v>
      </c>
      <c r="H1734" s="680" t="s">
        <v>955</v>
      </c>
      <c r="I1734" s="657">
        <v>735</v>
      </c>
      <c r="J1734" s="657">
        <f>SUM(E1734*I1734/G1734)</f>
        <v>735</v>
      </c>
    </row>
    <row r="1735" spans="1:10" s="644" customFormat="1">
      <c r="A1735" s="668"/>
      <c r="B1735" s="654"/>
      <c r="C1735" s="654"/>
      <c r="D1735" s="682" t="s">
        <v>3265</v>
      </c>
      <c r="E1735" s="679"/>
      <c r="F1735" s="645"/>
      <c r="G1735" s="661"/>
      <c r="H1735" s="645"/>
      <c r="I1735" s="657"/>
      <c r="J1735" s="694">
        <f>SUM(J1734:J1734)</f>
        <v>735</v>
      </c>
    </row>
    <row r="1736" spans="1:10" s="644" customFormat="1" ht="25.5">
      <c r="A1736" s="668"/>
      <c r="B1736" s="654"/>
      <c r="C1736" s="654"/>
      <c r="D1736" s="656" t="s">
        <v>2766</v>
      </c>
      <c r="E1736" s="682"/>
      <c r="F1736" s="770"/>
      <c r="G1736" s="654"/>
      <c r="H1736" s="681"/>
      <c r="I1736" s="672"/>
      <c r="J1736" s="694">
        <f>ROUNDDOWN(J1732+J1735,1)</f>
        <v>864.2</v>
      </c>
    </row>
    <row r="1737" spans="1:10" s="644" customFormat="1">
      <c r="A1737" s="668"/>
      <c r="B1737" s="664"/>
      <c r="C1737" s="664"/>
      <c r="D1737" s="669" t="s">
        <v>2767</v>
      </c>
      <c r="E1737" s="670">
        <f>$E$9</f>
        <v>0</v>
      </c>
      <c r="F1737" s="684"/>
      <c r="G1737" s="663"/>
      <c r="H1737" s="684"/>
      <c r="I1737" s="672"/>
      <c r="J1737" s="676">
        <f>J1736*$E1737</f>
        <v>0</v>
      </c>
    </row>
    <row r="1738" spans="1:10" s="644" customFormat="1">
      <c r="A1738" s="668"/>
      <c r="B1738" s="664"/>
      <c r="C1738" s="664"/>
      <c r="D1738" s="673"/>
      <c r="E1738" s="685"/>
      <c r="F1738" s="684"/>
      <c r="G1738" s="663"/>
      <c r="H1738" s="684"/>
      <c r="I1738" s="672"/>
      <c r="J1738" s="676">
        <f>SUM(J1736:J1737)</f>
        <v>864.2</v>
      </c>
    </row>
    <row r="1739" spans="1:10" s="644" customFormat="1">
      <c r="A1739" s="668"/>
      <c r="B1739" s="664"/>
      <c r="C1739" s="664"/>
      <c r="D1739" s="669" t="s">
        <v>2380</v>
      </c>
      <c r="E1739" s="685"/>
      <c r="F1739" s="684"/>
      <c r="G1739" s="663"/>
      <c r="H1739" s="684"/>
      <c r="I1739" s="686"/>
      <c r="J1739" s="693">
        <f>ROUND(J1738,0)</f>
        <v>864</v>
      </c>
    </row>
    <row r="1740" spans="1:10" s="644" customFormat="1">
      <c r="A1740" s="668"/>
      <c r="B1740" s="664"/>
      <c r="C1740" s="664"/>
      <c r="D1740" s="669"/>
      <c r="E1740" s="685"/>
      <c r="F1740" s="684"/>
      <c r="G1740" s="663"/>
      <c r="H1740" s="684"/>
      <c r="I1740" s="686"/>
      <c r="J1740" s="676"/>
    </row>
    <row r="1741" spans="1:10" s="644" customFormat="1">
      <c r="A1741" s="653">
        <f>SUM(MAX($A$7:$A1740),1)</f>
        <v>100</v>
      </c>
      <c r="B1741" s="665"/>
      <c r="C1741" s="665"/>
      <c r="D1741" s="2158" t="s">
        <v>3280</v>
      </c>
      <c r="E1741" s="2158"/>
      <c r="F1741" s="2158"/>
      <c r="G1741" s="2158"/>
      <c r="H1741" s="2158"/>
      <c r="I1741" s="2158"/>
      <c r="J1741" s="2158"/>
    </row>
    <row r="1742" spans="1:10" s="644" customFormat="1">
      <c r="A1742" s="668"/>
      <c r="B1742" s="654"/>
      <c r="C1742" s="654"/>
      <c r="D1742" s="802" t="s">
        <v>3262</v>
      </c>
      <c r="E1742" s="679"/>
      <c r="F1742" s="645"/>
      <c r="G1742" s="661"/>
      <c r="H1742" s="645"/>
      <c r="I1742" s="657"/>
      <c r="J1742" s="694"/>
    </row>
    <row r="1743" spans="1:10" s="644" customFormat="1">
      <c r="A1743" s="668"/>
      <c r="B1743" s="654">
        <v>1</v>
      </c>
      <c r="C1743" s="654"/>
      <c r="D1743" s="645" t="s">
        <v>2740</v>
      </c>
      <c r="E1743" s="679">
        <v>0.1</v>
      </c>
      <c r="F1743" s="680" t="s">
        <v>1738</v>
      </c>
      <c r="G1743" s="661">
        <v>1</v>
      </c>
      <c r="H1743" s="680" t="s">
        <v>1738</v>
      </c>
      <c r="I1743" s="657">
        <f>IF(B1743=$B$2,$G$2,IF(B1743=$B$3,$G$3,IF(B1743=$B$4,$G$4,IF(B1743=$B$5,$G$5,IF(B1743=$B$6,$G$6,IF(B1743=$B$7,$G$7,FALSE))))))</f>
        <v>660</v>
      </c>
      <c r="J1743" s="694">
        <f>SUM(E1743*I1743/G1743)</f>
        <v>66</v>
      </c>
    </row>
    <row r="1744" spans="1:10" s="644" customFormat="1">
      <c r="A1744" s="668"/>
      <c r="B1744" s="654">
        <v>2</v>
      </c>
      <c r="C1744" s="654"/>
      <c r="D1744" s="645" t="s">
        <v>2741</v>
      </c>
      <c r="E1744" s="679">
        <v>0.121</v>
      </c>
      <c r="F1744" s="680" t="s">
        <v>1738</v>
      </c>
      <c r="G1744" s="661">
        <v>1</v>
      </c>
      <c r="H1744" s="680" t="s">
        <v>1738</v>
      </c>
      <c r="I1744" s="657">
        <f>IF(B1744=$B$2,$G$2,IF(B1744=$B$3,$G$3,IF(B1744=$B$4,$G$4,IF(B1744=$B$5,$G$5,IF(B1744=$B$6,$G$6,IF(B1744=$B$7,$G$7,FALSE))))))</f>
        <v>550</v>
      </c>
      <c r="J1744" s="694">
        <f>SUM(E1744*I1744/G1744)</f>
        <v>66.55</v>
      </c>
    </row>
    <row r="1745" spans="1:10" s="644" customFormat="1">
      <c r="A1745" s="668"/>
      <c r="B1745" s="654"/>
      <c r="C1745" s="654"/>
      <c r="D1745" s="682" t="s">
        <v>2861</v>
      </c>
      <c r="E1745" s="679"/>
      <c r="F1745" s="680"/>
      <c r="G1745" s="661"/>
      <c r="H1745" s="680"/>
      <c r="I1745" s="657"/>
      <c r="J1745" s="694">
        <f>SUM(J1743:J1744)</f>
        <v>132.55000000000001</v>
      </c>
    </row>
    <row r="1746" spans="1:10" s="644" customFormat="1">
      <c r="A1746" s="668"/>
      <c r="B1746" s="654"/>
      <c r="C1746" s="654"/>
      <c r="D1746" s="696" t="s">
        <v>2785</v>
      </c>
      <c r="E1746" s="679"/>
      <c r="F1746" s="680"/>
      <c r="G1746" s="661"/>
      <c r="H1746" s="680"/>
      <c r="I1746" s="657"/>
      <c r="J1746" s="694"/>
    </row>
    <row r="1747" spans="1:10" s="644" customFormat="1" ht="63.75">
      <c r="A1747" s="668"/>
      <c r="B1747" s="654" t="s">
        <v>3278</v>
      </c>
      <c r="C1747" s="661" t="s">
        <v>1184</v>
      </c>
      <c r="D1747" s="645" t="s">
        <v>3281</v>
      </c>
      <c r="E1747" s="695">
        <v>1</v>
      </c>
      <c r="F1747" s="645" t="s">
        <v>955</v>
      </c>
      <c r="G1747" s="661">
        <v>1</v>
      </c>
      <c r="H1747" s="645" t="s">
        <v>955</v>
      </c>
      <c r="I1747" s="657">
        <v>1116</v>
      </c>
      <c r="J1747" s="694">
        <f>SUM(E1747*I1747/G1747)</f>
        <v>1116</v>
      </c>
    </row>
    <row r="1748" spans="1:10" s="644" customFormat="1">
      <c r="A1748" s="668"/>
      <c r="B1748" s="654"/>
      <c r="C1748" s="654"/>
      <c r="D1748" s="682" t="s">
        <v>3265</v>
      </c>
      <c r="E1748" s="679"/>
      <c r="F1748" s="645"/>
      <c r="G1748" s="661"/>
      <c r="H1748" s="645"/>
      <c r="I1748" s="657"/>
      <c r="J1748" s="694">
        <f>SUM(J1747:J1747)</f>
        <v>1116</v>
      </c>
    </row>
    <row r="1749" spans="1:10" s="644" customFormat="1" ht="25.5">
      <c r="A1749" s="668"/>
      <c r="B1749" s="654"/>
      <c r="C1749" s="654"/>
      <c r="D1749" s="656" t="s">
        <v>2766</v>
      </c>
      <c r="E1749" s="682"/>
      <c r="F1749" s="770"/>
      <c r="G1749" s="654"/>
      <c r="H1749" s="681"/>
      <c r="I1749" s="672"/>
      <c r="J1749" s="694">
        <f>ROUNDDOWN(J1745+J1748,1)</f>
        <v>1248.5</v>
      </c>
    </row>
    <row r="1750" spans="1:10" s="644" customFormat="1">
      <c r="A1750" s="668"/>
      <c r="B1750" s="664"/>
      <c r="C1750" s="664"/>
      <c r="D1750" s="669" t="s">
        <v>2767</v>
      </c>
      <c r="E1750" s="670">
        <f>$E$9</f>
        <v>0</v>
      </c>
      <c r="F1750" s="684"/>
      <c r="G1750" s="663"/>
      <c r="H1750" s="684"/>
      <c r="I1750" s="672"/>
      <c r="J1750" s="676">
        <f>J1749*$E1750</f>
        <v>0</v>
      </c>
    </row>
    <row r="1751" spans="1:10" s="644" customFormat="1">
      <c r="A1751" s="668"/>
      <c r="B1751" s="664"/>
      <c r="C1751" s="664"/>
      <c r="D1751" s="673"/>
      <c r="E1751" s="685"/>
      <c r="F1751" s="684"/>
      <c r="G1751" s="663"/>
      <c r="H1751" s="684"/>
      <c r="I1751" s="672"/>
      <c r="J1751" s="676">
        <f>SUM(J1749:J1750)</f>
        <v>1248.5</v>
      </c>
    </row>
    <row r="1752" spans="1:10" s="644" customFormat="1">
      <c r="A1752" s="668"/>
      <c r="B1752" s="664"/>
      <c r="C1752" s="664"/>
      <c r="D1752" s="669" t="s">
        <v>2380</v>
      </c>
      <c r="E1752" s="685"/>
      <c r="F1752" s="684"/>
      <c r="G1752" s="663"/>
      <c r="H1752" s="684"/>
      <c r="I1752" s="686"/>
      <c r="J1752" s="693">
        <f>ROUND(J1751,0)</f>
        <v>1249</v>
      </c>
    </row>
    <row r="1753" spans="1:10" s="644" customFormat="1">
      <c r="A1753" s="668"/>
      <c r="B1753" s="664"/>
      <c r="C1753" s="664"/>
      <c r="D1753" s="669"/>
      <c r="E1753" s="685"/>
      <c r="F1753" s="684"/>
      <c r="G1753" s="663"/>
      <c r="H1753" s="684"/>
      <c r="I1753" s="686"/>
      <c r="J1753" s="676"/>
    </row>
    <row r="1754" spans="1:10" s="644" customFormat="1">
      <c r="A1754" s="653">
        <f>A1741+1</f>
        <v>101</v>
      </c>
      <c r="B1754" s="665"/>
      <c r="C1754" s="665"/>
      <c r="D1754" s="2158" t="s">
        <v>3282</v>
      </c>
      <c r="E1754" s="2158"/>
      <c r="F1754" s="2158"/>
      <c r="G1754" s="2158"/>
      <c r="H1754" s="2158"/>
      <c r="I1754" s="2158"/>
      <c r="J1754" s="2158"/>
    </row>
    <row r="1755" spans="1:10" s="644" customFormat="1">
      <c r="A1755" s="668"/>
      <c r="B1755" s="654"/>
      <c r="C1755" s="654"/>
      <c r="D1755" s="802" t="s">
        <v>3262</v>
      </c>
      <c r="E1755" s="679"/>
      <c r="F1755" s="645"/>
      <c r="G1755" s="661"/>
      <c r="H1755" s="645"/>
      <c r="I1755" s="657"/>
      <c r="J1755" s="694"/>
    </row>
    <row r="1756" spans="1:10" s="644" customFormat="1">
      <c r="A1756" s="668"/>
      <c r="B1756" s="654">
        <v>1</v>
      </c>
      <c r="C1756" s="654"/>
      <c r="D1756" s="645" t="s">
        <v>2740</v>
      </c>
      <c r="E1756" s="679">
        <v>0.1</v>
      </c>
      <c r="F1756" s="680" t="s">
        <v>1738</v>
      </c>
      <c r="G1756" s="661">
        <v>1</v>
      </c>
      <c r="H1756" s="680" t="s">
        <v>1738</v>
      </c>
      <c r="I1756" s="657">
        <f>IF(B1756=$B$2,$G$2,IF(B1756=$B$3,$G$3,IF(B1756=$B$4,$G$4,IF(B1756=$B$5,$G$5,IF(B1756=$B$6,$G$6,IF(B1756=$B$7,$G$7,FALSE))))))</f>
        <v>660</v>
      </c>
      <c r="J1756" s="694">
        <f>SUM(E1756*I1756/G1756)</f>
        <v>66</v>
      </c>
    </row>
    <row r="1757" spans="1:10" s="644" customFormat="1">
      <c r="A1757" s="668"/>
      <c r="B1757" s="654">
        <v>2</v>
      </c>
      <c r="C1757" s="654"/>
      <c r="D1757" s="645" t="s">
        <v>2741</v>
      </c>
      <c r="E1757" s="679">
        <v>0.121</v>
      </c>
      <c r="F1757" s="680" t="s">
        <v>1738</v>
      </c>
      <c r="G1757" s="661">
        <v>1</v>
      </c>
      <c r="H1757" s="680" t="s">
        <v>1738</v>
      </c>
      <c r="I1757" s="657">
        <f>IF(B1757=$B$2,$G$2,IF(B1757=$B$3,$G$3,IF(B1757=$B$4,$G$4,IF(B1757=$B$5,$G$5,IF(B1757=$B$6,$G$6,IF(B1757=$B$7,$G$7,FALSE))))))</f>
        <v>550</v>
      </c>
      <c r="J1757" s="694">
        <f>SUM(E1757*I1757/G1757)</f>
        <v>66.55</v>
      </c>
    </row>
    <row r="1758" spans="1:10" s="644" customFormat="1">
      <c r="A1758" s="668"/>
      <c r="B1758" s="654"/>
      <c r="C1758" s="654"/>
      <c r="D1758" s="682" t="s">
        <v>2861</v>
      </c>
      <c r="E1758" s="679"/>
      <c r="F1758" s="680"/>
      <c r="G1758" s="661"/>
      <c r="H1758" s="680"/>
      <c r="I1758" s="657"/>
      <c r="J1758" s="694">
        <f>SUM(J1756:J1757)</f>
        <v>132.55000000000001</v>
      </c>
    </row>
    <row r="1759" spans="1:10" s="644" customFormat="1">
      <c r="A1759" s="668"/>
      <c r="B1759" s="654"/>
      <c r="C1759" s="654"/>
      <c r="D1759" s="696" t="s">
        <v>2785</v>
      </c>
      <c r="E1759" s="679"/>
      <c r="F1759" s="680"/>
      <c r="G1759" s="661"/>
      <c r="H1759" s="680"/>
      <c r="I1759" s="657"/>
      <c r="J1759" s="694"/>
    </row>
    <row r="1760" spans="1:10" s="644" customFormat="1" ht="63.75">
      <c r="A1760" s="668"/>
      <c r="B1760" s="654" t="s">
        <v>3278</v>
      </c>
      <c r="C1760" s="661" t="s">
        <v>1186</v>
      </c>
      <c r="D1760" s="645" t="s">
        <v>3283</v>
      </c>
      <c r="E1760" s="695">
        <v>1</v>
      </c>
      <c r="F1760" s="645" t="s">
        <v>955</v>
      </c>
      <c r="G1760" s="661">
        <v>1</v>
      </c>
      <c r="H1760" s="645" t="s">
        <v>955</v>
      </c>
      <c r="I1760" s="657">
        <v>2347</v>
      </c>
      <c r="J1760" s="694">
        <f>SUM(E1760*I1760/G1760)</f>
        <v>2347</v>
      </c>
    </row>
    <row r="1761" spans="1:10" s="644" customFormat="1">
      <c r="A1761" s="668"/>
      <c r="B1761" s="654"/>
      <c r="C1761" s="654"/>
      <c r="D1761" s="682" t="s">
        <v>3265</v>
      </c>
      <c r="E1761" s="679"/>
      <c r="F1761" s="645"/>
      <c r="G1761" s="661"/>
      <c r="H1761" s="645"/>
      <c r="I1761" s="657"/>
      <c r="J1761" s="694">
        <f>SUM(J1760:J1760)</f>
        <v>2347</v>
      </c>
    </row>
    <row r="1762" spans="1:10" s="644" customFormat="1" ht="25.5">
      <c r="A1762" s="668"/>
      <c r="B1762" s="654"/>
      <c r="C1762" s="654"/>
      <c r="D1762" s="656" t="s">
        <v>2766</v>
      </c>
      <c r="E1762" s="682"/>
      <c r="F1762" s="770"/>
      <c r="G1762" s="654"/>
      <c r="H1762" s="681"/>
      <c r="I1762" s="672"/>
      <c r="J1762" s="694">
        <f>ROUNDDOWN(J1758+J1761,1)</f>
        <v>2479.5</v>
      </c>
    </row>
    <row r="1763" spans="1:10" s="644" customFormat="1">
      <c r="A1763" s="668"/>
      <c r="B1763" s="664"/>
      <c r="C1763" s="664"/>
      <c r="D1763" s="669" t="s">
        <v>2767</v>
      </c>
      <c r="E1763" s="670">
        <f>$E$9</f>
        <v>0</v>
      </c>
      <c r="F1763" s="684"/>
      <c r="G1763" s="663"/>
      <c r="H1763" s="684"/>
      <c r="I1763" s="672"/>
      <c r="J1763" s="676">
        <f>J1762*$E1763</f>
        <v>0</v>
      </c>
    </row>
    <row r="1764" spans="1:10" s="644" customFormat="1">
      <c r="A1764" s="668"/>
      <c r="B1764" s="664"/>
      <c r="C1764" s="664"/>
      <c r="D1764" s="673"/>
      <c r="E1764" s="685"/>
      <c r="F1764" s="684"/>
      <c r="G1764" s="663"/>
      <c r="H1764" s="684"/>
      <c r="I1764" s="672"/>
      <c r="J1764" s="676">
        <f>SUM(J1762:J1763)</f>
        <v>2479.5</v>
      </c>
    </row>
    <row r="1765" spans="1:10" s="644" customFormat="1">
      <c r="A1765" s="668"/>
      <c r="B1765" s="664"/>
      <c r="C1765" s="664"/>
      <c r="D1765" s="669" t="s">
        <v>2380</v>
      </c>
      <c r="E1765" s="685"/>
      <c r="F1765" s="684"/>
      <c r="G1765" s="663"/>
      <c r="H1765" s="684"/>
      <c r="I1765" s="686"/>
      <c r="J1765" s="693">
        <f>ROUND(J1764,0)</f>
        <v>2480</v>
      </c>
    </row>
    <row r="1766" spans="1:10" s="644" customFormat="1">
      <c r="A1766" s="668"/>
      <c r="B1766" s="664"/>
      <c r="C1766" s="664"/>
      <c r="D1766" s="669"/>
      <c r="E1766" s="685"/>
      <c r="F1766" s="684"/>
      <c r="G1766" s="663"/>
      <c r="H1766" s="684"/>
      <c r="I1766" s="686"/>
      <c r="J1766" s="676"/>
    </row>
    <row r="1767" spans="1:10" s="644" customFormat="1">
      <c r="A1767" s="653">
        <f>SUM(MAX($A$7:$A1766),1)</f>
        <v>102</v>
      </c>
      <c r="B1767" s="665"/>
      <c r="C1767" s="665"/>
      <c r="D1767" s="2158" t="s">
        <v>3284</v>
      </c>
      <c r="E1767" s="2158"/>
      <c r="F1767" s="2158"/>
      <c r="G1767" s="2158"/>
      <c r="H1767" s="2158"/>
      <c r="I1767" s="2158"/>
      <c r="J1767" s="2158"/>
    </row>
    <row r="1768" spans="1:10" s="644" customFormat="1">
      <c r="A1768" s="668"/>
      <c r="B1768" s="654"/>
      <c r="C1768" s="654"/>
      <c r="D1768" s="802" t="s">
        <v>3262</v>
      </c>
      <c r="E1768" s="679"/>
      <c r="F1768" s="645"/>
      <c r="G1768" s="661"/>
      <c r="H1768" s="645"/>
      <c r="I1768" s="657"/>
      <c r="J1768" s="694"/>
    </row>
    <row r="1769" spans="1:10" s="644" customFormat="1">
      <c r="A1769" s="668"/>
      <c r="B1769" s="654">
        <v>1</v>
      </c>
      <c r="C1769" s="654"/>
      <c r="D1769" s="645" t="s">
        <v>2740</v>
      </c>
      <c r="E1769" s="699">
        <v>0.15</v>
      </c>
      <c r="F1769" s="680" t="s">
        <v>1738</v>
      </c>
      <c r="G1769" s="661">
        <v>1</v>
      </c>
      <c r="H1769" s="680" t="s">
        <v>1738</v>
      </c>
      <c r="I1769" s="657">
        <f>IF(B1769=$B$2,$G$2,IF(B1769=$B$3,$G$3,IF(B1769=$B$4,$G$4,IF(B1769=$B$5,$G$5,IF(B1769=$B$6,$G$6,IF(B1769=$B$7,$G$7,FALSE))))))</f>
        <v>660</v>
      </c>
      <c r="J1769" s="694">
        <f>SUM(E1769*I1769/G1769)</f>
        <v>99</v>
      </c>
    </row>
    <row r="1770" spans="1:10" s="644" customFormat="1">
      <c r="A1770" s="668"/>
      <c r="B1770" s="654">
        <v>2</v>
      </c>
      <c r="C1770" s="654"/>
      <c r="D1770" s="645" t="s">
        <v>2741</v>
      </c>
      <c r="E1770" s="699">
        <v>0.15</v>
      </c>
      <c r="F1770" s="680" t="s">
        <v>1738</v>
      </c>
      <c r="G1770" s="661">
        <v>1</v>
      </c>
      <c r="H1770" s="680" t="s">
        <v>1738</v>
      </c>
      <c r="I1770" s="657">
        <f>IF(B1770=$B$2,$G$2,IF(B1770=$B$3,$G$3,IF(B1770=$B$4,$G$4,IF(B1770=$B$5,$G$5,IF(B1770=$B$6,$G$6,IF(B1770=$B$7,$G$7,FALSE))))))</f>
        <v>550</v>
      </c>
      <c r="J1770" s="694">
        <f>SUM(E1770*I1770/G1770)</f>
        <v>82.5</v>
      </c>
    </row>
    <row r="1771" spans="1:10" s="644" customFormat="1">
      <c r="A1771" s="668"/>
      <c r="B1771" s="654"/>
      <c r="C1771" s="654"/>
      <c r="D1771" s="682" t="s">
        <v>2861</v>
      </c>
      <c r="E1771" s="679"/>
      <c r="F1771" s="680"/>
      <c r="G1771" s="661"/>
      <c r="H1771" s="680"/>
      <c r="I1771" s="657"/>
      <c r="J1771" s="694">
        <f>SUM(J1769:J1770)</f>
        <v>181.5</v>
      </c>
    </row>
    <row r="1772" spans="1:10" s="644" customFormat="1">
      <c r="A1772" s="668"/>
      <c r="B1772" s="654"/>
      <c r="C1772" s="654"/>
      <c r="D1772" s="696" t="s">
        <v>2785</v>
      </c>
      <c r="E1772" s="679"/>
      <c r="F1772" s="680"/>
      <c r="G1772" s="661"/>
      <c r="H1772" s="680"/>
      <c r="I1772" s="657"/>
      <c r="J1772" s="694"/>
    </row>
    <row r="1773" spans="1:10" s="644" customFormat="1">
      <c r="A1773" s="668"/>
      <c r="B1773" s="654" t="s">
        <v>3278</v>
      </c>
      <c r="C1773" s="661" t="s">
        <v>1188</v>
      </c>
      <c r="D1773" s="646" t="s">
        <v>3285</v>
      </c>
      <c r="E1773" s="695">
        <v>1</v>
      </c>
      <c r="F1773" s="645" t="s">
        <v>955</v>
      </c>
      <c r="G1773" s="661">
        <v>1</v>
      </c>
      <c r="H1773" s="645" t="s">
        <v>955</v>
      </c>
      <c r="I1773" s="657">
        <v>4184</v>
      </c>
      <c r="J1773" s="694">
        <f>SUM(E1773*I1773/G1773)</f>
        <v>4184</v>
      </c>
    </row>
    <row r="1774" spans="1:10" s="644" customFormat="1">
      <c r="A1774" s="668"/>
      <c r="B1774" s="654"/>
      <c r="C1774" s="654"/>
      <c r="D1774" s="645" t="s">
        <v>3286</v>
      </c>
      <c r="E1774" s="695"/>
      <c r="F1774" s="680"/>
      <c r="G1774" s="661"/>
      <c r="H1774" s="680"/>
      <c r="I1774" s="657"/>
      <c r="J1774" s="694">
        <v>30</v>
      </c>
    </row>
    <row r="1775" spans="1:10" s="644" customFormat="1">
      <c r="A1775" s="668"/>
      <c r="B1775" s="654"/>
      <c r="C1775" s="654"/>
      <c r="D1775" s="682" t="s">
        <v>3265</v>
      </c>
      <c r="E1775" s="679"/>
      <c r="F1775" s="645"/>
      <c r="G1775" s="661"/>
      <c r="H1775" s="645"/>
      <c r="I1775" s="657"/>
      <c r="J1775" s="694">
        <f>SUM(J1773:J1774)</f>
        <v>4214</v>
      </c>
    </row>
    <row r="1776" spans="1:10" s="644" customFormat="1" ht="25.5">
      <c r="A1776" s="668"/>
      <c r="B1776" s="654"/>
      <c r="C1776" s="654"/>
      <c r="D1776" s="656" t="s">
        <v>2766</v>
      </c>
      <c r="E1776" s="682"/>
      <c r="F1776" s="770"/>
      <c r="G1776" s="654"/>
      <c r="H1776" s="681"/>
      <c r="I1776" s="672"/>
      <c r="J1776" s="694">
        <f>ROUNDDOWN(J1771+J1775,1)</f>
        <v>4395.5</v>
      </c>
    </row>
    <row r="1777" spans="1:10" s="644" customFormat="1">
      <c r="A1777" s="668"/>
      <c r="B1777" s="664"/>
      <c r="C1777" s="664"/>
      <c r="D1777" s="669" t="s">
        <v>2767</v>
      </c>
      <c r="E1777" s="670">
        <f>$E$9</f>
        <v>0</v>
      </c>
      <c r="F1777" s="684"/>
      <c r="G1777" s="663"/>
      <c r="H1777" s="684"/>
      <c r="I1777" s="672"/>
      <c r="J1777" s="676">
        <f>J1776*$E1777</f>
        <v>0</v>
      </c>
    </row>
    <row r="1778" spans="1:10" s="644" customFormat="1">
      <c r="A1778" s="668"/>
      <c r="B1778" s="664"/>
      <c r="C1778" s="664"/>
      <c r="D1778" s="673"/>
      <c r="E1778" s="685"/>
      <c r="F1778" s="684"/>
      <c r="G1778" s="663"/>
      <c r="H1778" s="684"/>
      <c r="I1778" s="672"/>
      <c r="J1778" s="676">
        <f>SUM(J1776:J1777)</f>
        <v>4395.5</v>
      </c>
    </row>
    <row r="1779" spans="1:10" s="644" customFormat="1">
      <c r="A1779" s="668"/>
      <c r="B1779" s="664"/>
      <c r="C1779" s="664"/>
      <c r="D1779" s="669" t="s">
        <v>2380</v>
      </c>
      <c r="E1779" s="685"/>
      <c r="F1779" s="684"/>
      <c r="G1779" s="663"/>
      <c r="H1779" s="684"/>
      <c r="I1779" s="686"/>
      <c r="J1779" s="693">
        <f>ROUND(J1778,0)</f>
        <v>4396</v>
      </c>
    </row>
    <row r="1780" spans="1:10" s="644" customFormat="1">
      <c r="A1780" s="668"/>
      <c r="B1780" s="664"/>
      <c r="C1780" s="664"/>
      <c r="D1780" s="669"/>
      <c r="E1780" s="685"/>
      <c r="F1780" s="684"/>
      <c r="G1780" s="663"/>
      <c r="H1780" s="684"/>
      <c r="I1780" s="686"/>
      <c r="J1780" s="676"/>
    </row>
    <row r="1781" spans="1:10" s="644" customFormat="1">
      <c r="A1781" s="668"/>
      <c r="B1781" s="664"/>
      <c r="C1781" s="664"/>
      <c r="D1781" s="669"/>
      <c r="E1781" s="685"/>
      <c r="F1781" s="684"/>
      <c r="G1781" s="663"/>
      <c r="H1781" s="684"/>
      <c r="I1781" s="686"/>
      <c r="J1781" s="693"/>
    </row>
    <row r="1782" spans="1:10" s="644" customFormat="1">
      <c r="A1782" s="668"/>
      <c r="B1782" s="664"/>
      <c r="C1782" s="664"/>
      <c r="D1782" s="2161" t="s">
        <v>3287</v>
      </c>
      <c r="E1782" s="2161"/>
      <c r="F1782" s="2161"/>
      <c r="G1782" s="2161"/>
      <c r="H1782" s="2161"/>
      <c r="I1782" s="2161"/>
      <c r="J1782" s="2161"/>
    </row>
    <row r="1783" spans="1:10" s="644" customFormat="1" ht="318.75">
      <c r="A1783" s="653">
        <f>SUM(MAX($A$7:$A1782),1)</f>
        <v>103</v>
      </c>
      <c r="B1783" s="735"/>
      <c r="C1783" s="735"/>
      <c r="D1783" s="682" t="s">
        <v>3288</v>
      </c>
      <c r="E1783" s="661"/>
      <c r="F1783" s="654"/>
      <c r="G1783" s="661"/>
      <c r="H1783" s="654"/>
      <c r="I1783" s="657"/>
      <c r="J1783" s="658"/>
    </row>
    <row r="1784" spans="1:10" s="644" customFormat="1" ht="76.5">
      <c r="A1784" s="668"/>
      <c r="B1784" s="732" t="s">
        <v>3289</v>
      </c>
      <c r="C1784" s="923"/>
      <c r="D1784" s="768" t="s">
        <v>3290</v>
      </c>
      <c r="E1784" s="767">
        <v>1</v>
      </c>
      <c r="F1784" s="646" t="s">
        <v>2927</v>
      </c>
      <c r="G1784" s="738">
        <v>1</v>
      </c>
      <c r="H1784" s="646" t="s">
        <v>501</v>
      </c>
      <c r="I1784" s="749">
        <v>250598</v>
      </c>
      <c r="J1784" s="839">
        <f>G1784*I1784</f>
        <v>250598</v>
      </c>
    </row>
    <row r="1785" spans="1:10" s="644" customFormat="1">
      <c r="A1785" s="668"/>
      <c r="B1785" s="664"/>
      <c r="C1785" s="664"/>
      <c r="D1785" s="669" t="s">
        <v>2767</v>
      </c>
      <c r="E1785" s="670">
        <f>$E$9</f>
        <v>0</v>
      </c>
      <c r="F1785" s="684"/>
      <c r="G1785" s="663"/>
      <c r="H1785" s="684"/>
      <c r="I1785" s="672"/>
      <c r="J1785" s="676">
        <f>J1784*$E1785</f>
        <v>0</v>
      </c>
    </row>
    <row r="1786" spans="1:10" s="644" customFormat="1">
      <c r="A1786" s="668"/>
      <c r="B1786" s="664"/>
      <c r="C1786" s="664"/>
      <c r="D1786" s="673"/>
      <c r="E1786" s="685"/>
      <c r="F1786" s="684"/>
      <c r="G1786" s="663"/>
      <c r="H1786" s="684"/>
      <c r="I1786" s="672"/>
      <c r="J1786" s="676">
        <f>SUM(J1784:J1785)</f>
        <v>250598</v>
      </c>
    </row>
    <row r="1787" spans="1:10" s="644" customFormat="1">
      <c r="A1787" s="668"/>
      <c r="B1787" s="664"/>
      <c r="C1787" s="664"/>
      <c r="D1787" s="669" t="s">
        <v>2380</v>
      </c>
      <c r="E1787" s="685"/>
      <c r="F1787" s="684"/>
      <c r="G1787" s="663"/>
      <c r="H1787" s="684"/>
      <c r="I1787" s="686"/>
      <c r="J1787" s="693">
        <f>ROUND(J1786,0)</f>
        <v>250598</v>
      </c>
    </row>
    <row r="1788" spans="1:10" s="644" customFormat="1">
      <c r="A1788" s="668"/>
      <c r="B1788" s="735"/>
      <c r="C1788" s="735"/>
      <c r="D1788" s="682"/>
      <c r="E1788" s="661"/>
      <c r="F1788" s="654"/>
      <c r="G1788" s="661"/>
      <c r="H1788" s="654"/>
      <c r="I1788" s="657"/>
      <c r="J1788" s="658"/>
    </row>
    <row r="1789" spans="1:10" s="644" customFormat="1">
      <c r="A1789" s="668"/>
      <c r="B1789" s="664"/>
      <c r="C1789" s="664"/>
      <c r="D1789" s="669"/>
      <c r="E1789" s="685"/>
      <c r="F1789" s="684"/>
      <c r="G1789" s="663"/>
      <c r="H1789" s="684"/>
      <c r="I1789" s="686"/>
      <c r="J1789" s="676"/>
    </row>
    <row r="1790" spans="1:10" s="644" customFormat="1">
      <c r="A1790" s="668" t="s">
        <v>3291</v>
      </c>
      <c r="B1790" s="664"/>
      <c r="C1790" s="664"/>
      <c r="D1790" s="2161" t="s">
        <v>3292</v>
      </c>
      <c r="E1790" s="2161"/>
      <c r="F1790" s="2161"/>
      <c r="G1790" s="2161"/>
      <c r="H1790" s="2161"/>
      <c r="I1790" s="2161"/>
      <c r="J1790" s="2161"/>
    </row>
    <row r="1791" spans="1:10" s="644" customFormat="1">
      <c r="A1791" s="653">
        <f>A1783+1</f>
        <v>104</v>
      </c>
      <c r="B1791" s="665"/>
      <c r="C1791" s="665"/>
      <c r="D1791" s="2158" t="s">
        <v>3293</v>
      </c>
      <c r="E1791" s="2158"/>
      <c r="F1791" s="2158"/>
      <c r="G1791" s="2158"/>
      <c r="H1791" s="2158"/>
      <c r="I1791" s="2158"/>
      <c r="J1791" s="2158"/>
    </row>
    <row r="1792" spans="1:10" s="644" customFormat="1">
      <c r="A1792" s="668"/>
      <c r="B1792" s="654"/>
      <c r="C1792" s="654"/>
      <c r="D1792" s="802" t="s">
        <v>3262</v>
      </c>
      <c r="E1792" s="679"/>
      <c r="F1792" s="645"/>
      <c r="G1792" s="661"/>
      <c r="H1792" s="645"/>
      <c r="I1792" s="657"/>
      <c r="J1792" s="694"/>
    </row>
    <row r="1793" spans="1:10" s="644" customFormat="1">
      <c r="A1793" s="668"/>
      <c r="B1793" s="654">
        <v>1</v>
      </c>
      <c r="C1793" s="654"/>
      <c r="D1793" s="645" t="s">
        <v>2740</v>
      </c>
      <c r="E1793" s="679">
        <v>0.5</v>
      </c>
      <c r="F1793" s="680" t="s">
        <v>1738</v>
      </c>
      <c r="G1793" s="661">
        <v>1</v>
      </c>
      <c r="H1793" s="680" t="s">
        <v>1738</v>
      </c>
      <c r="I1793" s="657">
        <f>IF(B1793=$B$2,$G$2,IF(B1793=$B$3,$G$3,IF(B1793=$B$4,$G$4,IF(B1793=$B$5,$G$5,IF(B1793=$B$6,$G$6,IF(B1793=$B$7,$G$7,FALSE))))))</f>
        <v>660</v>
      </c>
      <c r="J1793" s="694">
        <f>SUM(E1793*I1793/G1793)</f>
        <v>330</v>
      </c>
    </row>
    <row r="1794" spans="1:10" s="644" customFormat="1">
      <c r="A1794" s="668"/>
      <c r="B1794" s="654">
        <v>2</v>
      </c>
      <c r="C1794" s="654"/>
      <c r="D1794" s="645" t="s">
        <v>2741</v>
      </c>
      <c r="E1794" s="679">
        <v>1</v>
      </c>
      <c r="F1794" s="680" t="s">
        <v>1738</v>
      </c>
      <c r="G1794" s="661">
        <v>1</v>
      </c>
      <c r="H1794" s="680" t="s">
        <v>1738</v>
      </c>
      <c r="I1794" s="657">
        <f>IF(B1794=$B$2,$G$2,IF(B1794=$B$3,$G$3,IF(B1794=$B$4,$G$4,IF(B1794=$B$5,$G$5,IF(B1794=$B$6,$G$6,IF(B1794=$B$7,$G$7,FALSE))))))</f>
        <v>550</v>
      </c>
      <c r="J1794" s="694">
        <f>SUM(E1794*I1794/G1794)</f>
        <v>550</v>
      </c>
    </row>
    <row r="1795" spans="1:10" s="644" customFormat="1">
      <c r="A1795" s="668"/>
      <c r="B1795" s="654">
        <v>3</v>
      </c>
      <c r="C1795" s="654"/>
      <c r="D1795" s="645" t="s">
        <v>2742</v>
      </c>
      <c r="E1795" s="679">
        <v>0.75</v>
      </c>
      <c r="F1795" s="680" t="s">
        <v>1738</v>
      </c>
      <c r="G1795" s="661">
        <v>1</v>
      </c>
      <c r="H1795" s="680" t="s">
        <v>1738</v>
      </c>
      <c r="I1795" s="657">
        <f>IF(B1795=$B$2,$G$2,IF(B1795=$B$3,$G$3,IF(B1795=$B$4,$G$4,IF(B1795=$B$5,$G$5,IF(B1795=$B$6,$G$6,IF(B1795=$B$7,$G$7,FALSE))))))</f>
        <v>550</v>
      </c>
      <c r="J1795" s="657">
        <f>SUM(E1795*I1795/G1795)</f>
        <v>412.5</v>
      </c>
    </row>
    <row r="1796" spans="1:10" s="644" customFormat="1">
      <c r="A1796" s="668"/>
      <c r="B1796" s="654"/>
      <c r="C1796" s="654"/>
      <c r="D1796" s="682" t="s">
        <v>2971</v>
      </c>
      <c r="E1796" s="679"/>
      <c r="F1796" s="680"/>
      <c r="G1796" s="661"/>
      <c r="H1796" s="680"/>
      <c r="I1796" s="657"/>
      <c r="J1796" s="694">
        <f>SUM(J1793:J1795)</f>
        <v>1292.5</v>
      </c>
    </row>
    <row r="1797" spans="1:10" s="644" customFormat="1">
      <c r="A1797" s="668"/>
      <c r="B1797" s="654"/>
      <c r="C1797" s="654"/>
      <c r="D1797" s="682" t="s">
        <v>2861</v>
      </c>
      <c r="E1797" s="679"/>
      <c r="F1797" s="680"/>
      <c r="G1797" s="661"/>
      <c r="H1797" s="680"/>
      <c r="I1797" s="657"/>
      <c r="J1797" s="694">
        <f>SUM(J1796/100)</f>
        <v>12.925000000000001</v>
      </c>
    </row>
    <row r="1798" spans="1:10" s="644" customFormat="1">
      <c r="A1798" s="668"/>
      <c r="B1798" s="654"/>
      <c r="C1798" s="654"/>
      <c r="D1798" s="696" t="s">
        <v>2785</v>
      </c>
      <c r="E1798" s="679"/>
      <c r="F1798" s="680"/>
      <c r="G1798" s="661"/>
      <c r="H1798" s="680"/>
      <c r="I1798" s="657"/>
      <c r="J1798" s="694"/>
    </row>
    <row r="1799" spans="1:10" s="644" customFormat="1" ht="25.5">
      <c r="A1799" s="668"/>
      <c r="B1799" s="654" t="s">
        <v>3294</v>
      </c>
      <c r="C1799" s="661" t="s">
        <v>1180</v>
      </c>
      <c r="D1799" s="682" t="s">
        <v>3295</v>
      </c>
      <c r="E1799" s="679">
        <v>100</v>
      </c>
      <c r="F1799" s="645" t="s">
        <v>2805</v>
      </c>
      <c r="G1799" s="661">
        <v>100</v>
      </c>
      <c r="H1799" s="645" t="s">
        <v>2805</v>
      </c>
      <c r="I1799" s="657">
        <v>2415</v>
      </c>
      <c r="J1799" s="694">
        <f>SUM(E1799*I1799/G1799)</f>
        <v>2415</v>
      </c>
    </row>
    <row r="1800" spans="1:10" s="644" customFormat="1">
      <c r="A1800" s="668"/>
      <c r="B1800" s="654"/>
      <c r="C1800" s="654"/>
      <c r="D1800" s="682" t="s">
        <v>3250</v>
      </c>
      <c r="E1800" s="679"/>
      <c r="F1800" s="682"/>
      <c r="G1800" s="661"/>
      <c r="H1800" s="645"/>
      <c r="I1800" s="657"/>
      <c r="J1800" s="694">
        <f>SUM(J1799)</f>
        <v>2415</v>
      </c>
    </row>
    <row r="1801" spans="1:10" s="644" customFormat="1">
      <c r="A1801" s="668"/>
      <c r="B1801" s="654"/>
      <c r="C1801" s="654"/>
      <c r="D1801" s="682" t="s">
        <v>3265</v>
      </c>
      <c r="E1801" s="679"/>
      <c r="F1801" s="645"/>
      <c r="G1801" s="661"/>
      <c r="H1801" s="645"/>
      <c r="I1801" s="657"/>
      <c r="J1801" s="694">
        <f>SUM(J1800/100)</f>
        <v>24.15</v>
      </c>
    </row>
    <row r="1802" spans="1:10" s="644" customFormat="1" ht="25.5">
      <c r="A1802" s="668"/>
      <c r="B1802" s="654"/>
      <c r="C1802" s="654"/>
      <c r="D1802" s="656" t="s">
        <v>2766</v>
      </c>
      <c r="E1802" s="682"/>
      <c r="F1802" s="770"/>
      <c r="G1802" s="654"/>
      <c r="H1802" s="681"/>
      <c r="I1802" s="672"/>
      <c r="J1802" s="694">
        <f>ROUNDDOWN(J1797+J1801,1)</f>
        <v>37</v>
      </c>
    </row>
    <row r="1803" spans="1:10" s="644" customFormat="1">
      <c r="A1803" s="668"/>
      <c r="B1803" s="664"/>
      <c r="C1803" s="664"/>
      <c r="D1803" s="669" t="s">
        <v>2767</v>
      </c>
      <c r="E1803" s="670">
        <f>$E$9</f>
        <v>0</v>
      </c>
      <c r="F1803" s="684"/>
      <c r="G1803" s="663"/>
      <c r="H1803" s="684"/>
      <c r="I1803" s="672"/>
      <c r="J1803" s="676">
        <f>J1802*$E1803</f>
        <v>0</v>
      </c>
    </row>
    <row r="1804" spans="1:10" s="644" customFormat="1">
      <c r="A1804" s="668"/>
      <c r="B1804" s="664"/>
      <c r="C1804" s="664"/>
      <c r="D1804" s="673"/>
      <c r="E1804" s="685"/>
      <c r="F1804" s="684"/>
      <c r="G1804" s="663"/>
      <c r="H1804" s="684"/>
      <c r="I1804" s="672"/>
      <c r="J1804" s="676">
        <f>SUM(J1802:J1803)</f>
        <v>37</v>
      </c>
    </row>
    <row r="1805" spans="1:10" s="644" customFormat="1">
      <c r="A1805" s="668"/>
      <c r="B1805" s="664"/>
      <c r="C1805" s="664"/>
      <c r="D1805" s="669" t="s">
        <v>3296</v>
      </c>
      <c r="E1805" s="685"/>
      <c r="F1805" s="684"/>
      <c r="G1805" s="663"/>
      <c r="H1805" s="684"/>
      <c r="I1805" s="672"/>
      <c r="J1805" s="693">
        <f>ROUND(J1804,0)</f>
        <v>37</v>
      </c>
    </row>
    <row r="1806" spans="1:10" s="644" customFormat="1">
      <c r="A1806" s="668"/>
      <c r="B1806" s="664"/>
      <c r="C1806" s="664"/>
      <c r="D1806" s="669"/>
      <c r="E1806" s="685"/>
      <c r="F1806" s="684"/>
      <c r="G1806" s="663"/>
      <c r="H1806" s="684"/>
      <c r="I1806" s="686"/>
      <c r="J1806" s="676"/>
    </row>
    <row r="1807" spans="1:10" s="644" customFormat="1">
      <c r="A1807" s="653">
        <f>A1791+1</f>
        <v>105</v>
      </c>
      <c r="B1807" s="665"/>
      <c r="C1807" s="665"/>
      <c r="D1807" s="2158" t="s">
        <v>3297</v>
      </c>
      <c r="E1807" s="2158"/>
      <c r="F1807" s="2158"/>
      <c r="G1807" s="2158"/>
      <c r="H1807" s="2158"/>
      <c r="I1807" s="2158"/>
      <c r="J1807" s="2158"/>
    </row>
    <row r="1808" spans="1:10" s="644" customFormat="1">
      <c r="A1808" s="668"/>
      <c r="B1808" s="654"/>
      <c r="C1808" s="654"/>
      <c r="D1808" s="802" t="s">
        <v>3262</v>
      </c>
      <c r="E1808" s="679"/>
      <c r="F1808" s="645"/>
      <c r="G1808" s="661"/>
      <c r="H1808" s="645"/>
      <c r="I1808" s="657"/>
      <c r="J1808" s="694"/>
    </row>
    <row r="1809" spans="1:10" s="644" customFormat="1">
      <c r="A1809" s="668"/>
      <c r="B1809" s="654">
        <v>1</v>
      </c>
      <c r="C1809" s="654"/>
      <c r="D1809" s="645" t="s">
        <v>2740</v>
      </c>
      <c r="E1809" s="699">
        <v>6.7000000000000004E-2</v>
      </c>
      <c r="F1809" s="680" t="s">
        <v>1738</v>
      </c>
      <c r="G1809" s="661">
        <v>1</v>
      </c>
      <c r="H1809" s="680" t="s">
        <v>1738</v>
      </c>
      <c r="I1809" s="657">
        <f>IF(B1809=$B$2,$G$2,IF(B1809=$B$3,$G$3,IF(B1809=$B$4,$G$4,IF(B1809=$B$5,$G$5,IF(B1809=$B$6,$G$6,IF(B1809=$B$7,$G$7,FALSE))))))</f>
        <v>660</v>
      </c>
      <c r="J1809" s="694">
        <f>SUM(E1809*I1809/G1809)</f>
        <v>44.220000000000006</v>
      </c>
    </row>
    <row r="1810" spans="1:10" s="644" customFormat="1">
      <c r="A1810" s="668"/>
      <c r="B1810" s="654">
        <v>2</v>
      </c>
      <c r="C1810" s="654"/>
      <c r="D1810" s="645" t="s">
        <v>2741</v>
      </c>
      <c r="E1810" s="699">
        <v>6.7000000000000004E-2</v>
      </c>
      <c r="F1810" s="680" t="s">
        <v>1738</v>
      </c>
      <c r="G1810" s="661">
        <v>1</v>
      </c>
      <c r="H1810" s="680" t="s">
        <v>1738</v>
      </c>
      <c r="I1810" s="657">
        <f>IF(B1810=$B$2,$G$2,IF(B1810=$B$3,$G$3,IF(B1810=$B$4,$G$4,IF(B1810=$B$5,$G$5,IF(B1810=$B$6,$G$6,IF(B1810=$B$7,$G$7,FALSE))))))</f>
        <v>550</v>
      </c>
      <c r="J1810" s="694">
        <f>SUM(E1810*I1810/G1810)</f>
        <v>36.85</v>
      </c>
    </row>
    <row r="1811" spans="1:10" s="644" customFormat="1">
      <c r="A1811" s="668"/>
      <c r="B1811" s="654">
        <v>3</v>
      </c>
      <c r="C1811" s="654"/>
      <c r="D1811" s="645" t="s">
        <v>2742</v>
      </c>
      <c r="E1811" s="699">
        <v>6.7000000000000004E-2</v>
      </c>
      <c r="F1811" s="680" t="s">
        <v>1738</v>
      </c>
      <c r="G1811" s="661">
        <v>1</v>
      </c>
      <c r="H1811" s="680" t="s">
        <v>1738</v>
      </c>
      <c r="I1811" s="657">
        <f>IF(B1811=$B$2,$G$2,IF(B1811=$B$3,$G$3,IF(B1811=$B$4,$G$4,IF(B1811=$B$5,$G$5,IF(B1811=$B$6,$G$6,IF(B1811=$B$7,$G$7,FALSE))))))</f>
        <v>550</v>
      </c>
      <c r="J1811" s="657">
        <f>SUM(E1811*I1811/G1811)</f>
        <v>36.85</v>
      </c>
    </row>
    <row r="1812" spans="1:10" s="644" customFormat="1">
      <c r="A1812" s="668"/>
      <c r="B1812" s="654"/>
      <c r="C1812" s="654"/>
      <c r="D1812" s="682" t="s">
        <v>2861</v>
      </c>
      <c r="E1812" s="679"/>
      <c r="F1812" s="680"/>
      <c r="G1812" s="661"/>
      <c r="H1812" s="680"/>
      <c r="I1812" s="657"/>
      <c r="J1812" s="694">
        <f>SUM(J1809:J1811)</f>
        <v>117.92000000000002</v>
      </c>
    </row>
    <row r="1813" spans="1:10" s="644" customFormat="1">
      <c r="A1813" s="668"/>
      <c r="B1813" s="654"/>
      <c r="C1813" s="654"/>
      <c r="D1813" s="696" t="s">
        <v>2785</v>
      </c>
      <c r="E1813" s="679"/>
      <c r="F1813" s="680"/>
      <c r="G1813" s="661"/>
      <c r="H1813" s="680"/>
      <c r="I1813" s="657"/>
      <c r="J1813" s="694"/>
    </row>
    <row r="1814" spans="1:10" s="644" customFormat="1" ht="25.5">
      <c r="A1814" s="668"/>
      <c r="B1814" s="654" t="s">
        <v>3298</v>
      </c>
      <c r="C1814" s="658" t="s">
        <v>1180</v>
      </c>
      <c r="D1814" s="682" t="s">
        <v>3299</v>
      </c>
      <c r="E1814" s="695">
        <v>1</v>
      </c>
      <c r="F1814" s="645" t="s">
        <v>955</v>
      </c>
      <c r="G1814" s="661">
        <v>1</v>
      </c>
      <c r="H1814" s="645" t="s">
        <v>955</v>
      </c>
      <c r="I1814" s="657">
        <v>351</v>
      </c>
      <c r="J1814" s="694">
        <f>SUM(E1814*I1814/G1814)</f>
        <v>351</v>
      </c>
    </row>
    <row r="1815" spans="1:10" s="644" customFormat="1">
      <c r="A1815" s="668"/>
      <c r="B1815" s="654"/>
      <c r="C1815" s="654"/>
      <c r="D1815" s="682" t="s">
        <v>3265</v>
      </c>
      <c r="E1815" s="679"/>
      <c r="F1815" s="645"/>
      <c r="G1815" s="661"/>
      <c r="H1815" s="645"/>
      <c r="I1815" s="657"/>
      <c r="J1815" s="694">
        <f>SUM(J1814:J1814)</f>
        <v>351</v>
      </c>
    </row>
    <row r="1816" spans="1:10" s="644" customFormat="1" ht="25.5">
      <c r="A1816" s="668"/>
      <c r="B1816" s="654"/>
      <c r="C1816" s="654"/>
      <c r="D1816" s="656" t="s">
        <v>2766</v>
      </c>
      <c r="E1816" s="682"/>
      <c r="F1816" s="770"/>
      <c r="G1816" s="654"/>
      <c r="H1816" s="681"/>
      <c r="I1816" s="672"/>
      <c r="J1816" s="676">
        <f>ROUNDDOWN(J1812+J1815,1)</f>
        <v>468.9</v>
      </c>
    </row>
    <row r="1817" spans="1:10" s="644" customFormat="1">
      <c r="A1817" s="668"/>
      <c r="B1817" s="664"/>
      <c r="C1817" s="664"/>
      <c r="D1817" s="669" t="s">
        <v>2767</v>
      </c>
      <c r="E1817" s="670">
        <f>$E$9</f>
        <v>0</v>
      </c>
      <c r="F1817" s="684"/>
      <c r="G1817" s="663"/>
      <c r="H1817" s="684"/>
      <c r="I1817" s="672"/>
      <c r="J1817" s="676">
        <f>J1816*$E1817</f>
        <v>0</v>
      </c>
    </row>
    <row r="1818" spans="1:10" s="644" customFormat="1">
      <c r="A1818" s="668"/>
      <c r="B1818" s="664"/>
      <c r="C1818" s="664"/>
      <c r="D1818" s="673"/>
      <c r="E1818" s="685"/>
      <c r="F1818" s="684"/>
      <c r="G1818" s="663"/>
      <c r="H1818" s="684"/>
      <c r="I1818" s="672"/>
      <c r="J1818" s="676">
        <f>SUM(J1816:J1817)</f>
        <v>468.9</v>
      </c>
    </row>
    <row r="1819" spans="1:10" s="644" customFormat="1">
      <c r="A1819" s="668"/>
      <c r="B1819" s="664"/>
      <c r="C1819" s="664"/>
      <c r="D1819" s="669" t="s">
        <v>2380</v>
      </c>
      <c r="E1819" s="685"/>
      <c r="F1819" s="684"/>
      <c r="G1819" s="663"/>
      <c r="H1819" s="684"/>
      <c r="I1819" s="686"/>
      <c r="J1819" s="693">
        <f>ROUND(J1818,0)</f>
        <v>469</v>
      </c>
    </row>
    <row r="1820" spans="1:10" s="644" customFormat="1">
      <c r="A1820" s="668"/>
      <c r="B1820" s="664"/>
      <c r="C1820" s="664"/>
      <c r="D1820" s="669"/>
      <c r="E1820" s="685"/>
      <c r="F1820" s="684"/>
      <c r="G1820" s="663"/>
      <c r="H1820" s="684"/>
      <c r="I1820" s="686"/>
      <c r="J1820" s="693"/>
    </row>
    <row r="1821" spans="1:10" s="644" customFormat="1">
      <c r="A1821" s="653">
        <f>A1807+1</f>
        <v>106</v>
      </c>
      <c r="B1821" s="677"/>
      <c r="C1821" s="677"/>
      <c r="D1821" s="2158" t="s">
        <v>3300</v>
      </c>
      <c r="E1821" s="2158"/>
      <c r="F1821" s="2158"/>
      <c r="G1821" s="2158"/>
      <c r="H1821" s="2158"/>
      <c r="I1821" s="2158"/>
      <c r="J1821" s="2158"/>
    </row>
    <row r="1822" spans="1:10" s="644" customFormat="1">
      <c r="A1822" s="668"/>
      <c r="B1822" s="665" t="s">
        <v>3301</v>
      </c>
      <c r="C1822" s="665" t="s">
        <v>1180</v>
      </c>
      <c r="D1822" s="696" t="s">
        <v>3302</v>
      </c>
      <c r="E1822" s="695">
        <v>1</v>
      </c>
      <c r="F1822" s="645" t="s">
        <v>955</v>
      </c>
      <c r="G1822" s="661">
        <v>1</v>
      </c>
      <c r="H1822" s="645" t="s">
        <v>955</v>
      </c>
      <c r="I1822" s="657">
        <v>230</v>
      </c>
      <c r="J1822" s="694">
        <f>SUM(E1822*I1822/G1822)</f>
        <v>230</v>
      </c>
    </row>
    <row r="1823" spans="1:10" s="644" customFormat="1">
      <c r="A1823" s="668"/>
      <c r="B1823" s="664"/>
      <c r="C1823" s="664"/>
      <c r="D1823" s="669" t="s">
        <v>2767</v>
      </c>
      <c r="E1823" s="670">
        <f>$E$9</f>
        <v>0</v>
      </c>
      <c r="F1823" s="684"/>
      <c r="G1823" s="663"/>
      <c r="H1823" s="684"/>
      <c r="I1823" s="672"/>
      <c r="J1823" s="676">
        <f>J1822*E1823</f>
        <v>0</v>
      </c>
    </row>
    <row r="1824" spans="1:10" s="644" customFormat="1">
      <c r="A1824" s="668"/>
      <c r="B1824" s="664"/>
      <c r="C1824" s="664"/>
      <c r="D1824" s="673"/>
      <c r="E1824" s="685"/>
      <c r="F1824" s="684"/>
      <c r="G1824" s="663"/>
      <c r="H1824" s="684"/>
      <c r="I1824" s="672"/>
      <c r="J1824" s="676">
        <f>SUM(J1822:J1823)</f>
        <v>230</v>
      </c>
    </row>
    <row r="1825" spans="1:10" s="644" customFormat="1">
      <c r="A1825" s="668"/>
      <c r="B1825" s="664"/>
      <c r="C1825" s="664"/>
      <c r="D1825" s="669" t="s">
        <v>2380</v>
      </c>
      <c r="E1825" s="685"/>
      <c r="F1825" s="684"/>
      <c r="G1825" s="663"/>
      <c r="H1825" s="684"/>
      <c r="I1825" s="686"/>
      <c r="J1825" s="693">
        <f>ROUNDUP(J1824,0)</f>
        <v>230</v>
      </c>
    </row>
    <row r="1826" spans="1:10" s="644" customFormat="1">
      <c r="A1826" s="668"/>
      <c r="B1826" s="664"/>
      <c r="C1826" s="664"/>
      <c r="D1826" s="669"/>
      <c r="E1826" s="685"/>
      <c r="F1826" s="684"/>
      <c r="G1826" s="663"/>
      <c r="H1826" s="684"/>
      <c r="I1826" s="686"/>
      <c r="J1826" s="693"/>
    </row>
    <row r="1827" spans="1:10" s="644" customFormat="1">
      <c r="A1827" s="653">
        <f>SUM(MAX($A$7:$A1826),1)</f>
        <v>107</v>
      </c>
      <c r="B1827" s="677"/>
      <c r="C1827" s="677"/>
      <c r="D1827" s="2158" t="s">
        <v>3303</v>
      </c>
      <c r="E1827" s="2158"/>
      <c r="F1827" s="2158"/>
      <c r="G1827" s="2158"/>
      <c r="H1827" s="2158"/>
      <c r="I1827" s="2158"/>
      <c r="J1827" s="2158"/>
    </row>
    <row r="1828" spans="1:10" s="644" customFormat="1">
      <c r="A1828" s="668"/>
      <c r="B1828" s="665" t="s">
        <v>3301</v>
      </c>
      <c r="C1828" s="665" t="s">
        <v>1184</v>
      </c>
      <c r="D1828" s="922" t="s">
        <v>3304</v>
      </c>
      <c r="E1828" s="695">
        <v>1</v>
      </c>
      <c r="F1828" s="645" t="s">
        <v>955</v>
      </c>
      <c r="G1828" s="661">
        <v>1</v>
      </c>
      <c r="H1828" s="645" t="s">
        <v>955</v>
      </c>
      <c r="I1828" s="657">
        <v>207</v>
      </c>
      <c r="J1828" s="694">
        <f>SUM(E1828*I1828/G1828)</f>
        <v>207</v>
      </c>
    </row>
    <row r="1829" spans="1:10" s="644" customFormat="1">
      <c r="A1829" s="668"/>
      <c r="B1829" s="664"/>
      <c r="C1829" s="664"/>
      <c r="D1829" s="669" t="s">
        <v>2767</v>
      </c>
      <c r="E1829" s="670">
        <f>$E$9</f>
        <v>0</v>
      </c>
      <c r="F1829" s="684"/>
      <c r="G1829" s="663"/>
      <c r="H1829" s="684"/>
      <c r="I1829" s="672"/>
      <c r="J1829" s="676">
        <f>J1828*E1829</f>
        <v>0</v>
      </c>
    </row>
    <row r="1830" spans="1:10" s="644" customFormat="1">
      <c r="A1830" s="668"/>
      <c r="B1830" s="664"/>
      <c r="C1830" s="664"/>
      <c r="D1830" s="673"/>
      <c r="E1830" s="685"/>
      <c r="F1830" s="684"/>
      <c r="G1830" s="663"/>
      <c r="H1830" s="684"/>
      <c r="I1830" s="672"/>
      <c r="J1830" s="676">
        <f>SUM(J1828:J1829)</f>
        <v>207</v>
      </c>
    </row>
    <row r="1831" spans="1:10" s="644" customFormat="1">
      <c r="A1831" s="668"/>
      <c r="B1831" s="664"/>
      <c r="C1831" s="664"/>
      <c r="D1831" s="669" t="s">
        <v>2380</v>
      </c>
      <c r="E1831" s="685"/>
      <c r="F1831" s="684"/>
      <c r="G1831" s="663"/>
      <c r="H1831" s="684"/>
      <c r="I1831" s="686"/>
      <c r="J1831" s="693">
        <f>ROUNDUP(J1830,0)</f>
        <v>207</v>
      </c>
    </row>
    <row r="1832" spans="1:10" s="644" customFormat="1">
      <c r="A1832" s="668"/>
      <c r="B1832" s="664"/>
      <c r="C1832" s="664"/>
      <c r="D1832" s="669"/>
      <c r="E1832" s="685"/>
      <c r="F1832" s="684"/>
      <c r="G1832" s="663"/>
      <c r="H1832" s="684"/>
      <c r="I1832" s="686"/>
      <c r="J1832" s="676"/>
    </row>
    <row r="1833" spans="1:10" s="644" customFormat="1">
      <c r="A1833" s="653">
        <f>SUM(MAX($A$7:$A1832),1)</f>
        <v>108</v>
      </c>
      <c r="B1833" s="665"/>
      <c r="C1833" s="665"/>
      <c r="D1833" s="2158" t="s">
        <v>3305</v>
      </c>
      <c r="E1833" s="2158"/>
      <c r="F1833" s="2158"/>
      <c r="G1833" s="2158"/>
      <c r="H1833" s="2158"/>
      <c r="I1833" s="2158"/>
      <c r="J1833" s="2158"/>
    </row>
    <row r="1834" spans="1:10" s="644" customFormat="1">
      <c r="A1834" s="668"/>
      <c r="B1834" s="654"/>
      <c r="C1834" s="654"/>
      <c r="D1834" s="802" t="s">
        <v>3262</v>
      </c>
      <c r="E1834" s="679"/>
      <c r="F1834" s="645"/>
      <c r="G1834" s="661"/>
      <c r="H1834" s="645"/>
      <c r="I1834" s="657"/>
      <c r="J1834" s="694"/>
    </row>
    <row r="1835" spans="1:10" s="644" customFormat="1">
      <c r="A1835" s="668"/>
      <c r="B1835" s="654">
        <v>1</v>
      </c>
      <c r="C1835" s="654"/>
      <c r="D1835" s="645" t="s">
        <v>2740</v>
      </c>
      <c r="E1835" s="699">
        <v>0.4</v>
      </c>
      <c r="F1835" s="680" t="s">
        <v>1738</v>
      </c>
      <c r="G1835" s="661">
        <v>1</v>
      </c>
      <c r="H1835" s="680" t="s">
        <v>1738</v>
      </c>
      <c r="I1835" s="657">
        <f>IF(B1835=$B$2,$G$2,IF(B1835=$B$3,$G$3,IF(B1835=$B$4,$G$4,IF(B1835=$B$5,$G$5,IF(B1835=$B$6,$G$6,IF(B1835=$B$7,$G$7,FALSE))))))</f>
        <v>660</v>
      </c>
      <c r="J1835" s="694">
        <f>SUM(E1835*I1835/G1835)</f>
        <v>264</v>
      </c>
    </row>
    <row r="1836" spans="1:10" s="644" customFormat="1">
      <c r="A1836" s="668"/>
      <c r="B1836" s="654">
        <v>2</v>
      </c>
      <c r="C1836" s="654"/>
      <c r="D1836" s="645" t="s">
        <v>2741</v>
      </c>
      <c r="E1836" s="699">
        <v>0.307</v>
      </c>
      <c r="F1836" s="680" t="s">
        <v>1738</v>
      </c>
      <c r="G1836" s="661">
        <v>1</v>
      </c>
      <c r="H1836" s="680" t="s">
        <v>1738</v>
      </c>
      <c r="I1836" s="657">
        <f>IF(B1836=$B$2,$G$2,IF(B1836=$B$3,$G$3,IF(B1836=$B$4,$G$4,IF(B1836=$B$5,$G$5,IF(B1836=$B$6,$G$6,IF(B1836=$B$7,$G$7,FALSE))))))</f>
        <v>550</v>
      </c>
      <c r="J1836" s="694">
        <f>SUM(E1836*I1836/G1836)</f>
        <v>168.85</v>
      </c>
    </row>
    <row r="1837" spans="1:10" s="644" customFormat="1">
      <c r="A1837" s="668"/>
      <c r="B1837" s="654"/>
      <c r="C1837" s="654"/>
      <c r="D1837" s="682" t="s">
        <v>2861</v>
      </c>
      <c r="E1837" s="679"/>
      <c r="F1837" s="680"/>
      <c r="G1837" s="661"/>
      <c r="H1837" s="680"/>
      <c r="I1837" s="657"/>
      <c r="J1837" s="694">
        <f>SUM(J1835:J1836)</f>
        <v>432.85</v>
      </c>
    </row>
    <row r="1838" spans="1:10" s="644" customFormat="1">
      <c r="A1838" s="668"/>
      <c r="B1838" s="654"/>
      <c r="C1838" s="654"/>
      <c r="D1838" s="696" t="s">
        <v>2785</v>
      </c>
      <c r="E1838" s="679"/>
      <c r="F1838" s="680"/>
      <c r="G1838" s="661"/>
      <c r="H1838" s="680"/>
      <c r="I1838" s="657"/>
      <c r="J1838" s="694"/>
    </row>
    <row r="1839" spans="1:10" s="644" customFormat="1" ht="25.5">
      <c r="A1839" s="668"/>
      <c r="B1839" s="654" t="s">
        <v>3306</v>
      </c>
      <c r="C1839" s="661" t="s">
        <v>1184</v>
      </c>
      <c r="D1839" s="682" t="s">
        <v>3307</v>
      </c>
      <c r="E1839" s="695">
        <v>1</v>
      </c>
      <c r="F1839" s="645" t="s">
        <v>955</v>
      </c>
      <c r="G1839" s="661">
        <v>1</v>
      </c>
      <c r="H1839" s="645" t="s">
        <v>955</v>
      </c>
      <c r="I1839" s="657">
        <v>6900</v>
      </c>
      <c r="J1839" s="694">
        <f>SUM(E1839*I1839/G1839)</f>
        <v>6900</v>
      </c>
    </row>
    <row r="1840" spans="1:10" s="644" customFormat="1">
      <c r="A1840" s="668"/>
      <c r="B1840" s="654"/>
      <c r="C1840" s="654"/>
      <c r="D1840" s="682" t="s">
        <v>3308</v>
      </c>
      <c r="E1840" s="679"/>
      <c r="F1840" s="645"/>
      <c r="G1840" s="661"/>
      <c r="H1840" s="645"/>
      <c r="I1840" s="657"/>
      <c r="J1840" s="694">
        <f>SUM(J1839)</f>
        <v>6900</v>
      </c>
    </row>
    <row r="1841" spans="1:10" s="644" customFormat="1" ht="25.5">
      <c r="A1841" s="668"/>
      <c r="B1841" s="654"/>
      <c r="C1841" s="654"/>
      <c r="D1841" s="656" t="s">
        <v>2766</v>
      </c>
      <c r="E1841" s="682"/>
      <c r="F1841" s="770"/>
      <c r="G1841" s="654"/>
      <c r="H1841" s="681"/>
      <c r="I1841" s="672"/>
      <c r="J1841" s="694">
        <f>ROUNDDOWN(J1837+J1840,1)</f>
        <v>7332.8</v>
      </c>
    </row>
    <row r="1842" spans="1:10" s="644" customFormat="1">
      <c r="A1842" s="668"/>
      <c r="B1842" s="664"/>
      <c r="C1842" s="664"/>
      <c r="D1842" s="669" t="s">
        <v>2767</v>
      </c>
      <c r="E1842" s="670">
        <f>$E$9</f>
        <v>0</v>
      </c>
      <c r="F1842" s="684"/>
      <c r="G1842" s="663"/>
      <c r="H1842" s="684"/>
      <c r="I1842" s="672"/>
      <c r="J1842" s="676">
        <f>J1841*$E1842</f>
        <v>0</v>
      </c>
    </row>
    <row r="1843" spans="1:10" s="644" customFormat="1">
      <c r="A1843" s="668"/>
      <c r="B1843" s="664"/>
      <c r="C1843" s="664"/>
      <c r="D1843" s="673"/>
      <c r="E1843" s="685"/>
      <c r="F1843" s="684"/>
      <c r="G1843" s="663"/>
      <c r="H1843" s="684"/>
      <c r="I1843" s="672"/>
      <c r="J1843" s="676">
        <f>SUM(J1841:J1842)</f>
        <v>7332.8</v>
      </c>
    </row>
    <row r="1844" spans="1:10" s="644" customFormat="1">
      <c r="A1844" s="668"/>
      <c r="B1844" s="664"/>
      <c r="C1844" s="664"/>
      <c r="D1844" s="669" t="s">
        <v>2380</v>
      </c>
      <c r="E1844" s="685"/>
      <c r="F1844" s="684"/>
      <c r="G1844" s="663"/>
      <c r="H1844" s="684"/>
      <c r="I1844" s="686"/>
      <c r="J1844" s="693">
        <f>ROUND(J1843,0)</f>
        <v>7333</v>
      </c>
    </row>
    <row r="1845" spans="1:10" s="644" customFormat="1">
      <c r="A1845" s="668"/>
      <c r="B1845" s="664"/>
      <c r="C1845" s="664"/>
      <c r="D1845" s="669"/>
      <c r="E1845" s="685"/>
      <c r="F1845" s="684"/>
      <c r="G1845" s="663"/>
      <c r="H1845" s="684"/>
      <c r="I1845" s="686"/>
      <c r="J1845" s="676"/>
    </row>
    <row r="1846" spans="1:10" s="644" customFormat="1">
      <c r="A1846" s="653">
        <f>A1833+1</f>
        <v>109</v>
      </c>
      <c r="B1846" s="665"/>
      <c r="C1846" s="665"/>
      <c r="D1846" s="2158" t="s">
        <v>3309</v>
      </c>
      <c r="E1846" s="2158"/>
      <c r="F1846" s="2158"/>
      <c r="G1846" s="2158"/>
      <c r="H1846" s="2158"/>
      <c r="I1846" s="2158"/>
      <c r="J1846" s="2158"/>
    </row>
    <row r="1847" spans="1:10" s="644" customFormat="1">
      <c r="A1847" s="668"/>
      <c r="B1847" s="654"/>
      <c r="C1847" s="654"/>
      <c r="D1847" s="802" t="s">
        <v>3262</v>
      </c>
      <c r="E1847" s="679"/>
      <c r="F1847" s="645"/>
      <c r="G1847" s="661"/>
      <c r="H1847" s="645"/>
      <c r="I1847" s="657"/>
      <c r="J1847" s="694"/>
    </row>
    <row r="1848" spans="1:10" s="644" customFormat="1">
      <c r="A1848" s="668"/>
      <c r="B1848" s="654">
        <v>1</v>
      </c>
      <c r="C1848" s="654"/>
      <c r="D1848" s="645" t="s">
        <v>2740</v>
      </c>
      <c r="E1848" s="699">
        <v>0.3</v>
      </c>
      <c r="F1848" s="680" t="s">
        <v>1738</v>
      </c>
      <c r="G1848" s="661">
        <v>1</v>
      </c>
      <c r="H1848" s="680" t="s">
        <v>1738</v>
      </c>
      <c r="I1848" s="657">
        <f>IF(B1848=$B$2,$G$2,IF(B1848=$B$3,$G$3,IF(B1848=$B$4,$G$4,IF(B1848=$B$5,$G$5,IF(B1848=$B$6,$G$6,IF(B1848=$B$7,$G$7,FALSE))))))</f>
        <v>660</v>
      </c>
      <c r="J1848" s="694">
        <f>SUM(E1848*I1848/G1848)</f>
        <v>198</v>
      </c>
    </row>
    <row r="1849" spans="1:10" s="644" customFormat="1">
      <c r="A1849" s="668"/>
      <c r="B1849" s="654">
        <v>2</v>
      </c>
      <c r="C1849" s="654"/>
      <c r="D1849" s="645" t="s">
        <v>2741</v>
      </c>
      <c r="E1849" s="699">
        <v>0.4</v>
      </c>
      <c r="F1849" s="680" t="s">
        <v>1738</v>
      </c>
      <c r="G1849" s="661">
        <v>1</v>
      </c>
      <c r="H1849" s="680" t="s">
        <v>1738</v>
      </c>
      <c r="I1849" s="657">
        <f>IF(B1849=$B$2,$G$2,IF(B1849=$B$3,$G$3,IF(B1849=$B$4,$G$4,IF(B1849=$B$5,$G$5,IF(B1849=$B$6,$G$6,IF(B1849=$B$7,$G$7,FALSE))))))</f>
        <v>550</v>
      </c>
      <c r="J1849" s="694">
        <f>SUM(E1849*I1849/G1849)</f>
        <v>220</v>
      </c>
    </row>
    <row r="1850" spans="1:10" s="644" customFormat="1">
      <c r="A1850" s="668"/>
      <c r="B1850" s="654"/>
      <c r="C1850" s="654"/>
      <c r="D1850" s="682" t="s">
        <v>2861</v>
      </c>
      <c r="E1850" s="679"/>
      <c r="F1850" s="680"/>
      <c r="G1850" s="661"/>
      <c r="H1850" s="680"/>
      <c r="I1850" s="657"/>
      <c r="J1850" s="694">
        <f>SUM(J1848:J1849)</f>
        <v>418</v>
      </c>
    </row>
    <row r="1851" spans="1:10" s="644" customFormat="1">
      <c r="A1851" s="668"/>
      <c r="B1851" s="654"/>
      <c r="C1851" s="654"/>
      <c r="D1851" s="696" t="s">
        <v>2785</v>
      </c>
      <c r="E1851" s="679"/>
      <c r="F1851" s="680"/>
      <c r="G1851" s="661"/>
      <c r="H1851" s="680"/>
      <c r="I1851" s="657"/>
      <c r="J1851" s="694"/>
    </row>
    <row r="1852" spans="1:10" s="644" customFormat="1">
      <c r="A1852" s="668"/>
      <c r="B1852" s="654" t="s">
        <v>3310</v>
      </c>
      <c r="C1852" s="661"/>
      <c r="D1852" s="645" t="s">
        <v>3311</v>
      </c>
      <c r="E1852" s="679"/>
      <c r="F1852" s="680"/>
      <c r="G1852" s="661"/>
      <c r="H1852" s="680"/>
      <c r="I1852" s="657"/>
      <c r="J1852" s="694"/>
    </row>
    <row r="1853" spans="1:10" s="644" customFormat="1" ht="25.5">
      <c r="A1853" s="668"/>
      <c r="B1853" s="654"/>
      <c r="C1853" s="654"/>
      <c r="D1853" s="645" t="s">
        <v>3312</v>
      </c>
      <c r="E1853" s="695">
        <v>1</v>
      </c>
      <c r="F1853" s="680" t="s">
        <v>955</v>
      </c>
      <c r="G1853" s="661">
        <v>1</v>
      </c>
      <c r="H1853" s="680" t="s">
        <v>955</v>
      </c>
      <c r="I1853" s="657">
        <v>6670</v>
      </c>
      <c r="J1853" s="694">
        <f>SUM(E1853*I1853/G1853)</f>
        <v>6670</v>
      </c>
    </row>
    <row r="1854" spans="1:10" s="644" customFormat="1">
      <c r="A1854" s="668"/>
      <c r="B1854" s="654"/>
      <c r="C1854" s="654"/>
      <c r="D1854" s="645" t="s">
        <v>3286</v>
      </c>
      <c r="E1854" s="695"/>
      <c r="F1854" s="680"/>
      <c r="G1854" s="661"/>
      <c r="H1854" s="680"/>
      <c r="I1854" s="657"/>
      <c r="J1854" s="694">
        <v>12.5</v>
      </c>
    </row>
    <row r="1855" spans="1:10" s="644" customFormat="1">
      <c r="A1855" s="668"/>
      <c r="B1855" s="654"/>
      <c r="C1855" s="654"/>
      <c r="D1855" s="645" t="s">
        <v>3265</v>
      </c>
      <c r="E1855" s="679"/>
      <c r="F1855" s="645"/>
      <c r="G1855" s="661"/>
      <c r="H1855" s="645"/>
      <c r="I1855" s="657"/>
      <c r="J1855" s="694">
        <f>SUM(J1853:J1854)</f>
        <v>6682.5</v>
      </c>
    </row>
    <row r="1856" spans="1:10" s="644" customFormat="1" ht="25.5">
      <c r="A1856" s="668"/>
      <c r="B1856" s="654"/>
      <c r="C1856" s="654"/>
      <c r="D1856" s="645" t="s">
        <v>2766</v>
      </c>
      <c r="E1856" s="682"/>
      <c r="F1856" s="770"/>
      <c r="G1856" s="654"/>
      <c r="H1856" s="681"/>
      <c r="I1856" s="672"/>
      <c r="J1856" s="694">
        <f>ROUNDDOWN(J1850+J1855,1)</f>
        <v>7100.5</v>
      </c>
    </row>
    <row r="1857" spans="1:10" s="644" customFormat="1">
      <c r="A1857" s="668"/>
      <c r="B1857" s="664"/>
      <c r="C1857" s="664"/>
      <c r="D1857" s="669" t="s">
        <v>2767</v>
      </c>
      <c r="E1857" s="670">
        <f>$E$9</f>
        <v>0</v>
      </c>
      <c r="F1857" s="684"/>
      <c r="G1857" s="663"/>
      <c r="H1857" s="684"/>
      <c r="I1857" s="672"/>
      <c r="J1857" s="676">
        <f>J1856*$E1857</f>
        <v>0</v>
      </c>
    </row>
    <row r="1858" spans="1:10" s="644" customFormat="1">
      <c r="A1858" s="668"/>
      <c r="B1858" s="664"/>
      <c r="C1858" s="664"/>
      <c r="D1858" s="673"/>
      <c r="E1858" s="685"/>
      <c r="F1858" s="684"/>
      <c r="G1858" s="663"/>
      <c r="H1858" s="684"/>
      <c r="I1858" s="672"/>
      <c r="J1858" s="676">
        <f>SUM(J1856:J1857)</f>
        <v>7100.5</v>
      </c>
    </row>
    <row r="1859" spans="1:10" s="644" customFormat="1">
      <c r="A1859" s="668"/>
      <c r="B1859" s="664"/>
      <c r="C1859" s="664"/>
      <c r="D1859" s="669" t="s">
        <v>2380</v>
      </c>
      <c r="E1859" s="685"/>
      <c r="F1859" s="684"/>
      <c r="G1859" s="663"/>
      <c r="H1859" s="684"/>
      <c r="I1859" s="686"/>
      <c r="J1859" s="693">
        <f>ROUNDUP(J1858,0)</f>
        <v>7101</v>
      </c>
    </row>
    <row r="1860" spans="1:10" s="644" customFormat="1">
      <c r="A1860" s="653">
        <f>A1846+1</f>
        <v>110</v>
      </c>
      <c r="B1860" s="665"/>
      <c r="C1860" s="665"/>
      <c r="D1860" s="2158" t="s">
        <v>3313</v>
      </c>
      <c r="E1860" s="2158"/>
      <c r="F1860" s="2158"/>
      <c r="G1860" s="2158"/>
      <c r="H1860" s="2158"/>
      <c r="I1860" s="2158"/>
      <c r="J1860" s="2158"/>
    </row>
    <row r="1861" spans="1:10" s="644" customFormat="1">
      <c r="A1861" s="668"/>
      <c r="B1861" s="654"/>
      <c r="C1861" s="654"/>
      <c r="D1861" s="802" t="s">
        <v>3262</v>
      </c>
      <c r="E1861" s="679"/>
      <c r="F1861" s="645"/>
      <c r="G1861" s="661"/>
      <c r="H1861" s="645"/>
      <c r="I1861" s="657"/>
      <c r="J1861" s="694"/>
    </row>
    <row r="1862" spans="1:10" s="644" customFormat="1">
      <c r="A1862" s="668"/>
      <c r="B1862" s="654">
        <v>1</v>
      </c>
      <c r="C1862" s="654"/>
      <c r="D1862" s="645" t="s">
        <v>2740</v>
      </c>
      <c r="E1862" s="679">
        <v>0.3</v>
      </c>
      <c r="F1862" s="680" t="s">
        <v>1738</v>
      </c>
      <c r="G1862" s="661">
        <v>1</v>
      </c>
      <c r="H1862" s="680" t="s">
        <v>1738</v>
      </c>
      <c r="I1862" s="657">
        <f>IF(B1862=$B$2,$G$2,IF(B1862=$B$3,$G$3,IF(B1862=$B$4,$G$4,IF(B1862=$B$5,$G$5,IF(B1862=$B$6,$G$6,IF(B1862=$B$7,$G$7,FALSE))))))</f>
        <v>660</v>
      </c>
      <c r="J1862" s="694">
        <f>SUM(E1862*I1862/G1862)</f>
        <v>198</v>
      </c>
    </row>
    <row r="1863" spans="1:10" s="644" customFormat="1">
      <c r="A1863" s="668"/>
      <c r="B1863" s="654">
        <v>2</v>
      </c>
      <c r="C1863" s="654"/>
      <c r="D1863" s="645" t="s">
        <v>2741</v>
      </c>
      <c r="E1863" s="679">
        <v>0.39600000000000002</v>
      </c>
      <c r="F1863" s="680" t="s">
        <v>1738</v>
      </c>
      <c r="G1863" s="661">
        <v>1</v>
      </c>
      <c r="H1863" s="680" t="s">
        <v>1738</v>
      </c>
      <c r="I1863" s="657">
        <f>IF(B1863=$B$2,$G$2,IF(B1863=$B$3,$G$3,IF(B1863=$B$4,$G$4,IF(B1863=$B$5,$G$5,IF(B1863=$B$6,$G$6,IF(B1863=$B$7,$G$7,FALSE))))))</f>
        <v>550</v>
      </c>
      <c r="J1863" s="694">
        <f>SUM(E1863*I1863/G1863)</f>
        <v>217.8</v>
      </c>
    </row>
    <row r="1864" spans="1:10" s="644" customFormat="1">
      <c r="A1864" s="668"/>
      <c r="B1864" s="654"/>
      <c r="C1864" s="654"/>
      <c r="D1864" s="682" t="s">
        <v>2861</v>
      </c>
      <c r="E1864" s="679"/>
      <c r="F1864" s="680"/>
      <c r="G1864" s="661"/>
      <c r="H1864" s="680"/>
      <c r="I1864" s="657"/>
      <c r="J1864" s="694">
        <f>SUM(J1862:J1863)</f>
        <v>415.8</v>
      </c>
    </row>
    <row r="1865" spans="1:10" s="644" customFormat="1">
      <c r="A1865" s="668"/>
      <c r="B1865" s="654"/>
      <c r="C1865" s="654"/>
      <c r="D1865" s="696" t="s">
        <v>2785</v>
      </c>
      <c r="E1865" s="679"/>
      <c r="F1865" s="680"/>
      <c r="G1865" s="661"/>
      <c r="H1865" s="680"/>
      <c r="I1865" s="657"/>
      <c r="J1865" s="694"/>
    </row>
    <row r="1866" spans="1:10" s="644" customFormat="1" ht="38.25">
      <c r="A1866" s="668"/>
      <c r="B1866" s="654" t="s">
        <v>3314</v>
      </c>
      <c r="C1866" s="661" t="s">
        <v>1180</v>
      </c>
      <c r="D1866" s="645" t="s">
        <v>3315</v>
      </c>
      <c r="E1866" s="695">
        <v>1</v>
      </c>
      <c r="F1866" s="645" t="s">
        <v>955</v>
      </c>
      <c r="G1866" s="661">
        <v>1</v>
      </c>
      <c r="H1866" s="645" t="s">
        <v>955</v>
      </c>
      <c r="I1866" s="657">
        <v>7605</v>
      </c>
      <c r="J1866" s="694">
        <f>SUM(E1866*I1866/G1866)</f>
        <v>7605</v>
      </c>
    </row>
    <row r="1867" spans="1:10" s="644" customFormat="1">
      <c r="A1867" s="668"/>
      <c r="B1867" s="654"/>
      <c r="C1867" s="654"/>
      <c r="D1867" s="682" t="s">
        <v>3308</v>
      </c>
      <c r="E1867" s="679"/>
      <c r="F1867" s="645"/>
      <c r="G1867" s="661"/>
      <c r="H1867" s="645"/>
      <c r="I1867" s="657"/>
      <c r="J1867" s="694">
        <f>SUM(J1866)</f>
        <v>7605</v>
      </c>
    </row>
    <row r="1868" spans="1:10" s="644" customFormat="1" ht="25.5">
      <c r="A1868" s="668"/>
      <c r="B1868" s="654"/>
      <c r="C1868" s="654"/>
      <c r="D1868" s="656" t="s">
        <v>2766</v>
      </c>
      <c r="E1868" s="682"/>
      <c r="F1868" s="770"/>
      <c r="G1868" s="654"/>
      <c r="H1868" s="681"/>
      <c r="I1868" s="672"/>
      <c r="J1868" s="694">
        <f>ROUNDDOWN(J1864+J1867,1)</f>
        <v>8020.8</v>
      </c>
    </row>
    <row r="1869" spans="1:10" s="644" customFormat="1">
      <c r="A1869" s="668"/>
      <c r="B1869" s="664"/>
      <c r="C1869" s="664"/>
      <c r="D1869" s="669" t="s">
        <v>2767</v>
      </c>
      <c r="E1869" s="670">
        <f>$E$9</f>
        <v>0</v>
      </c>
      <c r="F1869" s="684"/>
      <c r="G1869" s="663"/>
      <c r="H1869" s="684"/>
      <c r="I1869" s="672"/>
      <c r="J1869" s="676">
        <f>J1868*$E1869</f>
        <v>0</v>
      </c>
    </row>
    <row r="1870" spans="1:10" s="644" customFormat="1">
      <c r="A1870" s="668"/>
      <c r="B1870" s="664"/>
      <c r="C1870" s="664"/>
      <c r="D1870" s="673"/>
      <c r="E1870" s="685"/>
      <c r="F1870" s="684"/>
      <c r="G1870" s="663"/>
      <c r="H1870" s="684"/>
      <c r="I1870" s="672"/>
      <c r="J1870" s="676">
        <f>SUM(J1868:J1869)</f>
        <v>8020.8</v>
      </c>
    </row>
    <row r="1871" spans="1:10" s="644" customFormat="1">
      <c r="A1871" s="668"/>
      <c r="B1871" s="664"/>
      <c r="C1871" s="664"/>
      <c r="D1871" s="669" t="s">
        <v>2380</v>
      </c>
      <c r="E1871" s="685"/>
      <c r="F1871" s="684"/>
      <c r="G1871" s="663"/>
      <c r="H1871" s="684"/>
      <c r="I1871" s="686"/>
      <c r="J1871" s="693">
        <f>ROUND(J1870,0)</f>
        <v>8021</v>
      </c>
    </row>
    <row r="1872" spans="1:10" s="644" customFormat="1">
      <c r="A1872" s="668"/>
      <c r="B1872" s="664"/>
      <c r="C1872" s="664"/>
      <c r="D1872" s="669"/>
      <c r="E1872" s="685"/>
      <c r="F1872" s="684"/>
      <c r="G1872" s="663"/>
      <c r="H1872" s="684"/>
      <c r="I1872" s="686"/>
      <c r="J1872" s="693"/>
    </row>
    <row r="1873" spans="1:10" s="644" customFormat="1">
      <c r="A1873" s="668"/>
      <c r="B1873" s="664"/>
      <c r="C1873" s="664"/>
      <c r="D1873" s="669"/>
      <c r="E1873" s="685"/>
      <c r="F1873" s="684"/>
      <c r="G1873" s="663"/>
      <c r="H1873" s="684"/>
      <c r="I1873" s="686"/>
      <c r="J1873" s="693"/>
    </row>
    <row r="1874" spans="1:10" s="644" customFormat="1">
      <c r="A1874" s="653">
        <f>A1860+1</f>
        <v>111</v>
      </c>
      <c r="B1874" s="665"/>
      <c r="C1874" s="665"/>
      <c r="D1874" s="2158" t="s">
        <v>3316</v>
      </c>
      <c r="E1874" s="2158"/>
      <c r="F1874" s="2158"/>
      <c r="G1874" s="2158"/>
      <c r="H1874" s="2158"/>
      <c r="I1874" s="2158"/>
      <c r="J1874" s="2158"/>
    </row>
    <row r="1875" spans="1:10" s="644" customFormat="1">
      <c r="A1875" s="668"/>
      <c r="B1875" s="654"/>
      <c r="C1875" s="654"/>
      <c r="D1875" s="802" t="s">
        <v>3262</v>
      </c>
      <c r="E1875" s="679"/>
      <c r="F1875" s="645"/>
      <c r="G1875" s="661"/>
      <c r="H1875" s="645"/>
      <c r="I1875" s="657"/>
      <c r="J1875" s="694"/>
    </row>
    <row r="1876" spans="1:10" s="644" customFormat="1">
      <c r="A1876" s="668"/>
      <c r="B1876" s="654">
        <v>1</v>
      </c>
      <c r="C1876" s="654"/>
      <c r="D1876" s="645" t="s">
        <v>2740</v>
      </c>
      <c r="E1876" s="679">
        <v>0.3</v>
      </c>
      <c r="F1876" s="680" t="s">
        <v>1738</v>
      </c>
      <c r="G1876" s="661">
        <v>1</v>
      </c>
      <c r="H1876" s="680" t="s">
        <v>1738</v>
      </c>
      <c r="I1876" s="657">
        <f>IF(B1876=$B$2,$G$2,IF(B1876=$B$3,$G$3,IF(B1876=$B$4,$G$4,IF(B1876=$B$5,$G$5,IF(B1876=$B$6,$G$6,IF(B1876=$B$7,$G$7,FALSE))))))</f>
        <v>660</v>
      </c>
      <c r="J1876" s="694">
        <f>SUM(E1876*I1876/G1876)</f>
        <v>198</v>
      </c>
    </row>
    <row r="1877" spans="1:10" s="644" customFormat="1">
      <c r="A1877" s="668"/>
      <c r="B1877" s="654">
        <v>2</v>
      </c>
      <c r="C1877" s="654"/>
      <c r="D1877" s="645" t="s">
        <v>2741</v>
      </c>
      <c r="E1877" s="679">
        <v>0.432</v>
      </c>
      <c r="F1877" s="680" t="s">
        <v>1738</v>
      </c>
      <c r="G1877" s="661">
        <v>1</v>
      </c>
      <c r="H1877" s="680" t="s">
        <v>1738</v>
      </c>
      <c r="I1877" s="657">
        <f>IF(B1877=$B$2,$G$2,IF(B1877=$B$3,$G$3,IF(B1877=$B$4,$G$4,IF(B1877=$B$5,$G$5,IF(B1877=$B$6,$G$6,IF(B1877=$B$7,$G$7,FALSE))))))</f>
        <v>550</v>
      </c>
      <c r="J1877" s="694">
        <f>SUM(E1877*I1877/G1877)</f>
        <v>237.6</v>
      </c>
    </row>
    <row r="1878" spans="1:10" s="644" customFormat="1">
      <c r="A1878" s="668"/>
      <c r="B1878" s="654"/>
      <c r="C1878" s="654"/>
      <c r="D1878" s="682" t="s">
        <v>2861</v>
      </c>
      <c r="E1878" s="679"/>
      <c r="F1878" s="680"/>
      <c r="G1878" s="661"/>
      <c r="H1878" s="680"/>
      <c r="I1878" s="657"/>
      <c r="J1878" s="694">
        <f>SUM(J1876:J1877)</f>
        <v>435.6</v>
      </c>
    </row>
    <row r="1879" spans="1:10" s="644" customFormat="1">
      <c r="A1879" s="668"/>
      <c r="B1879" s="654"/>
      <c r="C1879" s="654"/>
      <c r="D1879" s="696" t="s">
        <v>2785</v>
      </c>
      <c r="E1879" s="679"/>
      <c r="F1879" s="680"/>
      <c r="G1879" s="661"/>
      <c r="H1879" s="680"/>
      <c r="I1879" s="657"/>
      <c r="J1879" s="694"/>
    </row>
    <row r="1880" spans="1:10" s="644" customFormat="1" ht="38.25">
      <c r="A1880" s="668"/>
      <c r="B1880" s="654" t="s">
        <v>3314</v>
      </c>
      <c r="C1880" s="661" t="s">
        <v>1186</v>
      </c>
      <c r="D1880" s="682" t="s">
        <v>3317</v>
      </c>
      <c r="E1880" s="695">
        <v>1</v>
      </c>
      <c r="F1880" s="645" t="s">
        <v>955</v>
      </c>
      <c r="G1880" s="661">
        <v>1</v>
      </c>
      <c r="H1880" s="645" t="s">
        <v>955</v>
      </c>
      <c r="I1880" s="657">
        <v>8822</v>
      </c>
      <c r="J1880" s="694">
        <f>SUM(E1880*I1880/G1880)</f>
        <v>8822</v>
      </c>
    </row>
    <row r="1881" spans="1:10" s="644" customFormat="1">
      <c r="A1881" s="668"/>
      <c r="B1881" s="654"/>
      <c r="C1881" s="654"/>
      <c r="D1881" s="682" t="s">
        <v>3308</v>
      </c>
      <c r="E1881" s="679"/>
      <c r="F1881" s="645"/>
      <c r="G1881" s="661"/>
      <c r="H1881" s="645"/>
      <c r="I1881" s="657"/>
      <c r="J1881" s="694">
        <f>SUM(J1880)</f>
        <v>8822</v>
      </c>
    </row>
    <row r="1882" spans="1:10" s="644" customFormat="1" ht="25.5">
      <c r="A1882" s="668"/>
      <c r="B1882" s="654"/>
      <c r="C1882" s="654"/>
      <c r="D1882" s="656" t="s">
        <v>2766</v>
      </c>
      <c r="E1882" s="682"/>
      <c r="F1882" s="770"/>
      <c r="G1882" s="654"/>
      <c r="H1882" s="681"/>
      <c r="I1882" s="672"/>
      <c r="J1882" s="694">
        <f>ROUNDDOWN(J1878+J1881,1)</f>
        <v>9257.6</v>
      </c>
    </row>
    <row r="1883" spans="1:10" s="644" customFormat="1">
      <c r="A1883" s="668"/>
      <c r="B1883" s="664"/>
      <c r="C1883" s="664"/>
      <c r="D1883" s="669" t="s">
        <v>2767</v>
      </c>
      <c r="E1883" s="670">
        <f>$E$9</f>
        <v>0</v>
      </c>
      <c r="F1883" s="684"/>
      <c r="G1883" s="663"/>
      <c r="H1883" s="684"/>
      <c r="I1883" s="672"/>
      <c r="J1883" s="676">
        <f>J1882*$E1883</f>
        <v>0</v>
      </c>
    </row>
    <row r="1884" spans="1:10" s="644" customFormat="1">
      <c r="A1884" s="668"/>
      <c r="B1884" s="664"/>
      <c r="C1884" s="664"/>
      <c r="D1884" s="673"/>
      <c r="E1884" s="685"/>
      <c r="F1884" s="684"/>
      <c r="G1884" s="663"/>
      <c r="H1884" s="684"/>
      <c r="I1884" s="672"/>
      <c r="J1884" s="676">
        <f>SUM(J1882:J1883)</f>
        <v>9257.6</v>
      </c>
    </row>
    <row r="1885" spans="1:10" s="644" customFormat="1">
      <c r="A1885" s="668"/>
      <c r="B1885" s="664"/>
      <c r="C1885" s="664"/>
      <c r="D1885" s="669" t="s">
        <v>2380</v>
      </c>
      <c r="E1885" s="685"/>
      <c r="F1885" s="684"/>
      <c r="G1885" s="663"/>
      <c r="H1885" s="684"/>
      <c r="I1885" s="686"/>
      <c r="J1885" s="693">
        <f>ROUND(J1884,0)</f>
        <v>9258</v>
      </c>
    </row>
    <row r="1886" spans="1:10" s="644" customFormat="1">
      <c r="A1886" s="668"/>
      <c r="B1886" s="664"/>
      <c r="C1886" s="664"/>
      <c r="D1886" s="669"/>
      <c r="E1886" s="685"/>
      <c r="F1886" s="684"/>
      <c r="G1886" s="663"/>
      <c r="H1886" s="684"/>
      <c r="I1886" s="686"/>
      <c r="J1886" s="693"/>
    </row>
    <row r="1887" spans="1:10" s="644" customFormat="1">
      <c r="A1887" s="668"/>
      <c r="B1887" s="664"/>
      <c r="C1887" s="664"/>
      <c r="D1887" s="669"/>
      <c r="E1887" s="685"/>
      <c r="F1887" s="684"/>
      <c r="G1887" s="663"/>
      <c r="H1887" s="684"/>
      <c r="I1887" s="686"/>
      <c r="J1887" s="693"/>
    </row>
    <row r="1888" spans="1:10" s="644" customFormat="1">
      <c r="A1888" s="653">
        <f>A1874+1</f>
        <v>112</v>
      </c>
      <c r="B1888" s="665"/>
      <c r="C1888" s="665"/>
      <c r="D1888" s="2158" t="s">
        <v>3318</v>
      </c>
      <c r="E1888" s="2158"/>
      <c r="F1888" s="2158"/>
      <c r="G1888" s="2158"/>
      <c r="H1888" s="2158"/>
      <c r="I1888" s="2158"/>
      <c r="J1888" s="2158"/>
    </row>
    <row r="1889" spans="1:10" s="644" customFormat="1">
      <c r="A1889" s="668"/>
      <c r="B1889" s="654"/>
      <c r="C1889" s="654"/>
      <c r="D1889" s="802" t="s">
        <v>3262</v>
      </c>
      <c r="E1889" s="679"/>
      <c r="F1889" s="645"/>
      <c r="G1889" s="661"/>
      <c r="H1889" s="645"/>
      <c r="I1889" s="657"/>
      <c r="J1889" s="694"/>
    </row>
    <row r="1890" spans="1:10" s="644" customFormat="1">
      <c r="A1890" s="668"/>
      <c r="B1890" s="654">
        <v>1</v>
      </c>
      <c r="C1890" s="654"/>
      <c r="D1890" s="645" t="s">
        <v>2740</v>
      </c>
      <c r="E1890" s="699">
        <v>0.4</v>
      </c>
      <c r="F1890" s="680" t="s">
        <v>1738</v>
      </c>
      <c r="G1890" s="661">
        <v>1</v>
      </c>
      <c r="H1890" s="680" t="s">
        <v>1738</v>
      </c>
      <c r="I1890" s="657">
        <f>IF(B1890=$B$2,$G$2,IF(B1890=$B$3,$G$3,IF(B1890=$B$4,$G$4,IF(B1890=$B$5,$G$5,IF(B1890=$B$6,$G$6,IF(B1890=$B$7,$G$7,FALSE))))))</f>
        <v>660</v>
      </c>
      <c r="J1890" s="694">
        <f>SUM(E1890*I1890/G1890)</f>
        <v>264</v>
      </c>
    </row>
    <row r="1891" spans="1:10" s="644" customFormat="1">
      <c r="A1891" s="668"/>
      <c r="B1891" s="654">
        <v>2</v>
      </c>
      <c r="C1891" s="654"/>
      <c r="D1891" s="645" t="s">
        <v>2741</v>
      </c>
      <c r="E1891" s="699">
        <v>0.45</v>
      </c>
      <c r="F1891" s="680" t="s">
        <v>1738</v>
      </c>
      <c r="G1891" s="661">
        <v>1</v>
      </c>
      <c r="H1891" s="680" t="s">
        <v>1738</v>
      </c>
      <c r="I1891" s="657">
        <f>IF(B1891=$B$2,$G$2,IF(B1891=$B$3,$G$3,IF(B1891=$B$4,$G$4,IF(B1891=$B$5,$G$5,IF(B1891=$B$6,$G$6,IF(B1891=$B$7,$G$7,FALSE))))))</f>
        <v>550</v>
      </c>
      <c r="J1891" s="694">
        <f>SUM(E1891*I1891/G1891)</f>
        <v>247.5</v>
      </c>
    </row>
    <row r="1892" spans="1:10" s="644" customFormat="1">
      <c r="A1892" s="668"/>
      <c r="B1892" s="654"/>
      <c r="C1892" s="654"/>
      <c r="D1892" s="682" t="s">
        <v>2861</v>
      </c>
      <c r="E1892" s="679"/>
      <c r="F1892" s="680"/>
      <c r="G1892" s="661"/>
      <c r="H1892" s="680"/>
      <c r="I1892" s="657"/>
      <c r="J1892" s="694">
        <f>SUM(J1890:J1891)</f>
        <v>511.5</v>
      </c>
    </row>
    <row r="1893" spans="1:10" s="644" customFormat="1">
      <c r="A1893" s="668"/>
      <c r="B1893" s="654"/>
      <c r="C1893" s="654"/>
      <c r="D1893" s="696" t="s">
        <v>2785</v>
      </c>
      <c r="E1893" s="679"/>
      <c r="F1893" s="680"/>
      <c r="G1893" s="661"/>
      <c r="H1893" s="680"/>
      <c r="I1893" s="657"/>
      <c r="J1893" s="694"/>
    </row>
    <row r="1894" spans="1:10" s="644" customFormat="1" ht="38.25">
      <c r="A1894" s="668"/>
      <c r="B1894" s="654" t="s">
        <v>3319</v>
      </c>
      <c r="C1894" s="661" t="s">
        <v>1197</v>
      </c>
      <c r="D1894" s="682" t="s">
        <v>3320</v>
      </c>
      <c r="E1894" s="695">
        <v>1</v>
      </c>
      <c r="F1894" s="645" t="s">
        <v>955</v>
      </c>
      <c r="G1894" s="661">
        <v>1</v>
      </c>
      <c r="H1894" s="645" t="s">
        <v>955</v>
      </c>
      <c r="I1894" s="657">
        <v>72864</v>
      </c>
      <c r="J1894" s="694">
        <f>SUM(E1894*I1894/G1894)</f>
        <v>72864</v>
      </c>
    </row>
    <row r="1895" spans="1:10" s="644" customFormat="1">
      <c r="A1895" s="668"/>
      <c r="B1895" s="654"/>
      <c r="C1895" s="654"/>
      <c r="D1895" s="682" t="s">
        <v>3308</v>
      </c>
      <c r="E1895" s="679"/>
      <c r="F1895" s="645"/>
      <c r="G1895" s="661"/>
      <c r="H1895" s="645"/>
      <c r="I1895" s="657"/>
      <c r="J1895" s="694">
        <f>SUM(J1894:J1894)</f>
        <v>72864</v>
      </c>
    </row>
    <row r="1896" spans="1:10" s="644" customFormat="1" ht="25.5">
      <c r="A1896" s="668"/>
      <c r="B1896" s="654"/>
      <c r="C1896" s="654"/>
      <c r="D1896" s="656" t="s">
        <v>2766</v>
      </c>
      <c r="E1896" s="682"/>
      <c r="F1896" s="770"/>
      <c r="G1896" s="654"/>
      <c r="H1896" s="681"/>
      <c r="I1896" s="672"/>
      <c r="J1896" s="694">
        <f>ROUNDDOWN(J1892+J1895,1)</f>
        <v>73375.5</v>
      </c>
    </row>
    <row r="1897" spans="1:10" s="644" customFormat="1">
      <c r="A1897" s="668"/>
      <c r="B1897" s="664"/>
      <c r="C1897" s="664"/>
      <c r="D1897" s="669" t="s">
        <v>2767</v>
      </c>
      <c r="E1897" s="670">
        <f>$E$9</f>
        <v>0</v>
      </c>
      <c r="F1897" s="684"/>
      <c r="G1897" s="663"/>
      <c r="H1897" s="684"/>
      <c r="I1897" s="672"/>
      <c r="J1897" s="676">
        <f>J1896*$E1897</f>
        <v>0</v>
      </c>
    </row>
    <row r="1898" spans="1:10" s="644" customFormat="1">
      <c r="A1898" s="668"/>
      <c r="B1898" s="664"/>
      <c r="C1898" s="664"/>
      <c r="D1898" s="673"/>
      <c r="E1898" s="685"/>
      <c r="F1898" s="684"/>
      <c r="G1898" s="663"/>
      <c r="H1898" s="684"/>
      <c r="I1898" s="672"/>
      <c r="J1898" s="676">
        <f>SUM(J1896:J1897)</f>
        <v>73375.5</v>
      </c>
    </row>
    <row r="1899" spans="1:10" s="644" customFormat="1">
      <c r="A1899" s="668"/>
      <c r="B1899" s="664"/>
      <c r="C1899" s="664"/>
      <c r="D1899" s="669" t="s">
        <v>2380</v>
      </c>
      <c r="E1899" s="685"/>
      <c r="F1899" s="684"/>
      <c r="G1899" s="663"/>
      <c r="H1899" s="684"/>
      <c r="I1899" s="686"/>
      <c r="J1899" s="693">
        <f>ROUND(J1898,0)</f>
        <v>73376</v>
      </c>
    </row>
    <row r="1900" spans="1:10" s="644" customFormat="1">
      <c r="A1900" s="668"/>
      <c r="B1900" s="664"/>
      <c r="C1900" s="664"/>
      <c r="D1900" s="669"/>
      <c r="E1900" s="685"/>
      <c r="F1900" s="684"/>
      <c r="G1900" s="663"/>
      <c r="H1900" s="684"/>
      <c r="I1900" s="686"/>
      <c r="J1900" s="693"/>
    </row>
    <row r="1901" spans="1:10" s="644" customFormat="1">
      <c r="A1901" s="668"/>
      <c r="B1901" s="664"/>
      <c r="C1901" s="664"/>
      <c r="D1901" s="736"/>
      <c r="E1901" s="736"/>
      <c r="F1901" s="924"/>
      <c r="G1901" s="924"/>
      <c r="H1901" s="681"/>
      <c r="I1901" s="672"/>
      <c r="J1901" s="838"/>
    </row>
    <row r="1902" spans="1:10" s="644" customFormat="1">
      <c r="A1902" s="668"/>
      <c r="B1902" s="664"/>
      <c r="C1902" s="664"/>
      <c r="D1902" s="925" t="s">
        <v>3321</v>
      </c>
      <c r="E1902" s="925"/>
      <c r="F1902" s="925"/>
      <c r="G1902" s="925"/>
      <c r="H1902" s="925"/>
      <c r="I1902" s="747"/>
      <c r="J1902" s="925"/>
    </row>
    <row r="1903" spans="1:10" s="644" customFormat="1" ht="267.75">
      <c r="A1903" s="653">
        <f>SUM(MAX($A$7:$A1902),1)</f>
        <v>113</v>
      </c>
      <c r="B1903" s="654" t="s">
        <v>3322</v>
      </c>
      <c r="C1903" s="661" t="s">
        <v>1184</v>
      </c>
      <c r="D1903" s="662" t="s">
        <v>3323</v>
      </c>
      <c r="E1903" s="803" t="s">
        <v>955</v>
      </c>
      <c r="F1903" s="668">
        <v>1</v>
      </c>
      <c r="G1903" s="661">
        <v>1</v>
      </c>
      <c r="H1903" s="803" t="s">
        <v>3229</v>
      </c>
      <c r="I1903" s="657">
        <v>13230</v>
      </c>
      <c r="J1903" s="655">
        <f t="shared" ref="J1903:J1922" si="15">I1903*F1903</f>
        <v>13230</v>
      </c>
    </row>
    <row r="1904" spans="1:10" s="644" customFormat="1">
      <c r="A1904" s="668"/>
      <c r="B1904" s="664"/>
      <c r="C1904" s="664"/>
      <c r="D1904" s="669" t="s">
        <v>2767</v>
      </c>
      <c r="E1904" s="670">
        <f>$E$9</f>
        <v>0</v>
      </c>
      <c r="F1904" s="684"/>
      <c r="G1904" s="663"/>
      <c r="H1904" s="684"/>
      <c r="I1904" s="672"/>
      <c r="J1904" s="676">
        <f>J1903*$E1904</f>
        <v>0</v>
      </c>
    </row>
    <row r="1905" spans="1:10" s="644" customFormat="1">
      <c r="A1905" s="668"/>
      <c r="B1905" s="664"/>
      <c r="C1905" s="664"/>
      <c r="D1905" s="673"/>
      <c r="E1905" s="685"/>
      <c r="F1905" s="684"/>
      <c r="G1905" s="663"/>
      <c r="H1905" s="684"/>
      <c r="I1905" s="672"/>
      <c r="J1905" s="676">
        <f>SUM(J1903:J1904)</f>
        <v>13230</v>
      </c>
    </row>
    <row r="1906" spans="1:10" s="644" customFormat="1">
      <c r="A1906" s="668"/>
      <c r="B1906" s="664"/>
      <c r="C1906" s="664"/>
      <c r="D1906" s="669" t="s">
        <v>2380</v>
      </c>
      <c r="E1906" s="685"/>
      <c r="F1906" s="684"/>
      <c r="G1906" s="663"/>
      <c r="H1906" s="684"/>
      <c r="I1906" s="686"/>
      <c r="J1906" s="693">
        <f>ROUND(J1905,0)</f>
        <v>13230</v>
      </c>
    </row>
    <row r="1907" spans="1:10" s="644" customFormat="1">
      <c r="A1907" s="668"/>
      <c r="B1907" s="664"/>
      <c r="C1907" s="664"/>
      <c r="D1907" s="669"/>
      <c r="E1907" s="685"/>
      <c r="F1907" s="684"/>
      <c r="G1907" s="663"/>
      <c r="H1907" s="684"/>
      <c r="I1907" s="686"/>
      <c r="J1907" s="693"/>
    </row>
    <row r="1908" spans="1:10" s="644" customFormat="1" ht="76.5">
      <c r="A1908" s="653">
        <f>SUM(MAX($A$7:$A1907),1)</f>
        <v>114</v>
      </c>
      <c r="B1908" s="654" t="s">
        <v>3324</v>
      </c>
      <c r="C1908" s="661" t="s">
        <v>1186</v>
      </c>
      <c r="D1908" s="682" t="s">
        <v>3325</v>
      </c>
      <c r="E1908" s="803" t="s">
        <v>955</v>
      </c>
      <c r="F1908" s="668">
        <v>1</v>
      </c>
      <c r="G1908" s="661">
        <v>1</v>
      </c>
      <c r="H1908" s="803" t="s">
        <v>3229</v>
      </c>
      <c r="I1908" s="657">
        <v>4520</v>
      </c>
      <c r="J1908" s="655">
        <f t="shared" si="15"/>
        <v>4520</v>
      </c>
    </row>
    <row r="1909" spans="1:10" s="644" customFormat="1">
      <c r="A1909" s="668"/>
      <c r="B1909" s="664"/>
      <c r="C1909" s="664"/>
      <c r="D1909" s="669" t="s">
        <v>2767</v>
      </c>
      <c r="E1909" s="670">
        <f>$E$9</f>
        <v>0</v>
      </c>
      <c r="F1909" s="684"/>
      <c r="G1909" s="663"/>
      <c r="H1909" s="684"/>
      <c r="I1909" s="672"/>
      <c r="J1909" s="673">
        <f>J1908*$E1909</f>
        <v>0</v>
      </c>
    </row>
    <row r="1910" spans="1:10" s="644" customFormat="1">
      <c r="A1910" s="668"/>
      <c r="B1910" s="664"/>
      <c r="C1910" s="664"/>
      <c r="D1910" s="673"/>
      <c r="E1910" s="685"/>
      <c r="F1910" s="684"/>
      <c r="G1910" s="663"/>
      <c r="H1910" s="684"/>
      <c r="I1910" s="672"/>
      <c r="J1910" s="676">
        <f>SUM(J1908:J1909)</f>
        <v>4520</v>
      </c>
    </row>
    <row r="1911" spans="1:10" s="644" customFormat="1">
      <c r="A1911" s="668"/>
      <c r="B1911" s="664"/>
      <c r="C1911" s="664"/>
      <c r="D1911" s="669" t="s">
        <v>2380</v>
      </c>
      <c r="E1911" s="685"/>
      <c r="F1911" s="684"/>
      <c r="G1911" s="663"/>
      <c r="H1911" s="684"/>
      <c r="I1911" s="686"/>
      <c r="J1911" s="693">
        <f>ROUND(J1910,0)</f>
        <v>4520</v>
      </c>
    </row>
    <row r="1912" spans="1:10" s="644" customFormat="1" ht="76.5">
      <c r="A1912" s="653">
        <f>SUM(MAX($A$7:$A1911),1)</f>
        <v>115</v>
      </c>
      <c r="B1912" s="654" t="s">
        <v>3324</v>
      </c>
      <c r="C1912" s="661" t="s">
        <v>1188</v>
      </c>
      <c r="D1912" s="682" t="s">
        <v>3326</v>
      </c>
      <c r="E1912" s="803" t="s">
        <v>955</v>
      </c>
      <c r="F1912" s="668">
        <v>1</v>
      </c>
      <c r="G1912" s="661">
        <v>1</v>
      </c>
      <c r="H1912" s="803" t="s">
        <v>3229</v>
      </c>
      <c r="I1912" s="657">
        <v>5899</v>
      </c>
      <c r="J1912" s="655">
        <f t="shared" si="15"/>
        <v>5899</v>
      </c>
    </row>
    <row r="1913" spans="1:10" s="644" customFormat="1">
      <c r="A1913" s="668"/>
      <c r="B1913" s="664"/>
      <c r="C1913" s="664"/>
      <c r="D1913" s="669" t="s">
        <v>2767</v>
      </c>
      <c r="E1913" s="670">
        <f>$E$9</f>
        <v>0</v>
      </c>
      <c r="F1913" s="684"/>
      <c r="G1913" s="663"/>
      <c r="H1913" s="684"/>
      <c r="I1913" s="672"/>
      <c r="J1913" s="673">
        <f>J1912*$E1913</f>
        <v>0</v>
      </c>
    </row>
    <row r="1914" spans="1:10" s="644" customFormat="1">
      <c r="A1914" s="668"/>
      <c r="B1914" s="664"/>
      <c r="C1914" s="664"/>
      <c r="D1914" s="673"/>
      <c r="E1914" s="685"/>
      <c r="F1914" s="684"/>
      <c r="G1914" s="663"/>
      <c r="H1914" s="684"/>
      <c r="I1914" s="672"/>
      <c r="J1914" s="676">
        <f>SUM(J1912:J1913)</f>
        <v>5899</v>
      </c>
    </row>
    <row r="1915" spans="1:10" s="644" customFormat="1">
      <c r="A1915" s="668"/>
      <c r="B1915" s="664"/>
      <c r="C1915" s="664"/>
      <c r="D1915" s="669" t="s">
        <v>2380</v>
      </c>
      <c r="E1915" s="685"/>
      <c r="F1915" s="684"/>
      <c r="G1915" s="663"/>
      <c r="H1915" s="684"/>
      <c r="I1915" s="686"/>
      <c r="J1915" s="693">
        <f>ROUND(J1914,0)</f>
        <v>5899</v>
      </c>
    </row>
    <row r="1916" spans="1:10" s="644" customFormat="1">
      <c r="A1916" s="668"/>
      <c r="B1916" s="664"/>
      <c r="C1916" s="664"/>
      <c r="D1916" s="669"/>
      <c r="E1916" s="685"/>
      <c r="F1916" s="684"/>
      <c r="G1916" s="663"/>
      <c r="H1916" s="684"/>
      <c r="I1916" s="686"/>
      <c r="J1916" s="693"/>
    </row>
    <row r="1917" spans="1:10" s="644" customFormat="1" ht="280.5">
      <c r="A1917" s="653">
        <f>SUM(MAX($A$7:$A1915),1)</f>
        <v>116</v>
      </c>
      <c r="B1917" s="659" t="s">
        <v>3327</v>
      </c>
      <c r="C1917" s="661"/>
      <c r="D1917" s="682" t="s">
        <v>3328</v>
      </c>
      <c r="E1917" s="803" t="s">
        <v>955</v>
      </c>
      <c r="F1917" s="668">
        <v>1</v>
      </c>
      <c r="G1917" s="661">
        <v>1</v>
      </c>
      <c r="H1917" s="803" t="s">
        <v>3229</v>
      </c>
      <c r="I1917" s="657">
        <v>5464</v>
      </c>
      <c r="J1917" s="655">
        <f t="shared" si="15"/>
        <v>5464</v>
      </c>
    </row>
    <row r="1918" spans="1:10" s="644" customFormat="1">
      <c r="A1918" s="668"/>
      <c r="B1918" s="664"/>
      <c r="C1918" s="664"/>
      <c r="D1918" s="669" t="s">
        <v>2767</v>
      </c>
      <c r="E1918" s="670">
        <f>$E$9</f>
        <v>0</v>
      </c>
      <c r="F1918" s="684"/>
      <c r="G1918" s="663"/>
      <c r="H1918" s="684"/>
      <c r="I1918" s="672"/>
      <c r="J1918" s="676">
        <f>J1917*$E1918</f>
        <v>0</v>
      </c>
    </row>
    <row r="1919" spans="1:10" s="644" customFormat="1">
      <c r="A1919" s="668"/>
      <c r="B1919" s="664"/>
      <c r="C1919" s="664"/>
      <c r="D1919" s="673"/>
      <c r="E1919" s="685"/>
      <c r="F1919" s="684"/>
      <c r="G1919" s="663"/>
      <c r="H1919" s="684"/>
      <c r="I1919" s="672"/>
      <c r="J1919" s="676">
        <f>SUM(J1917:J1918)</f>
        <v>5464</v>
      </c>
    </row>
    <row r="1920" spans="1:10" s="644" customFormat="1">
      <c r="A1920" s="668"/>
      <c r="B1920" s="664"/>
      <c r="C1920" s="664"/>
      <c r="D1920" s="669" t="s">
        <v>2380</v>
      </c>
      <c r="E1920" s="685"/>
      <c r="F1920" s="684"/>
      <c r="G1920" s="663"/>
      <c r="H1920" s="684"/>
      <c r="I1920" s="686"/>
      <c r="J1920" s="693">
        <f>ROUND(J1919,0)</f>
        <v>5464</v>
      </c>
    </row>
    <row r="1921" spans="1:10" s="644" customFormat="1">
      <c r="A1921" s="668"/>
      <c r="B1921" s="664"/>
      <c r="C1921" s="664"/>
      <c r="D1921" s="669"/>
      <c r="E1921" s="685"/>
      <c r="F1921" s="684"/>
      <c r="G1921" s="663"/>
      <c r="H1921" s="684"/>
      <c r="I1921" s="686"/>
      <c r="J1921" s="693"/>
    </row>
    <row r="1922" spans="1:10" s="644" customFormat="1" ht="306">
      <c r="A1922" s="653">
        <f>SUM(MAX($A$7:$A1921),1)</f>
        <v>117</v>
      </c>
      <c r="B1922" s="654" t="s">
        <v>3329</v>
      </c>
      <c r="C1922" s="661" t="s">
        <v>1180</v>
      </c>
      <c r="D1922" s="682" t="s">
        <v>3330</v>
      </c>
      <c r="E1922" s="803" t="s">
        <v>955</v>
      </c>
      <c r="F1922" s="668">
        <v>1</v>
      </c>
      <c r="G1922" s="661">
        <v>1</v>
      </c>
      <c r="H1922" s="803" t="s">
        <v>3229</v>
      </c>
      <c r="I1922" s="657">
        <v>27081</v>
      </c>
      <c r="J1922" s="655">
        <f t="shared" si="15"/>
        <v>27081</v>
      </c>
    </row>
    <row r="1923" spans="1:10" s="644" customFormat="1">
      <c r="A1923" s="668"/>
      <c r="B1923" s="664"/>
      <c r="C1923" s="664"/>
      <c r="D1923" s="669" t="s">
        <v>2767</v>
      </c>
      <c r="E1923" s="670">
        <f>$E$9</f>
        <v>0</v>
      </c>
      <c r="F1923" s="684"/>
      <c r="G1923" s="663"/>
      <c r="H1923" s="684"/>
      <c r="I1923" s="672"/>
      <c r="J1923" s="676">
        <f>J1922*$E1923</f>
        <v>0</v>
      </c>
    </row>
    <row r="1924" spans="1:10" s="644" customFormat="1">
      <c r="A1924" s="668"/>
      <c r="B1924" s="664"/>
      <c r="C1924" s="664"/>
      <c r="D1924" s="673"/>
      <c r="E1924" s="685"/>
      <c r="F1924" s="684"/>
      <c r="G1924" s="663"/>
      <c r="H1924" s="684"/>
      <c r="I1924" s="672"/>
      <c r="J1924" s="676">
        <f>SUM(J1922:J1923)</f>
        <v>27081</v>
      </c>
    </row>
    <row r="1925" spans="1:10" s="644" customFormat="1">
      <c r="A1925" s="668"/>
      <c r="B1925" s="664"/>
      <c r="C1925" s="664"/>
      <c r="D1925" s="669" t="s">
        <v>2380</v>
      </c>
      <c r="E1925" s="685"/>
      <c r="F1925" s="684"/>
      <c r="G1925" s="663"/>
      <c r="H1925" s="684"/>
      <c r="I1925" s="686"/>
      <c r="J1925" s="693">
        <f>ROUND(J1924,0)</f>
        <v>27081</v>
      </c>
    </row>
    <row r="1926" spans="1:10" s="644" customFormat="1">
      <c r="A1926" s="668"/>
      <c r="B1926" s="654"/>
      <c r="C1926" s="654"/>
      <c r="D1926" s="682"/>
      <c r="E1926" s="803"/>
      <c r="F1926" s="668"/>
      <c r="G1926" s="661"/>
      <c r="H1926" s="803"/>
      <c r="I1926" s="657"/>
      <c r="J1926" s="655"/>
    </row>
    <row r="1927" spans="1:10" s="644" customFormat="1" ht="191.25">
      <c r="A1927" s="653">
        <f>SUM(MAX($A$7:$A1926),1)</f>
        <v>118</v>
      </c>
      <c r="B1927" s="661" t="s">
        <v>3331</v>
      </c>
      <c r="C1927" s="661" t="s">
        <v>1184</v>
      </c>
      <c r="D1927" s="682" t="s">
        <v>3332</v>
      </c>
      <c r="E1927" s="803" t="s">
        <v>955</v>
      </c>
      <c r="F1927" s="668">
        <v>1</v>
      </c>
      <c r="G1927" s="661">
        <v>1</v>
      </c>
      <c r="H1927" s="803" t="s">
        <v>3229</v>
      </c>
      <c r="I1927" s="679">
        <v>17672</v>
      </c>
      <c r="J1927" s="655">
        <f>I1927*F1927</f>
        <v>17672</v>
      </c>
    </row>
    <row r="1928" spans="1:10" s="644" customFormat="1">
      <c r="A1928" s="668"/>
      <c r="B1928" s="664"/>
      <c r="C1928" s="664"/>
      <c r="D1928" s="669" t="s">
        <v>2767</v>
      </c>
      <c r="E1928" s="670">
        <f>$E$9</f>
        <v>0</v>
      </c>
      <c r="F1928" s="684"/>
      <c r="G1928" s="663"/>
      <c r="H1928" s="684"/>
      <c r="I1928" s="672"/>
      <c r="J1928" s="676">
        <f>J1927*$E1928</f>
        <v>0</v>
      </c>
    </row>
    <row r="1929" spans="1:10" s="644" customFormat="1">
      <c r="A1929" s="668"/>
      <c r="B1929" s="664"/>
      <c r="C1929" s="664"/>
      <c r="D1929" s="673"/>
      <c r="E1929" s="685"/>
      <c r="F1929" s="684"/>
      <c r="G1929" s="663"/>
      <c r="H1929" s="684"/>
      <c r="I1929" s="672"/>
      <c r="J1929" s="676">
        <f>SUM(J1927:J1928)</f>
        <v>17672</v>
      </c>
    </row>
    <row r="1930" spans="1:10" s="644" customFormat="1">
      <c r="A1930" s="668"/>
      <c r="B1930" s="664"/>
      <c r="C1930" s="664"/>
      <c r="D1930" s="669" t="s">
        <v>2380</v>
      </c>
      <c r="E1930" s="685"/>
      <c r="F1930" s="684"/>
      <c r="G1930" s="663"/>
      <c r="H1930" s="684"/>
      <c r="I1930" s="686"/>
      <c r="J1930" s="693">
        <f>ROUND(J1929,0)</f>
        <v>17672</v>
      </c>
    </row>
    <row r="1931" spans="1:10" s="644" customFormat="1">
      <c r="A1931" s="664"/>
      <c r="B1931" s="664"/>
      <c r="C1931" s="664"/>
      <c r="D1931" s="669"/>
      <c r="E1931" s="685"/>
      <c r="F1931" s="684"/>
      <c r="G1931" s="663"/>
      <c r="H1931" s="684"/>
      <c r="I1931" s="686"/>
      <c r="J1931" s="676"/>
    </row>
    <row r="1932" spans="1:10" s="644" customFormat="1" ht="157.5" customHeight="1">
      <c r="A1932" s="653">
        <f>SUM(MAX($A$7:$A1931),1)</f>
        <v>119</v>
      </c>
      <c r="B1932" s="665"/>
      <c r="C1932" s="665"/>
      <c r="D1932" s="2155" t="s">
        <v>3333</v>
      </c>
      <c r="E1932" s="2155"/>
      <c r="F1932" s="2155"/>
      <c r="G1932" s="2155"/>
      <c r="H1932" s="2155"/>
      <c r="I1932" s="2155"/>
      <c r="J1932" s="2155"/>
    </row>
    <row r="1933" spans="1:10" s="644" customFormat="1">
      <c r="A1933" s="664"/>
      <c r="B1933" s="654"/>
      <c r="C1933" s="654"/>
      <c r="D1933" s="773" t="s">
        <v>2985</v>
      </c>
      <c r="E1933" s="679"/>
      <c r="F1933" s="645"/>
      <c r="G1933" s="661"/>
      <c r="H1933" s="645"/>
      <c r="I1933" s="657"/>
      <c r="J1933" s="694"/>
    </row>
    <row r="1934" spans="1:10" s="644" customFormat="1">
      <c r="A1934" s="664"/>
      <c r="B1934" s="654">
        <v>1</v>
      </c>
      <c r="C1934" s="654"/>
      <c r="D1934" s="645" t="s">
        <v>2740</v>
      </c>
      <c r="E1934" s="679">
        <v>0.25</v>
      </c>
      <c r="F1934" s="680" t="s">
        <v>1738</v>
      </c>
      <c r="G1934" s="661">
        <v>1</v>
      </c>
      <c r="H1934" s="680" t="s">
        <v>1738</v>
      </c>
      <c r="I1934" s="657">
        <f>G2</f>
        <v>660</v>
      </c>
      <c r="J1934" s="694">
        <f>SUM(E1934*I1934/G1934)</f>
        <v>165</v>
      </c>
    </row>
    <row r="1935" spans="1:10" s="644" customFormat="1">
      <c r="A1935" s="664"/>
      <c r="B1935" s="654">
        <v>2</v>
      </c>
      <c r="C1935" s="654"/>
      <c r="D1935" s="645" t="s">
        <v>2741</v>
      </c>
      <c r="E1935" s="679">
        <v>0.25</v>
      </c>
      <c r="F1935" s="680" t="s">
        <v>1738</v>
      </c>
      <c r="G1935" s="661">
        <v>1</v>
      </c>
      <c r="H1935" s="680" t="s">
        <v>1738</v>
      </c>
      <c r="I1935" s="657">
        <f>G3</f>
        <v>550</v>
      </c>
      <c r="J1935" s="694">
        <f>SUM(E1935*I1935/G1935)</f>
        <v>137.5</v>
      </c>
    </row>
    <row r="1936" spans="1:10" s="644" customFormat="1">
      <c r="A1936" s="664"/>
      <c r="B1936" s="654">
        <v>3</v>
      </c>
      <c r="C1936" s="654"/>
      <c r="D1936" s="645" t="s">
        <v>2742</v>
      </c>
      <c r="E1936" s="679">
        <v>0.25</v>
      </c>
      <c r="F1936" s="680" t="s">
        <v>1738</v>
      </c>
      <c r="G1936" s="661">
        <v>1</v>
      </c>
      <c r="H1936" s="680" t="s">
        <v>1738</v>
      </c>
      <c r="I1936" s="657">
        <f>G4</f>
        <v>550</v>
      </c>
      <c r="J1936" s="694">
        <f>SUM(E1936*I1936/G1936)</f>
        <v>137.5</v>
      </c>
    </row>
    <row r="1937" spans="1:10" s="644" customFormat="1">
      <c r="A1937" s="664"/>
      <c r="B1937" s="654"/>
      <c r="C1937" s="654"/>
      <c r="D1937" s="682" t="s">
        <v>2829</v>
      </c>
      <c r="E1937" s="679"/>
      <c r="F1937" s="680"/>
      <c r="G1937" s="661"/>
      <c r="H1937" s="680"/>
      <c r="I1937" s="657"/>
      <c r="J1937" s="694">
        <f>SUM(J1934:J1936)</f>
        <v>440</v>
      </c>
    </row>
    <row r="1938" spans="1:10" s="644" customFormat="1">
      <c r="A1938" s="664"/>
      <c r="B1938" s="654"/>
      <c r="C1938" s="654"/>
      <c r="D1938" s="696" t="s">
        <v>1879</v>
      </c>
      <c r="E1938" s="679"/>
      <c r="F1938" s="680"/>
      <c r="G1938" s="661"/>
      <c r="H1938" s="680"/>
      <c r="I1938" s="657"/>
      <c r="J1938" s="694"/>
    </row>
    <row r="1939" spans="1:10" s="644" customFormat="1" ht="25.5">
      <c r="A1939" s="664"/>
      <c r="B1939" s="661" t="s">
        <v>3012</v>
      </c>
      <c r="C1939" s="661" t="s">
        <v>1184</v>
      </c>
      <c r="D1939" s="682" t="s">
        <v>3013</v>
      </c>
      <c r="E1939" s="679">
        <v>10</v>
      </c>
      <c r="F1939" s="645" t="s">
        <v>2805</v>
      </c>
      <c r="G1939" s="661">
        <v>100</v>
      </c>
      <c r="H1939" s="645" t="s">
        <v>2805</v>
      </c>
      <c r="I1939" s="695">
        <v>11248</v>
      </c>
      <c r="J1939" s="694">
        <f>SUM(E1939*I1939/G1939)</f>
        <v>1124.8</v>
      </c>
    </row>
    <row r="1940" spans="1:10" s="644" customFormat="1">
      <c r="A1940" s="664"/>
      <c r="B1940" s="654" t="s">
        <v>3334</v>
      </c>
      <c r="C1940" s="661" t="s">
        <v>1192</v>
      </c>
      <c r="D1940" s="645" t="s">
        <v>3335</v>
      </c>
      <c r="E1940" s="695">
        <v>1</v>
      </c>
      <c r="F1940" s="645" t="s">
        <v>955</v>
      </c>
      <c r="G1940" s="661">
        <v>1</v>
      </c>
      <c r="H1940" s="645" t="s">
        <v>955</v>
      </c>
      <c r="I1940" s="695">
        <v>5270</v>
      </c>
      <c r="J1940" s="694">
        <f>SUM(E1940*I1940/G1940)</f>
        <v>5270</v>
      </c>
    </row>
    <row r="1941" spans="1:10" s="644" customFormat="1">
      <c r="A1941" s="664"/>
      <c r="B1941" s="654"/>
      <c r="C1941" s="654"/>
      <c r="D1941" s="682" t="s">
        <v>2832</v>
      </c>
      <c r="E1941" s="679"/>
      <c r="F1941" s="682"/>
      <c r="G1941" s="661"/>
      <c r="H1941" s="645"/>
      <c r="I1941" s="657"/>
      <c r="J1941" s="694">
        <f>SUM(J1940:J1940)</f>
        <v>5270</v>
      </c>
    </row>
    <row r="1942" spans="1:10" s="644" customFormat="1" ht="25.5">
      <c r="A1942" s="664"/>
      <c r="B1942" s="654"/>
      <c r="C1942" s="654"/>
      <c r="D1942" s="656" t="s">
        <v>2766</v>
      </c>
      <c r="E1942" s="662"/>
      <c r="F1942" s="662"/>
      <c r="G1942" s="654"/>
      <c r="H1942" s="662"/>
      <c r="I1942" s="672"/>
      <c r="J1942" s="771">
        <f>J1941+J1937</f>
        <v>5710</v>
      </c>
    </row>
    <row r="1943" spans="1:10" s="644" customFormat="1">
      <c r="A1943" s="664"/>
      <c r="B1943" s="668"/>
      <c r="C1943" s="668"/>
      <c r="D1943" s="669" t="s">
        <v>2767</v>
      </c>
      <c r="E1943" s="670">
        <f>$E$9</f>
        <v>0</v>
      </c>
      <c r="F1943" s="678"/>
      <c r="G1943" s="671"/>
      <c r="H1943" s="921"/>
      <c r="I1943" s="672"/>
      <c r="J1943" s="676">
        <f>J1942*E1943</f>
        <v>0</v>
      </c>
    </row>
    <row r="1944" spans="1:10" s="644" customFormat="1">
      <c r="A1944" s="664"/>
      <c r="B1944" s="668"/>
      <c r="C1944" s="668"/>
      <c r="D1944" s="664"/>
      <c r="E1944" s="673"/>
      <c r="F1944" s="685"/>
      <c r="G1944" s="671"/>
      <c r="H1944" s="921"/>
      <c r="I1944" s="672"/>
      <c r="J1944" s="676">
        <f>SUM(J1942:J1943)</f>
        <v>5710</v>
      </c>
    </row>
    <row r="1945" spans="1:10" s="644" customFormat="1">
      <c r="A1945" s="664"/>
      <c r="B1945" s="668"/>
      <c r="C1945" s="668"/>
      <c r="D1945" s="669" t="s">
        <v>2380</v>
      </c>
      <c r="E1945" s="683"/>
      <c r="F1945" s="685"/>
      <c r="G1945" s="671"/>
      <c r="H1945" s="921"/>
      <c r="I1945" s="672"/>
      <c r="J1945" s="693">
        <f>ROUND(J1944,0)</f>
        <v>5710</v>
      </c>
    </row>
    <row r="1946" spans="1:10" s="644" customFormat="1" ht="157.5" customHeight="1">
      <c r="A1946" s="653">
        <f>SUM(MAX($A$7:$A1945),1)</f>
        <v>120</v>
      </c>
      <c r="B1946" s="665"/>
      <c r="C1946" s="665"/>
      <c r="D1946" s="2155" t="s">
        <v>3681</v>
      </c>
      <c r="E1946" s="2155"/>
      <c r="F1946" s="2155"/>
      <c r="G1946" s="2155"/>
      <c r="H1946" s="2155"/>
      <c r="I1946" s="2155"/>
      <c r="J1946" s="2155"/>
    </row>
    <row r="1947" spans="1:10" s="644" customFormat="1">
      <c r="A1947" s="1783"/>
      <c r="B1947" s="654"/>
      <c r="C1947" s="654"/>
      <c r="D1947" s="773" t="s">
        <v>2985</v>
      </c>
      <c r="E1947" s="679"/>
      <c r="F1947" s="1782"/>
      <c r="G1947" s="661"/>
      <c r="H1947" s="1782"/>
      <c r="I1947" s="657"/>
      <c r="J1947" s="694"/>
    </row>
    <row r="1948" spans="1:10" s="644" customFormat="1">
      <c r="A1948" s="1783"/>
      <c r="B1948" s="654">
        <v>1</v>
      </c>
      <c r="C1948" s="654"/>
      <c r="D1948" s="1782" t="s">
        <v>2740</v>
      </c>
      <c r="E1948" s="679">
        <v>0.25</v>
      </c>
      <c r="F1948" s="680" t="s">
        <v>1738</v>
      </c>
      <c r="G1948" s="661">
        <v>1</v>
      </c>
      <c r="H1948" s="680" t="s">
        <v>1738</v>
      </c>
      <c r="I1948" s="657">
        <v>660</v>
      </c>
      <c r="J1948" s="694">
        <f>SUM(E1948*I1948/G1948)</f>
        <v>165</v>
      </c>
    </row>
    <row r="1949" spans="1:10" s="644" customFormat="1">
      <c r="A1949" s="1783"/>
      <c r="B1949" s="654">
        <v>2</v>
      </c>
      <c r="C1949" s="654"/>
      <c r="D1949" s="1782" t="s">
        <v>2741</v>
      </c>
      <c r="E1949" s="679">
        <v>0.25</v>
      </c>
      <c r="F1949" s="680" t="s">
        <v>1738</v>
      </c>
      <c r="G1949" s="661">
        <v>1</v>
      </c>
      <c r="H1949" s="680" t="s">
        <v>1738</v>
      </c>
      <c r="I1949" s="657">
        <v>550</v>
      </c>
      <c r="J1949" s="694">
        <f>SUM(E1949*I1949/G1949)</f>
        <v>137.5</v>
      </c>
    </row>
    <row r="1950" spans="1:10" s="644" customFormat="1">
      <c r="A1950" s="1783"/>
      <c r="B1950" s="654">
        <v>3</v>
      </c>
      <c r="C1950" s="654"/>
      <c r="D1950" s="1782" t="s">
        <v>2742</v>
      </c>
      <c r="E1950" s="679">
        <v>0.25</v>
      </c>
      <c r="F1950" s="680" t="s">
        <v>1738</v>
      </c>
      <c r="G1950" s="661">
        <v>1</v>
      </c>
      <c r="H1950" s="680" t="s">
        <v>1738</v>
      </c>
      <c r="I1950" s="657">
        <v>550</v>
      </c>
      <c r="J1950" s="694">
        <f>SUM(E1950*I1950/G1950)</f>
        <v>137.5</v>
      </c>
    </row>
    <row r="1951" spans="1:10" s="644" customFormat="1">
      <c r="A1951" s="1783"/>
      <c r="B1951" s="654"/>
      <c r="C1951" s="654"/>
      <c r="D1951" s="1784" t="s">
        <v>2829</v>
      </c>
      <c r="E1951" s="679"/>
      <c r="F1951" s="680"/>
      <c r="G1951" s="661"/>
      <c r="H1951" s="680"/>
      <c r="I1951" s="657"/>
      <c r="J1951" s="694">
        <f>SUM(J1948:J1950)</f>
        <v>440</v>
      </c>
    </row>
    <row r="1952" spans="1:10" s="644" customFormat="1">
      <c r="A1952" s="1783"/>
      <c r="B1952" s="654"/>
      <c r="C1952" s="654"/>
      <c r="D1952" s="696" t="s">
        <v>1879</v>
      </c>
      <c r="E1952" s="679"/>
      <c r="F1952" s="680"/>
      <c r="G1952" s="661"/>
      <c r="H1952" s="680"/>
      <c r="I1952" s="657"/>
      <c r="J1952" s="694"/>
    </row>
    <row r="1953" spans="1:10" s="644" customFormat="1" ht="25.5">
      <c r="A1953" s="1783"/>
      <c r="B1953" s="661" t="s">
        <v>3012</v>
      </c>
      <c r="C1953" s="661" t="s">
        <v>1184</v>
      </c>
      <c r="D1953" s="1784" t="s">
        <v>3013</v>
      </c>
      <c r="E1953" s="679">
        <v>10</v>
      </c>
      <c r="F1953" s="1782" t="s">
        <v>2805</v>
      </c>
      <c r="G1953" s="661">
        <v>100</v>
      </c>
      <c r="H1953" s="1782" t="s">
        <v>2805</v>
      </c>
      <c r="I1953" s="695">
        <v>11248</v>
      </c>
      <c r="J1953" s="694">
        <f>SUM(E1953*I1953/G1953)</f>
        <v>1124.8</v>
      </c>
    </row>
    <row r="1954" spans="1:10" s="644" customFormat="1">
      <c r="A1954" s="1783"/>
      <c r="B1954" s="654" t="s">
        <v>3334</v>
      </c>
      <c r="C1954" s="661" t="s">
        <v>3142</v>
      </c>
      <c r="D1954" s="1782" t="s">
        <v>3682</v>
      </c>
      <c r="E1954" s="695">
        <v>1</v>
      </c>
      <c r="F1954" s="1782" t="s">
        <v>955</v>
      </c>
      <c r="G1954" s="661">
        <v>1</v>
      </c>
      <c r="H1954" s="1782" t="s">
        <v>955</v>
      </c>
      <c r="I1954" s="695">
        <v>12495</v>
      </c>
      <c r="J1954" s="694">
        <f>SUM(E1954*I1954/G1954)</f>
        <v>12495</v>
      </c>
    </row>
    <row r="1955" spans="1:10" s="644" customFormat="1">
      <c r="A1955" s="1783"/>
      <c r="B1955" s="654"/>
      <c r="C1955" s="654"/>
      <c r="D1955" s="1784" t="s">
        <v>2832</v>
      </c>
      <c r="E1955" s="679"/>
      <c r="F1955" s="1784"/>
      <c r="G1955" s="661"/>
      <c r="H1955" s="1782"/>
      <c r="I1955" s="657"/>
      <c r="J1955" s="694">
        <f>SUM(J1954:J1954)</f>
        <v>12495</v>
      </c>
    </row>
    <row r="1956" spans="1:10" s="644" customFormat="1" ht="25.5">
      <c r="A1956" s="1783"/>
      <c r="B1956" s="654"/>
      <c r="C1956" s="654"/>
      <c r="D1956" s="656" t="s">
        <v>2766</v>
      </c>
      <c r="E1956" s="1785"/>
      <c r="F1956" s="1785"/>
      <c r="G1956" s="654"/>
      <c r="H1956" s="1785"/>
      <c r="I1956" s="672"/>
      <c r="J1956" s="771">
        <f>J1955+J1951</f>
        <v>12935</v>
      </c>
    </row>
    <row r="1957" spans="1:10" s="644" customFormat="1">
      <c r="A1957" s="1783"/>
      <c r="B1957" s="668"/>
      <c r="C1957" s="668"/>
      <c r="D1957" s="669" t="s">
        <v>2767</v>
      </c>
      <c r="E1957" s="670">
        <f>$E$9</f>
        <v>0</v>
      </c>
      <c r="F1957" s="678"/>
      <c r="G1957" s="671"/>
      <c r="H1957" s="921"/>
      <c r="I1957" s="672"/>
      <c r="J1957" s="676">
        <f>J1956*E1957</f>
        <v>0</v>
      </c>
    </row>
    <row r="1958" spans="1:10" s="644" customFormat="1">
      <c r="A1958" s="1783"/>
      <c r="B1958" s="668"/>
      <c r="C1958" s="668"/>
      <c r="D1958" s="1783"/>
      <c r="E1958" s="673"/>
      <c r="F1958" s="685"/>
      <c r="G1958" s="671"/>
      <c r="H1958" s="921"/>
      <c r="I1958" s="672"/>
      <c r="J1958" s="676">
        <f>SUM(J1956:J1957)</f>
        <v>12935</v>
      </c>
    </row>
    <row r="1959" spans="1:10" s="644" customFormat="1">
      <c r="A1959" s="1783"/>
      <c r="B1959" s="668"/>
      <c r="C1959" s="668"/>
      <c r="D1959" s="669" t="s">
        <v>2380</v>
      </c>
      <c r="E1959" s="683"/>
      <c r="F1959" s="685"/>
      <c r="G1959" s="671"/>
      <c r="H1959" s="921"/>
      <c r="I1959" s="672"/>
      <c r="J1959" s="693">
        <f>ROUND(J1958,0)</f>
        <v>12935</v>
      </c>
    </row>
    <row r="1960" spans="1:10" s="644" customFormat="1">
      <c r="A1960" s="664"/>
      <c r="B1960" s="668"/>
      <c r="C1960" s="668"/>
      <c r="D1960" s="664"/>
      <c r="E1960" s="664"/>
      <c r="F1960" s="685"/>
      <c r="G1960" s="671"/>
      <c r="H1960" s="921"/>
      <c r="I1960" s="672"/>
      <c r="J1960" s="693"/>
    </row>
    <row r="1961" spans="1:10" s="644" customFormat="1">
      <c r="A1961" s="668"/>
      <c r="B1961" s="664"/>
      <c r="C1961" s="664"/>
      <c r="D1961" s="736"/>
      <c r="E1961" s="736"/>
      <c r="F1961" s="924"/>
      <c r="G1961" s="924"/>
      <c r="H1961" s="681"/>
      <c r="I1961" s="672"/>
      <c r="J1961" s="838"/>
    </row>
    <row r="1962" spans="1:10" s="644" customFormat="1" ht="255">
      <c r="A1962" s="653"/>
      <c r="B1962" s="658" t="s">
        <v>3336</v>
      </c>
      <c r="C1962" s="658" t="s">
        <v>1184</v>
      </c>
      <c r="D1962" s="696" t="s">
        <v>3337</v>
      </c>
      <c r="E1962" s="926">
        <v>1</v>
      </c>
      <c r="F1962" s="927" t="s">
        <v>955</v>
      </c>
      <c r="G1962" s="926">
        <v>1</v>
      </c>
      <c r="H1962" s="697" t="s">
        <v>501</v>
      </c>
      <c r="I1962" s="657">
        <v>10882</v>
      </c>
      <c r="J1962" s="688">
        <f>G1962*I1962</f>
        <v>10882</v>
      </c>
    </row>
    <row r="1963" spans="1:10" s="644" customFormat="1">
      <c r="A1963" s="668"/>
      <c r="B1963" s="664"/>
      <c r="C1963" s="664"/>
      <c r="D1963" s="669" t="s">
        <v>2767</v>
      </c>
      <c r="E1963" s="670">
        <f>$E$9</f>
        <v>0</v>
      </c>
      <c r="F1963" s="684"/>
      <c r="G1963" s="663"/>
      <c r="H1963" s="684"/>
      <c r="I1963" s="672"/>
      <c r="J1963" s="676">
        <f>J1962*$E1963</f>
        <v>0</v>
      </c>
    </row>
    <row r="1964" spans="1:10" s="644" customFormat="1">
      <c r="A1964" s="668"/>
      <c r="B1964" s="664"/>
      <c r="C1964" s="664"/>
      <c r="D1964" s="673"/>
      <c r="E1964" s="685"/>
      <c r="F1964" s="684"/>
      <c r="G1964" s="663"/>
      <c r="H1964" s="684"/>
      <c r="I1964" s="672"/>
      <c r="J1964" s="676">
        <f>SUM(J1962:J1963)</f>
        <v>10882</v>
      </c>
    </row>
    <row r="1965" spans="1:10" s="644" customFormat="1">
      <c r="A1965" s="668"/>
      <c r="B1965" s="664"/>
      <c r="C1965" s="664"/>
      <c r="D1965" s="669" t="s">
        <v>2380</v>
      </c>
      <c r="E1965" s="685"/>
      <c r="F1965" s="684"/>
      <c r="G1965" s="663"/>
      <c r="H1965" s="684"/>
      <c r="I1965" s="686"/>
      <c r="J1965" s="693">
        <f>ROUND(J1964,0)</f>
        <v>10882</v>
      </c>
    </row>
    <row r="1966" spans="1:10" s="644" customFormat="1">
      <c r="A1966" s="668"/>
      <c r="B1966" s="664"/>
      <c r="C1966" s="664"/>
      <c r="D1966" s="669"/>
      <c r="E1966" s="685"/>
      <c r="F1966" s="684"/>
      <c r="G1966" s="663"/>
      <c r="H1966" s="684"/>
      <c r="I1966" s="686"/>
      <c r="J1966" s="693"/>
    </row>
    <row r="1967" spans="1:10" s="644" customFormat="1">
      <c r="A1967" s="668"/>
      <c r="B1967" s="736"/>
      <c r="C1967" s="736"/>
      <c r="D1967" s="925" t="s">
        <v>3338</v>
      </c>
      <c r="E1967" s="925"/>
      <c r="F1967" s="925"/>
      <c r="G1967" s="736"/>
      <c r="H1967" s="925"/>
      <c r="I1967" s="675"/>
      <c r="J1967" s="677"/>
    </row>
    <row r="1968" spans="1:10" s="644" customFormat="1" ht="92.25" customHeight="1">
      <c r="A1968" s="653">
        <f>SUM(MAX($A$4:$A1967),1)</f>
        <v>121</v>
      </c>
      <c r="B1968" s="668"/>
      <c r="C1968" s="668"/>
      <c r="D1968" s="2155" t="s">
        <v>3339</v>
      </c>
      <c r="E1968" s="2155"/>
      <c r="F1968" s="2155"/>
      <c r="G1968" s="2155"/>
      <c r="H1968" s="2155"/>
      <c r="I1968" s="2155"/>
      <c r="J1968" s="2155"/>
    </row>
    <row r="1969" spans="1:10" s="644" customFormat="1">
      <c r="A1969" s="668"/>
      <c r="B1969" s="664"/>
      <c r="C1969" s="664"/>
      <c r="D1969" s="664" t="s">
        <v>3340</v>
      </c>
      <c r="E1969" s="654"/>
      <c r="F1969" s="654"/>
      <c r="G1969" s="677"/>
      <c r="H1969" s="677"/>
      <c r="I1969" s="675"/>
      <c r="J1969" s="928"/>
    </row>
    <row r="1970" spans="1:10" s="644" customFormat="1" ht="51">
      <c r="A1970" s="653" t="s">
        <v>1180</v>
      </c>
      <c r="B1970" s="664"/>
      <c r="C1970" s="664"/>
      <c r="D1970" s="1643" t="s">
        <v>3341</v>
      </c>
      <c r="E1970" s="654"/>
      <c r="F1970" s="654"/>
      <c r="G1970" s="677"/>
      <c r="H1970" s="677"/>
      <c r="I1970" s="675"/>
      <c r="J1970" s="928"/>
    </row>
    <row r="1971" spans="1:10" s="644" customFormat="1">
      <c r="A1971" s="668"/>
      <c r="B1971" s="658" t="s">
        <v>3342</v>
      </c>
      <c r="C1971" s="658" t="s">
        <v>1180</v>
      </c>
      <c r="D1971" s="682" t="s">
        <v>3343</v>
      </c>
      <c r="E1971" s="661">
        <v>1</v>
      </c>
      <c r="F1971" s="654" t="s">
        <v>955</v>
      </c>
      <c r="G1971" s="661">
        <v>1</v>
      </c>
      <c r="H1971" s="654" t="s">
        <v>501</v>
      </c>
      <c r="I1971" s="657">
        <v>37058</v>
      </c>
      <c r="J1971" s="658">
        <f>SUM(E1971*I1971/G1971)</f>
        <v>37058</v>
      </c>
    </row>
    <row r="1972" spans="1:10" s="644" customFormat="1">
      <c r="A1972" s="668"/>
      <c r="B1972" s="658" t="s">
        <v>3344</v>
      </c>
      <c r="C1972" s="663"/>
      <c r="D1972" s="682" t="s">
        <v>3345</v>
      </c>
      <c r="E1972" s="661">
        <v>1</v>
      </c>
      <c r="F1972" s="654" t="s">
        <v>955</v>
      </c>
      <c r="G1972" s="661">
        <v>1</v>
      </c>
      <c r="H1972" s="654" t="s">
        <v>501</v>
      </c>
      <c r="I1972" s="657">
        <v>1680</v>
      </c>
      <c r="J1972" s="658">
        <f>SUM(E1972*I1972/G1972)</f>
        <v>1680</v>
      </c>
    </row>
    <row r="1973" spans="1:10" s="644" customFormat="1">
      <c r="A1973" s="668"/>
      <c r="B1973" s="664"/>
      <c r="C1973" s="664"/>
      <c r="D1973" s="682" t="s">
        <v>3346</v>
      </c>
      <c r="E1973" s="654"/>
      <c r="F1973" s="654"/>
      <c r="G1973" s="677"/>
      <c r="H1973" s="677"/>
      <c r="I1973" s="675"/>
      <c r="J1973" s="928"/>
    </row>
    <row r="1974" spans="1:10" s="644" customFormat="1">
      <c r="A1974" s="668"/>
      <c r="B1974" s="664"/>
      <c r="C1974" s="664"/>
      <c r="D1974" s="697" t="s">
        <v>1686</v>
      </c>
      <c r="E1974" s="654"/>
      <c r="F1974" s="664"/>
      <c r="G1974" s="677"/>
      <c r="H1974" s="677"/>
      <c r="I1974" s="657"/>
      <c r="J1974" s="653">
        <f>SUM(J1971:J1973)</f>
        <v>38738</v>
      </c>
    </row>
    <row r="1975" spans="1:10" s="644" customFormat="1">
      <c r="A1975" s="668"/>
      <c r="B1975" s="664"/>
      <c r="C1975" s="664"/>
      <c r="D1975" s="669" t="s">
        <v>2767</v>
      </c>
      <c r="E1975" s="670">
        <v>0</v>
      </c>
      <c r="F1975" s="684"/>
      <c r="G1975" s="663"/>
      <c r="H1975" s="684"/>
      <c r="I1975" s="675"/>
      <c r="J1975" s="655">
        <f>J1974*E1975</f>
        <v>0</v>
      </c>
    </row>
    <row r="1976" spans="1:10" s="644" customFormat="1">
      <c r="A1976" s="668"/>
      <c r="B1976" s="664"/>
      <c r="C1976" s="664"/>
      <c r="D1976" s="673"/>
      <c r="E1976" s="685"/>
      <c r="F1976" s="684"/>
      <c r="G1976" s="663"/>
      <c r="H1976" s="684"/>
      <c r="I1976" s="675"/>
      <c r="J1976" s="655">
        <f>J1975+J1974</f>
        <v>38738</v>
      </c>
    </row>
    <row r="1977" spans="1:10" s="644" customFormat="1">
      <c r="A1977" s="668"/>
      <c r="B1977" s="664"/>
      <c r="C1977" s="664"/>
      <c r="D1977" s="691" t="s">
        <v>2380</v>
      </c>
      <c r="E1977" s="685"/>
      <c r="F1977" s="684"/>
      <c r="G1977" s="663"/>
      <c r="H1977" s="684"/>
      <c r="I1977" s="675"/>
      <c r="J1977" s="693">
        <f>ROUND(J1976,0)</f>
        <v>38738</v>
      </c>
    </row>
    <row r="1978" spans="1:10" s="644" customFormat="1">
      <c r="A1978" s="668"/>
      <c r="B1978" s="664"/>
      <c r="C1978" s="664"/>
      <c r="D1978" s="669"/>
      <c r="E1978" s="685"/>
      <c r="F1978" s="684"/>
      <c r="G1978" s="663"/>
      <c r="H1978" s="684"/>
      <c r="I1978" s="675"/>
      <c r="J1978" s="693"/>
    </row>
    <row r="1979" spans="1:10" s="644" customFormat="1">
      <c r="A1979" s="668"/>
      <c r="B1979" s="664"/>
      <c r="C1979" s="664"/>
      <c r="D1979" s="664" t="s">
        <v>3347</v>
      </c>
      <c r="E1979" s="654"/>
      <c r="F1979" s="654"/>
      <c r="G1979" s="677"/>
      <c r="H1979" s="677"/>
      <c r="I1979" s="675"/>
      <c r="J1979" s="928"/>
    </row>
    <row r="1980" spans="1:10" s="644" customFormat="1" ht="63.75">
      <c r="A1980" s="668" t="s">
        <v>1184</v>
      </c>
      <c r="B1980" s="664"/>
      <c r="C1980" s="664"/>
      <c r="D1980" s="646" t="s">
        <v>3348</v>
      </c>
      <c r="E1980" s="654"/>
      <c r="F1980" s="654"/>
      <c r="G1980" s="677"/>
      <c r="H1980" s="677"/>
      <c r="I1980" s="675"/>
      <c r="J1980" s="928"/>
    </row>
    <row r="1981" spans="1:10" s="644" customFormat="1">
      <c r="A1981" s="668"/>
      <c r="B1981" s="658" t="s">
        <v>3342</v>
      </c>
      <c r="C1981" s="658" t="s">
        <v>1184</v>
      </c>
      <c r="D1981" s="682" t="s">
        <v>3349</v>
      </c>
      <c r="E1981" s="661">
        <v>1</v>
      </c>
      <c r="F1981" s="654" t="s">
        <v>955</v>
      </c>
      <c r="G1981" s="661">
        <v>1</v>
      </c>
      <c r="H1981" s="654" t="s">
        <v>501</v>
      </c>
      <c r="I1981" s="657">
        <v>44629</v>
      </c>
      <c r="J1981" s="658">
        <f>SUM(E1981*I1981/G1981)</f>
        <v>44629</v>
      </c>
    </row>
    <row r="1982" spans="1:10" s="644" customFormat="1">
      <c r="A1982" s="668"/>
      <c r="B1982" s="658" t="s">
        <v>3344</v>
      </c>
      <c r="C1982" s="663"/>
      <c r="D1982" s="682" t="s">
        <v>3345</v>
      </c>
      <c r="E1982" s="661">
        <v>1</v>
      </c>
      <c r="F1982" s="654" t="s">
        <v>955</v>
      </c>
      <c r="G1982" s="661">
        <v>1</v>
      </c>
      <c r="H1982" s="654" t="s">
        <v>501</v>
      </c>
      <c r="I1982" s="657">
        <v>1680</v>
      </c>
      <c r="J1982" s="658">
        <f>SUM(E1982*I1982/G1982)</f>
        <v>1680</v>
      </c>
    </row>
    <row r="1983" spans="1:10" s="644" customFormat="1">
      <c r="A1983" s="668"/>
      <c r="B1983" s="664"/>
      <c r="C1983" s="664"/>
      <c r="D1983" s="682" t="s">
        <v>3350</v>
      </c>
      <c r="E1983" s="654"/>
      <c r="F1983" s="654"/>
      <c r="G1983" s="677"/>
      <c r="H1983" s="677"/>
      <c r="I1983" s="675"/>
      <c r="J1983" s="928">
        <f>J1981*0%</f>
        <v>0</v>
      </c>
    </row>
    <row r="1984" spans="1:10" s="644" customFormat="1">
      <c r="A1984" s="668"/>
      <c r="B1984" s="664"/>
      <c r="C1984" s="664"/>
      <c r="D1984" s="682" t="s">
        <v>3346</v>
      </c>
      <c r="E1984" s="654"/>
      <c r="F1984" s="654"/>
      <c r="G1984" s="677"/>
      <c r="H1984" s="677"/>
      <c r="I1984" s="675"/>
      <c r="J1984" s="928"/>
    </row>
    <row r="1985" spans="1:10" s="644" customFormat="1">
      <c r="A1985" s="668"/>
      <c r="B1985" s="664"/>
      <c r="C1985" s="664"/>
      <c r="D1985" s="697" t="s">
        <v>1686</v>
      </c>
      <c r="E1985" s="654"/>
      <c r="F1985" s="664"/>
      <c r="G1985" s="677"/>
      <c r="H1985" s="677"/>
      <c r="I1985" s="657"/>
      <c r="J1985" s="653">
        <f>SUM(J1981:J1984)</f>
        <v>46309</v>
      </c>
    </row>
    <row r="1986" spans="1:10" s="644" customFormat="1">
      <c r="A1986" s="668"/>
      <c r="B1986" s="664"/>
      <c r="C1986" s="664"/>
      <c r="D1986" s="669" t="s">
        <v>2767</v>
      </c>
      <c r="E1986" s="670"/>
      <c r="F1986" s="684"/>
      <c r="G1986" s="663"/>
      <c r="H1986" s="684"/>
      <c r="I1986" s="675"/>
      <c r="J1986" s="655">
        <f>J1985*E1986</f>
        <v>0</v>
      </c>
    </row>
    <row r="1987" spans="1:10" s="644" customFormat="1">
      <c r="A1987" s="668"/>
      <c r="B1987" s="664"/>
      <c r="C1987" s="664"/>
      <c r="D1987" s="673"/>
      <c r="E1987" s="685"/>
      <c r="F1987" s="684"/>
      <c r="G1987" s="663"/>
      <c r="H1987" s="684"/>
      <c r="I1987" s="675"/>
      <c r="J1987" s="655">
        <f>J1986+J1985</f>
        <v>46309</v>
      </c>
    </row>
    <row r="1988" spans="1:10" s="644" customFormat="1">
      <c r="A1988" s="668"/>
      <c r="B1988" s="664"/>
      <c r="C1988" s="664"/>
      <c r="D1988" s="691" t="s">
        <v>2380</v>
      </c>
      <c r="E1988" s="685"/>
      <c r="F1988" s="684"/>
      <c r="G1988" s="663"/>
      <c r="H1988" s="684"/>
      <c r="I1988" s="675"/>
      <c r="J1988" s="693">
        <f>ROUND(J1987,0)</f>
        <v>46309</v>
      </c>
    </row>
    <row r="1989" spans="1:10">
      <c r="A1989" s="668"/>
      <c r="B1989" s="677"/>
      <c r="C1989" s="677"/>
      <c r="D1989" s="678"/>
      <c r="E1989" s="677"/>
      <c r="F1989" s="677"/>
      <c r="G1989" s="677"/>
      <c r="H1989" s="677"/>
      <c r="I1989" s="675"/>
      <c r="J1989" s="677"/>
    </row>
    <row r="1990" spans="1:10" s="644" customFormat="1" ht="92.25" customHeight="1">
      <c r="A1990" s="653">
        <f>SUM(MAX($A$4:$A1989),1)</f>
        <v>122</v>
      </c>
      <c r="B1990" s="668"/>
      <c r="C1990" s="668"/>
      <c r="D1990" s="2155" t="s">
        <v>3376</v>
      </c>
      <c r="E1990" s="2155"/>
      <c r="F1990" s="2155"/>
      <c r="G1990" s="2155"/>
      <c r="H1990" s="2155"/>
      <c r="I1990" s="2155"/>
      <c r="J1990" s="2155"/>
    </row>
    <row r="1991" spans="1:10" s="644" customFormat="1" ht="76.5">
      <c r="A1991" s="653" t="s">
        <v>1180</v>
      </c>
      <c r="B1991" s="986"/>
      <c r="C1991" s="986"/>
      <c r="D1991" s="987" t="s">
        <v>3377</v>
      </c>
      <c r="E1991" s="654"/>
      <c r="F1991" s="654"/>
      <c r="G1991" s="988"/>
      <c r="H1991" s="988"/>
      <c r="I1991" s="675"/>
      <c r="J1991" s="928"/>
    </row>
    <row r="1992" spans="1:10" s="644" customFormat="1">
      <c r="A1992" s="668"/>
      <c r="B1992" s="658" t="s">
        <v>3379</v>
      </c>
      <c r="C1992" s="658" t="s">
        <v>1180</v>
      </c>
      <c r="D1992" s="987" t="s">
        <v>3378</v>
      </c>
      <c r="E1992" s="661">
        <v>1</v>
      </c>
      <c r="F1992" s="654" t="s">
        <v>955</v>
      </c>
      <c r="G1992" s="661">
        <v>1</v>
      </c>
      <c r="H1992" s="654" t="s">
        <v>501</v>
      </c>
      <c r="I1992" s="657">
        <v>53581</v>
      </c>
      <c r="J1992" s="658">
        <f>SUM(E1992*I1992/G1992)</f>
        <v>53581</v>
      </c>
    </row>
    <row r="1993" spans="1:10" s="644" customFormat="1">
      <c r="A1993" s="668"/>
      <c r="B1993" s="658" t="s">
        <v>3344</v>
      </c>
      <c r="C1993" s="989"/>
      <c r="D1993" s="987" t="s">
        <v>3345</v>
      </c>
      <c r="E1993" s="661">
        <v>1</v>
      </c>
      <c r="F1993" s="654" t="s">
        <v>955</v>
      </c>
      <c r="G1993" s="661">
        <v>1</v>
      </c>
      <c r="H1993" s="654" t="s">
        <v>501</v>
      </c>
      <c r="I1993" s="657">
        <v>1680</v>
      </c>
      <c r="J1993" s="658">
        <f>SUM(E1993*I1993/G1993)</f>
        <v>1680</v>
      </c>
    </row>
    <row r="1994" spans="1:10" s="644" customFormat="1">
      <c r="A1994" s="668"/>
      <c r="B1994" s="986"/>
      <c r="C1994" s="986"/>
      <c r="D1994" s="987" t="s">
        <v>3346</v>
      </c>
      <c r="E1994" s="654"/>
      <c r="F1994" s="654"/>
      <c r="G1994" s="988"/>
      <c r="H1994" s="988"/>
      <c r="I1994" s="675"/>
      <c r="J1994" s="928"/>
    </row>
    <row r="1995" spans="1:10" s="644" customFormat="1">
      <c r="A1995" s="668"/>
      <c r="B1995" s="986"/>
      <c r="C1995" s="986"/>
      <c r="D1995" s="985" t="s">
        <v>1686</v>
      </c>
      <c r="E1995" s="654"/>
      <c r="F1995" s="986"/>
      <c r="G1995" s="988"/>
      <c r="H1995" s="988"/>
      <c r="I1995" s="657"/>
      <c r="J1995" s="653">
        <f>SUM(J1992:J1994)</f>
        <v>55261</v>
      </c>
    </row>
    <row r="1996" spans="1:10" s="644" customFormat="1">
      <c r="A1996" s="668"/>
      <c r="B1996" s="986"/>
      <c r="C1996" s="986"/>
      <c r="D1996" s="669" t="s">
        <v>2767</v>
      </c>
      <c r="E1996" s="670"/>
      <c r="F1996" s="684"/>
      <c r="G1996" s="989"/>
      <c r="H1996" s="684"/>
      <c r="I1996" s="675"/>
      <c r="J1996" s="655">
        <f>J1995*E1996</f>
        <v>0</v>
      </c>
    </row>
    <row r="1997" spans="1:10" s="644" customFormat="1">
      <c r="A1997" s="668"/>
      <c r="B1997" s="986"/>
      <c r="C1997" s="986"/>
      <c r="D1997" s="673"/>
      <c r="E1997" s="685"/>
      <c r="F1997" s="684"/>
      <c r="G1997" s="989"/>
      <c r="H1997" s="684"/>
      <c r="I1997" s="675"/>
      <c r="J1997" s="655">
        <f>J1996+J1995</f>
        <v>55261</v>
      </c>
    </row>
    <row r="1998" spans="1:10" s="644" customFormat="1">
      <c r="A1998" s="668"/>
      <c r="B1998" s="986"/>
      <c r="C1998" s="986"/>
      <c r="D1998" s="691" t="s">
        <v>2380</v>
      </c>
      <c r="E1998" s="685"/>
      <c r="F1998" s="684"/>
      <c r="G1998" s="989"/>
      <c r="H1998" s="684"/>
      <c r="I1998" s="675"/>
      <c r="J1998" s="693">
        <f>ROUND(J1997,0)</f>
        <v>55261</v>
      </c>
    </row>
    <row r="1999" spans="1:10" s="644" customFormat="1">
      <c r="A1999" s="668"/>
      <c r="B1999" s="986"/>
      <c r="C1999" s="986"/>
      <c r="D1999" s="669"/>
      <c r="E1999" s="685"/>
      <c r="F1999" s="684"/>
      <c r="G1999" s="989"/>
      <c r="H1999" s="684"/>
      <c r="I1999" s="675"/>
      <c r="J1999" s="693"/>
    </row>
    <row r="2000" spans="1:10">
      <c r="A2000" s="668"/>
      <c r="B2000" s="677"/>
      <c r="C2000" s="677"/>
      <c r="D2000" s="929" t="s">
        <v>3351</v>
      </c>
      <c r="E2000" s="929"/>
      <c r="F2000" s="929"/>
      <c r="G2000" s="929"/>
      <c r="H2000" s="929"/>
      <c r="I2000" s="930"/>
      <c r="J2000" s="931"/>
    </row>
    <row r="2001" spans="1:10" ht="50.25" customHeight="1">
      <c r="A2001" s="653">
        <f>A1968+1</f>
        <v>122</v>
      </c>
      <c r="B2001" s="677"/>
      <c r="C2001" s="677"/>
      <c r="D2001" s="2148" t="s">
        <v>3352</v>
      </c>
      <c r="E2001" s="2148"/>
      <c r="F2001" s="2148"/>
      <c r="G2001" s="2148"/>
      <c r="H2001" s="2148"/>
      <c r="I2001" s="2148"/>
      <c r="J2001" s="2148"/>
    </row>
    <row r="2002" spans="1:10">
      <c r="A2002" s="668"/>
      <c r="B2002" s="677"/>
      <c r="C2002" s="677"/>
      <c r="D2002" s="932" t="s">
        <v>2785</v>
      </c>
      <c r="E2002" s="933"/>
      <c r="F2002" s="933"/>
      <c r="G2002" s="931"/>
      <c r="H2002" s="931"/>
      <c r="I2002" s="934"/>
      <c r="J2002" s="935"/>
    </row>
    <row r="2003" spans="1:10">
      <c r="A2003" s="668"/>
      <c r="B2003" s="658" t="s">
        <v>3353</v>
      </c>
      <c r="C2003" s="936" t="s">
        <v>1188</v>
      </c>
      <c r="D2003" s="937" t="s">
        <v>3354</v>
      </c>
      <c r="E2003" s="938">
        <v>1</v>
      </c>
      <c r="F2003" s="939" t="s">
        <v>1509</v>
      </c>
      <c r="G2003" s="939">
        <v>1</v>
      </c>
      <c r="H2003" s="938" t="s">
        <v>2788</v>
      </c>
      <c r="I2003" s="940">
        <v>2625</v>
      </c>
      <c r="J2003" s="941">
        <f t="shared" ref="J2003" si="16">SUM(E2003*I2003/G2003)</f>
        <v>2625</v>
      </c>
    </row>
    <row r="2004" spans="1:10">
      <c r="A2004" s="668"/>
      <c r="B2004" s="677"/>
      <c r="C2004" s="677"/>
      <c r="D2004" s="942" t="s">
        <v>3355</v>
      </c>
      <c r="E2004" s="933"/>
      <c r="F2004" s="931"/>
      <c r="G2004" s="931"/>
      <c r="H2004" s="933"/>
      <c r="I2004" s="934"/>
      <c r="J2004" s="935"/>
    </row>
    <row r="2005" spans="1:10">
      <c r="A2005" s="668"/>
      <c r="B2005" s="677"/>
      <c r="C2005" s="677"/>
      <c r="D2005" s="943" t="s">
        <v>2849</v>
      </c>
      <c r="E2005" s="933">
        <v>0.1</v>
      </c>
      <c r="F2005" s="933" t="s">
        <v>1738</v>
      </c>
      <c r="G2005" s="931">
        <v>1</v>
      </c>
      <c r="H2005" s="933" t="s">
        <v>1738</v>
      </c>
      <c r="I2005" s="944">
        <f>$G$2</f>
        <v>660</v>
      </c>
      <c r="J2005" s="945">
        <f t="shared" ref="J2005:J2006" si="17">SUM(E2005*I2005/G2005)</f>
        <v>66</v>
      </c>
    </row>
    <row r="2006" spans="1:10">
      <c r="A2006" s="668"/>
      <c r="B2006" s="677"/>
      <c r="C2006" s="677"/>
      <c r="D2006" s="943" t="s">
        <v>3356</v>
      </c>
      <c r="E2006" s="933">
        <v>0.1</v>
      </c>
      <c r="F2006" s="933" t="s">
        <v>1738</v>
      </c>
      <c r="G2006" s="931">
        <v>1</v>
      </c>
      <c r="H2006" s="933" t="s">
        <v>1738</v>
      </c>
      <c r="I2006" s="944">
        <f>$G$4</f>
        <v>550</v>
      </c>
      <c r="J2006" s="945">
        <f t="shared" si="17"/>
        <v>55</v>
      </c>
    </row>
    <row r="2007" spans="1:10">
      <c r="A2007" s="668"/>
      <c r="B2007" s="677"/>
      <c r="C2007" s="677"/>
      <c r="D2007" s="937" t="s">
        <v>3357</v>
      </c>
      <c r="E2007" s="946">
        <v>0.02</v>
      </c>
      <c r="F2007" s="939"/>
      <c r="G2007" s="939"/>
      <c r="H2007" s="938"/>
      <c r="I2007" s="940"/>
      <c r="J2007" s="947">
        <f>J2003*2%</f>
        <v>52.5</v>
      </c>
    </row>
    <row r="2008" spans="1:10">
      <c r="A2008" s="668"/>
      <c r="B2008" s="677"/>
      <c r="C2008" s="677"/>
      <c r="D2008" s="948" t="s">
        <v>3358</v>
      </c>
      <c r="E2008" s="949"/>
      <c r="F2008" s="931"/>
      <c r="G2008" s="931"/>
      <c r="H2008" s="933"/>
      <c r="I2008" s="950"/>
      <c r="J2008" s="951">
        <f>ROUND(SUM(J2002:J2007),0)</f>
        <v>2799</v>
      </c>
    </row>
    <row r="2009" spans="1:10">
      <c r="A2009" s="668"/>
      <c r="B2009" s="677"/>
      <c r="C2009" s="677"/>
      <c r="D2009" s="952" t="s">
        <v>2767</v>
      </c>
      <c r="E2009" s="953"/>
      <c r="F2009" s="954"/>
      <c r="G2009" s="955"/>
      <c r="H2009" s="954"/>
      <c r="I2009" s="930"/>
      <c r="J2009" s="956">
        <f>J2008*E2009</f>
        <v>0</v>
      </c>
    </row>
    <row r="2010" spans="1:10">
      <c r="A2010" s="668"/>
      <c r="B2010" s="677"/>
      <c r="C2010" s="677"/>
      <c r="D2010" s="957"/>
      <c r="E2010" s="958"/>
      <c r="F2010" s="954"/>
      <c r="G2010" s="955"/>
      <c r="H2010" s="954"/>
      <c r="I2010" s="930"/>
      <c r="J2010" s="956">
        <f>J2009+J2008</f>
        <v>2799</v>
      </c>
    </row>
    <row r="2011" spans="1:10">
      <c r="A2011" s="668"/>
      <c r="B2011" s="677"/>
      <c r="C2011" s="677"/>
      <c r="D2011" s="669" t="s">
        <v>2380</v>
      </c>
      <c r="E2011" s="958"/>
      <c r="F2011" s="954"/>
      <c r="G2011" s="955"/>
      <c r="H2011" s="954"/>
      <c r="I2011" s="930"/>
      <c r="J2011" s="959">
        <f>ROUND(J2010,0)</f>
        <v>2799</v>
      </c>
    </row>
    <row r="2012" spans="1:10">
      <c r="A2012" s="668"/>
      <c r="B2012" s="677"/>
      <c r="C2012" s="677"/>
      <c r="D2012" s="952"/>
      <c r="E2012" s="958"/>
      <c r="F2012" s="954"/>
      <c r="G2012" s="955"/>
      <c r="H2012" s="954"/>
      <c r="I2012" s="930"/>
      <c r="J2012" s="959"/>
    </row>
    <row r="2013" spans="1:10" ht="61.5" customHeight="1">
      <c r="A2013" s="653">
        <f>A2001+1</f>
        <v>123</v>
      </c>
      <c r="B2013" s="677"/>
      <c r="C2013" s="677"/>
      <c r="D2013" s="2148" t="s">
        <v>3359</v>
      </c>
      <c r="E2013" s="2148"/>
      <c r="F2013" s="2148"/>
      <c r="G2013" s="2148"/>
      <c r="H2013" s="2148"/>
      <c r="I2013" s="2148"/>
      <c r="J2013" s="2148"/>
    </row>
    <row r="2014" spans="1:10">
      <c r="A2014" s="668"/>
      <c r="B2014" s="677"/>
      <c r="C2014" s="677"/>
      <c r="D2014" s="932" t="s">
        <v>2785</v>
      </c>
      <c r="E2014" s="933"/>
      <c r="F2014" s="933"/>
      <c r="G2014" s="931"/>
      <c r="H2014" s="931"/>
      <c r="I2014" s="934"/>
      <c r="J2014" s="935"/>
    </row>
    <row r="2015" spans="1:10">
      <c r="A2015" s="668"/>
      <c r="B2015" s="658" t="s">
        <v>3360</v>
      </c>
      <c r="C2015" s="677" t="s">
        <v>1192</v>
      </c>
      <c r="D2015" s="943" t="s">
        <v>3361</v>
      </c>
      <c r="E2015" s="933">
        <v>1</v>
      </c>
      <c r="F2015" s="931" t="s">
        <v>1509</v>
      </c>
      <c r="G2015" s="931">
        <v>1</v>
      </c>
      <c r="H2015" s="933" t="s">
        <v>2788</v>
      </c>
      <c r="I2015" s="940">
        <v>3150</v>
      </c>
      <c r="J2015" s="945">
        <f t="shared" ref="J2015" si="18">SUM(E2015*I2015/G2015)</f>
        <v>3150</v>
      </c>
    </row>
    <row r="2016" spans="1:10">
      <c r="A2016" s="668"/>
      <c r="B2016" s="677"/>
      <c r="C2016" s="677"/>
      <c r="D2016" s="942" t="s">
        <v>3355</v>
      </c>
      <c r="E2016" s="933"/>
      <c r="F2016" s="931"/>
      <c r="G2016" s="931"/>
      <c r="H2016" s="933"/>
      <c r="I2016" s="934"/>
      <c r="J2016" s="935"/>
    </row>
    <row r="2017" spans="1:10">
      <c r="A2017" s="668"/>
      <c r="B2017" s="677"/>
      <c r="C2017" s="677"/>
      <c r="D2017" s="943" t="s">
        <v>2849</v>
      </c>
      <c r="E2017" s="933">
        <v>0.1</v>
      </c>
      <c r="F2017" s="933" t="s">
        <v>1738</v>
      </c>
      <c r="G2017" s="931">
        <v>1</v>
      </c>
      <c r="H2017" s="933" t="s">
        <v>1738</v>
      </c>
      <c r="I2017" s="944">
        <f>$G$2</f>
        <v>660</v>
      </c>
      <c r="J2017" s="945">
        <f t="shared" ref="J2017:J2018" si="19">SUM(E2017*I2017/G2017)</f>
        <v>66</v>
      </c>
    </row>
    <row r="2018" spans="1:10">
      <c r="A2018" s="668"/>
      <c r="B2018" s="677"/>
      <c r="C2018" s="677"/>
      <c r="D2018" s="943" t="s">
        <v>3356</v>
      </c>
      <c r="E2018" s="933">
        <v>0.1</v>
      </c>
      <c r="F2018" s="933" t="s">
        <v>1738</v>
      </c>
      <c r="G2018" s="931">
        <v>1</v>
      </c>
      <c r="H2018" s="933" t="s">
        <v>1738</v>
      </c>
      <c r="I2018" s="944">
        <f>$G$4</f>
        <v>550</v>
      </c>
      <c r="J2018" s="945">
        <f t="shared" si="19"/>
        <v>55</v>
      </c>
    </row>
    <row r="2019" spans="1:10">
      <c r="A2019" s="668"/>
      <c r="B2019" s="677"/>
      <c r="C2019" s="677"/>
      <c r="D2019" s="937" t="s">
        <v>3357</v>
      </c>
      <c r="E2019" s="946">
        <v>0.02</v>
      </c>
      <c r="F2019" s="939"/>
      <c r="G2019" s="939"/>
      <c r="H2019" s="938"/>
      <c r="I2019" s="940"/>
      <c r="J2019" s="947">
        <f>J2015*2%</f>
        <v>63</v>
      </c>
    </row>
    <row r="2020" spans="1:10">
      <c r="A2020" s="668"/>
      <c r="B2020" s="677"/>
      <c r="C2020" s="677"/>
      <c r="D2020" s="948" t="s">
        <v>3358</v>
      </c>
      <c r="E2020" s="949"/>
      <c r="F2020" s="931"/>
      <c r="G2020" s="931"/>
      <c r="H2020" s="933"/>
      <c r="I2020" s="950"/>
      <c r="J2020" s="951">
        <f>ROUND(SUM(J2014:J2019),0)</f>
        <v>3334</v>
      </c>
    </row>
    <row r="2021" spans="1:10">
      <c r="A2021" s="668"/>
      <c r="B2021" s="677"/>
      <c r="C2021" s="677"/>
      <c r="D2021" s="952" t="s">
        <v>2767</v>
      </c>
      <c r="E2021" s="953">
        <v>0</v>
      </c>
      <c r="F2021" s="954"/>
      <c r="G2021" s="955"/>
      <c r="H2021" s="954"/>
      <c r="I2021" s="930"/>
      <c r="J2021" s="956">
        <f>J2020*E2021</f>
        <v>0</v>
      </c>
    </row>
    <row r="2022" spans="1:10">
      <c r="A2022" s="668"/>
      <c r="B2022" s="677"/>
      <c r="C2022" s="677"/>
      <c r="D2022" s="957"/>
      <c r="E2022" s="958"/>
      <c r="F2022" s="954"/>
      <c r="G2022" s="955"/>
      <c r="H2022" s="954"/>
      <c r="I2022" s="930"/>
      <c r="J2022" s="956">
        <f>J2021+J2020</f>
        <v>3334</v>
      </c>
    </row>
    <row r="2023" spans="1:10">
      <c r="A2023" s="668"/>
      <c r="B2023" s="677"/>
      <c r="C2023" s="677"/>
      <c r="D2023" s="669" t="s">
        <v>2380</v>
      </c>
      <c r="E2023" s="958"/>
      <c r="F2023" s="954"/>
      <c r="G2023" s="955"/>
      <c r="H2023" s="954"/>
      <c r="I2023" s="930"/>
      <c r="J2023" s="959">
        <f>ROUND(J2022,0)</f>
        <v>3334</v>
      </c>
    </row>
    <row r="2024" spans="1:10">
      <c r="A2024" s="668"/>
      <c r="B2024" s="677"/>
      <c r="C2024" s="677"/>
      <c r="D2024" s="678"/>
      <c r="E2024" s="677"/>
      <c r="F2024" s="677"/>
      <c r="G2024" s="677"/>
      <c r="H2024" s="677"/>
      <c r="I2024" s="675"/>
      <c r="J2024" s="677"/>
    </row>
    <row r="2025" spans="1:10" ht="55.5" customHeight="1">
      <c r="A2025" s="653">
        <f>SUM(MAX($A$7:$A2024),1)</f>
        <v>124</v>
      </c>
      <c r="B2025" s="665"/>
      <c r="C2025" s="665"/>
      <c r="D2025" s="2155" t="s">
        <v>2866</v>
      </c>
      <c r="E2025" s="2155"/>
      <c r="F2025" s="2155"/>
      <c r="G2025" s="2155"/>
      <c r="H2025" s="2155"/>
      <c r="I2025" s="2155"/>
      <c r="J2025" s="2155"/>
    </row>
    <row r="2026" spans="1:10">
      <c r="A2026" s="668"/>
      <c r="B2026" s="654"/>
      <c r="C2026" s="654"/>
      <c r="D2026" s="1927" t="s">
        <v>2754</v>
      </c>
      <c r="E2026" s="679"/>
      <c r="F2026" s="1925"/>
      <c r="G2026" s="661"/>
      <c r="H2026" s="1925"/>
      <c r="I2026" s="657"/>
      <c r="J2026" s="694"/>
    </row>
    <row r="2027" spans="1:10">
      <c r="A2027" s="668"/>
      <c r="B2027" s="654">
        <v>1</v>
      </c>
      <c r="C2027" s="654"/>
      <c r="D2027" s="1925" t="s">
        <v>2740</v>
      </c>
      <c r="E2027" s="679">
        <v>1</v>
      </c>
      <c r="F2027" s="680" t="s">
        <v>1738</v>
      </c>
      <c r="G2027" s="661">
        <v>1</v>
      </c>
      <c r="H2027" s="680" t="s">
        <v>1738</v>
      </c>
      <c r="I2027" s="657">
        <f>IF(B2027=$B$2,$G$2,IF(B2027=$B$3,$G$3,IF(B2027=$B$4,$G$4,IF(B2027=$B$5,$G$5,IF(B2027=$B$6,$G$6,IF(B2027=$B$7,$G$7,FALSE))))))</f>
        <v>660</v>
      </c>
      <c r="J2027" s="694">
        <f>SUM(E2027*I2027/G2027)</f>
        <v>660</v>
      </c>
    </row>
    <row r="2028" spans="1:10">
      <c r="A2028" s="668"/>
      <c r="B2028" s="654">
        <v>2</v>
      </c>
      <c r="C2028" s="654"/>
      <c r="D2028" s="1925" t="s">
        <v>2741</v>
      </c>
      <c r="E2028" s="679">
        <v>2.5</v>
      </c>
      <c r="F2028" s="680" t="s">
        <v>1738</v>
      </c>
      <c r="G2028" s="661">
        <v>1</v>
      </c>
      <c r="H2028" s="680" t="s">
        <v>1738</v>
      </c>
      <c r="I2028" s="657">
        <f>IF(B2028=$B$2,$G$2,IF(B2028=$B$3,$G$3,IF(B2028=$B$4,$G$4,IF(B2028=$B$5,$G$5,IF(B2028=$B$6,$G$6,IF(B2028=$B$7,$G$7,FALSE))))))</f>
        <v>550</v>
      </c>
      <c r="J2028" s="694">
        <f>SUM(E2028*I2028/G2028)</f>
        <v>1375</v>
      </c>
    </row>
    <row r="2029" spans="1:10">
      <c r="A2029" s="668"/>
      <c r="B2029" s="654">
        <v>3</v>
      </c>
      <c r="C2029" s="654"/>
      <c r="D2029" s="1925" t="s">
        <v>2742</v>
      </c>
      <c r="E2029" s="679">
        <v>1</v>
      </c>
      <c r="F2029" s="680" t="s">
        <v>1738</v>
      </c>
      <c r="G2029" s="661">
        <v>1</v>
      </c>
      <c r="H2029" s="680" t="s">
        <v>1738</v>
      </c>
      <c r="I2029" s="657">
        <f>IF(B2029=$B$2,$G$2,IF(B2029=$B$3,$G$3,IF(B2029=$B$4,$G$4,IF(B2029=$B$5,$G$5,IF(B2029=$B$6,$G$6,IF(B2029=$B$7,$G$7,FALSE))))))</f>
        <v>550</v>
      </c>
      <c r="J2029" s="694">
        <f>SUM(E2029*I2029/G2029)</f>
        <v>550</v>
      </c>
    </row>
    <row r="2030" spans="1:10">
      <c r="A2030" s="668"/>
      <c r="B2030" s="654"/>
      <c r="C2030" s="654"/>
      <c r="D2030" s="1927" t="s">
        <v>2860</v>
      </c>
      <c r="E2030" s="679"/>
      <c r="F2030" s="680"/>
      <c r="G2030" s="661"/>
      <c r="H2030" s="680"/>
      <c r="I2030" s="657"/>
      <c r="J2030" s="694">
        <f>SUM(J2027:J2029)</f>
        <v>2585</v>
      </c>
    </row>
    <row r="2031" spans="1:10">
      <c r="A2031" s="668"/>
      <c r="B2031" s="654"/>
      <c r="C2031" s="654"/>
      <c r="D2031" s="1927" t="s">
        <v>2861</v>
      </c>
      <c r="E2031" s="695"/>
      <c r="F2031" s="680"/>
      <c r="G2031" s="661"/>
      <c r="H2031" s="680"/>
      <c r="I2031" s="657"/>
      <c r="J2031" s="676">
        <f>SUM(J2030/100)</f>
        <v>25.85</v>
      </c>
    </row>
    <row r="2032" spans="1:10">
      <c r="A2032" s="668"/>
      <c r="B2032" s="654"/>
      <c r="C2032" s="654"/>
      <c r="D2032" s="696" t="s">
        <v>1879</v>
      </c>
      <c r="E2032" s="679"/>
      <c r="F2032" s="680"/>
      <c r="G2032" s="661"/>
      <c r="H2032" s="680"/>
      <c r="I2032" s="657"/>
      <c r="J2032" s="694"/>
    </row>
    <row r="2033" spans="1:10" ht="51">
      <c r="A2033" s="668"/>
      <c r="B2033" s="654" t="s">
        <v>2818</v>
      </c>
      <c r="C2033" s="661" t="s">
        <v>1184</v>
      </c>
      <c r="D2033" s="1927" t="s">
        <v>2867</v>
      </c>
      <c r="E2033" s="679">
        <v>1</v>
      </c>
      <c r="F2033" s="1925" t="s">
        <v>2805</v>
      </c>
      <c r="G2033" s="661">
        <v>100</v>
      </c>
      <c r="H2033" s="1925" t="s">
        <v>2805</v>
      </c>
      <c r="I2033" s="679">
        <v>943</v>
      </c>
      <c r="J2033" s="694">
        <f>SUM(E2033*I2033/G2033)</f>
        <v>9.43</v>
      </c>
    </row>
    <row r="2034" spans="1:10">
      <c r="A2034" s="668"/>
      <c r="B2034" s="654"/>
      <c r="C2034" s="654"/>
      <c r="D2034" s="1927" t="s">
        <v>2863</v>
      </c>
      <c r="E2034" s="679"/>
      <c r="F2034" s="1925"/>
      <c r="G2034" s="661"/>
      <c r="H2034" s="1925"/>
      <c r="I2034" s="657"/>
      <c r="J2034" s="694">
        <f>SUM(J2033:J2033)</f>
        <v>9.43</v>
      </c>
    </row>
    <row r="2035" spans="1:10" ht="25.5">
      <c r="A2035" s="668"/>
      <c r="B2035" s="654"/>
      <c r="C2035" s="654"/>
      <c r="D2035" s="1927" t="s">
        <v>2864</v>
      </c>
      <c r="E2035" s="679"/>
      <c r="F2035" s="1925"/>
      <c r="G2035" s="661"/>
      <c r="H2035" s="1925"/>
      <c r="I2035" s="657"/>
      <c r="J2035" s="694">
        <f>SUM(J2034/100)</f>
        <v>9.4299999999999995E-2</v>
      </c>
    </row>
    <row r="2036" spans="1:10" ht="25.5">
      <c r="A2036" s="668"/>
      <c r="B2036" s="654"/>
      <c r="C2036" s="654"/>
      <c r="D2036" s="656" t="s">
        <v>2766</v>
      </c>
      <c r="E2036" s="679"/>
      <c r="F2036" s="1925"/>
      <c r="G2036" s="661"/>
      <c r="H2036" s="1925"/>
      <c r="I2036" s="657"/>
      <c r="J2036" s="655">
        <f>ROUNDDOWN(J2031+J2035,1)</f>
        <v>25.9</v>
      </c>
    </row>
    <row r="2037" spans="1:10">
      <c r="A2037" s="668"/>
      <c r="B2037" s="1926"/>
      <c r="C2037" s="1926"/>
      <c r="D2037" s="669" t="s">
        <v>2767</v>
      </c>
      <c r="E2037" s="670">
        <f>$E$9</f>
        <v>0</v>
      </c>
      <c r="F2037" s="684"/>
      <c r="G2037" s="1929"/>
      <c r="H2037" s="684"/>
      <c r="I2037" s="672"/>
      <c r="J2037" s="676">
        <f>J2036*E2037</f>
        <v>0</v>
      </c>
    </row>
    <row r="2038" spans="1:10">
      <c r="A2038" s="668"/>
      <c r="B2038" s="1926"/>
      <c r="C2038" s="1926"/>
      <c r="D2038" s="673"/>
      <c r="E2038" s="685"/>
      <c r="F2038" s="684"/>
      <c r="G2038" s="1929"/>
      <c r="H2038" s="684"/>
      <c r="I2038" s="672"/>
      <c r="J2038" s="676">
        <f>SUM(J2036:J2037)</f>
        <v>25.9</v>
      </c>
    </row>
    <row r="2039" spans="1:10">
      <c r="A2039" s="668"/>
      <c r="B2039" s="1926"/>
      <c r="C2039" s="1926"/>
      <c r="D2039" s="691" t="s">
        <v>2768</v>
      </c>
      <c r="E2039" s="685"/>
      <c r="F2039" s="684"/>
      <c r="G2039" s="1929"/>
      <c r="H2039" s="684"/>
      <c r="I2039" s="675"/>
      <c r="J2039" s="693">
        <f>ROUND(J2038,0)</f>
        <v>26</v>
      </c>
    </row>
    <row r="2040" spans="1:10" ht="67.5" customHeight="1">
      <c r="A2040" s="653">
        <f>A2007+1</f>
        <v>1</v>
      </c>
      <c r="B2040" s="1928"/>
      <c r="C2040" s="1928"/>
      <c r="D2040" s="2148" t="s">
        <v>3814</v>
      </c>
      <c r="E2040" s="2148"/>
      <c r="F2040" s="2148"/>
      <c r="G2040" s="2148"/>
      <c r="H2040" s="2148"/>
      <c r="I2040" s="2148"/>
      <c r="J2040" s="2148"/>
    </row>
    <row r="2041" spans="1:10">
      <c r="A2041" s="668"/>
      <c r="B2041" s="1928"/>
      <c r="C2041" s="1928"/>
      <c r="D2041" s="932" t="s">
        <v>2785</v>
      </c>
      <c r="E2041" s="933"/>
      <c r="F2041" s="933"/>
      <c r="G2041" s="931"/>
      <c r="H2041" s="931"/>
      <c r="I2041" s="934"/>
      <c r="J2041" s="935"/>
    </row>
    <row r="2042" spans="1:10">
      <c r="A2042" s="668"/>
      <c r="B2042" s="658" t="s">
        <v>3353</v>
      </c>
      <c r="C2042" s="936" t="s">
        <v>1188</v>
      </c>
      <c r="D2042" s="937" t="s">
        <v>3815</v>
      </c>
      <c r="E2042" s="938">
        <v>1</v>
      </c>
      <c r="F2042" s="939" t="s">
        <v>1308</v>
      </c>
      <c r="G2042" s="939">
        <v>1</v>
      </c>
      <c r="H2042" s="938" t="s">
        <v>1308</v>
      </c>
      <c r="I2042" s="940">
        <v>943</v>
      </c>
      <c r="J2042" s="941">
        <f t="shared" ref="J2042" si="20">SUM(E2042*I2042/G2042)</f>
        <v>943</v>
      </c>
    </row>
    <row r="2043" spans="1:10">
      <c r="A2043" s="668"/>
      <c r="B2043" s="1928"/>
      <c r="C2043" s="1928"/>
      <c r="D2043" s="942" t="s">
        <v>3355</v>
      </c>
      <c r="E2043" s="933"/>
      <c r="F2043" s="931"/>
      <c r="G2043" s="931"/>
      <c r="H2043" s="933"/>
      <c r="I2043" s="934"/>
      <c r="J2043" s="935"/>
    </row>
    <row r="2044" spans="1:10">
      <c r="A2044" s="668"/>
      <c r="B2044" s="1928"/>
      <c r="C2044" s="1928"/>
      <c r="D2044" s="1924" t="s">
        <v>2849</v>
      </c>
      <c r="E2044" s="933">
        <v>0.1</v>
      </c>
      <c r="F2044" s="933" t="s">
        <v>1738</v>
      </c>
      <c r="G2044" s="931">
        <v>1</v>
      </c>
      <c r="H2044" s="933" t="s">
        <v>1738</v>
      </c>
      <c r="I2044" s="944">
        <f>$G$2</f>
        <v>660</v>
      </c>
      <c r="J2044" s="945">
        <f t="shared" ref="J2044:J2045" si="21">SUM(E2044*I2044/G2044)</f>
        <v>66</v>
      </c>
    </row>
    <row r="2045" spans="1:10">
      <c r="A2045" s="668"/>
      <c r="B2045" s="1928"/>
      <c r="C2045" s="1928"/>
      <c r="D2045" s="1924" t="s">
        <v>3356</v>
      </c>
      <c r="E2045" s="933">
        <v>0.1</v>
      </c>
      <c r="F2045" s="933" t="s">
        <v>1738</v>
      </c>
      <c r="G2045" s="931">
        <v>1</v>
      </c>
      <c r="H2045" s="933" t="s">
        <v>1738</v>
      </c>
      <c r="I2045" s="944">
        <f>$G$4</f>
        <v>550</v>
      </c>
      <c r="J2045" s="945">
        <f t="shared" si="21"/>
        <v>55</v>
      </c>
    </row>
    <row r="2046" spans="1:10">
      <c r="A2046" s="668"/>
      <c r="B2046" s="1928"/>
      <c r="C2046" s="1928"/>
      <c r="D2046" s="937" t="s">
        <v>3357</v>
      </c>
      <c r="E2046" s="946">
        <v>0.02</v>
      </c>
      <c r="F2046" s="939"/>
      <c r="G2046" s="939"/>
      <c r="H2046" s="938"/>
      <c r="I2046" s="940"/>
      <c r="J2046" s="947">
        <f>J2042*2%</f>
        <v>18.86</v>
      </c>
    </row>
    <row r="2047" spans="1:10">
      <c r="A2047" s="668"/>
      <c r="B2047" s="1928"/>
      <c r="C2047" s="1928"/>
      <c r="D2047" s="948" t="s">
        <v>3358</v>
      </c>
      <c r="E2047" s="949"/>
      <c r="F2047" s="931"/>
      <c r="G2047" s="931"/>
      <c r="H2047" s="933"/>
      <c r="I2047" s="950"/>
      <c r="J2047" s="951">
        <f>ROUND(SUM(J2041:J2046),0)</f>
        <v>1083</v>
      </c>
    </row>
    <row r="2048" spans="1:10">
      <c r="A2048" s="668"/>
      <c r="B2048" s="1928"/>
      <c r="C2048" s="1928"/>
      <c r="D2048" s="952" t="s">
        <v>2767</v>
      </c>
      <c r="E2048" s="953"/>
      <c r="F2048" s="954"/>
      <c r="G2048" s="955"/>
      <c r="H2048" s="954"/>
      <c r="I2048" s="930"/>
      <c r="J2048" s="956">
        <f>J2047*E2048</f>
        <v>0</v>
      </c>
    </row>
    <row r="2049" spans="1:11">
      <c r="A2049" s="668"/>
      <c r="B2049" s="1928"/>
      <c r="C2049" s="1928"/>
      <c r="D2049" s="957"/>
      <c r="E2049" s="958"/>
      <c r="F2049" s="954"/>
      <c r="G2049" s="955"/>
      <c r="H2049" s="954"/>
      <c r="I2049" s="930"/>
      <c r="J2049" s="956">
        <f>J2048+J2047</f>
        <v>1083</v>
      </c>
    </row>
    <row r="2050" spans="1:11">
      <c r="A2050" s="668"/>
      <c r="B2050" s="1928"/>
      <c r="C2050" s="1928"/>
      <c r="D2050" s="669" t="s">
        <v>2380</v>
      </c>
      <c r="E2050" s="958"/>
      <c r="F2050" s="954"/>
      <c r="G2050" s="955"/>
      <c r="H2050" s="954"/>
      <c r="I2050" s="930"/>
      <c r="J2050" s="959">
        <f>ROUND(J2049,0)</f>
        <v>1083</v>
      </c>
      <c r="K2050" s="642" t="s">
        <v>3901</v>
      </c>
    </row>
    <row r="2051" spans="1:11" ht="198" customHeight="1">
      <c r="A2051" s="653">
        <f>A2018+1</f>
        <v>1</v>
      </c>
      <c r="B2051" s="1942"/>
      <c r="C2051" s="1942"/>
      <c r="D2051" s="2148" t="s">
        <v>3835</v>
      </c>
      <c r="E2051" s="2148"/>
      <c r="F2051" s="2148"/>
      <c r="G2051" s="2148"/>
      <c r="H2051" s="2148"/>
      <c r="I2051" s="2148"/>
      <c r="J2051" s="2148"/>
    </row>
    <row r="2052" spans="1:11">
      <c r="A2052" s="668"/>
      <c r="B2052" s="1942"/>
      <c r="C2052" s="1942"/>
      <c r="D2052" s="932" t="s">
        <v>3837</v>
      </c>
      <c r="E2052" s="933"/>
      <c r="F2052" s="933"/>
      <c r="G2052" s="931"/>
      <c r="H2052" s="931"/>
      <c r="I2052" s="934"/>
      <c r="J2052" s="935"/>
    </row>
    <row r="2053" spans="1:11">
      <c r="A2053" s="668"/>
      <c r="B2053" s="658" t="s">
        <v>3353</v>
      </c>
      <c r="C2053" s="936" t="s">
        <v>1188</v>
      </c>
      <c r="D2053" s="937" t="s">
        <v>3836</v>
      </c>
      <c r="E2053" s="938">
        <v>1</v>
      </c>
      <c r="F2053" s="939" t="s">
        <v>501</v>
      </c>
      <c r="G2053" s="939">
        <v>1</v>
      </c>
      <c r="H2053" s="939" t="s">
        <v>501</v>
      </c>
      <c r="I2053" s="940">
        <v>9800</v>
      </c>
      <c r="J2053" s="941">
        <f t="shared" ref="J2053" si="22">SUM(E2053*I2053/G2053)</f>
        <v>9800</v>
      </c>
    </row>
    <row r="2054" spans="1:11">
      <c r="A2054" s="668"/>
      <c r="B2054" s="1942"/>
      <c r="C2054" s="1942"/>
      <c r="D2054" s="942" t="s">
        <v>3355</v>
      </c>
      <c r="E2054" s="933"/>
      <c r="F2054" s="931"/>
      <c r="G2054" s="931"/>
      <c r="H2054" s="933"/>
      <c r="I2054" s="934"/>
      <c r="J2054" s="935"/>
    </row>
    <row r="2055" spans="1:11">
      <c r="A2055" s="668"/>
      <c r="B2055" s="1942"/>
      <c r="C2055" s="1942"/>
      <c r="D2055" s="1943" t="s">
        <v>2849</v>
      </c>
      <c r="E2055" s="933">
        <v>0.1</v>
      </c>
      <c r="F2055" s="933" t="s">
        <v>1738</v>
      </c>
      <c r="G2055" s="931">
        <v>1</v>
      </c>
      <c r="H2055" s="933" t="s">
        <v>1738</v>
      </c>
      <c r="I2055" s="944">
        <f>$G$2</f>
        <v>660</v>
      </c>
      <c r="J2055" s="945">
        <f t="shared" ref="J2055:J2056" si="23">SUM(E2055*I2055/G2055)</f>
        <v>66</v>
      </c>
    </row>
    <row r="2056" spans="1:11">
      <c r="A2056" s="668"/>
      <c r="B2056" s="1942"/>
      <c r="C2056" s="1942"/>
      <c r="D2056" s="1943" t="s">
        <v>3356</v>
      </c>
      <c r="E2056" s="933">
        <v>0.1</v>
      </c>
      <c r="F2056" s="933" t="s">
        <v>1738</v>
      </c>
      <c r="G2056" s="931">
        <v>1</v>
      </c>
      <c r="H2056" s="933" t="s">
        <v>1738</v>
      </c>
      <c r="I2056" s="944">
        <f>$G$4</f>
        <v>550</v>
      </c>
      <c r="J2056" s="945">
        <f t="shared" si="23"/>
        <v>55</v>
      </c>
    </row>
    <row r="2057" spans="1:11">
      <c r="A2057" s="668"/>
      <c r="B2057" s="1942"/>
      <c r="C2057" s="1942"/>
      <c r="D2057" s="937" t="s">
        <v>3357</v>
      </c>
      <c r="E2057" s="946">
        <v>0.02</v>
      </c>
      <c r="F2057" s="939"/>
      <c r="G2057" s="939"/>
      <c r="H2057" s="938"/>
      <c r="I2057" s="940"/>
      <c r="J2057" s="947">
        <f>J2053*2%</f>
        <v>196</v>
      </c>
    </row>
    <row r="2058" spans="1:11">
      <c r="A2058" s="668"/>
      <c r="B2058" s="1942"/>
      <c r="C2058" s="1942"/>
      <c r="D2058" s="948" t="s">
        <v>3358</v>
      </c>
      <c r="E2058" s="949"/>
      <c r="F2058" s="931"/>
      <c r="G2058" s="931"/>
      <c r="H2058" s="933"/>
      <c r="I2058" s="950"/>
      <c r="J2058" s="951">
        <f>ROUND(SUM(J2052:J2057),0)</f>
        <v>10117</v>
      </c>
    </row>
    <row r="2059" spans="1:11">
      <c r="A2059" s="668"/>
      <c r="B2059" s="1942"/>
      <c r="C2059" s="1942"/>
      <c r="D2059" s="952" t="s">
        <v>2767</v>
      </c>
      <c r="E2059" s="953"/>
      <c r="F2059" s="954"/>
      <c r="G2059" s="955"/>
      <c r="H2059" s="954"/>
      <c r="I2059" s="930"/>
      <c r="J2059" s="956">
        <f>J2058*E2059</f>
        <v>0</v>
      </c>
    </row>
    <row r="2060" spans="1:11">
      <c r="A2060" s="668"/>
      <c r="B2060" s="1942"/>
      <c r="C2060" s="1942"/>
      <c r="D2060" s="957"/>
      <c r="E2060" s="958"/>
      <c r="F2060" s="954"/>
      <c r="G2060" s="955"/>
      <c r="H2060" s="954"/>
      <c r="I2060" s="930"/>
      <c r="J2060" s="956">
        <f>J2059+J2058</f>
        <v>10117</v>
      </c>
    </row>
    <row r="2061" spans="1:11">
      <c r="A2061" s="668"/>
      <c r="B2061" s="1942"/>
      <c r="C2061" s="1942"/>
      <c r="D2061" s="669" t="s">
        <v>2380</v>
      </c>
      <c r="E2061" s="958"/>
      <c r="F2061" s="954"/>
      <c r="G2061" s="955"/>
      <c r="H2061" s="954"/>
      <c r="I2061" s="930"/>
      <c r="J2061" s="959">
        <f>ROUND(J2060,0)</f>
        <v>10117</v>
      </c>
      <c r="K2061" s="642" t="s">
        <v>3901</v>
      </c>
    </row>
  </sheetData>
  <mergeCells count="165">
    <mergeCell ref="D2025:J2025"/>
    <mergeCell ref="D2040:J2040"/>
    <mergeCell ref="D1968:J1968"/>
    <mergeCell ref="D2001:J2001"/>
    <mergeCell ref="D2013:J2013"/>
    <mergeCell ref="D1833:J1833"/>
    <mergeCell ref="D1846:J1846"/>
    <mergeCell ref="D1860:J1860"/>
    <mergeCell ref="D1874:J1874"/>
    <mergeCell ref="D1888:J1888"/>
    <mergeCell ref="D1932:J1932"/>
    <mergeCell ref="D1990:J1990"/>
    <mergeCell ref="D1946:J1946"/>
    <mergeCell ref="D1782:J1782"/>
    <mergeCell ref="D1790:J1790"/>
    <mergeCell ref="D1791:J1791"/>
    <mergeCell ref="D1807:J1807"/>
    <mergeCell ref="D1821:J1821"/>
    <mergeCell ref="D1827:J1827"/>
    <mergeCell ref="D1696:J1696"/>
    <mergeCell ref="D1711:J1711"/>
    <mergeCell ref="D1726:J1726"/>
    <mergeCell ref="D1741:J1741"/>
    <mergeCell ref="D1754:J1754"/>
    <mergeCell ref="D1767:J1767"/>
    <mergeCell ref="D1619:J1619"/>
    <mergeCell ref="D1620:J1620"/>
    <mergeCell ref="D1634:J1634"/>
    <mergeCell ref="D1650:J1650"/>
    <mergeCell ref="D1666:J1666"/>
    <mergeCell ref="D1681:J1681"/>
    <mergeCell ref="D1495:J1495"/>
    <mergeCell ref="D1511:J1511"/>
    <mergeCell ref="D1554:J1554"/>
    <mergeCell ref="D1557:G1557"/>
    <mergeCell ref="D1600:J1600"/>
    <mergeCell ref="D1615:E1615"/>
    <mergeCell ref="D1400:J1400"/>
    <mergeCell ref="D1416:J1416"/>
    <mergeCell ref="D1432:J1432"/>
    <mergeCell ref="D1448:J1448"/>
    <mergeCell ref="D1463:J1463"/>
    <mergeCell ref="D1479:J1479"/>
    <mergeCell ref="D1310:J1310"/>
    <mergeCell ref="D1331:J1331"/>
    <mergeCell ref="D1352:J1352"/>
    <mergeCell ref="D1368:J1368"/>
    <mergeCell ref="D1384:J1384"/>
    <mergeCell ref="D1385:J1385"/>
    <mergeCell ref="D1186:J1186"/>
    <mergeCell ref="F1214:G1214"/>
    <mergeCell ref="D1231:J1231"/>
    <mergeCell ref="D1244:H1244"/>
    <mergeCell ref="D1255:H1255"/>
    <mergeCell ref="D1259:H1259"/>
    <mergeCell ref="D1095:J1095"/>
    <mergeCell ref="D1117:J1117"/>
    <mergeCell ref="D1118:J1118"/>
    <mergeCell ref="D1141:J1141"/>
    <mergeCell ref="D1163:J1163"/>
    <mergeCell ref="D1185:J1185"/>
    <mergeCell ref="D986:J986"/>
    <mergeCell ref="D1022:J1022"/>
    <mergeCell ref="D1023:J1023"/>
    <mergeCell ref="D1058:J1058"/>
    <mergeCell ref="D1059:J1059"/>
    <mergeCell ref="D1094:J1094"/>
    <mergeCell ref="D905:J905"/>
    <mergeCell ref="D914:J914"/>
    <mergeCell ref="D929:J929"/>
    <mergeCell ref="D948:J948"/>
    <mergeCell ref="D949:J949"/>
    <mergeCell ref="D985:J985"/>
    <mergeCell ref="D826:J826"/>
    <mergeCell ref="D837:J837"/>
    <mergeCell ref="D849:J849"/>
    <mergeCell ref="D862:J862"/>
    <mergeCell ref="D882:J882"/>
    <mergeCell ref="D890:J890"/>
    <mergeCell ref="D744:J744"/>
    <mergeCell ref="D745:J745"/>
    <mergeCell ref="D763:J763"/>
    <mergeCell ref="D780:J780"/>
    <mergeCell ref="D796:J796"/>
    <mergeCell ref="D811:J811"/>
    <mergeCell ref="D689:J689"/>
    <mergeCell ref="D690:J690"/>
    <mergeCell ref="D709:J709"/>
    <mergeCell ref="D710:J710"/>
    <mergeCell ref="D725:J725"/>
    <mergeCell ref="D726:J726"/>
    <mergeCell ref="D603:J603"/>
    <mergeCell ref="D609:J609"/>
    <mergeCell ref="D625:J625"/>
    <mergeCell ref="D641:J641"/>
    <mergeCell ref="D657:J657"/>
    <mergeCell ref="D673:J673"/>
    <mergeCell ref="D523:J523"/>
    <mergeCell ref="D544:J544"/>
    <mergeCell ref="D564:J564"/>
    <mergeCell ref="D590:J590"/>
    <mergeCell ref="D591:J591"/>
    <mergeCell ref="D597:J597"/>
    <mergeCell ref="D464:J464"/>
    <mergeCell ref="D481:J481"/>
    <mergeCell ref="D482:J482"/>
    <mergeCell ref="D501:J501"/>
    <mergeCell ref="D502:J502"/>
    <mergeCell ref="D522:J522"/>
    <mergeCell ref="D407:J407"/>
    <mergeCell ref="D424:J424"/>
    <mergeCell ref="D425:J425"/>
    <mergeCell ref="D443:J443"/>
    <mergeCell ref="D444:J444"/>
    <mergeCell ref="D463:J463"/>
    <mergeCell ref="D341:J341"/>
    <mergeCell ref="D357:J357"/>
    <mergeCell ref="D373:J373"/>
    <mergeCell ref="D389:J389"/>
    <mergeCell ref="D390:J390"/>
    <mergeCell ref="D406:J406"/>
    <mergeCell ref="D276:J276"/>
    <mergeCell ref="D277:J277"/>
    <mergeCell ref="D293:J293"/>
    <mergeCell ref="D309:J309"/>
    <mergeCell ref="D325:J325"/>
    <mergeCell ref="D188:J188"/>
    <mergeCell ref="D204:J204"/>
    <mergeCell ref="D205:J205"/>
    <mergeCell ref="D221:J221"/>
    <mergeCell ref="D222:J222"/>
    <mergeCell ref="D239:J239"/>
    <mergeCell ref="D170:J170"/>
    <mergeCell ref="D187:J187"/>
    <mergeCell ref="D115:J115"/>
    <mergeCell ref="D116:J116"/>
    <mergeCell ref="A121:J121"/>
    <mergeCell ref="D122:J122"/>
    <mergeCell ref="D123:J123"/>
    <mergeCell ref="D145:J145"/>
    <mergeCell ref="D257:J257"/>
    <mergeCell ref="D2051:J2051"/>
    <mergeCell ref="A11:J11"/>
    <mergeCell ref="A12:J12"/>
    <mergeCell ref="A13:J13"/>
    <mergeCell ref="D15:J15"/>
    <mergeCell ref="D16:J16"/>
    <mergeCell ref="E17:F17"/>
    <mergeCell ref="G17:H17"/>
    <mergeCell ref="D78:J78"/>
    <mergeCell ref="E79:F79"/>
    <mergeCell ref="G79:H79"/>
    <mergeCell ref="D93:J93"/>
    <mergeCell ref="D94:J94"/>
    <mergeCell ref="D95:J95"/>
    <mergeCell ref="D34:J34"/>
    <mergeCell ref="E35:F35"/>
    <mergeCell ref="G35:H35"/>
    <mergeCell ref="D55:J55"/>
    <mergeCell ref="E56:F56"/>
    <mergeCell ref="G56:H56"/>
    <mergeCell ref="D146:J146"/>
    <mergeCell ref="D152:J152"/>
    <mergeCell ref="D153:J153"/>
    <mergeCell ref="D169:J169"/>
  </mergeCells>
  <pageMargins left="0.7" right="0.7" top="0.75" bottom="0.75" header="0.3" footer="0.3"/>
  <pageSetup scale="88" orientation="portrait" r:id="rId1"/>
  <rowBreaks count="1" manualBreakCount="1">
    <brk id="2050" max="9" man="1"/>
  </rowBreaks>
</worksheet>
</file>

<file path=xl/worksheets/sheet19.xml><?xml version="1.0" encoding="utf-8"?>
<worksheet xmlns="http://schemas.openxmlformats.org/spreadsheetml/2006/main" xmlns:r="http://schemas.openxmlformats.org/officeDocument/2006/relationships">
  <dimension ref="A1:J24"/>
  <sheetViews>
    <sheetView view="pageBreakPreview" topLeftCell="A4" zoomScale="91" zoomScaleSheetLayoutView="91" workbookViewId="0">
      <selection activeCell="C17" sqref="C17"/>
    </sheetView>
  </sheetViews>
  <sheetFormatPr defaultColWidth="9.140625" defaultRowHeight="15.75"/>
  <cols>
    <col min="1" max="1" width="6.28515625" style="982" customWidth="1"/>
    <col min="2" max="2" width="65.42578125" style="983" customWidth="1"/>
    <col min="3" max="3" width="17.28515625" style="984" customWidth="1"/>
    <col min="4" max="4" width="15.140625" style="961" customWidth="1"/>
    <col min="5" max="5" width="11.5703125" style="961" bestFit="1" customWidth="1"/>
    <col min="6" max="6" width="12.85546875" style="961" bestFit="1" customWidth="1"/>
    <col min="7" max="7" width="10.28515625" style="961" bestFit="1" customWidth="1"/>
    <col min="8" max="8" width="9.140625" style="961"/>
    <col min="9" max="9" width="12.85546875" style="961" bestFit="1" customWidth="1"/>
    <col min="10" max="10" width="11.5703125" style="961" bestFit="1" customWidth="1"/>
    <col min="11" max="236" width="9.140625" style="961"/>
    <col min="237" max="237" width="5.42578125" style="961" customWidth="1"/>
    <col min="238" max="238" width="4.28515625" style="961" customWidth="1"/>
    <col min="239" max="239" width="57.42578125" style="961" customWidth="1"/>
    <col min="240" max="240" width="4.85546875" style="961" customWidth="1"/>
    <col min="241" max="241" width="15.7109375" style="961" customWidth="1"/>
    <col min="242" max="242" width="12.140625" style="961" customWidth="1"/>
    <col min="243" max="243" width="10.5703125" style="961" customWidth="1"/>
    <col min="244" max="244" width="12.28515625" style="961" customWidth="1"/>
    <col min="245" max="245" width="12.85546875" style="961" customWidth="1"/>
    <col min="246" max="248" width="9.140625" style="961"/>
    <col min="249" max="249" width="11.5703125" style="961" bestFit="1" customWidth="1"/>
    <col min="250" max="16384" width="9.140625" style="961"/>
  </cols>
  <sheetData>
    <row r="1" spans="1:10" ht="58.5" customHeight="1">
      <c r="A1" s="2176" t="str">
        <f>Input!C2</f>
        <v>Name of Work:  Creation of Infrastructure Facilities for skill Dvelopment lab at 6th Floor OPD Block-3 in Gandhi Hospital, Secunderabad (Balance Work)</v>
      </c>
      <c r="B1" s="2176"/>
      <c r="C1" s="2176"/>
    </row>
    <row r="2" spans="1:10" ht="24.95" customHeight="1">
      <c r="A2" s="2177" t="s">
        <v>3373</v>
      </c>
      <c r="B2" s="2178"/>
      <c r="C2" s="2179"/>
    </row>
    <row r="3" spans="1:10" ht="24.95" customHeight="1">
      <c r="A3" s="2176" t="s">
        <v>3362</v>
      </c>
      <c r="B3" s="2176"/>
      <c r="C3" s="2176"/>
    </row>
    <row r="4" spans="1:10" s="964" customFormat="1" ht="31.5">
      <c r="A4" s="962" t="s">
        <v>689</v>
      </c>
      <c r="B4" s="962" t="s">
        <v>3363</v>
      </c>
      <c r="C4" s="963" t="s">
        <v>2366</v>
      </c>
    </row>
    <row r="5" spans="1:10" s="969" customFormat="1" ht="24.95" customHeight="1">
      <c r="A5" s="965">
        <v>1</v>
      </c>
      <c r="B5" s="966" t="s">
        <v>3364</v>
      </c>
      <c r="C5" s="967">
        <f>'Civil Estimate'!G38</f>
        <v>696244</v>
      </c>
      <c r="D5" s="968"/>
      <c r="G5" s="968"/>
      <c r="J5" s="968"/>
    </row>
    <row r="6" spans="1:10" s="969" customFormat="1" ht="24.95" customHeight="1">
      <c r="A6" s="1860">
        <f>A5+1</f>
        <v>2</v>
      </c>
      <c r="B6" s="1861" t="s">
        <v>3690</v>
      </c>
      <c r="C6" s="1862">
        <f>'Civil Estimate'!G51</f>
        <v>29065</v>
      </c>
      <c r="D6" s="968"/>
      <c r="G6" s="968"/>
      <c r="J6" s="968"/>
    </row>
    <row r="7" spans="1:10" s="969" customFormat="1" ht="24.95" customHeight="1">
      <c r="A7" s="1860">
        <f>A6+1</f>
        <v>3</v>
      </c>
      <c r="B7" s="1861" t="s">
        <v>3713</v>
      </c>
      <c r="C7" s="1862">
        <f>'Civil Estimate'!G90</f>
        <v>389839</v>
      </c>
      <c r="D7" s="968"/>
      <c r="G7" s="968"/>
      <c r="J7" s="968"/>
    </row>
    <row r="8" spans="1:10" s="969" customFormat="1" ht="24.95" customHeight="1">
      <c r="A8" s="965"/>
      <c r="B8" s="970" t="s">
        <v>3365</v>
      </c>
      <c r="C8" s="971">
        <f>SUM(C5:C7)</f>
        <v>1115148</v>
      </c>
      <c r="D8" s="968"/>
      <c r="G8" s="968"/>
      <c r="J8" s="968"/>
    </row>
    <row r="9" spans="1:10" s="969" customFormat="1" ht="24.95" customHeight="1">
      <c r="A9" s="965">
        <f>A7+1</f>
        <v>4</v>
      </c>
      <c r="B9" s="972" t="s">
        <v>3670</v>
      </c>
      <c r="C9" s="973">
        <f>ROUND((C5)*1%,0)</f>
        <v>6962</v>
      </c>
    </row>
    <row r="10" spans="1:10" s="969" customFormat="1" ht="24.95" customHeight="1">
      <c r="A10" s="965">
        <f t="shared" ref="A10:A12" si="0">A9+1</f>
        <v>5</v>
      </c>
      <c r="B10" s="972" t="s">
        <v>3366</v>
      </c>
      <c r="C10" s="973">
        <f>ROUND(C9*30%,0)</f>
        <v>2089</v>
      </c>
    </row>
    <row r="11" spans="1:10" s="969" customFormat="1" ht="24.95" customHeight="1">
      <c r="A11" s="965">
        <f t="shared" si="0"/>
        <v>6</v>
      </c>
      <c r="B11" s="972" t="s">
        <v>3367</v>
      </c>
      <c r="C11" s="973">
        <f>ROUND(C9*2%,0)</f>
        <v>139</v>
      </c>
    </row>
    <row r="12" spans="1:10" s="969" customFormat="1" ht="24.95" customHeight="1">
      <c r="A12" s="965">
        <f t="shared" si="0"/>
        <v>7</v>
      </c>
      <c r="B12" s="972" t="s">
        <v>3368</v>
      </c>
      <c r="C12" s="973">
        <f>ROUND(C8*0.1%,0)</f>
        <v>1115</v>
      </c>
    </row>
    <row r="13" spans="1:10" s="969" customFormat="1" ht="24.95" customHeight="1">
      <c r="A13" s="965"/>
      <c r="B13" s="970" t="s">
        <v>3365</v>
      </c>
      <c r="C13" s="974">
        <f>SUM(C8:C12)</f>
        <v>1125453</v>
      </c>
    </row>
    <row r="14" spans="1:10" s="969" customFormat="1" ht="24.95" customHeight="1">
      <c r="A14" s="965">
        <f>A12+1</f>
        <v>8</v>
      </c>
      <c r="B14" s="966" t="s">
        <v>3369</v>
      </c>
      <c r="C14" s="973">
        <f>ROUND(C13*18%,0)</f>
        <v>202582</v>
      </c>
    </row>
    <row r="15" spans="1:10" s="969" customFormat="1" ht="24.95" customHeight="1">
      <c r="A15" s="965"/>
      <c r="B15" s="970" t="s">
        <v>3365</v>
      </c>
      <c r="C15" s="974">
        <f>SUM(C13:C14)</f>
        <v>1328035</v>
      </c>
    </row>
    <row r="16" spans="1:10" s="969" customFormat="1" ht="24.95" customHeight="1">
      <c r="A16" s="965">
        <f>A14+1</f>
        <v>9</v>
      </c>
      <c r="B16" s="966" t="s">
        <v>3372</v>
      </c>
      <c r="C16" s="973">
        <f>ROUND(C15*4%,0)</f>
        <v>53121</v>
      </c>
      <c r="H16" s="975"/>
    </row>
    <row r="17" spans="1:5" s="969" customFormat="1" ht="24.95" customHeight="1">
      <c r="A17" s="965">
        <f>A16+1</f>
        <v>10</v>
      </c>
      <c r="B17" s="966" t="s">
        <v>3370</v>
      </c>
      <c r="C17" s="973">
        <v>1391</v>
      </c>
    </row>
    <row r="18" spans="1:5" s="969" customFormat="1" ht="24.95" customHeight="1">
      <c r="A18" s="976"/>
      <c r="B18" s="977" t="s">
        <v>3371</v>
      </c>
      <c r="C18" s="974">
        <f>SUM(C15:C17)</f>
        <v>1382547</v>
      </c>
      <c r="D18" s="968">
        <f>1275000-C18</f>
        <v>-107547</v>
      </c>
      <c r="E18" s="968"/>
    </row>
    <row r="19" spans="1:5" s="969" customFormat="1">
      <c r="A19" s="978"/>
      <c r="B19" s="979"/>
      <c r="C19" s="980"/>
    </row>
    <row r="20" spans="1:5" s="969" customFormat="1">
      <c r="A20" s="978"/>
      <c r="B20" s="979"/>
      <c r="C20" s="980"/>
    </row>
    <row r="21" spans="1:5" s="969" customFormat="1">
      <c r="A21" s="978"/>
      <c r="B21" s="979"/>
      <c r="C21" s="980"/>
    </row>
    <row r="22" spans="1:5" s="969" customFormat="1">
      <c r="A22" s="978"/>
      <c r="B22" s="981"/>
      <c r="C22" s="980"/>
    </row>
    <row r="23" spans="1:5" s="969" customFormat="1">
      <c r="A23" s="978"/>
      <c r="B23" s="979"/>
      <c r="C23" s="980"/>
    </row>
    <row r="24" spans="1:5" s="969" customFormat="1">
      <c r="A24" s="978"/>
      <c r="B24" s="979"/>
      <c r="C24" s="980"/>
    </row>
  </sheetData>
  <mergeCells count="3">
    <mergeCell ref="A1:C1"/>
    <mergeCell ref="A2:C2"/>
    <mergeCell ref="A3:C3"/>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dimension ref="A1:I37"/>
  <sheetViews>
    <sheetView topLeftCell="A22" workbookViewId="0">
      <selection activeCell="F30" sqref="F30"/>
    </sheetView>
  </sheetViews>
  <sheetFormatPr defaultRowHeight="12.75"/>
  <cols>
    <col min="1" max="1" width="3.28515625" style="1737" customWidth="1"/>
    <col min="2" max="2" width="2.5703125" style="1737" customWidth="1"/>
    <col min="3" max="3" width="37.140625" style="1737" customWidth="1"/>
    <col min="4" max="4" width="7.85546875" style="1737" customWidth="1"/>
    <col min="5" max="5" width="6.85546875" style="1737" customWidth="1"/>
    <col min="6" max="6" width="9.42578125" style="1737" bestFit="1" customWidth="1"/>
    <col min="7" max="7" width="5.7109375" style="1737" bestFit="1" customWidth="1"/>
    <col min="8" max="8" width="7.85546875" style="1737" bestFit="1" customWidth="1"/>
    <col min="9" max="9" width="9.42578125" style="1737" customWidth="1"/>
    <col min="10" max="16384" width="9.140625" style="1737"/>
  </cols>
  <sheetData>
    <row r="1" spans="1:9" ht="49.5" customHeight="1">
      <c r="A1" s="1735"/>
      <c r="B1" s="1736"/>
      <c r="C1" s="2180" t="s">
        <v>3643</v>
      </c>
      <c r="D1" s="2180"/>
      <c r="E1" s="2180"/>
      <c r="F1" s="2180"/>
      <c r="G1" s="2180"/>
      <c r="H1" s="2180"/>
      <c r="I1" s="2180"/>
    </row>
    <row r="2" spans="1:9" ht="103.5" customHeight="1">
      <c r="A2" s="1735"/>
      <c r="B2" s="1736"/>
      <c r="C2" s="2181" t="s">
        <v>3644</v>
      </c>
      <c r="D2" s="2182"/>
      <c r="E2" s="2182"/>
      <c r="F2" s="2182"/>
      <c r="G2" s="2182"/>
      <c r="H2" s="2182"/>
      <c r="I2" s="2182"/>
    </row>
    <row r="3" spans="1:9">
      <c r="A3" s="1735"/>
      <c r="B3" s="1736"/>
      <c r="C3" s="1738" t="s">
        <v>1981</v>
      </c>
      <c r="D3" s="1739"/>
      <c r="E3" s="1739"/>
      <c r="F3" s="1739"/>
      <c r="G3" s="1739"/>
      <c r="H3" s="1739"/>
      <c r="I3" s="1739"/>
    </row>
    <row r="4" spans="1:9">
      <c r="A4" s="1735"/>
      <c r="B4" s="1736"/>
      <c r="C4" s="1740"/>
      <c r="D4" s="1741" t="s">
        <v>1982</v>
      </c>
      <c r="E4" s="1742" t="s">
        <v>3645</v>
      </c>
      <c r="F4" s="1741"/>
      <c r="G4" s="1739"/>
      <c r="H4" s="1741">
        <f>1.2*1.2</f>
        <v>1.44</v>
      </c>
      <c r="I4" s="1741" t="s">
        <v>94</v>
      </c>
    </row>
    <row r="5" spans="1:9">
      <c r="A5" s="1735"/>
      <c r="B5" s="1736"/>
      <c r="C5" s="1738" t="s">
        <v>1935</v>
      </c>
      <c r="D5" s="1743"/>
      <c r="E5" s="1739"/>
      <c r="F5" s="1743"/>
      <c r="G5" s="1739"/>
      <c r="H5" s="1739"/>
      <c r="I5" s="1743"/>
    </row>
    <row r="6" spans="1:9">
      <c r="A6" s="1735"/>
      <c r="B6" s="1736"/>
      <c r="C6" s="1738" t="s">
        <v>3646</v>
      </c>
      <c r="D6" s="1743"/>
      <c r="E6" s="1739"/>
      <c r="F6" s="1743"/>
      <c r="G6" s="1739"/>
      <c r="H6" s="1739"/>
      <c r="I6" s="1743"/>
    </row>
    <row r="7" spans="1:9">
      <c r="A7" s="1735"/>
      <c r="B7" s="1736"/>
      <c r="C7" s="1740" t="s">
        <v>1984</v>
      </c>
      <c r="D7" s="1743" t="s">
        <v>3647</v>
      </c>
      <c r="E7" s="1739"/>
      <c r="F7" s="1743"/>
      <c r="G7" s="1739"/>
      <c r="H7" s="1739"/>
      <c r="I7" s="1743"/>
    </row>
    <row r="8" spans="1:9">
      <c r="A8" s="1735"/>
      <c r="B8" s="1736"/>
      <c r="C8" s="1740"/>
      <c r="D8" s="1744" t="s">
        <v>3648</v>
      </c>
      <c r="E8" s="1739"/>
      <c r="F8" s="1743"/>
      <c r="G8" s="1739"/>
      <c r="H8" s="1745">
        <f xml:space="preserve"> ROUND(3.6*0.1*0.065,5)</f>
        <v>2.3400000000000001E-2</v>
      </c>
      <c r="I8" s="1743" t="s">
        <v>75</v>
      </c>
    </row>
    <row r="9" spans="1:9">
      <c r="A9" s="1735"/>
      <c r="B9" s="1736"/>
      <c r="C9" s="1740" t="s">
        <v>1987</v>
      </c>
      <c r="D9" s="1743" t="s">
        <v>3649</v>
      </c>
      <c r="E9" s="1739"/>
      <c r="F9" s="1743"/>
      <c r="G9" s="1739"/>
      <c r="H9" s="1739"/>
      <c r="I9" s="1743"/>
    </row>
    <row r="10" spans="1:9">
      <c r="A10" s="1735"/>
      <c r="B10" s="1736"/>
      <c r="C10" s="1740"/>
      <c r="D10" s="1744" t="s">
        <v>3650</v>
      </c>
      <c r="E10" s="1739"/>
      <c r="F10" s="1743"/>
      <c r="G10" s="1739"/>
      <c r="H10" s="1745">
        <f xml:space="preserve"> ROUND(2.4*0.1*0.065,5)</f>
        <v>1.5599999999999999E-2</v>
      </c>
      <c r="I10" s="1743" t="s">
        <v>75</v>
      </c>
    </row>
    <row r="11" spans="1:9">
      <c r="A11" s="1735"/>
      <c r="B11" s="1736"/>
      <c r="C11" s="1740"/>
      <c r="D11" s="1744"/>
      <c r="E11" s="1739"/>
      <c r="F11" s="1743"/>
      <c r="G11" s="1739"/>
      <c r="H11" s="1746">
        <f>SUM(H8:H10)</f>
        <v>3.9E-2</v>
      </c>
      <c r="I11" s="1741" t="s">
        <v>75</v>
      </c>
    </row>
    <row r="12" spans="1:9">
      <c r="A12" s="1735"/>
      <c r="B12" s="1736"/>
      <c r="C12" s="1738" t="s">
        <v>3651</v>
      </c>
      <c r="D12" s="1744"/>
      <c r="E12" s="1739"/>
      <c r="F12" s="1743"/>
      <c r="G12" s="1739"/>
      <c r="H12" s="1742"/>
      <c r="I12" s="1741"/>
    </row>
    <row r="13" spans="1:9">
      <c r="A13" s="1735"/>
      <c r="B13" s="1736"/>
      <c r="C13" s="1740" t="s">
        <v>3652</v>
      </c>
      <c r="D13" s="1743" t="s">
        <v>3653</v>
      </c>
      <c r="E13" s="1739"/>
      <c r="F13" s="1743"/>
      <c r="G13" s="1739"/>
      <c r="H13" s="1742"/>
      <c r="I13" s="1741"/>
    </row>
    <row r="14" spans="1:9">
      <c r="A14" s="1735"/>
      <c r="B14" s="1736"/>
      <c r="C14" s="1740"/>
      <c r="D14" s="1744" t="s">
        <v>3654</v>
      </c>
      <c r="E14" s="1739"/>
      <c r="F14" s="1743"/>
      <c r="G14" s="1739"/>
      <c r="H14" s="1745">
        <f xml:space="preserve"> ROUND(2*3*0.055*1.09*0.025,5)</f>
        <v>8.9899999999999997E-3</v>
      </c>
      <c r="I14" s="1743" t="s">
        <v>75</v>
      </c>
    </row>
    <row r="15" spans="1:9">
      <c r="A15" s="1735"/>
      <c r="B15" s="1736"/>
      <c r="C15" s="1740" t="s">
        <v>3655</v>
      </c>
      <c r="D15" s="1743" t="s">
        <v>3656</v>
      </c>
      <c r="E15" s="1739"/>
      <c r="F15" s="1743"/>
      <c r="G15" s="1739"/>
      <c r="H15" s="1742"/>
      <c r="I15" s="1741"/>
    </row>
    <row r="16" spans="1:9">
      <c r="A16" s="1735"/>
      <c r="B16" s="1736"/>
      <c r="C16" s="1740"/>
      <c r="D16" s="1744" t="s">
        <v>3657</v>
      </c>
      <c r="E16" s="1739"/>
      <c r="F16" s="1743"/>
      <c r="G16" s="1739"/>
      <c r="H16" s="1745">
        <f xml:space="preserve"> ROUND(2*3*0.075*0.33*0.025,5)</f>
        <v>3.7100000000000002E-3</v>
      </c>
      <c r="I16" s="1743" t="s">
        <v>75</v>
      </c>
    </row>
    <row r="17" spans="1:9">
      <c r="A17" s="1735"/>
      <c r="B17" s="1736"/>
      <c r="C17" s="1740"/>
      <c r="D17" s="1744"/>
      <c r="E17" s="1739"/>
      <c r="F17" s="1743"/>
      <c r="G17" s="1739"/>
      <c r="H17" s="1747">
        <f>SUM(H14:H16)</f>
        <v>1.2699999999999999E-2</v>
      </c>
      <c r="I17" s="1741" t="s">
        <v>75</v>
      </c>
    </row>
    <row r="18" spans="1:9">
      <c r="A18" s="1735"/>
      <c r="B18" s="1736"/>
      <c r="C18" s="1740"/>
      <c r="D18" s="1744"/>
      <c r="E18" s="1739"/>
      <c r="F18" s="1743"/>
      <c r="G18" s="1742" t="s">
        <v>946</v>
      </c>
      <c r="H18" s="1747">
        <f>H11+H17</f>
        <v>5.1699999999999996E-2</v>
      </c>
      <c r="I18" s="1741" t="s">
        <v>75</v>
      </c>
    </row>
    <row r="19" spans="1:9">
      <c r="A19" s="1735"/>
      <c r="B19" s="1736"/>
      <c r="C19" s="1738" t="s">
        <v>3651</v>
      </c>
      <c r="D19" s="1744"/>
      <c r="E19" s="1739"/>
      <c r="F19" s="1743"/>
      <c r="G19" s="1742"/>
      <c r="H19" s="1747"/>
      <c r="I19" s="1741"/>
    </row>
    <row r="20" spans="1:9" ht="25.5">
      <c r="A20" s="1735"/>
      <c r="B20" s="1736"/>
      <c r="C20" s="1740" t="s">
        <v>3658</v>
      </c>
      <c r="D20" s="1759" t="s">
        <v>3659</v>
      </c>
      <c r="E20" s="1749"/>
      <c r="F20" s="1748"/>
      <c r="G20" s="1749"/>
      <c r="H20" s="1750">
        <f>3*0.23*0.96</f>
        <v>0.66239999999999999</v>
      </c>
      <c r="I20" s="1751" t="s">
        <v>46</v>
      </c>
    </row>
    <row r="21" spans="1:9">
      <c r="A21" s="1735"/>
      <c r="B21" s="1736"/>
      <c r="C21" s="1740" t="s">
        <v>3660</v>
      </c>
      <c r="D21" s="1752" t="s">
        <v>3661</v>
      </c>
      <c r="E21" s="1749"/>
      <c r="F21" s="1748"/>
      <c r="G21" s="1749"/>
      <c r="H21" s="1753">
        <f>3*(0.23+0.23+0.96+0.96)</f>
        <v>7.14</v>
      </c>
      <c r="I21" s="1751" t="s">
        <v>1308</v>
      </c>
    </row>
    <row r="22" spans="1:9" ht="14.25" customHeight="1">
      <c r="A22" s="1735"/>
      <c r="B22" s="1736"/>
      <c r="C22" s="1740" t="s">
        <v>1996</v>
      </c>
      <c r="D22" s="1752" t="s">
        <v>3662</v>
      </c>
      <c r="E22" s="1749"/>
      <c r="F22" s="1748"/>
      <c r="G22" s="1752">
        <f>ROUND(8*1.2*0.785,3)</f>
        <v>7.5359999999999996</v>
      </c>
      <c r="H22" s="1753"/>
      <c r="I22" s="1751" t="s">
        <v>1110</v>
      </c>
    </row>
    <row r="23" spans="1:9">
      <c r="A23" s="1735"/>
      <c r="B23" s="1736"/>
      <c r="C23" s="1738" t="s">
        <v>1965</v>
      </c>
      <c r="D23" s="1743"/>
      <c r="E23" s="1739"/>
      <c r="F23" s="1743"/>
      <c r="G23" s="1739"/>
      <c r="H23" s="1739"/>
      <c r="I23" s="1743"/>
    </row>
    <row r="24" spans="1:9">
      <c r="A24" s="1735"/>
      <c r="B24" s="1736"/>
      <c r="C24" s="1740" t="s">
        <v>3663</v>
      </c>
      <c r="D24" s="1754">
        <f>H18</f>
        <v>5.1699999999999996E-2</v>
      </c>
      <c r="E24" s="1739" t="s">
        <v>75</v>
      </c>
      <c r="F24" s="1743">
        <f>'Civil-SOR'!G33</f>
        <v>50775</v>
      </c>
      <c r="G24" s="1739">
        <v>1</v>
      </c>
      <c r="H24" s="1739" t="s">
        <v>75</v>
      </c>
      <c r="I24" s="1755">
        <f t="shared" ref="I24:I32" si="0">IF(G24="",D24*F24,(D24*F24/G24))</f>
        <v>2625.0674999999997</v>
      </c>
    </row>
    <row r="25" spans="1:9">
      <c r="A25" s="1735"/>
      <c r="B25" s="1736"/>
      <c r="C25" s="1760" t="s">
        <v>3667</v>
      </c>
      <c r="D25" s="1754">
        <f>H20</f>
        <v>0.66239999999999999</v>
      </c>
      <c r="E25" s="1739" t="s">
        <v>46</v>
      </c>
      <c r="F25" s="1743">
        <v>336</v>
      </c>
      <c r="G25" s="1739">
        <v>1</v>
      </c>
      <c r="H25" s="1739" t="s">
        <v>75</v>
      </c>
      <c r="I25" s="1755">
        <f>IF(G25="",D25*F25,(D25*F25/G25))</f>
        <v>222.56639999999999</v>
      </c>
    </row>
    <row r="26" spans="1:9">
      <c r="A26" s="1735"/>
      <c r="B26" s="1736"/>
      <c r="C26" s="1740" t="s">
        <v>2272</v>
      </c>
      <c r="D26" s="1756">
        <v>4</v>
      </c>
      <c r="E26" s="1739" t="s">
        <v>36</v>
      </c>
      <c r="F26" s="1743">
        <v>37</v>
      </c>
      <c r="G26" s="1739">
        <v>1</v>
      </c>
      <c r="H26" s="1739" t="s">
        <v>501</v>
      </c>
      <c r="I26" s="1755">
        <f t="shared" si="0"/>
        <v>148</v>
      </c>
    </row>
    <row r="27" spans="1:9" ht="25.5">
      <c r="A27" s="1735"/>
      <c r="B27" s="1736"/>
      <c r="C27" s="1760" t="s">
        <v>3668</v>
      </c>
      <c r="D27" s="1756">
        <f>2*3</f>
        <v>6</v>
      </c>
      <c r="E27" s="1739" t="s">
        <v>36</v>
      </c>
      <c r="F27" s="1743">
        <v>28</v>
      </c>
      <c r="G27" s="1739">
        <v>1</v>
      </c>
      <c r="H27" s="1739" t="s">
        <v>501</v>
      </c>
      <c r="I27" s="1755">
        <f t="shared" si="0"/>
        <v>168</v>
      </c>
    </row>
    <row r="28" spans="1:9" ht="25.5">
      <c r="A28" s="1735"/>
      <c r="B28" s="1736"/>
      <c r="C28" s="1760" t="s">
        <v>3664</v>
      </c>
      <c r="D28" s="1756">
        <v>9</v>
      </c>
      <c r="E28" s="1739" t="s">
        <v>36</v>
      </c>
      <c r="F28" s="1743">
        <v>25</v>
      </c>
      <c r="G28" s="1739">
        <v>1</v>
      </c>
      <c r="H28" s="1739" t="s">
        <v>501</v>
      </c>
      <c r="I28" s="1755">
        <f t="shared" si="0"/>
        <v>225</v>
      </c>
    </row>
    <row r="29" spans="1:9" ht="25.5">
      <c r="A29" s="1735"/>
      <c r="B29" s="1736"/>
      <c r="C29" s="1760" t="s">
        <v>3669</v>
      </c>
      <c r="D29" s="1756">
        <v>3</v>
      </c>
      <c r="E29" s="1739" t="s">
        <v>36</v>
      </c>
      <c r="F29" s="1743">
        <v>52</v>
      </c>
      <c r="G29" s="1739">
        <v>1</v>
      </c>
      <c r="H29" s="1739" t="s">
        <v>501</v>
      </c>
      <c r="I29" s="1755">
        <f t="shared" si="0"/>
        <v>156</v>
      </c>
    </row>
    <row r="30" spans="1:9">
      <c r="A30" s="1735"/>
      <c r="B30" s="1736"/>
      <c r="C30" s="1740" t="s">
        <v>2009</v>
      </c>
      <c r="D30" s="1756">
        <f>G22</f>
        <v>7.5359999999999996</v>
      </c>
      <c r="E30" s="1739" t="s">
        <v>1110</v>
      </c>
      <c r="F30" s="1743">
        <f>LEAD!N10</f>
        <v>61000</v>
      </c>
      <c r="G30" s="1739">
        <v>1000</v>
      </c>
      <c r="H30" s="1739" t="s">
        <v>1110</v>
      </c>
      <c r="I30" s="1755">
        <f t="shared" si="0"/>
        <v>459.69600000000003</v>
      </c>
    </row>
    <row r="31" spans="1:9">
      <c r="A31" s="1735"/>
      <c r="B31" s="1736"/>
      <c r="C31" s="1740" t="s">
        <v>663</v>
      </c>
      <c r="D31" s="1757">
        <f>H21</f>
        <v>7.14</v>
      </c>
      <c r="E31" s="1739" t="s">
        <v>1308</v>
      </c>
      <c r="F31" s="1743">
        <v>26</v>
      </c>
      <c r="G31" s="1739">
        <v>1</v>
      </c>
      <c r="H31" s="1739" t="s">
        <v>1308</v>
      </c>
      <c r="I31" s="1755">
        <f t="shared" si="0"/>
        <v>185.64</v>
      </c>
    </row>
    <row r="32" spans="1:9" ht="60.75" customHeight="1">
      <c r="A32" s="1735"/>
      <c r="B32" s="1736"/>
      <c r="C32" s="1761" t="s">
        <v>3665</v>
      </c>
      <c r="D32" s="1757">
        <f>H4</f>
        <v>1.44</v>
      </c>
      <c r="E32" s="1739" t="s">
        <v>46</v>
      </c>
      <c r="F32" s="1743">
        <v>1388</v>
      </c>
      <c r="G32" s="1739">
        <v>1</v>
      </c>
      <c r="H32" s="1739" t="s">
        <v>94</v>
      </c>
      <c r="I32" s="1755">
        <f t="shared" si="0"/>
        <v>1998.72</v>
      </c>
    </row>
    <row r="33" spans="1:9">
      <c r="A33" s="1735"/>
      <c r="B33" s="1736"/>
      <c r="C33" s="1740" t="s">
        <v>3666</v>
      </c>
      <c r="D33" s="1743"/>
      <c r="E33" s="1739"/>
      <c r="F33" s="1743"/>
      <c r="G33" s="1739"/>
      <c r="H33" s="1739"/>
      <c r="I33" s="1741">
        <f>SUM(I24:I32)</f>
        <v>6188.6899000000003</v>
      </c>
    </row>
    <row r="34" spans="1:9">
      <c r="A34" s="1735"/>
      <c r="B34" s="1736"/>
      <c r="C34" s="1740" t="str">
        <f>[2]Input!$C$49</f>
        <v>Overheads&amp;Contractors Profit @13.615%</v>
      </c>
      <c r="D34" s="1754">
        <v>0</v>
      </c>
      <c r="E34" s="1739"/>
      <c r="F34" s="1743">
        <f>I33</f>
        <v>6188.6899000000003</v>
      </c>
      <c r="G34" s="1739"/>
      <c r="H34" s="1739"/>
      <c r="I34" s="1755">
        <f>IF(G34="",D34*F34,(D34*F34/G34))</f>
        <v>0</v>
      </c>
    </row>
    <row r="35" spans="1:9">
      <c r="A35" s="1735"/>
      <c r="B35" s="1736"/>
      <c r="C35" s="1738" t="s">
        <v>3666</v>
      </c>
      <c r="D35" s="1743"/>
      <c r="E35" s="1739"/>
      <c r="F35" s="1743"/>
      <c r="G35" s="1739"/>
      <c r="H35" s="1739"/>
      <c r="I35" s="1743">
        <f>SUM(I33:I34)</f>
        <v>6188.6899000000003</v>
      </c>
    </row>
    <row r="36" spans="1:9">
      <c r="A36" s="1735"/>
      <c r="B36" s="1736"/>
      <c r="C36" s="1738"/>
      <c r="D36" s="1743"/>
      <c r="E36" s="1739"/>
      <c r="F36" s="1743"/>
      <c r="G36" s="1739"/>
      <c r="H36" s="1739"/>
      <c r="I36" s="1743">
        <f>I35/H4</f>
        <v>4297.7013194444444</v>
      </c>
    </row>
    <row r="37" spans="1:9">
      <c r="A37" s="1735"/>
      <c r="B37" s="1736"/>
      <c r="C37" s="1738" t="s">
        <v>1525</v>
      </c>
      <c r="D37" s="1743"/>
      <c r="E37" s="1739"/>
      <c r="F37" s="1743"/>
      <c r="G37" s="1739"/>
      <c r="H37" s="1739" t="s">
        <v>1065</v>
      </c>
      <c r="I37" s="1758">
        <f>ROUND(I36,0)</f>
        <v>4298</v>
      </c>
    </row>
  </sheetData>
  <mergeCells count="2">
    <mergeCell ref="C1:I1"/>
    <mergeCell ref="C2: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151"/>
  <sheetViews>
    <sheetView view="pageBreakPreview" zoomScaleSheetLayoutView="100" workbookViewId="0">
      <pane ySplit="1" topLeftCell="A35" activePane="bottomLeft" state="frozen"/>
      <selection pane="bottomLeft" activeCell="C43" sqref="C43"/>
    </sheetView>
  </sheetViews>
  <sheetFormatPr defaultRowHeight="12.75"/>
  <cols>
    <col min="1" max="2" width="4.140625" customWidth="1"/>
    <col min="3" max="3" width="58.5703125" customWidth="1"/>
    <col min="4" max="4" width="6.85546875" customWidth="1"/>
    <col min="5" max="5" width="5.7109375" customWidth="1"/>
    <col min="6" max="6" width="6.140625" customWidth="1"/>
    <col min="7" max="7" width="8.140625" customWidth="1"/>
    <col min="9" max="9" width="7.85546875" customWidth="1"/>
    <col min="10" max="10" width="6" customWidth="1"/>
    <col min="11" max="11" width="9.28515625" customWidth="1"/>
    <col min="15" max="15" width="10" customWidth="1"/>
  </cols>
  <sheetData>
    <row r="1" spans="1:15" ht="15.75">
      <c r="A1" s="2184" t="s">
        <v>3727</v>
      </c>
      <c r="B1" s="2184"/>
      <c r="C1" s="2184"/>
      <c r="D1" s="2184"/>
      <c r="E1" s="2184"/>
      <c r="F1" s="2184"/>
      <c r="G1" s="2184"/>
      <c r="H1" s="2184"/>
      <c r="I1" s="2184"/>
      <c r="J1" s="2184"/>
      <c r="K1" s="2184"/>
      <c r="L1" s="2184"/>
      <c r="M1" s="2184"/>
      <c r="N1" s="2184"/>
      <c r="O1" s="2184"/>
    </row>
    <row r="2" spans="1:15" ht="30" customHeight="1">
      <c r="A2" s="1866"/>
      <c r="B2" s="2185" t="str">
        <f>Input!C2</f>
        <v>Name of Work:  Creation of Infrastructure Facilities for skill Dvelopment lab at 6th Floor OPD Block-3 in Gandhi Hospital, Secunderabad (Balance Work)</v>
      </c>
      <c r="C2" s="2185"/>
      <c r="D2" s="2185"/>
      <c r="E2" s="2185"/>
      <c r="F2" s="2185"/>
      <c r="G2" s="2185"/>
      <c r="H2" s="2185"/>
      <c r="I2" s="2185"/>
      <c r="J2" s="2185"/>
      <c r="K2" s="2185"/>
      <c r="L2" s="2185"/>
      <c r="M2" s="2185"/>
      <c r="N2" s="2185"/>
      <c r="O2" s="2185"/>
    </row>
    <row r="3" spans="1:15" ht="27" customHeight="1">
      <c r="A3" s="2183" t="s">
        <v>936</v>
      </c>
      <c r="B3" s="2183"/>
      <c r="C3" s="2183" t="s">
        <v>2448</v>
      </c>
      <c r="D3" s="2183" t="s">
        <v>3728</v>
      </c>
      <c r="E3" s="2183"/>
      <c r="F3" s="2183"/>
      <c r="G3" s="2183"/>
      <c r="H3" s="2183"/>
      <c r="I3" s="2183" t="s">
        <v>3838</v>
      </c>
      <c r="J3" s="2183"/>
      <c r="K3" s="2183"/>
      <c r="L3" s="2183"/>
      <c r="M3" s="2183" t="s">
        <v>3729</v>
      </c>
      <c r="N3" s="2183" t="s">
        <v>3730</v>
      </c>
      <c r="O3" s="2183" t="s">
        <v>3731</v>
      </c>
    </row>
    <row r="4" spans="1:15" ht="28.5">
      <c r="A4" s="2183"/>
      <c r="B4" s="2183"/>
      <c r="C4" s="2183"/>
      <c r="D4" s="1867" t="s">
        <v>3732</v>
      </c>
      <c r="E4" s="2183" t="s">
        <v>3733</v>
      </c>
      <c r="F4" s="2183"/>
      <c r="G4" s="1867" t="s">
        <v>2789</v>
      </c>
      <c r="H4" s="1868" t="s">
        <v>3734</v>
      </c>
      <c r="I4" s="2183" t="s">
        <v>1025</v>
      </c>
      <c r="J4" s="2183"/>
      <c r="K4" s="1867" t="s">
        <v>2789</v>
      </c>
      <c r="L4" s="1867" t="s">
        <v>3734</v>
      </c>
      <c r="M4" s="2183"/>
      <c r="N4" s="2183"/>
      <c r="O4" s="2183"/>
    </row>
    <row r="5" spans="1:15" ht="14.25">
      <c r="A5" s="1869"/>
      <c r="B5" s="1869"/>
      <c r="C5" s="1870" t="s">
        <v>3735</v>
      </c>
      <c r="D5" s="1869"/>
      <c r="E5" s="1869"/>
      <c r="F5" s="1869"/>
      <c r="G5" s="1869"/>
      <c r="H5" s="1869"/>
      <c r="I5" s="1869"/>
      <c r="J5" s="1869"/>
      <c r="K5" s="1869"/>
      <c r="L5" s="1869"/>
      <c r="M5" s="1869"/>
      <c r="N5" s="1869"/>
      <c r="O5" s="1871"/>
    </row>
    <row r="6" spans="1:15" ht="15">
      <c r="A6" s="1872"/>
      <c r="B6" s="1873"/>
      <c r="C6" s="1877"/>
      <c r="D6" s="1730"/>
      <c r="E6" s="1874"/>
      <c r="F6" s="1874"/>
      <c r="G6" s="1878"/>
      <c r="H6" s="1876"/>
      <c r="I6" s="1730"/>
      <c r="J6" s="1874"/>
      <c r="K6" s="1875"/>
      <c r="L6" s="1876"/>
      <c r="M6" s="1876"/>
      <c r="N6" s="1876"/>
      <c r="O6" s="1873"/>
    </row>
    <row r="7" spans="1:15" ht="63.75">
      <c r="A7" s="1872">
        <f>A6+1</f>
        <v>1</v>
      </c>
      <c r="B7" s="1873"/>
      <c r="C7" s="1771" t="s">
        <v>3687</v>
      </c>
      <c r="D7" s="1730">
        <v>1</v>
      </c>
      <c r="E7" s="1872" t="s">
        <v>3834</v>
      </c>
      <c r="F7" s="1872" t="s">
        <v>484</v>
      </c>
      <c r="G7" s="1872">
        <v>298</v>
      </c>
      <c r="H7" s="1876">
        <f t="shared" ref="H7:H45" si="0">ROUND(G7*D7,0)</f>
        <v>298</v>
      </c>
      <c r="I7" s="1730">
        <v>0.99</v>
      </c>
      <c r="J7" s="1872" t="s">
        <v>484</v>
      </c>
      <c r="K7" s="1872">
        <v>298</v>
      </c>
      <c r="L7" s="1876">
        <f t="shared" ref="L7" si="1">ROUND(I7*K7,0)</f>
        <v>295</v>
      </c>
      <c r="M7" s="1876">
        <f t="shared" ref="M7" si="2">IF(L7&gt;H7,L7-H7,0)</f>
        <v>0</v>
      </c>
      <c r="N7" s="1876">
        <f t="shared" ref="N7" si="3">IF(H7&gt;L7,H7-L7,0)</f>
        <v>3</v>
      </c>
      <c r="O7" s="1873"/>
    </row>
    <row r="8" spans="1:15">
      <c r="A8" s="1872"/>
      <c r="B8" s="1873"/>
      <c r="C8" s="1771" t="s">
        <v>3862</v>
      </c>
      <c r="D8" s="1730"/>
      <c r="E8" s="1873"/>
      <c r="F8" s="1873"/>
      <c r="G8" s="1872"/>
      <c r="H8" s="1873"/>
      <c r="I8" s="1730"/>
      <c r="J8" s="1873"/>
      <c r="K8" s="1872"/>
      <c r="L8" s="1873"/>
      <c r="M8" s="1873"/>
      <c r="N8" s="1873"/>
      <c r="O8" s="1873"/>
    </row>
    <row r="9" spans="1:15" ht="63.75">
      <c r="A9" s="1872">
        <f>A8+2</f>
        <v>2</v>
      </c>
      <c r="B9" s="1873"/>
      <c r="C9" s="1771" t="s">
        <v>3693</v>
      </c>
      <c r="D9" s="1730">
        <v>50</v>
      </c>
      <c r="E9" s="1872" t="s">
        <v>3834</v>
      </c>
      <c r="F9" s="1872" t="s">
        <v>46</v>
      </c>
      <c r="G9" s="1872">
        <v>15</v>
      </c>
      <c r="H9" s="1876">
        <f t="shared" si="0"/>
        <v>750</v>
      </c>
      <c r="I9" s="1730">
        <v>20.93</v>
      </c>
      <c r="J9" s="1872" t="s">
        <v>46</v>
      </c>
      <c r="K9" s="1872">
        <v>15</v>
      </c>
      <c r="L9" s="1876">
        <f t="shared" ref="L9" si="4">ROUND(I9*K9,0)</f>
        <v>314</v>
      </c>
      <c r="M9" s="1876">
        <f t="shared" ref="M9" si="5">IF(L9&gt;H9,L9-H9,0)</f>
        <v>0</v>
      </c>
      <c r="N9" s="1876">
        <f t="shared" ref="N9" si="6">IF(H9&gt;L9,H9-L9,0)</f>
        <v>436</v>
      </c>
      <c r="O9" s="1873"/>
    </row>
    <row r="10" spans="1:15">
      <c r="A10" s="1872"/>
      <c r="B10" s="1873"/>
      <c r="C10" s="1771" t="s">
        <v>3862</v>
      </c>
      <c r="D10" s="1730"/>
      <c r="E10" s="1873"/>
      <c r="F10" s="1873"/>
      <c r="G10" s="1872"/>
      <c r="H10" s="1873"/>
      <c r="I10" s="1730"/>
      <c r="J10" s="1873"/>
      <c r="K10" s="1872"/>
      <c r="L10" s="1873"/>
      <c r="M10" s="1873"/>
      <c r="N10" s="1873"/>
      <c r="O10" s="1873"/>
    </row>
    <row r="11" spans="1:15" ht="114.75">
      <c r="A11" s="1872">
        <f>A10+3</f>
        <v>3</v>
      </c>
      <c r="B11" s="1873"/>
      <c r="C11" s="1771" t="s">
        <v>3694</v>
      </c>
      <c r="D11" s="1730">
        <v>5</v>
      </c>
      <c r="E11" s="1872" t="s">
        <v>3834</v>
      </c>
      <c r="F11" s="1872" t="s">
        <v>484</v>
      </c>
      <c r="G11" s="1872">
        <v>7686</v>
      </c>
      <c r="H11" s="1876">
        <f t="shared" si="0"/>
        <v>38430</v>
      </c>
      <c r="I11" s="1730">
        <v>0.53</v>
      </c>
      <c r="J11" s="1872" t="s">
        <v>484</v>
      </c>
      <c r="K11" s="1872">
        <v>7686</v>
      </c>
      <c r="L11" s="1876">
        <f t="shared" ref="L11" si="7">ROUND(I11*K11,0)</f>
        <v>4074</v>
      </c>
      <c r="M11" s="1876">
        <f t="shared" ref="M11" si="8">IF(L11&gt;H11,L11-H11,0)</f>
        <v>0</v>
      </c>
      <c r="N11" s="1876">
        <f t="shared" ref="N11" si="9">IF(H11&gt;L11,H11-L11,0)</f>
        <v>34356</v>
      </c>
      <c r="O11" s="1873"/>
    </row>
    <row r="12" spans="1:15">
      <c r="A12" s="1872"/>
      <c r="B12" s="1873"/>
      <c r="C12" s="1771" t="s">
        <v>3863</v>
      </c>
      <c r="D12" s="1730"/>
      <c r="E12" s="1873"/>
      <c r="F12" s="1873"/>
      <c r="G12" s="1872"/>
      <c r="H12" s="1873"/>
      <c r="I12" s="1730"/>
      <c r="J12" s="1873"/>
      <c r="K12" s="1872"/>
      <c r="L12" s="1873"/>
      <c r="M12" s="1873"/>
      <c r="N12" s="1873"/>
      <c r="O12" s="1873"/>
    </row>
    <row r="13" spans="1:15" ht="114.75">
      <c r="A13" s="1872">
        <f>A12+4</f>
        <v>4</v>
      </c>
      <c r="B13" s="1873"/>
      <c r="C13" s="1854" t="s">
        <v>3695</v>
      </c>
      <c r="D13" s="1730">
        <v>100</v>
      </c>
      <c r="E13" s="1872" t="s">
        <v>3834</v>
      </c>
      <c r="F13" s="1872" t="s">
        <v>46</v>
      </c>
      <c r="G13" s="1872">
        <v>526</v>
      </c>
      <c r="H13" s="1876">
        <f t="shared" si="0"/>
        <v>52600</v>
      </c>
      <c r="I13" s="1730">
        <v>100</v>
      </c>
      <c r="J13" s="1872" t="s">
        <v>46</v>
      </c>
      <c r="K13" s="1872">
        <v>526</v>
      </c>
      <c r="L13" s="1876">
        <f t="shared" ref="L13" si="10">ROUND(I13*K13,0)</f>
        <v>52600</v>
      </c>
      <c r="M13" s="1876">
        <f t="shared" ref="M13" si="11">IF(L13&gt;H13,L13-H13,0)</f>
        <v>0</v>
      </c>
      <c r="N13" s="1876">
        <f t="shared" ref="N13" si="12">IF(H13&gt;L13,H13-L13,0)</f>
        <v>0</v>
      </c>
      <c r="O13" s="1966" t="s">
        <v>3852</v>
      </c>
    </row>
    <row r="14" spans="1:15" ht="14.25">
      <c r="A14" s="1872"/>
      <c r="B14" s="1873"/>
      <c r="C14" s="1953" t="s">
        <v>3839</v>
      </c>
      <c r="D14" s="1730"/>
      <c r="E14" s="1873"/>
      <c r="F14" s="1873"/>
      <c r="G14" s="1872"/>
      <c r="H14" s="1876"/>
      <c r="I14" s="1730">
        <v>15.36</v>
      </c>
      <c r="J14" s="1873"/>
      <c r="K14" s="1872">
        <v>526</v>
      </c>
      <c r="L14" s="1876">
        <f t="shared" ref="L14" si="13">ROUND(I14*K14,0)</f>
        <v>8079</v>
      </c>
      <c r="M14" s="1876">
        <f t="shared" ref="M14" si="14">IF(L14&gt;H14,L14-H14,0)</f>
        <v>8079</v>
      </c>
      <c r="N14" s="1876">
        <f t="shared" ref="N14" si="15">IF(H14&gt;L14,H14-L14,0)</f>
        <v>0</v>
      </c>
      <c r="O14" s="1873"/>
    </row>
    <row r="15" spans="1:15">
      <c r="A15" s="1872"/>
      <c r="B15" s="1873"/>
      <c r="C15" s="1771" t="s">
        <v>3863</v>
      </c>
      <c r="D15" s="1730"/>
      <c r="E15" s="1873"/>
      <c r="F15" s="1873"/>
      <c r="G15" s="1872"/>
      <c r="H15" s="1873"/>
      <c r="I15" s="1730"/>
      <c r="J15" s="1873"/>
      <c r="K15" s="1872"/>
      <c r="L15" s="1873"/>
      <c r="M15" s="1873"/>
      <c r="N15" s="1873"/>
      <c r="O15" s="1873"/>
    </row>
    <row r="16" spans="1:15" ht="140.25">
      <c r="A16" s="1872">
        <f>A15+5</f>
        <v>5</v>
      </c>
      <c r="B16" s="1873"/>
      <c r="C16" s="1771" t="s">
        <v>3696</v>
      </c>
      <c r="D16" s="1730">
        <v>48</v>
      </c>
      <c r="E16" s="1872" t="s">
        <v>3834</v>
      </c>
      <c r="F16" s="1872" t="s">
        <v>46</v>
      </c>
      <c r="G16" s="1872">
        <v>4030</v>
      </c>
      <c r="H16" s="1876">
        <f t="shared" si="0"/>
        <v>193440</v>
      </c>
      <c r="I16" s="1730">
        <v>36.26</v>
      </c>
      <c r="J16" s="1872" t="s">
        <v>46</v>
      </c>
      <c r="K16" s="1872">
        <v>4030</v>
      </c>
      <c r="L16" s="1876">
        <f t="shared" ref="L16" si="16">ROUND(I16*K16,0)</f>
        <v>146128</v>
      </c>
      <c r="M16" s="1876">
        <f t="shared" ref="M16" si="17">IF(L16&gt;H16,L16-H16,0)</f>
        <v>0</v>
      </c>
      <c r="N16" s="1876">
        <f t="shared" ref="N16" si="18">IF(H16&gt;L16,H16-L16,0)</f>
        <v>47312</v>
      </c>
      <c r="O16" s="1873"/>
    </row>
    <row r="17" spans="1:15">
      <c r="A17" s="1872"/>
      <c r="B17" s="1873"/>
      <c r="C17" s="1771" t="s">
        <v>3864</v>
      </c>
      <c r="D17" s="1730"/>
      <c r="E17" s="1873"/>
      <c r="F17" s="1873"/>
      <c r="G17" s="1872"/>
      <c r="H17" s="1873"/>
      <c r="I17" s="1730"/>
      <c r="J17" s="1873"/>
      <c r="K17" s="1872"/>
      <c r="L17" s="1873"/>
      <c r="M17" s="1873"/>
      <c r="N17" s="1873"/>
      <c r="O17" s="1873"/>
    </row>
    <row r="18" spans="1:15" ht="216.75">
      <c r="A18" s="1872">
        <f>A17+6</f>
        <v>6</v>
      </c>
      <c r="B18" s="1873"/>
      <c r="C18" s="1771" t="s">
        <v>3697</v>
      </c>
      <c r="D18" s="1730">
        <v>45</v>
      </c>
      <c r="E18" s="1872" t="s">
        <v>3834</v>
      </c>
      <c r="F18" s="1872" t="s">
        <v>46</v>
      </c>
      <c r="G18" s="1872">
        <v>1044</v>
      </c>
      <c r="H18" s="1876">
        <f t="shared" si="0"/>
        <v>46980</v>
      </c>
      <c r="I18" s="1730">
        <v>45</v>
      </c>
      <c r="J18" s="1872" t="s">
        <v>46</v>
      </c>
      <c r="K18" s="1872">
        <v>1044</v>
      </c>
      <c r="L18" s="1876">
        <f t="shared" ref="L18" si="19">ROUND(I18*K18,0)</f>
        <v>46980</v>
      </c>
      <c r="M18" s="1876">
        <f t="shared" ref="M18" si="20">IF(L18&gt;H18,L18-H18,0)</f>
        <v>0</v>
      </c>
      <c r="N18" s="1876">
        <f t="shared" ref="N18" si="21">IF(H18&gt;L18,H18-L18,0)</f>
        <v>0</v>
      </c>
      <c r="O18" s="1967" t="s">
        <v>3853</v>
      </c>
    </row>
    <row r="19" spans="1:15" ht="14.25">
      <c r="A19" s="1872"/>
      <c r="B19" s="1873"/>
      <c r="C19" s="1953" t="s">
        <v>3839</v>
      </c>
      <c r="D19" s="1730"/>
      <c r="E19" s="1873"/>
      <c r="F19" s="1873"/>
      <c r="G19" s="1872"/>
      <c r="H19" s="1876"/>
      <c r="I19" s="1730">
        <v>19.05</v>
      </c>
      <c r="J19" s="1873"/>
      <c r="K19" s="1872">
        <v>1044</v>
      </c>
      <c r="L19" s="1876">
        <f t="shared" ref="L19" si="22">ROUND(I19*K19,0)</f>
        <v>19888</v>
      </c>
      <c r="M19" s="1876">
        <f t="shared" ref="M19" si="23">IF(L19&gt;H19,L19-H19,0)</f>
        <v>19888</v>
      </c>
      <c r="N19" s="1876">
        <f t="shared" ref="N19" si="24">IF(H19&gt;L19,H19-L19,0)</f>
        <v>0</v>
      </c>
      <c r="O19" s="1873"/>
    </row>
    <row r="20" spans="1:15">
      <c r="A20" s="1872"/>
      <c r="B20" s="1873"/>
      <c r="C20" s="1771" t="s">
        <v>3864</v>
      </c>
      <c r="D20" s="1730"/>
      <c r="E20" s="1873"/>
      <c r="F20" s="1873"/>
      <c r="G20" s="1872"/>
      <c r="H20" s="1873"/>
      <c r="I20" s="1730"/>
      <c r="J20" s="1873"/>
      <c r="K20" s="1872"/>
      <c r="L20" s="1873"/>
      <c r="M20" s="1873"/>
      <c r="N20" s="1873"/>
      <c r="O20" s="1873"/>
    </row>
    <row r="21" spans="1:15" ht="165.75">
      <c r="A21" s="1872">
        <f>A20+7</f>
        <v>7</v>
      </c>
      <c r="B21" s="1873"/>
      <c r="C21" s="1771" t="s">
        <v>3698</v>
      </c>
      <c r="D21" s="1730">
        <v>40</v>
      </c>
      <c r="E21" s="1872" t="s">
        <v>3834</v>
      </c>
      <c r="F21" s="1872" t="s">
        <v>46</v>
      </c>
      <c r="G21" s="1872">
        <v>907</v>
      </c>
      <c r="H21" s="1876">
        <f t="shared" si="0"/>
        <v>36280</v>
      </c>
      <c r="I21" s="1730">
        <v>5.21</v>
      </c>
      <c r="J21" s="1872" t="s">
        <v>46</v>
      </c>
      <c r="K21" s="1872">
        <v>907</v>
      </c>
      <c r="L21" s="1876">
        <f t="shared" ref="L21" si="25">ROUND(I21*K21,0)</f>
        <v>4725</v>
      </c>
      <c r="M21" s="1876">
        <f t="shared" ref="M21" si="26">IF(L21&gt;H21,L21-H21,0)</f>
        <v>0</v>
      </c>
      <c r="N21" s="1876">
        <f t="shared" ref="N21" si="27">IF(H21&gt;L21,H21-L21,0)</f>
        <v>31555</v>
      </c>
      <c r="O21" s="1873"/>
    </row>
    <row r="22" spans="1:15">
      <c r="A22" s="1872"/>
      <c r="B22" s="1873"/>
      <c r="C22" s="1771" t="s">
        <v>3864</v>
      </c>
      <c r="D22" s="1730"/>
      <c r="E22" s="1873"/>
      <c r="F22" s="1873"/>
      <c r="G22" s="1872"/>
      <c r="H22" s="1873"/>
      <c r="I22" s="1730"/>
      <c r="J22" s="1873"/>
      <c r="K22" s="1872"/>
      <c r="L22" s="1873"/>
      <c r="M22" s="1873"/>
      <c r="N22" s="1873"/>
      <c r="O22" s="1873"/>
    </row>
    <row r="23" spans="1:15" ht="140.25">
      <c r="A23" s="1872">
        <f>A22+8</f>
        <v>8</v>
      </c>
      <c r="B23" s="1873"/>
      <c r="C23" s="1771" t="s">
        <v>3700</v>
      </c>
      <c r="D23" s="1730">
        <v>28</v>
      </c>
      <c r="E23" s="1872" t="s">
        <v>3834</v>
      </c>
      <c r="F23" s="1872" t="s">
        <v>1308</v>
      </c>
      <c r="G23" s="1872">
        <v>104</v>
      </c>
      <c r="H23" s="1876">
        <f t="shared" si="0"/>
        <v>2912</v>
      </c>
      <c r="I23" s="1730">
        <v>27.95</v>
      </c>
      <c r="J23" s="1872" t="s">
        <v>1308</v>
      </c>
      <c r="K23" s="1872">
        <v>104</v>
      </c>
      <c r="L23" s="1876">
        <f t="shared" ref="L23" si="28">ROUND(I23*K23,0)</f>
        <v>2907</v>
      </c>
      <c r="M23" s="1876">
        <f t="shared" ref="M23" si="29">IF(L23&gt;H23,L23-H23,0)</f>
        <v>0</v>
      </c>
      <c r="N23" s="1876">
        <f t="shared" ref="N23" si="30">IF(H23&gt;L23,H23-L23,0)</f>
        <v>5</v>
      </c>
      <c r="O23" s="1873"/>
    </row>
    <row r="24" spans="1:15">
      <c r="A24" s="1872"/>
      <c r="B24" s="1873"/>
      <c r="C24" s="1771" t="s">
        <v>3865</v>
      </c>
      <c r="D24" s="1730"/>
      <c r="E24" s="1873"/>
      <c r="F24" s="1873"/>
      <c r="G24" s="1872"/>
      <c r="H24" s="1873"/>
      <c r="I24" s="1730"/>
      <c r="J24" s="1873"/>
      <c r="K24" s="1872"/>
      <c r="L24" s="1873"/>
      <c r="M24" s="1873"/>
      <c r="N24" s="1873"/>
      <c r="O24" s="1873"/>
    </row>
    <row r="25" spans="1:15" ht="153">
      <c r="A25" s="1872">
        <f>A24+9</f>
        <v>9</v>
      </c>
      <c r="B25" s="1873"/>
      <c r="C25" s="1771" t="s">
        <v>3701</v>
      </c>
      <c r="D25" s="1730">
        <v>48</v>
      </c>
      <c r="E25" s="1872" t="s">
        <v>3834</v>
      </c>
      <c r="F25" s="1872" t="s">
        <v>46</v>
      </c>
      <c r="G25" s="1872">
        <v>1003</v>
      </c>
      <c r="H25" s="1876">
        <f t="shared" si="0"/>
        <v>48144</v>
      </c>
      <c r="I25" s="1730">
        <v>3.72</v>
      </c>
      <c r="J25" s="1872" t="s">
        <v>46</v>
      </c>
      <c r="K25" s="1872">
        <v>1003</v>
      </c>
      <c r="L25" s="1876">
        <f t="shared" ref="L25" si="31">ROUND(I25*K25,0)</f>
        <v>3731</v>
      </c>
      <c r="M25" s="1876">
        <f t="shared" ref="M25" si="32">IF(L25&gt;H25,L25-H25,0)</f>
        <v>0</v>
      </c>
      <c r="N25" s="1876">
        <f t="shared" ref="N25" si="33">IF(H25&gt;L25,H25-L25,0)</f>
        <v>44413</v>
      </c>
      <c r="O25" s="1873"/>
    </row>
    <row r="26" spans="1:15">
      <c r="A26" s="1872"/>
      <c r="B26" s="1873"/>
      <c r="C26" s="1771" t="s">
        <v>3865</v>
      </c>
      <c r="D26" s="1730"/>
      <c r="E26" s="1873"/>
      <c r="F26" s="1873"/>
      <c r="G26" s="1872"/>
      <c r="H26" s="1873"/>
      <c r="I26" s="1730"/>
      <c r="J26" s="1873"/>
      <c r="K26" s="1872"/>
      <c r="L26" s="1873"/>
      <c r="M26" s="1873"/>
      <c r="N26" s="1873"/>
      <c r="O26" s="1873"/>
    </row>
    <row r="27" spans="1:15" ht="204">
      <c r="A27" s="1872">
        <f>A26+10</f>
        <v>10</v>
      </c>
      <c r="B27" s="1873"/>
      <c r="C27" s="1771" t="s">
        <v>3702</v>
      </c>
      <c r="D27" s="1730">
        <v>35</v>
      </c>
      <c r="E27" s="1872" t="s">
        <v>3834</v>
      </c>
      <c r="F27" s="1872" t="s">
        <v>46</v>
      </c>
      <c r="G27" s="1872">
        <v>1121</v>
      </c>
      <c r="H27" s="1876">
        <f t="shared" si="0"/>
        <v>39235</v>
      </c>
      <c r="I27" s="1730">
        <v>28.43</v>
      </c>
      <c r="J27" s="1872" t="s">
        <v>46</v>
      </c>
      <c r="K27" s="1872">
        <v>1121</v>
      </c>
      <c r="L27" s="1876">
        <f t="shared" ref="L27" si="34">ROUND(I27*K27,0)</f>
        <v>31870</v>
      </c>
      <c r="M27" s="1876">
        <f t="shared" ref="M27" si="35">IF(L27&gt;H27,L27-H27,0)</f>
        <v>0</v>
      </c>
      <c r="N27" s="1876">
        <f t="shared" ref="N27" si="36">IF(H27&gt;L27,H27-L27,0)</f>
        <v>7365</v>
      </c>
      <c r="O27" s="1873"/>
    </row>
    <row r="28" spans="1:15">
      <c r="A28" s="1872"/>
      <c r="B28" s="1873"/>
      <c r="C28" s="1771" t="s">
        <v>3866</v>
      </c>
      <c r="D28" s="1730"/>
      <c r="E28" s="1873"/>
      <c r="F28" s="1873"/>
      <c r="G28" s="1872"/>
      <c r="H28" s="1873"/>
      <c r="I28" s="1730"/>
      <c r="J28" s="1873"/>
      <c r="K28" s="1872"/>
      <c r="L28" s="1873"/>
      <c r="M28" s="1873"/>
      <c r="N28" s="1873"/>
      <c r="O28" s="1873"/>
    </row>
    <row r="29" spans="1:15" ht="140.25">
      <c r="A29" s="1872">
        <f>A28+11</f>
        <v>11</v>
      </c>
      <c r="B29" s="1873"/>
      <c r="C29" s="1771" t="s">
        <v>3703</v>
      </c>
      <c r="D29" s="1730">
        <v>150</v>
      </c>
      <c r="E29" s="1872" t="s">
        <v>3834</v>
      </c>
      <c r="F29" s="1872" t="s">
        <v>46</v>
      </c>
      <c r="G29" s="1872">
        <v>235</v>
      </c>
      <c r="H29" s="1876">
        <f t="shared" si="0"/>
        <v>35250</v>
      </c>
      <c r="I29" s="1730">
        <v>72.510000000000005</v>
      </c>
      <c r="J29" s="1872" t="s">
        <v>46</v>
      </c>
      <c r="K29" s="1872">
        <v>235</v>
      </c>
      <c r="L29" s="1876">
        <f t="shared" ref="L29" si="37">ROUND(I29*K29,0)</f>
        <v>17040</v>
      </c>
      <c r="M29" s="1876">
        <f t="shared" ref="M29" si="38">IF(L29&gt;H29,L29-H29,0)</f>
        <v>0</v>
      </c>
      <c r="N29" s="1876">
        <f t="shared" ref="N29" si="39">IF(H29&gt;L29,H29-L29,0)</f>
        <v>18210</v>
      </c>
      <c r="O29" s="1873"/>
    </row>
    <row r="30" spans="1:15">
      <c r="A30" s="1872"/>
      <c r="B30" s="1873"/>
      <c r="C30" s="1771" t="s">
        <v>3867</v>
      </c>
      <c r="D30" s="1730"/>
      <c r="E30" s="1873"/>
      <c r="F30" s="1873"/>
      <c r="G30" s="1872"/>
      <c r="H30" s="1873"/>
      <c r="I30" s="1730"/>
      <c r="J30" s="1873"/>
      <c r="K30" s="1872"/>
      <c r="L30" s="1873"/>
      <c r="M30" s="1873"/>
      <c r="N30" s="1873"/>
      <c r="O30" s="1873"/>
    </row>
    <row r="31" spans="1:15" ht="114.75">
      <c r="A31" s="1872">
        <f>A30+12</f>
        <v>12</v>
      </c>
      <c r="B31" s="1873"/>
      <c r="C31" s="1771" t="s">
        <v>3704</v>
      </c>
      <c r="D31" s="1730">
        <v>180</v>
      </c>
      <c r="E31" s="1872" t="s">
        <v>3834</v>
      </c>
      <c r="F31" s="1872" t="s">
        <v>46</v>
      </c>
      <c r="G31" s="1872">
        <v>194</v>
      </c>
      <c r="H31" s="1876">
        <f t="shared" si="0"/>
        <v>34920</v>
      </c>
      <c r="I31" s="1730">
        <v>180</v>
      </c>
      <c r="J31" s="1872" t="s">
        <v>46</v>
      </c>
      <c r="K31" s="1872">
        <v>194</v>
      </c>
      <c r="L31" s="1876">
        <f t="shared" ref="L31" si="40">ROUND(I31*K31,0)</f>
        <v>34920</v>
      </c>
      <c r="M31" s="1876">
        <f t="shared" ref="M31" si="41">IF(L31&gt;H31,L31-H31,0)</f>
        <v>0</v>
      </c>
      <c r="N31" s="1876">
        <f t="shared" ref="N31" si="42">IF(H31&gt;L31,H31-L31,0)</f>
        <v>0</v>
      </c>
      <c r="O31" s="1967" t="s">
        <v>3853</v>
      </c>
    </row>
    <row r="32" spans="1:15" ht="14.25">
      <c r="A32" s="1872"/>
      <c r="B32" s="1873"/>
      <c r="C32" s="1953" t="s">
        <v>3839</v>
      </c>
      <c r="D32" s="1730"/>
      <c r="E32" s="1873"/>
      <c r="F32" s="1873"/>
      <c r="G32" s="1872"/>
      <c r="H32" s="1876"/>
      <c r="I32" s="1730">
        <v>40.19</v>
      </c>
      <c r="J32" s="1873"/>
      <c r="K32" s="1872">
        <v>194</v>
      </c>
      <c r="L32" s="1876">
        <f t="shared" ref="L32" si="43">ROUND(I32*K32,0)</f>
        <v>7797</v>
      </c>
      <c r="M32" s="1876">
        <f t="shared" ref="M32" si="44">IF(L32&gt;H32,L32-H32,0)</f>
        <v>7797</v>
      </c>
      <c r="N32" s="1876">
        <f t="shared" ref="N32" si="45">IF(H32&gt;L32,H32-L32,0)</f>
        <v>0</v>
      </c>
      <c r="O32" s="1873"/>
    </row>
    <row r="33" spans="1:15">
      <c r="A33" s="1872"/>
      <c r="B33" s="1873"/>
      <c r="C33" s="1771" t="s">
        <v>3867</v>
      </c>
      <c r="D33" s="1730"/>
      <c r="E33" s="1873"/>
      <c r="F33" s="1873"/>
      <c r="G33" s="1872"/>
      <c r="H33" s="1873"/>
      <c r="I33" s="1730"/>
      <c r="J33" s="1873"/>
      <c r="K33" s="1872"/>
      <c r="L33" s="1873"/>
      <c r="M33" s="1873"/>
      <c r="N33" s="1873"/>
      <c r="O33" s="1873"/>
    </row>
    <row r="34" spans="1:15" ht="114.75">
      <c r="A34" s="1872">
        <f>A33+13</f>
        <v>13</v>
      </c>
      <c r="B34" s="1873"/>
      <c r="C34" s="1771" t="s">
        <v>3705</v>
      </c>
      <c r="D34" s="1730">
        <v>45</v>
      </c>
      <c r="E34" s="1872" t="s">
        <v>3834</v>
      </c>
      <c r="F34" s="1872" t="s">
        <v>46</v>
      </c>
      <c r="G34" s="1872">
        <v>290</v>
      </c>
      <c r="H34" s="1876">
        <f t="shared" si="0"/>
        <v>13050</v>
      </c>
      <c r="I34" s="1730">
        <v>45</v>
      </c>
      <c r="J34" s="1872" t="s">
        <v>46</v>
      </c>
      <c r="K34" s="1872">
        <v>290</v>
      </c>
      <c r="L34" s="1876">
        <f t="shared" ref="L34" si="46">ROUND(I34*K34,0)</f>
        <v>13050</v>
      </c>
      <c r="M34" s="1876">
        <f t="shared" ref="M34" si="47">IF(L34&gt;H34,L34-H34,0)</f>
        <v>0</v>
      </c>
      <c r="N34" s="1876">
        <f t="shared" ref="N34" si="48">IF(H34&gt;L34,H34-L34,0)</f>
        <v>0</v>
      </c>
      <c r="O34" s="1967" t="s">
        <v>3853</v>
      </c>
    </row>
    <row r="35" spans="1:15" ht="14.25">
      <c r="A35" s="1872"/>
      <c r="B35" s="1873"/>
      <c r="C35" s="1953" t="s">
        <v>3839</v>
      </c>
      <c r="D35" s="1730"/>
      <c r="E35" s="1873"/>
      <c r="F35" s="1873"/>
      <c r="G35" s="1872"/>
      <c r="H35" s="1876"/>
      <c r="I35" s="1730">
        <v>8.7899999999999991</v>
      </c>
      <c r="J35" s="1873"/>
      <c r="K35" s="1872">
        <v>290</v>
      </c>
      <c r="L35" s="1876">
        <f t="shared" ref="L35" si="49">ROUND(I35*K35,0)</f>
        <v>2549</v>
      </c>
      <c r="M35" s="1876">
        <f t="shared" ref="M35" si="50">IF(L35&gt;H35,L35-H35,0)</f>
        <v>2549</v>
      </c>
      <c r="N35" s="1876">
        <f t="shared" ref="N35" si="51">IF(H35&gt;L35,H35-L35,0)</f>
        <v>0</v>
      </c>
      <c r="O35" s="1873"/>
    </row>
    <row r="36" spans="1:15">
      <c r="A36" s="1872"/>
      <c r="B36" s="1873"/>
      <c r="C36" s="1771" t="s">
        <v>3867</v>
      </c>
      <c r="D36" s="1730"/>
      <c r="E36" s="1873"/>
      <c r="F36" s="1873"/>
      <c r="G36" s="1872"/>
      <c r="H36" s="1873"/>
      <c r="I36" s="1730"/>
      <c r="J36" s="1873"/>
      <c r="K36" s="1872"/>
      <c r="L36" s="1873"/>
      <c r="M36" s="1873"/>
      <c r="N36" s="1873"/>
      <c r="O36" s="1873"/>
    </row>
    <row r="37" spans="1:15" ht="114.75">
      <c r="A37" s="1872">
        <f>A36+14</f>
        <v>14</v>
      </c>
      <c r="B37" s="1873"/>
      <c r="C37" s="1771" t="s">
        <v>2259</v>
      </c>
      <c r="D37" s="1730">
        <v>8</v>
      </c>
      <c r="E37" s="1872" t="s">
        <v>3834</v>
      </c>
      <c r="F37" s="1872" t="s">
        <v>46</v>
      </c>
      <c r="G37" s="1872">
        <v>2218</v>
      </c>
      <c r="H37" s="1876">
        <f t="shared" si="0"/>
        <v>17744</v>
      </c>
      <c r="I37" s="1730">
        <v>8</v>
      </c>
      <c r="J37" s="1872" t="s">
        <v>46</v>
      </c>
      <c r="K37" s="1872">
        <v>2218</v>
      </c>
      <c r="L37" s="1876">
        <f t="shared" ref="L37" si="52">ROUND(I37*K37,0)</f>
        <v>17744</v>
      </c>
      <c r="M37" s="1876">
        <f t="shared" ref="M37" si="53">IF(L37&gt;H37,L37-H37,0)</f>
        <v>0</v>
      </c>
      <c r="N37" s="1876">
        <f t="shared" ref="N37" si="54">IF(H37&gt;L37,H37-L37,0)</f>
        <v>0</v>
      </c>
      <c r="O37" s="1873"/>
    </row>
    <row r="38" spans="1:15" ht="14.25">
      <c r="A38" s="1872"/>
      <c r="B38" s="1873"/>
      <c r="C38" s="1953" t="s">
        <v>3839</v>
      </c>
      <c r="D38" s="1730"/>
      <c r="E38" s="1873"/>
      <c r="F38" s="1873"/>
      <c r="G38" s="1872"/>
      <c r="H38" s="1876"/>
      <c r="I38" s="1730">
        <f>9.57-I37</f>
        <v>1.5700000000000003</v>
      </c>
      <c r="J38" s="1873"/>
      <c r="K38" s="1872">
        <v>2218</v>
      </c>
      <c r="L38" s="1876">
        <f t="shared" ref="L38" si="55">ROUND(I38*K38,0)</f>
        <v>3482</v>
      </c>
      <c r="M38" s="1876">
        <f t="shared" ref="M38" si="56">IF(L38&gt;H38,L38-H38,0)</f>
        <v>3482</v>
      </c>
      <c r="N38" s="1876">
        <f t="shared" ref="N38" si="57">IF(H38&gt;L38,H38-L38,0)</f>
        <v>0</v>
      </c>
      <c r="O38" s="1873"/>
    </row>
    <row r="39" spans="1:15">
      <c r="A39" s="1872"/>
      <c r="B39" s="1873"/>
      <c r="C39" s="1771" t="s">
        <v>3868</v>
      </c>
      <c r="D39" s="1730"/>
      <c r="E39" s="1873"/>
      <c r="F39" s="1873"/>
      <c r="G39" s="1872"/>
      <c r="H39" s="1873"/>
      <c r="I39" s="1730"/>
      <c r="J39" s="1873"/>
      <c r="K39" s="1872"/>
      <c r="L39" s="1873"/>
      <c r="M39" s="1873"/>
      <c r="N39" s="1873"/>
      <c r="O39" s="1873"/>
    </row>
    <row r="40" spans="1:15" ht="114.75">
      <c r="A40" s="1872">
        <f>A39+15</f>
        <v>15</v>
      </c>
      <c r="B40" s="1873"/>
      <c r="C40" s="1771" t="s">
        <v>3706</v>
      </c>
      <c r="D40" s="1730">
        <v>15</v>
      </c>
      <c r="E40" s="1872" t="s">
        <v>3834</v>
      </c>
      <c r="F40" s="1872" t="s">
        <v>46</v>
      </c>
      <c r="G40" s="1872">
        <v>114</v>
      </c>
      <c r="H40" s="1876">
        <f t="shared" si="0"/>
        <v>1710</v>
      </c>
      <c r="I40" s="1730">
        <v>15</v>
      </c>
      <c r="J40" s="1872" t="s">
        <v>46</v>
      </c>
      <c r="K40" s="1872">
        <v>114</v>
      </c>
      <c r="L40" s="1876">
        <f t="shared" ref="L40" si="58">ROUND(I40*K40,0)</f>
        <v>1710</v>
      </c>
      <c r="M40" s="1876">
        <f t="shared" ref="M40" si="59">IF(L40&gt;H40,L40-H40,0)</f>
        <v>0</v>
      </c>
      <c r="N40" s="1876">
        <f t="shared" ref="N40" si="60">IF(H40&gt;L40,H40-L40,0)</f>
        <v>0</v>
      </c>
      <c r="O40" s="1967" t="s">
        <v>3853</v>
      </c>
    </row>
    <row r="41" spans="1:15" ht="14.25">
      <c r="A41" s="1872"/>
      <c r="B41" s="1873"/>
      <c r="C41" s="1953" t="s">
        <v>3839</v>
      </c>
      <c r="D41" s="1730"/>
      <c r="E41" s="1873"/>
      <c r="F41" s="1873"/>
      <c r="G41" s="1872"/>
      <c r="H41" s="1876"/>
      <c r="I41" s="1730">
        <v>33.32</v>
      </c>
      <c r="J41" s="1873"/>
      <c r="K41" s="1872">
        <v>114</v>
      </c>
      <c r="L41" s="1876">
        <f t="shared" ref="L41" si="61">ROUND(I41*K41,0)</f>
        <v>3798</v>
      </c>
      <c r="M41" s="1876">
        <f t="shared" ref="M41" si="62">IF(L41&gt;H41,L41-H41,0)</f>
        <v>3798</v>
      </c>
      <c r="N41" s="1876">
        <f t="shared" ref="N41" si="63">IF(H41&gt;L41,H41-L41,0)</f>
        <v>0</v>
      </c>
      <c r="O41" s="1873"/>
    </row>
    <row r="42" spans="1:15">
      <c r="A42" s="1872"/>
      <c r="B42" s="1873"/>
      <c r="C42" s="1771" t="s">
        <v>3869</v>
      </c>
      <c r="D42" s="1730"/>
      <c r="E42" s="1873"/>
      <c r="F42" s="1873"/>
      <c r="G42" s="1872"/>
      <c r="H42" s="1873"/>
      <c r="I42" s="1730"/>
      <c r="J42" s="1873"/>
      <c r="K42" s="1872"/>
      <c r="L42" s="1873"/>
      <c r="M42" s="1873"/>
      <c r="N42" s="1873"/>
      <c r="O42" s="1873"/>
    </row>
    <row r="43" spans="1:15" ht="38.25">
      <c r="A43" s="1872">
        <f>A42+16</f>
        <v>16</v>
      </c>
      <c r="B43" s="1873"/>
      <c r="C43" s="1771" t="s">
        <v>3707</v>
      </c>
      <c r="D43" s="1730">
        <v>35</v>
      </c>
      <c r="E43" s="1872" t="s">
        <v>3834</v>
      </c>
      <c r="F43" s="1872" t="s">
        <v>46</v>
      </c>
      <c r="G43" s="1872">
        <v>1375</v>
      </c>
      <c r="H43" s="1876">
        <f t="shared" si="0"/>
        <v>48125</v>
      </c>
      <c r="I43" s="1730">
        <v>18.62</v>
      </c>
      <c r="J43" s="1872" t="s">
        <v>46</v>
      </c>
      <c r="K43" s="1872">
        <v>1375</v>
      </c>
      <c r="L43" s="1876">
        <f t="shared" ref="L43" si="64">ROUND(I43*K43,0)</f>
        <v>25603</v>
      </c>
      <c r="M43" s="1876">
        <f t="shared" ref="M43" si="65">IF(L43&gt;H43,L43-H43,0)</f>
        <v>0</v>
      </c>
      <c r="N43" s="1876">
        <f t="shared" ref="N43" si="66">IF(H43&gt;L43,H43-L43,0)</f>
        <v>22522</v>
      </c>
      <c r="O43" s="1873"/>
    </row>
    <row r="44" spans="1:15">
      <c r="A44" s="1872"/>
      <c r="B44" s="1873"/>
      <c r="C44" s="1771" t="s">
        <v>3869</v>
      </c>
      <c r="D44" s="1730"/>
      <c r="E44" s="1873"/>
      <c r="F44" s="1873"/>
      <c r="G44" s="1872"/>
      <c r="H44" s="1873"/>
      <c r="I44" s="1730"/>
      <c r="J44" s="1873"/>
      <c r="K44" s="1872"/>
      <c r="L44" s="1873"/>
      <c r="M44" s="1873"/>
      <c r="N44" s="1873"/>
      <c r="O44" s="1873"/>
    </row>
    <row r="45" spans="1:15" ht="89.25">
      <c r="A45" s="1872">
        <f>A44+17</f>
        <v>17</v>
      </c>
      <c r="B45" s="1873"/>
      <c r="C45" s="1771" t="s">
        <v>3688</v>
      </c>
      <c r="D45" s="1730">
        <v>10</v>
      </c>
      <c r="E45" s="1872" t="s">
        <v>3834</v>
      </c>
      <c r="F45" s="1872" t="s">
        <v>484</v>
      </c>
      <c r="G45" s="1872">
        <v>339</v>
      </c>
      <c r="H45" s="1876">
        <f t="shared" si="0"/>
        <v>3390</v>
      </c>
      <c r="I45" s="1730">
        <v>10</v>
      </c>
      <c r="J45" s="1872" t="s">
        <v>484</v>
      </c>
      <c r="K45" s="1872">
        <v>339</v>
      </c>
      <c r="L45" s="1876">
        <f t="shared" ref="L45" si="67">ROUND(I45*K45,0)</f>
        <v>3390</v>
      </c>
      <c r="M45" s="1876">
        <f t="shared" ref="M45" si="68">IF(L45&gt;H45,L45-H45,0)</f>
        <v>0</v>
      </c>
      <c r="N45" s="1876">
        <f t="shared" ref="N45" si="69">IF(H45&gt;L45,H45-L45,0)</f>
        <v>0</v>
      </c>
      <c r="O45" s="1967" t="s">
        <v>3854</v>
      </c>
    </row>
    <row r="46" spans="1:15" ht="14.25">
      <c r="A46" s="1872"/>
      <c r="B46" s="1873"/>
      <c r="C46" s="1953" t="s">
        <v>3839</v>
      </c>
      <c r="D46" s="1730"/>
      <c r="E46" s="1873"/>
      <c r="F46" s="1873"/>
      <c r="G46" s="1872"/>
      <c r="H46" s="1876"/>
      <c r="I46" s="1730">
        <f>22.35-I45</f>
        <v>12.350000000000001</v>
      </c>
      <c r="J46" s="1873"/>
      <c r="K46" s="1872">
        <v>339</v>
      </c>
      <c r="L46" s="1876">
        <f t="shared" ref="L46" si="70">ROUND(I46*K46,0)</f>
        <v>4187</v>
      </c>
      <c r="M46" s="1876">
        <f t="shared" ref="M46" si="71">IF(L46&gt;H46,L46-H46,0)</f>
        <v>4187</v>
      </c>
      <c r="N46" s="1876">
        <f t="shared" ref="N46" si="72">IF(H46&gt;L46,H46-L46,0)</f>
        <v>0</v>
      </c>
      <c r="O46" s="1873"/>
    </row>
    <row r="47" spans="1:15" ht="14.25">
      <c r="A47" s="1872"/>
      <c r="B47" s="1873"/>
      <c r="C47" s="1771" t="s">
        <v>3870</v>
      </c>
      <c r="D47" s="1730"/>
      <c r="E47" s="1873"/>
      <c r="F47" s="1873"/>
      <c r="G47" s="1872"/>
      <c r="H47" s="1876"/>
      <c r="I47" s="1730"/>
      <c r="J47" s="1873"/>
      <c r="K47" s="1872"/>
      <c r="L47" s="1876"/>
      <c r="M47" s="1876"/>
      <c r="N47" s="1876"/>
      <c r="O47" s="1873"/>
    </row>
    <row r="48" spans="1:15">
      <c r="A48" s="1872"/>
      <c r="B48" s="1873"/>
      <c r="C48" s="1881" t="s">
        <v>3736</v>
      </c>
      <c r="D48" s="1730"/>
      <c r="E48" s="1873"/>
      <c r="F48" s="1873"/>
      <c r="G48" s="1872"/>
      <c r="H48" s="1880">
        <f>SUM(H7:H45)</f>
        <v>613258</v>
      </c>
      <c r="I48" s="1730"/>
      <c r="J48" s="1873"/>
      <c r="K48" s="1872"/>
      <c r="L48" s="1880">
        <f>SUM(L7:L46)</f>
        <v>456861</v>
      </c>
      <c r="M48" s="1880">
        <f>SUM(M7:M46)</f>
        <v>49780</v>
      </c>
      <c r="N48" s="1880">
        <f>SUM(N7:N46)</f>
        <v>206177</v>
      </c>
      <c r="O48" s="1873"/>
    </row>
    <row r="49" spans="1:15">
      <c r="A49" s="1872"/>
      <c r="B49" s="1873"/>
      <c r="C49" s="1771"/>
      <c r="D49" s="1730"/>
      <c r="E49" s="1873"/>
      <c r="F49" s="1873"/>
      <c r="G49" s="1872"/>
      <c r="H49" s="1873"/>
      <c r="I49" s="1730"/>
      <c r="J49" s="1873"/>
      <c r="K49" s="1872"/>
      <c r="L49" s="1873"/>
      <c r="M49" s="1873"/>
      <c r="N49" s="1873"/>
      <c r="O49" s="1873"/>
    </row>
    <row r="50" spans="1:15">
      <c r="A50" s="1872"/>
      <c r="B50" s="1873"/>
      <c r="C50" s="1859" t="s">
        <v>3807</v>
      </c>
      <c r="D50" s="1730"/>
      <c r="E50" s="1873"/>
      <c r="F50" s="1873"/>
      <c r="G50" s="1872"/>
      <c r="H50" s="1873"/>
      <c r="I50" s="1730"/>
      <c r="J50" s="1873"/>
      <c r="K50" s="1872"/>
      <c r="L50" s="1873"/>
      <c r="M50" s="1873"/>
      <c r="N50" s="1873"/>
      <c r="O50" s="1873"/>
    </row>
    <row r="51" spans="1:15" ht="127.5">
      <c r="A51" s="1872">
        <f>A50+1</f>
        <v>1</v>
      </c>
      <c r="B51" s="1873"/>
      <c r="C51" s="1771" t="s">
        <v>3686</v>
      </c>
      <c r="D51" s="1771"/>
      <c r="E51" s="1771"/>
      <c r="F51" s="1771"/>
      <c r="G51" s="1771"/>
      <c r="H51" s="1771"/>
      <c r="I51" s="1730">
        <v>0.51</v>
      </c>
      <c r="J51" s="1872" t="s">
        <v>484</v>
      </c>
      <c r="K51" s="1930">
        <f>'C-data'!I421</f>
        <v>5349</v>
      </c>
      <c r="L51" s="1876">
        <f t="shared" ref="L51" si="73">ROUND(I51*K51,0)</f>
        <v>2728</v>
      </c>
      <c r="M51" s="1876">
        <f t="shared" ref="M51" si="74">IF(L51&gt;H51,L51-H51,0)</f>
        <v>2728</v>
      </c>
      <c r="N51" s="1876">
        <f t="shared" ref="N51" si="75">IF(H51&gt;L51,H51-L51,0)</f>
        <v>0</v>
      </c>
      <c r="O51" s="1873"/>
    </row>
    <row r="52" spans="1:15">
      <c r="A52" s="1872"/>
      <c r="B52" s="1873"/>
      <c r="C52" s="1771" t="s">
        <v>3871</v>
      </c>
      <c r="D52" s="1771"/>
      <c r="E52" s="1771"/>
      <c r="F52" s="1771"/>
      <c r="G52" s="1771"/>
      <c r="H52" s="1771"/>
      <c r="I52" s="1730"/>
      <c r="J52" s="1873"/>
      <c r="K52" s="1872"/>
      <c r="L52" s="1873"/>
      <c r="M52" s="1873"/>
      <c r="N52" s="1873"/>
      <c r="O52" s="1873"/>
    </row>
    <row r="53" spans="1:15" ht="229.5">
      <c r="A53" s="1872">
        <f>A52+2</f>
        <v>2</v>
      </c>
      <c r="B53" s="1873"/>
      <c r="C53" s="1771" t="s">
        <v>3642</v>
      </c>
      <c r="D53" s="1771"/>
      <c r="E53" s="1771"/>
      <c r="F53" s="1771"/>
      <c r="G53" s="1771"/>
      <c r="H53" s="1771"/>
      <c r="I53" s="1730">
        <v>4.68</v>
      </c>
      <c r="J53" s="1872" t="s">
        <v>46</v>
      </c>
      <c r="K53" s="1930">
        <f>Joinery!I1069</f>
        <v>8088</v>
      </c>
      <c r="L53" s="1876">
        <f t="shared" ref="L53" si="76">ROUND(I53*K53,0)</f>
        <v>37852</v>
      </c>
      <c r="M53" s="1876">
        <f t="shared" ref="M53" si="77">IF(L53&gt;H53,L53-H53,0)</f>
        <v>37852</v>
      </c>
      <c r="N53" s="1876">
        <f t="shared" ref="N53" si="78">IF(H53&gt;L53,H53-L53,0)</f>
        <v>0</v>
      </c>
      <c r="O53" s="1967" t="s">
        <v>3855</v>
      </c>
    </row>
    <row r="54" spans="1:15" ht="14.25">
      <c r="A54" s="1872"/>
      <c r="B54" s="1873"/>
      <c r="C54" s="1771" t="s">
        <v>3863</v>
      </c>
      <c r="D54" s="1771"/>
      <c r="E54" s="1771"/>
      <c r="F54" s="1771"/>
      <c r="G54" s="1771"/>
      <c r="H54" s="1771"/>
      <c r="I54" s="1730"/>
      <c r="J54" s="1873"/>
      <c r="K54" s="1930"/>
      <c r="L54" s="1876"/>
      <c r="M54" s="1876"/>
      <c r="N54" s="1876"/>
      <c r="O54" s="1873"/>
    </row>
    <row r="55" spans="1:15" ht="165.75">
      <c r="A55" s="1872">
        <v>3</v>
      </c>
      <c r="B55" s="1873"/>
      <c r="C55" s="1771" t="s">
        <v>3593</v>
      </c>
      <c r="D55" s="1771"/>
      <c r="E55" s="1771"/>
      <c r="F55" s="1771"/>
      <c r="G55" s="1771"/>
      <c r="H55" s="1771"/>
      <c r="I55" s="1730">
        <v>6.83</v>
      </c>
      <c r="J55" s="1872" t="s">
        <v>46</v>
      </c>
      <c r="K55" s="1930">
        <f>'C-data'!D3017</f>
        <v>4808</v>
      </c>
      <c r="L55" s="1876">
        <f t="shared" ref="L55" si="79">ROUND(I55*K55,0)</f>
        <v>32839</v>
      </c>
      <c r="M55" s="1876">
        <f t="shared" ref="M55" si="80">IF(L55&gt;H55,L55-H55,0)</f>
        <v>32839</v>
      </c>
      <c r="N55" s="1876">
        <f t="shared" ref="N55" si="81">IF(H55&gt;L55,H55-L55,0)</f>
        <v>0</v>
      </c>
      <c r="O55" s="1967" t="s">
        <v>3855</v>
      </c>
    </row>
    <row r="56" spans="1:15" ht="14.25">
      <c r="A56" s="1872"/>
      <c r="B56" s="1873"/>
      <c r="C56" s="1771" t="s">
        <v>3872</v>
      </c>
      <c r="D56" s="1771"/>
      <c r="E56" s="1771"/>
      <c r="F56" s="1771"/>
      <c r="G56" s="1771"/>
      <c r="H56" s="1771"/>
      <c r="I56" s="1730"/>
      <c r="J56" s="1873"/>
      <c r="K56" s="1930"/>
      <c r="L56" s="1876"/>
      <c r="M56" s="1876"/>
      <c r="N56" s="1876"/>
      <c r="O56" s="1873"/>
    </row>
    <row r="57" spans="1:15" ht="216.75">
      <c r="A57" s="1872">
        <v>4</v>
      </c>
      <c r="B57" s="1873"/>
      <c r="C57" s="1771" t="s">
        <v>3851</v>
      </c>
      <c r="D57" s="1771"/>
      <c r="E57" s="1771"/>
      <c r="F57" s="1771"/>
      <c r="G57" s="1771"/>
      <c r="H57" s="1771"/>
      <c r="I57" s="1730">
        <v>155.54</v>
      </c>
      <c r="J57" s="1872" t="s">
        <v>46</v>
      </c>
      <c r="K57" s="1930">
        <f>'C-data'!I324</f>
        <v>158</v>
      </c>
      <c r="L57" s="1876">
        <f t="shared" ref="L57" si="82">ROUND(I57*K57,0)</f>
        <v>24575</v>
      </c>
      <c r="M57" s="1876">
        <f t="shared" ref="M57" si="83">IF(L57&gt;H57,L57-H57,0)</f>
        <v>24575</v>
      </c>
      <c r="N57" s="1876">
        <f t="shared" ref="N57" si="84">IF(H57&gt;L57,H57-L57,0)</f>
        <v>0</v>
      </c>
      <c r="O57" s="1967" t="s">
        <v>3857</v>
      </c>
    </row>
    <row r="58" spans="1:15" ht="14.25">
      <c r="A58" s="1872"/>
      <c r="B58" s="1873"/>
      <c r="C58" s="1771" t="s">
        <v>3873</v>
      </c>
      <c r="D58" s="1771"/>
      <c r="E58" s="1771"/>
      <c r="F58" s="1771"/>
      <c r="G58" s="1771"/>
      <c r="H58" s="1771"/>
      <c r="I58" s="1730"/>
      <c r="J58" s="1873"/>
      <c r="K58" s="1930"/>
      <c r="L58" s="1876"/>
      <c r="M58" s="1876"/>
      <c r="N58" s="1876"/>
      <c r="O58" s="1873"/>
    </row>
    <row r="59" spans="1:15" ht="127.5">
      <c r="A59" s="1872">
        <v>5</v>
      </c>
      <c r="B59" s="1873"/>
      <c r="C59" s="1771" t="s">
        <v>3848</v>
      </c>
      <c r="D59" s="1771"/>
      <c r="E59" s="1771"/>
      <c r="F59" s="1771"/>
      <c r="G59" s="1771"/>
      <c r="H59" s="1771"/>
      <c r="I59" s="1730">
        <v>28.33</v>
      </c>
      <c r="J59" s="1872" t="s">
        <v>46</v>
      </c>
      <c r="K59" s="1930">
        <f>Joinery!I1302</f>
        <v>4967</v>
      </c>
      <c r="L59" s="1876">
        <f t="shared" ref="L59" si="85">ROUND(I59*K59,0)</f>
        <v>140715</v>
      </c>
      <c r="M59" s="1876">
        <f t="shared" ref="M59" si="86">IF(L59&gt;H59,L59-H59,0)</f>
        <v>140715</v>
      </c>
      <c r="N59" s="1876">
        <f t="shared" ref="N59" si="87">IF(H59&gt;L59,H59-L59,0)</f>
        <v>0</v>
      </c>
      <c r="O59" s="1967" t="s">
        <v>3856</v>
      </c>
    </row>
    <row r="60" spans="1:15">
      <c r="A60" s="1872"/>
      <c r="B60" s="1873"/>
      <c r="C60" s="1881"/>
      <c r="D60" s="1730"/>
      <c r="E60" s="1873"/>
      <c r="F60" s="1873"/>
      <c r="G60" s="1872"/>
      <c r="H60" s="1873"/>
      <c r="I60" s="1730"/>
      <c r="J60" s="1873"/>
      <c r="K60" s="1872"/>
      <c r="L60" s="1931"/>
      <c r="M60" s="1931"/>
      <c r="N60" s="1931"/>
      <c r="O60" s="1873"/>
    </row>
    <row r="61" spans="1:15">
      <c r="A61" s="1872"/>
      <c r="B61" s="1873"/>
      <c r="C61" s="1771" t="s">
        <v>3874</v>
      </c>
      <c r="D61" s="1730"/>
      <c r="E61" s="1873"/>
      <c r="F61" s="1873"/>
      <c r="G61" s="1872"/>
      <c r="H61" s="1873"/>
      <c r="I61" s="1730"/>
      <c r="J61" s="1873"/>
      <c r="K61" s="1872"/>
      <c r="L61" s="1873"/>
      <c r="M61" s="1873"/>
      <c r="N61" s="1873"/>
      <c r="O61" s="1873"/>
    </row>
    <row r="62" spans="1:15">
      <c r="A62" s="1872"/>
      <c r="B62" s="1873"/>
      <c r="C62" s="1771"/>
      <c r="D62" s="1730"/>
      <c r="E62" s="1873"/>
      <c r="F62" s="1873"/>
      <c r="G62" s="1872"/>
      <c r="H62" s="1873"/>
      <c r="I62" s="1730"/>
      <c r="J62" s="1873"/>
      <c r="K62" s="1872"/>
      <c r="L62" s="1873"/>
      <c r="M62" s="1873"/>
      <c r="N62" s="1873"/>
      <c r="O62" s="1873"/>
    </row>
    <row r="63" spans="1:15" ht="63.75">
      <c r="A63" s="1872">
        <v>6</v>
      </c>
      <c r="B63" s="1873"/>
      <c r="C63" s="1771" t="s">
        <v>3907</v>
      </c>
      <c r="D63" s="1771"/>
      <c r="E63" s="1771"/>
      <c r="F63" s="1771"/>
      <c r="G63" s="1771"/>
      <c r="H63" s="1771"/>
      <c r="I63" s="1730">
        <v>18</v>
      </c>
      <c r="J63" s="1872" t="s">
        <v>501</v>
      </c>
      <c r="K63" s="1930">
        <v>650</v>
      </c>
      <c r="L63" s="1876">
        <f t="shared" ref="L63" si="88">ROUND(I63*K63,0)</f>
        <v>11700</v>
      </c>
      <c r="M63" s="1876">
        <f t="shared" ref="M63" si="89">IF(L63&gt;H63,L63-H63,0)</f>
        <v>11700</v>
      </c>
      <c r="N63" s="1876">
        <f t="shared" ref="N63" si="90">IF(H63&gt;L63,H63-L63,0)</f>
        <v>0</v>
      </c>
      <c r="O63" s="1967" t="s">
        <v>3856</v>
      </c>
    </row>
    <row r="64" spans="1:15" ht="14.25">
      <c r="A64" s="1872"/>
      <c r="B64" s="1873"/>
      <c r="C64" s="1771"/>
      <c r="D64" s="1771"/>
      <c r="E64" s="1771"/>
      <c r="F64" s="1771"/>
      <c r="G64" s="1771"/>
      <c r="H64" s="1771"/>
      <c r="I64" s="1730"/>
      <c r="J64" s="1872"/>
      <c r="K64" s="1930"/>
      <c r="L64" s="1876"/>
      <c r="M64" s="1876"/>
      <c r="N64" s="1876"/>
      <c r="O64" s="1967"/>
    </row>
    <row r="65" spans="1:15" ht="63.75">
      <c r="A65" s="1872">
        <v>7</v>
      </c>
      <c r="B65" s="1873"/>
      <c r="C65" s="1771" t="s">
        <v>3907</v>
      </c>
      <c r="D65" s="1771"/>
      <c r="E65" s="1771"/>
      <c r="F65" s="1771"/>
      <c r="G65" s="1771"/>
      <c r="H65" s="1771"/>
      <c r="I65" s="1730">
        <v>3</v>
      </c>
      <c r="J65" s="1872" t="s">
        <v>501</v>
      </c>
      <c r="K65" s="1930">
        <v>2100</v>
      </c>
      <c r="L65" s="1876">
        <f t="shared" ref="L65" si="91">ROUND(I65*K65,0)</f>
        <v>6300</v>
      </c>
      <c r="M65" s="1876">
        <f t="shared" ref="M65" si="92">IF(L65&gt;H65,L65-H65,0)</f>
        <v>6300</v>
      </c>
      <c r="N65" s="1876">
        <f t="shared" ref="N65" si="93">IF(H65&gt;L65,H65-L65,0)</f>
        <v>0</v>
      </c>
      <c r="O65" s="1967" t="s">
        <v>3856</v>
      </c>
    </row>
    <row r="66" spans="1:15">
      <c r="A66" s="1872"/>
      <c r="B66" s="1873"/>
      <c r="C66" s="1881" t="s">
        <v>3810</v>
      </c>
      <c r="D66" s="1730"/>
      <c r="E66" s="1873"/>
      <c r="F66" s="1873"/>
      <c r="G66" s="1872"/>
      <c r="H66" s="1873"/>
      <c r="I66" s="1730"/>
      <c r="J66" s="1873"/>
      <c r="K66" s="1872"/>
      <c r="L66" s="1931">
        <f>SUM(L51:L65)</f>
        <v>256709</v>
      </c>
      <c r="M66" s="1931">
        <f>SUM(M51:M65)</f>
        <v>256709</v>
      </c>
      <c r="N66" s="1931">
        <f>SUM(N51:N63)</f>
        <v>0</v>
      </c>
      <c r="O66" s="1873"/>
    </row>
    <row r="67" spans="1:15">
      <c r="A67" s="1872"/>
      <c r="B67" s="1873"/>
      <c r="C67" s="1771"/>
      <c r="D67" s="1873"/>
      <c r="E67" s="1873"/>
      <c r="F67" s="1873"/>
      <c r="G67" s="1872"/>
      <c r="H67" s="1873"/>
      <c r="I67" s="1873"/>
      <c r="J67" s="1873"/>
      <c r="K67" s="1872"/>
      <c r="L67" s="1873"/>
      <c r="M67" s="1873"/>
      <c r="N67" s="1873"/>
      <c r="O67" s="1873"/>
    </row>
    <row r="68" spans="1:15">
      <c r="A68" s="1872"/>
      <c r="B68" s="1873"/>
      <c r="C68" s="1859" t="s">
        <v>3690</v>
      </c>
      <c r="D68" s="1873"/>
      <c r="E68" s="1873"/>
      <c r="F68" s="1873"/>
      <c r="G68" s="1872"/>
      <c r="H68" s="1873"/>
      <c r="I68" s="1873"/>
      <c r="J68" s="1873"/>
      <c r="K68" s="1872"/>
      <c r="L68" s="1873"/>
      <c r="M68" s="1873"/>
      <c r="N68" s="1873"/>
      <c r="O68" s="1873"/>
    </row>
    <row r="69" spans="1:15" ht="89.25">
      <c r="A69" s="1872">
        <f>A68+1</f>
        <v>1</v>
      </c>
      <c r="B69" s="1873"/>
      <c r="C69" s="1771" t="s">
        <v>3708</v>
      </c>
      <c r="D69" s="1730">
        <v>30</v>
      </c>
      <c r="E69" s="1872" t="s">
        <v>3834</v>
      </c>
      <c r="F69" s="1872" t="s">
        <v>1308</v>
      </c>
      <c r="G69" s="1872">
        <v>171</v>
      </c>
      <c r="H69" s="1876">
        <f t="shared" ref="H69" si="94">ROUND(G69*D69,0)</f>
        <v>5130</v>
      </c>
      <c r="I69" s="1730">
        <v>20</v>
      </c>
      <c r="J69" s="1872" t="s">
        <v>1308</v>
      </c>
      <c r="K69" s="1872">
        <v>171</v>
      </c>
      <c r="L69" s="1876">
        <f t="shared" ref="L69" si="95">ROUND(I69*K69,0)</f>
        <v>3420</v>
      </c>
      <c r="M69" s="1876">
        <f t="shared" ref="M69" si="96">IF(L69&gt;H69,L69-H69,0)</f>
        <v>0</v>
      </c>
      <c r="N69" s="1876">
        <f t="shared" ref="N69" si="97">IF(H69&gt;L69,H69-L69,0)</f>
        <v>1710</v>
      </c>
      <c r="O69" s="1873"/>
    </row>
    <row r="70" spans="1:15">
      <c r="A70" s="1872"/>
      <c r="B70" s="1873"/>
      <c r="C70" s="1771" t="s">
        <v>3875</v>
      </c>
      <c r="D70" s="1730"/>
      <c r="E70" s="1873"/>
      <c r="F70" s="1873"/>
      <c r="G70" s="1872"/>
      <c r="H70" s="1873"/>
      <c r="I70" s="1730"/>
      <c r="J70" s="1873"/>
      <c r="K70" s="1872"/>
      <c r="L70" s="1873"/>
      <c r="M70" s="1873"/>
      <c r="N70" s="1873"/>
      <c r="O70" s="1873"/>
    </row>
    <row r="71" spans="1:15" ht="140.25">
      <c r="A71" s="1872">
        <f>A70+2</f>
        <v>2</v>
      </c>
      <c r="B71" s="1873"/>
      <c r="C71" s="1771" t="s">
        <v>3709</v>
      </c>
      <c r="D71" s="1730">
        <v>3</v>
      </c>
      <c r="E71" s="1872" t="s">
        <v>3834</v>
      </c>
      <c r="F71" s="1872" t="s">
        <v>501</v>
      </c>
      <c r="G71" s="1872">
        <v>2841</v>
      </c>
      <c r="H71" s="1876">
        <f t="shared" ref="H71" si="98">ROUND(G71*D71,0)</f>
        <v>8523</v>
      </c>
      <c r="I71" s="1730">
        <v>3</v>
      </c>
      <c r="J71" s="1872" t="s">
        <v>501</v>
      </c>
      <c r="K71" s="1872">
        <v>2841</v>
      </c>
      <c r="L71" s="1876">
        <f t="shared" ref="L71" si="99">ROUND(I71*K71,0)</f>
        <v>8523</v>
      </c>
      <c r="M71" s="1876">
        <f t="shared" ref="M71" si="100">IF(L71&gt;H71,L71-H71,0)</f>
        <v>0</v>
      </c>
      <c r="N71" s="1876">
        <f t="shared" ref="N71" si="101">IF(H71&gt;L71,H71-L71,0)</f>
        <v>0</v>
      </c>
      <c r="O71" s="1873"/>
    </row>
    <row r="72" spans="1:15" ht="14.25">
      <c r="A72" s="1872"/>
      <c r="B72" s="1873"/>
      <c r="C72" s="1953" t="s">
        <v>3839</v>
      </c>
      <c r="D72" s="1730"/>
      <c r="E72" s="1873"/>
      <c r="F72" s="1873"/>
      <c r="G72" s="1872"/>
      <c r="H72" s="1876"/>
      <c r="I72" s="1730">
        <v>1</v>
      </c>
      <c r="J72" s="1873"/>
      <c r="K72" s="1872">
        <v>2841</v>
      </c>
      <c r="L72" s="1876">
        <f t="shared" ref="L72" si="102">ROUND(I72*K72,0)</f>
        <v>2841</v>
      </c>
      <c r="M72" s="1876">
        <f t="shared" ref="M72" si="103">IF(L72&gt;H72,L72-H72,0)</f>
        <v>2841</v>
      </c>
      <c r="N72" s="1876">
        <f t="shared" ref="N72" si="104">IF(H72&gt;L72,H72-L72,0)</f>
        <v>0</v>
      </c>
      <c r="O72" s="1873"/>
    </row>
    <row r="73" spans="1:15">
      <c r="A73" s="1872"/>
      <c r="B73" s="1873"/>
      <c r="C73" s="1771" t="s">
        <v>3876</v>
      </c>
      <c r="D73" s="1730"/>
      <c r="E73" s="1873"/>
      <c r="F73" s="1873"/>
      <c r="G73" s="1872"/>
      <c r="H73" s="1873"/>
      <c r="I73" s="1730"/>
      <c r="J73" s="1873"/>
      <c r="K73" s="1872"/>
      <c r="L73" s="1873"/>
      <c r="M73" s="1873"/>
      <c r="N73" s="1873"/>
      <c r="O73" s="1873"/>
    </row>
    <row r="74" spans="1:15" ht="38.25">
      <c r="A74" s="1872">
        <f>A73+3</f>
        <v>3</v>
      </c>
      <c r="B74" s="1873"/>
      <c r="C74" s="1771" t="s">
        <v>3691</v>
      </c>
      <c r="D74" s="1730">
        <v>3</v>
      </c>
      <c r="E74" s="1872" t="s">
        <v>3834</v>
      </c>
      <c r="F74" s="1872" t="s">
        <v>501</v>
      </c>
      <c r="G74" s="1872">
        <v>652</v>
      </c>
      <c r="H74" s="1876">
        <f t="shared" ref="H74" si="105">ROUND(G74*D74,0)</f>
        <v>1956</v>
      </c>
      <c r="I74" s="1730"/>
      <c r="J74" s="1872" t="s">
        <v>501</v>
      </c>
      <c r="K74" s="1872">
        <v>652</v>
      </c>
      <c r="L74" s="1876">
        <f t="shared" ref="L74" si="106">ROUND(I74*K74,0)</f>
        <v>0</v>
      </c>
      <c r="M74" s="1876">
        <f t="shared" ref="M74" si="107">IF(L74&gt;H74,L74-H74,0)</f>
        <v>0</v>
      </c>
      <c r="N74" s="1876">
        <f t="shared" ref="N74" si="108">IF(H74&gt;L74,H74-L74,0)</f>
        <v>1956</v>
      </c>
      <c r="O74" s="1873"/>
    </row>
    <row r="75" spans="1:15">
      <c r="A75" s="1872"/>
      <c r="B75" s="1873"/>
      <c r="C75" s="1771" t="s">
        <v>3877</v>
      </c>
      <c r="D75" s="1730"/>
      <c r="E75" s="1873"/>
      <c r="F75" s="1873"/>
      <c r="G75" s="1872"/>
      <c r="H75" s="1873"/>
      <c r="I75" s="1730"/>
      <c r="J75" s="1873"/>
      <c r="K75" s="1872"/>
      <c r="L75" s="1873"/>
      <c r="M75" s="1873"/>
      <c r="N75" s="1873"/>
      <c r="O75" s="1873"/>
    </row>
    <row r="76" spans="1:15" ht="63.75">
      <c r="A76" s="1872">
        <f>A75+4</f>
        <v>4</v>
      </c>
      <c r="B76" s="1873"/>
      <c r="C76" s="1771" t="s">
        <v>3710</v>
      </c>
      <c r="D76" s="1730">
        <v>3</v>
      </c>
      <c r="E76" s="1872" t="s">
        <v>3834</v>
      </c>
      <c r="F76" s="1872" t="s">
        <v>501</v>
      </c>
      <c r="G76" s="1872">
        <v>287</v>
      </c>
      <c r="H76" s="1876">
        <f t="shared" ref="H76" si="109">ROUND(G76*D76,0)</f>
        <v>861</v>
      </c>
      <c r="I76" s="1730">
        <v>3</v>
      </c>
      <c r="J76" s="1872" t="s">
        <v>501</v>
      </c>
      <c r="K76" s="1872">
        <v>287</v>
      </c>
      <c r="L76" s="1876">
        <f t="shared" ref="L76" si="110">ROUND(I76*K76,0)</f>
        <v>861</v>
      </c>
      <c r="M76" s="1876">
        <f t="shared" ref="M76" si="111">IF(L76&gt;H76,L76-H76,0)</f>
        <v>0</v>
      </c>
      <c r="N76" s="1876">
        <f t="shared" ref="N76" si="112">IF(H76&gt;L76,H76-L76,0)</f>
        <v>0</v>
      </c>
      <c r="O76" s="1873"/>
    </row>
    <row r="77" spans="1:15">
      <c r="A77" s="1872"/>
      <c r="B77" s="1873"/>
      <c r="C77" s="1771" t="s">
        <v>3877</v>
      </c>
      <c r="D77" s="1730"/>
      <c r="E77" s="1873"/>
      <c r="F77" s="1873"/>
      <c r="G77" s="1872"/>
      <c r="H77" s="1873"/>
      <c r="I77" s="1730"/>
      <c r="J77" s="1873"/>
      <c r="K77" s="1872"/>
      <c r="L77" s="1873"/>
      <c r="M77" s="1873"/>
      <c r="N77" s="1873"/>
      <c r="O77" s="1873"/>
    </row>
    <row r="78" spans="1:15" ht="51">
      <c r="A78" s="1872">
        <f>A77+5</f>
        <v>5</v>
      </c>
      <c r="B78" s="1873"/>
      <c r="C78" s="1771" t="s">
        <v>3711</v>
      </c>
      <c r="D78" s="1730">
        <v>5</v>
      </c>
      <c r="E78" s="1872" t="s">
        <v>3834</v>
      </c>
      <c r="F78" s="1872" t="s">
        <v>501</v>
      </c>
      <c r="G78" s="1872">
        <v>165</v>
      </c>
      <c r="H78" s="1876">
        <f t="shared" ref="H78" si="113">ROUND(G78*D78,0)</f>
        <v>825</v>
      </c>
      <c r="I78" s="1730">
        <v>4</v>
      </c>
      <c r="J78" s="1872" t="s">
        <v>501</v>
      </c>
      <c r="K78" s="1872">
        <v>165</v>
      </c>
      <c r="L78" s="1876">
        <f t="shared" ref="L78" si="114">ROUND(I78*K78,0)</f>
        <v>660</v>
      </c>
      <c r="M78" s="1876">
        <f t="shared" ref="M78" si="115">IF(L78&gt;H78,L78-H78,0)</f>
        <v>0</v>
      </c>
      <c r="N78" s="1876">
        <f t="shared" ref="N78" si="116">IF(H78&gt;L78,H78-L78,0)</f>
        <v>165</v>
      </c>
      <c r="O78" s="1873"/>
    </row>
    <row r="79" spans="1:15">
      <c r="A79" s="1872"/>
      <c r="B79" s="1873"/>
      <c r="C79" s="1771" t="s">
        <v>3878</v>
      </c>
      <c r="D79" s="1730"/>
      <c r="E79" s="1873"/>
      <c r="F79" s="1873"/>
      <c r="G79" s="1872"/>
      <c r="H79" s="1873"/>
      <c r="I79" s="1730"/>
      <c r="J79" s="1873"/>
      <c r="K79" s="1872"/>
      <c r="L79" s="1873"/>
      <c r="M79" s="1873"/>
      <c r="N79" s="1873"/>
      <c r="O79" s="1873"/>
    </row>
    <row r="80" spans="1:15" ht="102">
      <c r="A80" s="1872">
        <f>A79+6</f>
        <v>6</v>
      </c>
      <c r="B80" s="1873"/>
      <c r="C80" s="1771" t="s">
        <v>3712</v>
      </c>
      <c r="D80" s="1730">
        <v>25</v>
      </c>
      <c r="E80" s="1872" t="s">
        <v>3834</v>
      </c>
      <c r="F80" s="1872" t="s">
        <v>501</v>
      </c>
      <c r="G80" s="1872">
        <v>332</v>
      </c>
      <c r="H80" s="1876">
        <f t="shared" ref="H80" si="117">ROUND(G80*D80,0)</f>
        <v>8300</v>
      </c>
      <c r="I80" s="1730">
        <v>25</v>
      </c>
      <c r="J80" s="1872" t="s">
        <v>501</v>
      </c>
      <c r="K80" s="1872">
        <v>332</v>
      </c>
      <c r="L80" s="1876">
        <f t="shared" ref="L80" si="118">ROUND(I80*K80,0)</f>
        <v>8300</v>
      </c>
      <c r="M80" s="1876">
        <f t="shared" ref="M80" si="119">IF(L80&gt;H80,L80-H80,0)</f>
        <v>0</v>
      </c>
      <c r="N80" s="1876">
        <f t="shared" ref="N80" si="120">IF(H80&gt;L80,H80-L80,0)</f>
        <v>0</v>
      </c>
      <c r="O80" s="1873"/>
    </row>
    <row r="81" spans="1:15" ht="14.25">
      <c r="A81" s="1872"/>
      <c r="B81" s="1873"/>
      <c r="C81" s="1953" t="s">
        <v>3839</v>
      </c>
      <c r="D81" s="1730"/>
      <c r="E81" s="1873"/>
      <c r="F81" s="1873"/>
      <c r="G81" s="1872"/>
      <c r="H81" s="1876"/>
      <c r="I81" s="1730">
        <f>47.2-I80</f>
        <v>22.200000000000003</v>
      </c>
      <c r="J81" s="1873"/>
      <c r="K81" s="1872">
        <v>332</v>
      </c>
      <c r="L81" s="1876">
        <f t="shared" ref="L81" si="121">ROUND(I81*K81,0)</f>
        <v>7370</v>
      </c>
      <c r="M81" s="1876">
        <f t="shared" ref="M81" si="122">IF(L81&gt;H81,L81-H81,0)</f>
        <v>7370</v>
      </c>
      <c r="N81" s="1876">
        <f t="shared" ref="N81" si="123">IF(H81&gt;L81,H81-L81,0)</f>
        <v>0</v>
      </c>
      <c r="O81" s="1873"/>
    </row>
    <row r="82" spans="1:15" ht="14.25">
      <c r="A82" s="1872"/>
      <c r="B82" s="1873"/>
      <c r="C82" s="1771" t="s">
        <v>3878</v>
      </c>
      <c r="D82" s="1730"/>
      <c r="E82" s="1873"/>
      <c r="F82" s="1873"/>
      <c r="G82" s="1872"/>
      <c r="H82" s="1876"/>
      <c r="I82" s="1730"/>
      <c r="J82" s="1873"/>
      <c r="K82" s="1872"/>
      <c r="L82" s="1876"/>
      <c r="M82" s="1876"/>
      <c r="N82" s="1876"/>
      <c r="O82" s="1873"/>
    </row>
    <row r="83" spans="1:15">
      <c r="A83" s="1872"/>
      <c r="B83" s="1873"/>
      <c r="C83" s="1881" t="s">
        <v>3737</v>
      </c>
      <c r="D83" s="1873"/>
      <c r="E83" s="1873"/>
      <c r="F83" s="1873"/>
      <c r="G83" s="1872"/>
      <c r="H83" s="1880">
        <f>SUM(H69:H80)</f>
        <v>25595</v>
      </c>
      <c r="I83" s="1873"/>
      <c r="J83" s="1873"/>
      <c r="K83" s="1872"/>
      <c r="L83" s="1880">
        <f>SUM(L69:L81)</f>
        <v>31975</v>
      </c>
      <c r="M83" s="1880">
        <f>SUM(M69:M81)</f>
        <v>10211</v>
      </c>
      <c r="N83" s="1880">
        <f>SUM(N69:N81)</f>
        <v>3831</v>
      </c>
      <c r="O83" s="1873"/>
    </row>
    <row r="84" spans="1:15">
      <c r="A84" s="1872"/>
      <c r="B84" s="1873"/>
      <c r="C84" s="1771"/>
      <c r="D84" s="1873"/>
      <c r="E84" s="1873"/>
      <c r="F84" s="1873"/>
      <c r="G84" s="1872"/>
      <c r="H84" s="1880"/>
      <c r="I84" s="1873"/>
      <c r="J84" s="1873"/>
      <c r="K84" s="1872"/>
      <c r="L84" s="1873"/>
      <c r="M84" s="1873"/>
      <c r="N84" s="1873"/>
      <c r="O84" s="1873"/>
    </row>
    <row r="85" spans="1:15">
      <c r="A85" s="1872"/>
      <c r="B85" s="1873"/>
      <c r="C85" s="1859" t="s">
        <v>3811</v>
      </c>
      <c r="D85" s="1873"/>
      <c r="E85" s="1873"/>
      <c r="F85" s="1873"/>
      <c r="G85" s="1872"/>
      <c r="H85" s="1880"/>
      <c r="I85" s="1873"/>
      <c r="J85" s="1873"/>
      <c r="K85" s="1872"/>
      <c r="L85" s="1873"/>
      <c r="M85" s="1873"/>
      <c r="N85" s="1873"/>
      <c r="O85" s="1873"/>
    </row>
    <row r="86" spans="1:15" ht="140.25">
      <c r="A86" s="1872">
        <f>A85+1</f>
        <v>1</v>
      </c>
      <c r="B86" s="1873"/>
      <c r="C86" s="1771" t="s">
        <v>3605</v>
      </c>
      <c r="D86" s="1771"/>
      <c r="E86" s="1771"/>
      <c r="F86" s="1771"/>
      <c r="G86" s="1771"/>
      <c r="H86" s="1771"/>
      <c r="I86" s="1730">
        <v>2</v>
      </c>
      <c r="J86" s="1872" t="s">
        <v>501</v>
      </c>
      <c r="K86" s="1932">
        <f>'WS Data'!I121</f>
        <v>6452</v>
      </c>
      <c r="L86" s="1876">
        <f t="shared" ref="L86" si="124">ROUND(I86*K86,0)</f>
        <v>12904</v>
      </c>
      <c r="M86" s="1876">
        <f t="shared" ref="M86" si="125">IF(L86&gt;H86,L86-H86,0)</f>
        <v>12904</v>
      </c>
      <c r="N86" s="1876">
        <f t="shared" ref="N86" si="126">IF(H86&gt;L86,H86-L86,0)</f>
        <v>0</v>
      </c>
      <c r="O86" s="1873"/>
    </row>
    <row r="87" spans="1:15">
      <c r="A87" s="1872"/>
      <c r="B87" s="1873"/>
      <c r="C87" s="1771" t="s">
        <v>3879</v>
      </c>
      <c r="D87" s="1873"/>
      <c r="E87" s="1873"/>
      <c r="F87" s="1873"/>
      <c r="G87" s="1872"/>
      <c r="H87" s="1880"/>
      <c r="I87" s="1873"/>
      <c r="J87" s="1873"/>
      <c r="K87" s="1872"/>
      <c r="L87" s="1873"/>
      <c r="M87" s="1873"/>
      <c r="N87" s="1873"/>
      <c r="O87" s="1873"/>
    </row>
    <row r="88" spans="1:15" ht="82.5">
      <c r="A88" s="1872">
        <f>A87+2</f>
        <v>2</v>
      </c>
      <c r="B88" s="1873"/>
      <c r="C88" s="1771" t="s">
        <v>3618</v>
      </c>
      <c r="D88" s="1771"/>
      <c r="E88" s="1771"/>
      <c r="F88" s="1771"/>
      <c r="G88" s="1771"/>
      <c r="H88" s="1771"/>
      <c r="I88" s="1730">
        <v>3</v>
      </c>
      <c r="J88" s="1872" t="s">
        <v>501</v>
      </c>
      <c r="K88" s="1932">
        <f>'WS Data'!I207</f>
        <v>3892</v>
      </c>
      <c r="L88" s="1876">
        <f t="shared" ref="L88" si="127">ROUND(I88*K88,0)</f>
        <v>11676</v>
      </c>
      <c r="M88" s="1876">
        <f t="shared" ref="M88" si="128">IF(L88&gt;H88,L88-H88,0)</f>
        <v>11676</v>
      </c>
      <c r="N88" s="1876">
        <f t="shared" ref="N88" si="129">IF(H88&gt;L88,H88-L88,0)</f>
        <v>0</v>
      </c>
      <c r="O88" s="1873"/>
    </row>
    <row r="89" spans="1:15">
      <c r="A89" s="1872"/>
      <c r="B89" s="1873"/>
      <c r="C89" s="1771" t="s">
        <v>3879</v>
      </c>
      <c r="D89" s="1873"/>
      <c r="E89" s="1873"/>
      <c r="F89" s="1873"/>
      <c r="G89" s="1872"/>
      <c r="H89" s="1880"/>
      <c r="I89" s="1873"/>
      <c r="J89" s="1873"/>
      <c r="K89" s="1872"/>
      <c r="L89" s="1873"/>
      <c r="M89" s="1873"/>
      <c r="N89" s="1873"/>
      <c r="O89" s="1873"/>
    </row>
    <row r="90" spans="1:15" ht="128.25">
      <c r="A90" s="1872">
        <f>A89+3</f>
        <v>3</v>
      </c>
      <c r="B90" s="1873"/>
      <c r="C90" s="1771" t="s">
        <v>3567</v>
      </c>
      <c r="D90" s="1771"/>
      <c r="E90" s="1771"/>
      <c r="F90" s="1771"/>
      <c r="G90" s="1771"/>
      <c r="H90" s="1771"/>
      <c r="I90" s="1873"/>
      <c r="J90" s="1872"/>
      <c r="K90" s="1872"/>
      <c r="L90" s="1873"/>
      <c r="M90" s="1873"/>
      <c r="N90" s="1873"/>
      <c r="O90" s="1873"/>
    </row>
    <row r="91" spans="1:15" ht="15">
      <c r="A91" s="1872"/>
      <c r="B91" s="1873"/>
      <c r="C91" s="1916" t="s">
        <v>2410</v>
      </c>
      <c r="D91" s="1771"/>
      <c r="E91" s="1771"/>
      <c r="F91" s="1771"/>
      <c r="G91" s="1771"/>
      <c r="H91" s="1771"/>
      <c r="I91" s="1730">
        <v>30</v>
      </c>
      <c r="J91" s="1872" t="s">
        <v>1308</v>
      </c>
      <c r="K91" s="1932">
        <f>'WS Data'!I220</f>
        <v>278</v>
      </c>
      <c r="L91" s="1876">
        <f t="shared" ref="L91" si="130">ROUND(I91*K91,0)</f>
        <v>8340</v>
      </c>
      <c r="M91" s="1876">
        <f t="shared" ref="M91" si="131">IF(L91&gt;H91,L91-H91,0)</f>
        <v>8340</v>
      </c>
      <c r="N91" s="1876">
        <f t="shared" ref="N91" si="132">IF(H91&gt;L91,H91-L91,0)</f>
        <v>0</v>
      </c>
      <c r="O91" s="1873"/>
    </row>
    <row r="92" spans="1:15" ht="14.25">
      <c r="A92" s="1872"/>
      <c r="B92" s="1873"/>
      <c r="C92" s="1771" t="s">
        <v>3880</v>
      </c>
      <c r="D92" s="1771"/>
      <c r="E92" s="1771"/>
      <c r="F92" s="1771"/>
      <c r="G92" s="1771"/>
      <c r="H92" s="1771"/>
      <c r="I92" s="1730"/>
      <c r="J92" s="1873"/>
      <c r="K92" s="1932"/>
      <c r="L92" s="1876"/>
      <c r="M92" s="1876"/>
      <c r="N92" s="1876"/>
      <c r="O92" s="1873"/>
    </row>
    <row r="93" spans="1:15" ht="114.75">
      <c r="A93" s="1872">
        <f>A92+4</f>
        <v>4</v>
      </c>
      <c r="B93" s="1873"/>
      <c r="C93" s="1771" t="s">
        <v>3908</v>
      </c>
      <c r="D93" s="1771"/>
      <c r="E93" s="1771"/>
      <c r="F93" s="1771"/>
      <c r="G93" s="1771"/>
      <c r="H93" s="1771"/>
      <c r="I93" s="1730">
        <v>3</v>
      </c>
      <c r="J93" s="1872" t="s">
        <v>501</v>
      </c>
      <c r="K93" s="1932">
        <f>'WS Data'!I59</f>
        <v>5054</v>
      </c>
      <c r="L93" s="1876">
        <f t="shared" ref="L93" si="133">ROUND(I93*K93,0)</f>
        <v>15162</v>
      </c>
      <c r="M93" s="1876">
        <f t="shared" ref="M93" si="134">IF(L93&gt;H93,L93-H93,0)</f>
        <v>15162</v>
      </c>
      <c r="N93" s="1876">
        <f t="shared" ref="N93" si="135">IF(H93&gt;L93,H93-L93,0)</f>
        <v>0</v>
      </c>
      <c r="O93" s="1873"/>
    </row>
    <row r="94" spans="1:15" ht="14.25">
      <c r="A94" s="1872"/>
      <c r="B94" s="1873"/>
      <c r="C94" s="1771" t="s">
        <v>3881</v>
      </c>
      <c r="D94" s="1771"/>
      <c r="E94" s="1771"/>
      <c r="F94" s="1771"/>
      <c r="G94" s="1771"/>
      <c r="H94" s="1771"/>
      <c r="I94" s="1730"/>
      <c r="J94" s="1873"/>
      <c r="K94" s="1932"/>
      <c r="L94" s="1876"/>
      <c r="M94" s="1876"/>
      <c r="N94" s="1876"/>
      <c r="O94" s="1873"/>
    </row>
    <row r="95" spans="1:15" ht="69.75">
      <c r="A95" s="1872">
        <f>A94+5</f>
        <v>5</v>
      </c>
      <c r="B95" s="1873"/>
      <c r="C95" s="1771" t="s">
        <v>3818</v>
      </c>
      <c r="D95" s="1771"/>
      <c r="E95" s="1771"/>
      <c r="F95" s="1771"/>
      <c r="G95" s="1771"/>
      <c r="H95" s="1771"/>
      <c r="I95" s="1730">
        <v>2</v>
      </c>
      <c r="J95" s="1872" t="s">
        <v>501</v>
      </c>
      <c r="K95" s="1932">
        <f>'WS Data'!I495</f>
        <v>2614</v>
      </c>
      <c r="L95" s="1876">
        <f t="shared" ref="L95" si="136">ROUND(I95*K95,0)</f>
        <v>5228</v>
      </c>
      <c r="M95" s="1876">
        <f t="shared" ref="M95" si="137">IF(L95&gt;H95,L95-H95,0)</f>
        <v>5228</v>
      </c>
      <c r="N95" s="1876">
        <f t="shared" ref="N95" si="138">IF(H95&gt;L95,H95-L95,0)</f>
        <v>0</v>
      </c>
      <c r="O95" s="1873"/>
    </row>
    <row r="96" spans="1:15">
      <c r="A96" s="1872"/>
      <c r="B96" s="1873"/>
      <c r="C96" s="1771" t="s">
        <v>3882</v>
      </c>
      <c r="D96" s="1873"/>
      <c r="E96" s="1873"/>
      <c r="F96" s="1873"/>
      <c r="G96" s="1872"/>
      <c r="H96" s="1880"/>
      <c r="I96" s="1873"/>
      <c r="J96" s="1873"/>
      <c r="K96" s="1872"/>
      <c r="L96" s="1873"/>
      <c r="M96" s="1873"/>
      <c r="N96" s="1873"/>
      <c r="O96" s="1873"/>
    </row>
    <row r="97" spans="1:15">
      <c r="A97" s="1872"/>
      <c r="B97" s="1873"/>
      <c r="C97" s="1859" t="s">
        <v>3812</v>
      </c>
      <c r="D97" s="1873"/>
      <c r="E97" s="1873"/>
      <c r="F97" s="1873"/>
      <c r="G97" s="1872"/>
      <c r="H97" s="1880"/>
      <c r="I97" s="1873"/>
      <c r="J97" s="1873"/>
      <c r="K97" s="1872"/>
      <c r="L97" s="1951">
        <f>SUM(L86:L96)</f>
        <v>53310</v>
      </c>
      <c r="M97" s="1951">
        <f>SUM(M86:M96)</f>
        <v>53310</v>
      </c>
      <c r="N97" s="1873">
        <f>SUM(N86:N96)</f>
        <v>0</v>
      </c>
      <c r="O97" s="1873"/>
    </row>
    <row r="98" spans="1:15">
      <c r="A98" s="1872"/>
      <c r="B98" s="1873"/>
      <c r="C98" s="1771"/>
      <c r="D98" s="1873"/>
      <c r="E98" s="1873"/>
      <c r="F98" s="1873"/>
      <c r="G98" s="1872"/>
      <c r="H98" s="1880"/>
      <c r="I98" s="1873"/>
      <c r="J98" s="1873"/>
      <c r="K98" s="1872"/>
      <c r="L98" s="1873"/>
      <c r="M98" s="1873"/>
      <c r="N98" s="1873"/>
      <c r="O98" s="1873"/>
    </row>
    <row r="99" spans="1:15">
      <c r="A99" s="1872"/>
      <c r="B99" s="1873"/>
      <c r="C99" s="1863" t="s">
        <v>3713</v>
      </c>
      <c r="D99" s="1873"/>
      <c r="E99" s="1873"/>
      <c r="F99" s="1873"/>
      <c r="G99" s="1872"/>
      <c r="H99" s="1873"/>
      <c r="I99" s="1873"/>
      <c r="J99" s="1873"/>
      <c r="K99" s="1872"/>
      <c r="L99" s="1873"/>
      <c r="M99" s="1873"/>
      <c r="N99" s="1873"/>
      <c r="O99" s="1873"/>
    </row>
    <row r="100" spans="1:15" ht="76.5">
      <c r="A100" s="1872">
        <f>A99+1</f>
        <v>1</v>
      </c>
      <c r="B100" s="1873"/>
      <c r="C100" s="1864" t="s">
        <v>2769</v>
      </c>
      <c r="D100" s="1730">
        <v>65</v>
      </c>
      <c r="E100" s="1872" t="s">
        <v>3834</v>
      </c>
      <c r="F100" s="1872" t="s">
        <v>1308</v>
      </c>
      <c r="G100" s="1872">
        <v>86</v>
      </c>
      <c r="H100" s="1876">
        <f t="shared" ref="H100" si="139">ROUND(G100*D100,0)</f>
        <v>5590</v>
      </c>
      <c r="I100" s="1730">
        <v>65</v>
      </c>
      <c r="J100" s="1872" t="s">
        <v>1308</v>
      </c>
      <c r="K100" s="1872">
        <v>86</v>
      </c>
      <c r="L100" s="1876">
        <f t="shared" ref="L100" si="140">ROUND(I100*K100,0)</f>
        <v>5590</v>
      </c>
      <c r="M100" s="1876">
        <f t="shared" ref="M100" si="141">IF(L100&gt;H100,L100-H100,0)</f>
        <v>0</v>
      </c>
      <c r="N100" s="1876">
        <f t="shared" ref="N100" si="142">IF(H100&gt;L100,H100-L100,0)</f>
        <v>0</v>
      </c>
      <c r="O100" s="1873"/>
    </row>
    <row r="101" spans="1:15" ht="14.25">
      <c r="A101" s="1872"/>
      <c r="B101" s="1873"/>
      <c r="C101" s="1771" t="s">
        <v>3883</v>
      </c>
      <c r="D101" s="1730"/>
      <c r="E101" s="1872"/>
      <c r="F101" s="1872"/>
      <c r="G101" s="1872"/>
      <c r="H101" s="1876"/>
      <c r="I101" s="1730"/>
      <c r="J101" s="1872"/>
      <c r="K101" s="1872"/>
      <c r="L101" s="1876"/>
      <c r="M101" s="1876"/>
      <c r="N101" s="1876"/>
      <c r="O101" s="1873"/>
    </row>
    <row r="102" spans="1:15" ht="14.25">
      <c r="A102" s="1872"/>
      <c r="B102" s="1873"/>
      <c r="C102" s="1953" t="s">
        <v>3839</v>
      </c>
      <c r="D102" s="1730"/>
      <c r="E102" s="1873"/>
      <c r="F102" s="1873"/>
      <c r="G102" s="1872"/>
      <c r="H102" s="1873"/>
      <c r="I102" s="1730">
        <v>47.2</v>
      </c>
      <c r="J102" s="1873"/>
      <c r="K102" s="1872">
        <v>86</v>
      </c>
      <c r="L102" s="1876">
        <f t="shared" ref="L102" si="143">ROUND(I102*K102,0)</f>
        <v>4059</v>
      </c>
      <c r="M102" s="1876">
        <f t="shared" ref="M102" si="144">IF(L102&gt;H102,L102-H102,0)</f>
        <v>4059</v>
      </c>
      <c r="N102" s="1876">
        <f t="shared" ref="N102" si="145">IF(H102&gt;L102,H102-L102,0)</f>
        <v>0</v>
      </c>
      <c r="O102" s="1873"/>
    </row>
    <row r="103" spans="1:15" ht="165.75">
      <c r="A103" s="1872">
        <f>A102+2</f>
        <v>2</v>
      </c>
      <c r="B103" s="1873"/>
      <c r="C103" s="1864" t="s">
        <v>3714</v>
      </c>
      <c r="D103" s="1730">
        <v>43</v>
      </c>
      <c r="E103" s="1872" t="s">
        <v>3834</v>
      </c>
      <c r="F103" s="1872" t="s">
        <v>501</v>
      </c>
      <c r="G103" s="1872">
        <v>800</v>
      </c>
      <c r="H103" s="1876">
        <f t="shared" ref="H103" si="146">ROUND(G103*D103,0)</f>
        <v>34400</v>
      </c>
      <c r="I103" s="1730">
        <v>33</v>
      </c>
      <c r="J103" s="1872" t="s">
        <v>501</v>
      </c>
      <c r="K103" s="1872">
        <v>800</v>
      </c>
      <c r="L103" s="1876">
        <f t="shared" ref="L103" si="147">ROUND(I103*K103,0)</f>
        <v>26400</v>
      </c>
      <c r="M103" s="1876">
        <f t="shared" ref="M103" si="148">IF(L103&gt;H103,L103-H103,0)</f>
        <v>0</v>
      </c>
      <c r="N103" s="1876">
        <f t="shared" ref="N103" si="149">IF(H103&gt;L103,H103-L103,0)</f>
        <v>8000</v>
      </c>
      <c r="O103" s="1873"/>
    </row>
    <row r="104" spans="1:15">
      <c r="A104" s="1872"/>
      <c r="B104" s="1873"/>
      <c r="C104" s="1771" t="s">
        <v>3884</v>
      </c>
      <c r="D104" s="1730"/>
      <c r="E104" s="1873"/>
      <c r="F104" s="1873"/>
      <c r="G104" s="1872"/>
      <c r="H104" s="1873"/>
      <c r="I104" s="1730"/>
      <c r="J104" s="1873"/>
      <c r="K104" s="1872"/>
      <c r="L104" s="1873"/>
      <c r="M104" s="1873"/>
      <c r="N104" s="1873"/>
      <c r="O104" s="1873"/>
    </row>
    <row r="105" spans="1:15" ht="102">
      <c r="A105" s="1872">
        <f>A104+3</f>
        <v>3</v>
      </c>
      <c r="B105" s="1873"/>
      <c r="C105" s="1864" t="s">
        <v>3716</v>
      </c>
      <c r="D105" s="1730">
        <v>7</v>
      </c>
      <c r="E105" s="1872" t="s">
        <v>3834</v>
      </c>
      <c r="F105" s="1872" t="s">
        <v>501</v>
      </c>
      <c r="G105" s="1872">
        <v>573</v>
      </c>
      <c r="H105" s="1876">
        <f t="shared" ref="H105" si="150">ROUND(G105*D105,0)</f>
        <v>4011</v>
      </c>
      <c r="I105" s="1730">
        <v>2</v>
      </c>
      <c r="J105" s="1872" t="s">
        <v>501</v>
      </c>
      <c r="K105" s="1872">
        <v>573</v>
      </c>
      <c r="L105" s="1876">
        <f t="shared" ref="L105" si="151">ROUND(I105*K105,0)</f>
        <v>1146</v>
      </c>
      <c r="M105" s="1876">
        <f t="shared" ref="M105" si="152">IF(L105&gt;H105,L105-H105,0)</f>
        <v>0</v>
      </c>
      <c r="N105" s="1876">
        <f t="shared" ref="N105" si="153">IF(H105&gt;L105,H105-L105,0)</f>
        <v>2865</v>
      </c>
      <c r="O105" s="1873"/>
    </row>
    <row r="106" spans="1:15">
      <c r="A106" s="1872"/>
      <c r="B106" s="1873"/>
      <c r="C106" s="1856"/>
      <c r="D106" s="1730"/>
      <c r="E106" s="1873"/>
      <c r="F106" s="1873"/>
      <c r="G106" s="1872"/>
      <c r="H106" s="1873"/>
      <c r="I106" s="1730"/>
      <c r="J106" s="1873"/>
      <c r="K106" s="1872"/>
      <c r="L106" s="1873"/>
      <c r="M106" s="1873"/>
      <c r="N106" s="1873"/>
      <c r="O106" s="1873"/>
    </row>
    <row r="107" spans="1:15" ht="102">
      <c r="A107" s="1872">
        <f>A106+4</f>
        <v>4</v>
      </c>
      <c r="B107" s="1873"/>
      <c r="C107" s="1864" t="s">
        <v>3717</v>
      </c>
      <c r="D107" s="1730">
        <v>8</v>
      </c>
      <c r="E107" s="1872" t="s">
        <v>3834</v>
      </c>
      <c r="F107" s="1872" t="s">
        <v>501</v>
      </c>
      <c r="G107" s="1872">
        <v>778</v>
      </c>
      <c r="H107" s="1876">
        <f t="shared" ref="H107" si="154">ROUND(G107*D107,0)</f>
        <v>6224</v>
      </c>
      <c r="I107" s="1730">
        <v>0</v>
      </c>
      <c r="J107" s="1872" t="s">
        <v>501</v>
      </c>
      <c r="K107" s="1872">
        <v>778</v>
      </c>
      <c r="L107" s="1876">
        <f t="shared" ref="L107" si="155">ROUND(I107*K107,0)</f>
        <v>0</v>
      </c>
      <c r="M107" s="1876">
        <f t="shared" ref="M107" si="156">IF(L107&gt;H107,L107-H107,0)</f>
        <v>0</v>
      </c>
      <c r="N107" s="1876">
        <f t="shared" ref="N107" si="157">IF(H107&gt;L107,H107-L107,0)</f>
        <v>6224</v>
      </c>
      <c r="O107" s="1873"/>
    </row>
    <row r="108" spans="1:15">
      <c r="A108" s="1872"/>
      <c r="B108" s="1873"/>
      <c r="C108" s="1771" t="s">
        <v>3885</v>
      </c>
      <c r="D108" s="1730"/>
      <c r="E108" s="1873"/>
      <c r="F108" s="1873"/>
      <c r="G108" s="1872"/>
      <c r="H108" s="1873"/>
      <c r="I108" s="1730"/>
      <c r="J108" s="1873"/>
      <c r="K108" s="1872"/>
      <c r="L108" s="1873"/>
      <c r="M108" s="1873"/>
      <c r="N108" s="1873"/>
      <c r="O108" s="1873"/>
    </row>
    <row r="109" spans="1:15" ht="102">
      <c r="A109" s="1872">
        <f>A108+5</f>
        <v>5</v>
      </c>
      <c r="B109" s="1873"/>
      <c r="C109" s="1864" t="s">
        <v>2859</v>
      </c>
      <c r="D109" s="1730">
        <v>40</v>
      </c>
      <c r="E109" s="1872" t="s">
        <v>3834</v>
      </c>
      <c r="F109" s="1872" t="s">
        <v>501</v>
      </c>
      <c r="G109" s="1872">
        <v>30</v>
      </c>
      <c r="H109" s="1876">
        <f t="shared" ref="H109" si="158">ROUND(G109*D109,0)</f>
        <v>1200</v>
      </c>
      <c r="I109" s="1973">
        <v>27.6</v>
      </c>
      <c r="J109" s="1872" t="s">
        <v>501</v>
      </c>
      <c r="K109" s="1872">
        <v>30</v>
      </c>
      <c r="L109" s="1876">
        <f t="shared" ref="L109" si="159">ROUND(I109*K109,0)</f>
        <v>828</v>
      </c>
      <c r="M109" s="1876">
        <f t="shared" ref="M109" si="160">IF(L109&gt;H109,L109-H109,0)</f>
        <v>0</v>
      </c>
      <c r="N109" s="1876">
        <f t="shared" ref="N109" si="161">IF(H109&gt;L109,H109-L109,0)</f>
        <v>372</v>
      </c>
      <c r="O109" s="1873"/>
    </row>
    <row r="110" spans="1:15">
      <c r="A110" s="1872"/>
      <c r="B110" s="1873"/>
      <c r="C110" s="1771" t="s">
        <v>3885</v>
      </c>
      <c r="D110" s="1730"/>
      <c r="E110" s="1873"/>
      <c r="F110" s="1873"/>
      <c r="G110" s="1872"/>
      <c r="H110" s="1873"/>
      <c r="I110" s="1730"/>
      <c r="J110" s="1873"/>
      <c r="K110" s="1872"/>
      <c r="L110" s="1873"/>
      <c r="M110" s="1873"/>
      <c r="N110" s="1873"/>
      <c r="O110" s="1873"/>
    </row>
    <row r="111" spans="1:15" ht="76.5">
      <c r="A111" s="1872">
        <f>A110+6</f>
        <v>6</v>
      </c>
      <c r="B111" s="1873"/>
      <c r="C111" s="1864" t="s">
        <v>2866</v>
      </c>
      <c r="D111" s="1730">
        <v>80</v>
      </c>
      <c r="E111" s="1872" t="s">
        <v>3834</v>
      </c>
      <c r="F111" s="1872" t="s">
        <v>1308</v>
      </c>
      <c r="G111" s="1872">
        <v>132</v>
      </c>
      <c r="H111" s="1876">
        <f t="shared" ref="H111" si="162">ROUND(G111*D111,0)</f>
        <v>10560</v>
      </c>
      <c r="I111" s="1730">
        <v>58.5</v>
      </c>
      <c r="J111" s="1872" t="s">
        <v>1308</v>
      </c>
      <c r="K111" s="1872">
        <v>132</v>
      </c>
      <c r="L111" s="1876">
        <f t="shared" ref="L111" si="163">ROUND(I111*K111,0)</f>
        <v>7722</v>
      </c>
      <c r="M111" s="1876">
        <f t="shared" ref="M111" si="164">IF(L111&gt;H111,L111-H111,0)</f>
        <v>0</v>
      </c>
      <c r="N111" s="1876">
        <f t="shared" ref="N111" si="165">IF(H111&gt;L111,H111-L111,0)</f>
        <v>2838</v>
      </c>
      <c r="O111" s="1873"/>
    </row>
    <row r="112" spans="1:15">
      <c r="A112" s="1872"/>
      <c r="B112" s="1873"/>
      <c r="C112" s="1771" t="s">
        <v>3886</v>
      </c>
      <c r="D112" s="1730"/>
      <c r="E112" s="1873"/>
      <c r="F112" s="1873"/>
      <c r="G112" s="1872"/>
      <c r="H112" s="1873"/>
      <c r="I112" s="1730"/>
      <c r="J112" s="1873"/>
      <c r="K112" s="1872"/>
      <c r="L112" s="1873"/>
      <c r="M112" s="1873"/>
      <c r="N112" s="1873"/>
      <c r="O112" s="1873"/>
    </row>
    <row r="113" spans="1:15" ht="89.25">
      <c r="A113" s="1872">
        <f>A112+7</f>
        <v>7</v>
      </c>
      <c r="B113" s="1873"/>
      <c r="C113" s="1864" t="s">
        <v>2868</v>
      </c>
      <c r="D113" s="1730">
        <v>120</v>
      </c>
      <c r="E113" s="1872" t="s">
        <v>3834</v>
      </c>
      <c r="F113" s="1872" t="s">
        <v>1308</v>
      </c>
      <c r="G113" s="1872">
        <v>190</v>
      </c>
      <c r="H113" s="1876">
        <f t="shared" ref="H113" si="166">ROUND(G113*D113,0)</f>
        <v>22800</v>
      </c>
      <c r="I113" s="1730">
        <v>101</v>
      </c>
      <c r="J113" s="1872" t="s">
        <v>1308</v>
      </c>
      <c r="K113" s="1872">
        <v>190</v>
      </c>
      <c r="L113" s="1876">
        <f t="shared" ref="L113" si="167">ROUND(I113*K113,0)</f>
        <v>19190</v>
      </c>
      <c r="M113" s="1876">
        <f t="shared" ref="M113" si="168">IF(L113&gt;H113,L113-H113,0)</f>
        <v>0</v>
      </c>
      <c r="N113" s="1876">
        <f t="shared" ref="N113" si="169">IF(H113&gt;L113,H113-L113,0)</f>
        <v>3610</v>
      </c>
      <c r="O113" s="1873"/>
    </row>
    <row r="114" spans="1:15">
      <c r="A114" s="1872"/>
      <c r="B114" s="1873"/>
      <c r="C114" s="1771" t="s">
        <v>3886</v>
      </c>
      <c r="D114" s="1730"/>
      <c r="E114" s="1873"/>
      <c r="F114" s="1873"/>
      <c r="G114" s="1872"/>
      <c r="H114" s="1873"/>
      <c r="I114" s="1730"/>
      <c r="J114" s="1873"/>
      <c r="K114" s="1872"/>
      <c r="L114" s="1873"/>
      <c r="M114" s="1873"/>
      <c r="N114" s="1873"/>
      <c r="O114" s="1873"/>
    </row>
    <row r="115" spans="1:15" ht="127.5">
      <c r="A115" s="1872">
        <f>A114+8</f>
        <v>8</v>
      </c>
      <c r="B115" s="1873"/>
      <c r="C115" s="1864" t="s">
        <v>3718</v>
      </c>
      <c r="D115" s="1730">
        <v>20</v>
      </c>
      <c r="E115" s="1872" t="s">
        <v>3834</v>
      </c>
      <c r="F115" s="1872" t="s">
        <v>501</v>
      </c>
      <c r="G115" s="1872">
        <v>826</v>
      </c>
      <c r="H115" s="1876">
        <f t="shared" ref="H115" si="170">ROUND(G115*D115,0)</f>
        <v>16520</v>
      </c>
      <c r="I115" s="1730">
        <v>5</v>
      </c>
      <c r="J115" s="1872" t="s">
        <v>501</v>
      </c>
      <c r="K115" s="1872">
        <v>826</v>
      </c>
      <c r="L115" s="1876">
        <f t="shared" ref="L115" si="171">ROUND(I115*K115,0)</f>
        <v>4130</v>
      </c>
      <c r="M115" s="1876">
        <f t="shared" ref="M115" si="172">IF(L115&gt;H115,L115-H115,0)</f>
        <v>0</v>
      </c>
      <c r="N115" s="1876">
        <f t="shared" ref="N115" si="173">IF(H115&gt;L115,H115-L115,0)</f>
        <v>12390</v>
      </c>
      <c r="O115" s="1873"/>
    </row>
    <row r="116" spans="1:15">
      <c r="A116" s="1872"/>
      <c r="B116" s="1873"/>
      <c r="C116" s="1771" t="s">
        <v>3887</v>
      </c>
      <c r="D116" s="1730"/>
      <c r="E116" s="1873"/>
      <c r="F116" s="1873"/>
      <c r="G116" s="1872"/>
      <c r="H116" s="1873"/>
      <c r="I116" s="1730"/>
      <c r="J116" s="1873"/>
      <c r="K116" s="1872"/>
      <c r="L116" s="1873"/>
      <c r="M116" s="1873"/>
      <c r="N116" s="1873"/>
      <c r="O116" s="1873"/>
    </row>
    <row r="117" spans="1:15" ht="165.75">
      <c r="A117" s="1872">
        <f>A116+9</f>
        <v>9</v>
      </c>
      <c r="B117" s="1873"/>
      <c r="C117" s="1864" t="s">
        <v>3720</v>
      </c>
      <c r="D117" s="1730">
        <v>8</v>
      </c>
      <c r="E117" s="1872" t="s">
        <v>3834</v>
      </c>
      <c r="F117" s="1872" t="s">
        <v>501</v>
      </c>
      <c r="G117" s="1872">
        <v>1780</v>
      </c>
      <c r="H117" s="1876">
        <f t="shared" ref="H117" si="174">ROUND(G117*D117,0)</f>
        <v>14240</v>
      </c>
      <c r="I117" s="1730">
        <v>8</v>
      </c>
      <c r="J117" s="1872" t="s">
        <v>501</v>
      </c>
      <c r="K117" s="1872">
        <v>1780</v>
      </c>
      <c r="L117" s="1876">
        <f t="shared" ref="L117" si="175">ROUND(I117*K117,0)</f>
        <v>14240</v>
      </c>
      <c r="M117" s="1876">
        <f t="shared" ref="M117" si="176">IF(L117&gt;H117,L117-H117,0)</f>
        <v>0</v>
      </c>
      <c r="N117" s="1876">
        <f t="shared" ref="N117" si="177">IF(H117&gt;L117,H117-L117,0)</f>
        <v>0</v>
      </c>
      <c r="O117" s="1873"/>
    </row>
    <row r="118" spans="1:15" ht="14.25">
      <c r="A118" s="1872"/>
      <c r="B118" s="1873"/>
      <c r="C118" s="1864"/>
      <c r="D118" s="1730"/>
      <c r="E118" s="1873"/>
      <c r="F118" s="1873"/>
      <c r="G118" s="1872"/>
      <c r="H118" s="1876"/>
      <c r="I118" s="1730">
        <v>2</v>
      </c>
      <c r="J118" s="1873"/>
      <c r="K118" s="1872">
        <v>1780</v>
      </c>
      <c r="L118" s="1876">
        <f t="shared" ref="L118" si="178">ROUND(I118*K118,0)</f>
        <v>3560</v>
      </c>
      <c r="M118" s="1876">
        <f t="shared" ref="M118" si="179">IF(L118&gt;H118,L118-H118,0)</f>
        <v>3560</v>
      </c>
      <c r="N118" s="1876">
        <f t="shared" ref="N118" si="180">IF(H118&gt;L118,H118-L118,0)</f>
        <v>0</v>
      </c>
      <c r="O118" s="1873"/>
    </row>
    <row r="119" spans="1:15">
      <c r="A119" s="1872"/>
      <c r="B119" s="1873"/>
      <c r="C119" s="1771" t="s">
        <v>3888</v>
      </c>
      <c r="D119" s="1730"/>
      <c r="E119" s="1873"/>
      <c r="F119" s="1873"/>
      <c r="G119" s="1872"/>
      <c r="H119" s="1873"/>
      <c r="I119" s="1730"/>
      <c r="J119" s="1873"/>
      <c r="K119" s="1872"/>
      <c r="L119" s="1873"/>
      <c r="M119" s="1873"/>
      <c r="N119" s="1873"/>
      <c r="O119" s="1873"/>
    </row>
    <row r="120" spans="1:15" ht="165.75">
      <c r="A120" s="1872">
        <f>A119+10</f>
        <v>10</v>
      </c>
      <c r="B120" s="1873"/>
      <c r="C120" s="1864" t="s">
        <v>3721</v>
      </c>
      <c r="D120" s="1730">
        <v>8</v>
      </c>
      <c r="E120" s="1872" t="s">
        <v>3834</v>
      </c>
      <c r="F120" s="1872" t="s">
        <v>501</v>
      </c>
      <c r="G120" s="1872">
        <v>3252</v>
      </c>
      <c r="H120" s="1876">
        <f t="shared" ref="H120" si="181">ROUND(G120*D120,0)</f>
        <v>26016</v>
      </c>
      <c r="I120" s="1730"/>
      <c r="J120" s="1872" t="s">
        <v>501</v>
      </c>
      <c r="K120" s="1872">
        <v>3252</v>
      </c>
      <c r="L120" s="1876">
        <f t="shared" ref="L120" si="182">ROUND(I120*K120,0)</f>
        <v>0</v>
      </c>
      <c r="M120" s="1876">
        <f t="shared" ref="M120" si="183">IF(L120&gt;H120,L120-H120,0)</f>
        <v>0</v>
      </c>
      <c r="N120" s="1876">
        <f t="shared" ref="N120" si="184">IF(H120&gt;L120,H120-L120,0)</f>
        <v>26016</v>
      </c>
      <c r="O120" s="1873"/>
    </row>
    <row r="121" spans="1:15">
      <c r="A121" s="1872"/>
      <c r="B121" s="1873"/>
      <c r="C121" s="1771" t="s">
        <v>3889</v>
      </c>
      <c r="D121" s="1730"/>
      <c r="E121" s="1873"/>
      <c r="F121" s="1873"/>
      <c r="G121" s="1872"/>
      <c r="H121" s="1873"/>
      <c r="I121" s="1730"/>
      <c r="J121" s="1873"/>
      <c r="K121" s="1872"/>
      <c r="L121" s="1873"/>
      <c r="M121" s="1873"/>
      <c r="N121" s="1873"/>
      <c r="O121" s="1873"/>
    </row>
    <row r="122" spans="1:15" ht="38.25">
      <c r="A122" s="1872">
        <f>A121+11</f>
        <v>11</v>
      </c>
      <c r="B122" s="1873"/>
      <c r="C122" s="1864" t="s">
        <v>3722</v>
      </c>
      <c r="D122" s="1730">
        <v>6</v>
      </c>
      <c r="E122" s="1872" t="s">
        <v>3834</v>
      </c>
      <c r="F122" s="1872" t="s">
        <v>501</v>
      </c>
      <c r="G122" s="1872">
        <v>2137</v>
      </c>
      <c r="H122" s="1876">
        <f t="shared" ref="H122" si="185">ROUND(G122*D122,0)</f>
        <v>12822</v>
      </c>
      <c r="I122" s="1730">
        <v>2</v>
      </c>
      <c r="J122" s="1872" t="s">
        <v>501</v>
      </c>
      <c r="K122" s="1872">
        <v>2137</v>
      </c>
      <c r="L122" s="1876">
        <f t="shared" ref="L122" si="186">ROUND(I122*K122,0)</f>
        <v>4274</v>
      </c>
      <c r="M122" s="1876">
        <f t="shared" ref="M122" si="187">IF(L122&gt;H122,L122-H122,0)</f>
        <v>0</v>
      </c>
      <c r="N122" s="1876">
        <f t="shared" ref="N122" si="188">IF(H122&gt;L122,H122-L122,0)</f>
        <v>8548</v>
      </c>
      <c r="O122" s="1873"/>
    </row>
    <row r="123" spans="1:15">
      <c r="A123" s="1872"/>
      <c r="B123" s="1873"/>
      <c r="C123" s="1771" t="s">
        <v>3889</v>
      </c>
      <c r="D123" s="1730"/>
      <c r="E123" s="1873"/>
      <c r="F123" s="1873"/>
      <c r="G123" s="1872"/>
      <c r="H123" s="1873"/>
      <c r="I123" s="1730"/>
      <c r="J123" s="1873"/>
      <c r="K123" s="1872"/>
      <c r="L123" s="1873"/>
      <c r="M123" s="1873"/>
      <c r="N123" s="1873"/>
      <c r="O123" s="1873"/>
    </row>
    <row r="124" spans="1:15" ht="76.5">
      <c r="A124" s="1872">
        <f>A123+12</f>
        <v>12</v>
      </c>
      <c r="B124" s="1873"/>
      <c r="C124" s="1864" t="s">
        <v>2734</v>
      </c>
      <c r="D124" s="1730">
        <v>6</v>
      </c>
      <c r="E124" s="1872" t="s">
        <v>3834</v>
      </c>
      <c r="F124" s="1872" t="s">
        <v>501</v>
      </c>
      <c r="G124" s="1872">
        <v>619</v>
      </c>
      <c r="H124" s="1876">
        <f t="shared" ref="H124" si="189">ROUND(G124*D124,0)</f>
        <v>3714</v>
      </c>
      <c r="I124" s="1730">
        <v>2</v>
      </c>
      <c r="J124" s="1872" t="s">
        <v>501</v>
      </c>
      <c r="K124" s="1872">
        <v>619</v>
      </c>
      <c r="L124" s="1876">
        <f t="shared" ref="L124" si="190">ROUND(I124*K124,0)</f>
        <v>1238</v>
      </c>
      <c r="M124" s="1876">
        <f t="shared" ref="M124" si="191">IF(L124&gt;H124,L124-H124,0)</f>
        <v>0</v>
      </c>
      <c r="N124" s="1876">
        <f t="shared" ref="N124" si="192">IF(H124&gt;L124,H124-L124,0)</f>
        <v>2476</v>
      </c>
      <c r="O124" s="1873"/>
    </row>
    <row r="125" spans="1:15">
      <c r="A125" s="1872"/>
      <c r="B125" s="1873"/>
      <c r="C125" s="1771" t="s">
        <v>3889</v>
      </c>
      <c r="D125" s="1730"/>
      <c r="E125" s="1873"/>
      <c r="F125" s="1873"/>
      <c r="G125" s="1872"/>
      <c r="H125" s="1873"/>
      <c r="I125" s="1730"/>
      <c r="J125" s="1873"/>
      <c r="K125" s="1872"/>
      <c r="L125" s="1873"/>
      <c r="M125" s="1873"/>
      <c r="N125" s="1873"/>
      <c r="O125" s="1873"/>
    </row>
    <row r="126" spans="1:15" ht="63.75">
      <c r="A126" s="1872">
        <f>A125+13</f>
        <v>13</v>
      </c>
      <c r="B126" s="1873"/>
      <c r="C126" s="1864" t="s">
        <v>2735</v>
      </c>
      <c r="D126" s="1730">
        <v>6</v>
      </c>
      <c r="E126" s="1872" t="s">
        <v>3834</v>
      </c>
      <c r="F126" s="1872" t="s">
        <v>501</v>
      </c>
      <c r="G126" s="1872">
        <v>163</v>
      </c>
      <c r="H126" s="1876">
        <f t="shared" ref="H126" si="193">ROUND(G126*D126,0)</f>
        <v>978</v>
      </c>
      <c r="I126" s="1730">
        <v>2</v>
      </c>
      <c r="J126" s="1872" t="s">
        <v>501</v>
      </c>
      <c r="K126" s="1872">
        <v>163</v>
      </c>
      <c r="L126" s="1876">
        <f t="shared" ref="L126" si="194">ROUND(I126*K126,0)</f>
        <v>326</v>
      </c>
      <c r="M126" s="1876">
        <f t="shared" ref="M126" si="195">IF(L126&gt;H126,L126-H126,0)</f>
        <v>0</v>
      </c>
      <c r="N126" s="1876">
        <f t="shared" ref="N126" si="196">IF(H126&gt;L126,H126-L126,0)</f>
        <v>652</v>
      </c>
      <c r="O126" s="1873"/>
    </row>
    <row r="127" spans="1:15">
      <c r="A127" s="1872"/>
      <c r="B127" s="1873"/>
      <c r="C127" s="1771" t="s">
        <v>3890</v>
      </c>
      <c r="D127" s="1730"/>
      <c r="E127" s="1873"/>
      <c r="F127" s="1873"/>
      <c r="G127" s="1872"/>
      <c r="H127" s="1873"/>
      <c r="I127" s="1730"/>
      <c r="J127" s="1873"/>
      <c r="K127" s="1872"/>
      <c r="L127" s="1873"/>
      <c r="M127" s="1873"/>
      <c r="N127" s="1873"/>
      <c r="O127" s="1873"/>
    </row>
    <row r="128" spans="1:15" ht="38.25">
      <c r="A128" s="1872">
        <f>A127+14</f>
        <v>14</v>
      </c>
      <c r="B128" s="1873"/>
      <c r="C128" s="1864" t="s">
        <v>2738</v>
      </c>
      <c r="D128" s="1730">
        <v>6</v>
      </c>
      <c r="E128" s="1872" t="s">
        <v>3834</v>
      </c>
      <c r="F128" s="1872" t="s">
        <v>501</v>
      </c>
      <c r="G128" s="1872">
        <v>142</v>
      </c>
      <c r="H128" s="1876">
        <f t="shared" ref="H128" si="197">ROUND(G128*D128,0)</f>
        <v>852</v>
      </c>
      <c r="I128" s="1730">
        <v>2</v>
      </c>
      <c r="J128" s="1872" t="s">
        <v>501</v>
      </c>
      <c r="K128" s="1872">
        <v>142</v>
      </c>
      <c r="L128" s="1876">
        <f t="shared" ref="L128" si="198">ROUND(I128*K128,0)</f>
        <v>284</v>
      </c>
      <c r="M128" s="1876">
        <f t="shared" ref="M128" si="199">IF(L128&gt;H128,L128-H128,0)</f>
        <v>0</v>
      </c>
      <c r="N128" s="1876">
        <f t="shared" ref="N128" si="200">IF(H128&gt;L128,H128-L128,0)</f>
        <v>568</v>
      </c>
      <c r="O128" s="1873"/>
    </row>
    <row r="129" spans="1:15">
      <c r="A129" s="1872"/>
      <c r="B129" s="1873"/>
      <c r="C129" s="1771" t="s">
        <v>3890</v>
      </c>
      <c r="D129" s="1730"/>
      <c r="E129" s="1873"/>
      <c r="F129" s="1873"/>
      <c r="G129" s="1872"/>
      <c r="H129" s="1873"/>
      <c r="I129" s="1730"/>
      <c r="J129" s="1873"/>
      <c r="K129" s="1872"/>
      <c r="L129" s="1873"/>
      <c r="M129" s="1873"/>
      <c r="N129" s="1873"/>
      <c r="O129" s="1873"/>
    </row>
    <row r="130" spans="1:15" ht="140.25">
      <c r="A130" s="1872">
        <f>A129+15</f>
        <v>15</v>
      </c>
      <c r="B130" s="1873"/>
      <c r="C130" s="1864" t="s">
        <v>3723</v>
      </c>
      <c r="D130" s="1730">
        <v>4</v>
      </c>
      <c r="E130" s="1872" t="s">
        <v>3834</v>
      </c>
      <c r="F130" s="1872" t="s">
        <v>501</v>
      </c>
      <c r="G130" s="1872">
        <v>46309</v>
      </c>
      <c r="H130" s="1876">
        <f t="shared" ref="H130" si="201">ROUND(G130*D130,0)</f>
        <v>185236</v>
      </c>
      <c r="I130" s="1730">
        <v>3</v>
      </c>
      <c r="J130" s="1872" t="s">
        <v>501</v>
      </c>
      <c r="K130" s="1872">
        <v>46309</v>
      </c>
      <c r="L130" s="1876">
        <f t="shared" ref="L130" si="202">ROUND(I130*K130,0)</f>
        <v>138927</v>
      </c>
      <c r="M130" s="1876">
        <f t="shared" ref="M130" si="203">IF(L130&gt;H130,L130-H130,0)</f>
        <v>0</v>
      </c>
      <c r="N130" s="1876">
        <f t="shared" ref="N130" si="204">IF(H130&gt;L130,H130-L130,0)</f>
        <v>46309</v>
      </c>
      <c r="O130" s="1873"/>
    </row>
    <row r="131" spans="1:15">
      <c r="A131" s="1872"/>
      <c r="B131" s="1873"/>
      <c r="C131" s="1771" t="s">
        <v>3891</v>
      </c>
      <c r="D131" s="1730"/>
      <c r="E131" s="1873"/>
      <c r="F131" s="1873"/>
      <c r="G131" s="1872"/>
      <c r="H131" s="1873"/>
      <c r="I131" s="1730"/>
      <c r="J131" s="1873"/>
      <c r="K131" s="1872"/>
      <c r="L131" s="1873"/>
      <c r="M131" s="1873"/>
      <c r="N131" s="1873"/>
      <c r="O131" s="1873"/>
    </row>
    <row r="132" spans="1:15" ht="102">
      <c r="A132" s="1872">
        <f>A131+16</f>
        <v>16</v>
      </c>
      <c r="B132" s="1873"/>
      <c r="C132" s="1864" t="s">
        <v>3724</v>
      </c>
      <c r="D132" s="1730">
        <v>4</v>
      </c>
      <c r="E132" s="1872" t="s">
        <v>3834</v>
      </c>
      <c r="F132" s="1872" t="s">
        <v>501</v>
      </c>
      <c r="G132" s="1872">
        <v>3334</v>
      </c>
      <c r="H132" s="1876">
        <f t="shared" ref="H132" si="205">ROUND(G132*D132,0)</f>
        <v>13336</v>
      </c>
      <c r="I132" s="1730">
        <v>3</v>
      </c>
      <c r="J132" s="1872" t="s">
        <v>501</v>
      </c>
      <c r="K132" s="1872">
        <v>3334</v>
      </c>
      <c r="L132" s="1876">
        <f t="shared" ref="L132" si="206">ROUND(I132*K132,0)</f>
        <v>10002</v>
      </c>
      <c r="M132" s="1876">
        <f t="shared" ref="M132" si="207">IF(L132&gt;H132,L132-H132,0)</f>
        <v>0</v>
      </c>
      <c r="N132" s="1876">
        <f t="shared" ref="N132" si="208">IF(H132&gt;L132,H132-L132,0)</f>
        <v>3334</v>
      </c>
      <c r="O132" s="1873"/>
    </row>
    <row r="133" spans="1:15">
      <c r="A133" s="1872"/>
      <c r="B133" s="1873"/>
      <c r="C133" s="1771" t="s">
        <v>3892</v>
      </c>
      <c r="D133" s="1730"/>
      <c r="E133" s="1873"/>
      <c r="F133" s="1873"/>
      <c r="G133" s="1872"/>
      <c r="H133" s="1873"/>
      <c r="I133" s="1730"/>
      <c r="J133" s="1873"/>
      <c r="K133" s="1872"/>
      <c r="L133" s="1873"/>
      <c r="M133" s="1873"/>
      <c r="N133" s="1873"/>
      <c r="O133" s="1873"/>
    </row>
    <row r="134" spans="1:15" ht="89.25">
      <c r="A134" s="1872">
        <f>A133+17</f>
        <v>17</v>
      </c>
      <c r="B134" s="1873"/>
      <c r="C134" s="1864" t="s">
        <v>3725</v>
      </c>
      <c r="D134" s="1730">
        <v>4</v>
      </c>
      <c r="E134" s="1872" t="s">
        <v>3834</v>
      </c>
      <c r="F134" s="1872" t="s">
        <v>501</v>
      </c>
      <c r="G134" s="1872">
        <v>1916</v>
      </c>
      <c r="H134" s="1876">
        <f t="shared" ref="H134" si="209">ROUND(G134*D134,0)</f>
        <v>7664</v>
      </c>
      <c r="I134" s="1730">
        <v>2</v>
      </c>
      <c r="J134" s="1872" t="s">
        <v>501</v>
      </c>
      <c r="K134" s="1872">
        <v>1916</v>
      </c>
      <c r="L134" s="1876">
        <f t="shared" ref="L134" si="210">ROUND(I134*K134,0)</f>
        <v>3832</v>
      </c>
      <c r="M134" s="1876">
        <f t="shared" ref="M134" si="211">IF(L134&gt;H134,L134-H134,0)</f>
        <v>0</v>
      </c>
      <c r="N134" s="1876">
        <f t="shared" ref="N134" si="212">IF(H134&gt;L134,H134-L134,0)</f>
        <v>3832</v>
      </c>
      <c r="O134" s="1873"/>
    </row>
    <row r="135" spans="1:15">
      <c r="A135" s="1872"/>
      <c r="B135" s="1873"/>
      <c r="C135" s="1771" t="s">
        <v>3892</v>
      </c>
      <c r="D135" s="1730"/>
      <c r="E135" s="1873"/>
      <c r="F135" s="1873"/>
      <c r="G135" s="1872"/>
      <c r="H135" s="1873"/>
      <c r="I135" s="1730"/>
      <c r="J135" s="1873"/>
      <c r="K135" s="1872"/>
      <c r="L135" s="1873"/>
      <c r="M135" s="1873"/>
      <c r="N135" s="1873"/>
      <c r="O135" s="1873"/>
    </row>
    <row r="136" spans="1:15" ht="51">
      <c r="A136" s="1872">
        <f>A135+18</f>
        <v>18</v>
      </c>
      <c r="B136" s="1873"/>
      <c r="C136" s="1864" t="s">
        <v>2737</v>
      </c>
      <c r="D136" s="1730">
        <v>6</v>
      </c>
      <c r="E136" s="1872" t="s">
        <v>3834</v>
      </c>
      <c r="F136" s="1872" t="s">
        <v>501</v>
      </c>
      <c r="G136" s="1872">
        <v>3247</v>
      </c>
      <c r="H136" s="1876">
        <f t="shared" ref="H136" si="213">ROUND(G136*D136,0)</f>
        <v>19482</v>
      </c>
      <c r="I136" s="1730">
        <v>3</v>
      </c>
      <c r="J136" s="1872" t="s">
        <v>501</v>
      </c>
      <c r="K136" s="1872">
        <v>3247</v>
      </c>
      <c r="L136" s="1876">
        <f t="shared" ref="L136" si="214">ROUND(I136*K136,0)</f>
        <v>9741</v>
      </c>
      <c r="M136" s="1876">
        <f t="shared" ref="M136" si="215">IF(L136&gt;H136,L136-H136,0)</f>
        <v>0</v>
      </c>
      <c r="N136" s="1876">
        <f t="shared" ref="N136" si="216">IF(H136&gt;L136,H136-L136,0)</f>
        <v>9741</v>
      </c>
      <c r="O136" s="1873"/>
    </row>
    <row r="137" spans="1:15">
      <c r="A137" s="1872"/>
      <c r="B137" s="1873"/>
      <c r="C137" s="1771" t="s">
        <v>3893</v>
      </c>
      <c r="D137" s="1730"/>
      <c r="E137" s="1873"/>
      <c r="F137" s="1873"/>
      <c r="G137" s="1872"/>
      <c r="H137" s="1873"/>
      <c r="I137" s="1730"/>
      <c r="J137" s="1873"/>
      <c r="K137" s="1872"/>
      <c r="L137" s="1873"/>
      <c r="M137" s="1873"/>
      <c r="N137" s="1873"/>
      <c r="O137" s="1873"/>
    </row>
    <row r="138" spans="1:15" ht="63.75">
      <c r="A138" s="1872">
        <f>A137+19</f>
        <v>19</v>
      </c>
      <c r="B138" s="1873"/>
      <c r="C138" s="1864" t="s">
        <v>3049</v>
      </c>
      <c r="D138" s="1730">
        <v>6</v>
      </c>
      <c r="E138" s="1872" t="s">
        <v>3834</v>
      </c>
      <c r="F138" s="1872" t="s">
        <v>501</v>
      </c>
      <c r="G138" s="1872">
        <v>699</v>
      </c>
      <c r="H138" s="1876">
        <f t="shared" ref="H138" si="217">ROUND(G138*D138,0)</f>
        <v>4194</v>
      </c>
      <c r="I138" s="1730">
        <v>3</v>
      </c>
      <c r="J138" s="1872" t="s">
        <v>501</v>
      </c>
      <c r="K138" s="1872">
        <v>699</v>
      </c>
      <c r="L138" s="1876">
        <f t="shared" ref="L138" si="218">ROUND(I138*K138,0)</f>
        <v>2097</v>
      </c>
      <c r="M138" s="1876">
        <f t="shared" ref="M138" si="219">IF(L138&gt;H138,L138-H138,0)</f>
        <v>0</v>
      </c>
      <c r="N138" s="1876">
        <f t="shared" ref="N138" si="220">IF(H138&gt;L138,H138-L138,0)</f>
        <v>2097</v>
      </c>
      <c r="O138" s="1873"/>
    </row>
    <row r="139" spans="1:15" ht="14.25">
      <c r="A139" s="1872"/>
      <c r="B139" s="1873"/>
      <c r="C139" s="1771" t="s">
        <v>3894</v>
      </c>
      <c r="D139" s="1730"/>
      <c r="E139" s="1872"/>
      <c r="F139" s="1872"/>
      <c r="G139" s="1872"/>
      <c r="H139" s="1876"/>
      <c r="I139" s="1730"/>
      <c r="J139" s="1872"/>
      <c r="K139" s="1872"/>
      <c r="L139" s="1876"/>
      <c r="M139" s="1876"/>
      <c r="N139" s="1876"/>
      <c r="O139" s="1873"/>
    </row>
    <row r="140" spans="1:15">
      <c r="A140" s="1872"/>
      <c r="B140" s="1873"/>
      <c r="C140" s="1882" t="s">
        <v>3738</v>
      </c>
      <c r="D140" s="1873"/>
      <c r="E140" s="1873"/>
      <c r="F140" s="1873"/>
      <c r="G140" s="1872"/>
      <c r="H140" s="1880">
        <f>SUM(H100:H138)</f>
        <v>389839</v>
      </c>
      <c r="I140" s="1873"/>
      <c r="J140" s="1873"/>
      <c r="K140" s="1872"/>
      <c r="L140" s="1880">
        <f>SUM(L100:L138)</f>
        <v>257586</v>
      </c>
      <c r="M140" s="1880">
        <f>SUM(M100:M138)</f>
        <v>7619</v>
      </c>
      <c r="N140" s="1880">
        <f>SUM(N100:N138)</f>
        <v>139872</v>
      </c>
      <c r="O140" s="1873"/>
    </row>
    <row r="141" spans="1:15">
      <c r="A141" s="1872"/>
      <c r="B141" s="1873"/>
      <c r="C141" s="1933" t="s">
        <v>3813</v>
      </c>
      <c r="D141" s="1873"/>
      <c r="E141" s="1873"/>
      <c r="F141" s="1873"/>
      <c r="G141" s="1872"/>
      <c r="H141" s="1880"/>
      <c r="I141" s="1873"/>
      <c r="J141" s="1873"/>
      <c r="K141" s="1872"/>
      <c r="L141" s="1880"/>
      <c r="M141" s="1880"/>
      <c r="N141" s="1880"/>
      <c r="O141" s="1873"/>
    </row>
    <row r="142" spans="1:15" ht="89.25">
      <c r="A142" s="1872">
        <f>A141+1</f>
        <v>1</v>
      </c>
      <c r="B142" s="1873"/>
      <c r="C142" s="1864" t="s">
        <v>3820</v>
      </c>
      <c r="D142" s="1864"/>
      <c r="E142" s="1864"/>
      <c r="F142" s="1864"/>
      <c r="G142" s="1864"/>
      <c r="H142" s="1864"/>
      <c r="I142" s="1730">
        <v>12</v>
      </c>
      <c r="J142" s="1872" t="s">
        <v>501</v>
      </c>
      <c r="K142" s="1932">
        <f>'Ele-Data'!J2050</f>
        <v>1083</v>
      </c>
      <c r="L142" s="1876">
        <f t="shared" ref="L142" si="221">ROUND(I142*K142,0)</f>
        <v>12996</v>
      </c>
      <c r="M142" s="1876">
        <f t="shared" ref="M142" si="222">IF(L142&gt;H142,L142-H142,0)</f>
        <v>12996</v>
      </c>
      <c r="N142" s="1876">
        <f t="shared" ref="N142:N144" si="223">IF(H142&gt;L142,H142-L142,0)</f>
        <v>0</v>
      </c>
      <c r="O142" s="1873"/>
    </row>
    <row r="143" spans="1:15">
      <c r="A143" s="1872"/>
      <c r="B143" s="1873"/>
      <c r="C143" s="1771" t="s">
        <v>3895</v>
      </c>
      <c r="D143" s="1873"/>
      <c r="E143" s="1873"/>
      <c r="F143" s="1873"/>
      <c r="G143" s="1872"/>
      <c r="H143" s="1880"/>
      <c r="I143" s="1873"/>
      <c r="J143" s="1873"/>
      <c r="K143" s="1872"/>
      <c r="L143" s="1880"/>
      <c r="M143" s="1880"/>
      <c r="N143" s="1880"/>
      <c r="O143" s="1873"/>
    </row>
    <row r="144" spans="1:15" ht="204">
      <c r="A144" s="1872">
        <f>A143+2</f>
        <v>2</v>
      </c>
      <c r="B144" s="1873"/>
      <c r="C144" s="1864" t="s">
        <v>3896</v>
      </c>
      <c r="D144" s="1864"/>
      <c r="E144" s="1864"/>
      <c r="F144" s="1864"/>
      <c r="G144" s="1864"/>
      <c r="H144" s="1864"/>
      <c r="I144" s="1730">
        <v>1</v>
      </c>
      <c r="J144" s="1872" t="s">
        <v>501</v>
      </c>
      <c r="K144" s="1932">
        <f>'Ele-Data'!J2061</f>
        <v>10117</v>
      </c>
      <c r="L144" s="1876">
        <f t="shared" ref="L144" si="224">ROUND(I144*K144,0)</f>
        <v>10117</v>
      </c>
      <c r="M144" s="1876">
        <f t="shared" ref="M144" si="225">IF(L144&gt;H144,L144-H144,0)</f>
        <v>10117</v>
      </c>
      <c r="N144" s="1876">
        <f t="shared" si="223"/>
        <v>0</v>
      </c>
      <c r="O144" s="1873"/>
    </row>
    <row r="145" spans="1:15">
      <c r="A145" s="1873"/>
      <c r="B145" s="1873"/>
      <c r="C145" s="1771" t="s">
        <v>3895</v>
      </c>
      <c r="D145" s="1873"/>
      <c r="E145" s="1873"/>
      <c r="F145" s="1873"/>
      <c r="G145" s="1872"/>
      <c r="H145" s="1880"/>
      <c r="I145" s="1873"/>
      <c r="J145" s="1873"/>
      <c r="K145" s="1872"/>
      <c r="L145" s="1880"/>
      <c r="M145" s="1880"/>
      <c r="N145" s="1880"/>
      <c r="O145" s="1873"/>
    </row>
    <row r="146" spans="1:15">
      <c r="A146" s="1873"/>
      <c r="B146" s="1873"/>
      <c r="C146" s="1882" t="s">
        <v>3816</v>
      </c>
      <c r="D146" s="1873"/>
      <c r="E146" s="1873"/>
      <c r="F146" s="1873"/>
      <c r="G146" s="1872"/>
      <c r="H146" s="1880"/>
      <c r="I146" s="1873"/>
      <c r="J146" s="1873"/>
      <c r="K146" s="1872"/>
      <c r="L146" s="1880">
        <f>SUM(L142:L145)</f>
        <v>23113</v>
      </c>
      <c r="M146" s="1880">
        <f>SUM(M142:M145)</f>
        <v>23113</v>
      </c>
      <c r="N146" s="1880">
        <f>SUM(N142:N144)</f>
        <v>0</v>
      </c>
      <c r="O146" s="1873"/>
    </row>
    <row r="147" spans="1:15">
      <c r="A147" s="1873"/>
      <c r="B147" s="1873"/>
      <c r="C147" s="1952" t="s">
        <v>3739</v>
      </c>
      <c r="D147" s="1873"/>
      <c r="E147" s="1873"/>
      <c r="F147" s="1873"/>
      <c r="G147" s="1872"/>
      <c r="H147" s="1880">
        <f>H140+H83+H48</f>
        <v>1028692</v>
      </c>
      <c r="I147" s="1873"/>
      <c r="J147" s="1873"/>
      <c r="K147" s="1872"/>
      <c r="L147" s="1880">
        <f>L146+L140+L97+L83+L60+L48</f>
        <v>822845</v>
      </c>
      <c r="M147" s="1880">
        <f>M146+M140+M97+M83+M60+M48</f>
        <v>144033</v>
      </c>
      <c r="N147" s="1880">
        <f>N146+N140+N97+N83+N60+N48</f>
        <v>349880</v>
      </c>
      <c r="O147" s="1873"/>
    </row>
    <row r="148" spans="1:15">
      <c r="K148" s="1879"/>
    </row>
    <row r="149" spans="1:15">
      <c r="D149" t="s">
        <v>3858</v>
      </c>
      <c r="H149">
        <f>H147</f>
        <v>1028692</v>
      </c>
      <c r="K149" s="1879" t="s">
        <v>3729</v>
      </c>
      <c r="L149">
        <f>M147</f>
        <v>144033</v>
      </c>
    </row>
    <row r="150" spans="1:15">
      <c r="D150" t="s">
        <v>3859</v>
      </c>
      <c r="H150">
        <f>L147</f>
        <v>822845</v>
      </c>
      <c r="K150" s="1879" t="s">
        <v>3730</v>
      </c>
      <c r="L150">
        <f>N147</f>
        <v>349880</v>
      </c>
    </row>
    <row r="151" spans="1:15">
      <c r="D151" t="s">
        <v>3860</v>
      </c>
      <c r="H151">
        <f>H149-H150</f>
        <v>205847</v>
      </c>
      <c r="K151" t="s">
        <v>3861</v>
      </c>
      <c r="L151">
        <f>L149-L150</f>
        <v>-205847</v>
      </c>
    </row>
  </sheetData>
  <mergeCells count="11">
    <mergeCell ref="I4:J4"/>
    <mergeCell ref="A1:O1"/>
    <mergeCell ref="B2:O2"/>
    <mergeCell ref="A3:B4"/>
    <mergeCell ref="C3:C4"/>
    <mergeCell ref="D3:H3"/>
    <mergeCell ref="I3:L3"/>
    <mergeCell ref="M3:M4"/>
    <mergeCell ref="N3:N4"/>
    <mergeCell ref="O3:O4"/>
    <mergeCell ref="E4:F4"/>
  </mergeCells>
  <pageMargins left="0.19685039370078741" right="0.70866141732283472" top="0.74803149606299213" bottom="0.74803149606299213" header="0.31496062992125984" footer="0.31496062992125984"/>
  <pageSetup paperSize="5" orientation="landscape" r:id="rId1"/>
  <headerFooter>
    <oddFooter>Page &amp;P of &amp;N</oddFooter>
  </headerFooter>
</worksheet>
</file>

<file path=xl/worksheets/sheet22.xml><?xml version="1.0" encoding="utf-8"?>
<worksheet xmlns="http://schemas.openxmlformats.org/spreadsheetml/2006/main" xmlns:r="http://schemas.openxmlformats.org/officeDocument/2006/relationships">
  <dimension ref="A1:G29"/>
  <sheetViews>
    <sheetView view="pageBreakPreview" zoomScaleSheetLayoutView="100" workbookViewId="0">
      <selection sqref="A1:XFD1048576"/>
    </sheetView>
  </sheetViews>
  <sheetFormatPr defaultRowHeight="12.75"/>
  <cols>
    <col min="1" max="1" width="6.7109375" customWidth="1"/>
    <col min="2" max="2" width="62.140625" customWidth="1"/>
    <col min="3" max="3" width="18.85546875" bestFit="1" customWidth="1"/>
    <col min="4" max="4" width="20.42578125" bestFit="1" customWidth="1"/>
    <col min="5" max="5" width="12.42578125" customWidth="1"/>
    <col min="6" max="6" width="10.7109375" customWidth="1"/>
    <col min="7" max="7" width="11" bestFit="1" customWidth="1"/>
  </cols>
  <sheetData>
    <row r="1" spans="1:7" ht="35.25" customHeight="1">
      <c r="A1" s="2186" t="str">
        <f>Input!C2</f>
        <v>Name of Work:  Creation of Infrastructure Facilities for skill Dvelopment lab at 6th Floor OPD Block-3 in Gandhi Hospital, Secunderabad (Balance Work)</v>
      </c>
      <c r="B1" s="2186"/>
      <c r="C1" s="2186"/>
      <c r="D1" s="2186"/>
      <c r="E1" s="2186"/>
      <c r="F1" s="2186"/>
      <c r="G1" s="2186"/>
    </row>
    <row r="2" spans="1:7" ht="15.75">
      <c r="A2" s="2187" t="s">
        <v>3740</v>
      </c>
      <c r="B2" s="2187"/>
      <c r="C2" s="2187"/>
      <c r="D2" s="2187"/>
      <c r="E2" s="2187"/>
      <c r="F2" s="2187"/>
      <c r="G2" s="2187"/>
    </row>
    <row r="3" spans="1:7" ht="15">
      <c r="A3" s="1883"/>
      <c r="B3" s="1883"/>
      <c r="C3" s="1883"/>
      <c r="D3" s="1883"/>
      <c r="E3" s="1883"/>
      <c r="F3" s="1883"/>
      <c r="G3" s="1883"/>
    </row>
    <row r="4" spans="1:7" ht="36" customHeight="1">
      <c r="A4" s="1884" t="s">
        <v>2447</v>
      </c>
      <c r="B4" s="1884" t="s">
        <v>937</v>
      </c>
      <c r="C4" s="1885" t="s">
        <v>3741</v>
      </c>
      <c r="D4" s="1885" t="s">
        <v>3742</v>
      </c>
      <c r="E4" s="1885" t="s">
        <v>3729</v>
      </c>
      <c r="F4" s="1885" t="s">
        <v>3730</v>
      </c>
      <c r="G4" s="1885" t="s">
        <v>3731</v>
      </c>
    </row>
    <row r="5" spans="1:7" ht="15.75">
      <c r="A5" s="1886">
        <v>1</v>
      </c>
      <c r="B5" s="1887" t="s">
        <v>3743</v>
      </c>
      <c r="C5" s="1888">
        <f>RE!H48</f>
        <v>613258</v>
      </c>
      <c r="D5" s="1888">
        <f>RE!L48</f>
        <v>456861</v>
      </c>
      <c r="E5" s="1915">
        <f>RE!M48</f>
        <v>49780</v>
      </c>
      <c r="F5" s="1888">
        <f>RE!N48</f>
        <v>206177</v>
      </c>
      <c r="G5" s="1889"/>
    </row>
    <row r="6" spans="1:7" ht="15.75">
      <c r="A6" s="1886">
        <v>2</v>
      </c>
      <c r="B6" s="1887" t="s">
        <v>3751</v>
      </c>
      <c r="C6" s="1888">
        <f>RE!H49</f>
        <v>0</v>
      </c>
      <c r="D6" s="1888">
        <f>RE!L66</f>
        <v>256709</v>
      </c>
      <c r="E6" s="1888">
        <f>RE!M66</f>
        <v>256709</v>
      </c>
      <c r="F6" s="1888">
        <f>RE!N60</f>
        <v>0</v>
      </c>
      <c r="G6" s="1889"/>
    </row>
    <row r="7" spans="1:7" ht="15.75">
      <c r="A7" s="1886">
        <v>3</v>
      </c>
      <c r="B7" s="1887" t="s">
        <v>3752</v>
      </c>
      <c r="C7" s="1888">
        <f>RE!H83</f>
        <v>25595</v>
      </c>
      <c r="D7" s="1888">
        <f>RE!L83</f>
        <v>31975</v>
      </c>
      <c r="E7" s="1888">
        <f>RE!M83</f>
        <v>10211</v>
      </c>
      <c r="F7" s="1888">
        <f>RE!N83</f>
        <v>3831</v>
      </c>
      <c r="G7" s="1889"/>
    </row>
    <row r="8" spans="1:7" ht="15.75">
      <c r="A8" s="1886">
        <v>4</v>
      </c>
      <c r="B8" s="1887" t="s">
        <v>3753</v>
      </c>
      <c r="C8" s="1888">
        <f>RE!H68</f>
        <v>0</v>
      </c>
      <c r="D8" s="1888">
        <f>RE!L97</f>
        <v>53310</v>
      </c>
      <c r="E8" s="1888">
        <f>RE!M97</f>
        <v>53310</v>
      </c>
      <c r="F8" s="1888">
        <f>RE!N97</f>
        <v>0</v>
      </c>
      <c r="G8" s="1889"/>
    </row>
    <row r="9" spans="1:7" ht="15.75">
      <c r="A9" s="1886">
        <v>5</v>
      </c>
      <c r="B9" s="1887" t="s">
        <v>3754</v>
      </c>
      <c r="C9" s="1888">
        <f>RE!H140</f>
        <v>389839</v>
      </c>
      <c r="D9" s="1888">
        <f>RE!L140</f>
        <v>257586</v>
      </c>
      <c r="E9" s="1888">
        <f>RE!M140</f>
        <v>7619</v>
      </c>
      <c r="F9" s="1888">
        <f>RE!N140</f>
        <v>139872</v>
      </c>
      <c r="G9" s="1889"/>
    </row>
    <row r="10" spans="1:7" ht="15.75">
      <c r="A10" s="1886">
        <v>6</v>
      </c>
      <c r="B10" s="1887" t="s">
        <v>3817</v>
      </c>
      <c r="C10" s="1888">
        <f>RE!H141</f>
        <v>0</v>
      </c>
      <c r="D10" s="1888">
        <f>RE!L146</f>
        <v>23113</v>
      </c>
      <c r="E10" s="1888">
        <f>RE!M146</f>
        <v>23113</v>
      </c>
      <c r="F10" s="1888">
        <f>RE!N146</f>
        <v>0</v>
      </c>
      <c r="G10" s="1889"/>
    </row>
    <row r="11" spans="1:7" ht="15.75">
      <c r="A11" s="1886"/>
      <c r="B11" s="1890" t="s">
        <v>3744</v>
      </c>
      <c r="C11" s="1891">
        <f>SUM(C5:C9)</f>
        <v>1028692</v>
      </c>
      <c r="D11" s="1891">
        <f>SUM(D5:D10)</f>
        <v>1079554</v>
      </c>
      <c r="E11" s="1891">
        <f>SUM(E5:E10)</f>
        <v>400742</v>
      </c>
      <c r="F11" s="1891">
        <f>SUM(F5:F10)</f>
        <v>349880</v>
      </c>
      <c r="G11" s="1889"/>
    </row>
    <row r="12" spans="1:7" ht="15.75">
      <c r="A12" s="1886"/>
      <c r="B12" s="1892" t="s">
        <v>3755</v>
      </c>
      <c r="C12" s="1888">
        <v>0</v>
      </c>
      <c r="D12" s="1888">
        <f>-ROUND(D11*5.3%,0)</f>
        <v>-57216</v>
      </c>
      <c r="E12" s="1888"/>
      <c r="F12" s="1888">
        <f>C12-D12</f>
        <v>57216</v>
      </c>
      <c r="G12" s="1889"/>
    </row>
    <row r="13" spans="1:7" ht="15.75">
      <c r="A13" s="1886"/>
      <c r="B13" s="1893" t="s">
        <v>3744</v>
      </c>
      <c r="C13" s="1891">
        <f>SUM(C11:C12)</f>
        <v>1028692</v>
      </c>
      <c r="D13" s="1891">
        <f>SUM(D11:D12)</f>
        <v>1022338</v>
      </c>
      <c r="E13" s="1891">
        <f>SUM(E11:E12)</f>
        <v>400742</v>
      </c>
      <c r="F13" s="1891">
        <f>SUM(F11:F12)</f>
        <v>407096</v>
      </c>
      <c r="G13" s="1889"/>
    </row>
    <row r="14" spans="1:7" ht="15.75">
      <c r="A14" s="1886">
        <v>7</v>
      </c>
      <c r="B14" s="1887" t="s">
        <v>3745</v>
      </c>
      <c r="C14" s="1888">
        <f>ROUND(C5*1%,0)</f>
        <v>6133</v>
      </c>
      <c r="D14" s="1888">
        <v>1075</v>
      </c>
      <c r="E14" s="1888"/>
      <c r="F14" s="1888">
        <f>C14-D14</f>
        <v>5058</v>
      </c>
      <c r="G14" s="1889"/>
    </row>
    <row r="15" spans="1:7" ht="15.75">
      <c r="A15" s="1886">
        <v>8</v>
      </c>
      <c r="B15" s="1887" t="s">
        <v>3746</v>
      </c>
      <c r="C15" s="1888">
        <f>ROUND(C14*30%,0)</f>
        <v>1840</v>
      </c>
      <c r="D15" s="1888">
        <f>ROUND(D14*30%,0)</f>
        <v>323</v>
      </c>
      <c r="E15" s="1888"/>
      <c r="F15" s="1888">
        <f>C15-D15</f>
        <v>1517</v>
      </c>
      <c r="G15" s="1889"/>
    </row>
    <row r="16" spans="1:7" ht="15.75">
      <c r="A16" s="1886">
        <v>9</v>
      </c>
      <c r="B16" s="1887" t="s">
        <v>3747</v>
      </c>
      <c r="C16" s="1888">
        <f>ROUND(C14*2%,0)</f>
        <v>123</v>
      </c>
      <c r="D16" s="1888">
        <f>ROUND(D14*2%,0)</f>
        <v>22</v>
      </c>
      <c r="E16" s="1888"/>
      <c r="F16" s="1888">
        <f>C16-D16</f>
        <v>101</v>
      </c>
      <c r="G16" s="1889"/>
    </row>
    <row r="17" spans="1:7" ht="15.75">
      <c r="A17" s="1886">
        <v>10</v>
      </c>
      <c r="B17" s="1887" t="s">
        <v>3748</v>
      </c>
      <c r="C17" s="1888">
        <f>ROUND(C13*0.1%,0)</f>
        <v>1029</v>
      </c>
      <c r="D17" s="1888">
        <f>ROUND(D13*0.1%,0)</f>
        <v>1022</v>
      </c>
      <c r="E17" s="1888"/>
      <c r="F17" s="1888">
        <f>C17-D17</f>
        <v>7</v>
      </c>
      <c r="G17" s="1889"/>
    </row>
    <row r="18" spans="1:7" ht="15.75">
      <c r="A18" s="1886"/>
      <c r="B18" s="1893" t="s">
        <v>3744</v>
      </c>
      <c r="C18" s="1891">
        <f>SUM(C13:C17)</f>
        <v>1037817</v>
      </c>
      <c r="D18" s="1891">
        <f>SUM(D13:D17)</f>
        <v>1024780</v>
      </c>
      <c r="E18" s="1891">
        <f>SUM(E13:E17)</f>
        <v>400742</v>
      </c>
      <c r="F18" s="1891">
        <f>SUM(F13:F17)</f>
        <v>413779</v>
      </c>
      <c r="G18" s="1889"/>
    </row>
    <row r="19" spans="1:7" ht="15.75">
      <c r="A19" s="1886">
        <v>12</v>
      </c>
      <c r="B19" s="1887" t="s">
        <v>3749</v>
      </c>
      <c r="C19" s="1894">
        <f>ROUND((C18)*18%,0)</f>
        <v>186807</v>
      </c>
      <c r="D19" s="1894">
        <f>ROUND((D18)*18%,0)</f>
        <v>184460</v>
      </c>
      <c r="E19" s="1888"/>
      <c r="F19" s="1888">
        <f>C19-D19</f>
        <v>2347</v>
      </c>
      <c r="G19" s="1889"/>
    </row>
    <row r="20" spans="1:7" ht="15.75">
      <c r="A20" s="1886">
        <v>13</v>
      </c>
      <c r="B20" s="1895" t="s">
        <v>3750</v>
      </c>
      <c r="C20" s="1888">
        <v>1391</v>
      </c>
      <c r="D20" s="1888">
        <v>2763</v>
      </c>
      <c r="E20" s="1888">
        <f>D20-C20</f>
        <v>1372</v>
      </c>
      <c r="F20" s="1888"/>
      <c r="G20" s="1889"/>
    </row>
    <row r="21" spans="1:7" ht="21.75" customHeight="1">
      <c r="A21" s="1886">
        <v>14</v>
      </c>
      <c r="B21" s="1896" t="s">
        <v>3372</v>
      </c>
      <c r="C21" s="1894">
        <f>ROUND((C18+C19)*4%,0)</f>
        <v>48985</v>
      </c>
      <c r="D21" s="1894">
        <f>ROUND((D18+D19)*4%,0)</f>
        <v>48370</v>
      </c>
      <c r="E21" s="1888"/>
      <c r="F21" s="1888">
        <f>C21-D21</f>
        <v>615</v>
      </c>
      <c r="G21" s="1889"/>
    </row>
    <row r="22" spans="1:7" ht="15.75">
      <c r="A22" s="1897"/>
      <c r="B22" s="1893" t="s">
        <v>3744</v>
      </c>
      <c r="C22" s="1898">
        <f>SUM(C18:C21)</f>
        <v>1275000</v>
      </c>
      <c r="D22" s="1898">
        <f>SUM(D18:D21)</f>
        <v>1260373</v>
      </c>
      <c r="E22" s="1898">
        <f>SUM(E18:E21)</f>
        <v>402114</v>
      </c>
      <c r="F22" s="1898">
        <f>SUM(F18:F21)</f>
        <v>416741</v>
      </c>
      <c r="G22" s="1889"/>
    </row>
    <row r="23" spans="1:7" ht="15.75">
      <c r="A23" s="1899">
        <v>15</v>
      </c>
      <c r="B23" s="1896" t="s">
        <v>3756</v>
      </c>
      <c r="C23" s="1888"/>
      <c r="D23" s="1888">
        <f>-D12</f>
        <v>57216</v>
      </c>
      <c r="E23" s="1888">
        <f>D23-C23</f>
        <v>57216</v>
      </c>
      <c r="F23" s="1888"/>
      <c r="G23" s="1889"/>
    </row>
    <row r="24" spans="1:7" ht="15.75">
      <c r="A24" s="1897"/>
      <c r="B24" s="1893" t="s">
        <v>3371</v>
      </c>
      <c r="C24" s="1891">
        <f>SUM(C22:C23)</f>
        <v>1275000</v>
      </c>
      <c r="D24" s="1891">
        <f>SUM(D22:D23)</f>
        <v>1317589</v>
      </c>
      <c r="E24" s="1891">
        <f>SUM(E22:E23)</f>
        <v>459330</v>
      </c>
      <c r="F24" s="1891">
        <f>SUM(F22:F23)</f>
        <v>416741</v>
      </c>
      <c r="G24" s="1889"/>
    </row>
    <row r="25" spans="1:7">
      <c r="D25">
        <f>C24-D24</f>
        <v>-42589</v>
      </c>
    </row>
    <row r="26" spans="1:7">
      <c r="A26" s="1873"/>
      <c r="B26" s="1873"/>
      <c r="C26" s="1873"/>
      <c r="D26" s="1873"/>
      <c r="E26" s="1873"/>
      <c r="F26" s="1873"/>
      <c r="G26" s="1873"/>
    </row>
    <row r="27" spans="1:7">
      <c r="A27" s="1873"/>
      <c r="B27" s="1968" t="s">
        <v>3858</v>
      </c>
      <c r="C27" s="1873">
        <f>C24</f>
        <v>1275000</v>
      </c>
      <c r="D27" s="1968" t="s">
        <v>3729</v>
      </c>
      <c r="E27" s="1873">
        <f>E24</f>
        <v>459330</v>
      </c>
      <c r="F27" s="1873"/>
      <c r="G27" s="1873"/>
    </row>
    <row r="28" spans="1:7">
      <c r="A28" s="1873"/>
      <c r="B28" s="1968" t="s">
        <v>3859</v>
      </c>
      <c r="C28" s="1873">
        <f>D24</f>
        <v>1317589</v>
      </c>
      <c r="D28" s="1968" t="s">
        <v>3730</v>
      </c>
      <c r="E28" s="1873">
        <f>F24</f>
        <v>416741</v>
      </c>
      <c r="F28" s="1873"/>
      <c r="G28" s="1873"/>
    </row>
    <row r="29" spans="1:7">
      <c r="A29" s="1969"/>
      <c r="B29" s="1968" t="s">
        <v>3860</v>
      </c>
      <c r="C29" s="1873">
        <f>C27-C28</f>
        <v>-42589</v>
      </c>
      <c r="D29" s="1968" t="s">
        <v>3860</v>
      </c>
      <c r="E29" s="1873">
        <f>E27-E28</f>
        <v>42589</v>
      </c>
      <c r="F29" s="1873"/>
      <c r="G29" s="1873"/>
    </row>
  </sheetData>
  <mergeCells count="2">
    <mergeCell ref="A1:G1"/>
    <mergeCell ref="A2:G2"/>
  </mergeCells>
  <printOptions horizontalCentered="1"/>
  <pageMargins left="0.7" right="0.7" top="0.75" bottom="0.75" header="0.3" footer="0.3"/>
  <pageSetup paperSize="5" orientation="landscape" r:id="rId1"/>
</worksheet>
</file>

<file path=xl/worksheets/sheet23.xml><?xml version="1.0" encoding="utf-8"?>
<worksheet xmlns="http://schemas.openxmlformats.org/spreadsheetml/2006/main" xmlns:r="http://schemas.openxmlformats.org/officeDocument/2006/relationships">
  <dimension ref="A1:K242"/>
  <sheetViews>
    <sheetView view="pageBreakPreview" topLeftCell="A215" zoomScaleSheetLayoutView="100" workbookViewId="0">
      <selection activeCell="F223" sqref="F223"/>
    </sheetView>
  </sheetViews>
  <sheetFormatPr defaultRowHeight="12.75"/>
  <cols>
    <col min="1" max="1" width="5.85546875" customWidth="1"/>
    <col min="2" max="2" width="40.5703125" customWidth="1"/>
    <col min="3" max="3" width="5.7109375" customWidth="1"/>
    <col min="4" max="4" width="4.7109375" customWidth="1"/>
    <col min="5" max="6" width="7" customWidth="1"/>
    <col min="7" max="7" width="7.28515625" customWidth="1"/>
  </cols>
  <sheetData>
    <row r="1" spans="1:11" ht="18">
      <c r="A1" s="2197" t="s">
        <v>3757</v>
      </c>
      <c r="B1" s="2198"/>
      <c r="C1" s="2198"/>
      <c r="D1" s="2198"/>
      <c r="E1" s="2198"/>
      <c r="F1" s="2198"/>
      <c r="G1" s="2198"/>
      <c r="H1" s="2199"/>
      <c r="I1" s="1919"/>
      <c r="J1" s="1919"/>
      <c r="K1" s="1919"/>
    </row>
    <row r="2" spans="1:11" ht="52.5" customHeight="1">
      <c r="A2" s="2194" t="str">
        <f>Input!C2</f>
        <v>Name of Work:  Creation of Infrastructure Facilities for skill Dvelopment lab at 6th Floor OPD Block-3 in Gandhi Hospital, Secunderabad (Balance Work)</v>
      </c>
      <c r="B2" s="2195"/>
      <c r="C2" s="2195"/>
      <c r="D2" s="2195"/>
      <c r="E2" s="2195"/>
      <c r="F2" s="2195"/>
      <c r="G2" s="2195"/>
      <c r="H2" s="2196"/>
      <c r="I2" s="1918"/>
      <c r="J2" s="1918"/>
      <c r="K2" s="1918"/>
    </row>
    <row r="3" spans="1:11" ht="15">
      <c r="A3" s="1920" t="s">
        <v>936</v>
      </c>
      <c r="B3" s="1914" t="s">
        <v>3758</v>
      </c>
      <c r="C3" s="2191" t="s">
        <v>3759</v>
      </c>
      <c r="D3" s="2191"/>
      <c r="E3" s="1901" t="s">
        <v>2430</v>
      </c>
      <c r="F3" s="1914" t="s">
        <v>884</v>
      </c>
      <c r="G3" s="1901" t="s">
        <v>929</v>
      </c>
      <c r="H3" s="1901" t="s">
        <v>2365</v>
      </c>
      <c r="I3" s="1901" t="s">
        <v>30</v>
      </c>
      <c r="J3" s="1902" t="s">
        <v>29</v>
      </c>
      <c r="K3" s="1902" t="s">
        <v>2366</v>
      </c>
    </row>
    <row r="4" spans="1:11" ht="15">
      <c r="A4" s="1914"/>
      <c r="B4" s="1903"/>
      <c r="C4" s="1903"/>
      <c r="D4" s="1903"/>
      <c r="E4" s="1904"/>
      <c r="F4" s="1905"/>
      <c r="G4" s="1904"/>
      <c r="H4" s="1904"/>
      <c r="I4" s="1901"/>
      <c r="J4" s="1901"/>
      <c r="K4" s="1902"/>
    </row>
    <row r="5" spans="1:11" ht="56.25" customHeight="1">
      <c r="A5" s="1914">
        <f>A4+1</f>
        <v>1</v>
      </c>
      <c r="B5" s="2192" t="s">
        <v>3629</v>
      </c>
      <c r="C5" s="2192"/>
      <c r="D5" s="2192"/>
      <c r="E5" s="2192"/>
      <c r="F5" s="2192"/>
      <c r="G5" s="2192"/>
      <c r="H5" s="2192"/>
      <c r="I5" s="1901"/>
      <c r="J5" s="1901"/>
      <c r="K5" s="1902"/>
    </row>
    <row r="6" spans="1:11" ht="15">
      <c r="A6" s="1914"/>
      <c r="B6" s="2193" t="s">
        <v>3821</v>
      </c>
      <c r="C6" s="2193"/>
      <c r="D6" s="2193"/>
      <c r="E6" s="1904"/>
      <c r="F6" s="1905"/>
      <c r="G6" s="1904"/>
      <c r="H6" s="1904"/>
      <c r="I6" s="1901"/>
      <c r="J6" s="1901"/>
      <c r="K6" s="1902"/>
    </row>
    <row r="7" spans="1:11" ht="15">
      <c r="A7" s="1914"/>
      <c r="B7" s="1906" t="s">
        <v>3761</v>
      </c>
      <c r="C7" s="1907">
        <v>1</v>
      </c>
      <c r="D7" s="1907">
        <v>7</v>
      </c>
      <c r="E7" s="1908">
        <v>0.75</v>
      </c>
      <c r="F7" s="1908">
        <v>0.1</v>
      </c>
      <c r="G7" s="1908">
        <v>0.8</v>
      </c>
      <c r="H7" s="1908">
        <f>PRODUCT(C7:G7)</f>
        <v>0.42000000000000004</v>
      </c>
      <c r="I7" s="1909"/>
      <c r="J7" s="1909"/>
      <c r="K7" s="1910"/>
    </row>
    <row r="8" spans="1:11" ht="15">
      <c r="A8" s="1914"/>
      <c r="B8" s="1906" t="s">
        <v>3762</v>
      </c>
      <c r="C8" s="1907">
        <v>1</v>
      </c>
      <c r="D8" s="1907">
        <v>1</v>
      </c>
      <c r="E8" s="1908">
        <v>5.7</v>
      </c>
      <c r="F8" s="1908">
        <v>0.1</v>
      </c>
      <c r="G8" s="1908">
        <v>0.1</v>
      </c>
      <c r="H8" s="1908">
        <f>PRODUCT(C8:G8)</f>
        <v>5.7000000000000009E-2</v>
      </c>
      <c r="I8" s="1909"/>
      <c r="J8" s="1909"/>
      <c r="K8" s="1910"/>
    </row>
    <row r="9" spans="1:11" ht="15">
      <c r="A9" s="1914"/>
      <c r="B9" s="1906" t="s">
        <v>963</v>
      </c>
      <c r="C9" s="1907">
        <v>1</v>
      </c>
      <c r="D9" s="1907">
        <v>1</v>
      </c>
      <c r="E9" s="1908">
        <v>2.7</v>
      </c>
      <c r="F9" s="1908">
        <v>0.1</v>
      </c>
      <c r="G9" s="1908">
        <v>0.1</v>
      </c>
      <c r="H9" s="1908">
        <f>PRODUCT(C9:G9)</f>
        <v>2.7000000000000003E-2</v>
      </c>
      <c r="I9" s="1909"/>
      <c r="J9" s="1909"/>
      <c r="K9" s="1910"/>
    </row>
    <row r="10" spans="1:11" ht="15">
      <c r="A10" s="1914"/>
      <c r="B10" s="1906" t="s">
        <v>3763</v>
      </c>
      <c r="C10" s="1907">
        <v>1</v>
      </c>
      <c r="D10" s="1907">
        <v>8</v>
      </c>
      <c r="E10" s="1908">
        <v>0.75</v>
      </c>
      <c r="F10" s="1908">
        <v>0.1</v>
      </c>
      <c r="G10" s="1908">
        <v>0.8</v>
      </c>
      <c r="H10" s="1908">
        <f>PRODUCT(C10:G10)</f>
        <v>0.48000000000000009</v>
      </c>
      <c r="I10" s="1909"/>
      <c r="J10" s="1909"/>
      <c r="K10" s="1910"/>
    </row>
    <row r="11" spans="1:11" ht="15">
      <c r="A11" s="1914"/>
      <c r="B11" s="1906"/>
      <c r="C11" s="1907"/>
      <c r="D11" s="1907"/>
      <c r="E11" s="1908"/>
      <c r="F11" s="1908"/>
      <c r="G11" s="1904"/>
      <c r="H11" s="1904">
        <f>SUM(H7:H10)</f>
        <v>0.9840000000000001</v>
      </c>
      <c r="I11" s="1909"/>
      <c r="J11" s="1909"/>
      <c r="K11" s="1910"/>
    </row>
    <row r="12" spans="1:11" ht="15">
      <c r="A12" s="1914"/>
      <c r="B12" s="2200" t="s">
        <v>443</v>
      </c>
      <c r="C12" s="2200"/>
      <c r="D12" s="2200"/>
      <c r="E12" s="1908"/>
      <c r="F12" s="1908"/>
      <c r="G12" s="1904"/>
      <c r="H12" s="1904"/>
      <c r="I12" s="1909"/>
      <c r="J12" s="1909"/>
      <c r="K12" s="1910"/>
    </row>
    <row r="13" spans="1:11" ht="15">
      <c r="A13" s="1914"/>
      <c r="B13" s="1906" t="s">
        <v>3761</v>
      </c>
      <c r="C13" s="1907">
        <v>1</v>
      </c>
      <c r="D13" s="1907">
        <v>1</v>
      </c>
      <c r="E13" s="1908">
        <v>5.7</v>
      </c>
      <c r="F13" s="1908">
        <v>0.9</v>
      </c>
      <c r="G13" s="1908"/>
      <c r="H13" s="1908">
        <f t="shared" ref="H13:H19" si="0">PRODUCT(C13:G13)</f>
        <v>5.13</v>
      </c>
      <c r="I13" s="1909"/>
      <c r="J13" s="1909"/>
      <c r="K13" s="1910"/>
    </row>
    <row r="14" spans="1:11" ht="15">
      <c r="A14" s="1914"/>
      <c r="B14" s="1906" t="s">
        <v>3762</v>
      </c>
      <c r="C14" s="1907">
        <v>1</v>
      </c>
      <c r="D14" s="1907">
        <v>1</v>
      </c>
      <c r="E14" s="1908">
        <v>2.25</v>
      </c>
      <c r="F14" s="1908">
        <v>0.9</v>
      </c>
      <c r="G14" s="1908"/>
      <c r="H14" s="1908">
        <f t="shared" si="0"/>
        <v>2.0249999999999999</v>
      </c>
      <c r="I14" s="1909"/>
      <c r="J14" s="1909"/>
      <c r="K14" s="1910"/>
    </row>
    <row r="15" spans="1:11" ht="15">
      <c r="A15" s="1914"/>
      <c r="B15" s="1906" t="s">
        <v>963</v>
      </c>
      <c r="C15" s="1907">
        <v>1</v>
      </c>
      <c r="D15" s="1907">
        <v>1</v>
      </c>
      <c r="E15" s="1908">
        <v>5.7</v>
      </c>
      <c r="F15" s="1908">
        <v>0.85</v>
      </c>
      <c r="G15" s="1908"/>
      <c r="H15" s="1908">
        <f t="shared" si="0"/>
        <v>4.8449999999999998</v>
      </c>
      <c r="I15" s="1909"/>
      <c r="J15" s="1909"/>
      <c r="K15" s="1910"/>
    </row>
    <row r="16" spans="1:11" ht="15">
      <c r="A16" s="1914"/>
      <c r="B16" s="1906" t="s">
        <v>3763</v>
      </c>
      <c r="C16" s="1907">
        <v>1</v>
      </c>
      <c r="D16" s="1907">
        <v>1</v>
      </c>
      <c r="E16" s="1908">
        <v>4.8499999999999996</v>
      </c>
      <c r="F16" s="1908">
        <v>0.9</v>
      </c>
      <c r="G16" s="1908"/>
      <c r="H16" s="1908">
        <f t="shared" si="0"/>
        <v>4.3650000000000002</v>
      </c>
      <c r="I16" s="1909"/>
      <c r="J16" s="1909"/>
      <c r="K16" s="1910"/>
    </row>
    <row r="17" spans="1:11" ht="15">
      <c r="A17" s="1914"/>
      <c r="B17" s="1906" t="s">
        <v>963</v>
      </c>
      <c r="C17" s="1907">
        <v>1</v>
      </c>
      <c r="D17" s="1907">
        <v>1</v>
      </c>
      <c r="E17" s="1908">
        <v>1.3</v>
      </c>
      <c r="F17" s="1908">
        <v>0.9</v>
      </c>
      <c r="G17" s="1908"/>
      <c r="H17" s="1908">
        <f t="shared" si="0"/>
        <v>1.1700000000000002</v>
      </c>
      <c r="I17" s="1909"/>
      <c r="J17" s="1909"/>
      <c r="K17" s="1910"/>
    </row>
    <row r="18" spans="1:11" ht="15">
      <c r="A18" s="1914"/>
      <c r="B18" s="1906" t="s">
        <v>3764</v>
      </c>
      <c r="C18" s="1907">
        <v>1</v>
      </c>
      <c r="D18" s="1907">
        <v>1</v>
      </c>
      <c r="E18" s="1908">
        <v>1.3</v>
      </c>
      <c r="F18" s="1908">
        <v>1.1000000000000001</v>
      </c>
      <c r="G18" s="1908"/>
      <c r="H18" s="1908">
        <f t="shared" si="0"/>
        <v>1.4300000000000002</v>
      </c>
      <c r="I18" s="1909"/>
      <c r="J18" s="1909"/>
      <c r="K18" s="1910"/>
    </row>
    <row r="19" spans="1:11" ht="15">
      <c r="A19" s="1914"/>
      <c r="B19" s="1906" t="s">
        <v>3765</v>
      </c>
      <c r="C19" s="1907">
        <v>1</v>
      </c>
      <c r="D19" s="1907">
        <v>1</v>
      </c>
      <c r="E19" s="1908">
        <v>1.4</v>
      </c>
      <c r="F19" s="1908">
        <v>1.4</v>
      </c>
      <c r="G19" s="1908"/>
      <c r="H19" s="1908">
        <f t="shared" si="0"/>
        <v>1.9599999999999997</v>
      </c>
      <c r="I19" s="1909"/>
      <c r="J19" s="1909"/>
      <c r="K19" s="1910"/>
    </row>
    <row r="20" spans="1:11" ht="15">
      <c r="A20" s="1914"/>
      <c r="B20" s="1906"/>
      <c r="C20" s="1907"/>
      <c r="D20" s="1907"/>
      <c r="E20" s="1908"/>
      <c r="F20" s="1908"/>
      <c r="G20" s="1904"/>
      <c r="H20" s="1904">
        <f>SUM(H13:H19)</f>
        <v>20.925000000000004</v>
      </c>
      <c r="I20" s="1909"/>
      <c r="J20" s="1909"/>
      <c r="K20" s="1910"/>
    </row>
    <row r="21" spans="1:11" ht="15">
      <c r="A21" s="1914"/>
      <c r="B21" s="1906"/>
      <c r="C21" s="1907"/>
      <c r="D21" s="1907"/>
      <c r="E21" s="1908"/>
      <c r="F21" s="1908"/>
      <c r="G21" s="1904"/>
      <c r="H21" s="1904"/>
      <c r="I21" s="1909"/>
      <c r="J21" s="1909"/>
      <c r="K21" s="1910"/>
    </row>
    <row r="22" spans="1:11" ht="69" customHeight="1">
      <c r="A22" s="1914"/>
      <c r="B22" s="2202" t="s">
        <v>3760</v>
      </c>
      <c r="C22" s="2202"/>
      <c r="D22" s="2202"/>
      <c r="E22" s="2202"/>
      <c r="F22" s="2202"/>
      <c r="G22" s="2202"/>
      <c r="H22" s="2202"/>
      <c r="I22" s="1909"/>
      <c r="J22" s="1909"/>
      <c r="K22" s="1910"/>
    </row>
    <row r="23" spans="1:11" ht="15">
      <c r="A23" s="1914"/>
      <c r="B23" s="1906" t="s">
        <v>3764</v>
      </c>
      <c r="C23" s="1907">
        <v>1</v>
      </c>
      <c r="D23" s="1907">
        <v>1</v>
      </c>
      <c r="E23" s="1908">
        <v>1.3</v>
      </c>
      <c r="F23" s="1908">
        <v>1.1000000000000001</v>
      </c>
      <c r="G23" s="1908">
        <v>0.1</v>
      </c>
      <c r="H23" s="1908">
        <f t="shared" ref="H23:H25" si="1">PRODUCT(C23:G23)</f>
        <v>0.14300000000000002</v>
      </c>
      <c r="I23" s="1909"/>
      <c r="J23" s="1909"/>
      <c r="K23" s="1910"/>
    </row>
    <row r="24" spans="1:11" ht="15">
      <c r="A24" s="1914"/>
      <c r="B24" s="1906" t="s">
        <v>3765</v>
      </c>
      <c r="C24" s="1907">
        <v>1</v>
      </c>
      <c r="D24" s="1907">
        <v>1</v>
      </c>
      <c r="E24" s="1908">
        <v>1.4</v>
      </c>
      <c r="F24" s="1908">
        <v>1.4</v>
      </c>
      <c r="G24" s="1908">
        <v>0.1</v>
      </c>
      <c r="H24" s="1908">
        <f t="shared" si="1"/>
        <v>0.19599999999999998</v>
      </c>
      <c r="I24" s="1909"/>
      <c r="J24" s="1909"/>
      <c r="K24" s="1910"/>
    </row>
    <row r="25" spans="1:11" ht="15">
      <c r="A25" s="1914"/>
      <c r="B25" s="1906" t="s">
        <v>3766</v>
      </c>
      <c r="C25" s="1907">
        <v>1</v>
      </c>
      <c r="D25" s="1907">
        <v>1</v>
      </c>
      <c r="E25" s="1908">
        <v>1.54</v>
      </c>
      <c r="F25" s="1908">
        <v>1.1000000000000001</v>
      </c>
      <c r="G25" s="1908">
        <v>0.1</v>
      </c>
      <c r="H25" s="1908">
        <f t="shared" si="1"/>
        <v>0.16940000000000002</v>
      </c>
      <c r="I25" s="1909"/>
      <c r="J25" s="1909"/>
      <c r="K25" s="1910"/>
    </row>
    <row r="26" spans="1:11" ht="15">
      <c r="A26" s="1914"/>
      <c r="B26" s="1906"/>
      <c r="C26" s="1907"/>
      <c r="D26" s="1907"/>
      <c r="E26" s="1908"/>
      <c r="F26" s="1908"/>
      <c r="G26" s="1904"/>
      <c r="H26" s="1904">
        <f>SUM(H23:H25)</f>
        <v>0.50839999999999996</v>
      </c>
      <c r="I26" s="1909"/>
      <c r="J26" s="1909"/>
      <c r="K26" s="1910"/>
    </row>
    <row r="27" spans="1:11" ht="67.5" customHeight="1">
      <c r="A27" s="1914"/>
      <c r="B27" s="2201" t="s">
        <v>3694</v>
      </c>
      <c r="C27" s="2201"/>
      <c r="D27" s="2201"/>
      <c r="E27" s="2201"/>
      <c r="F27" s="2201"/>
      <c r="G27" s="2201"/>
      <c r="H27" s="2201"/>
      <c r="I27" s="1909"/>
      <c r="J27" s="1909"/>
      <c r="K27" s="1910"/>
    </row>
    <row r="28" spans="1:11" ht="15">
      <c r="A28" s="1914"/>
      <c r="B28" s="1906" t="s">
        <v>3766</v>
      </c>
      <c r="C28" s="1907">
        <v>1</v>
      </c>
      <c r="D28" s="1907">
        <v>1</v>
      </c>
      <c r="E28" s="1908">
        <v>1.54</v>
      </c>
      <c r="F28" s="1908"/>
      <c r="G28" s="1908">
        <v>0.2</v>
      </c>
      <c r="H28" s="1908">
        <f>PRODUCT(C28:G28)</f>
        <v>0.30800000000000005</v>
      </c>
      <c r="I28" s="1909"/>
      <c r="J28" s="1909"/>
      <c r="K28" s="1910"/>
    </row>
    <row r="29" spans="1:11" ht="15">
      <c r="A29" s="1914"/>
      <c r="B29" s="1906" t="s">
        <v>963</v>
      </c>
      <c r="C29" s="1907">
        <v>1</v>
      </c>
      <c r="D29" s="1907">
        <v>1</v>
      </c>
      <c r="E29" s="1908">
        <v>1.1000000000000001</v>
      </c>
      <c r="F29" s="1908"/>
      <c r="G29" s="1908">
        <v>0.2</v>
      </c>
      <c r="H29" s="1908">
        <f>PRODUCT(C29:G29)</f>
        <v>0.22000000000000003</v>
      </c>
      <c r="I29" s="1909"/>
      <c r="J29" s="1909"/>
      <c r="K29" s="1910"/>
    </row>
    <row r="30" spans="1:11" ht="15">
      <c r="A30" s="1914"/>
      <c r="B30" s="1906"/>
      <c r="C30" s="1907"/>
      <c r="D30" s="1907"/>
      <c r="E30" s="1908"/>
      <c r="F30" s="1908"/>
      <c r="G30" s="1904"/>
      <c r="H30" s="1904">
        <f>SUM(H28:H29)</f>
        <v>0.52800000000000002</v>
      </c>
      <c r="I30" s="1909"/>
      <c r="J30" s="1909"/>
      <c r="K30" s="1910"/>
    </row>
    <row r="31" spans="1:11" ht="30" customHeight="1">
      <c r="A31" s="1914"/>
      <c r="B31" s="2201" t="s">
        <v>3695</v>
      </c>
      <c r="C31" s="2201"/>
      <c r="D31" s="2201"/>
      <c r="E31" s="2201"/>
      <c r="F31" s="2201"/>
      <c r="G31" s="2201"/>
      <c r="H31" s="2201"/>
      <c r="I31" s="1909"/>
      <c r="J31" s="1909"/>
      <c r="K31" s="1910"/>
    </row>
    <row r="32" spans="1:11" ht="15">
      <c r="A32" s="1914"/>
      <c r="B32" s="1906" t="s">
        <v>3768</v>
      </c>
      <c r="C32" s="1907">
        <v>1</v>
      </c>
      <c r="D32" s="1907">
        <v>1</v>
      </c>
      <c r="E32" s="1908">
        <v>3.94</v>
      </c>
      <c r="F32" s="1908"/>
      <c r="G32" s="1908">
        <v>1.23</v>
      </c>
      <c r="H32" s="1908">
        <f>PRODUCT(C32:G32)</f>
        <v>4.8461999999999996</v>
      </c>
      <c r="I32" s="1909"/>
      <c r="J32" s="1909"/>
      <c r="K32" s="1910"/>
    </row>
    <row r="33" spans="1:11" ht="15">
      <c r="A33" s="1914"/>
      <c r="B33" s="1906" t="s">
        <v>3769</v>
      </c>
      <c r="C33" s="1907">
        <v>1</v>
      </c>
      <c r="D33" s="1907">
        <v>1</v>
      </c>
      <c r="E33" s="1908">
        <v>3.87</v>
      </c>
      <c r="F33" s="1908"/>
      <c r="G33" s="1908">
        <v>1.23</v>
      </c>
      <c r="H33" s="1908">
        <f>PRODUCT(C33:G33)</f>
        <v>4.7601000000000004</v>
      </c>
      <c r="I33" s="1909"/>
      <c r="J33" s="1909"/>
      <c r="K33" s="1910"/>
    </row>
    <row r="34" spans="1:11" ht="15">
      <c r="A34" s="1914"/>
      <c r="B34" s="1906" t="s">
        <v>3770</v>
      </c>
      <c r="C34" s="1907">
        <v>1</v>
      </c>
      <c r="D34" s="1907">
        <v>1</v>
      </c>
      <c r="E34" s="1908">
        <v>6.75</v>
      </c>
      <c r="F34" s="1908"/>
      <c r="G34" s="1908">
        <v>4</v>
      </c>
      <c r="H34" s="1908">
        <f>PRODUCT(C34:G34)</f>
        <v>27</v>
      </c>
      <c r="I34" s="1909"/>
      <c r="J34" s="1909"/>
      <c r="K34" s="1910"/>
    </row>
    <row r="35" spans="1:11" ht="15">
      <c r="A35" s="1914"/>
      <c r="B35" s="1906" t="s">
        <v>3771</v>
      </c>
      <c r="C35" s="1907">
        <v>1</v>
      </c>
      <c r="D35" s="1907">
        <v>1</v>
      </c>
      <c r="E35" s="1908">
        <v>1.48</v>
      </c>
      <c r="F35" s="1908">
        <v>0.65</v>
      </c>
      <c r="G35" s="1908"/>
      <c r="H35" s="1908">
        <f>PRODUCT(C35:G35)</f>
        <v>0.96199999999999997</v>
      </c>
      <c r="I35" s="1909"/>
      <c r="J35" s="1909"/>
      <c r="K35" s="1910"/>
    </row>
    <row r="36" spans="1:11" ht="15">
      <c r="A36" s="1914"/>
      <c r="B36" s="1906" t="s">
        <v>963</v>
      </c>
      <c r="C36" s="1907">
        <v>1</v>
      </c>
      <c r="D36" s="1907">
        <v>1</v>
      </c>
      <c r="E36" s="1908">
        <v>1.48</v>
      </c>
      <c r="F36" s="1908">
        <v>0.65</v>
      </c>
      <c r="G36" s="1908"/>
      <c r="H36" s="1908">
        <f t="shared" ref="H36:H43" si="2">PRODUCT(C36:G36)</f>
        <v>0.96199999999999997</v>
      </c>
      <c r="I36" s="1909"/>
      <c r="J36" s="1909"/>
      <c r="K36" s="1910"/>
    </row>
    <row r="37" spans="1:11" ht="15">
      <c r="A37" s="1914"/>
      <c r="B37" s="1906" t="s">
        <v>963</v>
      </c>
      <c r="C37" s="1907">
        <v>1</v>
      </c>
      <c r="D37" s="1907">
        <v>1</v>
      </c>
      <c r="E37" s="1908">
        <v>1.63</v>
      </c>
      <c r="F37" s="1908">
        <v>0.65</v>
      </c>
      <c r="G37" s="1908"/>
      <c r="H37" s="1908">
        <f t="shared" si="2"/>
        <v>1.0594999999999999</v>
      </c>
      <c r="I37" s="1909"/>
      <c r="J37" s="1909"/>
      <c r="K37" s="1910"/>
    </row>
    <row r="38" spans="1:11" ht="15">
      <c r="A38" s="1914"/>
      <c r="B38" s="1906" t="s">
        <v>963</v>
      </c>
      <c r="C38" s="1907">
        <v>1</v>
      </c>
      <c r="D38" s="1907">
        <v>1</v>
      </c>
      <c r="E38" s="1908">
        <v>1.63</v>
      </c>
      <c r="F38" s="1908">
        <v>0.65</v>
      </c>
      <c r="G38" s="1908"/>
      <c r="H38" s="1908">
        <f t="shared" si="2"/>
        <v>1.0594999999999999</v>
      </c>
      <c r="I38" s="1909"/>
      <c r="J38" s="1909"/>
      <c r="K38" s="1910"/>
    </row>
    <row r="39" spans="1:11" ht="15">
      <c r="A39" s="1914"/>
      <c r="B39" s="1906" t="s">
        <v>963</v>
      </c>
      <c r="C39" s="1907">
        <v>1</v>
      </c>
      <c r="D39" s="1907">
        <v>2</v>
      </c>
      <c r="E39" s="1908">
        <v>1.8</v>
      </c>
      <c r="F39" s="1908">
        <v>0.65</v>
      </c>
      <c r="G39" s="1908"/>
      <c r="H39" s="1908">
        <f t="shared" si="2"/>
        <v>2.3400000000000003</v>
      </c>
      <c r="I39" s="1909"/>
      <c r="J39" s="1909"/>
      <c r="K39" s="1910"/>
    </row>
    <row r="40" spans="1:11" ht="15">
      <c r="A40" s="1914"/>
      <c r="B40" s="1906" t="s">
        <v>3772</v>
      </c>
      <c r="C40" s="1907">
        <v>3</v>
      </c>
      <c r="D40" s="1907">
        <v>2</v>
      </c>
      <c r="E40" s="1908">
        <v>2</v>
      </c>
      <c r="F40" s="1908">
        <v>0.5</v>
      </c>
      <c r="G40" s="1908"/>
      <c r="H40" s="1908">
        <f t="shared" si="2"/>
        <v>6</v>
      </c>
      <c r="I40" s="1909"/>
      <c r="J40" s="1909"/>
      <c r="K40" s="1910"/>
    </row>
    <row r="41" spans="1:11" ht="15">
      <c r="A41" s="1914"/>
      <c r="B41" s="1906" t="s">
        <v>3773</v>
      </c>
      <c r="C41" s="1907">
        <v>2</v>
      </c>
      <c r="D41" s="1907">
        <v>2</v>
      </c>
      <c r="E41" s="1908">
        <v>0.15</v>
      </c>
      <c r="F41" s="1908">
        <v>1.1000000000000001</v>
      </c>
      <c r="G41" s="1908"/>
      <c r="H41" s="1908">
        <f t="shared" si="2"/>
        <v>0.66</v>
      </c>
      <c r="I41" s="1909"/>
      <c r="J41" s="1909"/>
      <c r="K41" s="1910"/>
    </row>
    <row r="42" spans="1:11" ht="15">
      <c r="A42" s="1914"/>
      <c r="B42" s="1906" t="s">
        <v>3774</v>
      </c>
      <c r="C42" s="1907">
        <v>1</v>
      </c>
      <c r="D42" s="1907">
        <v>1</v>
      </c>
      <c r="E42" s="1908">
        <v>2.6</v>
      </c>
      <c r="F42" s="1908"/>
      <c r="G42" s="1908">
        <v>1.3</v>
      </c>
      <c r="H42" s="1908">
        <f t="shared" si="2"/>
        <v>3.3800000000000003</v>
      </c>
      <c r="I42" s="1909"/>
      <c r="J42" s="1909"/>
      <c r="K42" s="1910"/>
    </row>
    <row r="43" spans="1:11" ht="15">
      <c r="A43" s="1914"/>
      <c r="B43" s="1906" t="s">
        <v>3770</v>
      </c>
      <c r="C43" s="1907">
        <v>1</v>
      </c>
      <c r="D43" s="1907">
        <v>1</v>
      </c>
      <c r="E43" s="1908">
        <v>6.6</v>
      </c>
      <c r="F43" s="1908"/>
      <c r="G43" s="1908">
        <v>1.9</v>
      </c>
      <c r="H43" s="1908">
        <f t="shared" si="2"/>
        <v>12.54</v>
      </c>
      <c r="I43" s="1909"/>
      <c r="J43" s="1909"/>
      <c r="K43" s="1910"/>
    </row>
    <row r="44" spans="1:11" ht="15">
      <c r="A44" s="1914"/>
      <c r="B44" s="1906" t="s">
        <v>3775</v>
      </c>
      <c r="C44" s="1907">
        <v>1</v>
      </c>
      <c r="D44" s="1907">
        <v>1</v>
      </c>
      <c r="E44" s="1908">
        <v>1.2</v>
      </c>
      <c r="F44" s="1908"/>
      <c r="G44" s="1908">
        <v>1.75</v>
      </c>
      <c r="H44" s="1908">
        <f>-PRODUCT(C44:G44)</f>
        <v>-2.1</v>
      </c>
      <c r="I44" s="1909"/>
      <c r="J44" s="1909"/>
      <c r="K44" s="1910"/>
    </row>
    <row r="45" spans="1:11" ht="15">
      <c r="A45" s="1914"/>
      <c r="B45" s="1906" t="s">
        <v>3775</v>
      </c>
      <c r="C45" s="1907">
        <v>1</v>
      </c>
      <c r="D45" s="1907">
        <v>2</v>
      </c>
      <c r="E45" s="1908">
        <v>1.2</v>
      </c>
      <c r="F45" s="1908"/>
      <c r="G45" s="1908">
        <v>1.2</v>
      </c>
      <c r="H45" s="1908">
        <f>-PRODUCT(C45:G45)</f>
        <v>-2.88</v>
      </c>
      <c r="I45" s="1909"/>
      <c r="J45" s="1909"/>
      <c r="K45" s="1910"/>
    </row>
    <row r="46" spans="1:11" ht="15">
      <c r="A46" s="1914"/>
      <c r="B46" s="1906" t="s">
        <v>3776</v>
      </c>
      <c r="C46" s="1907">
        <v>1</v>
      </c>
      <c r="D46" s="1907">
        <v>1</v>
      </c>
      <c r="E46" s="1908">
        <v>3.9</v>
      </c>
      <c r="F46" s="1908"/>
      <c r="G46" s="1908">
        <v>0.6</v>
      </c>
      <c r="H46" s="1908">
        <f>-PRODUCT(C46:G46)</f>
        <v>-2.34</v>
      </c>
      <c r="I46" s="1909"/>
      <c r="J46" s="1909"/>
      <c r="K46" s="1910"/>
    </row>
    <row r="47" spans="1:11" ht="15">
      <c r="A47" s="1914"/>
      <c r="B47" s="1906" t="s">
        <v>3777</v>
      </c>
      <c r="C47" s="1907">
        <v>1</v>
      </c>
      <c r="D47" s="1907">
        <v>1</v>
      </c>
      <c r="E47" s="1908">
        <v>1.7</v>
      </c>
      <c r="F47" s="1908"/>
      <c r="G47" s="1908">
        <v>4.5</v>
      </c>
      <c r="H47" s="1908">
        <f t="shared" ref="H47" si="3">PRODUCT(C47:G47)</f>
        <v>7.6499999999999995</v>
      </c>
      <c r="I47" s="1909"/>
      <c r="J47" s="1909"/>
      <c r="K47" s="1910"/>
    </row>
    <row r="48" spans="1:11" ht="15">
      <c r="A48" s="1914"/>
      <c r="B48" s="1906" t="s">
        <v>3778</v>
      </c>
      <c r="C48" s="1907">
        <v>1</v>
      </c>
      <c r="D48" s="1907">
        <v>1</v>
      </c>
      <c r="E48" s="1908">
        <v>0.9</v>
      </c>
      <c r="F48" s="1908"/>
      <c r="G48" s="1908">
        <v>1.7</v>
      </c>
      <c r="H48" s="1908">
        <f>-PRODUCT(C48:G48)</f>
        <v>-1.53</v>
      </c>
      <c r="I48" s="1909"/>
      <c r="J48" s="1909"/>
      <c r="K48" s="1910"/>
    </row>
    <row r="49" spans="1:11" ht="15">
      <c r="A49" s="1914"/>
      <c r="B49" s="1906" t="s">
        <v>3779</v>
      </c>
      <c r="C49" s="1907">
        <v>1</v>
      </c>
      <c r="D49" s="1907">
        <v>1</v>
      </c>
      <c r="E49" s="1908">
        <v>3.7</v>
      </c>
      <c r="F49" s="1908"/>
      <c r="G49" s="1908">
        <v>4.5</v>
      </c>
      <c r="H49" s="1908">
        <f t="shared" ref="H49" si="4">PRODUCT(C49:G49)</f>
        <v>16.650000000000002</v>
      </c>
      <c r="I49" s="1909"/>
      <c r="J49" s="1909"/>
      <c r="K49" s="1910"/>
    </row>
    <row r="50" spans="1:11" ht="15">
      <c r="A50" s="1914"/>
      <c r="B50" s="1906" t="s">
        <v>3780</v>
      </c>
      <c r="C50" s="1907">
        <v>1</v>
      </c>
      <c r="D50" s="1907">
        <v>1</v>
      </c>
      <c r="E50" s="1908">
        <v>1.2</v>
      </c>
      <c r="F50" s="1908"/>
      <c r="G50" s="1908">
        <v>2.1</v>
      </c>
      <c r="H50" s="1908">
        <f>-PRODUCT(C50:G50)</f>
        <v>-2.52</v>
      </c>
      <c r="I50" s="1909"/>
      <c r="J50" s="1909"/>
      <c r="K50" s="1910"/>
    </row>
    <row r="51" spans="1:11" ht="15">
      <c r="A51" s="1914"/>
      <c r="B51" s="1906" t="s">
        <v>3781</v>
      </c>
      <c r="C51" s="1907">
        <v>1</v>
      </c>
      <c r="D51" s="1907">
        <v>1</v>
      </c>
      <c r="E51" s="1908">
        <v>4.2</v>
      </c>
      <c r="F51" s="1908"/>
      <c r="G51" s="1908">
        <v>1.2</v>
      </c>
      <c r="H51" s="1908">
        <f t="shared" ref="H51" si="5">PRODUCT(C51:G51)</f>
        <v>5.04</v>
      </c>
      <c r="I51" s="1909"/>
      <c r="J51" s="1909"/>
      <c r="K51" s="1910"/>
    </row>
    <row r="52" spans="1:11" ht="15">
      <c r="A52" s="1914"/>
      <c r="B52" s="1906" t="s">
        <v>3770</v>
      </c>
      <c r="C52" s="1907">
        <v>1</v>
      </c>
      <c r="D52" s="1907">
        <v>1</v>
      </c>
      <c r="E52" s="1908">
        <v>3.95</v>
      </c>
      <c r="F52" s="1908"/>
      <c r="G52" s="1908">
        <v>1.2</v>
      </c>
      <c r="H52" s="1908">
        <f t="shared" ref="H52" si="6">PRODUCT(C52:G52)</f>
        <v>4.74</v>
      </c>
      <c r="I52" s="1909"/>
      <c r="J52" s="1909"/>
      <c r="K52" s="1910"/>
    </row>
    <row r="53" spans="1:11" ht="15">
      <c r="A53" s="1914"/>
      <c r="B53" s="1906" t="s">
        <v>963</v>
      </c>
      <c r="C53" s="1907">
        <v>1</v>
      </c>
      <c r="D53" s="1907">
        <v>1</v>
      </c>
      <c r="E53" s="1908">
        <v>2.8</v>
      </c>
      <c r="F53" s="1908"/>
      <c r="G53" s="1908">
        <v>2.92</v>
      </c>
      <c r="H53" s="1908">
        <f t="shared" ref="H53" si="7">PRODUCT(C53:G53)</f>
        <v>8.1760000000000002</v>
      </c>
      <c r="I53" s="1909"/>
      <c r="J53" s="1909"/>
      <c r="K53" s="1910"/>
    </row>
    <row r="54" spans="1:11" ht="15">
      <c r="A54" s="1914"/>
      <c r="B54" s="1906" t="s">
        <v>3782</v>
      </c>
      <c r="C54" s="1907">
        <v>1</v>
      </c>
      <c r="D54" s="1907">
        <v>1</v>
      </c>
      <c r="E54" s="1908">
        <v>6.65</v>
      </c>
      <c r="F54" s="1908"/>
      <c r="G54" s="1908">
        <v>2.5</v>
      </c>
      <c r="H54" s="1908">
        <f t="shared" ref="H54" si="8">PRODUCT(C54:G54)</f>
        <v>16.625</v>
      </c>
      <c r="I54" s="1909"/>
      <c r="J54" s="1909"/>
      <c r="K54" s="1910"/>
    </row>
    <row r="55" spans="1:11" ht="15">
      <c r="A55" s="1914"/>
      <c r="B55" s="1906" t="s">
        <v>3775</v>
      </c>
      <c r="C55" s="1907">
        <v>1</v>
      </c>
      <c r="D55" s="1907">
        <v>2</v>
      </c>
      <c r="E55" s="1908">
        <v>1.2</v>
      </c>
      <c r="F55" s="1908"/>
      <c r="G55" s="1908">
        <v>1.2</v>
      </c>
      <c r="H55" s="1908">
        <f>-PRODUCT(C55:G55)</f>
        <v>-2.88</v>
      </c>
      <c r="I55" s="1909"/>
      <c r="J55" s="1909"/>
      <c r="K55" s="1910"/>
    </row>
    <row r="56" spans="1:11" ht="15">
      <c r="A56" s="1914"/>
      <c r="B56" s="1906" t="s">
        <v>3775</v>
      </c>
      <c r="C56" s="1907">
        <v>1</v>
      </c>
      <c r="D56" s="1907">
        <v>1</v>
      </c>
      <c r="E56" s="1908">
        <v>1.2</v>
      </c>
      <c r="F56" s="1908"/>
      <c r="G56" s="1908">
        <v>1.75</v>
      </c>
      <c r="H56" s="1908">
        <f>-PRODUCT(C56:G56)</f>
        <v>-2.1</v>
      </c>
      <c r="I56" s="1909"/>
      <c r="J56" s="1909"/>
      <c r="K56" s="1910"/>
    </row>
    <row r="57" spans="1:11" ht="15">
      <c r="A57" s="1914"/>
      <c r="B57" s="1906"/>
      <c r="C57" s="1907"/>
      <c r="D57" s="1907"/>
      <c r="E57" s="1908"/>
      <c r="F57" s="1908"/>
      <c r="G57" s="1908"/>
      <c r="H57" s="1904">
        <f>SUM(H32:H56)</f>
        <v>108.10030000000003</v>
      </c>
      <c r="I57" s="1909"/>
      <c r="J57" s="1909"/>
      <c r="K57" s="1910"/>
    </row>
    <row r="58" spans="1:11" ht="45.75" customHeight="1">
      <c r="A58" s="1914"/>
      <c r="B58" s="2201" t="s">
        <v>3697</v>
      </c>
      <c r="C58" s="2201"/>
      <c r="D58" s="2201"/>
      <c r="E58" s="2201"/>
      <c r="F58" s="2201"/>
      <c r="G58" s="2201"/>
      <c r="H58" s="2201"/>
      <c r="I58" s="1909"/>
      <c r="J58" s="1909"/>
      <c r="K58" s="1910"/>
    </row>
    <row r="59" spans="1:11" ht="15">
      <c r="A59" s="1914"/>
      <c r="B59" s="1906" t="s">
        <v>3767</v>
      </c>
      <c r="C59" s="1907">
        <v>1</v>
      </c>
      <c r="D59" s="1907">
        <v>1</v>
      </c>
      <c r="E59" s="1908">
        <v>6.8</v>
      </c>
      <c r="F59" s="1908">
        <v>4.5999999999999996</v>
      </c>
      <c r="G59" s="1908"/>
      <c r="H59" s="1908">
        <f t="shared" ref="H59" si="9">PRODUCT(C59:G59)</f>
        <v>31.279999999999998</v>
      </c>
      <c r="I59" s="1909"/>
      <c r="J59" s="1909"/>
      <c r="K59" s="1910"/>
    </row>
    <row r="60" spans="1:11" ht="15">
      <c r="A60" s="1914"/>
      <c r="B60" s="1906" t="s">
        <v>3783</v>
      </c>
      <c r="C60" s="1907">
        <v>1</v>
      </c>
      <c r="D60" s="1907">
        <v>1</v>
      </c>
      <c r="E60" s="1908">
        <v>4</v>
      </c>
      <c r="F60" s="1908">
        <v>2.63</v>
      </c>
      <c r="G60" s="1908"/>
      <c r="H60" s="1908">
        <f t="shared" ref="H60" si="10">PRODUCT(C60:G60)</f>
        <v>10.52</v>
      </c>
      <c r="I60" s="1909"/>
      <c r="J60" s="1909"/>
      <c r="K60" s="1910"/>
    </row>
    <row r="61" spans="1:11" ht="15">
      <c r="A61" s="1914"/>
      <c r="B61" s="1906" t="s">
        <v>963</v>
      </c>
      <c r="C61" s="1907">
        <v>1</v>
      </c>
      <c r="D61" s="1907">
        <v>1</v>
      </c>
      <c r="E61" s="1908">
        <v>4</v>
      </c>
      <c r="F61" s="1908">
        <v>3.35</v>
      </c>
      <c r="G61" s="1908"/>
      <c r="H61" s="1908">
        <f t="shared" ref="H61" si="11">PRODUCT(C61:G61)</f>
        <v>13.4</v>
      </c>
      <c r="I61" s="1909"/>
      <c r="J61" s="1909"/>
      <c r="K61" s="1910"/>
    </row>
    <row r="62" spans="1:11" ht="15">
      <c r="A62" s="1914"/>
      <c r="B62" s="1906" t="s">
        <v>3784</v>
      </c>
      <c r="C62" s="1907">
        <v>1</v>
      </c>
      <c r="D62" s="1907">
        <v>1</v>
      </c>
      <c r="E62" s="1908">
        <v>1.65</v>
      </c>
      <c r="F62" s="1908">
        <v>1.2</v>
      </c>
      <c r="G62" s="1908"/>
      <c r="H62" s="1908">
        <f>-PRODUCT(C62:G62)</f>
        <v>-1.9799999999999998</v>
      </c>
      <c r="I62" s="1909"/>
      <c r="J62" s="1909"/>
      <c r="K62" s="1910"/>
    </row>
    <row r="63" spans="1:11" ht="15">
      <c r="A63" s="1914"/>
      <c r="B63" s="1906" t="s">
        <v>3785</v>
      </c>
      <c r="C63" s="1907">
        <v>1</v>
      </c>
      <c r="D63" s="1907">
        <v>1</v>
      </c>
      <c r="E63" s="1908">
        <v>1.67</v>
      </c>
      <c r="F63" s="1908">
        <v>1.37</v>
      </c>
      <c r="G63" s="1908"/>
      <c r="H63" s="1908">
        <f>-PRODUCT(C63:G63)</f>
        <v>-2.2879</v>
      </c>
      <c r="I63" s="1909"/>
      <c r="J63" s="1909"/>
      <c r="K63" s="1910"/>
    </row>
    <row r="64" spans="1:11" ht="15">
      <c r="A64" s="1914"/>
      <c r="B64" s="1906" t="s">
        <v>3788</v>
      </c>
      <c r="C64" s="1907">
        <v>1</v>
      </c>
      <c r="D64" s="1907">
        <v>1</v>
      </c>
      <c r="E64" s="1908">
        <v>5.7</v>
      </c>
      <c r="F64" s="1908">
        <v>0.9</v>
      </c>
      <c r="G64" s="1908"/>
      <c r="H64" s="1908">
        <f t="shared" ref="H64" si="12">PRODUCT(C64:G64)</f>
        <v>5.13</v>
      </c>
      <c r="I64" s="1909"/>
      <c r="J64" s="1909"/>
      <c r="K64" s="1910"/>
    </row>
    <row r="65" spans="1:11" ht="15">
      <c r="A65" s="1914"/>
      <c r="B65" s="1906" t="s">
        <v>963</v>
      </c>
      <c r="C65" s="1907">
        <v>1</v>
      </c>
      <c r="D65" s="1907">
        <v>1</v>
      </c>
      <c r="E65" s="1908">
        <v>2.7</v>
      </c>
      <c r="F65" s="1908">
        <v>0.9</v>
      </c>
      <c r="G65" s="1908"/>
      <c r="H65" s="1908">
        <f t="shared" ref="H65:H66" si="13">PRODUCT(C65:G65)</f>
        <v>2.4300000000000002</v>
      </c>
      <c r="I65" s="1909"/>
      <c r="J65" s="1909"/>
      <c r="K65" s="1910"/>
    </row>
    <row r="66" spans="1:11" ht="15">
      <c r="A66" s="1914"/>
      <c r="B66" s="1906" t="s">
        <v>3789</v>
      </c>
      <c r="C66" s="1907">
        <v>1</v>
      </c>
      <c r="D66" s="1907">
        <v>1</v>
      </c>
      <c r="E66" s="1908">
        <v>4.8499999999999996</v>
      </c>
      <c r="F66" s="1908">
        <v>0.9</v>
      </c>
      <c r="G66" s="1908"/>
      <c r="H66" s="1908">
        <f t="shared" si="13"/>
        <v>4.3650000000000002</v>
      </c>
      <c r="I66" s="1909"/>
      <c r="J66" s="1909"/>
      <c r="K66" s="1910"/>
    </row>
    <row r="67" spans="1:11" ht="15">
      <c r="A67" s="1914"/>
      <c r="B67" s="1906" t="s">
        <v>963</v>
      </c>
      <c r="C67" s="1907">
        <v>1</v>
      </c>
      <c r="D67" s="1907">
        <v>1</v>
      </c>
      <c r="E67" s="1908">
        <v>1.3</v>
      </c>
      <c r="F67" s="1908">
        <v>0.9</v>
      </c>
      <c r="G67" s="1908"/>
      <c r="H67" s="1908">
        <f t="shared" ref="H67" si="14">PRODUCT(C67:G67)</f>
        <v>1.1700000000000002</v>
      </c>
      <c r="I67" s="1909"/>
      <c r="J67" s="1909"/>
      <c r="K67" s="1910"/>
    </row>
    <row r="68" spans="1:11" ht="15">
      <c r="A68" s="1914"/>
      <c r="B68" s="1906"/>
      <c r="C68" s="1907"/>
      <c r="D68" s="1907"/>
      <c r="E68" s="1908"/>
      <c r="F68" s="1908"/>
      <c r="G68" s="1908"/>
      <c r="H68" s="1908">
        <f>SUM(H59:H67)</f>
        <v>64.027100000000004</v>
      </c>
      <c r="I68" s="1909"/>
      <c r="J68" s="1909"/>
      <c r="K68" s="1910"/>
    </row>
    <row r="69" spans="1:11" ht="36" customHeight="1">
      <c r="A69" s="1914"/>
      <c r="B69" s="2201" t="s">
        <v>3698</v>
      </c>
      <c r="C69" s="2201"/>
      <c r="D69" s="2201"/>
      <c r="E69" s="2201"/>
      <c r="F69" s="2201"/>
      <c r="G69" s="2201"/>
      <c r="H69" s="2201"/>
      <c r="I69" s="1909"/>
      <c r="J69" s="1909"/>
      <c r="K69" s="1910"/>
    </row>
    <row r="70" spans="1:11" ht="15">
      <c r="A70" s="1914"/>
      <c r="B70" s="1906" t="s">
        <v>3786</v>
      </c>
      <c r="C70" s="1907">
        <v>1</v>
      </c>
      <c r="D70" s="1907">
        <v>1</v>
      </c>
      <c r="E70" s="1908">
        <v>1.54</v>
      </c>
      <c r="F70" s="1908">
        <v>1.1000000000000001</v>
      </c>
      <c r="G70" s="1908"/>
      <c r="H70" s="1908">
        <f t="shared" ref="H70" si="15">PRODUCT(C70:G70)</f>
        <v>1.6940000000000002</v>
      </c>
      <c r="I70" s="1909"/>
      <c r="J70" s="1909"/>
      <c r="K70" s="1910"/>
    </row>
    <row r="71" spans="1:11" ht="15">
      <c r="A71" s="1914"/>
      <c r="B71" s="1906" t="s">
        <v>3764</v>
      </c>
      <c r="C71" s="1907">
        <v>1</v>
      </c>
      <c r="D71" s="1907">
        <v>1</v>
      </c>
      <c r="E71" s="1908">
        <v>1.35</v>
      </c>
      <c r="F71" s="1908">
        <v>1.1000000000000001</v>
      </c>
      <c r="G71" s="1908"/>
      <c r="H71" s="1908">
        <f t="shared" ref="H71" si="16">PRODUCT(C71:G71)</f>
        <v>1.4850000000000003</v>
      </c>
      <c r="I71" s="1909"/>
      <c r="J71" s="1909"/>
      <c r="K71" s="1910"/>
    </row>
    <row r="72" spans="1:11" ht="15">
      <c r="A72" s="1914"/>
      <c r="B72" s="1906" t="s">
        <v>3765</v>
      </c>
      <c r="C72" s="1907">
        <v>1</v>
      </c>
      <c r="D72" s="1907">
        <v>1</v>
      </c>
      <c r="E72" s="1908">
        <v>1.45</v>
      </c>
      <c r="F72" s="1908">
        <v>1.4</v>
      </c>
      <c r="G72" s="1908"/>
      <c r="H72" s="1908">
        <f t="shared" ref="H72" si="17">PRODUCT(C72:G72)</f>
        <v>2.0299999999999998</v>
      </c>
      <c r="I72" s="1909"/>
      <c r="J72" s="1909"/>
      <c r="K72" s="1910"/>
    </row>
    <row r="73" spans="1:11" ht="15">
      <c r="A73" s="1914"/>
      <c r="B73" s="1906"/>
      <c r="C73" s="1907"/>
      <c r="D73" s="1907"/>
      <c r="E73" s="1908"/>
      <c r="F73" s="1908"/>
      <c r="G73" s="1908"/>
      <c r="H73" s="1908">
        <f>SUM(H70:H72)</f>
        <v>5.2089999999999996</v>
      </c>
      <c r="I73" s="1909"/>
      <c r="J73" s="1909"/>
      <c r="K73" s="1910"/>
    </row>
    <row r="74" spans="1:11" ht="37.5" customHeight="1">
      <c r="A74" s="1914"/>
      <c r="B74" s="2201" t="s">
        <v>3701</v>
      </c>
      <c r="C74" s="2201"/>
      <c r="D74" s="2201"/>
      <c r="E74" s="2201"/>
      <c r="F74" s="2201"/>
      <c r="G74" s="2201"/>
      <c r="H74" s="2201"/>
      <c r="I74" s="1909"/>
      <c r="J74" s="1909"/>
      <c r="K74" s="1910"/>
    </row>
    <row r="75" spans="1:11" ht="15">
      <c r="A75" s="1914"/>
      <c r="B75" s="1906" t="s">
        <v>3786</v>
      </c>
      <c r="C75" s="1907">
        <v>1</v>
      </c>
      <c r="D75" s="1907">
        <v>1</v>
      </c>
      <c r="E75" s="1908">
        <v>1.54</v>
      </c>
      <c r="F75" s="1908"/>
      <c r="G75" s="1908">
        <v>0.92</v>
      </c>
      <c r="H75" s="1908">
        <f t="shared" ref="H75" si="18">PRODUCT(C75:G75)</f>
        <v>1.4168000000000001</v>
      </c>
      <c r="I75" s="1909"/>
      <c r="J75" s="1909"/>
      <c r="K75" s="1910"/>
    </row>
    <row r="76" spans="1:11" ht="15">
      <c r="A76" s="1914"/>
      <c r="B76" s="1906" t="s">
        <v>963</v>
      </c>
      <c r="C76" s="1907">
        <v>1</v>
      </c>
      <c r="D76" s="1907">
        <v>1</v>
      </c>
      <c r="E76" s="1908">
        <v>2.5</v>
      </c>
      <c r="F76" s="1908"/>
      <c r="G76" s="1908">
        <v>0.92</v>
      </c>
      <c r="H76" s="1908">
        <f t="shared" ref="H76" si="19">PRODUCT(C76:G76)</f>
        <v>2.3000000000000003</v>
      </c>
      <c r="I76" s="1909"/>
      <c r="J76" s="1909"/>
      <c r="K76" s="1910"/>
    </row>
    <row r="77" spans="1:11" ht="15">
      <c r="A77" s="1914"/>
      <c r="B77" s="1906"/>
      <c r="C77" s="1907"/>
      <c r="D77" s="1907"/>
      <c r="E77" s="1908"/>
      <c r="F77" s="1908"/>
      <c r="G77" s="1908"/>
      <c r="H77" s="1904">
        <f>SUM(H75:H76)</f>
        <v>3.7168000000000001</v>
      </c>
      <c r="I77" s="1909"/>
      <c r="J77" s="1909"/>
      <c r="K77" s="1910"/>
    </row>
    <row r="78" spans="1:11" ht="34.5" customHeight="1">
      <c r="A78" s="1914"/>
      <c r="B78" s="2201" t="s">
        <v>3700</v>
      </c>
      <c r="C78" s="2201"/>
      <c r="D78" s="2201"/>
      <c r="E78" s="2201"/>
      <c r="F78" s="2201"/>
      <c r="G78" s="2201"/>
      <c r="H78" s="2201"/>
      <c r="I78" s="1909"/>
      <c r="J78" s="1909"/>
      <c r="K78" s="1910"/>
    </row>
    <row r="79" spans="1:11" ht="15">
      <c r="A79" s="1914"/>
      <c r="B79" s="1906" t="s">
        <v>3787</v>
      </c>
      <c r="C79" s="1907">
        <v>1</v>
      </c>
      <c r="D79" s="1907">
        <v>1</v>
      </c>
      <c r="E79" s="1908">
        <v>1.45</v>
      </c>
      <c r="F79" s="1908"/>
      <c r="G79" s="1908"/>
      <c r="H79" s="1908">
        <f t="shared" ref="H79" si="20">PRODUCT(C79:G79)</f>
        <v>1.45</v>
      </c>
      <c r="I79" s="1909"/>
      <c r="J79" s="1909"/>
      <c r="K79" s="1910"/>
    </row>
    <row r="80" spans="1:11" ht="15">
      <c r="A80" s="1914"/>
      <c r="B80" s="1906" t="s">
        <v>963</v>
      </c>
      <c r="C80" s="1907">
        <v>1</v>
      </c>
      <c r="D80" s="1907">
        <v>1</v>
      </c>
      <c r="E80" s="1908">
        <v>1.3</v>
      </c>
      <c r="F80" s="1908"/>
      <c r="G80" s="1908"/>
      <c r="H80" s="1908">
        <f t="shared" ref="H80:H85" si="21">PRODUCT(C80:G80)</f>
        <v>1.3</v>
      </c>
      <c r="I80" s="1909"/>
      <c r="J80" s="1909"/>
      <c r="K80" s="1910"/>
    </row>
    <row r="81" spans="1:11" ht="15">
      <c r="A81" s="1914"/>
      <c r="B81" s="1906" t="s">
        <v>963</v>
      </c>
      <c r="C81" s="1907">
        <v>1</v>
      </c>
      <c r="D81" s="1907">
        <v>1</v>
      </c>
      <c r="E81" s="1908">
        <v>1.6</v>
      </c>
      <c r="F81" s="1908"/>
      <c r="G81" s="1908"/>
      <c r="H81" s="1908">
        <f t="shared" si="21"/>
        <v>1.6</v>
      </c>
      <c r="I81" s="1909"/>
      <c r="J81" s="1909"/>
      <c r="K81" s="1910"/>
    </row>
    <row r="82" spans="1:11" ht="15">
      <c r="A82" s="1914"/>
      <c r="B82" s="1906" t="s">
        <v>963</v>
      </c>
      <c r="C82" s="1907">
        <v>1</v>
      </c>
      <c r="D82" s="1907">
        <v>1</v>
      </c>
      <c r="E82" s="1908">
        <v>8.5</v>
      </c>
      <c r="F82" s="1908"/>
      <c r="G82" s="1908"/>
      <c r="H82" s="1908">
        <f t="shared" si="21"/>
        <v>8.5</v>
      </c>
      <c r="I82" s="1909"/>
      <c r="J82" s="1909"/>
      <c r="K82" s="1910"/>
    </row>
    <row r="83" spans="1:11" ht="15">
      <c r="A83" s="1914"/>
      <c r="B83" s="1906" t="s">
        <v>3780</v>
      </c>
      <c r="C83" s="1907">
        <v>1</v>
      </c>
      <c r="D83" s="1907">
        <v>1</v>
      </c>
      <c r="E83" s="1908">
        <v>1.2</v>
      </c>
      <c r="F83" s="1908"/>
      <c r="G83" s="1908"/>
      <c r="H83" s="1908">
        <f>-PRODUCT(C83:G83)</f>
        <v>-1.2</v>
      </c>
      <c r="I83" s="1909"/>
      <c r="J83" s="1909"/>
      <c r="K83" s="1910"/>
    </row>
    <row r="84" spans="1:11" ht="15">
      <c r="A84" s="1914"/>
      <c r="B84" s="1906" t="s">
        <v>3767</v>
      </c>
      <c r="C84" s="1907">
        <v>1</v>
      </c>
      <c r="D84" s="1907">
        <v>2</v>
      </c>
      <c r="E84" s="1908">
        <v>6.8</v>
      </c>
      <c r="F84" s="1908"/>
      <c r="G84" s="1908"/>
      <c r="H84" s="1908">
        <f t="shared" si="21"/>
        <v>13.6</v>
      </c>
      <c r="I84" s="1909"/>
      <c r="J84" s="1909"/>
      <c r="K84" s="1910"/>
    </row>
    <row r="85" spans="1:11" ht="15">
      <c r="A85" s="1914"/>
      <c r="B85" s="1906" t="s">
        <v>3787</v>
      </c>
      <c r="C85" s="1907">
        <v>1</v>
      </c>
      <c r="D85" s="1907">
        <v>1</v>
      </c>
      <c r="E85" s="1908">
        <v>3.9</v>
      </c>
      <c r="F85" s="1908"/>
      <c r="G85" s="1908"/>
      <c r="H85" s="1908">
        <f t="shared" si="21"/>
        <v>3.9</v>
      </c>
      <c r="I85" s="1909"/>
      <c r="J85" s="1909"/>
      <c r="K85" s="1910"/>
    </row>
    <row r="86" spans="1:11" ht="15">
      <c r="A86" s="1914"/>
      <c r="B86" s="1906" t="s">
        <v>3780</v>
      </c>
      <c r="C86" s="1907">
        <v>1</v>
      </c>
      <c r="D86" s="1907">
        <v>1</v>
      </c>
      <c r="E86" s="1908">
        <v>1.2</v>
      </c>
      <c r="F86" s="1908"/>
      <c r="G86" s="1908"/>
      <c r="H86" s="1908">
        <f>-PRODUCT(C86:G86)</f>
        <v>-1.2</v>
      </c>
      <c r="I86" s="1909"/>
      <c r="J86" s="1909"/>
      <c r="K86" s="1910"/>
    </row>
    <row r="87" spans="1:11" ht="15">
      <c r="A87" s="1914"/>
      <c r="B87" s="1906"/>
      <c r="C87" s="1907"/>
      <c r="D87" s="1907"/>
      <c r="E87" s="1908"/>
      <c r="F87" s="1908"/>
      <c r="G87" s="1908"/>
      <c r="H87" s="1904">
        <f>SUM(H79:H86)</f>
        <v>27.95</v>
      </c>
      <c r="I87" s="1909"/>
      <c r="J87" s="1909"/>
      <c r="K87" s="1910"/>
    </row>
    <row r="88" spans="1:11" ht="35.25" customHeight="1">
      <c r="A88" s="1914"/>
      <c r="B88" s="2189" t="s">
        <v>3430</v>
      </c>
      <c r="C88" s="2189"/>
      <c r="D88" s="2189"/>
      <c r="E88" s="2189"/>
      <c r="F88" s="2189"/>
      <c r="G88" s="2189"/>
      <c r="H88" s="1904"/>
      <c r="I88" s="1909"/>
      <c r="J88" s="1909"/>
      <c r="K88" s="1910"/>
    </row>
    <row r="89" spans="1:11" ht="15">
      <c r="A89" s="1914"/>
      <c r="B89" s="1906" t="s">
        <v>3790</v>
      </c>
      <c r="C89" s="1907">
        <v>1</v>
      </c>
      <c r="D89" s="1907">
        <v>0.5</v>
      </c>
      <c r="E89" s="1908">
        <v>1.1299999999999999</v>
      </c>
      <c r="F89" s="1908">
        <v>1.18</v>
      </c>
      <c r="G89" s="1908"/>
      <c r="H89" s="1908">
        <f t="shared" ref="H89" si="22">PRODUCT(C89:G89)</f>
        <v>0.66669999999999985</v>
      </c>
      <c r="I89" s="1909"/>
      <c r="J89" s="1909"/>
      <c r="K89" s="1910"/>
    </row>
    <row r="90" spans="1:11" ht="15">
      <c r="A90" s="1914"/>
      <c r="B90" s="1906" t="s">
        <v>963</v>
      </c>
      <c r="C90" s="1907">
        <v>1</v>
      </c>
      <c r="D90" s="1907">
        <v>0.5</v>
      </c>
      <c r="E90" s="1908">
        <v>0.85</v>
      </c>
      <c r="F90" s="1908">
        <v>1</v>
      </c>
      <c r="G90" s="1908"/>
      <c r="H90" s="1908">
        <f t="shared" ref="H90:H92" si="23">PRODUCT(C90:G90)</f>
        <v>0.42499999999999999</v>
      </c>
      <c r="I90" s="1909"/>
      <c r="J90" s="1909"/>
      <c r="K90" s="1910"/>
    </row>
    <row r="91" spans="1:11" ht="15">
      <c r="A91" s="1914"/>
      <c r="B91" s="1906" t="s">
        <v>963</v>
      </c>
      <c r="C91" s="1907">
        <v>1</v>
      </c>
      <c r="D91" s="1907">
        <v>0.5</v>
      </c>
      <c r="E91" s="1908">
        <v>0.9</v>
      </c>
      <c r="F91" s="1908">
        <v>0.73</v>
      </c>
      <c r="G91" s="1908"/>
      <c r="H91" s="1908">
        <f t="shared" si="23"/>
        <v>0.32850000000000001</v>
      </c>
      <c r="I91" s="1909"/>
      <c r="J91" s="1909"/>
      <c r="K91" s="1910"/>
    </row>
    <row r="92" spans="1:11" ht="15">
      <c r="A92" s="1914"/>
      <c r="B92" s="1906" t="s">
        <v>963</v>
      </c>
      <c r="C92" s="1907">
        <v>1</v>
      </c>
      <c r="D92" s="1907">
        <v>1</v>
      </c>
      <c r="E92" s="1908">
        <v>5.4</v>
      </c>
      <c r="F92" s="1908"/>
      <c r="G92" s="1908">
        <v>1</v>
      </c>
      <c r="H92" s="1908">
        <f t="shared" si="23"/>
        <v>5.4</v>
      </c>
      <c r="I92" s="1909"/>
      <c r="J92" s="1909"/>
      <c r="K92" s="1910"/>
    </row>
    <row r="93" spans="1:11" ht="15">
      <c r="A93" s="1914"/>
      <c r="B93" s="1906"/>
      <c r="C93" s="1907"/>
      <c r="D93" s="1907"/>
      <c r="E93" s="1908"/>
      <c r="F93" s="1908"/>
      <c r="G93" s="1908"/>
      <c r="H93" s="1904">
        <f>SUM(H89:H92)</f>
        <v>6.8201999999999998</v>
      </c>
      <c r="I93" s="1909"/>
      <c r="J93" s="1909"/>
      <c r="K93" s="1910"/>
    </row>
    <row r="94" spans="1:11" ht="33" customHeight="1">
      <c r="A94" s="1914"/>
      <c r="B94" s="2203" t="s">
        <v>3599</v>
      </c>
      <c r="C94" s="2203"/>
      <c r="D94" s="2203"/>
      <c r="E94" s="2203"/>
      <c r="F94" s="2203"/>
      <c r="G94" s="2203"/>
      <c r="H94" s="2203"/>
      <c r="I94" s="1909"/>
      <c r="J94" s="1909"/>
      <c r="K94" s="1910"/>
    </row>
    <row r="95" spans="1:11" ht="15">
      <c r="A95" s="1914"/>
      <c r="B95" s="1906" t="s">
        <v>3767</v>
      </c>
      <c r="C95" s="1907">
        <v>1</v>
      </c>
      <c r="D95" s="1907">
        <v>1</v>
      </c>
      <c r="E95" s="1908">
        <v>6.85</v>
      </c>
      <c r="F95" s="1908">
        <v>4.1500000000000004</v>
      </c>
      <c r="G95" s="1908"/>
      <c r="H95" s="1908">
        <f t="shared" ref="H95" si="24">PRODUCT(C95:G95)</f>
        <v>28.427500000000002</v>
      </c>
      <c r="I95" s="1909"/>
      <c r="J95" s="1909"/>
      <c r="K95" s="1910"/>
    </row>
    <row r="96" spans="1:11" ht="15">
      <c r="A96" s="1914"/>
      <c r="B96" s="1906"/>
      <c r="C96" s="1907"/>
      <c r="D96" s="1907"/>
      <c r="E96" s="1908"/>
      <c r="F96" s="1908"/>
      <c r="G96" s="1908"/>
      <c r="H96" s="1904"/>
      <c r="I96" s="1909"/>
      <c r="J96" s="1909"/>
      <c r="K96" s="1910"/>
    </row>
    <row r="97" spans="1:11" ht="42" customHeight="1">
      <c r="A97" s="1914"/>
      <c r="B97" s="2188" t="s">
        <v>3696</v>
      </c>
      <c r="C97" s="2188"/>
      <c r="D97" s="2188"/>
      <c r="E97" s="2188"/>
      <c r="F97" s="2188"/>
      <c r="G97" s="2188"/>
      <c r="H97" s="2188"/>
      <c r="I97" s="1909"/>
      <c r="J97" s="1909"/>
      <c r="K97" s="1910"/>
    </row>
    <row r="98" spans="1:11" ht="15">
      <c r="A98" s="1914"/>
      <c r="B98" s="1906" t="s">
        <v>3792</v>
      </c>
      <c r="C98" s="1907">
        <v>1</v>
      </c>
      <c r="D98" s="1907">
        <v>1</v>
      </c>
      <c r="E98" s="1908">
        <v>3.7</v>
      </c>
      <c r="F98" s="1908"/>
      <c r="G98" s="1908">
        <v>3.68</v>
      </c>
      <c r="H98" s="1908">
        <f t="shared" ref="H98" si="25">PRODUCT(C98:G98)</f>
        <v>13.616000000000001</v>
      </c>
      <c r="I98" s="1909"/>
      <c r="J98" s="1909"/>
      <c r="K98" s="1910"/>
    </row>
    <row r="99" spans="1:11" ht="15">
      <c r="A99" s="1914"/>
      <c r="B99" s="1906" t="s">
        <v>3767</v>
      </c>
      <c r="C99" s="1907">
        <v>1</v>
      </c>
      <c r="D99" s="1907">
        <v>1</v>
      </c>
      <c r="E99" s="1908">
        <v>3.85</v>
      </c>
      <c r="F99" s="1908"/>
      <c r="G99" s="1908">
        <v>3</v>
      </c>
      <c r="H99" s="1908">
        <f t="shared" ref="H99" si="26">PRODUCT(C99:G99)</f>
        <v>11.55</v>
      </c>
      <c r="I99" s="1909"/>
      <c r="J99" s="1909"/>
      <c r="K99" s="1910"/>
    </row>
    <row r="100" spans="1:11" ht="15">
      <c r="A100" s="1914"/>
      <c r="B100" s="1906" t="s">
        <v>963</v>
      </c>
      <c r="C100" s="1907">
        <v>1</v>
      </c>
      <c r="D100" s="1907">
        <v>1</v>
      </c>
      <c r="E100" s="1908">
        <v>3.05</v>
      </c>
      <c r="F100" s="1908"/>
      <c r="G100" s="1908">
        <v>1.55</v>
      </c>
      <c r="H100" s="1908">
        <f t="shared" ref="H100" si="27">PRODUCT(C100:G100)</f>
        <v>4.7275</v>
      </c>
      <c r="I100" s="1909"/>
      <c r="J100" s="1909"/>
      <c r="K100" s="1910"/>
    </row>
    <row r="101" spans="1:11" ht="15">
      <c r="A101" s="1934"/>
      <c r="B101" s="1906" t="s">
        <v>963</v>
      </c>
      <c r="C101" s="1907">
        <v>1</v>
      </c>
      <c r="D101" s="1907">
        <v>1</v>
      </c>
      <c r="E101" s="1908">
        <v>4.0999999999999996</v>
      </c>
      <c r="F101" s="1908"/>
      <c r="G101" s="1908">
        <v>1.55</v>
      </c>
      <c r="H101" s="1908">
        <f t="shared" ref="H101" si="28">PRODUCT(C101:G101)</f>
        <v>6.3549999999999995</v>
      </c>
      <c r="I101" s="1909"/>
      <c r="J101" s="1909"/>
      <c r="K101" s="1910"/>
    </row>
    <row r="102" spans="1:11" ht="15">
      <c r="A102" s="1914"/>
      <c r="B102" s="1906"/>
      <c r="C102" s="1907"/>
      <c r="D102" s="1907"/>
      <c r="E102" s="1908"/>
      <c r="F102" s="1908"/>
      <c r="G102" s="1908"/>
      <c r="H102" s="1904">
        <f>SUM(H98:H101)</f>
        <v>36.2485</v>
      </c>
      <c r="I102" s="1909"/>
      <c r="J102" s="1909"/>
      <c r="K102" s="1910"/>
    </row>
    <row r="103" spans="1:11" ht="50.25" customHeight="1">
      <c r="A103" s="1914"/>
      <c r="B103" s="2188" t="s">
        <v>3703</v>
      </c>
      <c r="C103" s="2188"/>
      <c r="D103" s="2188"/>
      <c r="E103" s="2188"/>
      <c r="F103" s="2188"/>
      <c r="G103" s="2188"/>
      <c r="H103" s="2188"/>
      <c r="I103" s="1909"/>
      <c r="J103" s="1909"/>
      <c r="K103" s="1910"/>
    </row>
    <row r="104" spans="1:11" ht="15">
      <c r="A104" s="1914"/>
      <c r="B104" s="1906" t="s">
        <v>3793</v>
      </c>
      <c r="C104" s="1907">
        <v>1</v>
      </c>
      <c r="D104" s="1907">
        <v>1</v>
      </c>
      <c r="E104" s="1908">
        <v>1.4</v>
      </c>
      <c r="F104" s="1908"/>
      <c r="G104" s="1908">
        <v>1.5</v>
      </c>
      <c r="H104" s="1908">
        <f t="shared" ref="H104" si="29">PRODUCT(C104:G104)</f>
        <v>2.0999999999999996</v>
      </c>
      <c r="I104" s="1909"/>
      <c r="J104" s="1909"/>
      <c r="K104" s="1910"/>
    </row>
    <row r="105" spans="1:11" ht="15">
      <c r="A105" s="1914"/>
      <c r="B105" s="1906" t="s">
        <v>963</v>
      </c>
      <c r="C105" s="1907">
        <v>1</v>
      </c>
      <c r="D105" s="1907">
        <v>1</v>
      </c>
      <c r="E105" s="1908">
        <v>5.7</v>
      </c>
      <c r="F105" s="1908"/>
      <c r="G105" s="1908">
        <v>1.5</v>
      </c>
      <c r="H105" s="1908">
        <f t="shared" ref="H105" si="30">PRODUCT(C105:G105)</f>
        <v>8.5500000000000007</v>
      </c>
      <c r="I105" s="1909"/>
      <c r="J105" s="1909"/>
      <c r="K105" s="1910"/>
    </row>
    <row r="106" spans="1:11" ht="15">
      <c r="A106" s="1914"/>
      <c r="B106" s="1906" t="s">
        <v>963</v>
      </c>
      <c r="C106" s="1907">
        <v>1</v>
      </c>
      <c r="D106" s="1907">
        <v>1</v>
      </c>
      <c r="E106" s="1908">
        <v>2.7</v>
      </c>
      <c r="F106" s="1908"/>
      <c r="G106" s="1908">
        <v>1.5</v>
      </c>
      <c r="H106" s="1908">
        <f t="shared" ref="H106:H107" si="31">PRODUCT(C106:G106)</f>
        <v>4.0500000000000007</v>
      </c>
      <c r="I106" s="1909"/>
      <c r="J106" s="1909"/>
      <c r="K106" s="1910"/>
    </row>
    <row r="107" spans="1:11" ht="15">
      <c r="A107" s="1914"/>
      <c r="B107" s="1906" t="s">
        <v>3794</v>
      </c>
      <c r="C107" s="1907">
        <v>1</v>
      </c>
      <c r="D107" s="1907">
        <v>1</v>
      </c>
      <c r="E107" s="1908">
        <v>4.8499999999999996</v>
      </c>
      <c r="F107" s="1908"/>
      <c r="G107" s="1908">
        <v>1.5</v>
      </c>
      <c r="H107" s="1908">
        <f t="shared" si="31"/>
        <v>7.2749999999999995</v>
      </c>
      <c r="I107" s="1909"/>
      <c r="J107" s="1909"/>
      <c r="K107" s="1910"/>
    </row>
    <row r="108" spans="1:11" ht="15">
      <c r="A108" s="1914"/>
      <c r="B108" s="1906" t="s">
        <v>963</v>
      </c>
      <c r="C108" s="1907">
        <v>1</v>
      </c>
      <c r="D108" s="1907">
        <v>1</v>
      </c>
      <c r="E108" s="1908">
        <v>1.3</v>
      </c>
      <c r="F108" s="1908"/>
      <c r="G108" s="1908">
        <v>1.5</v>
      </c>
      <c r="H108" s="1908">
        <f t="shared" ref="H108:H112" si="32">PRODUCT(C108:G108)</f>
        <v>1.9500000000000002</v>
      </c>
      <c r="I108" s="1909"/>
      <c r="J108" s="1909"/>
      <c r="K108" s="1910"/>
    </row>
    <row r="109" spans="1:11" ht="15">
      <c r="A109" s="1935"/>
      <c r="B109" s="1906" t="s">
        <v>3792</v>
      </c>
      <c r="C109" s="1907">
        <v>1</v>
      </c>
      <c r="D109" s="1907">
        <v>1</v>
      </c>
      <c r="E109" s="1908">
        <v>3.7</v>
      </c>
      <c r="F109" s="1908"/>
      <c r="G109" s="1908">
        <v>3.68</v>
      </c>
      <c r="H109" s="1908">
        <f t="shared" si="32"/>
        <v>13.616000000000001</v>
      </c>
      <c r="I109" s="1909"/>
      <c r="J109" s="1909"/>
      <c r="K109" s="1910"/>
    </row>
    <row r="110" spans="1:11" ht="15">
      <c r="A110" s="1935"/>
      <c r="B110" s="1906" t="s">
        <v>3767</v>
      </c>
      <c r="C110" s="1907">
        <v>1</v>
      </c>
      <c r="D110" s="1907">
        <v>1</v>
      </c>
      <c r="E110" s="1908">
        <v>3.85</v>
      </c>
      <c r="F110" s="1908"/>
      <c r="G110" s="1908">
        <v>3</v>
      </c>
      <c r="H110" s="1908">
        <f t="shared" si="32"/>
        <v>11.55</v>
      </c>
      <c r="I110" s="1909"/>
      <c r="J110" s="1909"/>
      <c r="K110" s="1910"/>
    </row>
    <row r="111" spans="1:11" ht="15">
      <c r="A111" s="1935"/>
      <c r="B111" s="1906" t="s">
        <v>963</v>
      </c>
      <c r="C111" s="1907">
        <v>1</v>
      </c>
      <c r="D111" s="1907">
        <v>1</v>
      </c>
      <c r="E111" s="1908">
        <v>3.05</v>
      </c>
      <c r="F111" s="1908"/>
      <c r="G111" s="1908">
        <v>1.55</v>
      </c>
      <c r="H111" s="1908">
        <f t="shared" si="32"/>
        <v>4.7275</v>
      </c>
      <c r="I111" s="1909"/>
      <c r="J111" s="1909"/>
      <c r="K111" s="1910"/>
    </row>
    <row r="112" spans="1:11" ht="15">
      <c r="A112" s="1935"/>
      <c r="B112" s="1906" t="s">
        <v>963</v>
      </c>
      <c r="C112" s="1907">
        <v>1</v>
      </c>
      <c r="D112" s="1907">
        <v>1</v>
      </c>
      <c r="E112" s="1908">
        <v>4.0999999999999996</v>
      </c>
      <c r="F112" s="1908"/>
      <c r="G112" s="1908">
        <v>1.55</v>
      </c>
      <c r="H112" s="1908">
        <f t="shared" si="32"/>
        <v>6.3549999999999995</v>
      </c>
      <c r="I112" s="1909"/>
      <c r="J112" s="1909"/>
      <c r="K112" s="1910"/>
    </row>
    <row r="113" spans="1:11" ht="15">
      <c r="A113" s="1935"/>
      <c r="B113" s="1906" t="s">
        <v>2571</v>
      </c>
      <c r="C113" s="1907">
        <v>1</v>
      </c>
      <c r="D113" s="1907">
        <v>2</v>
      </c>
      <c r="E113" s="1908">
        <v>3.85</v>
      </c>
      <c r="F113" s="1908"/>
      <c r="G113" s="1908">
        <v>1.2</v>
      </c>
      <c r="H113" s="1908">
        <f t="shared" ref="H113:H114" si="33">PRODUCT(C113:G113)</f>
        <v>9.24</v>
      </c>
      <c r="I113" s="1909"/>
      <c r="J113" s="1909"/>
      <c r="K113" s="1910"/>
    </row>
    <row r="114" spans="1:11" ht="15">
      <c r="A114" s="1935"/>
      <c r="B114" s="1906" t="s">
        <v>963</v>
      </c>
      <c r="C114" s="1907">
        <v>1</v>
      </c>
      <c r="D114" s="1907">
        <v>2</v>
      </c>
      <c r="E114" s="1908">
        <v>3.05</v>
      </c>
      <c r="F114" s="1908"/>
      <c r="G114" s="1908">
        <v>1.55</v>
      </c>
      <c r="H114" s="1908">
        <f t="shared" si="33"/>
        <v>9.4550000000000001</v>
      </c>
      <c r="I114" s="1909"/>
      <c r="J114" s="1909"/>
      <c r="K114" s="1910"/>
    </row>
    <row r="115" spans="1:11" ht="15">
      <c r="A115" s="1935"/>
      <c r="B115" s="1906" t="s">
        <v>3822</v>
      </c>
      <c r="C115" s="1907">
        <v>1</v>
      </c>
      <c r="D115" s="1907">
        <v>1</v>
      </c>
      <c r="E115" s="1908">
        <v>1.5</v>
      </c>
      <c r="F115" s="1908"/>
      <c r="G115" s="1908">
        <v>1.55</v>
      </c>
      <c r="H115" s="1908">
        <f>-PRODUCT(C115:G115)</f>
        <v>-2.3250000000000002</v>
      </c>
      <c r="I115" s="1909"/>
      <c r="J115" s="1909"/>
      <c r="K115" s="1910"/>
    </row>
    <row r="116" spans="1:11" ht="15">
      <c r="A116" s="1914"/>
      <c r="B116" s="1906"/>
      <c r="C116" s="1907"/>
      <c r="D116" s="1907"/>
      <c r="E116" s="1908"/>
      <c r="F116" s="1908"/>
      <c r="G116" s="1908"/>
      <c r="H116" s="1904">
        <f>SUM(H104:H115)</f>
        <v>76.543499999999995</v>
      </c>
      <c r="I116" s="1909"/>
      <c r="J116" s="1909"/>
      <c r="K116" s="1910"/>
    </row>
    <row r="117" spans="1:11" ht="39.75" customHeight="1">
      <c r="A117" s="1914"/>
      <c r="B117" s="2188" t="s">
        <v>3704</v>
      </c>
      <c r="C117" s="2188"/>
      <c r="D117" s="2188"/>
      <c r="E117" s="2188"/>
      <c r="F117" s="2188"/>
      <c r="G117" s="2188"/>
      <c r="H117" s="2188"/>
      <c r="I117" s="1909"/>
      <c r="J117" s="1909"/>
      <c r="K117" s="1910"/>
    </row>
    <row r="118" spans="1:11" ht="15">
      <c r="A118" s="1914"/>
      <c r="B118" s="1906" t="s">
        <v>3793</v>
      </c>
      <c r="C118" s="1907">
        <v>1</v>
      </c>
      <c r="D118" s="1907">
        <v>1</v>
      </c>
      <c r="E118" s="1908">
        <v>5.8</v>
      </c>
      <c r="F118" s="1908">
        <v>3</v>
      </c>
      <c r="G118" s="1908"/>
      <c r="H118" s="1908">
        <f t="shared" ref="H118" si="34">PRODUCT(C118:G118)</f>
        <v>17.399999999999999</v>
      </c>
      <c r="I118" s="1909"/>
      <c r="J118" s="1909"/>
      <c r="K118" s="1910"/>
    </row>
    <row r="119" spans="1:11" ht="15">
      <c r="A119" s="1914"/>
      <c r="B119" s="1906" t="s">
        <v>2571</v>
      </c>
      <c r="C119" s="1907">
        <v>1</v>
      </c>
      <c r="D119" s="1907">
        <v>2</v>
      </c>
      <c r="E119" s="1908">
        <v>5.8</v>
      </c>
      <c r="F119" s="1908"/>
      <c r="G119" s="1908">
        <v>2.8</v>
      </c>
      <c r="H119" s="1908">
        <f t="shared" ref="H119" si="35">PRODUCT(C119:G119)</f>
        <v>32.479999999999997</v>
      </c>
      <c r="I119" s="1909"/>
      <c r="J119" s="1909"/>
      <c r="K119" s="1910"/>
    </row>
    <row r="120" spans="1:11" ht="15">
      <c r="A120" s="1914"/>
      <c r="B120" s="1906" t="s">
        <v>963</v>
      </c>
      <c r="C120" s="1907">
        <v>1</v>
      </c>
      <c r="D120" s="1907">
        <v>2</v>
      </c>
      <c r="E120" s="1908">
        <v>3</v>
      </c>
      <c r="F120" s="1908"/>
      <c r="G120" s="1908">
        <v>2.8</v>
      </c>
      <c r="H120" s="1908">
        <f t="shared" ref="H120" si="36">PRODUCT(C120:G120)</f>
        <v>16.799999999999997</v>
      </c>
      <c r="I120" s="1909"/>
      <c r="J120" s="1909"/>
      <c r="K120" s="1910"/>
    </row>
    <row r="121" spans="1:11" ht="15">
      <c r="A121" s="1914"/>
      <c r="B121" s="1906" t="s">
        <v>3795</v>
      </c>
      <c r="C121" s="1907">
        <v>1</v>
      </c>
      <c r="D121" s="1907">
        <v>1</v>
      </c>
      <c r="E121" s="1908">
        <v>1.2</v>
      </c>
      <c r="F121" s="1908"/>
      <c r="G121" s="1908">
        <v>0.9</v>
      </c>
      <c r="H121" s="1908">
        <f t="shared" ref="H121" si="37">PRODUCT(C121:G121)</f>
        <v>1.08</v>
      </c>
      <c r="I121" s="1909"/>
      <c r="J121" s="1909"/>
      <c r="K121" s="1910"/>
    </row>
    <row r="122" spans="1:11" ht="15">
      <c r="A122" s="1914"/>
      <c r="B122" s="1906" t="s">
        <v>3796</v>
      </c>
      <c r="C122" s="1907">
        <v>1</v>
      </c>
      <c r="D122" s="1907">
        <v>1</v>
      </c>
      <c r="E122" s="1908">
        <v>1.2</v>
      </c>
      <c r="F122" s="1908"/>
      <c r="G122" s="1908">
        <v>2.6</v>
      </c>
      <c r="H122" s="1908">
        <f>-PRODUCT(C122:G122)</f>
        <v>-3.12</v>
      </c>
      <c r="I122" s="1909"/>
      <c r="J122" s="1909"/>
      <c r="K122" s="1910"/>
    </row>
    <row r="123" spans="1:11" ht="15">
      <c r="A123" s="1914"/>
      <c r="B123" s="1906" t="s">
        <v>3797</v>
      </c>
      <c r="C123" s="1907">
        <v>1</v>
      </c>
      <c r="D123" s="1907">
        <v>1</v>
      </c>
      <c r="E123" s="1908">
        <v>1.35</v>
      </c>
      <c r="F123" s="1908"/>
      <c r="G123" s="1908">
        <v>2.8</v>
      </c>
      <c r="H123" s="1908">
        <f t="shared" ref="H123:H127" si="38">PRODUCT(C123:G123)</f>
        <v>3.78</v>
      </c>
      <c r="I123" s="1909"/>
      <c r="J123" s="1909"/>
      <c r="K123" s="1910"/>
    </row>
    <row r="124" spans="1:11" ht="15">
      <c r="A124" s="1914"/>
      <c r="B124" s="1906" t="s">
        <v>3794</v>
      </c>
      <c r="C124" s="1907">
        <v>1</v>
      </c>
      <c r="D124" s="1907">
        <v>1</v>
      </c>
      <c r="E124" s="1908">
        <v>4.8499999999999996</v>
      </c>
      <c r="F124" s="1908"/>
      <c r="G124" s="1908">
        <v>2.8</v>
      </c>
      <c r="H124" s="1908">
        <f t="shared" si="38"/>
        <v>13.579999999999998</v>
      </c>
      <c r="I124" s="1909"/>
      <c r="J124" s="1909"/>
      <c r="K124" s="1910"/>
    </row>
    <row r="125" spans="1:11" ht="15">
      <c r="A125" s="1914"/>
      <c r="B125" s="1906" t="s">
        <v>2571</v>
      </c>
      <c r="C125" s="1907">
        <v>1</v>
      </c>
      <c r="D125" s="1907">
        <v>1</v>
      </c>
      <c r="E125" s="1908">
        <v>1.3</v>
      </c>
      <c r="F125" s="1908"/>
      <c r="G125" s="1908">
        <v>2.8</v>
      </c>
      <c r="H125" s="1908">
        <f t="shared" si="38"/>
        <v>3.6399999999999997</v>
      </c>
      <c r="I125" s="1909"/>
      <c r="J125" s="1909"/>
      <c r="K125" s="1910"/>
    </row>
    <row r="126" spans="1:11" ht="15">
      <c r="A126" s="1914"/>
      <c r="B126" s="1906" t="s">
        <v>963</v>
      </c>
      <c r="C126" s="1907">
        <v>1</v>
      </c>
      <c r="D126" s="1907">
        <v>1</v>
      </c>
      <c r="E126" s="1908">
        <v>2.7</v>
      </c>
      <c r="F126" s="1908"/>
      <c r="G126" s="1908">
        <v>2.8</v>
      </c>
      <c r="H126" s="1908">
        <f t="shared" si="38"/>
        <v>7.56</v>
      </c>
      <c r="I126" s="1909"/>
      <c r="J126" s="1909"/>
      <c r="K126" s="1910"/>
    </row>
    <row r="127" spans="1:11" ht="15">
      <c r="A127" s="1914"/>
      <c r="B127" s="1906" t="s">
        <v>963</v>
      </c>
      <c r="C127" s="1907">
        <v>1</v>
      </c>
      <c r="D127" s="1907">
        <v>1</v>
      </c>
      <c r="E127" s="1908">
        <v>4.8</v>
      </c>
      <c r="F127" s="1908"/>
      <c r="G127" s="1908">
        <v>2.8</v>
      </c>
      <c r="H127" s="1908">
        <f t="shared" si="38"/>
        <v>13.44</v>
      </c>
      <c r="I127" s="1909"/>
      <c r="J127" s="1909"/>
      <c r="K127" s="1910"/>
    </row>
    <row r="128" spans="1:11" ht="15">
      <c r="A128" s="1914"/>
      <c r="B128" s="1906" t="s">
        <v>963</v>
      </c>
      <c r="C128" s="1907">
        <v>1</v>
      </c>
      <c r="D128" s="1907">
        <v>1</v>
      </c>
      <c r="E128" s="1908">
        <v>4.32</v>
      </c>
      <c r="F128" s="1908"/>
      <c r="G128" s="1908">
        <v>2.8</v>
      </c>
      <c r="H128" s="1908">
        <f t="shared" ref="H128" si="39">PRODUCT(C128:G128)</f>
        <v>12.096</v>
      </c>
      <c r="I128" s="1909"/>
      <c r="J128" s="1909"/>
      <c r="K128" s="1910"/>
    </row>
    <row r="129" spans="1:11" ht="15">
      <c r="A129" s="1914"/>
      <c r="B129" s="1906" t="s">
        <v>3795</v>
      </c>
      <c r="C129" s="1907">
        <v>1</v>
      </c>
      <c r="D129" s="1907">
        <v>1</v>
      </c>
      <c r="E129" s="1908">
        <v>2.7</v>
      </c>
      <c r="F129" s="1908"/>
      <c r="G129" s="1908">
        <v>0.6</v>
      </c>
      <c r="H129" s="1908">
        <f>-PRODUCT(C129:G129)</f>
        <v>-1.62</v>
      </c>
      <c r="I129" s="1909"/>
      <c r="J129" s="1909"/>
      <c r="K129" s="1910"/>
    </row>
    <row r="130" spans="1:11" ht="15">
      <c r="A130" s="1914"/>
      <c r="B130" s="1906" t="s">
        <v>3765</v>
      </c>
      <c r="C130" s="1907">
        <v>1</v>
      </c>
      <c r="D130" s="1907">
        <v>1</v>
      </c>
      <c r="E130" s="1908">
        <v>1.3</v>
      </c>
      <c r="F130" s="1908">
        <v>1.1000000000000001</v>
      </c>
      <c r="G130" s="1908"/>
      <c r="H130" s="1908">
        <f t="shared" ref="H130" si="40">PRODUCT(C130:G130)</f>
        <v>1.4300000000000002</v>
      </c>
      <c r="I130" s="1909"/>
      <c r="J130" s="1909"/>
      <c r="K130" s="1910"/>
    </row>
    <row r="131" spans="1:11" ht="15">
      <c r="A131" s="1914"/>
      <c r="B131" s="1906" t="s">
        <v>2571</v>
      </c>
      <c r="C131" s="1907">
        <v>1</v>
      </c>
      <c r="D131" s="1907">
        <v>2</v>
      </c>
      <c r="E131" s="1908">
        <v>1.3</v>
      </c>
      <c r="F131" s="1908"/>
      <c r="G131" s="1908">
        <v>1.1000000000000001</v>
      </c>
      <c r="H131" s="1908">
        <f t="shared" ref="H131:H132" si="41">PRODUCT(C131:G131)</f>
        <v>2.8600000000000003</v>
      </c>
      <c r="I131" s="1909"/>
      <c r="J131" s="1909"/>
      <c r="K131" s="1910"/>
    </row>
    <row r="132" spans="1:11" ht="15">
      <c r="A132" s="1914"/>
      <c r="B132" s="1906" t="s">
        <v>3765</v>
      </c>
      <c r="C132" s="1907">
        <v>1</v>
      </c>
      <c r="D132" s="1907">
        <v>2</v>
      </c>
      <c r="E132" s="1908">
        <v>1.1000000000000001</v>
      </c>
      <c r="F132" s="1908"/>
      <c r="G132" s="1908">
        <v>1.1000000000000001</v>
      </c>
      <c r="H132" s="1908">
        <f t="shared" si="41"/>
        <v>2.4200000000000004</v>
      </c>
      <c r="I132" s="1909"/>
      <c r="J132" s="1909"/>
      <c r="K132" s="1910"/>
    </row>
    <row r="133" spans="1:11" ht="15">
      <c r="A133" s="1914"/>
      <c r="B133" s="1906" t="s">
        <v>3798</v>
      </c>
      <c r="C133" s="1907">
        <v>1</v>
      </c>
      <c r="D133" s="1907">
        <v>1</v>
      </c>
      <c r="E133" s="1908">
        <v>0.9</v>
      </c>
      <c r="F133" s="1908"/>
      <c r="G133" s="1908">
        <v>0.6</v>
      </c>
      <c r="H133" s="1908">
        <f>-PRODUCT(C133:G133)</f>
        <v>-0.54</v>
      </c>
      <c r="I133" s="1909"/>
      <c r="J133" s="1909"/>
      <c r="K133" s="1910"/>
    </row>
    <row r="134" spans="1:11" ht="15">
      <c r="A134" s="1914"/>
      <c r="B134" s="1906" t="s">
        <v>3765</v>
      </c>
      <c r="C134" s="1907">
        <v>1</v>
      </c>
      <c r="D134" s="1907">
        <v>1</v>
      </c>
      <c r="E134" s="1908">
        <v>1.44</v>
      </c>
      <c r="F134" s="1908">
        <v>1.1000000000000001</v>
      </c>
      <c r="G134" s="1908"/>
      <c r="H134" s="1908">
        <f t="shared" ref="H134:H135" si="42">PRODUCT(C134:G134)</f>
        <v>1.5840000000000001</v>
      </c>
      <c r="I134" s="1909"/>
      <c r="J134" s="1909"/>
      <c r="K134" s="1910"/>
    </row>
    <row r="135" spans="1:11" ht="15">
      <c r="A135" s="1914"/>
      <c r="B135" s="1906" t="s">
        <v>2571</v>
      </c>
      <c r="C135" s="1907">
        <v>1</v>
      </c>
      <c r="D135" s="1907">
        <v>2</v>
      </c>
      <c r="E135" s="1908">
        <v>1.44</v>
      </c>
      <c r="F135" s="1908"/>
      <c r="G135" s="1908">
        <v>1</v>
      </c>
      <c r="H135" s="1908">
        <f t="shared" si="42"/>
        <v>2.88</v>
      </c>
      <c r="I135" s="1909"/>
      <c r="J135" s="1909"/>
      <c r="K135" s="1910"/>
    </row>
    <row r="136" spans="1:11" ht="15">
      <c r="A136" s="1914"/>
      <c r="B136" s="1906" t="s">
        <v>963</v>
      </c>
      <c r="C136" s="1907">
        <v>1</v>
      </c>
      <c r="D136" s="1907">
        <v>2</v>
      </c>
      <c r="E136" s="1908">
        <v>1.1000000000000001</v>
      </c>
      <c r="F136" s="1908"/>
      <c r="G136" s="1908">
        <v>1</v>
      </c>
      <c r="H136" s="1908">
        <f t="shared" ref="H136" si="43">PRODUCT(C136:G136)</f>
        <v>2.2000000000000002</v>
      </c>
      <c r="I136" s="1909"/>
      <c r="J136" s="1909"/>
      <c r="K136" s="1910"/>
    </row>
    <row r="137" spans="1:11" ht="15">
      <c r="A137" s="1914"/>
      <c r="B137" s="1906" t="s">
        <v>3798</v>
      </c>
      <c r="C137" s="1907">
        <v>1</v>
      </c>
      <c r="D137" s="1907">
        <v>1</v>
      </c>
      <c r="E137" s="1908">
        <v>0.9</v>
      </c>
      <c r="F137" s="1908"/>
      <c r="G137" s="1908">
        <v>0.6</v>
      </c>
      <c r="H137" s="1908">
        <f>-PRODUCT(C137:G137)</f>
        <v>-0.54</v>
      </c>
      <c r="I137" s="1909"/>
      <c r="J137" s="1909"/>
      <c r="K137" s="1910"/>
    </row>
    <row r="138" spans="1:11" ht="15">
      <c r="A138" s="1914"/>
      <c r="B138" s="1906" t="s">
        <v>3799</v>
      </c>
      <c r="C138" s="1907">
        <v>1</v>
      </c>
      <c r="D138" s="1907">
        <v>1</v>
      </c>
      <c r="E138" s="1908">
        <v>2.75</v>
      </c>
      <c r="F138" s="1908">
        <v>2.5</v>
      </c>
      <c r="G138" s="1908"/>
      <c r="H138" s="1908">
        <f t="shared" ref="H138" si="44">PRODUCT(C138:G138)</f>
        <v>6.875</v>
      </c>
      <c r="I138" s="1909"/>
      <c r="J138" s="1909"/>
      <c r="K138" s="1910"/>
    </row>
    <row r="139" spans="1:11" ht="15">
      <c r="A139" s="1914"/>
      <c r="B139" s="1906" t="s">
        <v>2571</v>
      </c>
      <c r="C139" s="1907">
        <v>1</v>
      </c>
      <c r="D139" s="1907">
        <v>2</v>
      </c>
      <c r="E139" s="1908">
        <v>2.75</v>
      </c>
      <c r="F139" s="1908"/>
      <c r="G139" s="1908">
        <v>1</v>
      </c>
      <c r="H139" s="1908">
        <f t="shared" ref="H139" si="45">PRODUCT(C139:G139)</f>
        <v>5.5</v>
      </c>
      <c r="I139" s="1909"/>
      <c r="J139" s="1909"/>
      <c r="K139" s="1910"/>
    </row>
    <row r="140" spans="1:11" ht="15">
      <c r="A140" s="1914"/>
      <c r="B140" s="1906" t="s">
        <v>963</v>
      </c>
      <c r="C140" s="1907">
        <v>1</v>
      </c>
      <c r="D140" s="1907">
        <v>2</v>
      </c>
      <c r="E140" s="1908">
        <v>2.5</v>
      </c>
      <c r="F140" s="1908"/>
      <c r="G140" s="1908">
        <v>1</v>
      </c>
      <c r="H140" s="1908">
        <f t="shared" ref="H140" si="46">PRODUCT(C140:G140)</f>
        <v>5</v>
      </c>
      <c r="I140" s="1909"/>
      <c r="J140" s="1909"/>
      <c r="K140" s="1910"/>
    </row>
    <row r="141" spans="1:11" ht="15">
      <c r="A141" s="1914"/>
      <c r="B141" s="1906" t="s">
        <v>3798</v>
      </c>
      <c r="C141" s="1907">
        <v>1</v>
      </c>
      <c r="D141" s="1907">
        <v>1</v>
      </c>
      <c r="E141" s="1908">
        <v>0.9</v>
      </c>
      <c r="F141" s="1908"/>
      <c r="G141" s="1908">
        <v>0.6</v>
      </c>
      <c r="H141" s="1908">
        <f>-PRODUCT(C141:G141)</f>
        <v>-0.54</v>
      </c>
      <c r="I141" s="1909"/>
      <c r="J141" s="1909"/>
      <c r="K141" s="1910"/>
    </row>
    <row r="142" spans="1:11" ht="15">
      <c r="A142" s="1914"/>
      <c r="B142" s="1906" t="s">
        <v>3767</v>
      </c>
      <c r="C142" s="1907">
        <v>1</v>
      </c>
      <c r="D142" s="1907">
        <v>1</v>
      </c>
      <c r="E142" s="1908">
        <v>6.8</v>
      </c>
      <c r="F142" s="1908">
        <v>4.5999999999999996</v>
      </c>
      <c r="G142" s="1908"/>
      <c r="H142" s="1908">
        <f t="shared" ref="H142" si="47">PRODUCT(C142:G142)</f>
        <v>31.279999999999998</v>
      </c>
      <c r="I142" s="1909"/>
      <c r="J142" s="1909"/>
      <c r="K142" s="1910"/>
    </row>
    <row r="143" spans="1:11" ht="15">
      <c r="A143" s="1914"/>
      <c r="B143" s="1906" t="s">
        <v>3792</v>
      </c>
      <c r="C143" s="1907">
        <v>1</v>
      </c>
      <c r="D143" s="1907">
        <v>1</v>
      </c>
      <c r="E143" s="1908">
        <v>4.3499999999999996</v>
      </c>
      <c r="F143" s="1908">
        <v>2.6</v>
      </c>
      <c r="G143" s="1908"/>
      <c r="H143" s="1908">
        <f t="shared" ref="H143" si="48">PRODUCT(C143:G143)</f>
        <v>11.309999999999999</v>
      </c>
      <c r="I143" s="1909"/>
      <c r="J143" s="1909"/>
      <c r="K143" s="1910"/>
    </row>
    <row r="144" spans="1:11" ht="15">
      <c r="A144" s="1914"/>
      <c r="B144" s="1906" t="s">
        <v>3800</v>
      </c>
      <c r="C144" s="1907">
        <v>2</v>
      </c>
      <c r="D144" s="1907">
        <v>2</v>
      </c>
      <c r="E144" s="1908">
        <v>2.83</v>
      </c>
      <c r="F144" s="1908">
        <v>0.3</v>
      </c>
      <c r="G144" s="1908"/>
      <c r="H144" s="1908">
        <f t="shared" ref="H144" si="49">PRODUCT(C144:G144)</f>
        <v>3.3959999999999999</v>
      </c>
      <c r="I144" s="1909"/>
      <c r="J144" s="1909"/>
      <c r="K144" s="1910"/>
    </row>
    <row r="145" spans="1:11" ht="15">
      <c r="A145" s="1914"/>
      <c r="B145" s="1906" t="s">
        <v>963</v>
      </c>
      <c r="C145" s="1907">
        <v>1</v>
      </c>
      <c r="D145" s="1907">
        <v>1</v>
      </c>
      <c r="E145" s="1908">
        <v>4</v>
      </c>
      <c r="F145" s="1908">
        <v>3.5</v>
      </c>
      <c r="G145" s="1908"/>
      <c r="H145" s="1908">
        <f t="shared" ref="H145" si="50">PRODUCT(C145:G145)</f>
        <v>14</v>
      </c>
      <c r="I145" s="1909"/>
      <c r="J145" s="1909"/>
      <c r="K145" s="1910"/>
    </row>
    <row r="146" spans="1:11" ht="15">
      <c r="A146" s="1914"/>
      <c r="B146" s="1906" t="s">
        <v>3801</v>
      </c>
      <c r="C146" s="1907">
        <v>1</v>
      </c>
      <c r="D146" s="1907">
        <v>1</v>
      </c>
      <c r="E146" s="1908">
        <v>1.6</v>
      </c>
      <c r="F146" s="1908">
        <v>1.35</v>
      </c>
      <c r="G146" s="1908"/>
      <c r="H146" s="1908">
        <f t="shared" ref="H146" si="51">PRODUCT(C146:G146)</f>
        <v>2.16</v>
      </c>
      <c r="I146" s="1909"/>
      <c r="J146" s="1909"/>
      <c r="K146" s="1910"/>
    </row>
    <row r="147" spans="1:11" ht="15">
      <c r="A147" s="1914"/>
      <c r="B147" s="1906" t="s">
        <v>2571</v>
      </c>
      <c r="C147" s="1907">
        <v>1</v>
      </c>
      <c r="D147" s="1907">
        <v>2</v>
      </c>
      <c r="E147" s="1908">
        <v>1.6</v>
      </c>
      <c r="F147" s="1908">
        <v>3.1</v>
      </c>
      <c r="G147" s="1908"/>
      <c r="H147" s="1908">
        <f t="shared" ref="H147" si="52">PRODUCT(C147:G147)</f>
        <v>9.9200000000000017</v>
      </c>
      <c r="I147" s="1909"/>
      <c r="J147" s="1909"/>
      <c r="K147" s="1910"/>
    </row>
    <row r="148" spans="1:11" ht="15">
      <c r="A148" s="1914"/>
      <c r="B148" s="1906" t="s">
        <v>963</v>
      </c>
      <c r="C148" s="1907">
        <v>1</v>
      </c>
      <c r="D148" s="1907">
        <v>1</v>
      </c>
      <c r="E148" s="1908">
        <v>1.3</v>
      </c>
      <c r="F148" s="1908">
        <v>3.1</v>
      </c>
      <c r="G148" s="1908"/>
      <c r="H148" s="1908">
        <f t="shared" ref="H148" si="53">PRODUCT(C148:G148)</f>
        <v>4.03</v>
      </c>
      <c r="I148" s="1909"/>
      <c r="J148" s="1909"/>
      <c r="K148" s="1910"/>
    </row>
    <row r="149" spans="1:11" ht="15">
      <c r="A149" s="1914"/>
      <c r="B149" s="1906"/>
      <c r="C149" s="1907"/>
      <c r="D149" s="1907"/>
      <c r="E149" s="1908"/>
      <c r="F149" s="1908"/>
      <c r="G149" s="1908"/>
      <c r="H149" s="1904">
        <f>SUM(H118:H148)</f>
        <v>222.34099999999998</v>
      </c>
      <c r="I149" s="1909"/>
      <c r="J149" s="1909"/>
      <c r="K149" s="1910"/>
    </row>
    <row r="150" spans="1:11" ht="15">
      <c r="A150" s="1914"/>
      <c r="B150" s="1906"/>
      <c r="C150" s="1907"/>
      <c r="D150" s="1907"/>
      <c r="E150" s="1908"/>
      <c r="F150" s="1908"/>
      <c r="G150" s="1908"/>
      <c r="H150" s="1904"/>
      <c r="I150" s="1909"/>
      <c r="J150" s="1909"/>
      <c r="K150" s="1910"/>
    </row>
    <row r="151" spans="1:11" ht="35.25" customHeight="1">
      <c r="A151" s="1914"/>
      <c r="B151" s="2188" t="s">
        <v>3705</v>
      </c>
      <c r="C151" s="2188"/>
      <c r="D151" s="2188"/>
      <c r="E151" s="2188"/>
      <c r="F151" s="2188"/>
      <c r="G151" s="2188"/>
      <c r="H151" s="2188"/>
      <c r="I151" s="1909"/>
      <c r="J151" s="1909"/>
      <c r="K151" s="1910"/>
    </row>
    <row r="152" spans="1:11" ht="15">
      <c r="A152" s="1914"/>
      <c r="B152" s="1906" t="s">
        <v>3774</v>
      </c>
      <c r="C152" s="1907">
        <v>1</v>
      </c>
      <c r="D152" s="1907">
        <v>1</v>
      </c>
      <c r="E152" s="1908">
        <v>12</v>
      </c>
      <c r="F152" s="1908"/>
      <c r="G152" s="1908">
        <v>2.75</v>
      </c>
      <c r="H152" s="1908">
        <f t="shared" ref="H152" si="54">PRODUCT(C152:G152)</f>
        <v>33</v>
      </c>
      <c r="I152" s="1909"/>
      <c r="J152" s="1909"/>
      <c r="K152" s="1910"/>
    </row>
    <row r="153" spans="1:11" ht="15">
      <c r="A153" s="1914"/>
      <c r="B153" s="1906" t="s">
        <v>3795</v>
      </c>
      <c r="C153" s="1907">
        <v>1</v>
      </c>
      <c r="D153" s="1907">
        <v>2</v>
      </c>
      <c r="E153" s="1908">
        <v>1.2</v>
      </c>
      <c r="F153" s="1908"/>
      <c r="G153" s="1908">
        <v>1.2</v>
      </c>
      <c r="H153" s="1908">
        <f t="shared" ref="H153:H158" si="55">-PRODUCT(C153:G153)</f>
        <v>-2.88</v>
      </c>
      <c r="I153" s="1909"/>
      <c r="J153" s="1909"/>
      <c r="K153" s="1910"/>
    </row>
    <row r="154" spans="1:11" ht="15">
      <c r="A154" s="1914"/>
      <c r="B154" s="1906" t="s">
        <v>3795</v>
      </c>
      <c r="C154" s="1907">
        <v>1</v>
      </c>
      <c r="D154" s="1907">
        <v>1</v>
      </c>
      <c r="E154" s="1908">
        <v>1.2</v>
      </c>
      <c r="F154" s="1908"/>
      <c r="G154" s="1908">
        <v>1.75</v>
      </c>
      <c r="H154" s="1908">
        <f t="shared" si="55"/>
        <v>-2.1</v>
      </c>
      <c r="I154" s="1909"/>
      <c r="J154" s="1909"/>
      <c r="K154" s="1910"/>
    </row>
    <row r="155" spans="1:11" ht="15">
      <c r="A155" s="1914"/>
      <c r="B155" s="1906" t="s">
        <v>3778</v>
      </c>
      <c r="C155" s="1907">
        <v>1</v>
      </c>
      <c r="D155" s="1907">
        <v>1</v>
      </c>
      <c r="E155" s="1908">
        <v>2.2000000000000002</v>
      </c>
      <c r="F155" s="1908"/>
      <c r="G155" s="1908">
        <v>1.1000000000000001</v>
      </c>
      <c r="H155" s="1908">
        <f t="shared" si="55"/>
        <v>-2.4200000000000004</v>
      </c>
      <c r="I155" s="1909"/>
      <c r="J155" s="1909"/>
      <c r="K155" s="1910"/>
    </row>
    <row r="156" spans="1:11" ht="15">
      <c r="A156" s="1914"/>
      <c r="B156" s="1906" t="s">
        <v>963</v>
      </c>
      <c r="C156" s="1907">
        <v>1</v>
      </c>
      <c r="D156" s="1907">
        <v>2</v>
      </c>
      <c r="E156" s="1908">
        <v>1.2</v>
      </c>
      <c r="F156" s="1908"/>
      <c r="G156" s="1908">
        <v>1.1000000000000001</v>
      </c>
      <c r="H156" s="1908">
        <f t="shared" si="55"/>
        <v>-2.64</v>
      </c>
      <c r="I156" s="1909"/>
      <c r="J156" s="1909"/>
      <c r="K156" s="1910"/>
    </row>
    <row r="157" spans="1:11" ht="15">
      <c r="A157" s="1914"/>
      <c r="B157" s="1906" t="s">
        <v>963</v>
      </c>
      <c r="C157" s="1907">
        <v>1</v>
      </c>
      <c r="D157" s="1907">
        <v>1</v>
      </c>
      <c r="E157" s="1908">
        <v>3.9</v>
      </c>
      <c r="F157" s="1908"/>
      <c r="G157" s="1908">
        <v>0.3</v>
      </c>
      <c r="H157" s="1908">
        <f t="shared" si="55"/>
        <v>-1.17</v>
      </c>
      <c r="I157" s="1909"/>
      <c r="J157" s="1909"/>
      <c r="K157" s="1910"/>
    </row>
    <row r="158" spans="1:11" ht="15">
      <c r="A158" s="1914"/>
      <c r="B158" s="1906" t="s">
        <v>963</v>
      </c>
      <c r="C158" s="1907">
        <v>1</v>
      </c>
      <c r="D158" s="1907">
        <v>1</v>
      </c>
      <c r="E158" s="1908">
        <v>2.6</v>
      </c>
      <c r="F158" s="1908"/>
      <c r="G158" s="1908">
        <v>0.5</v>
      </c>
      <c r="H158" s="1908">
        <f t="shared" si="55"/>
        <v>-1.3</v>
      </c>
      <c r="I158" s="1909"/>
      <c r="J158" s="1909"/>
      <c r="K158" s="1910"/>
    </row>
    <row r="159" spans="1:11" ht="15">
      <c r="A159" s="1914"/>
      <c r="B159" s="1906" t="s">
        <v>3782</v>
      </c>
      <c r="C159" s="1907">
        <v>1</v>
      </c>
      <c r="D159" s="1907">
        <v>1</v>
      </c>
      <c r="E159" s="1908">
        <v>4.25</v>
      </c>
      <c r="F159" s="1908"/>
      <c r="G159" s="1908">
        <v>4.2</v>
      </c>
      <c r="H159" s="1908">
        <f t="shared" ref="H159" si="56">PRODUCT(C159:G159)</f>
        <v>17.850000000000001</v>
      </c>
      <c r="I159" s="1909"/>
      <c r="J159" s="1909"/>
      <c r="K159" s="1910"/>
    </row>
    <row r="160" spans="1:11" ht="15">
      <c r="A160" s="1914"/>
      <c r="B160" s="1906" t="s">
        <v>963</v>
      </c>
      <c r="C160" s="1907">
        <v>1</v>
      </c>
      <c r="D160" s="1907">
        <v>1</v>
      </c>
      <c r="E160" s="1908">
        <v>4</v>
      </c>
      <c r="F160" s="1908"/>
      <c r="G160" s="1908">
        <v>4.2</v>
      </c>
      <c r="H160" s="1908">
        <f t="shared" ref="H160" si="57">PRODUCT(C160:G160)</f>
        <v>16.8</v>
      </c>
      <c r="I160" s="1909"/>
      <c r="J160" s="1909"/>
      <c r="K160" s="1910"/>
    </row>
    <row r="161" spans="1:11" ht="15">
      <c r="A161" s="1914"/>
      <c r="B161" s="1906" t="s">
        <v>3795</v>
      </c>
      <c r="C161" s="1907">
        <v>1</v>
      </c>
      <c r="D161" s="1907">
        <v>1</v>
      </c>
      <c r="E161" s="1908">
        <v>1.9</v>
      </c>
      <c r="F161" s="1908"/>
      <c r="G161" s="1908">
        <v>2.1</v>
      </c>
      <c r="H161" s="1908">
        <f>-PRODUCT(C161:G161)</f>
        <v>-3.9899999999999998</v>
      </c>
      <c r="I161" s="1909"/>
      <c r="J161" s="1909"/>
      <c r="K161" s="1910"/>
    </row>
    <row r="162" spans="1:11" ht="15">
      <c r="A162" s="1914"/>
      <c r="B162" s="1906"/>
      <c r="C162" s="1907"/>
      <c r="D162" s="1907"/>
      <c r="E162" s="1908"/>
      <c r="F162" s="1908"/>
      <c r="G162" s="1908"/>
      <c r="H162" s="1904">
        <f>SUM(H152:H161)</f>
        <v>51.15</v>
      </c>
      <c r="I162" s="1909"/>
      <c r="J162" s="1909"/>
      <c r="K162" s="1910"/>
    </row>
    <row r="163" spans="1:11" ht="36.75" customHeight="1">
      <c r="A163" s="1914"/>
      <c r="B163" s="2188" t="s">
        <v>3706</v>
      </c>
      <c r="C163" s="2188"/>
      <c r="D163" s="2188"/>
      <c r="E163" s="2188"/>
      <c r="F163" s="2188"/>
      <c r="G163" s="2188"/>
      <c r="H163" s="2188"/>
      <c r="I163" s="1909"/>
      <c r="J163" s="1909"/>
      <c r="K163" s="1910"/>
    </row>
    <row r="164" spans="1:11" ht="15">
      <c r="A164" s="1914"/>
      <c r="B164" s="1906" t="s">
        <v>3782</v>
      </c>
      <c r="C164" s="1907">
        <v>1</v>
      </c>
      <c r="D164" s="1907">
        <v>1</v>
      </c>
      <c r="E164" s="1908">
        <v>4.5</v>
      </c>
      <c r="F164" s="1908"/>
      <c r="G164" s="1908">
        <v>1.2</v>
      </c>
      <c r="H164" s="1908">
        <f t="shared" ref="H164" si="58">PRODUCT(C164:G164)</f>
        <v>5.3999999999999995</v>
      </c>
      <c r="I164" s="1909"/>
      <c r="J164" s="1909"/>
      <c r="K164" s="1910"/>
    </row>
    <row r="165" spans="1:11" ht="15">
      <c r="A165" s="1914"/>
      <c r="B165" s="1906" t="s">
        <v>3802</v>
      </c>
      <c r="C165" s="1907">
        <v>1</v>
      </c>
      <c r="D165" s="1907">
        <v>1</v>
      </c>
      <c r="E165" s="1908">
        <v>9.6</v>
      </c>
      <c r="F165" s="1908"/>
      <c r="G165" s="1908">
        <v>1.21</v>
      </c>
      <c r="H165" s="1908">
        <f t="shared" ref="H165" si="59">PRODUCT(C165:G165)</f>
        <v>11.616</v>
      </c>
      <c r="I165" s="1909"/>
      <c r="J165" s="1909"/>
      <c r="K165" s="1910"/>
    </row>
    <row r="166" spans="1:11" ht="15">
      <c r="A166" s="1914"/>
      <c r="B166" s="1906" t="s">
        <v>3780</v>
      </c>
      <c r="C166" s="1907">
        <v>1</v>
      </c>
      <c r="D166" s="1907">
        <v>1</v>
      </c>
      <c r="E166" s="1908">
        <v>1.5</v>
      </c>
      <c r="F166" s="1908"/>
      <c r="G166" s="1908">
        <v>1.2</v>
      </c>
      <c r="H166" s="1908">
        <f>-PRODUCT(C166:G166)</f>
        <v>-1.7999999999999998</v>
      </c>
      <c r="I166" s="1909"/>
      <c r="J166" s="1909"/>
      <c r="K166" s="1910"/>
    </row>
    <row r="167" spans="1:11" ht="15">
      <c r="A167" s="1914"/>
      <c r="B167" s="1906" t="s">
        <v>3770</v>
      </c>
      <c r="C167" s="1907">
        <v>1</v>
      </c>
      <c r="D167" s="1907">
        <v>1</v>
      </c>
      <c r="E167" s="1908">
        <v>8.4499999999999993</v>
      </c>
      <c r="F167" s="1908"/>
      <c r="G167" s="1908">
        <v>1.2</v>
      </c>
      <c r="H167" s="1908">
        <f t="shared" ref="H167" si="60">PRODUCT(C167:G167)</f>
        <v>10.139999999999999</v>
      </c>
      <c r="I167" s="1909"/>
      <c r="J167" s="1909"/>
      <c r="K167" s="1910"/>
    </row>
    <row r="168" spans="1:11" ht="15">
      <c r="A168" s="1914"/>
      <c r="B168" s="1906" t="s">
        <v>3780</v>
      </c>
      <c r="C168" s="1907">
        <v>1</v>
      </c>
      <c r="D168" s="1907">
        <v>1</v>
      </c>
      <c r="E168" s="1908">
        <v>1.5</v>
      </c>
      <c r="F168" s="1908"/>
      <c r="G168" s="1908">
        <v>1.2</v>
      </c>
      <c r="H168" s="1908">
        <f>-PRODUCT(C168:G168)</f>
        <v>-1.7999999999999998</v>
      </c>
      <c r="I168" s="1909"/>
      <c r="J168" s="1909"/>
      <c r="K168" s="1910"/>
    </row>
    <row r="169" spans="1:11" ht="15">
      <c r="A169" s="1914"/>
      <c r="B169" s="1906" t="s">
        <v>3782</v>
      </c>
      <c r="C169" s="1907">
        <v>1</v>
      </c>
      <c r="D169" s="1907">
        <v>1</v>
      </c>
      <c r="E169" s="1908">
        <v>2</v>
      </c>
      <c r="F169" s="1908"/>
      <c r="G169" s="1908">
        <v>1.21</v>
      </c>
      <c r="H169" s="1908">
        <f t="shared" ref="H169:H179" si="61">PRODUCT(C169:G169)</f>
        <v>2.42</v>
      </c>
      <c r="I169" s="1909"/>
      <c r="J169" s="1909"/>
      <c r="K169" s="1910"/>
    </row>
    <row r="170" spans="1:11" ht="15">
      <c r="A170" s="1914"/>
      <c r="B170" s="1906" t="s">
        <v>3803</v>
      </c>
      <c r="C170" s="1907">
        <v>1</v>
      </c>
      <c r="D170" s="1907">
        <v>1</v>
      </c>
      <c r="E170" s="1908">
        <v>2.2000000000000002</v>
      </c>
      <c r="F170" s="1908"/>
      <c r="G170" s="1908">
        <v>1.1000000000000001</v>
      </c>
      <c r="H170" s="1908">
        <f t="shared" si="61"/>
        <v>2.4200000000000004</v>
      </c>
      <c r="I170" s="1909"/>
      <c r="J170" s="1909"/>
      <c r="K170" s="1910"/>
    </row>
    <row r="171" spans="1:11" ht="15">
      <c r="A171" s="1914"/>
      <c r="B171" s="1906" t="s">
        <v>963</v>
      </c>
      <c r="C171" s="1907">
        <v>1</v>
      </c>
      <c r="D171" s="1907">
        <v>2</v>
      </c>
      <c r="E171" s="1908">
        <v>1.2</v>
      </c>
      <c r="F171" s="1908"/>
      <c r="G171" s="1908">
        <v>1.1000000000000001</v>
      </c>
      <c r="H171" s="1908">
        <f t="shared" si="61"/>
        <v>2.64</v>
      </c>
      <c r="I171" s="1909"/>
      <c r="J171" s="1909"/>
      <c r="K171" s="1910"/>
    </row>
    <row r="172" spans="1:11" ht="15">
      <c r="A172" s="1914"/>
      <c r="B172" s="1906" t="s">
        <v>963</v>
      </c>
      <c r="C172" s="1907">
        <v>1</v>
      </c>
      <c r="D172" s="1907">
        <v>1</v>
      </c>
      <c r="E172" s="1908">
        <v>3.9</v>
      </c>
      <c r="F172" s="1908"/>
      <c r="G172" s="1908">
        <v>0.3</v>
      </c>
      <c r="H172" s="1908">
        <f t="shared" si="61"/>
        <v>1.17</v>
      </c>
      <c r="I172" s="1909"/>
      <c r="J172" s="1909"/>
      <c r="K172" s="1910"/>
    </row>
    <row r="173" spans="1:11" ht="15">
      <c r="A173" s="1914"/>
      <c r="B173" s="1906" t="s">
        <v>963</v>
      </c>
      <c r="C173" s="1907">
        <v>1</v>
      </c>
      <c r="D173" s="1907">
        <v>1</v>
      </c>
      <c r="E173" s="1908">
        <v>2.6</v>
      </c>
      <c r="F173" s="1908"/>
      <c r="G173" s="1908">
        <v>0.5</v>
      </c>
      <c r="H173" s="1908">
        <f t="shared" si="61"/>
        <v>1.3</v>
      </c>
      <c r="I173" s="1909"/>
      <c r="J173" s="1909"/>
      <c r="K173" s="1910"/>
    </row>
    <row r="174" spans="1:11" ht="15">
      <c r="A174" s="1914"/>
      <c r="B174" s="1906" t="s">
        <v>3782</v>
      </c>
      <c r="C174" s="1907">
        <v>1</v>
      </c>
      <c r="D174" s="1907">
        <v>1</v>
      </c>
      <c r="E174" s="1908">
        <v>4.25</v>
      </c>
      <c r="F174" s="1908"/>
      <c r="G174" s="1908">
        <v>4.2</v>
      </c>
      <c r="H174" s="1908">
        <f t="shared" si="61"/>
        <v>17.850000000000001</v>
      </c>
      <c r="I174" s="1909"/>
      <c r="J174" s="1909"/>
      <c r="K174" s="1910"/>
    </row>
    <row r="175" spans="1:11" ht="15">
      <c r="A175" s="1941"/>
      <c r="B175" s="1906" t="s">
        <v>3805</v>
      </c>
      <c r="C175" s="1907">
        <v>1</v>
      </c>
      <c r="D175" s="1907">
        <v>1</v>
      </c>
      <c r="E175" s="1908">
        <v>1.2</v>
      </c>
      <c r="F175" s="1908">
        <v>1.1499999999999999</v>
      </c>
      <c r="G175" s="1908">
        <v>1.7</v>
      </c>
      <c r="H175" s="1908">
        <f t="shared" si="61"/>
        <v>2.3459999999999996</v>
      </c>
      <c r="I175" s="1909"/>
      <c r="J175" s="1909"/>
      <c r="K175" s="1910"/>
    </row>
    <row r="176" spans="1:11" ht="15">
      <c r="A176" s="1941"/>
      <c r="B176" s="1906" t="s">
        <v>963</v>
      </c>
      <c r="C176" s="1907">
        <v>1</v>
      </c>
      <c r="D176" s="1907">
        <v>2</v>
      </c>
      <c r="E176" s="1908">
        <v>1.2</v>
      </c>
      <c r="F176" s="1908">
        <v>1.1499999999999999</v>
      </c>
      <c r="G176" s="1908">
        <v>1.1000000000000001</v>
      </c>
      <c r="H176" s="1908">
        <f t="shared" si="61"/>
        <v>3.036</v>
      </c>
      <c r="I176" s="1909"/>
      <c r="J176" s="1909"/>
      <c r="K176" s="1910"/>
    </row>
    <row r="177" spans="1:11" ht="15">
      <c r="A177" s="1941"/>
      <c r="B177" s="1906" t="s">
        <v>3791</v>
      </c>
      <c r="C177" s="1907">
        <v>1</v>
      </c>
      <c r="D177" s="1907">
        <v>1</v>
      </c>
      <c r="E177" s="1908">
        <v>2.2000000000000002</v>
      </c>
      <c r="F177" s="1908">
        <v>1.1499999999999999</v>
      </c>
      <c r="G177" s="1908">
        <v>1.1000000000000001</v>
      </c>
      <c r="H177" s="1908">
        <f t="shared" si="61"/>
        <v>2.7829999999999999</v>
      </c>
      <c r="I177" s="1909"/>
      <c r="J177" s="1909"/>
      <c r="K177" s="1910"/>
    </row>
    <row r="178" spans="1:11" ht="15">
      <c r="A178" s="1941"/>
      <c r="B178" s="1906" t="s">
        <v>963</v>
      </c>
      <c r="C178" s="1907">
        <v>1</v>
      </c>
      <c r="D178" s="1907">
        <v>1</v>
      </c>
      <c r="E178" s="1908">
        <v>3.9</v>
      </c>
      <c r="F178" s="1908">
        <v>1.1499999999999999</v>
      </c>
      <c r="G178" s="1908">
        <v>0.3</v>
      </c>
      <c r="H178" s="1908">
        <f t="shared" si="61"/>
        <v>1.3454999999999997</v>
      </c>
      <c r="I178" s="1909"/>
      <c r="J178" s="1909"/>
      <c r="K178" s="1910"/>
    </row>
    <row r="179" spans="1:11" ht="15">
      <c r="A179" s="1941"/>
      <c r="B179" s="1906" t="s">
        <v>963</v>
      </c>
      <c r="C179" s="1907">
        <v>1</v>
      </c>
      <c r="D179" s="1907">
        <v>1</v>
      </c>
      <c r="E179" s="1908">
        <v>2.6</v>
      </c>
      <c r="F179" s="1908">
        <v>1.1499999999999999</v>
      </c>
      <c r="G179" s="1908">
        <v>0.5</v>
      </c>
      <c r="H179" s="1908">
        <f t="shared" si="61"/>
        <v>1.4949999999999999</v>
      </c>
      <c r="I179" s="1909"/>
      <c r="J179" s="1909"/>
      <c r="K179" s="1910"/>
    </row>
    <row r="180" spans="1:11" ht="15" hidden="1">
      <c r="A180" s="1917"/>
      <c r="B180" s="1906"/>
      <c r="C180" s="1907"/>
      <c r="D180" s="1907"/>
      <c r="E180" s="1908"/>
      <c r="F180" s="1908"/>
      <c r="G180" s="1908"/>
      <c r="H180" s="1908"/>
      <c r="I180" s="1909"/>
      <c r="J180" s="1909"/>
      <c r="K180" s="1910"/>
    </row>
    <row r="181" spans="1:11" ht="15" hidden="1">
      <c r="A181" s="1917"/>
      <c r="B181" s="1906"/>
      <c r="C181" s="1907"/>
      <c r="D181" s="1907"/>
      <c r="E181" s="1908"/>
      <c r="F181" s="1908"/>
      <c r="G181" s="1908"/>
      <c r="H181" s="1908"/>
      <c r="I181" s="1909"/>
      <c r="J181" s="1909"/>
      <c r="K181" s="1910"/>
    </row>
    <row r="182" spans="1:11" ht="15">
      <c r="A182" s="1914"/>
      <c r="B182" s="1906"/>
      <c r="C182" s="1907"/>
      <c r="D182" s="1907"/>
      <c r="E182" s="1908"/>
      <c r="F182" s="1908"/>
      <c r="G182" s="1908"/>
      <c r="H182" s="1904">
        <f>SUM(H164:H181)</f>
        <v>62.361499999999992</v>
      </c>
      <c r="I182" s="1909"/>
      <c r="J182" s="1909"/>
      <c r="K182" s="1910"/>
    </row>
    <row r="183" spans="1:11" ht="15">
      <c r="A183" s="1914"/>
      <c r="B183" s="1906"/>
      <c r="C183" s="1907"/>
      <c r="D183" s="1907"/>
      <c r="E183" s="1908"/>
      <c r="F183" s="1908"/>
      <c r="G183" s="1908"/>
      <c r="H183" s="1904"/>
      <c r="I183" s="1909"/>
      <c r="J183" s="1909"/>
      <c r="K183" s="1910"/>
    </row>
    <row r="184" spans="1:11" ht="30.75" customHeight="1">
      <c r="A184" s="1914"/>
      <c r="B184" s="2188" t="s">
        <v>3707</v>
      </c>
      <c r="C184" s="2188"/>
      <c r="D184" s="2188"/>
      <c r="E184" s="2188"/>
      <c r="F184" s="2188"/>
      <c r="G184" s="2188"/>
      <c r="H184" s="2188"/>
      <c r="I184" s="1909"/>
      <c r="J184" s="1909"/>
      <c r="K184" s="1910"/>
    </row>
    <row r="185" spans="1:11" ht="15">
      <c r="A185" s="1914"/>
      <c r="B185" s="1906" t="s">
        <v>3804</v>
      </c>
      <c r="C185" s="1907">
        <v>1</v>
      </c>
      <c r="D185" s="1907">
        <v>1</v>
      </c>
      <c r="E185" s="1908">
        <v>1.3</v>
      </c>
      <c r="F185" s="1908"/>
      <c r="G185" s="1908">
        <v>1.9</v>
      </c>
      <c r="H185" s="1908">
        <f t="shared" ref="H185" si="62">PRODUCT(C185:G185)</f>
        <v>2.4699999999999998</v>
      </c>
      <c r="I185" s="1909"/>
      <c r="J185" s="1909"/>
      <c r="K185" s="1910"/>
    </row>
    <row r="186" spans="1:11" ht="15">
      <c r="A186" s="1914"/>
      <c r="B186" s="1906" t="s">
        <v>963</v>
      </c>
      <c r="C186" s="1907">
        <v>1</v>
      </c>
      <c r="D186" s="1907">
        <v>1</v>
      </c>
      <c r="E186" s="1908">
        <v>1.2</v>
      </c>
      <c r="F186" s="1908"/>
      <c r="G186" s="1908">
        <v>1.9</v>
      </c>
      <c r="H186" s="1908">
        <f t="shared" ref="H186" si="63">PRODUCT(C186:G186)</f>
        <v>2.2799999999999998</v>
      </c>
      <c r="I186" s="1909"/>
      <c r="J186" s="1909"/>
      <c r="K186" s="1910"/>
    </row>
    <row r="187" spans="1:11" ht="15">
      <c r="A187" s="1914"/>
      <c r="B187" s="1906" t="s">
        <v>963</v>
      </c>
      <c r="C187" s="1907">
        <v>1</v>
      </c>
      <c r="D187" s="1907">
        <v>1</v>
      </c>
      <c r="E187" s="1908">
        <v>1.2</v>
      </c>
      <c r="F187" s="1908"/>
      <c r="G187" s="1908">
        <v>1.9</v>
      </c>
      <c r="H187" s="1908">
        <f t="shared" ref="H187:H188" si="64">PRODUCT(C187:G187)</f>
        <v>2.2799999999999998</v>
      </c>
      <c r="I187" s="1909"/>
      <c r="J187" s="1909"/>
      <c r="K187" s="1910"/>
    </row>
    <row r="188" spans="1:11" ht="15">
      <c r="A188" s="1914"/>
      <c r="B188" s="1906" t="s">
        <v>963</v>
      </c>
      <c r="C188" s="1907">
        <v>1</v>
      </c>
      <c r="D188" s="1907">
        <v>2</v>
      </c>
      <c r="E188" s="1908">
        <v>1.6</v>
      </c>
      <c r="F188" s="1908"/>
      <c r="G188" s="1908">
        <v>1.9</v>
      </c>
      <c r="H188" s="1908">
        <f t="shared" si="64"/>
        <v>6.08</v>
      </c>
      <c r="I188" s="1909"/>
      <c r="J188" s="1909"/>
      <c r="K188" s="1910"/>
    </row>
    <row r="189" spans="1:11" ht="15">
      <c r="A189" s="1914"/>
      <c r="B189" s="1906" t="s">
        <v>963</v>
      </c>
      <c r="C189" s="1907">
        <v>1</v>
      </c>
      <c r="D189" s="1907">
        <v>2</v>
      </c>
      <c r="E189" s="1908">
        <v>1.45</v>
      </c>
      <c r="F189" s="1908"/>
      <c r="G189" s="1908">
        <v>1.9</v>
      </c>
      <c r="H189" s="1908">
        <f t="shared" ref="H189" si="65">PRODUCT(C189:G189)</f>
        <v>5.51</v>
      </c>
      <c r="I189" s="1909"/>
      <c r="J189" s="1909"/>
      <c r="K189" s="1910"/>
    </row>
    <row r="190" spans="1:11" ht="15">
      <c r="A190" s="1914"/>
      <c r="B190" s="1906"/>
      <c r="C190" s="1907"/>
      <c r="D190" s="1907"/>
      <c r="E190" s="1908"/>
      <c r="F190" s="1908"/>
      <c r="G190" s="1908"/>
      <c r="H190" s="1908">
        <f>SUM(H185:H189)</f>
        <v>18.619999999999997</v>
      </c>
      <c r="I190" s="1909"/>
      <c r="J190" s="1909"/>
      <c r="K190" s="1910"/>
    </row>
    <row r="191" spans="1:11" ht="15">
      <c r="A191" s="1914"/>
      <c r="B191" s="1906"/>
      <c r="C191" s="1907"/>
      <c r="D191" s="1907"/>
      <c r="E191" s="1908"/>
      <c r="F191" s="1908"/>
      <c r="G191" s="1908"/>
      <c r="H191" s="1908"/>
      <c r="I191" s="1909"/>
      <c r="J191" s="1909"/>
      <c r="K191" s="1910"/>
    </row>
    <row r="192" spans="1:11" ht="40.5" customHeight="1">
      <c r="A192" s="1914"/>
      <c r="B192" s="2188" t="s">
        <v>2259</v>
      </c>
      <c r="C192" s="2188"/>
      <c r="D192" s="2188"/>
      <c r="E192" s="2188"/>
      <c r="F192" s="2188"/>
      <c r="G192" s="2188"/>
      <c r="H192" s="2188"/>
      <c r="I192" s="1909"/>
      <c r="J192" s="1909"/>
      <c r="K192" s="1910"/>
    </row>
    <row r="193" spans="1:11" ht="15">
      <c r="A193" s="1914"/>
      <c r="B193" s="1906" t="s">
        <v>3805</v>
      </c>
      <c r="C193" s="1907">
        <v>1</v>
      </c>
      <c r="D193" s="1907">
        <v>1</v>
      </c>
      <c r="E193" s="1908">
        <v>1.2</v>
      </c>
      <c r="F193" s="1908"/>
      <c r="G193" s="1908">
        <v>1.7</v>
      </c>
      <c r="H193" s="1908">
        <f t="shared" ref="H193" si="66">PRODUCT(C193:G193)</f>
        <v>2.04</v>
      </c>
      <c r="I193" s="1909"/>
      <c r="J193" s="1909"/>
      <c r="K193" s="1910"/>
    </row>
    <row r="194" spans="1:11" ht="15">
      <c r="A194" s="1914"/>
      <c r="B194" s="1906" t="s">
        <v>963</v>
      </c>
      <c r="C194" s="1907">
        <v>1</v>
      </c>
      <c r="D194" s="1907">
        <v>2</v>
      </c>
      <c r="E194" s="1908">
        <v>1.2</v>
      </c>
      <c r="F194" s="1908"/>
      <c r="G194" s="1908">
        <v>1.1000000000000001</v>
      </c>
      <c r="H194" s="1908">
        <f t="shared" ref="H194" si="67">PRODUCT(C194:G194)</f>
        <v>2.64</v>
      </c>
      <c r="I194" s="1909"/>
      <c r="J194" s="1909"/>
      <c r="K194" s="1910"/>
    </row>
    <row r="195" spans="1:11" ht="15">
      <c r="A195" s="1914"/>
      <c r="B195" s="1906" t="s">
        <v>3791</v>
      </c>
      <c r="C195" s="1907">
        <v>1</v>
      </c>
      <c r="D195" s="1907">
        <v>1</v>
      </c>
      <c r="E195" s="1908">
        <v>2.2000000000000002</v>
      </c>
      <c r="F195" s="1908"/>
      <c r="G195" s="1908">
        <v>1.1000000000000001</v>
      </c>
      <c r="H195" s="1908">
        <f t="shared" ref="H195" si="68">PRODUCT(C195:G195)</f>
        <v>2.4200000000000004</v>
      </c>
      <c r="I195" s="1909"/>
      <c r="J195" s="1909"/>
      <c r="K195" s="1910"/>
    </row>
    <row r="196" spans="1:11" ht="15">
      <c r="A196" s="1914"/>
      <c r="B196" s="1906" t="s">
        <v>963</v>
      </c>
      <c r="C196" s="1907">
        <v>1</v>
      </c>
      <c r="D196" s="1907">
        <v>1</v>
      </c>
      <c r="E196" s="1908">
        <v>3.9</v>
      </c>
      <c r="F196" s="1908"/>
      <c r="G196" s="1908">
        <v>0.3</v>
      </c>
      <c r="H196" s="1908">
        <f t="shared" ref="H196" si="69">PRODUCT(C196:G196)</f>
        <v>1.17</v>
      </c>
      <c r="I196" s="1909"/>
      <c r="J196" s="1909"/>
      <c r="K196" s="1910"/>
    </row>
    <row r="197" spans="1:11" ht="15">
      <c r="A197" s="1914"/>
      <c r="B197" s="1906" t="s">
        <v>963</v>
      </c>
      <c r="C197" s="1907">
        <v>1</v>
      </c>
      <c r="D197" s="1907">
        <v>1</v>
      </c>
      <c r="E197" s="1908">
        <v>2.6</v>
      </c>
      <c r="F197" s="1908"/>
      <c r="G197" s="1908">
        <v>0.5</v>
      </c>
      <c r="H197" s="1908">
        <f t="shared" ref="H197" si="70">PRODUCT(C197:G197)</f>
        <v>1.3</v>
      </c>
      <c r="I197" s="1909"/>
      <c r="J197" s="1909"/>
      <c r="K197" s="1910"/>
    </row>
    <row r="198" spans="1:11" ht="15">
      <c r="A198" s="1914"/>
      <c r="B198" s="1906"/>
      <c r="C198" s="1907"/>
      <c r="D198" s="1907"/>
      <c r="E198" s="1908"/>
      <c r="F198" s="1908"/>
      <c r="G198" s="1908"/>
      <c r="H198" s="1908">
        <f>SUM(H193:H197)</f>
        <v>9.57</v>
      </c>
      <c r="I198" s="1909"/>
      <c r="J198" s="1909"/>
      <c r="K198" s="1910"/>
    </row>
    <row r="199" spans="1:11" ht="15">
      <c r="A199" s="1914"/>
      <c r="B199" s="1906"/>
      <c r="C199" s="1907"/>
      <c r="D199" s="1907"/>
      <c r="E199" s="1908"/>
      <c r="F199" s="1908"/>
      <c r="G199" s="1908"/>
      <c r="H199" s="1908"/>
      <c r="I199" s="1909"/>
      <c r="J199" s="1909"/>
      <c r="K199" s="1910"/>
    </row>
    <row r="200" spans="1:11" ht="32.25" customHeight="1">
      <c r="A200" s="1914"/>
      <c r="B200" s="2189" t="s">
        <v>3600</v>
      </c>
      <c r="C200" s="2189"/>
      <c r="D200" s="2189"/>
      <c r="E200" s="2189"/>
      <c r="F200" s="2189"/>
      <c r="G200" s="2189"/>
      <c r="H200" s="1908"/>
      <c r="I200" s="1909"/>
      <c r="J200" s="1909"/>
      <c r="K200" s="1910"/>
    </row>
    <row r="201" spans="1:11" ht="15">
      <c r="A201" s="1914"/>
      <c r="B201" s="1906" t="s">
        <v>3806</v>
      </c>
      <c r="C201" s="1907">
        <v>1</v>
      </c>
      <c r="D201" s="1907">
        <v>2</v>
      </c>
      <c r="E201" s="1908">
        <v>0.82</v>
      </c>
      <c r="F201" s="1908"/>
      <c r="G201" s="1908">
        <v>2.1</v>
      </c>
      <c r="H201" s="1908">
        <f t="shared" ref="H201:H205" si="71">PRODUCT(C201:G201)</f>
        <v>3.444</v>
      </c>
      <c r="I201" s="1909"/>
      <c r="J201" s="1909"/>
      <c r="K201" s="1910"/>
    </row>
    <row r="202" spans="1:11" ht="15">
      <c r="A202" s="1944"/>
      <c r="B202" s="1906" t="s">
        <v>3809</v>
      </c>
      <c r="C202" s="1907">
        <v>1</v>
      </c>
      <c r="D202" s="1907">
        <v>4</v>
      </c>
      <c r="E202" s="1908">
        <v>1.5</v>
      </c>
      <c r="F202" s="1908"/>
      <c r="G202" s="1908">
        <v>0.9</v>
      </c>
      <c r="H202" s="1908">
        <f t="shared" ref="H202" si="72">PRODUCT(C202:G202)</f>
        <v>5.4</v>
      </c>
      <c r="I202" s="1909"/>
      <c r="J202" s="1909"/>
      <c r="K202" s="1910"/>
    </row>
    <row r="203" spans="1:11" ht="15">
      <c r="A203" s="1917"/>
      <c r="B203" s="1906" t="s">
        <v>3808</v>
      </c>
      <c r="C203" s="1907">
        <v>1</v>
      </c>
      <c r="D203" s="1907">
        <v>1</v>
      </c>
      <c r="E203" s="1908">
        <v>5.9</v>
      </c>
      <c r="F203" s="1908"/>
      <c r="G203" s="1908">
        <v>1.5</v>
      </c>
      <c r="H203" s="1908">
        <f t="shared" si="71"/>
        <v>8.8500000000000014</v>
      </c>
      <c r="I203" s="1909"/>
      <c r="J203" s="1909"/>
      <c r="K203" s="1910"/>
    </row>
    <row r="204" spans="1:11" ht="15">
      <c r="A204" s="1917"/>
      <c r="B204" s="1906" t="s">
        <v>3797</v>
      </c>
      <c r="C204" s="1907">
        <v>1</v>
      </c>
      <c r="D204" s="1907">
        <v>1</v>
      </c>
      <c r="E204" s="1908">
        <v>2</v>
      </c>
      <c r="F204" s="1908"/>
      <c r="G204" s="1908">
        <v>2.1</v>
      </c>
      <c r="H204" s="1908">
        <f t="shared" si="71"/>
        <v>4.2</v>
      </c>
      <c r="I204" s="1909"/>
      <c r="J204" s="1909"/>
      <c r="K204" s="1910"/>
    </row>
    <row r="205" spans="1:11" ht="15">
      <c r="A205" s="1934"/>
      <c r="B205" s="1906" t="s">
        <v>3819</v>
      </c>
      <c r="C205" s="1907">
        <v>1</v>
      </c>
      <c r="D205" s="1907">
        <v>1</v>
      </c>
      <c r="E205" s="1908">
        <v>2.2999999999999998</v>
      </c>
      <c r="F205" s="1908"/>
      <c r="G205" s="1908">
        <v>2.8</v>
      </c>
      <c r="H205" s="1908">
        <f t="shared" si="71"/>
        <v>6.4399999999999995</v>
      </c>
      <c r="I205" s="1909"/>
      <c r="J205" s="1909"/>
      <c r="K205" s="1910">
        <f>H207+H208</f>
        <v>0</v>
      </c>
    </row>
    <row r="206" spans="1:11" ht="15">
      <c r="A206" s="1941"/>
      <c r="B206" s="1906"/>
      <c r="C206" s="1907"/>
      <c r="D206" s="1907"/>
      <c r="E206" s="1908"/>
      <c r="F206" s="1908"/>
      <c r="G206" s="1908"/>
      <c r="H206" s="1904">
        <f>SUM(H201:H205)</f>
        <v>28.334000000000003</v>
      </c>
      <c r="I206" s="1909"/>
      <c r="J206" s="1909"/>
      <c r="K206" s="1910"/>
    </row>
    <row r="207" spans="1:11" ht="15">
      <c r="A207" s="1934"/>
      <c r="B207" s="1906"/>
      <c r="C207" s="1907"/>
      <c r="D207" s="1907"/>
      <c r="E207" s="1908"/>
      <c r="F207" s="1908"/>
      <c r="G207" s="1908"/>
      <c r="H207" s="1904"/>
      <c r="I207" s="1909"/>
      <c r="J207" s="1909"/>
      <c r="K207" s="1910"/>
    </row>
    <row r="208" spans="1:11" ht="15">
      <c r="A208" s="1917"/>
      <c r="B208" s="1906"/>
      <c r="C208" s="1907"/>
      <c r="D208" s="1907"/>
      <c r="E208" s="1908"/>
      <c r="F208" s="1908"/>
      <c r="G208" s="1908"/>
      <c r="H208" s="1908"/>
      <c r="I208" s="1909"/>
      <c r="J208" s="1909"/>
      <c r="K208" s="1910"/>
    </row>
    <row r="209" spans="1:11" ht="15">
      <c r="A209" s="1914"/>
      <c r="B209" s="1906"/>
      <c r="C209" s="1907"/>
      <c r="D209" s="1907"/>
      <c r="E209" s="1908"/>
      <c r="F209" s="1908"/>
      <c r="G209" s="1908"/>
      <c r="H209" s="1908"/>
      <c r="I209" s="1909"/>
      <c r="J209" s="1909"/>
      <c r="K209" s="1910"/>
    </row>
    <row r="210" spans="1:11" ht="32.25" customHeight="1">
      <c r="A210" s="1914"/>
      <c r="B210" s="2189" t="s">
        <v>3642</v>
      </c>
      <c r="C210" s="2189"/>
      <c r="D210" s="2189"/>
      <c r="E210" s="2189"/>
      <c r="F210" s="2189"/>
      <c r="G210" s="2189"/>
      <c r="H210" s="1908"/>
      <c r="I210" s="1909"/>
      <c r="J210" s="1909"/>
      <c r="K210" s="1910"/>
    </row>
    <row r="211" spans="1:11" ht="15">
      <c r="A211" s="1914"/>
      <c r="B211" s="1906" t="s">
        <v>3792</v>
      </c>
      <c r="C211" s="1907">
        <v>1</v>
      </c>
      <c r="D211" s="1907">
        <v>1</v>
      </c>
      <c r="E211" s="1908">
        <v>1.2</v>
      </c>
      <c r="F211" s="1908"/>
      <c r="G211" s="1908">
        <v>1.7</v>
      </c>
      <c r="H211" s="1908">
        <f t="shared" ref="H211" si="73">PRODUCT(C211:G211)</f>
        <v>2.04</v>
      </c>
      <c r="I211" s="1909"/>
      <c r="J211" s="1909"/>
      <c r="K211" s="1910"/>
    </row>
    <row r="212" spans="1:11" ht="15">
      <c r="A212" s="1914"/>
      <c r="B212" s="1906" t="s">
        <v>963</v>
      </c>
      <c r="C212" s="1907">
        <v>1</v>
      </c>
      <c r="D212" s="1907">
        <v>2</v>
      </c>
      <c r="E212" s="1908">
        <v>1.2</v>
      </c>
      <c r="F212" s="1908"/>
      <c r="G212" s="1908">
        <v>1.1000000000000001</v>
      </c>
      <c r="H212" s="1908">
        <f t="shared" ref="H212" si="74">PRODUCT(C212:G212)</f>
        <v>2.64</v>
      </c>
      <c r="I212" s="1909"/>
      <c r="J212" s="1909"/>
      <c r="K212" s="1910"/>
    </row>
    <row r="213" spans="1:11" ht="15">
      <c r="A213" s="1914"/>
      <c r="B213" s="1906"/>
      <c r="C213" s="1907"/>
      <c r="D213" s="1907"/>
      <c r="E213" s="1908"/>
      <c r="F213" s="1908"/>
      <c r="G213" s="1908"/>
      <c r="H213" s="1904">
        <f>SUM(H211:H212)</f>
        <v>4.68</v>
      </c>
      <c r="I213" s="1909"/>
      <c r="J213" s="1909"/>
      <c r="K213" s="1910"/>
    </row>
    <row r="214" spans="1:11" ht="50.25" customHeight="1">
      <c r="A214" s="1914"/>
      <c r="B214" s="2189" t="s">
        <v>3393</v>
      </c>
      <c r="C214" s="2189"/>
      <c r="D214" s="2189"/>
      <c r="E214" s="2189"/>
      <c r="F214" s="2189"/>
      <c r="G214" s="2189"/>
      <c r="H214" s="1958"/>
      <c r="I214" s="1909"/>
      <c r="J214" s="1909"/>
      <c r="K214" s="1910"/>
    </row>
    <row r="215" spans="1:11" ht="15">
      <c r="A215" s="1959"/>
      <c r="B215" s="1906" t="s">
        <v>3793</v>
      </c>
      <c r="C215" s="1907">
        <v>1</v>
      </c>
      <c r="D215" s="1907">
        <v>1</v>
      </c>
      <c r="E215" s="1908">
        <v>6</v>
      </c>
      <c r="F215" s="1908">
        <v>3</v>
      </c>
      <c r="G215" s="1908"/>
      <c r="H215" s="1908">
        <f t="shared" ref="H215:H216" si="75">PRODUCT(C215:G215)</f>
        <v>18</v>
      </c>
      <c r="I215" s="1909"/>
      <c r="J215" s="1909"/>
      <c r="K215" s="1910"/>
    </row>
    <row r="216" spans="1:11" ht="15">
      <c r="A216" s="1959"/>
      <c r="B216" s="1906" t="s">
        <v>3794</v>
      </c>
      <c r="C216" s="1907">
        <v>1</v>
      </c>
      <c r="D216" s="1907">
        <v>1</v>
      </c>
      <c r="E216" s="1908">
        <v>6.95</v>
      </c>
      <c r="F216" s="1908">
        <v>4.12</v>
      </c>
      <c r="G216" s="1908"/>
      <c r="H216" s="1908">
        <f t="shared" si="75"/>
        <v>28.634</v>
      </c>
      <c r="I216" s="1909"/>
      <c r="J216" s="1909"/>
      <c r="K216" s="1910"/>
    </row>
    <row r="217" spans="1:11" ht="15">
      <c r="A217" s="1959"/>
      <c r="B217" s="1906" t="s">
        <v>3850</v>
      </c>
      <c r="C217" s="1907">
        <v>1</v>
      </c>
      <c r="D217" s="1907">
        <v>1</v>
      </c>
      <c r="E217" s="1908">
        <v>5.8</v>
      </c>
      <c r="F217" s="1908">
        <v>3</v>
      </c>
      <c r="G217" s="1908"/>
      <c r="H217" s="1908">
        <f t="shared" ref="H217" si="76">PRODUCT(C217:G217)</f>
        <v>17.399999999999999</v>
      </c>
      <c r="I217" s="1909"/>
      <c r="J217" s="1909"/>
      <c r="K217" s="1910"/>
    </row>
    <row r="218" spans="1:11" ht="15">
      <c r="A218" s="1959"/>
      <c r="B218" s="1906" t="s">
        <v>3790</v>
      </c>
      <c r="C218" s="1907">
        <v>1</v>
      </c>
      <c r="D218" s="1907">
        <v>1</v>
      </c>
      <c r="E218" s="1908">
        <v>10.65</v>
      </c>
      <c r="F218" s="1908">
        <v>2</v>
      </c>
      <c r="G218" s="1908"/>
      <c r="H218" s="1908">
        <f t="shared" ref="H218:H220" si="77">PRODUCT(C218:G218)</f>
        <v>21.3</v>
      </c>
      <c r="I218" s="1909"/>
      <c r="J218" s="1909"/>
      <c r="K218" s="1910"/>
    </row>
    <row r="219" spans="1:11" ht="15">
      <c r="A219" s="1959"/>
      <c r="B219" s="1906" t="s">
        <v>3806</v>
      </c>
      <c r="C219" s="1907">
        <v>1</v>
      </c>
      <c r="D219" s="1907">
        <v>1</v>
      </c>
      <c r="E219" s="1908">
        <v>5.14</v>
      </c>
      <c r="F219" s="1908">
        <v>3.97</v>
      </c>
      <c r="G219" s="1908"/>
      <c r="H219" s="1908">
        <f t="shared" si="77"/>
        <v>20.405799999999999</v>
      </c>
      <c r="I219" s="1909"/>
      <c r="J219" s="1909"/>
      <c r="K219" s="1910"/>
    </row>
    <row r="220" spans="1:11" ht="15">
      <c r="A220" s="1959"/>
      <c r="B220" s="1906" t="s">
        <v>3790</v>
      </c>
      <c r="C220" s="1907">
        <v>1</v>
      </c>
      <c r="D220" s="1907">
        <v>1</v>
      </c>
      <c r="E220" s="1908">
        <v>24.3</v>
      </c>
      <c r="F220" s="1908">
        <v>1</v>
      </c>
      <c r="G220" s="1908"/>
      <c r="H220" s="1908">
        <f t="shared" si="77"/>
        <v>24.3</v>
      </c>
      <c r="I220" s="1909"/>
      <c r="J220" s="1909"/>
      <c r="K220" s="1910"/>
    </row>
    <row r="221" spans="1:11" ht="15">
      <c r="A221" s="1964"/>
      <c r="B221" s="1906" t="s">
        <v>3801</v>
      </c>
      <c r="C221" s="1907">
        <v>1</v>
      </c>
      <c r="D221" s="1907">
        <v>2</v>
      </c>
      <c r="E221" s="1908">
        <v>2.8</v>
      </c>
      <c r="F221" s="1908">
        <v>2.5</v>
      </c>
      <c r="G221" s="1908"/>
      <c r="H221" s="1908">
        <f t="shared" ref="H221" si="78">PRODUCT(C221:G221)</f>
        <v>14</v>
      </c>
      <c r="I221" s="1909"/>
      <c r="J221" s="1909"/>
      <c r="K221" s="1910"/>
    </row>
    <row r="222" spans="1:11" ht="15">
      <c r="A222" s="1964"/>
      <c r="B222" s="1906" t="s">
        <v>963</v>
      </c>
      <c r="C222" s="1907">
        <v>1</v>
      </c>
      <c r="D222" s="1907">
        <v>1</v>
      </c>
      <c r="E222" s="1908">
        <v>5</v>
      </c>
      <c r="F222" s="1908">
        <v>1.8</v>
      </c>
      <c r="G222" s="1908"/>
      <c r="H222" s="1908">
        <f t="shared" ref="H222" si="79">PRODUCT(C222:G222)</f>
        <v>9</v>
      </c>
      <c r="I222" s="1909"/>
      <c r="J222" s="1909"/>
      <c r="K222" s="1910"/>
    </row>
    <row r="223" spans="1:11" ht="15">
      <c r="A223" s="1964"/>
      <c r="B223" s="1906" t="s">
        <v>3897</v>
      </c>
      <c r="C223" s="1907">
        <v>1</v>
      </c>
      <c r="D223" s="1907">
        <v>5</v>
      </c>
      <c r="E223" s="1908">
        <v>1</v>
      </c>
      <c r="F223" s="1908">
        <v>0.5</v>
      </c>
      <c r="G223" s="1908"/>
      <c r="H223" s="1908">
        <f t="shared" ref="H223" si="80">PRODUCT(C223:G223)</f>
        <v>2.5</v>
      </c>
      <c r="I223" s="1909"/>
      <c r="J223" s="1909"/>
      <c r="K223" s="1910"/>
    </row>
    <row r="224" spans="1:11" ht="15" customHeight="1">
      <c r="A224" s="1959"/>
      <c r="B224" s="1958"/>
      <c r="C224" s="1958"/>
      <c r="D224" s="1958"/>
      <c r="E224" s="1958"/>
      <c r="F224" s="1958"/>
      <c r="G224" s="1958"/>
      <c r="H224" s="1965">
        <f>SUM(H215:H223)</f>
        <v>155.53979999999999</v>
      </c>
      <c r="I224" s="1909"/>
      <c r="J224" s="1909"/>
      <c r="K224" s="1910"/>
    </row>
    <row r="225" spans="1:11" ht="32.25" customHeight="1">
      <c r="A225" s="1959"/>
      <c r="B225" s="2190" t="s">
        <v>3688</v>
      </c>
      <c r="C225" s="2190"/>
      <c r="D225" s="2190"/>
      <c r="E225" s="2190"/>
      <c r="F225" s="2190"/>
      <c r="G225" s="2190"/>
      <c r="H225" s="1958"/>
      <c r="I225" s="1909"/>
      <c r="J225" s="1909"/>
      <c r="K225" s="1910"/>
    </row>
    <row r="226" spans="1:11" ht="15">
      <c r="A226" s="1964"/>
      <c r="B226" s="1906" t="s">
        <v>3782</v>
      </c>
      <c r="C226" s="1907">
        <v>1</v>
      </c>
      <c r="D226" s="1907">
        <v>1</v>
      </c>
      <c r="E226" s="1908">
        <v>3.8</v>
      </c>
      <c r="F226" s="1908">
        <v>2.1</v>
      </c>
      <c r="G226" s="1908">
        <v>1.5</v>
      </c>
      <c r="H226" s="1908">
        <f t="shared" ref="H226" si="81">PRODUCT(C226:G226)</f>
        <v>11.969999999999999</v>
      </c>
      <c r="I226" s="1909"/>
      <c r="J226" s="1909"/>
      <c r="K226" s="1910"/>
    </row>
    <row r="227" spans="1:11" ht="15">
      <c r="A227" s="1964"/>
      <c r="B227" s="1906" t="s">
        <v>963</v>
      </c>
      <c r="C227" s="1907">
        <v>1</v>
      </c>
      <c r="D227" s="1907">
        <v>1</v>
      </c>
      <c r="E227" s="1908">
        <v>2.5</v>
      </c>
      <c r="F227" s="1908">
        <v>1.2</v>
      </c>
      <c r="G227" s="1908">
        <v>0.9</v>
      </c>
      <c r="H227" s="1908">
        <f t="shared" ref="H227" si="82">PRODUCT(C227:G227)</f>
        <v>2.7</v>
      </c>
      <c r="I227" s="1909"/>
      <c r="J227" s="1909"/>
      <c r="K227" s="1910"/>
    </row>
    <row r="228" spans="1:11" ht="15">
      <c r="A228" s="1964"/>
      <c r="B228" s="1906" t="s">
        <v>963</v>
      </c>
      <c r="C228" s="1907">
        <v>1</v>
      </c>
      <c r="D228" s="1907">
        <v>1</v>
      </c>
      <c r="E228" s="1908">
        <v>3.2</v>
      </c>
      <c r="F228" s="1908">
        <v>2</v>
      </c>
      <c r="G228" s="1908">
        <v>1.2</v>
      </c>
      <c r="H228" s="1908">
        <f t="shared" ref="H228" si="83">PRODUCT(C228:G228)</f>
        <v>7.68</v>
      </c>
      <c r="I228" s="1909"/>
      <c r="J228" s="1909"/>
      <c r="K228" s="1910"/>
    </row>
    <row r="229" spans="1:11" ht="15" customHeight="1">
      <c r="A229" s="1964"/>
      <c r="B229" s="1963"/>
      <c r="C229" s="1963"/>
      <c r="D229" s="1963"/>
      <c r="E229" s="1963"/>
      <c r="F229" s="1963"/>
      <c r="G229" s="1963"/>
      <c r="H229" s="1965">
        <f>SUM(H226:H228)</f>
        <v>22.349999999999998</v>
      </c>
      <c r="I229" s="1909"/>
      <c r="J229" s="1909"/>
      <c r="K229" s="1910"/>
    </row>
    <row r="230" spans="1:11" ht="15" customHeight="1">
      <c r="A230" s="1964"/>
      <c r="B230" s="1963"/>
      <c r="C230" s="1963"/>
      <c r="D230" s="1963"/>
      <c r="E230" s="1963"/>
      <c r="F230" s="1963"/>
      <c r="G230" s="1963"/>
      <c r="H230" s="1963"/>
      <c r="I230" s="1909"/>
      <c r="J230" s="1909"/>
      <c r="K230" s="1910"/>
    </row>
    <row r="231" spans="1:11" ht="15" customHeight="1">
      <c r="A231" s="1964"/>
      <c r="B231" s="1963"/>
      <c r="C231" s="1963"/>
      <c r="D231" s="1963"/>
      <c r="E231" s="1963"/>
      <c r="F231" s="1963"/>
      <c r="G231" s="1963"/>
      <c r="H231" s="1963"/>
      <c r="I231" s="1909"/>
      <c r="J231" s="1909"/>
      <c r="K231" s="1910"/>
    </row>
    <row r="232" spans="1:11" ht="15" customHeight="1">
      <c r="A232" s="1959"/>
      <c r="B232" s="1958"/>
      <c r="C232" s="1958"/>
      <c r="D232" s="1958"/>
      <c r="E232" s="1958"/>
      <c r="F232" s="1958"/>
      <c r="G232" s="1958"/>
      <c r="H232" s="1958"/>
      <c r="I232" s="1909"/>
      <c r="J232" s="1909"/>
      <c r="K232" s="1910"/>
    </row>
    <row r="233" spans="1:11" ht="15">
      <c r="A233" s="1914"/>
      <c r="B233" s="1906"/>
      <c r="C233" s="1907"/>
      <c r="D233" s="1907"/>
      <c r="E233" s="1908"/>
      <c r="F233" s="1908"/>
      <c r="G233" s="1908"/>
      <c r="H233" s="1908"/>
      <c r="I233" s="1909"/>
      <c r="J233" s="1909"/>
      <c r="K233" s="1910"/>
    </row>
    <row r="234" spans="1:11" ht="15">
      <c r="A234" s="1921"/>
      <c r="B234" s="1911"/>
      <c r="C234" s="1922"/>
      <c r="D234" s="1922"/>
      <c r="E234" s="1923"/>
      <c r="F234" s="1923"/>
      <c r="G234" s="1923"/>
      <c r="H234" s="1923"/>
      <c r="I234" s="1909"/>
      <c r="J234" s="1909"/>
      <c r="K234" s="1910"/>
    </row>
    <row r="235" spans="1:11" ht="15">
      <c r="A235" s="1913"/>
      <c r="B235" s="1911"/>
      <c r="C235" s="1907"/>
      <c r="D235" s="1907"/>
      <c r="E235" s="1908"/>
      <c r="F235" s="1908"/>
      <c r="G235" s="1908"/>
      <c r="H235" s="1908"/>
      <c r="I235" s="1909"/>
      <c r="J235" s="1909"/>
      <c r="K235" s="1910"/>
    </row>
    <row r="236" spans="1:11" ht="15">
      <c r="A236" s="1913"/>
      <c r="B236" s="1911"/>
      <c r="C236" s="1907"/>
      <c r="D236" s="1907"/>
      <c r="E236" s="1908"/>
      <c r="F236" s="1908"/>
      <c r="G236" s="1908"/>
      <c r="H236" s="1908"/>
      <c r="I236" s="1909"/>
      <c r="J236" s="1909"/>
      <c r="K236" s="1910"/>
    </row>
    <row r="237" spans="1:11" ht="15">
      <c r="A237" s="1913"/>
      <c r="B237" s="1911"/>
      <c r="C237" s="1907"/>
      <c r="D237" s="1907"/>
      <c r="E237" s="1908"/>
      <c r="F237" s="1908"/>
      <c r="G237" s="1908"/>
      <c r="H237" s="1908"/>
      <c r="I237" s="1909"/>
      <c r="J237" s="1909"/>
      <c r="K237" s="1910"/>
    </row>
    <row r="238" spans="1:11" ht="15">
      <c r="A238" s="1913"/>
      <c r="B238" s="1911"/>
      <c r="C238" s="1907"/>
      <c r="D238" s="1907"/>
      <c r="E238" s="1908"/>
      <c r="F238" s="1908"/>
      <c r="G238" s="1908"/>
      <c r="H238" s="1908"/>
      <c r="I238" s="1909"/>
      <c r="J238" s="1909"/>
      <c r="K238" s="1910"/>
    </row>
    <row r="239" spans="1:11" ht="15">
      <c r="A239" s="1913"/>
      <c r="B239" s="1911"/>
      <c r="C239" s="1907"/>
      <c r="D239" s="1907"/>
      <c r="E239" s="1908"/>
      <c r="F239" s="1908"/>
      <c r="G239" s="1908"/>
      <c r="H239" s="1908"/>
      <c r="I239" s="1909"/>
      <c r="J239" s="1909"/>
      <c r="K239" s="1910"/>
    </row>
    <row r="240" spans="1:11" ht="15">
      <c r="A240" s="1913"/>
      <c r="B240" s="1911"/>
      <c r="C240" s="1907"/>
      <c r="D240" s="1907"/>
      <c r="E240" s="1908"/>
      <c r="F240" s="1908"/>
      <c r="G240" s="1908"/>
      <c r="H240" s="1908"/>
      <c r="I240" s="1909"/>
      <c r="J240" s="1909"/>
      <c r="K240" s="1910"/>
    </row>
    <row r="241" spans="1:11" ht="15">
      <c r="A241" s="1900"/>
      <c r="B241" s="1911"/>
      <c r="C241" s="1907"/>
      <c r="D241" s="1907"/>
      <c r="E241" s="1908"/>
      <c r="F241" s="1908"/>
      <c r="G241" s="1908"/>
      <c r="H241" s="1908"/>
      <c r="I241" s="1909"/>
      <c r="J241" s="1909"/>
      <c r="K241" s="1910"/>
    </row>
    <row r="242" spans="1:11" ht="15">
      <c r="A242" s="1900"/>
      <c r="B242" s="1907"/>
      <c r="C242" s="1907"/>
      <c r="D242" s="1907"/>
      <c r="E242" s="1908"/>
      <c r="F242" s="1912"/>
      <c r="G242" s="1904"/>
      <c r="H242" s="1904"/>
      <c r="I242" s="1909"/>
      <c r="J242" s="1909"/>
      <c r="K242" s="1910"/>
    </row>
  </sheetData>
  <mergeCells count="26">
    <mergeCell ref="B163:H163"/>
    <mergeCell ref="B151:H151"/>
    <mergeCell ref="B12:D12"/>
    <mergeCell ref="B27:H27"/>
    <mergeCell ref="B31:H31"/>
    <mergeCell ref="B22:H22"/>
    <mergeCell ref="B97:H97"/>
    <mergeCell ref="B103:H103"/>
    <mergeCell ref="B117:H117"/>
    <mergeCell ref="B58:H58"/>
    <mergeCell ref="B69:H69"/>
    <mergeCell ref="B74:H74"/>
    <mergeCell ref="B78:H78"/>
    <mergeCell ref="B88:G88"/>
    <mergeCell ref="B94:H94"/>
    <mergeCell ref="C3:D3"/>
    <mergeCell ref="B5:H5"/>
    <mergeCell ref="B6:D6"/>
    <mergeCell ref="A2:H2"/>
    <mergeCell ref="A1:H1"/>
    <mergeCell ref="B184:H184"/>
    <mergeCell ref="B192:H192"/>
    <mergeCell ref="B200:G200"/>
    <mergeCell ref="B210:G210"/>
    <mergeCell ref="B225:G225"/>
    <mergeCell ref="B214:G214"/>
  </mergeCells>
  <printOptions horizontalCentered="1"/>
  <pageMargins left="0.7" right="0.7" top="0.75" bottom="0.75" header="0.3" footer="0.3"/>
  <pageSetup paperSize="9" orientation="portrait" r:id="rId1"/>
  <headerFooter>
    <oddFooter>Page &amp;P of &amp;N</oddFooter>
  </headerFooter>
</worksheet>
</file>

<file path=xl/worksheets/sheet24.xml><?xml version="1.0" encoding="utf-8"?>
<worksheet xmlns="http://schemas.openxmlformats.org/spreadsheetml/2006/main" xmlns:r="http://schemas.openxmlformats.org/officeDocument/2006/relationships">
  <dimension ref="A1"/>
  <sheetViews>
    <sheetView workbookViewId="0"/>
  </sheetViews>
  <sheetFormatPr defaultRowHeight="12.75"/>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K144"/>
  <sheetViews>
    <sheetView view="pageBreakPreview" zoomScaleSheetLayoutView="100" workbookViewId="0">
      <pane ySplit="1" topLeftCell="A128" activePane="bottomLeft" state="frozen"/>
      <selection pane="bottomLeft" activeCell="D137" sqref="D137"/>
    </sheetView>
  </sheetViews>
  <sheetFormatPr defaultRowHeight="12.75"/>
  <cols>
    <col min="1" max="2" width="4.140625" customWidth="1"/>
    <col min="3" max="3" width="62.5703125" customWidth="1"/>
    <col min="4" max="4" width="7.85546875" customWidth="1"/>
    <col min="5" max="5" width="6" customWidth="1"/>
    <col min="6" max="6" width="9.28515625" customWidth="1"/>
  </cols>
  <sheetData>
    <row r="1" spans="1:11" ht="15.75">
      <c r="A1" s="2184" t="s">
        <v>3915</v>
      </c>
      <c r="B1" s="2184"/>
      <c r="C1" s="2184"/>
      <c r="D1" s="2184"/>
      <c r="E1" s="2184"/>
      <c r="F1" s="2184"/>
      <c r="G1" s="2184"/>
      <c r="H1" s="2184"/>
      <c r="I1" s="2184"/>
      <c r="J1" s="2184"/>
      <c r="K1" s="2184"/>
    </row>
    <row r="2" spans="1:11" ht="39" customHeight="1">
      <c r="A2" s="1866"/>
      <c r="B2" s="2185" t="str">
        <f>Input!C2</f>
        <v>Name of Work:  Creation of Infrastructure Facilities for skill Dvelopment lab at 6th Floor OPD Block-3 in Gandhi Hospital, Secunderabad (Balance Work)</v>
      </c>
      <c r="C2" s="2185"/>
      <c r="D2" s="2185"/>
      <c r="E2" s="2185"/>
      <c r="F2" s="2185"/>
      <c r="G2" s="2185"/>
      <c r="H2" s="2185"/>
      <c r="I2" s="2185"/>
      <c r="J2" s="2185"/>
      <c r="K2" s="2185"/>
    </row>
    <row r="3" spans="1:11" ht="48" customHeight="1">
      <c r="A3" s="2183" t="s">
        <v>936</v>
      </c>
      <c r="B3" s="2183"/>
      <c r="C3" s="2183" t="s">
        <v>2448</v>
      </c>
      <c r="D3" s="2204" t="s">
        <v>3912</v>
      </c>
      <c r="E3" s="2204"/>
      <c r="F3" s="2204"/>
      <c r="G3" s="2204"/>
      <c r="H3" s="2205" t="s">
        <v>3913</v>
      </c>
      <c r="I3" s="2206"/>
      <c r="J3" s="2205" t="s">
        <v>3914</v>
      </c>
      <c r="K3" s="2206"/>
    </row>
    <row r="4" spans="1:11" ht="28.5">
      <c r="A4" s="2183"/>
      <c r="B4" s="2183"/>
      <c r="C4" s="2183"/>
      <c r="D4" s="2183" t="s">
        <v>1025</v>
      </c>
      <c r="E4" s="2183"/>
      <c r="F4" s="1962" t="s">
        <v>2789</v>
      </c>
      <c r="G4" s="1962" t="s">
        <v>3734</v>
      </c>
      <c r="H4" s="1975" t="s">
        <v>2365</v>
      </c>
      <c r="I4" s="1975" t="s">
        <v>2366</v>
      </c>
      <c r="J4" s="1975" t="s">
        <v>2365</v>
      </c>
      <c r="K4" s="1975" t="s">
        <v>2366</v>
      </c>
    </row>
    <row r="5" spans="1:11" ht="14.25">
      <c r="A5" s="1869"/>
      <c r="B5" s="1869"/>
      <c r="C5" s="1870" t="s">
        <v>3735</v>
      </c>
      <c r="D5" s="1869"/>
      <c r="E5" s="1869"/>
      <c r="F5" s="1869"/>
      <c r="G5" s="1869"/>
      <c r="H5" s="1869"/>
      <c r="I5" s="1869"/>
      <c r="J5" s="1869"/>
      <c r="K5" s="1869"/>
    </row>
    <row r="6" spans="1:11" ht="15">
      <c r="A6" s="1872"/>
      <c r="B6" s="1873"/>
      <c r="C6" s="1877"/>
      <c r="D6" s="1730"/>
      <c r="E6" s="1874"/>
      <c r="F6" s="1875"/>
      <c r="G6" s="1876"/>
      <c r="H6" s="1876"/>
      <c r="I6" s="1876"/>
      <c r="J6" s="1876"/>
      <c r="K6" s="1876"/>
    </row>
    <row r="7" spans="1:11" ht="40.5" customHeight="1">
      <c r="A7" s="1872">
        <f>A6+1</f>
        <v>1</v>
      </c>
      <c r="B7" s="1873"/>
      <c r="C7" s="1771" t="s">
        <v>3687</v>
      </c>
      <c r="D7" s="1730">
        <v>0.98</v>
      </c>
      <c r="E7" s="1872" t="s">
        <v>484</v>
      </c>
      <c r="F7" s="1872">
        <v>298</v>
      </c>
      <c r="G7" s="1876">
        <f t="shared" ref="G7" si="0">ROUND(D7*F7,0)</f>
        <v>292</v>
      </c>
      <c r="H7" s="1730">
        <v>0.98</v>
      </c>
      <c r="I7" s="1876">
        <f>ROUND(H7*F7,0)</f>
        <v>292</v>
      </c>
      <c r="J7" s="1976">
        <f>H7-D7</f>
        <v>0</v>
      </c>
      <c r="K7" s="1876">
        <f>ROUND(J7*F7,0)</f>
        <v>0</v>
      </c>
    </row>
    <row r="8" spans="1:11">
      <c r="A8" s="1872"/>
      <c r="B8" s="1873"/>
      <c r="C8" s="1771"/>
      <c r="D8" s="1730"/>
      <c r="E8" s="1873"/>
      <c r="F8" s="1872"/>
      <c r="G8" s="1873"/>
      <c r="H8" s="1730"/>
      <c r="I8" s="1873"/>
      <c r="J8" s="1873"/>
      <c r="K8" s="1873"/>
    </row>
    <row r="9" spans="1:11" ht="37.5" customHeight="1">
      <c r="A9" s="1872">
        <f>A8+2</f>
        <v>2</v>
      </c>
      <c r="B9" s="1873"/>
      <c r="C9" s="1771" t="s">
        <v>3693</v>
      </c>
      <c r="D9" s="1730">
        <v>20.93</v>
      </c>
      <c r="E9" s="1872" t="s">
        <v>46</v>
      </c>
      <c r="F9" s="1872">
        <v>15</v>
      </c>
      <c r="G9" s="1876">
        <f t="shared" ref="G9" si="1">ROUND(D9*F9,0)</f>
        <v>314</v>
      </c>
      <c r="H9" s="1730">
        <v>20.93</v>
      </c>
      <c r="I9" s="1876">
        <f t="shared" ref="I9:I73" si="2">ROUND(H9*F9,0)</f>
        <v>314</v>
      </c>
      <c r="J9" s="1976">
        <f>H9-D9</f>
        <v>0</v>
      </c>
      <c r="K9" s="1876">
        <f>ROUND(J9*F9,0)</f>
        <v>0</v>
      </c>
    </row>
    <row r="10" spans="1:11" ht="14.25">
      <c r="A10" s="1872"/>
      <c r="B10" s="1873"/>
      <c r="C10" s="1771"/>
      <c r="D10" s="1730"/>
      <c r="E10" s="1873"/>
      <c r="F10" s="1872"/>
      <c r="G10" s="1873"/>
      <c r="H10" s="1730"/>
      <c r="I10" s="1876"/>
      <c r="J10" s="1873"/>
      <c r="K10" s="1873"/>
    </row>
    <row r="11" spans="1:11" ht="52.5" customHeight="1">
      <c r="A11" s="1872">
        <f>A10+3</f>
        <v>3</v>
      </c>
      <c r="B11" s="1873"/>
      <c r="C11" s="1771" t="s">
        <v>3694</v>
      </c>
      <c r="D11" s="1730">
        <v>0.53</v>
      </c>
      <c r="E11" s="1872" t="s">
        <v>484</v>
      </c>
      <c r="F11" s="1872">
        <v>7686</v>
      </c>
      <c r="G11" s="1876">
        <f t="shared" ref="G11" si="3">ROUND(D11*F11,0)</f>
        <v>4074</v>
      </c>
      <c r="H11" s="1730">
        <v>0.53</v>
      </c>
      <c r="I11" s="1876">
        <f t="shared" si="2"/>
        <v>4074</v>
      </c>
      <c r="J11" s="1976">
        <f>H11-D11</f>
        <v>0</v>
      </c>
      <c r="K11" s="1876">
        <f>ROUND(J11*F11,0)</f>
        <v>0</v>
      </c>
    </row>
    <row r="12" spans="1:11" ht="14.25">
      <c r="A12" s="1872"/>
      <c r="B12" s="1873"/>
      <c r="C12" s="1771"/>
      <c r="D12" s="1730"/>
      <c r="E12" s="1873"/>
      <c r="F12" s="1872"/>
      <c r="G12" s="1873"/>
      <c r="H12" s="1730"/>
      <c r="I12" s="1876"/>
      <c r="J12" s="1873"/>
      <c r="K12" s="1873"/>
    </row>
    <row r="13" spans="1:11" ht="52.5" customHeight="1">
      <c r="A13" s="1872">
        <f>A12+4</f>
        <v>4</v>
      </c>
      <c r="B13" s="1873"/>
      <c r="C13" s="1854" t="s">
        <v>3695</v>
      </c>
      <c r="D13" s="1730">
        <v>100</v>
      </c>
      <c r="E13" s="1872" t="s">
        <v>46</v>
      </c>
      <c r="F13" s="1872">
        <v>526</v>
      </c>
      <c r="G13" s="1876">
        <f t="shared" ref="G13:G14" si="4">ROUND(D13*F13,0)</f>
        <v>52600</v>
      </c>
      <c r="H13" s="1730">
        <v>100</v>
      </c>
      <c r="I13" s="1876">
        <f t="shared" si="2"/>
        <v>52600</v>
      </c>
      <c r="J13" s="1976">
        <f>H13-D13</f>
        <v>0</v>
      </c>
      <c r="K13" s="1876">
        <f>ROUND(J13*F13,0)</f>
        <v>0</v>
      </c>
    </row>
    <row r="14" spans="1:11" ht="14.25">
      <c r="A14" s="1872"/>
      <c r="B14" s="1873"/>
      <c r="C14" s="1953" t="s">
        <v>3839</v>
      </c>
      <c r="D14" s="1730">
        <v>15.36</v>
      </c>
      <c r="E14" s="1873"/>
      <c r="F14" s="1872">
        <v>526</v>
      </c>
      <c r="G14" s="1876">
        <f t="shared" si="4"/>
        <v>8079</v>
      </c>
      <c r="H14" s="1730"/>
      <c r="I14" s="1876">
        <v>6467</v>
      </c>
      <c r="J14" s="1976"/>
      <c r="K14" s="1876">
        <f>G14-I14</f>
        <v>1612</v>
      </c>
    </row>
    <row r="15" spans="1:11" ht="14.25">
      <c r="A15" s="1872"/>
      <c r="B15" s="1873"/>
      <c r="C15" s="1771"/>
      <c r="D15" s="1730"/>
      <c r="E15" s="1873"/>
      <c r="F15" s="1872"/>
      <c r="G15" s="1873"/>
      <c r="H15" s="1730"/>
      <c r="I15" s="1876"/>
      <c r="J15" s="1873"/>
      <c r="K15" s="1873"/>
    </row>
    <row r="16" spans="1:11" ht="52.5" customHeight="1">
      <c r="A16" s="1872">
        <f>A15+5</f>
        <v>5</v>
      </c>
      <c r="B16" s="1873"/>
      <c r="C16" s="1771" t="s">
        <v>3696</v>
      </c>
      <c r="D16" s="1730">
        <v>36.26</v>
      </c>
      <c r="E16" s="1872" t="s">
        <v>46</v>
      </c>
      <c r="F16" s="1872">
        <v>4030</v>
      </c>
      <c r="G16" s="1876">
        <f t="shared" ref="G16" si="5">ROUND(D16*F16,0)</f>
        <v>146128</v>
      </c>
      <c r="H16" s="1730">
        <v>36.25</v>
      </c>
      <c r="I16" s="1876">
        <f t="shared" si="2"/>
        <v>146088</v>
      </c>
      <c r="J16" s="1976">
        <f>D16-H16</f>
        <v>9.9999999999980105E-3</v>
      </c>
      <c r="K16" s="1876">
        <f>ROUND(J16*F16,0)</f>
        <v>40</v>
      </c>
    </row>
    <row r="17" spans="1:11" ht="14.25">
      <c r="A17" s="1872"/>
      <c r="B17" s="1873"/>
      <c r="C17" s="1771"/>
      <c r="D17" s="1730"/>
      <c r="E17" s="1873"/>
      <c r="F17" s="1872"/>
      <c r="G17" s="1873"/>
      <c r="H17" s="1730"/>
      <c r="I17" s="1876"/>
      <c r="J17" s="1873"/>
      <c r="K17" s="1873"/>
    </row>
    <row r="18" spans="1:11" ht="76.5" customHeight="1">
      <c r="A18" s="1872">
        <f>A17+6</f>
        <v>6</v>
      </c>
      <c r="B18" s="1873"/>
      <c r="C18" s="1771" t="s">
        <v>3697</v>
      </c>
      <c r="D18" s="1730">
        <v>45</v>
      </c>
      <c r="E18" s="1872" t="s">
        <v>46</v>
      </c>
      <c r="F18" s="1872">
        <v>1044</v>
      </c>
      <c r="G18" s="1876">
        <f t="shared" ref="G18:G19" si="6">ROUND(D18*F18,0)</f>
        <v>46980</v>
      </c>
      <c r="H18" s="1730">
        <v>45</v>
      </c>
      <c r="I18" s="1876">
        <f t="shared" si="2"/>
        <v>46980</v>
      </c>
      <c r="J18" s="1976">
        <f>H18-D18</f>
        <v>0</v>
      </c>
      <c r="K18" s="1876">
        <f>ROUND(J18*F18,0)</f>
        <v>0</v>
      </c>
    </row>
    <row r="19" spans="1:11" ht="14.25">
      <c r="A19" s="1872"/>
      <c r="B19" s="1873"/>
      <c r="C19" s="1953" t="s">
        <v>3839</v>
      </c>
      <c r="D19" s="1730">
        <f>64.03-D18</f>
        <v>19.03</v>
      </c>
      <c r="E19" s="1873"/>
      <c r="F19" s="1872">
        <v>1044</v>
      </c>
      <c r="G19" s="1876">
        <f t="shared" si="6"/>
        <v>19867</v>
      </c>
      <c r="H19" s="1730">
        <f>64.03-H18</f>
        <v>19.03</v>
      </c>
      <c r="I19" s="1876">
        <v>15907</v>
      </c>
      <c r="J19" s="1976">
        <f>H19-D19</f>
        <v>0</v>
      </c>
      <c r="K19" s="1876">
        <f>G19-I19</f>
        <v>3960</v>
      </c>
    </row>
    <row r="20" spans="1:11" ht="14.25">
      <c r="A20" s="1872"/>
      <c r="B20" s="1873"/>
      <c r="C20" s="1771"/>
      <c r="D20" s="1730"/>
      <c r="E20" s="1873"/>
      <c r="F20" s="1872"/>
      <c r="G20" s="1873"/>
      <c r="H20" s="1730"/>
      <c r="I20" s="1876"/>
      <c r="J20" s="1873"/>
      <c r="K20" s="1873"/>
    </row>
    <row r="21" spans="1:11" ht="39.75" customHeight="1">
      <c r="A21" s="1872">
        <f>A20+7</f>
        <v>7</v>
      </c>
      <c r="B21" s="1873"/>
      <c r="C21" s="1771" t="s">
        <v>3698</v>
      </c>
      <c r="D21" s="1730">
        <v>5.21</v>
      </c>
      <c r="E21" s="1872" t="s">
        <v>46</v>
      </c>
      <c r="F21" s="1872">
        <v>907</v>
      </c>
      <c r="G21" s="1876">
        <f t="shared" ref="G21" si="7">ROUND(D21*F21,0)</f>
        <v>4725</v>
      </c>
      <c r="H21" s="1730">
        <v>5.21</v>
      </c>
      <c r="I21" s="1876">
        <f t="shared" si="2"/>
        <v>4725</v>
      </c>
      <c r="J21" s="1976">
        <f>H21-D21</f>
        <v>0</v>
      </c>
      <c r="K21" s="1876">
        <f>ROUND(J21*F21,0)</f>
        <v>0</v>
      </c>
    </row>
    <row r="22" spans="1:11" ht="14.25">
      <c r="A22" s="1872"/>
      <c r="B22" s="1873"/>
      <c r="C22" s="1771"/>
      <c r="D22" s="1730"/>
      <c r="E22" s="1873"/>
      <c r="F22" s="1872"/>
      <c r="G22" s="1873"/>
      <c r="H22" s="1730"/>
      <c r="I22" s="1876"/>
      <c r="J22" s="1873"/>
      <c r="K22" s="1873"/>
    </row>
    <row r="23" spans="1:11" ht="51" customHeight="1">
      <c r="A23" s="1872">
        <f>A22+8</f>
        <v>8</v>
      </c>
      <c r="B23" s="1873"/>
      <c r="C23" s="1771" t="s">
        <v>3700</v>
      </c>
      <c r="D23" s="1730">
        <v>27.95</v>
      </c>
      <c r="E23" s="1872" t="s">
        <v>1308</v>
      </c>
      <c r="F23" s="1872">
        <v>104</v>
      </c>
      <c r="G23" s="1876">
        <f t="shared" ref="G23" si="8">ROUND(D23*F23,0)</f>
        <v>2907</v>
      </c>
      <c r="H23" s="1730">
        <v>27.95</v>
      </c>
      <c r="I23" s="1876">
        <f t="shared" si="2"/>
        <v>2907</v>
      </c>
      <c r="J23" s="1976">
        <f>H23-D23</f>
        <v>0</v>
      </c>
      <c r="K23" s="1876">
        <f>ROUND(J23*F23,0)</f>
        <v>0</v>
      </c>
    </row>
    <row r="24" spans="1:11" ht="14.25">
      <c r="A24" s="1872"/>
      <c r="B24" s="1873"/>
      <c r="C24" s="1771"/>
      <c r="D24" s="1730"/>
      <c r="E24" s="1873"/>
      <c r="F24" s="1872"/>
      <c r="G24" s="1873"/>
      <c r="H24" s="1730"/>
      <c r="I24" s="1876"/>
      <c r="J24" s="1873"/>
      <c r="K24" s="1873"/>
    </row>
    <row r="25" spans="1:11" ht="63.75" customHeight="1">
      <c r="A25" s="1872">
        <f>A24+9</f>
        <v>9</v>
      </c>
      <c r="B25" s="1873"/>
      <c r="C25" s="1771" t="s">
        <v>3701</v>
      </c>
      <c r="D25" s="1730">
        <v>3.72</v>
      </c>
      <c r="E25" s="1872" t="s">
        <v>46</v>
      </c>
      <c r="F25" s="1872">
        <v>1003</v>
      </c>
      <c r="G25" s="1876">
        <f t="shared" ref="G25" si="9">ROUND(D25*F25,0)</f>
        <v>3731</v>
      </c>
      <c r="H25" s="1730">
        <v>3.72</v>
      </c>
      <c r="I25" s="1876">
        <f t="shared" si="2"/>
        <v>3731</v>
      </c>
      <c r="J25" s="1976">
        <f>H25-D25</f>
        <v>0</v>
      </c>
      <c r="K25" s="1876">
        <f>ROUND(J25*F25,0)</f>
        <v>0</v>
      </c>
    </row>
    <row r="26" spans="1:11" ht="14.25">
      <c r="A26" s="1872"/>
      <c r="B26" s="1873"/>
      <c r="C26" s="1771"/>
      <c r="D26" s="1730"/>
      <c r="E26" s="1873"/>
      <c r="F26" s="1872"/>
      <c r="G26" s="1873"/>
      <c r="H26" s="1730"/>
      <c r="I26" s="1876"/>
      <c r="J26" s="1873"/>
      <c r="K26" s="1873"/>
    </row>
    <row r="27" spans="1:11" ht="63" customHeight="1">
      <c r="A27" s="1872">
        <f>A26+10</f>
        <v>10</v>
      </c>
      <c r="B27" s="1873"/>
      <c r="C27" s="1771" t="s">
        <v>3702</v>
      </c>
      <c r="D27" s="1730">
        <v>28.43</v>
      </c>
      <c r="E27" s="1872" t="s">
        <v>46</v>
      </c>
      <c r="F27" s="1872">
        <v>1121</v>
      </c>
      <c r="G27" s="1876">
        <f t="shared" ref="G27" si="10">ROUND(D27*F27,0)</f>
        <v>31870</v>
      </c>
      <c r="H27" s="1730">
        <v>28.43</v>
      </c>
      <c r="I27" s="1876">
        <f t="shared" si="2"/>
        <v>31870</v>
      </c>
      <c r="J27" s="1976">
        <f>H27-D27</f>
        <v>0</v>
      </c>
      <c r="K27" s="1876">
        <f>ROUND(J27*F27,0)</f>
        <v>0</v>
      </c>
    </row>
    <row r="28" spans="1:11" ht="14.25">
      <c r="A28" s="1872"/>
      <c r="B28" s="1873"/>
      <c r="C28" s="1771"/>
      <c r="D28" s="1730"/>
      <c r="E28" s="1873"/>
      <c r="F28" s="1872"/>
      <c r="G28" s="1873"/>
      <c r="H28" s="1730"/>
      <c r="I28" s="1876"/>
      <c r="J28" s="1873"/>
      <c r="K28" s="1873"/>
    </row>
    <row r="29" spans="1:11" ht="50.25" customHeight="1">
      <c r="A29" s="1872">
        <f>A28+11</f>
        <v>11</v>
      </c>
      <c r="B29" s="1873"/>
      <c r="C29" s="1771" t="s">
        <v>3703</v>
      </c>
      <c r="D29" s="1730">
        <v>72.510000000000005</v>
      </c>
      <c r="E29" s="1872" t="s">
        <v>46</v>
      </c>
      <c r="F29" s="1872">
        <v>235</v>
      </c>
      <c r="G29" s="1876">
        <f t="shared" ref="G29" si="11">ROUND(D29*F29,0)</f>
        <v>17040</v>
      </c>
      <c r="H29" s="1730">
        <v>72.510000000000005</v>
      </c>
      <c r="I29" s="1876">
        <f t="shared" si="2"/>
        <v>17040</v>
      </c>
      <c r="J29" s="1976">
        <f>H29-D29</f>
        <v>0</v>
      </c>
      <c r="K29" s="1876">
        <f>ROUND(J29*F29,0)</f>
        <v>0</v>
      </c>
    </row>
    <row r="30" spans="1:11" ht="14.25">
      <c r="A30" s="1872"/>
      <c r="B30" s="1873"/>
      <c r="C30" s="1771"/>
      <c r="D30" s="1730"/>
      <c r="E30" s="1873"/>
      <c r="F30" s="1872"/>
      <c r="G30" s="1873"/>
      <c r="H30" s="1730"/>
      <c r="I30" s="1876"/>
      <c r="J30" s="1873"/>
      <c r="K30" s="1873"/>
    </row>
    <row r="31" spans="1:11" ht="35.25" customHeight="1">
      <c r="A31" s="1872">
        <f>A30+12</f>
        <v>12</v>
      </c>
      <c r="B31" s="1873"/>
      <c r="C31" s="1771" t="s">
        <v>3704</v>
      </c>
      <c r="D31" s="1730">
        <v>180</v>
      </c>
      <c r="E31" s="1872" t="s">
        <v>46</v>
      </c>
      <c r="F31" s="1872">
        <v>194</v>
      </c>
      <c r="G31" s="1876">
        <f t="shared" ref="G31:G32" si="12">ROUND(D31*F31,0)</f>
        <v>34920</v>
      </c>
      <c r="H31" s="1730">
        <v>180</v>
      </c>
      <c r="I31" s="1876">
        <f t="shared" si="2"/>
        <v>34920</v>
      </c>
      <c r="J31" s="1976">
        <f>H31-D31</f>
        <v>0</v>
      </c>
      <c r="K31" s="1876">
        <f>ROUND(J31*F31,0)</f>
        <v>0</v>
      </c>
    </row>
    <row r="32" spans="1:11" ht="14.25">
      <c r="A32" s="1872"/>
      <c r="B32" s="1873"/>
      <c r="C32" s="1953" t="s">
        <v>3839</v>
      </c>
      <c r="D32" s="1730">
        <v>40.19</v>
      </c>
      <c r="E32" s="1873"/>
      <c r="F32" s="1872">
        <v>194</v>
      </c>
      <c r="G32" s="1876">
        <f t="shared" si="12"/>
        <v>7797</v>
      </c>
      <c r="H32" s="1730">
        <v>40.19</v>
      </c>
      <c r="I32" s="1876">
        <v>6229</v>
      </c>
      <c r="J32" s="1976">
        <f>H32-D32</f>
        <v>0</v>
      </c>
      <c r="K32" s="1876">
        <f>G32-I32</f>
        <v>1568</v>
      </c>
    </row>
    <row r="33" spans="1:11" ht="14.25">
      <c r="A33" s="1872"/>
      <c r="B33" s="1873"/>
      <c r="C33" s="1771"/>
      <c r="D33" s="1730"/>
      <c r="E33" s="1873"/>
      <c r="F33" s="1872"/>
      <c r="G33" s="1873"/>
      <c r="H33" s="1730"/>
      <c r="I33" s="1876"/>
      <c r="J33" s="1873"/>
      <c r="K33" s="1873"/>
    </row>
    <row r="34" spans="1:11" ht="51" customHeight="1">
      <c r="A34" s="1872">
        <f>A33+13</f>
        <v>13</v>
      </c>
      <c r="B34" s="1873"/>
      <c r="C34" s="1771" t="s">
        <v>3705</v>
      </c>
      <c r="D34" s="1730">
        <v>45</v>
      </c>
      <c r="E34" s="1872" t="s">
        <v>46</v>
      </c>
      <c r="F34" s="1872">
        <v>290</v>
      </c>
      <c r="G34" s="1876">
        <f t="shared" ref="G34:G35" si="13">ROUND(D34*F34,0)</f>
        <v>13050</v>
      </c>
      <c r="H34" s="1730">
        <v>45</v>
      </c>
      <c r="I34" s="1876">
        <f t="shared" si="2"/>
        <v>13050</v>
      </c>
      <c r="J34" s="1976">
        <f>H34-D34</f>
        <v>0</v>
      </c>
      <c r="K34" s="1876">
        <f>ROUND(J34*F34,0)</f>
        <v>0</v>
      </c>
    </row>
    <row r="35" spans="1:11" ht="14.25">
      <c r="A35" s="1872"/>
      <c r="B35" s="1873"/>
      <c r="C35" s="1953" t="s">
        <v>3839</v>
      </c>
      <c r="D35" s="1730">
        <v>8.7899999999999991</v>
      </c>
      <c r="E35" s="1873"/>
      <c r="F35" s="1872">
        <v>290</v>
      </c>
      <c r="G35" s="1876">
        <f t="shared" si="13"/>
        <v>2549</v>
      </c>
      <c r="H35" s="1730">
        <v>8.7899999999999991</v>
      </c>
      <c r="I35" s="1876">
        <v>2039</v>
      </c>
      <c r="J35" s="1976">
        <f>H35-D35</f>
        <v>0</v>
      </c>
      <c r="K35" s="1876">
        <f>G35-I35</f>
        <v>510</v>
      </c>
    </row>
    <row r="36" spans="1:11" ht="14.25">
      <c r="A36" s="1872"/>
      <c r="B36" s="1873"/>
      <c r="C36" s="1771"/>
      <c r="D36" s="1730"/>
      <c r="E36" s="1873"/>
      <c r="F36" s="1872"/>
      <c r="G36" s="1873"/>
      <c r="H36" s="1730"/>
      <c r="I36" s="1876"/>
      <c r="J36" s="1873"/>
      <c r="K36" s="1873"/>
    </row>
    <row r="37" spans="1:11" ht="51.75" customHeight="1">
      <c r="A37" s="1872">
        <f>A36+14</f>
        <v>14</v>
      </c>
      <c r="B37" s="1873"/>
      <c r="C37" s="1771" t="s">
        <v>2259</v>
      </c>
      <c r="D37" s="1730">
        <v>8</v>
      </c>
      <c r="E37" s="1872" t="s">
        <v>46</v>
      </c>
      <c r="F37" s="1872">
        <v>2218</v>
      </c>
      <c r="G37" s="1876">
        <f t="shared" ref="G37:G38" si="14">ROUND(D37*F37,0)</f>
        <v>17744</v>
      </c>
      <c r="H37" s="1730">
        <v>8</v>
      </c>
      <c r="I37" s="1876">
        <f t="shared" si="2"/>
        <v>17744</v>
      </c>
      <c r="J37" s="1976">
        <f>H37-D37</f>
        <v>0</v>
      </c>
      <c r="K37" s="1876">
        <f>ROUND(J37*F37,0)</f>
        <v>0</v>
      </c>
    </row>
    <row r="38" spans="1:11" ht="14.25">
      <c r="A38" s="1872"/>
      <c r="B38" s="1873"/>
      <c r="C38" s="1953" t="s">
        <v>3839</v>
      </c>
      <c r="D38" s="1730">
        <f>9.57-D37</f>
        <v>1.5700000000000003</v>
      </c>
      <c r="E38" s="1873"/>
      <c r="F38" s="1872">
        <v>2218</v>
      </c>
      <c r="G38" s="1876">
        <f t="shared" si="14"/>
        <v>3482</v>
      </c>
      <c r="H38" s="1730">
        <f>9.57-H37</f>
        <v>1.5700000000000003</v>
      </c>
      <c r="I38" s="1876">
        <v>2785</v>
      </c>
      <c r="J38" s="1976">
        <f>H38-D38</f>
        <v>0</v>
      </c>
      <c r="K38" s="1876">
        <f>G38-I38</f>
        <v>697</v>
      </c>
    </row>
    <row r="39" spans="1:11" ht="14.25">
      <c r="A39" s="1872"/>
      <c r="B39" s="1873"/>
      <c r="C39" s="1771"/>
      <c r="D39" s="1730"/>
      <c r="E39" s="1873"/>
      <c r="F39" s="1872"/>
      <c r="G39" s="1873"/>
      <c r="H39" s="1730"/>
      <c r="I39" s="1876"/>
      <c r="J39" s="1873"/>
      <c r="K39" s="1873"/>
    </row>
    <row r="40" spans="1:11" ht="38.25" customHeight="1">
      <c r="A40" s="1872">
        <f>A39+15</f>
        <v>15</v>
      </c>
      <c r="B40" s="1873"/>
      <c r="C40" s="1771" t="s">
        <v>3706</v>
      </c>
      <c r="D40" s="1730">
        <v>15</v>
      </c>
      <c r="E40" s="1872" t="s">
        <v>46</v>
      </c>
      <c r="F40" s="1872">
        <v>114</v>
      </c>
      <c r="G40" s="1876">
        <f t="shared" ref="G40:G41" si="15">ROUND(D40*F40,0)</f>
        <v>1710</v>
      </c>
      <c r="H40" s="1730">
        <v>15</v>
      </c>
      <c r="I40" s="1876">
        <f t="shared" si="2"/>
        <v>1710</v>
      </c>
      <c r="J40" s="1976">
        <f>H40-D40</f>
        <v>0</v>
      </c>
      <c r="K40" s="1876">
        <f>ROUND(J40*F40,0)</f>
        <v>0</v>
      </c>
    </row>
    <row r="41" spans="1:11" ht="14.25">
      <c r="A41" s="1872"/>
      <c r="B41" s="1873"/>
      <c r="C41" s="1953" t="s">
        <v>3839</v>
      </c>
      <c r="D41" s="1730">
        <v>33.32</v>
      </c>
      <c r="E41" s="1873"/>
      <c r="F41" s="1872">
        <v>114</v>
      </c>
      <c r="G41" s="1876">
        <f t="shared" si="15"/>
        <v>3798</v>
      </c>
      <c r="H41" s="1730">
        <v>33.32</v>
      </c>
      <c r="I41" s="1876">
        <v>3032</v>
      </c>
      <c r="J41" s="1976">
        <f>H41-D41</f>
        <v>0</v>
      </c>
      <c r="K41" s="1876">
        <f>G41-I41</f>
        <v>766</v>
      </c>
    </row>
    <row r="42" spans="1:11" ht="14.25">
      <c r="A42" s="1872"/>
      <c r="B42" s="1873"/>
      <c r="C42" s="1771"/>
      <c r="D42" s="1730"/>
      <c r="E42" s="1873"/>
      <c r="F42" s="1872"/>
      <c r="G42" s="1873"/>
      <c r="H42" s="1730"/>
      <c r="I42" s="1876"/>
      <c r="J42" s="1873"/>
      <c r="K42" s="1873"/>
    </row>
    <row r="43" spans="1:11" ht="38.25">
      <c r="A43" s="1872">
        <f>A42+16</f>
        <v>16</v>
      </c>
      <c r="B43" s="1873"/>
      <c r="C43" s="1771" t="s">
        <v>3707</v>
      </c>
      <c r="D43" s="1730">
        <v>18.62</v>
      </c>
      <c r="E43" s="1872" t="s">
        <v>46</v>
      </c>
      <c r="F43" s="1872">
        <v>1375</v>
      </c>
      <c r="G43" s="1876">
        <f t="shared" ref="G43" si="16">ROUND(D43*F43,0)</f>
        <v>25603</v>
      </c>
      <c r="H43" s="1730">
        <v>18.62</v>
      </c>
      <c r="I43" s="1876">
        <f t="shared" si="2"/>
        <v>25603</v>
      </c>
      <c r="J43" s="1976">
        <f>H43-D43</f>
        <v>0</v>
      </c>
      <c r="K43" s="1876">
        <f>ROUND(J43*F43,0)</f>
        <v>0</v>
      </c>
    </row>
    <row r="44" spans="1:11" ht="14.25">
      <c r="A44" s="1872"/>
      <c r="B44" s="1873"/>
      <c r="C44" s="1771"/>
      <c r="D44" s="1730"/>
      <c r="E44" s="1873"/>
      <c r="F44" s="1872"/>
      <c r="G44" s="1873"/>
      <c r="H44" s="1730"/>
      <c r="I44" s="1876"/>
      <c r="J44" s="1873"/>
      <c r="K44" s="1873"/>
    </row>
    <row r="45" spans="1:11" ht="38.25">
      <c r="A45" s="1872">
        <f>A44+17</f>
        <v>17</v>
      </c>
      <c r="B45" s="1873"/>
      <c r="C45" s="1771" t="s">
        <v>3688</v>
      </c>
      <c r="D45" s="1730">
        <v>10</v>
      </c>
      <c r="E45" s="1872" t="s">
        <v>484</v>
      </c>
      <c r="F45" s="1872">
        <v>339</v>
      </c>
      <c r="G45" s="1876">
        <f t="shared" ref="G45:G46" si="17">ROUND(D45*F45,0)</f>
        <v>3390</v>
      </c>
      <c r="H45" s="1730">
        <v>10</v>
      </c>
      <c r="I45" s="1876">
        <f t="shared" si="2"/>
        <v>3390</v>
      </c>
      <c r="J45" s="1976">
        <f>H45-D45</f>
        <v>0</v>
      </c>
      <c r="K45" s="1876">
        <f>ROUND(J45*F45,0)</f>
        <v>0</v>
      </c>
    </row>
    <row r="46" spans="1:11" ht="14.25">
      <c r="A46" s="1872"/>
      <c r="B46" s="1873"/>
      <c r="C46" s="1953" t="s">
        <v>3839</v>
      </c>
      <c r="D46" s="1730">
        <v>12.35</v>
      </c>
      <c r="E46" s="1873"/>
      <c r="F46" s="1872">
        <v>339</v>
      </c>
      <c r="G46" s="1876">
        <f t="shared" si="17"/>
        <v>4187</v>
      </c>
      <c r="H46" s="1730">
        <v>12.35</v>
      </c>
      <c r="I46" s="1876">
        <v>3347</v>
      </c>
      <c r="J46" s="1976">
        <f>H46-D46</f>
        <v>0</v>
      </c>
      <c r="K46" s="1876">
        <f>G46-I46</f>
        <v>840</v>
      </c>
    </row>
    <row r="47" spans="1:11" ht="14.25">
      <c r="A47" s="1872"/>
      <c r="B47" s="1873"/>
      <c r="C47" s="1771"/>
      <c r="D47" s="1730"/>
      <c r="E47" s="1873"/>
      <c r="F47" s="1872"/>
      <c r="G47" s="1876"/>
      <c r="H47" s="1730"/>
      <c r="I47" s="1876"/>
      <c r="J47" s="1876"/>
      <c r="K47" s="1876"/>
    </row>
    <row r="48" spans="1:11">
      <c r="A48" s="1872"/>
      <c r="B48" s="1873"/>
      <c r="C48" s="1881" t="s">
        <v>3736</v>
      </c>
      <c r="D48" s="1730"/>
      <c r="E48" s="1873"/>
      <c r="F48" s="1872"/>
      <c r="G48" s="1880">
        <f>SUM(G7:G47)</f>
        <v>456837</v>
      </c>
      <c r="H48" s="1730"/>
      <c r="I48" s="1880">
        <f>SUM(I7:I47)</f>
        <v>446844</v>
      </c>
      <c r="J48" s="1880"/>
      <c r="K48" s="1880">
        <f>SUM(K7:K47)</f>
        <v>9993</v>
      </c>
    </row>
    <row r="49" spans="1:11" ht="14.25">
      <c r="A49" s="1872"/>
      <c r="B49" s="1873"/>
      <c r="C49" s="1771"/>
      <c r="D49" s="1730"/>
      <c r="E49" s="1873"/>
      <c r="F49" s="1872"/>
      <c r="G49" s="1873"/>
      <c r="H49" s="1730"/>
      <c r="I49" s="1876"/>
      <c r="J49" s="1873"/>
      <c r="K49" s="1873"/>
    </row>
    <row r="50" spans="1:11" ht="14.25">
      <c r="A50" s="1872"/>
      <c r="B50" s="1873"/>
      <c r="C50" s="1859" t="s">
        <v>3807</v>
      </c>
      <c r="D50" s="1730"/>
      <c r="E50" s="1873"/>
      <c r="F50" s="1872"/>
      <c r="G50" s="1873"/>
      <c r="H50" s="1730"/>
      <c r="I50" s="1876"/>
      <c r="J50" s="1873"/>
      <c r="K50" s="1873"/>
    </row>
    <row r="51" spans="1:11" ht="55.5" customHeight="1">
      <c r="A51" s="1872">
        <f>A50+1</f>
        <v>1</v>
      </c>
      <c r="B51" s="1873"/>
      <c r="C51" s="1771" t="s">
        <v>3686</v>
      </c>
      <c r="D51" s="1730">
        <v>0.51</v>
      </c>
      <c r="E51" s="1872" t="s">
        <v>484</v>
      </c>
      <c r="F51" s="1930">
        <f>'C-data'!I421</f>
        <v>5349</v>
      </c>
      <c r="G51" s="1876">
        <f t="shared" ref="G51" si="18">ROUND(D51*F51,0)</f>
        <v>2728</v>
      </c>
      <c r="H51" s="1730">
        <v>0.51</v>
      </c>
      <c r="I51" s="1876">
        <v>1921</v>
      </c>
      <c r="J51" s="1976">
        <f>H51-D51</f>
        <v>0</v>
      </c>
      <c r="K51" s="1876">
        <f>G51-I51</f>
        <v>807</v>
      </c>
    </row>
    <row r="52" spans="1:11" ht="14.25">
      <c r="A52" s="1872"/>
      <c r="B52" s="1873"/>
      <c r="C52" s="1771"/>
      <c r="D52" s="1730"/>
      <c r="E52" s="1873"/>
      <c r="F52" s="1872"/>
      <c r="G52" s="1873"/>
      <c r="H52" s="1730"/>
      <c r="I52" s="1876"/>
      <c r="J52" s="1873"/>
      <c r="K52" s="1873"/>
    </row>
    <row r="53" spans="1:11" ht="50.25" customHeight="1">
      <c r="A53" s="1872">
        <f>A52+2</f>
        <v>2</v>
      </c>
      <c r="B53" s="1873"/>
      <c r="C53" s="1771" t="s">
        <v>3642</v>
      </c>
      <c r="D53" s="1730">
        <v>4.68</v>
      </c>
      <c r="E53" s="1872" t="s">
        <v>46</v>
      </c>
      <c r="F53" s="1930">
        <f>Joinery!I1069</f>
        <v>8088</v>
      </c>
      <c r="G53" s="1876">
        <f t="shared" ref="G53" si="19">ROUND(D53*F53,0)</f>
        <v>37852</v>
      </c>
      <c r="H53" s="1730">
        <v>4.68</v>
      </c>
      <c r="I53" s="1876">
        <v>26653</v>
      </c>
      <c r="J53" s="1976">
        <f>H53-D53</f>
        <v>0</v>
      </c>
      <c r="K53" s="1876">
        <f>G53-I53</f>
        <v>11199</v>
      </c>
    </row>
    <row r="54" spans="1:11" ht="14.25">
      <c r="A54" s="1872"/>
      <c r="B54" s="1873"/>
      <c r="C54" s="1771"/>
      <c r="D54" s="1730"/>
      <c r="E54" s="1873"/>
      <c r="F54" s="1930"/>
      <c r="G54" s="1876"/>
      <c r="H54" s="1730"/>
      <c r="I54" s="1876"/>
      <c r="J54" s="1876"/>
      <c r="K54" s="1876"/>
    </row>
    <row r="55" spans="1:11" ht="52.5" customHeight="1">
      <c r="A55" s="1872">
        <v>3</v>
      </c>
      <c r="B55" s="1873"/>
      <c r="C55" s="1771" t="s">
        <v>3593</v>
      </c>
      <c r="D55" s="1730">
        <v>6.83</v>
      </c>
      <c r="E55" s="1872" t="s">
        <v>46</v>
      </c>
      <c r="F55" s="1930">
        <f>'C-data'!D3017</f>
        <v>4808</v>
      </c>
      <c r="G55" s="1876">
        <f t="shared" ref="G55" si="20">ROUND(D55*F55,0)</f>
        <v>32839</v>
      </c>
      <c r="H55" s="1730">
        <v>6.83</v>
      </c>
      <c r="I55" s="1876">
        <v>23126</v>
      </c>
      <c r="J55" s="1976">
        <f>H55-D55</f>
        <v>0</v>
      </c>
      <c r="K55" s="1876">
        <f>G55-I55</f>
        <v>9713</v>
      </c>
    </row>
    <row r="56" spans="1:11" ht="14.25">
      <c r="A56" s="1872"/>
      <c r="B56" s="1873"/>
      <c r="C56" s="1771"/>
      <c r="D56" s="1730"/>
      <c r="E56" s="1873"/>
      <c r="F56" s="1930"/>
      <c r="G56" s="1876"/>
      <c r="H56" s="1730"/>
      <c r="I56" s="1876"/>
      <c r="J56" s="1876"/>
      <c r="K56" s="1876"/>
    </row>
    <row r="57" spans="1:11" ht="63" customHeight="1">
      <c r="A57" s="1872">
        <v>4</v>
      </c>
      <c r="B57" s="1873"/>
      <c r="C57" s="1771" t="s">
        <v>3851</v>
      </c>
      <c r="D57" s="1730">
        <v>155.54</v>
      </c>
      <c r="E57" s="1872" t="s">
        <v>46</v>
      </c>
      <c r="F57" s="1930">
        <f>'C-data'!I324</f>
        <v>158</v>
      </c>
      <c r="G57" s="1876">
        <f t="shared" ref="G57" si="21">ROUND(D57*F57,0)</f>
        <v>24575</v>
      </c>
      <c r="H57" s="1730">
        <v>155.54</v>
      </c>
      <c r="I57" s="1876">
        <v>17265</v>
      </c>
      <c r="J57" s="1976">
        <f>H57-D57</f>
        <v>0</v>
      </c>
      <c r="K57" s="1876">
        <f>G57-I57</f>
        <v>7310</v>
      </c>
    </row>
    <row r="58" spans="1:11" ht="14.25">
      <c r="A58" s="1872"/>
      <c r="B58" s="1873"/>
      <c r="C58" s="1771"/>
      <c r="D58" s="1730"/>
      <c r="E58" s="1873"/>
      <c r="F58" s="1930"/>
      <c r="G58" s="1876"/>
      <c r="H58" s="1730"/>
      <c r="I58" s="1876"/>
      <c r="J58" s="1876"/>
      <c r="K58" s="1876"/>
    </row>
    <row r="59" spans="1:11" ht="50.25" customHeight="1">
      <c r="A59" s="1872">
        <v>5</v>
      </c>
      <c r="B59" s="1873"/>
      <c r="C59" s="1771" t="s">
        <v>3848</v>
      </c>
      <c r="D59" s="1730">
        <v>28.33</v>
      </c>
      <c r="E59" s="1872" t="s">
        <v>46</v>
      </c>
      <c r="F59" s="1930">
        <v>4179</v>
      </c>
      <c r="G59" s="1876">
        <f t="shared" ref="G59" si="22">ROUND(D59*F59,0)</f>
        <v>118391</v>
      </c>
      <c r="H59" s="1730">
        <v>28.33</v>
      </c>
      <c r="I59" s="1876">
        <v>99098</v>
      </c>
      <c r="J59" s="1976">
        <f>H59-D59</f>
        <v>0</v>
      </c>
      <c r="K59" s="1876">
        <f>G59-I59</f>
        <v>19293</v>
      </c>
    </row>
    <row r="60" spans="1:11" ht="14.25">
      <c r="A60" s="1872"/>
      <c r="B60" s="1873"/>
      <c r="C60" s="1771"/>
      <c r="D60" s="1730"/>
      <c r="E60" s="1872"/>
      <c r="F60" s="1930"/>
      <c r="G60" s="1876"/>
      <c r="H60" s="1730"/>
      <c r="I60" s="1876"/>
      <c r="J60" s="1976"/>
      <c r="K60" s="1876"/>
    </row>
    <row r="61" spans="1:11" ht="51">
      <c r="A61" s="1872"/>
      <c r="B61" s="1873"/>
      <c r="C61" s="1771" t="s">
        <v>3907</v>
      </c>
      <c r="D61" s="1730">
        <v>18</v>
      </c>
      <c r="E61" s="1872" t="s">
        <v>501</v>
      </c>
      <c r="F61" s="1930">
        <v>650</v>
      </c>
      <c r="G61" s="1876">
        <f t="shared" ref="G61" si="23">ROUND(D61*F61,0)</f>
        <v>11700</v>
      </c>
      <c r="H61" s="1730"/>
      <c r="I61" s="1876"/>
      <c r="J61" s="1976">
        <f>D61</f>
        <v>18</v>
      </c>
      <c r="K61" s="1876">
        <f>G61-I61</f>
        <v>11700</v>
      </c>
    </row>
    <row r="62" spans="1:11" ht="14.25">
      <c r="A62" s="1872"/>
      <c r="B62" s="1873"/>
      <c r="C62" s="1771"/>
      <c r="D62" s="1730"/>
      <c r="E62" s="1872"/>
      <c r="F62" s="1930"/>
      <c r="G62" s="1876"/>
      <c r="H62" s="1730"/>
      <c r="I62" s="1876"/>
      <c r="J62" s="1976"/>
      <c r="K62" s="1876"/>
    </row>
    <row r="63" spans="1:11" ht="51">
      <c r="A63" s="1872"/>
      <c r="B63" s="1873"/>
      <c r="C63" s="1771" t="s">
        <v>3907</v>
      </c>
      <c r="D63" s="1730">
        <v>3</v>
      </c>
      <c r="E63" s="1872" t="s">
        <v>501</v>
      </c>
      <c r="F63" s="1930">
        <v>2100</v>
      </c>
      <c r="G63" s="1876">
        <f t="shared" ref="G63" si="24">ROUND(D63*F63,0)</f>
        <v>6300</v>
      </c>
      <c r="H63" s="1730"/>
      <c r="I63" s="1876"/>
      <c r="J63" s="1976">
        <f>D63</f>
        <v>3</v>
      </c>
      <c r="K63" s="1876">
        <f>G63-I63</f>
        <v>6300</v>
      </c>
    </row>
    <row r="64" spans="1:11">
      <c r="A64" s="1872"/>
      <c r="B64" s="1873"/>
      <c r="C64" s="1881" t="s">
        <v>3810</v>
      </c>
      <c r="D64" s="1730"/>
      <c r="E64" s="1873"/>
      <c r="F64" s="1872"/>
      <c r="G64" s="1931">
        <f>SUM(G51:G63)</f>
        <v>234385</v>
      </c>
      <c r="H64" s="1730"/>
      <c r="I64" s="1931">
        <f>SUM(I51:I63)</f>
        <v>168063</v>
      </c>
      <c r="J64" s="1931"/>
      <c r="K64" s="1931">
        <f>SUM(K51:K63)</f>
        <v>66322</v>
      </c>
    </row>
    <row r="65" spans="1:11" ht="14.25">
      <c r="A65" s="1872"/>
      <c r="B65" s="1873"/>
      <c r="C65" s="1771"/>
      <c r="D65" s="1730"/>
      <c r="E65" s="1873"/>
      <c r="F65" s="1872"/>
      <c r="G65" s="1873"/>
      <c r="H65" s="1730"/>
      <c r="I65" s="1876"/>
      <c r="J65" s="1873"/>
      <c r="K65" s="1873"/>
    </row>
    <row r="66" spans="1:11" ht="14.25">
      <c r="A66" s="1872"/>
      <c r="B66" s="1873"/>
      <c r="C66" s="1771"/>
      <c r="D66" s="1873"/>
      <c r="E66" s="1873"/>
      <c r="F66" s="1872"/>
      <c r="G66" s="1873"/>
      <c r="H66" s="1873"/>
      <c r="I66" s="1876"/>
      <c r="J66" s="1873"/>
      <c r="K66" s="1873"/>
    </row>
    <row r="67" spans="1:11" ht="14.25">
      <c r="A67" s="1872"/>
      <c r="B67" s="1873"/>
      <c r="C67" s="1859" t="s">
        <v>3690</v>
      </c>
      <c r="D67" s="1873"/>
      <c r="E67" s="1873"/>
      <c r="F67" s="1872"/>
      <c r="G67" s="1873"/>
      <c r="H67" s="1873"/>
      <c r="I67" s="1876"/>
      <c r="J67" s="1873"/>
      <c r="K67" s="1873"/>
    </row>
    <row r="68" spans="1:11" ht="41.25" customHeight="1">
      <c r="A68" s="1872">
        <f>A67+1</f>
        <v>1</v>
      </c>
      <c r="B68" s="1873"/>
      <c r="C68" s="1771" t="s">
        <v>3708</v>
      </c>
      <c r="D68" s="1730">
        <v>20</v>
      </c>
      <c r="E68" s="1872" t="s">
        <v>1308</v>
      </c>
      <c r="F68" s="1872">
        <v>171</v>
      </c>
      <c r="G68" s="1876">
        <f t="shared" ref="G68" si="25">ROUND(D68*F68,0)</f>
        <v>3420</v>
      </c>
      <c r="H68" s="1730">
        <v>20</v>
      </c>
      <c r="I68" s="1876">
        <f t="shared" si="2"/>
        <v>3420</v>
      </c>
      <c r="J68" s="1976">
        <f>H68-D68</f>
        <v>0</v>
      </c>
      <c r="K68" s="1876">
        <f>ROUND(J68*F68,0)</f>
        <v>0</v>
      </c>
    </row>
    <row r="69" spans="1:11" ht="14.25">
      <c r="A69" s="1872"/>
      <c r="B69" s="1873"/>
      <c r="C69" s="1771"/>
      <c r="D69" s="1730"/>
      <c r="E69" s="1873"/>
      <c r="F69" s="1872"/>
      <c r="G69" s="1873"/>
      <c r="H69" s="1730"/>
      <c r="I69" s="1876"/>
      <c r="J69" s="1873"/>
      <c r="K69" s="1873"/>
    </row>
    <row r="70" spans="1:11" ht="39" customHeight="1">
      <c r="A70" s="1872">
        <f>A69+2</f>
        <v>2</v>
      </c>
      <c r="B70" s="1873"/>
      <c r="C70" s="1771" t="s">
        <v>3709</v>
      </c>
      <c r="D70" s="1730">
        <v>3</v>
      </c>
      <c r="E70" s="1872" t="s">
        <v>501</v>
      </c>
      <c r="F70" s="1872">
        <v>2841</v>
      </c>
      <c r="G70" s="1876">
        <f t="shared" ref="G70:G71" si="26">ROUND(D70*F70,0)</f>
        <v>8523</v>
      </c>
      <c r="H70" s="1730">
        <v>3</v>
      </c>
      <c r="I70" s="1876">
        <f t="shared" si="2"/>
        <v>8523</v>
      </c>
      <c r="J70" s="1976">
        <f>H70-D70</f>
        <v>0</v>
      </c>
      <c r="K70" s="1876">
        <f>ROUND(J70*F70,0)</f>
        <v>0</v>
      </c>
    </row>
    <row r="71" spans="1:11" ht="14.25">
      <c r="A71" s="1872"/>
      <c r="B71" s="1873"/>
      <c r="C71" s="1953" t="s">
        <v>3839</v>
      </c>
      <c r="D71" s="1730">
        <v>1</v>
      </c>
      <c r="E71" s="1873"/>
      <c r="F71" s="1872">
        <v>2841</v>
      </c>
      <c r="G71" s="1876">
        <f t="shared" si="26"/>
        <v>2841</v>
      </c>
      <c r="H71" s="1730">
        <v>1</v>
      </c>
      <c r="I71" s="1876">
        <v>2273</v>
      </c>
      <c r="J71" s="1976">
        <f>H71-D71</f>
        <v>0</v>
      </c>
      <c r="K71" s="1876">
        <f>F71-I71</f>
        <v>568</v>
      </c>
    </row>
    <row r="72" spans="1:11" ht="14.25">
      <c r="A72" s="1872"/>
      <c r="B72" s="1873"/>
      <c r="C72" s="1771"/>
      <c r="D72" s="1730"/>
      <c r="E72" s="1873"/>
      <c r="F72" s="1872"/>
      <c r="G72" s="1873"/>
      <c r="H72" s="1730"/>
      <c r="I72" s="1876"/>
      <c r="J72" s="1873"/>
      <c r="K72" s="1873"/>
    </row>
    <row r="73" spans="1:11" ht="39.75" customHeight="1">
      <c r="A73" s="1872" t="e">
        <f>#REF!+4</f>
        <v>#REF!</v>
      </c>
      <c r="B73" s="1873"/>
      <c r="C73" s="1771" t="s">
        <v>3710</v>
      </c>
      <c r="D73" s="1730">
        <v>3</v>
      </c>
      <c r="E73" s="1872" t="s">
        <v>501</v>
      </c>
      <c r="F73" s="1872">
        <v>287</v>
      </c>
      <c r="G73" s="1876">
        <f t="shared" ref="G73" si="27">ROUND(D73*F73,0)</f>
        <v>861</v>
      </c>
      <c r="H73" s="1730">
        <v>3</v>
      </c>
      <c r="I73" s="1876">
        <f t="shared" si="2"/>
        <v>861</v>
      </c>
      <c r="J73" s="1976">
        <f>H73-D73</f>
        <v>0</v>
      </c>
      <c r="K73" s="1876">
        <f>ROUND(J73*F73,0)</f>
        <v>0</v>
      </c>
    </row>
    <row r="74" spans="1:11" ht="14.25">
      <c r="A74" s="1872"/>
      <c r="B74" s="1873"/>
      <c r="C74" s="1771"/>
      <c r="D74" s="1730"/>
      <c r="E74" s="1873"/>
      <c r="F74" s="1872"/>
      <c r="G74" s="1873"/>
      <c r="H74" s="1730"/>
      <c r="I74" s="1876"/>
      <c r="J74" s="1873"/>
      <c r="K74" s="1873"/>
    </row>
    <row r="75" spans="1:11" ht="51">
      <c r="A75" s="1872">
        <f>A74+5</f>
        <v>5</v>
      </c>
      <c r="B75" s="1873"/>
      <c r="C75" s="1771" t="s">
        <v>3711</v>
      </c>
      <c r="D75" s="1730">
        <v>4</v>
      </c>
      <c r="E75" s="1872" t="s">
        <v>501</v>
      </c>
      <c r="F75" s="1872">
        <v>165</v>
      </c>
      <c r="G75" s="1876">
        <f t="shared" ref="G75" si="28">ROUND(D75*F75,0)</f>
        <v>660</v>
      </c>
      <c r="H75" s="1730">
        <v>4</v>
      </c>
      <c r="I75" s="1876">
        <f t="shared" ref="I75:I131" si="29">ROUND(H75*F75,0)</f>
        <v>660</v>
      </c>
      <c r="J75" s="1976">
        <f>H75-D75</f>
        <v>0</v>
      </c>
      <c r="K75" s="1876">
        <f>ROUND(J75*F75,0)</f>
        <v>0</v>
      </c>
    </row>
    <row r="76" spans="1:11" ht="14.25">
      <c r="A76" s="1872"/>
      <c r="B76" s="1873"/>
      <c r="C76" s="1771"/>
      <c r="D76" s="1730"/>
      <c r="E76" s="1873"/>
      <c r="F76" s="1872"/>
      <c r="G76" s="1873"/>
      <c r="H76" s="1730"/>
      <c r="I76" s="1876"/>
      <c r="J76" s="1873"/>
      <c r="K76" s="1873"/>
    </row>
    <row r="77" spans="1:11" ht="41.25" customHeight="1">
      <c r="A77" s="1872">
        <f>A76+6</f>
        <v>6</v>
      </c>
      <c r="B77" s="1873"/>
      <c r="C77" s="1771" t="s">
        <v>3712</v>
      </c>
      <c r="D77" s="1730">
        <v>25</v>
      </c>
      <c r="E77" s="1872" t="s">
        <v>501</v>
      </c>
      <c r="F77" s="1872">
        <v>332</v>
      </c>
      <c r="G77" s="1876">
        <f t="shared" ref="G77:G78" si="30">ROUND(D77*F77,0)</f>
        <v>8300</v>
      </c>
      <c r="H77" s="1730">
        <v>25</v>
      </c>
      <c r="I77" s="1876">
        <f t="shared" si="29"/>
        <v>8300</v>
      </c>
      <c r="J77" s="1976">
        <f>H77-D77</f>
        <v>0</v>
      </c>
      <c r="K77" s="1876">
        <f>ROUND(J77*F77,0)</f>
        <v>0</v>
      </c>
    </row>
    <row r="78" spans="1:11" ht="14.25">
      <c r="A78" s="1872"/>
      <c r="B78" s="1873"/>
      <c r="C78" s="1953" t="s">
        <v>3839</v>
      </c>
      <c r="D78" s="1730">
        <v>22.2</v>
      </c>
      <c r="E78" s="1873"/>
      <c r="F78" s="1872">
        <v>332</v>
      </c>
      <c r="G78" s="1876">
        <f t="shared" si="30"/>
        <v>7370</v>
      </c>
      <c r="H78" s="1730">
        <v>7.2</v>
      </c>
      <c r="I78" s="1876">
        <v>1915</v>
      </c>
      <c r="J78" s="1976"/>
      <c r="K78" s="1876">
        <f>G78-I78</f>
        <v>5455</v>
      </c>
    </row>
    <row r="79" spans="1:11" ht="14.25">
      <c r="A79" s="1872"/>
      <c r="B79" s="1873"/>
      <c r="C79" s="1771"/>
      <c r="D79" s="1730"/>
      <c r="E79" s="1873"/>
      <c r="F79" s="1872"/>
      <c r="G79" s="1876"/>
      <c r="H79" s="1730"/>
      <c r="I79" s="1876"/>
      <c r="J79" s="1876"/>
      <c r="K79" s="1876"/>
    </row>
    <row r="80" spans="1:11">
      <c r="A80" s="1872"/>
      <c r="B80" s="1873"/>
      <c r="C80" s="1881" t="s">
        <v>3737</v>
      </c>
      <c r="D80" s="1873"/>
      <c r="E80" s="1873"/>
      <c r="F80" s="1872"/>
      <c r="G80" s="1880">
        <f>SUM(G68:G79)</f>
        <v>31975</v>
      </c>
      <c r="H80" s="1873"/>
      <c r="I80" s="1880">
        <f>SUM(I68:I79)</f>
        <v>25952</v>
      </c>
      <c r="J80" s="1880"/>
      <c r="K80" s="1880">
        <f>SUM(K68:K79)</f>
        <v>6023</v>
      </c>
    </row>
    <row r="81" spans="1:11" ht="14.25">
      <c r="A81" s="1872"/>
      <c r="B81" s="1873"/>
      <c r="C81" s="1771"/>
      <c r="D81" s="1873"/>
      <c r="E81" s="1873"/>
      <c r="F81" s="1872"/>
      <c r="G81" s="1873"/>
      <c r="H81" s="1873"/>
      <c r="I81" s="1876"/>
      <c r="J81" s="1873"/>
      <c r="K81" s="1873"/>
    </row>
    <row r="82" spans="1:11" ht="14.25">
      <c r="A82" s="1872"/>
      <c r="B82" s="1873"/>
      <c r="C82" s="1859" t="s">
        <v>3811</v>
      </c>
      <c r="D82" s="1873"/>
      <c r="E82" s="1873"/>
      <c r="F82" s="1872"/>
      <c r="G82" s="1873"/>
      <c r="H82" s="1873"/>
      <c r="I82" s="1876"/>
      <c r="J82" s="1873"/>
      <c r="K82" s="1873"/>
    </row>
    <row r="83" spans="1:11" ht="42" customHeight="1">
      <c r="A83" s="1872">
        <f>A82+1</f>
        <v>1</v>
      </c>
      <c r="B83" s="1873"/>
      <c r="C83" s="1771" t="s">
        <v>3605</v>
      </c>
      <c r="D83" s="1730">
        <v>2</v>
      </c>
      <c r="E83" s="1872" t="s">
        <v>501</v>
      </c>
      <c r="F83" s="1932">
        <f>'WS Data'!I121</f>
        <v>6452</v>
      </c>
      <c r="G83" s="1876">
        <f t="shared" ref="G83" si="31">ROUND(D83*F83,0)</f>
        <v>12904</v>
      </c>
      <c r="H83" s="1730">
        <v>2</v>
      </c>
      <c r="I83" s="1876">
        <v>9086</v>
      </c>
      <c r="J83" s="1976">
        <f>H83-D83</f>
        <v>0</v>
      </c>
      <c r="K83" s="1876">
        <f>G83-I83</f>
        <v>3818</v>
      </c>
    </row>
    <row r="84" spans="1:11" ht="14.25">
      <c r="A84" s="1872"/>
      <c r="B84" s="1873"/>
      <c r="C84" s="1771"/>
      <c r="D84" s="1873"/>
      <c r="E84" s="1873"/>
      <c r="F84" s="1872"/>
      <c r="G84" s="1873"/>
      <c r="H84" s="1873"/>
      <c r="I84" s="1876"/>
      <c r="J84" s="1873"/>
      <c r="K84" s="1873"/>
    </row>
    <row r="85" spans="1:11" ht="41.25" customHeight="1">
      <c r="A85" s="1872">
        <f>A84+2</f>
        <v>2</v>
      </c>
      <c r="B85" s="1873"/>
      <c r="C85" s="1771" t="s">
        <v>3618</v>
      </c>
      <c r="D85" s="1730">
        <v>3</v>
      </c>
      <c r="E85" s="1872" t="s">
        <v>501</v>
      </c>
      <c r="F85" s="1932">
        <f>'WS Data'!I207</f>
        <v>3892</v>
      </c>
      <c r="G85" s="1876">
        <f t="shared" ref="G85" si="32">ROUND(D85*F85,0)</f>
        <v>11676</v>
      </c>
      <c r="H85" s="1730">
        <v>3</v>
      </c>
      <c r="I85" s="1876">
        <v>8223</v>
      </c>
      <c r="J85" s="1976">
        <f>H85-D85</f>
        <v>0</v>
      </c>
      <c r="K85" s="1876">
        <f>G85-I85</f>
        <v>3453</v>
      </c>
    </row>
    <row r="86" spans="1:11" ht="14.25">
      <c r="A86" s="1872"/>
      <c r="B86" s="1873"/>
      <c r="C86" s="1771"/>
      <c r="D86" s="1873"/>
      <c r="E86" s="1873"/>
      <c r="F86" s="1872"/>
      <c r="G86" s="1873"/>
      <c r="H86" s="1873"/>
      <c r="I86" s="1876"/>
      <c r="J86" s="1873"/>
      <c r="K86" s="1873"/>
    </row>
    <row r="87" spans="1:11" ht="43.5" customHeight="1">
      <c r="A87" s="1872">
        <f>A86+3</f>
        <v>3</v>
      </c>
      <c r="B87" s="1873"/>
      <c r="C87" s="1771" t="s">
        <v>3567</v>
      </c>
      <c r="D87" s="1873"/>
      <c r="E87" s="1872"/>
      <c r="F87" s="1872"/>
      <c r="G87" s="1873"/>
      <c r="H87" s="1873"/>
      <c r="I87" s="1876"/>
      <c r="J87" s="1976"/>
      <c r="K87" s="1876"/>
    </row>
    <row r="88" spans="1:11" ht="15">
      <c r="A88" s="1872"/>
      <c r="B88" s="1873"/>
      <c r="C88" s="1961" t="s">
        <v>2410</v>
      </c>
      <c r="D88" s="1730">
        <v>30</v>
      </c>
      <c r="E88" s="1872" t="s">
        <v>1308</v>
      </c>
      <c r="F88" s="1932">
        <f>'WS Data'!I220</f>
        <v>278</v>
      </c>
      <c r="G88" s="1876">
        <f t="shared" ref="G88" si="33">ROUND(D88*F88,0)</f>
        <v>8340</v>
      </c>
      <c r="H88" s="1730">
        <v>30</v>
      </c>
      <c r="I88" s="1876">
        <v>585</v>
      </c>
      <c r="J88" s="1976">
        <f>H88-D88</f>
        <v>0</v>
      </c>
      <c r="K88" s="1876">
        <f>G88-I88</f>
        <v>7755</v>
      </c>
    </row>
    <row r="89" spans="1:11" ht="14.25">
      <c r="A89" s="1872"/>
      <c r="B89" s="1873"/>
      <c r="C89" s="1771"/>
      <c r="D89" s="1730"/>
      <c r="E89" s="1873"/>
      <c r="F89" s="1932"/>
      <c r="G89" s="1876"/>
      <c r="H89" s="1730"/>
      <c r="I89" s="1876"/>
      <c r="J89" s="1876"/>
      <c r="K89" s="1876"/>
    </row>
    <row r="90" spans="1:11" ht="71.25" customHeight="1">
      <c r="A90" s="1872">
        <f>A89+4</f>
        <v>4</v>
      </c>
      <c r="B90" s="1873"/>
      <c r="C90" s="1771" t="s">
        <v>2656</v>
      </c>
      <c r="D90" s="1730">
        <v>3</v>
      </c>
      <c r="E90" s="1872" t="s">
        <v>501</v>
      </c>
      <c r="F90" s="1932">
        <v>4448</v>
      </c>
      <c r="G90" s="1876">
        <f t="shared" ref="G90" si="34">ROUND(D90*F90,0)</f>
        <v>13344</v>
      </c>
      <c r="H90" s="1730">
        <v>1</v>
      </c>
      <c r="I90" s="1876">
        <v>13772</v>
      </c>
      <c r="J90" s="1976">
        <v>1</v>
      </c>
      <c r="K90" s="1876">
        <f>G90-I90</f>
        <v>-428</v>
      </c>
    </row>
    <row r="91" spans="1:11" ht="14.25">
      <c r="A91" s="1872"/>
      <c r="B91" s="1873"/>
      <c r="C91" s="1771"/>
      <c r="D91" s="1730"/>
      <c r="E91" s="1873"/>
      <c r="F91" s="1932"/>
      <c r="G91" s="1876"/>
      <c r="H91" s="1730"/>
      <c r="I91" s="1876"/>
      <c r="J91" s="1876"/>
      <c r="K91" s="1876"/>
    </row>
    <row r="92" spans="1:11" ht="30.75" customHeight="1">
      <c r="A92" s="1872">
        <f>A91+5</f>
        <v>5</v>
      </c>
      <c r="B92" s="1873"/>
      <c r="C92" s="1771" t="s">
        <v>3818</v>
      </c>
      <c r="D92" s="1730">
        <v>2</v>
      </c>
      <c r="E92" s="1872" t="s">
        <v>501</v>
      </c>
      <c r="F92" s="1932">
        <f>'WS Data'!I495</f>
        <v>2614</v>
      </c>
      <c r="G92" s="1876">
        <f t="shared" ref="G92" si="35">ROUND(D92*F92,0)</f>
        <v>5228</v>
      </c>
      <c r="H92" s="1730">
        <v>2</v>
      </c>
      <c r="I92" s="1876">
        <v>3682</v>
      </c>
      <c r="J92" s="1976">
        <f>H92-D92</f>
        <v>0</v>
      </c>
      <c r="K92" s="1876">
        <f>G92-I92</f>
        <v>1546</v>
      </c>
    </row>
    <row r="93" spans="1:11" ht="14.25">
      <c r="A93" s="1872"/>
      <c r="B93" s="1873"/>
      <c r="C93" s="1771"/>
      <c r="D93" s="1873"/>
      <c r="E93" s="1873"/>
      <c r="F93" s="1872"/>
      <c r="G93" s="1873"/>
      <c r="H93" s="1873"/>
      <c r="I93" s="1876"/>
      <c r="J93" s="1873"/>
      <c r="K93" s="1873"/>
    </row>
    <row r="94" spans="1:11">
      <c r="A94" s="1872"/>
      <c r="B94" s="1873"/>
      <c r="C94" s="1859" t="s">
        <v>3812</v>
      </c>
      <c r="D94" s="1873"/>
      <c r="E94" s="1873"/>
      <c r="F94" s="1872"/>
      <c r="G94" s="1951">
        <f>SUM(G83:G93)</f>
        <v>51492</v>
      </c>
      <c r="H94" s="1873"/>
      <c r="I94" s="1951">
        <f>SUM(I83:I93)</f>
        <v>35348</v>
      </c>
      <c r="J94" s="1951"/>
      <c r="K94" s="1951">
        <f>SUM(K83:K93)</f>
        <v>16144</v>
      </c>
    </row>
    <row r="95" spans="1:11" ht="14.25">
      <c r="A95" s="1872"/>
      <c r="B95" s="1873"/>
      <c r="C95" s="1771"/>
      <c r="D95" s="1873"/>
      <c r="E95" s="1873"/>
      <c r="F95" s="1872"/>
      <c r="G95" s="1873"/>
      <c r="H95" s="1873"/>
      <c r="I95" s="1876"/>
      <c r="J95" s="1873"/>
      <c r="K95" s="1873"/>
    </row>
    <row r="96" spans="1:11" ht="14.25">
      <c r="A96" s="1872"/>
      <c r="B96" s="1873"/>
      <c r="C96" s="1863" t="s">
        <v>3713</v>
      </c>
      <c r="D96" s="1873"/>
      <c r="E96" s="1873"/>
      <c r="F96" s="1872"/>
      <c r="G96" s="1873"/>
      <c r="H96" s="1873"/>
      <c r="I96" s="1876"/>
      <c r="J96" s="1873"/>
      <c r="K96" s="1873"/>
    </row>
    <row r="97" spans="1:11" ht="36.75" customHeight="1">
      <c r="A97" s="1872">
        <f>A96+1</f>
        <v>1</v>
      </c>
      <c r="B97" s="1873"/>
      <c r="C97" s="1864" t="s">
        <v>2769</v>
      </c>
      <c r="D97" s="1730">
        <v>65</v>
      </c>
      <c r="E97" s="1872" t="s">
        <v>1308</v>
      </c>
      <c r="F97" s="1872">
        <v>86</v>
      </c>
      <c r="G97" s="1876">
        <f t="shared" ref="G97" si="36">ROUND(D97*F97,0)</f>
        <v>5590</v>
      </c>
      <c r="H97" s="1730">
        <v>65</v>
      </c>
      <c r="I97" s="1876">
        <f t="shared" si="29"/>
        <v>5590</v>
      </c>
      <c r="J97" s="1976">
        <f>H97-D97</f>
        <v>0</v>
      </c>
      <c r="K97" s="1876">
        <f>ROUND(J97*F97,0)</f>
        <v>0</v>
      </c>
    </row>
    <row r="98" spans="1:11" ht="14.25">
      <c r="A98" s="1872"/>
      <c r="B98" s="1873"/>
      <c r="C98" s="1771"/>
      <c r="D98" s="1730"/>
      <c r="E98" s="1872"/>
      <c r="F98" s="1872"/>
      <c r="G98" s="1876"/>
      <c r="H98" s="1730"/>
      <c r="I98" s="1876"/>
      <c r="J98" s="1876"/>
      <c r="K98" s="1876"/>
    </row>
    <row r="99" spans="1:11" ht="14.25">
      <c r="A99" s="1872"/>
      <c r="B99" s="1873"/>
      <c r="C99" s="1953" t="s">
        <v>3839</v>
      </c>
      <c r="D99" s="1730">
        <f>110-65</f>
        <v>45</v>
      </c>
      <c r="E99" s="1873"/>
      <c r="F99" s="1872">
        <v>86</v>
      </c>
      <c r="G99" s="1876">
        <f t="shared" ref="G99:G100" si="37">ROUND(D99*F99,0)</f>
        <v>3870</v>
      </c>
      <c r="H99" s="1730">
        <f>110-65</f>
        <v>45</v>
      </c>
      <c r="I99" s="1876">
        <v>3257</v>
      </c>
      <c r="J99" s="1976">
        <f>H99-D99</f>
        <v>0</v>
      </c>
      <c r="K99" s="1876">
        <f>G99-I99</f>
        <v>613</v>
      </c>
    </row>
    <row r="100" spans="1:11" ht="39.75" customHeight="1">
      <c r="A100" s="1872">
        <f>A99+2</f>
        <v>2</v>
      </c>
      <c r="B100" s="1873"/>
      <c r="C100" s="1864" t="s">
        <v>3714</v>
      </c>
      <c r="D100" s="1730">
        <v>33</v>
      </c>
      <c r="E100" s="1872" t="s">
        <v>501</v>
      </c>
      <c r="F100" s="1872">
        <v>800</v>
      </c>
      <c r="G100" s="1876">
        <f t="shared" si="37"/>
        <v>26400</v>
      </c>
      <c r="H100" s="1730">
        <v>33</v>
      </c>
      <c r="I100" s="1876">
        <f t="shared" si="29"/>
        <v>26400</v>
      </c>
      <c r="J100" s="1976">
        <f>H100-D100</f>
        <v>0</v>
      </c>
      <c r="K100" s="1876">
        <f>ROUND(J100*F100,0)</f>
        <v>0</v>
      </c>
    </row>
    <row r="101" spans="1:11" ht="14.25">
      <c r="A101" s="1872"/>
      <c r="B101" s="1873"/>
      <c r="C101" s="1771"/>
      <c r="D101" s="1730"/>
      <c r="E101" s="1873"/>
      <c r="F101" s="1872"/>
      <c r="G101" s="1873"/>
      <c r="H101" s="1730"/>
      <c r="I101" s="1876"/>
      <c r="J101" s="1873"/>
      <c r="K101" s="1873"/>
    </row>
    <row r="102" spans="1:11" ht="42" customHeight="1">
      <c r="A102" s="1872">
        <f>A101+3</f>
        <v>3</v>
      </c>
      <c r="B102" s="1873"/>
      <c r="C102" s="1864" t="s">
        <v>3716</v>
      </c>
      <c r="D102" s="1730">
        <v>2</v>
      </c>
      <c r="E102" s="1872" t="s">
        <v>501</v>
      </c>
      <c r="F102" s="1872">
        <v>573</v>
      </c>
      <c r="G102" s="1876">
        <f t="shared" ref="G102" si="38">ROUND(D102*F102,0)</f>
        <v>1146</v>
      </c>
      <c r="H102" s="1730">
        <v>2</v>
      </c>
      <c r="I102" s="1876">
        <f t="shared" si="29"/>
        <v>1146</v>
      </c>
      <c r="J102" s="1976">
        <f>H102-D102</f>
        <v>0</v>
      </c>
      <c r="K102" s="1876">
        <f>ROUND(J102*F102,0)</f>
        <v>0</v>
      </c>
    </row>
    <row r="103" spans="1:11" ht="14.25">
      <c r="A103" s="1872"/>
      <c r="B103" s="1873"/>
      <c r="C103" s="1856"/>
      <c r="D103" s="1730"/>
      <c r="E103" s="1873"/>
      <c r="F103" s="1872"/>
      <c r="G103" s="1873"/>
      <c r="H103" s="1730"/>
      <c r="I103" s="1876"/>
      <c r="J103" s="1873"/>
      <c r="K103" s="1873"/>
    </row>
    <row r="104" spans="1:11" ht="39.75" customHeight="1">
      <c r="A104" s="1872">
        <v>4</v>
      </c>
      <c r="B104" s="1873"/>
      <c r="C104" s="1864" t="s">
        <v>2859</v>
      </c>
      <c r="D104" s="1730">
        <v>27.6</v>
      </c>
      <c r="E104" s="1872" t="s">
        <v>501</v>
      </c>
      <c r="F104" s="1872">
        <v>30</v>
      </c>
      <c r="G104" s="1876">
        <f t="shared" ref="G104" si="39">ROUND(D104*F104,0)</f>
        <v>828</v>
      </c>
      <c r="H104" s="1730">
        <v>27.6</v>
      </c>
      <c r="I104" s="1876">
        <f t="shared" si="29"/>
        <v>828</v>
      </c>
      <c r="J104" s="1976">
        <f>H104-D104</f>
        <v>0</v>
      </c>
      <c r="K104" s="1876">
        <f>ROUND(J104*F104,0)</f>
        <v>0</v>
      </c>
    </row>
    <row r="105" spans="1:11" ht="14.25">
      <c r="A105" s="1872"/>
      <c r="B105" s="1873"/>
      <c r="C105" s="1771"/>
      <c r="D105" s="1730"/>
      <c r="E105" s="1873"/>
      <c r="F105" s="1872"/>
      <c r="G105" s="1873"/>
      <c r="H105" s="1730"/>
      <c r="I105" s="1876"/>
      <c r="J105" s="1873"/>
      <c r="K105" s="1873"/>
    </row>
    <row r="106" spans="1:11" ht="41.25" customHeight="1">
      <c r="A106" s="1872">
        <v>5</v>
      </c>
      <c r="B106" s="1873"/>
      <c r="C106" s="1864" t="s">
        <v>2866</v>
      </c>
      <c r="D106" s="1730">
        <v>58.5</v>
      </c>
      <c r="E106" s="1872" t="s">
        <v>1308</v>
      </c>
      <c r="F106" s="1872">
        <v>132</v>
      </c>
      <c r="G106" s="1876">
        <f t="shared" ref="G106" si="40">ROUND(D106*F106,0)</f>
        <v>7722</v>
      </c>
      <c r="H106" s="1730">
        <v>58.5</v>
      </c>
      <c r="I106" s="1876">
        <f t="shared" si="29"/>
        <v>7722</v>
      </c>
      <c r="J106" s="1976">
        <f>H106-D106</f>
        <v>0</v>
      </c>
      <c r="K106" s="1876">
        <f>ROUND(J106*F106,0)</f>
        <v>0</v>
      </c>
    </row>
    <row r="107" spans="1:11" ht="14.25">
      <c r="A107" s="1872"/>
      <c r="B107" s="1873"/>
      <c r="C107" s="1771"/>
      <c r="D107" s="1730"/>
      <c r="E107" s="1873"/>
      <c r="F107" s="1872"/>
      <c r="G107" s="1873"/>
      <c r="H107" s="1730"/>
      <c r="I107" s="1876"/>
      <c r="J107" s="1873"/>
      <c r="K107" s="1873"/>
    </row>
    <row r="108" spans="1:11" ht="39" customHeight="1">
      <c r="A108" s="1872">
        <v>6</v>
      </c>
      <c r="B108" s="1873"/>
      <c r="C108" s="1864" t="s">
        <v>2868</v>
      </c>
      <c r="D108" s="1730">
        <v>101</v>
      </c>
      <c r="E108" s="1872" t="s">
        <v>1308</v>
      </c>
      <c r="F108" s="1872">
        <v>190</v>
      </c>
      <c r="G108" s="1876">
        <f t="shared" ref="G108" si="41">ROUND(D108*F108,0)</f>
        <v>19190</v>
      </c>
      <c r="H108" s="1730">
        <v>101</v>
      </c>
      <c r="I108" s="1876">
        <f t="shared" si="29"/>
        <v>19190</v>
      </c>
      <c r="J108" s="1976">
        <f>H108-D108</f>
        <v>0</v>
      </c>
      <c r="K108" s="1876">
        <f>ROUND(J108*F108,0)</f>
        <v>0</v>
      </c>
    </row>
    <row r="109" spans="1:11" ht="14.25">
      <c r="A109" s="1872"/>
      <c r="B109" s="1873"/>
      <c r="C109" s="1771"/>
      <c r="D109" s="1730"/>
      <c r="E109" s="1873"/>
      <c r="F109" s="1872"/>
      <c r="G109" s="1873"/>
      <c r="H109" s="1730"/>
      <c r="I109" s="1876"/>
      <c r="J109" s="1873"/>
      <c r="K109" s="1873"/>
    </row>
    <row r="110" spans="1:11" ht="38.25" customHeight="1">
      <c r="A110" s="1872">
        <v>7</v>
      </c>
      <c r="B110" s="1873"/>
      <c r="C110" s="1864" t="s">
        <v>3718</v>
      </c>
      <c r="D110" s="1730">
        <v>5</v>
      </c>
      <c r="E110" s="1872" t="s">
        <v>501</v>
      </c>
      <c r="F110" s="1872">
        <v>826</v>
      </c>
      <c r="G110" s="1876">
        <f t="shared" ref="G110" si="42">ROUND(D110*F110,0)</f>
        <v>4130</v>
      </c>
      <c r="H110" s="1730">
        <v>5</v>
      </c>
      <c r="I110" s="1876">
        <f t="shared" si="29"/>
        <v>4130</v>
      </c>
      <c r="J110" s="1976">
        <f>H110-D110</f>
        <v>0</v>
      </c>
      <c r="K110" s="1876">
        <f>ROUND(J110*F110,0)</f>
        <v>0</v>
      </c>
    </row>
    <row r="111" spans="1:11" ht="14.25">
      <c r="A111" s="1872"/>
      <c r="B111" s="1873"/>
      <c r="C111" s="1771"/>
      <c r="D111" s="1730"/>
      <c r="E111" s="1873"/>
      <c r="F111" s="1872"/>
      <c r="G111" s="1873"/>
      <c r="H111" s="1730"/>
      <c r="I111" s="1876"/>
      <c r="J111" s="1873"/>
      <c r="K111" s="1873"/>
    </row>
    <row r="112" spans="1:11" ht="53.25" customHeight="1">
      <c r="A112" s="1872">
        <v>8</v>
      </c>
      <c r="B112" s="1873"/>
      <c r="C112" s="1864" t="s">
        <v>3720</v>
      </c>
      <c r="D112" s="1730">
        <v>8</v>
      </c>
      <c r="E112" s="1872" t="s">
        <v>501</v>
      </c>
      <c r="F112" s="1872">
        <v>1780</v>
      </c>
      <c r="G112" s="1876">
        <f t="shared" ref="G112:G113" si="43">ROUND(D112*F112,0)</f>
        <v>14240</v>
      </c>
      <c r="H112" s="1730">
        <v>8</v>
      </c>
      <c r="I112" s="1876">
        <f t="shared" si="29"/>
        <v>14240</v>
      </c>
      <c r="J112" s="1976">
        <f>H112-D112</f>
        <v>0</v>
      </c>
      <c r="K112" s="1876">
        <f>ROUND(J112*F112,0)</f>
        <v>0</v>
      </c>
    </row>
    <row r="113" spans="1:11" ht="14.25">
      <c r="A113" s="1872"/>
      <c r="B113" s="1873"/>
      <c r="C113" s="1864"/>
      <c r="D113" s="1730">
        <v>2</v>
      </c>
      <c r="E113" s="1873"/>
      <c r="F113" s="1872">
        <v>1780</v>
      </c>
      <c r="G113" s="1876">
        <f t="shared" si="43"/>
        <v>3560</v>
      </c>
      <c r="H113" s="1730">
        <v>2</v>
      </c>
      <c r="I113" s="1876">
        <v>2848</v>
      </c>
      <c r="J113" s="1976">
        <f>H113-D113</f>
        <v>0</v>
      </c>
      <c r="K113" s="1876">
        <f>G113-I113</f>
        <v>712</v>
      </c>
    </row>
    <row r="114" spans="1:11" ht="14.25">
      <c r="A114" s="1872"/>
      <c r="B114" s="1873"/>
      <c r="C114" s="1771"/>
      <c r="D114" s="1730"/>
      <c r="E114" s="1873"/>
      <c r="F114" s="1872"/>
      <c r="G114" s="1873"/>
      <c r="H114" s="1730"/>
      <c r="I114" s="1876"/>
      <c r="J114" s="1873"/>
      <c r="K114" s="1873"/>
    </row>
    <row r="115" spans="1:11" ht="38.25">
      <c r="A115" s="1872">
        <v>10</v>
      </c>
      <c r="B115" s="1873"/>
      <c r="C115" s="1864" t="s">
        <v>3722</v>
      </c>
      <c r="D115" s="1730">
        <v>2</v>
      </c>
      <c r="E115" s="1872" t="s">
        <v>501</v>
      </c>
      <c r="F115" s="1872">
        <v>2137</v>
      </c>
      <c r="G115" s="1876">
        <f t="shared" ref="G115" si="44">ROUND(D115*F115,0)</f>
        <v>4274</v>
      </c>
      <c r="H115" s="1730">
        <v>2</v>
      </c>
      <c r="I115" s="1876">
        <f t="shared" si="29"/>
        <v>4274</v>
      </c>
      <c r="J115" s="1976">
        <f>H115-D115</f>
        <v>0</v>
      </c>
      <c r="K115" s="1876">
        <f>ROUND(J115*F115,0)</f>
        <v>0</v>
      </c>
    </row>
    <row r="116" spans="1:11" ht="14.25">
      <c r="A116" s="1872"/>
      <c r="B116" s="1873"/>
      <c r="C116" s="1771"/>
      <c r="D116" s="1730"/>
      <c r="E116" s="1873"/>
      <c r="F116" s="1872"/>
      <c r="G116" s="1873"/>
      <c r="H116" s="1730"/>
      <c r="I116" s="1876"/>
      <c r="J116" s="1873"/>
      <c r="K116" s="1873"/>
    </row>
    <row r="117" spans="1:11" ht="39.75" customHeight="1">
      <c r="A117" s="1872">
        <v>11</v>
      </c>
      <c r="B117" s="1873"/>
      <c r="C117" s="1864" t="s">
        <v>2734</v>
      </c>
      <c r="D117" s="1730">
        <v>2</v>
      </c>
      <c r="E117" s="1872" t="s">
        <v>501</v>
      </c>
      <c r="F117" s="1872">
        <v>619</v>
      </c>
      <c r="G117" s="1876">
        <f t="shared" ref="G117" si="45">ROUND(D117*F117,0)</f>
        <v>1238</v>
      </c>
      <c r="H117" s="1730">
        <v>2</v>
      </c>
      <c r="I117" s="1876">
        <f t="shared" si="29"/>
        <v>1238</v>
      </c>
      <c r="J117" s="1976">
        <f>H117-D117</f>
        <v>0</v>
      </c>
      <c r="K117" s="1876">
        <f>ROUND(J117*F117,0)</f>
        <v>0</v>
      </c>
    </row>
    <row r="118" spans="1:11" ht="14.25">
      <c r="A118" s="1872"/>
      <c r="B118" s="1873"/>
      <c r="C118" s="1771"/>
      <c r="D118" s="1730"/>
      <c r="E118" s="1873"/>
      <c r="F118" s="1872"/>
      <c r="G118" s="1873"/>
      <c r="H118" s="1730"/>
      <c r="I118" s="1876"/>
      <c r="J118" s="1873"/>
      <c r="K118" s="1873"/>
    </row>
    <row r="119" spans="1:11" ht="51">
      <c r="A119" s="1872">
        <v>12</v>
      </c>
      <c r="B119" s="1873"/>
      <c r="C119" s="1864" t="s">
        <v>2735</v>
      </c>
      <c r="D119" s="1730">
        <v>2</v>
      </c>
      <c r="E119" s="1872" t="s">
        <v>501</v>
      </c>
      <c r="F119" s="1872">
        <v>163</v>
      </c>
      <c r="G119" s="1876">
        <f t="shared" ref="G119" si="46">ROUND(D119*F119,0)</f>
        <v>326</v>
      </c>
      <c r="H119" s="1730">
        <v>2</v>
      </c>
      <c r="I119" s="1876">
        <f t="shared" si="29"/>
        <v>326</v>
      </c>
      <c r="J119" s="1976">
        <f>H119-D119</f>
        <v>0</v>
      </c>
      <c r="K119" s="1876">
        <f>ROUND(J119*F119,0)</f>
        <v>0</v>
      </c>
    </row>
    <row r="120" spans="1:11" ht="14.25">
      <c r="A120" s="1872"/>
      <c r="B120" s="1873"/>
      <c r="C120" s="1771"/>
      <c r="D120" s="1730"/>
      <c r="E120" s="1873"/>
      <c r="F120" s="1872"/>
      <c r="G120" s="1873"/>
      <c r="H120" s="1730"/>
      <c r="I120" s="1876"/>
      <c r="J120" s="1873"/>
      <c r="K120" s="1873"/>
    </row>
    <row r="121" spans="1:11" ht="25.5">
      <c r="A121" s="1872">
        <v>13</v>
      </c>
      <c r="B121" s="1873"/>
      <c r="C121" s="1864" t="s">
        <v>2738</v>
      </c>
      <c r="D121" s="1730">
        <v>2</v>
      </c>
      <c r="E121" s="1872" t="s">
        <v>501</v>
      </c>
      <c r="F121" s="1872">
        <v>142</v>
      </c>
      <c r="G121" s="1876">
        <f t="shared" ref="G121" si="47">ROUND(D121*F121,0)</f>
        <v>284</v>
      </c>
      <c r="H121" s="1730">
        <v>2</v>
      </c>
      <c r="I121" s="1876">
        <f t="shared" si="29"/>
        <v>284</v>
      </c>
      <c r="J121" s="1976">
        <f>H121-D121</f>
        <v>0</v>
      </c>
      <c r="K121" s="1876">
        <f>ROUND(J121*F121,0)</f>
        <v>0</v>
      </c>
    </row>
    <row r="122" spans="1:11" ht="14.25">
      <c r="A122" s="1872"/>
      <c r="B122" s="1873"/>
      <c r="C122" s="1771"/>
      <c r="D122" s="1730"/>
      <c r="E122" s="1873"/>
      <c r="F122" s="1872"/>
      <c r="G122" s="1873"/>
      <c r="H122" s="1730"/>
      <c r="I122" s="1876"/>
      <c r="J122" s="1873"/>
      <c r="K122" s="1873"/>
    </row>
    <row r="123" spans="1:11" ht="39.75" customHeight="1">
      <c r="A123" s="1872">
        <v>14</v>
      </c>
      <c r="B123" s="1873"/>
      <c r="C123" s="1864" t="s">
        <v>3723</v>
      </c>
      <c r="D123" s="1730">
        <v>3</v>
      </c>
      <c r="E123" s="1872" t="s">
        <v>501</v>
      </c>
      <c r="F123" s="1872">
        <v>46309</v>
      </c>
      <c r="G123" s="1876">
        <f t="shared" ref="G123" si="48">ROUND(D123*F123,0)</f>
        <v>138927</v>
      </c>
      <c r="H123" s="1730">
        <v>3</v>
      </c>
      <c r="I123" s="1876">
        <f t="shared" si="29"/>
        <v>138927</v>
      </c>
      <c r="J123" s="1976">
        <f>H123-D123</f>
        <v>0</v>
      </c>
      <c r="K123" s="1876">
        <f>ROUND(J123*F123,0)</f>
        <v>0</v>
      </c>
    </row>
    <row r="124" spans="1:11" ht="14.25">
      <c r="A124" s="1872"/>
      <c r="B124" s="1873"/>
      <c r="C124" s="1771"/>
      <c r="D124" s="1730"/>
      <c r="E124" s="1873"/>
      <c r="F124" s="1872"/>
      <c r="G124" s="1873"/>
      <c r="H124" s="1730"/>
      <c r="I124" s="1876"/>
      <c r="J124" s="1873"/>
      <c r="K124" s="1873"/>
    </row>
    <row r="125" spans="1:11" ht="38.25" customHeight="1">
      <c r="A125" s="1872">
        <v>15</v>
      </c>
      <c r="B125" s="1873"/>
      <c r="C125" s="1864" t="s">
        <v>3724</v>
      </c>
      <c r="D125" s="1730">
        <v>3</v>
      </c>
      <c r="E125" s="1872" t="s">
        <v>501</v>
      </c>
      <c r="F125" s="1872">
        <v>3334</v>
      </c>
      <c r="G125" s="1876">
        <f t="shared" ref="G125" si="49">ROUND(D125*F125,0)</f>
        <v>10002</v>
      </c>
      <c r="H125" s="1730">
        <v>3</v>
      </c>
      <c r="I125" s="1876">
        <f t="shared" si="29"/>
        <v>10002</v>
      </c>
      <c r="J125" s="1976">
        <f>H125-D125</f>
        <v>0</v>
      </c>
      <c r="K125" s="1876">
        <f>ROUND(J125*F125,0)</f>
        <v>0</v>
      </c>
    </row>
    <row r="126" spans="1:11" ht="14.25">
      <c r="A126" s="1872"/>
      <c r="B126" s="1873"/>
      <c r="C126" s="1771"/>
      <c r="D126" s="1730"/>
      <c r="E126" s="1873"/>
      <c r="F126" s="1872"/>
      <c r="G126" s="1873"/>
      <c r="H126" s="1730"/>
      <c r="I126" s="1876"/>
      <c r="J126" s="1873"/>
      <c r="K126" s="1873"/>
    </row>
    <row r="127" spans="1:11" ht="37.5" customHeight="1">
      <c r="A127" s="1872">
        <v>16</v>
      </c>
      <c r="B127" s="1873"/>
      <c r="C127" s="1864" t="s">
        <v>3725</v>
      </c>
      <c r="D127" s="1730">
        <v>2</v>
      </c>
      <c r="E127" s="1872" t="s">
        <v>501</v>
      </c>
      <c r="F127" s="1872">
        <v>1916</v>
      </c>
      <c r="G127" s="1876">
        <f t="shared" ref="G127" si="50">ROUND(D127*F127,0)</f>
        <v>3832</v>
      </c>
      <c r="H127" s="1730">
        <v>2</v>
      </c>
      <c r="I127" s="1876">
        <f t="shared" si="29"/>
        <v>3832</v>
      </c>
      <c r="J127" s="1976">
        <f>H127-D127</f>
        <v>0</v>
      </c>
      <c r="K127" s="1876">
        <f>ROUND(J127*F127,0)</f>
        <v>0</v>
      </c>
    </row>
    <row r="128" spans="1:11" ht="14.25">
      <c r="A128" s="1872"/>
      <c r="B128" s="1873"/>
      <c r="C128" s="1771"/>
      <c r="D128" s="1730"/>
      <c r="E128" s="1873"/>
      <c r="F128" s="1872"/>
      <c r="G128" s="1873"/>
      <c r="H128" s="1730"/>
      <c r="I128" s="1876"/>
      <c r="J128" s="1873"/>
      <c r="K128" s="1873"/>
    </row>
    <row r="129" spans="1:11" ht="27" customHeight="1">
      <c r="A129" s="1872">
        <v>17</v>
      </c>
      <c r="B129" s="1873"/>
      <c r="C129" s="1864" t="s">
        <v>2737</v>
      </c>
      <c r="D129" s="1730">
        <v>3</v>
      </c>
      <c r="E129" s="1872" t="s">
        <v>501</v>
      </c>
      <c r="F129" s="1872">
        <v>3247</v>
      </c>
      <c r="G129" s="1876">
        <f t="shared" ref="G129" si="51">ROUND(D129*F129,0)</f>
        <v>9741</v>
      </c>
      <c r="H129" s="1730">
        <v>3</v>
      </c>
      <c r="I129" s="1876">
        <f t="shared" si="29"/>
        <v>9741</v>
      </c>
      <c r="J129" s="1976">
        <f>H129-D129</f>
        <v>0</v>
      </c>
      <c r="K129" s="1876">
        <f>ROUND(J129*F129,0)</f>
        <v>0</v>
      </c>
    </row>
    <row r="130" spans="1:11" ht="14.25">
      <c r="A130" s="1872"/>
      <c r="B130" s="1873"/>
      <c r="C130" s="1771" t="s">
        <v>3893</v>
      </c>
      <c r="D130" s="1730"/>
      <c r="E130" s="1873"/>
      <c r="F130" s="1872"/>
      <c r="G130" s="1873"/>
      <c r="H130" s="1730"/>
      <c r="I130" s="1876"/>
      <c r="J130" s="1873"/>
      <c r="K130" s="1873"/>
    </row>
    <row r="131" spans="1:11" ht="27" customHeight="1">
      <c r="A131" s="1872">
        <v>18</v>
      </c>
      <c r="B131" s="1873"/>
      <c r="C131" s="1864" t="s">
        <v>3049</v>
      </c>
      <c r="D131" s="1730">
        <v>3</v>
      </c>
      <c r="E131" s="1872" t="s">
        <v>501</v>
      </c>
      <c r="F131" s="1872">
        <v>699</v>
      </c>
      <c r="G131" s="1876">
        <f t="shared" ref="G131" si="52">ROUND(D131*F131,0)</f>
        <v>2097</v>
      </c>
      <c r="H131" s="1730">
        <v>3</v>
      </c>
      <c r="I131" s="1876">
        <f t="shared" si="29"/>
        <v>2097</v>
      </c>
      <c r="J131" s="1976">
        <f>H131-D131</f>
        <v>0</v>
      </c>
      <c r="K131" s="1876">
        <f>ROUND(J131*F131,0)</f>
        <v>0</v>
      </c>
    </row>
    <row r="132" spans="1:11" ht="14.25">
      <c r="A132" s="1872"/>
      <c r="B132" s="1873"/>
      <c r="C132" s="1771"/>
      <c r="D132" s="1730"/>
      <c r="E132" s="1872"/>
      <c r="F132" s="1872"/>
      <c r="G132" s="1876"/>
      <c r="H132" s="1730"/>
      <c r="I132" s="1876"/>
      <c r="J132" s="1876"/>
      <c r="K132" s="1876"/>
    </row>
    <row r="133" spans="1:11">
      <c r="A133" s="1872"/>
      <c r="B133" s="1873"/>
      <c r="C133" s="1882" t="s">
        <v>3738</v>
      </c>
      <c r="D133" s="1873"/>
      <c r="E133" s="1873"/>
      <c r="F133" s="1872"/>
      <c r="G133" s="1880">
        <f>SUM(G97:G132)</f>
        <v>257397</v>
      </c>
      <c r="H133" s="1873"/>
      <c r="I133" s="1880">
        <f>SUM(I97:I132)</f>
        <v>256072</v>
      </c>
      <c r="J133" s="1880"/>
      <c r="K133" s="1880">
        <f>SUM(K97:K132)</f>
        <v>1325</v>
      </c>
    </row>
    <row r="134" spans="1:11" ht="14.25">
      <c r="A134" s="1872"/>
      <c r="B134" s="1873"/>
      <c r="C134" s="1933" t="s">
        <v>3813</v>
      </c>
      <c r="D134" s="1873"/>
      <c r="E134" s="1873"/>
      <c r="F134" s="1872"/>
      <c r="G134" s="1880"/>
      <c r="H134" s="1873"/>
      <c r="I134" s="1876"/>
      <c r="J134" s="1880"/>
      <c r="K134" s="1880"/>
    </row>
    <row r="135" spans="1:11" ht="39" customHeight="1">
      <c r="A135" s="1872">
        <f>A134+1</f>
        <v>1</v>
      </c>
      <c r="B135" s="1873"/>
      <c r="C135" s="1864" t="s">
        <v>3820</v>
      </c>
      <c r="D135" s="1730">
        <v>12</v>
      </c>
      <c r="E135" s="1872" t="s">
        <v>501</v>
      </c>
      <c r="F135" s="1932">
        <v>914</v>
      </c>
      <c r="G135" s="1876">
        <f t="shared" ref="G135" si="53">ROUND(D135*F135,0)</f>
        <v>10968</v>
      </c>
      <c r="H135" s="1730">
        <v>12</v>
      </c>
      <c r="I135" s="1876">
        <v>10392</v>
      </c>
      <c r="J135" s="1976">
        <f>H135-D135</f>
        <v>0</v>
      </c>
      <c r="K135" s="1876">
        <f>G135-I135</f>
        <v>576</v>
      </c>
    </row>
    <row r="136" spans="1:11" ht="14.25">
      <c r="A136" s="1872"/>
      <c r="B136" s="1873"/>
      <c r="C136" s="1771"/>
      <c r="D136" s="1873"/>
      <c r="E136" s="1873"/>
      <c r="F136" s="1872"/>
      <c r="G136" s="1880"/>
      <c r="H136" s="1873"/>
      <c r="I136" s="1876"/>
      <c r="J136" s="1880"/>
      <c r="K136" s="1880"/>
    </row>
    <row r="137" spans="1:11" ht="53.25" customHeight="1">
      <c r="A137" s="1872">
        <f>A136+2</f>
        <v>2</v>
      </c>
      <c r="B137" s="1873"/>
      <c r="C137" s="1864" t="s">
        <v>3896</v>
      </c>
      <c r="D137" s="1730">
        <v>1</v>
      </c>
      <c r="E137" s="1872" t="s">
        <v>501</v>
      </c>
      <c r="F137" s="1932">
        <v>9800</v>
      </c>
      <c r="G137" s="1876">
        <f t="shared" ref="G137" si="54">ROUND(D137*F137,0)</f>
        <v>9800</v>
      </c>
      <c r="H137" s="1730">
        <v>1</v>
      </c>
      <c r="I137" s="1876">
        <v>8094</v>
      </c>
      <c r="J137" s="1976">
        <f>H137-D137</f>
        <v>0</v>
      </c>
      <c r="K137" s="1876">
        <f>G137-I137</f>
        <v>1706</v>
      </c>
    </row>
    <row r="138" spans="1:11">
      <c r="A138" s="1873"/>
      <c r="B138" s="1873"/>
      <c r="C138" s="1771"/>
      <c r="D138" s="1873"/>
      <c r="E138" s="1873"/>
      <c r="F138" s="1872"/>
      <c r="G138" s="1880"/>
      <c r="H138" s="1873"/>
      <c r="I138" s="1880"/>
      <c r="J138" s="1880"/>
      <c r="K138" s="1880"/>
    </row>
    <row r="139" spans="1:11">
      <c r="A139" s="1873"/>
      <c r="B139" s="1873"/>
      <c r="C139" s="1882" t="s">
        <v>3816</v>
      </c>
      <c r="D139" s="1873"/>
      <c r="E139" s="1873"/>
      <c r="F139" s="1872"/>
      <c r="G139" s="1880">
        <f>SUM(G135:G138)</f>
        <v>20768</v>
      </c>
      <c r="H139" s="1873"/>
      <c r="I139" s="1880">
        <f>SUM(I135:I138)</f>
        <v>18486</v>
      </c>
      <c r="J139" s="1880"/>
      <c r="K139" s="1880">
        <f>SUM(K135:K138)</f>
        <v>2282</v>
      </c>
    </row>
    <row r="140" spans="1:11">
      <c r="A140" s="1873"/>
      <c r="B140" s="1873"/>
      <c r="C140" s="1952" t="s">
        <v>3739</v>
      </c>
      <c r="D140" s="1873"/>
      <c r="E140" s="1873"/>
      <c r="F140" s="1872"/>
      <c r="G140" s="1880">
        <f>G139+G133+G94+G80+G64+G48</f>
        <v>1052854</v>
      </c>
      <c r="H140" s="1880"/>
      <c r="I140" s="1880">
        <v>691340</v>
      </c>
      <c r="J140" s="1880"/>
      <c r="K140" s="1880">
        <f>G140-I140</f>
        <v>361514</v>
      </c>
    </row>
    <row r="141" spans="1:11" s="1873" customFormat="1">
      <c r="C141" s="1952" t="s">
        <v>3898</v>
      </c>
      <c r="F141" s="1872"/>
      <c r="G141" s="1873">
        <f>-ROUND(G140*5.3%,0)</f>
        <v>-55801</v>
      </c>
      <c r="I141" s="1873">
        <f>-ROUND(I140*5.3%,0)</f>
        <v>-36641</v>
      </c>
      <c r="K141" s="1873">
        <f>-ROUND(K140*5.3%,0)</f>
        <v>-19160</v>
      </c>
    </row>
    <row r="142" spans="1:11" s="1873" customFormat="1">
      <c r="C142" s="1952" t="s">
        <v>3899</v>
      </c>
      <c r="D142" s="1970"/>
      <c r="F142" s="1872"/>
      <c r="G142" s="1880">
        <f>SUM(G140:G141)</f>
        <v>997053</v>
      </c>
      <c r="H142" s="1880"/>
      <c r="I142" s="1880">
        <f>SUM(I140:I141)</f>
        <v>654699</v>
      </c>
      <c r="J142" s="1880"/>
      <c r="K142" s="1880">
        <f>SUM(K140:K141)</f>
        <v>342354</v>
      </c>
    </row>
    <row r="143" spans="1:11" s="1873" customFormat="1">
      <c r="C143" s="1952" t="s">
        <v>3900</v>
      </c>
      <c r="G143" s="1972">
        <f>ROUND(G142*18%,0)</f>
        <v>179470</v>
      </c>
      <c r="H143" s="1972"/>
      <c r="I143" s="1972">
        <f>ROUND(I142*18%,0)</f>
        <v>117846</v>
      </c>
      <c r="J143" s="1972"/>
      <c r="K143" s="1972">
        <f>ROUND(K142*18%,0)</f>
        <v>61624</v>
      </c>
    </row>
    <row r="144" spans="1:11" s="1873" customFormat="1">
      <c r="C144" s="1952" t="s">
        <v>3739</v>
      </c>
      <c r="D144" s="1971"/>
      <c r="G144" s="1880">
        <f>SUM(G142:G143)</f>
        <v>1176523</v>
      </c>
      <c r="H144" s="1880"/>
      <c r="I144" s="1880">
        <f>SUM(I142:I143)</f>
        <v>772545</v>
      </c>
      <c r="J144" s="1880"/>
      <c r="K144" s="1880">
        <f>SUM(K142:K143)</f>
        <v>403978</v>
      </c>
    </row>
  </sheetData>
  <mergeCells count="8">
    <mergeCell ref="D4:E4"/>
    <mergeCell ref="A1:K1"/>
    <mergeCell ref="B2:K2"/>
    <mergeCell ref="A3:B4"/>
    <mergeCell ref="C3:C4"/>
    <mergeCell ref="D3:G3"/>
    <mergeCell ref="H3:I3"/>
    <mergeCell ref="J3:K3"/>
  </mergeCells>
  <pageMargins left="0.19685039370078741" right="0.70866141732283472" top="0.74803149606299213" bottom="0.74803149606299213" header="0.31496062992125984" footer="0.31496062992125984"/>
  <pageSetup paperSize="9" orientation="landscape" r:id="rId1"/>
  <headerFooter>
    <oddFooter>Page &amp;P of &amp;N</oddFooter>
  </headerFooter>
</worksheet>
</file>

<file path=xl/worksheets/sheet26.xml><?xml version="1.0" encoding="utf-8"?>
<worksheet xmlns="http://schemas.openxmlformats.org/spreadsheetml/2006/main" xmlns:r="http://schemas.openxmlformats.org/officeDocument/2006/relationships">
  <dimension ref="A1:H149"/>
  <sheetViews>
    <sheetView view="pageBreakPreview" zoomScaleSheetLayoutView="100" workbookViewId="0">
      <pane ySplit="1" topLeftCell="A2" activePane="bottomLeft" state="frozen"/>
      <selection pane="bottomLeft" activeCell="C142" sqref="C142"/>
    </sheetView>
  </sheetViews>
  <sheetFormatPr defaultRowHeight="12.75"/>
  <cols>
    <col min="1" max="2" width="4.140625" customWidth="1"/>
    <col min="3" max="3" width="49" customWidth="1"/>
    <col min="4" max="4" width="7.85546875" customWidth="1"/>
    <col min="5" max="5" width="6" customWidth="1"/>
    <col min="6" max="6" width="9.28515625" customWidth="1"/>
    <col min="8" max="8" width="10" customWidth="1"/>
  </cols>
  <sheetData>
    <row r="1" spans="1:8" ht="28.5" customHeight="1">
      <c r="A1" s="2184" t="s">
        <v>3902</v>
      </c>
      <c r="B1" s="2184"/>
      <c r="C1" s="2184"/>
      <c r="D1" s="2184"/>
      <c r="E1" s="2184"/>
      <c r="F1" s="2184"/>
      <c r="G1" s="2184"/>
      <c r="H1" s="2184"/>
    </row>
    <row r="2" spans="1:8" ht="40.5" customHeight="1">
      <c r="A2" s="1866"/>
      <c r="B2" s="2185" t="str">
        <f>Input!C2</f>
        <v>Name of Work:  Creation of Infrastructure Facilities for skill Dvelopment lab at 6th Floor OPD Block-3 in Gandhi Hospital, Secunderabad (Balance Work)</v>
      </c>
      <c r="C2" s="2185"/>
      <c r="D2" s="2185"/>
      <c r="E2" s="2185"/>
      <c r="F2" s="2185"/>
      <c r="G2" s="2185"/>
      <c r="H2" s="2185"/>
    </row>
    <row r="3" spans="1:8" ht="30" customHeight="1">
      <c r="A3" s="2207" t="s">
        <v>3903</v>
      </c>
      <c r="B3" s="2208"/>
      <c r="C3" s="2208"/>
      <c r="D3" s="2208"/>
      <c r="E3" s="2208"/>
      <c r="F3" s="2208"/>
      <c r="G3" s="2208"/>
      <c r="H3" s="2209"/>
    </row>
    <row r="4" spans="1:8" ht="90.75" customHeight="1">
      <c r="A4" s="2210" t="s">
        <v>3904</v>
      </c>
      <c r="B4" s="2211"/>
      <c r="C4" s="2211"/>
      <c r="D4" s="2211"/>
      <c r="E4" s="2211"/>
      <c r="F4" s="2211"/>
      <c r="G4" s="2211"/>
      <c r="H4" s="2212"/>
    </row>
    <row r="5" spans="1:8" ht="48" customHeight="1">
      <c r="A5" s="2213" t="s">
        <v>3905</v>
      </c>
      <c r="B5" s="2214"/>
      <c r="C5" s="2214"/>
      <c r="D5" s="2214"/>
      <c r="E5" s="2214"/>
      <c r="F5" s="2214"/>
      <c r="G5" s="2214"/>
      <c r="H5" s="2215"/>
    </row>
    <row r="6" spans="1:8" ht="27" customHeight="1">
      <c r="A6" s="2183" t="s">
        <v>936</v>
      </c>
      <c r="B6" s="2183"/>
      <c r="C6" s="2183" t="s">
        <v>2448</v>
      </c>
      <c r="D6" s="2183"/>
      <c r="E6" s="2183"/>
      <c r="F6" s="2183"/>
      <c r="G6" s="2183"/>
      <c r="H6" s="2183" t="s">
        <v>3731</v>
      </c>
    </row>
    <row r="7" spans="1:8" ht="28.5">
      <c r="A7" s="2183"/>
      <c r="B7" s="2183"/>
      <c r="C7" s="2183"/>
      <c r="D7" s="2183" t="s">
        <v>1025</v>
      </c>
      <c r="E7" s="2183"/>
      <c r="F7" s="1962" t="s">
        <v>2789</v>
      </c>
      <c r="G7" s="1962" t="s">
        <v>3734</v>
      </c>
      <c r="H7" s="2183"/>
    </row>
    <row r="8" spans="1:8" ht="14.25">
      <c r="A8" s="1869"/>
      <c r="B8" s="1869"/>
      <c r="C8" s="1870" t="s">
        <v>3735</v>
      </c>
      <c r="D8" s="1869"/>
      <c r="E8" s="1869"/>
      <c r="F8" s="1869"/>
      <c r="G8" s="1869"/>
      <c r="H8" s="1871"/>
    </row>
    <row r="9" spans="1:8" ht="15">
      <c r="A9" s="1872"/>
      <c r="B9" s="1873"/>
      <c r="C9" s="1877"/>
      <c r="D9" s="1730"/>
      <c r="E9" s="1874"/>
      <c r="F9" s="1875"/>
      <c r="G9" s="1876"/>
      <c r="H9" s="1873"/>
    </row>
    <row r="10" spans="1:8" ht="36.75" customHeight="1">
      <c r="A10" s="1872">
        <f>A9+1</f>
        <v>1</v>
      </c>
      <c r="B10" s="1873"/>
      <c r="C10" s="1771" t="s">
        <v>3687</v>
      </c>
      <c r="D10" s="1730">
        <v>0.98</v>
      </c>
      <c r="E10" s="1872" t="s">
        <v>484</v>
      </c>
      <c r="F10" s="1872">
        <v>298</v>
      </c>
      <c r="G10" s="1876">
        <f t="shared" ref="G10" si="0">ROUND(D10*F10,0)</f>
        <v>292</v>
      </c>
      <c r="H10" s="1873"/>
    </row>
    <row r="11" spans="1:8">
      <c r="A11" s="1872"/>
      <c r="B11" s="1873"/>
      <c r="C11" s="1771" t="s">
        <v>3862</v>
      </c>
      <c r="D11" s="1730"/>
      <c r="E11" s="1873"/>
      <c r="F11" s="1872"/>
      <c r="G11" s="1873"/>
      <c r="H11" s="1873"/>
    </row>
    <row r="12" spans="1:8" ht="28.5" customHeight="1">
      <c r="A12" s="1872">
        <f>A11+2</f>
        <v>2</v>
      </c>
      <c r="B12" s="1873"/>
      <c r="C12" s="1771" t="s">
        <v>3693</v>
      </c>
      <c r="D12" s="1730">
        <v>20.93</v>
      </c>
      <c r="E12" s="1872" t="s">
        <v>46</v>
      </c>
      <c r="F12" s="1872">
        <v>15</v>
      </c>
      <c r="G12" s="1876">
        <f t="shared" ref="G12" si="1">ROUND(D12*F12,0)</f>
        <v>314</v>
      </c>
      <c r="H12" s="1873"/>
    </row>
    <row r="13" spans="1:8">
      <c r="A13" s="1872"/>
      <c r="B13" s="1873"/>
      <c r="C13" s="1771" t="s">
        <v>3862</v>
      </c>
      <c r="D13" s="1730"/>
      <c r="E13" s="1873"/>
      <c r="F13" s="1872"/>
      <c r="G13" s="1873"/>
      <c r="H13" s="1873"/>
    </row>
    <row r="14" spans="1:8" ht="41.25" customHeight="1">
      <c r="A14" s="1872">
        <f>A13+3</f>
        <v>3</v>
      </c>
      <c r="B14" s="1873"/>
      <c r="C14" s="1771" t="s">
        <v>3694</v>
      </c>
      <c r="D14" s="1730">
        <v>0.53</v>
      </c>
      <c r="E14" s="1872" t="s">
        <v>484</v>
      </c>
      <c r="F14" s="1872">
        <v>7686</v>
      </c>
      <c r="G14" s="1876">
        <f t="shared" ref="G14" si="2">ROUND(D14*F14,0)</f>
        <v>4074</v>
      </c>
      <c r="H14" s="1873"/>
    </row>
    <row r="15" spans="1:8">
      <c r="A15" s="1872"/>
      <c r="B15" s="1873"/>
      <c r="C15" s="1771" t="s">
        <v>3863</v>
      </c>
      <c r="D15" s="1730"/>
      <c r="E15" s="1873"/>
      <c r="F15" s="1872"/>
      <c r="G15" s="1873"/>
      <c r="H15" s="1873"/>
    </row>
    <row r="16" spans="1:8" ht="49.5" customHeight="1">
      <c r="A16" s="1872">
        <f>A15+4</f>
        <v>4</v>
      </c>
      <c r="B16" s="1873"/>
      <c r="C16" s="1854" t="s">
        <v>3695</v>
      </c>
      <c r="D16" s="1730">
        <v>100</v>
      </c>
      <c r="E16" s="1872" t="s">
        <v>46</v>
      </c>
      <c r="F16" s="1872">
        <v>526</v>
      </c>
      <c r="G16" s="1876">
        <f t="shared" ref="G16:G17" si="3">ROUND(D16*F16,0)</f>
        <v>52600</v>
      </c>
      <c r="H16" s="1966" t="s">
        <v>3852</v>
      </c>
    </row>
    <row r="17" spans="1:8" ht="14.25">
      <c r="A17" s="1872"/>
      <c r="B17" s="1873"/>
      <c r="C17" s="1953" t="s">
        <v>3839</v>
      </c>
      <c r="D17" s="1730">
        <f>108.2-D16</f>
        <v>8.2000000000000028</v>
      </c>
      <c r="E17" s="1873"/>
      <c r="F17" s="1872">
        <v>526</v>
      </c>
      <c r="G17" s="1876">
        <f t="shared" si="3"/>
        <v>4313</v>
      </c>
      <c r="H17" s="1873"/>
    </row>
    <row r="18" spans="1:8">
      <c r="A18" s="1872"/>
      <c r="B18" s="1873"/>
      <c r="C18" s="1771" t="s">
        <v>3863</v>
      </c>
      <c r="D18" s="1730"/>
      <c r="E18" s="1873"/>
      <c r="F18" s="1872"/>
      <c r="G18" s="1873"/>
      <c r="H18" s="1873"/>
    </row>
    <row r="19" spans="1:8" ht="34.5" customHeight="1">
      <c r="A19" s="1872">
        <f>A18+5</f>
        <v>5</v>
      </c>
      <c r="B19" s="1873"/>
      <c r="C19" s="1771" t="s">
        <v>3696</v>
      </c>
      <c r="D19" s="1730">
        <v>36.25</v>
      </c>
      <c r="E19" s="1872" t="s">
        <v>46</v>
      </c>
      <c r="F19" s="1872">
        <v>4030</v>
      </c>
      <c r="G19" s="1876">
        <f t="shared" ref="G19" si="4">ROUND(D19*F19,0)</f>
        <v>146088</v>
      </c>
      <c r="H19" s="1873"/>
    </row>
    <row r="20" spans="1:8">
      <c r="A20" s="1872"/>
      <c r="B20" s="1873"/>
      <c r="C20" s="1771" t="s">
        <v>3864</v>
      </c>
      <c r="D20" s="1730"/>
      <c r="E20" s="1873"/>
      <c r="F20" s="1872"/>
      <c r="G20" s="1873"/>
      <c r="H20" s="1873"/>
    </row>
    <row r="21" spans="1:8" ht="38.25" customHeight="1">
      <c r="A21" s="1872">
        <f>A20+6</f>
        <v>6</v>
      </c>
      <c r="B21" s="1873"/>
      <c r="C21" s="1771" t="s">
        <v>3697</v>
      </c>
      <c r="D21" s="1730">
        <v>45</v>
      </c>
      <c r="E21" s="1872" t="s">
        <v>46</v>
      </c>
      <c r="F21" s="1872">
        <v>1044</v>
      </c>
      <c r="G21" s="1876">
        <f t="shared" ref="G21:G22" si="5">ROUND(D21*F21,0)</f>
        <v>46980</v>
      </c>
      <c r="H21" s="1967" t="s">
        <v>3853</v>
      </c>
    </row>
    <row r="22" spans="1:8" ht="14.25">
      <c r="A22" s="1872"/>
      <c r="B22" s="1873"/>
      <c r="C22" s="1953" t="s">
        <v>3839</v>
      </c>
      <c r="D22" s="1730">
        <f>64.03-D21</f>
        <v>19.03</v>
      </c>
      <c r="E22" s="1873"/>
      <c r="F22" s="1872">
        <v>1044</v>
      </c>
      <c r="G22" s="1876">
        <f t="shared" si="5"/>
        <v>19867</v>
      </c>
      <c r="H22" s="1873"/>
    </row>
    <row r="23" spans="1:8">
      <c r="A23" s="1872"/>
      <c r="B23" s="1873"/>
      <c r="C23" s="1771" t="s">
        <v>3864</v>
      </c>
      <c r="D23" s="1730"/>
      <c r="E23" s="1873"/>
      <c r="F23" s="1872"/>
      <c r="G23" s="1873"/>
      <c r="H23" s="1873"/>
    </row>
    <row r="24" spans="1:8" ht="50.25" customHeight="1">
      <c r="A24" s="1872">
        <f>A23+7</f>
        <v>7</v>
      </c>
      <c r="B24" s="1873"/>
      <c r="C24" s="1771" t="s">
        <v>3698</v>
      </c>
      <c r="D24" s="1730">
        <v>5.21</v>
      </c>
      <c r="E24" s="1872" t="s">
        <v>46</v>
      </c>
      <c r="F24" s="1872">
        <v>907</v>
      </c>
      <c r="G24" s="1876">
        <f t="shared" ref="G24" si="6">ROUND(D24*F24,0)</f>
        <v>4725</v>
      </c>
      <c r="H24" s="1873"/>
    </row>
    <row r="25" spans="1:8">
      <c r="A25" s="1872"/>
      <c r="B25" s="1873"/>
      <c r="C25" s="1771" t="s">
        <v>3864</v>
      </c>
      <c r="D25" s="1730"/>
      <c r="E25" s="1873"/>
      <c r="F25" s="1872"/>
      <c r="G25" s="1873"/>
      <c r="H25" s="1873"/>
    </row>
    <row r="26" spans="1:8" ht="37.5" customHeight="1">
      <c r="A26" s="1872">
        <f>A25+8</f>
        <v>8</v>
      </c>
      <c r="B26" s="1873"/>
      <c r="C26" s="1771" t="s">
        <v>3700</v>
      </c>
      <c r="D26" s="1730">
        <v>27.95</v>
      </c>
      <c r="E26" s="1872" t="s">
        <v>1308</v>
      </c>
      <c r="F26" s="1872">
        <v>104</v>
      </c>
      <c r="G26" s="1876">
        <f t="shared" ref="G26" si="7">ROUND(D26*F26,0)</f>
        <v>2907</v>
      </c>
      <c r="H26" s="1873"/>
    </row>
    <row r="27" spans="1:8">
      <c r="A27" s="1872"/>
      <c r="B27" s="1873"/>
      <c r="C27" s="1771" t="s">
        <v>3865</v>
      </c>
      <c r="D27" s="1730"/>
      <c r="E27" s="1873"/>
      <c r="F27" s="1872"/>
      <c r="G27" s="1873"/>
      <c r="H27" s="1873"/>
    </row>
    <row r="28" spans="1:8" ht="37.5" customHeight="1">
      <c r="A28" s="1872">
        <f>A27+9</f>
        <v>9</v>
      </c>
      <c r="B28" s="1873"/>
      <c r="C28" s="1771" t="s">
        <v>3701</v>
      </c>
      <c r="D28" s="1730">
        <v>3.72</v>
      </c>
      <c r="E28" s="1872" t="s">
        <v>46</v>
      </c>
      <c r="F28" s="1872">
        <v>1003</v>
      </c>
      <c r="G28" s="1876">
        <f t="shared" ref="G28" si="8">ROUND(D28*F28,0)</f>
        <v>3731</v>
      </c>
      <c r="H28" s="1873"/>
    </row>
    <row r="29" spans="1:8">
      <c r="A29" s="1872"/>
      <c r="B29" s="1873"/>
      <c r="C29" s="1771" t="s">
        <v>3865</v>
      </c>
      <c r="D29" s="1730"/>
      <c r="E29" s="1873"/>
      <c r="F29" s="1872"/>
      <c r="G29" s="1873"/>
      <c r="H29" s="1873"/>
    </row>
    <row r="30" spans="1:8" ht="40.5" customHeight="1">
      <c r="A30" s="1872">
        <f>A29+10</f>
        <v>10</v>
      </c>
      <c r="B30" s="1873"/>
      <c r="C30" s="1771" t="s">
        <v>3702</v>
      </c>
      <c r="D30" s="1730">
        <v>28.43</v>
      </c>
      <c r="E30" s="1872" t="s">
        <v>46</v>
      </c>
      <c r="F30" s="1872">
        <v>1121</v>
      </c>
      <c r="G30" s="1876">
        <f t="shared" ref="G30" si="9">ROUND(D30*F30,0)</f>
        <v>31870</v>
      </c>
      <c r="H30" s="1873"/>
    </row>
    <row r="31" spans="1:8">
      <c r="A31" s="1872"/>
      <c r="B31" s="1873"/>
      <c r="C31" s="1771" t="s">
        <v>3866</v>
      </c>
      <c r="D31" s="1730"/>
      <c r="E31" s="1873"/>
      <c r="F31" s="1872"/>
      <c r="G31" s="1873"/>
      <c r="H31" s="1873"/>
    </row>
    <row r="32" spans="1:8" ht="40.5" customHeight="1">
      <c r="A32" s="1872">
        <f>A31+11</f>
        <v>11</v>
      </c>
      <c r="B32" s="1873"/>
      <c r="C32" s="1771" t="s">
        <v>3703</v>
      </c>
      <c r="D32" s="1730">
        <v>76.540000000000006</v>
      </c>
      <c r="E32" s="1872" t="s">
        <v>46</v>
      </c>
      <c r="F32" s="1872">
        <v>235</v>
      </c>
      <c r="G32" s="1876">
        <f t="shared" ref="G32" si="10">ROUND(D32*F32,0)</f>
        <v>17987</v>
      </c>
      <c r="H32" s="1873"/>
    </row>
    <row r="33" spans="1:8">
      <c r="A33" s="1872"/>
      <c r="B33" s="1873"/>
      <c r="C33" s="1771" t="s">
        <v>3867</v>
      </c>
      <c r="D33" s="1730"/>
      <c r="E33" s="1873"/>
      <c r="F33" s="1872"/>
      <c r="G33" s="1873"/>
      <c r="H33" s="1873"/>
    </row>
    <row r="34" spans="1:8" ht="38.25" customHeight="1">
      <c r="A34" s="1872">
        <f>A33+12</f>
        <v>12</v>
      </c>
      <c r="B34" s="1873"/>
      <c r="C34" s="1771" t="s">
        <v>3704</v>
      </c>
      <c r="D34" s="1730">
        <v>180</v>
      </c>
      <c r="E34" s="1872" t="s">
        <v>46</v>
      </c>
      <c r="F34" s="1872">
        <v>194</v>
      </c>
      <c r="G34" s="1876">
        <f t="shared" ref="G34:G35" si="11">ROUND(D34*F34,0)</f>
        <v>34920</v>
      </c>
      <c r="H34" s="1967" t="s">
        <v>3853</v>
      </c>
    </row>
    <row r="35" spans="1:8" ht="14.25">
      <c r="A35" s="1872"/>
      <c r="B35" s="1873"/>
      <c r="C35" s="1953" t="s">
        <v>3839</v>
      </c>
      <c r="D35" s="1730">
        <f>222.34-D34</f>
        <v>42.34</v>
      </c>
      <c r="E35" s="1873"/>
      <c r="F35" s="1872">
        <v>194</v>
      </c>
      <c r="G35" s="1876">
        <f t="shared" si="11"/>
        <v>8214</v>
      </c>
      <c r="H35" s="1873"/>
    </row>
    <row r="36" spans="1:8">
      <c r="A36" s="1872"/>
      <c r="B36" s="1873"/>
      <c r="C36" s="1771" t="s">
        <v>3867</v>
      </c>
      <c r="D36" s="1730"/>
      <c r="E36" s="1873"/>
      <c r="F36" s="1872"/>
      <c r="G36" s="1873"/>
      <c r="H36" s="1873"/>
    </row>
    <row r="37" spans="1:8" ht="39.75" customHeight="1">
      <c r="A37" s="1872">
        <f>A36+13</f>
        <v>13</v>
      </c>
      <c r="B37" s="1873"/>
      <c r="C37" s="1771" t="s">
        <v>3705</v>
      </c>
      <c r="D37" s="1730">
        <v>45</v>
      </c>
      <c r="E37" s="1872" t="s">
        <v>46</v>
      </c>
      <c r="F37" s="1872">
        <v>290</v>
      </c>
      <c r="G37" s="1876">
        <f t="shared" ref="G37:G38" si="12">ROUND(D37*F37,0)</f>
        <v>13050</v>
      </c>
      <c r="H37" s="1967" t="s">
        <v>3853</v>
      </c>
    </row>
    <row r="38" spans="1:8" ht="14.25">
      <c r="A38" s="1872"/>
      <c r="B38" s="1873"/>
      <c r="C38" s="1953" t="s">
        <v>3839</v>
      </c>
      <c r="D38" s="1730">
        <f>51.15-D37</f>
        <v>6.1499999999999986</v>
      </c>
      <c r="E38" s="1873"/>
      <c r="F38" s="1872">
        <v>290</v>
      </c>
      <c r="G38" s="1876">
        <f t="shared" si="12"/>
        <v>1784</v>
      </c>
      <c r="H38" s="1873"/>
    </row>
    <row r="39" spans="1:8">
      <c r="A39" s="1872"/>
      <c r="B39" s="1873"/>
      <c r="C39" s="1771" t="s">
        <v>3867</v>
      </c>
      <c r="D39" s="1730"/>
      <c r="E39" s="1873"/>
      <c r="F39" s="1872"/>
      <c r="G39" s="1873"/>
      <c r="H39" s="1873"/>
    </row>
    <row r="40" spans="1:8" ht="48.75" customHeight="1">
      <c r="A40" s="1872">
        <f>A39+14</f>
        <v>14</v>
      </c>
      <c r="B40" s="1873"/>
      <c r="C40" s="1771" t="s">
        <v>2259</v>
      </c>
      <c r="D40" s="1730">
        <v>8</v>
      </c>
      <c r="E40" s="1872" t="s">
        <v>46</v>
      </c>
      <c r="F40" s="1872">
        <v>2218</v>
      </c>
      <c r="G40" s="1876">
        <f t="shared" ref="G40:G41" si="13">ROUND(D40*F40,0)</f>
        <v>17744</v>
      </c>
      <c r="H40" s="1873"/>
    </row>
    <row r="41" spans="1:8" ht="14.25">
      <c r="A41" s="1872"/>
      <c r="B41" s="1873"/>
      <c r="C41" s="1953" t="s">
        <v>3839</v>
      </c>
      <c r="D41" s="1730">
        <f>9.57-D40</f>
        <v>1.5700000000000003</v>
      </c>
      <c r="E41" s="1873"/>
      <c r="F41" s="1872">
        <v>2218</v>
      </c>
      <c r="G41" s="1876">
        <f t="shared" si="13"/>
        <v>3482</v>
      </c>
      <c r="H41" s="1873"/>
    </row>
    <row r="42" spans="1:8">
      <c r="A42" s="1872"/>
      <c r="B42" s="1873"/>
      <c r="C42" s="1771" t="s">
        <v>3868</v>
      </c>
      <c r="D42" s="1730"/>
      <c r="E42" s="1873"/>
      <c r="F42" s="1872"/>
      <c r="G42" s="1873"/>
      <c r="H42" s="1873"/>
    </row>
    <row r="43" spans="1:8" ht="37.5" customHeight="1">
      <c r="A43" s="1872">
        <f>A42+15</f>
        <v>15</v>
      </c>
      <c r="B43" s="1873"/>
      <c r="C43" s="1771" t="s">
        <v>3706</v>
      </c>
      <c r="D43" s="1730">
        <v>15</v>
      </c>
      <c r="E43" s="1872" t="s">
        <v>46</v>
      </c>
      <c r="F43" s="1872">
        <v>114</v>
      </c>
      <c r="G43" s="1876">
        <f t="shared" ref="G43:G44" si="14">ROUND(D43*F43,0)</f>
        <v>1710</v>
      </c>
      <c r="H43" s="1967" t="s">
        <v>3853</v>
      </c>
    </row>
    <row r="44" spans="1:8" ht="14.25">
      <c r="A44" s="1872"/>
      <c r="B44" s="1873"/>
      <c r="C44" s="1953" t="s">
        <v>3839</v>
      </c>
      <c r="D44" s="1730">
        <f>48.1-D43</f>
        <v>33.1</v>
      </c>
      <c r="E44" s="1873"/>
      <c r="F44" s="1872">
        <v>114</v>
      </c>
      <c r="G44" s="1876">
        <f t="shared" si="14"/>
        <v>3773</v>
      </c>
      <c r="H44" s="1873"/>
    </row>
    <row r="45" spans="1:8">
      <c r="A45" s="1872"/>
      <c r="B45" s="1873"/>
      <c r="C45" s="1771" t="s">
        <v>3869</v>
      </c>
      <c r="D45" s="1730"/>
      <c r="E45" s="1873"/>
      <c r="F45" s="1872"/>
      <c r="G45" s="1873"/>
      <c r="H45" s="1873"/>
    </row>
    <row r="46" spans="1:8" ht="51">
      <c r="A46" s="1872">
        <f>A45+16</f>
        <v>16</v>
      </c>
      <c r="B46" s="1873"/>
      <c r="C46" s="1771" t="s">
        <v>3707</v>
      </c>
      <c r="D46" s="1730">
        <v>18.62</v>
      </c>
      <c r="E46" s="1872" t="s">
        <v>46</v>
      </c>
      <c r="F46" s="1872">
        <v>1375</v>
      </c>
      <c r="G46" s="1876">
        <f t="shared" ref="G46" si="15">ROUND(D46*F46,0)</f>
        <v>25603</v>
      </c>
      <c r="H46" s="1873"/>
    </row>
    <row r="47" spans="1:8">
      <c r="A47" s="1872"/>
      <c r="B47" s="1873"/>
      <c r="C47" s="1771" t="s">
        <v>3869</v>
      </c>
      <c r="D47" s="1730"/>
      <c r="E47" s="1873"/>
      <c r="F47" s="1872"/>
      <c r="G47" s="1873"/>
      <c r="H47" s="1873"/>
    </row>
    <row r="48" spans="1:8" ht="25.5" customHeight="1">
      <c r="A48" s="1872">
        <f>A47+17</f>
        <v>17</v>
      </c>
      <c r="B48" s="1873"/>
      <c r="C48" s="1771" t="s">
        <v>3688</v>
      </c>
      <c r="D48" s="1730">
        <v>10</v>
      </c>
      <c r="E48" s="1872" t="s">
        <v>484</v>
      </c>
      <c r="F48" s="1872">
        <v>339</v>
      </c>
      <c r="G48" s="1876">
        <f t="shared" ref="G48:G49" si="16">ROUND(D48*F48,0)</f>
        <v>3390</v>
      </c>
      <c r="H48" s="1967" t="s">
        <v>3854</v>
      </c>
    </row>
    <row r="49" spans="1:8" ht="14.25">
      <c r="A49" s="1872"/>
      <c r="B49" s="1873"/>
      <c r="C49" s="1953" t="s">
        <v>3839</v>
      </c>
      <c r="D49" s="1730">
        <f>22.35-D48</f>
        <v>12.350000000000001</v>
      </c>
      <c r="E49" s="1873"/>
      <c r="F49" s="1872">
        <v>339</v>
      </c>
      <c r="G49" s="1876">
        <f t="shared" si="16"/>
        <v>4187</v>
      </c>
      <c r="H49" s="1873"/>
    </row>
    <row r="50" spans="1:8" ht="14.25">
      <c r="A50" s="1872"/>
      <c r="B50" s="1873"/>
      <c r="C50" s="1771" t="s">
        <v>3870</v>
      </c>
      <c r="D50" s="1730"/>
      <c r="E50" s="1873"/>
      <c r="F50" s="1872"/>
      <c r="G50" s="1876"/>
      <c r="H50" s="1873"/>
    </row>
    <row r="51" spans="1:8">
      <c r="A51" s="1872"/>
      <c r="B51" s="1873"/>
      <c r="C51" s="1881" t="s">
        <v>3736</v>
      </c>
      <c r="D51" s="1730"/>
      <c r="E51" s="1873"/>
      <c r="F51" s="1872"/>
      <c r="G51" s="1880">
        <f>SUM(G10:G49)</f>
        <v>453605</v>
      </c>
      <c r="H51" s="1873"/>
    </row>
    <row r="52" spans="1:8">
      <c r="A52" s="1872"/>
      <c r="B52" s="1873"/>
      <c r="C52" s="1771"/>
      <c r="D52" s="1730"/>
      <c r="E52" s="1873"/>
      <c r="F52" s="1872"/>
      <c r="G52" s="1873"/>
      <c r="H52" s="1873"/>
    </row>
    <row r="53" spans="1:8">
      <c r="A53" s="1872"/>
      <c r="B53" s="1873"/>
      <c r="C53" s="1859" t="s">
        <v>3807</v>
      </c>
      <c r="D53" s="1730"/>
      <c r="E53" s="1873"/>
      <c r="F53" s="1872"/>
      <c r="G53" s="1873"/>
      <c r="H53" s="1873"/>
    </row>
    <row r="54" spans="1:8" ht="26.25" customHeight="1">
      <c r="A54" s="1872">
        <f>A53+1</f>
        <v>1</v>
      </c>
      <c r="B54" s="1873"/>
      <c r="C54" s="1771" t="s">
        <v>3686</v>
      </c>
      <c r="D54" s="1730">
        <v>0.51</v>
      </c>
      <c r="E54" s="1872" t="s">
        <v>484</v>
      </c>
      <c r="F54" s="1930">
        <f>'C-data'!I421</f>
        <v>5349</v>
      </c>
      <c r="G54" s="1876">
        <f t="shared" ref="G54" si="17">ROUND(D54*F54,0)</f>
        <v>2728</v>
      </c>
      <c r="H54" s="1873"/>
    </row>
    <row r="55" spans="1:8">
      <c r="A55" s="1872"/>
      <c r="B55" s="1873"/>
      <c r="C55" s="1771" t="s">
        <v>3871</v>
      </c>
      <c r="D55" s="1730"/>
      <c r="E55" s="1873"/>
      <c r="F55" s="1872"/>
      <c r="G55" s="1873"/>
      <c r="H55" s="1873"/>
    </row>
    <row r="56" spans="1:8" ht="38.25" customHeight="1">
      <c r="A56" s="1872">
        <f>A55+2</f>
        <v>2</v>
      </c>
      <c r="B56" s="1873"/>
      <c r="C56" s="1771" t="s">
        <v>3642</v>
      </c>
      <c r="D56" s="1730">
        <v>4.68</v>
      </c>
      <c r="E56" s="1872" t="s">
        <v>46</v>
      </c>
      <c r="F56" s="1930">
        <f>Joinery!I1069</f>
        <v>8088</v>
      </c>
      <c r="G56" s="1876">
        <f t="shared" ref="G56" si="18">ROUND(D56*F56,0)</f>
        <v>37852</v>
      </c>
      <c r="H56" s="1967" t="s">
        <v>3855</v>
      </c>
    </row>
    <row r="57" spans="1:8" ht="14.25">
      <c r="A57" s="1872"/>
      <c r="B57" s="1873"/>
      <c r="C57" s="1771" t="s">
        <v>3863</v>
      </c>
      <c r="D57" s="1730"/>
      <c r="E57" s="1873"/>
      <c r="F57" s="1930"/>
      <c r="G57" s="1876"/>
      <c r="H57" s="1873"/>
    </row>
    <row r="58" spans="1:8" ht="51.75" customHeight="1">
      <c r="A58" s="1872">
        <v>3</v>
      </c>
      <c r="B58" s="1873"/>
      <c r="C58" s="1771" t="s">
        <v>3593</v>
      </c>
      <c r="D58" s="1730">
        <v>6.82</v>
      </c>
      <c r="E58" s="1872" t="s">
        <v>46</v>
      </c>
      <c r="F58" s="1930">
        <f>'C-data'!D3017</f>
        <v>4808</v>
      </c>
      <c r="G58" s="1876">
        <f t="shared" ref="G58" si="19">ROUND(D58*F58,0)</f>
        <v>32791</v>
      </c>
      <c r="H58" s="1967" t="s">
        <v>3855</v>
      </c>
    </row>
    <row r="59" spans="1:8" ht="14.25">
      <c r="A59" s="1872"/>
      <c r="B59" s="1873"/>
      <c r="C59" s="1771" t="s">
        <v>3872</v>
      </c>
      <c r="D59" s="1730"/>
      <c r="E59" s="1873"/>
      <c r="F59" s="1930"/>
      <c r="G59" s="1876"/>
      <c r="H59" s="1873"/>
    </row>
    <row r="60" spans="1:8" ht="39" customHeight="1">
      <c r="A60" s="1872">
        <v>4</v>
      </c>
      <c r="B60" s="1873"/>
      <c r="C60" s="1771" t="s">
        <v>3851</v>
      </c>
      <c r="D60" s="1730">
        <v>155.54</v>
      </c>
      <c r="E60" s="1872" t="s">
        <v>46</v>
      </c>
      <c r="F60" s="1930">
        <f>'C-data'!I324</f>
        <v>158</v>
      </c>
      <c r="G60" s="1876">
        <f t="shared" ref="G60" si="20">ROUND(D60*F60,0)</f>
        <v>24575</v>
      </c>
      <c r="H60" s="1967" t="s">
        <v>3857</v>
      </c>
    </row>
    <row r="61" spans="1:8" ht="14.25">
      <c r="A61" s="1872"/>
      <c r="B61" s="1873"/>
      <c r="C61" s="1771" t="s">
        <v>3873</v>
      </c>
      <c r="D61" s="1730"/>
      <c r="E61" s="1873"/>
      <c r="F61" s="1930"/>
      <c r="G61" s="1876"/>
      <c r="H61" s="1873"/>
    </row>
    <row r="62" spans="1:8" ht="39.75" customHeight="1">
      <c r="A62" s="1872">
        <v>5</v>
      </c>
      <c r="B62" s="1873"/>
      <c r="C62" s="1771" t="s">
        <v>3848</v>
      </c>
      <c r="D62" s="1730">
        <v>28.33</v>
      </c>
      <c r="E62" s="1872" t="s">
        <v>46</v>
      </c>
      <c r="F62" s="1930">
        <f>Joinery!I1302</f>
        <v>4967</v>
      </c>
      <c r="G62" s="1876">
        <f t="shared" ref="G62" si="21">ROUND(D62*F62,0)</f>
        <v>140715</v>
      </c>
      <c r="H62" s="1967" t="s">
        <v>3856</v>
      </c>
    </row>
    <row r="63" spans="1:8">
      <c r="A63" s="1872"/>
      <c r="B63" s="1873"/>
      <c r="C63" s="1881" t="s">
        <v>3810</v>
      </c>
      <c r="D63" s="1730"/>
      <c r="E63" s="1873"/>
      <c r="F63" s="1872"/>
      <c r="G63" s="1931">
        <f>SUM(G54:G62)</f>
        <v>238661</v>
      </c>
      <c r="H63" s="1873"/>
    </row>
    <row r="64" spans="1:8">
      <c r="A64" s="1872"/>
      <c r="B64" s="1873"/>
      <c r="C64" s="1771" t="s">
        <v>3874</v>
      </c>
      <c r="D64" s="1730"/>
      <c r="E64" s="1873"/>
      <c r="F64" s="1872"/>
      <c r="G64" s="1873"/>
      <c r="H64" s="1873"/>
    </row>
    <row r="65" spans="1:8">
      <c r="A65" s="1872"/>
      <c r="B65" s="1873"/>
      <c r="C65" s="1771"/>
      <c r="D65" s="1873"/>
      <c r="E65" s="1873"/>
      <c r="F65" s="1872"/>
      <c r="G65" s="1873"/>
      <c r="H65" s="1873"/>
    </row>
    <row r="66" spans="1:8">
      <c r="A66" s="1872"/>
      <c r="B66" s="1873"/>
      <c r="C66" s="1859" t="s">
        <v>3690</v>
      </c>
      <c r="D66" s="1873"/>
      <c r="E66" s="1873"/>
      <c r="F66" s="1872"/>
      <c r="G66" s="1873"/>
      <c r="H66" s="1873"/>
    </row>
    <row r="67" spans="1:8" ht="44.25" customHeight="1">
      <c r="A67" s="1872">
        <f>A66+1</f>
        <v>1</v>
      </c>
      <c r="B67" s="1873"/>
      <c r="C67" s="1771" t="s">
        <v>3708</v>
      </c>
      <c r="D67" s="1730">
        <v>20</v>
      </c>
      <c r="E67" s="1872" t="s">
        <v>1308</v>
      </c>
      <c r="F67" s="1872">
        <v>171</v>
      </c>
      <c r="G67" s="1876">
        <f t="shared" ref="G67" si="22">ROUND(D67*F67,0)</f>
        <v>3420</v>
      </c>
      <c r="H67" s="1873"/>
    </row>
    <row r="68" spans="1:8">
      <c r="A68" s="1872"/>
      <c r="B68" s="1873"/>
      <c r="C68" s="1771" t="s">
        <v>3875</v>
      </c>
      <c r="D68" s="1730"/>
      <c r="E68" s="1873"/>
      <c r="F68" s="1872"/>
      <c r="G68" s="1873"/>
      <c r="H68" s="1873"/>
    </row>
    <row r="69" spans="1:8" ht="42.75" customHeight="1">
      <c r="A69" s="1872">
        <f>A68+2</f>
        <v>2</v>
      </c>
      <c r="B69" s="1873"/>
      <c r="C69" s="1771" t="s">
        <v>3709</v>
      </c>
      <c r="D69" s="1730">
        <v>3</v>
      </c>
      <c r="E69" s="1872" t="s">
        <v>501</v>
      </c>
      <c r="F69" s="1872">
        <v>2841</v>
      </c>
      <c r="G69" s="1876">
        <f t="shared" ref="G69:G70" si="23">ROUND(D69*F69,0)</f>
        <v>8523</v>
      </c>
      <c r="H69" s="1873"/>
    </row>
    <row r="70" spans="1:8" ht="14.25">
      <c r="A70" s="1872"/>
      <c r="B70" s="1873"/>
      <c r="C70" s="1953" t="s">
        <v>3839</v>
      </c>
      <c r="D70" s="1730">
        <v>1</v>
      </c>
      <c r="E70" s="1873"/>
      <c r="F70" s="1872">
        <v>2841</v>
      </c>
      <c r="G70" s="1876">
        <f t="shared" si="23"/>
        <v>2841</v>
      </c>
      <c r="H70" s="1873"/>
    </row>
    <row r="71" spans="1:8">
      <c r="A71" s="1872"/>
      <c r="B71" s="1873"/>
      <c r="C71" s="1771" t="s">
        <v>3876</v>
      </c>
      <c r="D71" s="1730"/>
      <c r="E71" s="1873"/>
      <c r="F71" s="1872"/>
      <c r="G71" s="1873"/>
      <c r="H71" s="1873"/>
    </row>
    <row r="72" spans="1:8" ht="51">
      <c r="A72" s="1872">
        <f>A71+3</f>
        <v>3</v>
      </c>
      <c r="B72" s="1873"/>
      <c r="C72" s="1771" t="s">
        <v>3691</v>
      </c>
      <c r="D72" s="1730"/>
      <c r="E72" s="1872" t="s">
        <v>501</v>
      </c>
      <c r="F72" s="1872">
        <v>652</v>
      </c>
      <c r="G72" s="1876">
        <f t="shared" ref="G72" si="24">ROUND(D72*F72,0)</f>
        <v>0</v>
      </c>
      <c r="H72" s="1873"/>
    </row>
    <row r="73" spans="1:8">
      <c r="A73" s="1872"/>
      <c r="B73" s="1873"/>
      <c r="C73" s="1771" t="s">
        <v>3877</v>
      </c>
      <c r="D73" s="1730"/>
      <c r="E73" s="1873"/>
      <c r="F73" s="1872"/>
      <c r="G73" s="1873"/>
      <c r="H73" s="1873"/>
    </row>
    <row r="74" spans="1:8" ht="37.5" customHeight="1">
      <c r="A74" s="1872">
        <f>A73+4</f>
        <v>4</v>
      </c>
      <c r="B74" s="1873"/>
      <c r="C74" s="1771" t="s">
        <v>3710</v>
      </c>
      <c r="D74" s="1730">
        <v>3</v>
      </c>
      <c r="E74" s="1872" t="s">
        <v>501</v>
      </c>
      <c r="F74" s="1872">
        <v>287</v>
      </c>
      <c r="G74" s="1876">
        <f t="shared" ref="G74" si="25">ROUND(D74*F74,0)</f>
        <v>861</v>
      </c>
      <c r="H74" s="1873"/>
    </row>
    <row r="75" spans="1:8">
      <c r="A75" s="1872"/>
      <c r="B75" s="1873"/>
      <c r="C75" s="1771" t="s">
        <v>3877</v>
      </c>
      <c r="D75" s="1730"/>
      <c r="E75" s="1873"/>
      <c r="F75" s="1872"/>
      <c r="G75" s="1873"/>
      <c r="H75" s="1873"/>
    </row>
    <row r="76" spans="1:8" ht="28.5" customHeight="1">
      <c r="A76" s="1872">
        <f>A75+5</f>
        <v>5</v>
      </c>
      <c r="B76" s="1873"/>
      <c r="C76" s="1771" t="s">
        <v>3711</v>
      </c>
      <c r="D76" s="1730">
        <v>4</v>
      </c>
      <c r="E76" s="1872" t="s">
        <v>501</v>
      </c>
      <c r="F76" s="1872">
        <v>165</v>
      </c>
      <c r="G76" s="1876">
        <f t="shared" ref="G76" si="26">ROUND(D76*F76,0)</f>
        <v>660</v>
      </c>
      <c r="H76" s="1873"/>
    </row>
    <row r="77" spans="1:8">
      <c r="A77" s="1872"/>
      <c r="B77" s="1873"/>
      <c r="C77" s="1771" t="s">
        <v>3878</v>
      </c>
      <c r="D77" s="1730"/>
      <c r="E77" s="1873"/>
      <c r="F77" s="1872"/>
      <c r="G77" s="1873"/>
      <c r="H77" s="1873"/>
    </row>
    <row r="78" spans="1:8" ht="42" customHeight="1">
      <c r="A78" s="1872">
        <f>A77+6</f>
        <v>6</v>
      </c>
      <c r="B78" s="1873"/>
      <c r="C78" s="1771" t="s">
        <v>3712</v>
      </c>
      <c r="D78" s="1730">
        <v>25</v>
      </c>
      <c r="E78" s="1872" t="s">
        <v>501</v>
      </c>
      <c r="F78" s="1872">
        <v>332</v>
      </c>
      <c r="G78" s="1876">
        <f t="shared" ref="G78:G79" si="27">ROUND(D78*F78,0)</f>
        <v>8300</v>
      </c>
      <c r="H78" s="1873"/>
    </row>
    <row r="79" spans="1:8" ht="14.25">
      <c r="A79" s="1872"/>
      <c r="B79" s="1873"/>
      <c r="C79" s="1953" t="s">
        <v>3839</v>
      </c>
      <c r="D79" s="1730">
        <f>32.2-D78</f>
        <v>7.2000000000000028</v>
      </c>
      <c r="E79" s="1873"/>
      <c r="F79" s="1872">
        <v>332</v>
      </c>
      <c r="G79" s="1876">
        <f t="shared" si="27"/>
        <v>2390</v>
      </c>
      <c r="H79" s="1873"/>
    </row>
    <row r="80" spans="1:8" ht="14.25">
      <c r="A80" s="1872"/>
      <c r="B80" s="1873"/>
      <c r="C80" s="1771" t="s">
        <v>3878</v>
      </c>
      <c r="D80" s="1730"/>
      <c r="E80" s="1873"/>
      <c r="F80" s="1872"/>
      <c r="G80" s="1876"/>
      <c r="H80" s="1873"/>
    </row>
    <row r="81" spans="1:8">
      <c r="A81" s="1872"/>
      <c r="B81" s="1873"/>
      <c r="C81" s="1881" t="s">
        <v>3737</v>
      </c>
      <c r="D81" s="1873"/>
      <c r="E81" s="1873"/>
      <c r="F81" s="1872"/>
      <c r="G81" s="1880">
        <f>SUM(G67:G79)</f>
        <v>26995</v>
      </c>
      <c r="H81" s="1873"/>
    </row>
    <row r="82" spans="1:8">
      <c r="A82" s="1872"/>
      <c r="B82" s="1873"/>
      <c r="C82" s="1771"/>
      <c r="D82" s="1873"/>
      <c r="E82" s="1873"/>
      <c r="F82" s="1872"/>
      <c r="G82" s="1873"/>
      <c r="H82" s="1873"/>
    </row>
    <row r="83" spans="1:8">
      <c r="A83" s="1872"/>
      <c r="B83" s="1873"/>
      <c r="C83" s="1859" t="s">
        <v>3811</v>
      </c>
      <c r="D83" s="1873"/>
      <c r="E83" s="1873"/>
      <c r="F83" s="1872"/>
      <c r="G83" s="1873"/>
      <c r="H83" s="1873"/>
    </row>
    <row r="84" spans="1:8" ht="39.75" customHeight="1">
      <c r="A84" s="1872">
        <f>A83+1</f>
        <v>1</v>
      </c>
      <c r="B84" s="1873"/>
      <c r="C84" s="1771" t="s">
        <v>3605</v>
      </c>
      <c r="D84" s="1730">
        <v>2</v>
      </c>
      <c r="E84" s="1872" t="s">
        <v>501</v>
      </c>
      <c r="F84" s="1932">
        <f>'WS Data'!I121</f>
        <v>6452</v>
      </c>
      <c r="G84" s="1876">
        <f t="shared" ref="G84" si="28">ROUND(D84*F84,0)</f>
        <v>12904</v>
      </c>
      <c r="H84" s="1873"/>
    </row>
    <row r="85" spans="1:8">
      <c r="A85" s="1872"/>
      <c r="B85" s="1873"/>
      <c r="C85" s="1771" t="s">
        <v>3879</v>
      </c>
      <c r="D85" s="1873"/>
      <c r="E85" s="1873"/>
      <c r="F85" s="1872"/>
      <c r="G85" s="1873"/>
      <c r="H85" s="1873"/>
    </row>
    <row r="86" spans="1:8" ht="42.75" customHeight="1">
      <c r="A86" s="1872">
        <f>A85+2</f>
        <v>2</v>
      </c>
      <c r="B86" s="1873"/>
      <c r="C86" s="1771" t="s">
        <v>3618</v>
      </c>
      <c r="D86" s="1730">
        <v>3</v>
      </c>
      <c r="E86" s="1872" t="s">
        <v>501</v>
      </c>
      <c r="F86" s="1932">
        <f>'WS Data'!I207</f>
        <v>3892</v>
      </c>
      <c r="G86" s="1876">
        <f t="shared" ref="G86" si="29">ROUND(D86*F86,0)</f>
        <v>11676</v>
      </c>
      <c r="H86" s="1873"/>
    </row>
    <row r="87" spans="1:8">
      <c r="A87" s="1872"/>
      <c r="B87" s="1873"/>
      <c r="C87" s="1771" t="s">
        <v>3879</v>
      </c>
      <c r="D87" s="1873"/>
      <c r="E87" s="1873"/>
      <c r="F87" s="1872"/>
      <c r="G87" s="1873"/>
      <c r="H87" s="1873"/>
    </row>
    <row r="88" spans="1:8" ht="61.5" customHeight="1">
      <c r="A88" s="1872">
        <f>A87+3</f>
        <v>3</v>
      </c>
      <c r="B88" s="1873"/>
      <c r="C88" s="1771" t="s">
        <v>3567</v>
      </c>
      <c r="D88" s="1873"/>
      <c r="E88" s="1872"/>
      <c r="F88" s="1872"/>
      <c r="G88" s="1873"/>
      <c r="H88" s="1873"/>
    </row>
    <row r="89" spans="1:8" ht="15">
      <c r="A89" s="1872"/>
      <c r="B89" s="1873"/>
      <c r="C89" s="1961" t="s">
        <v>2410</v>
      </c>
      <c r="D89" s="1730">
        <v>30</v>
      </c>
      <c r="E89" s="1872" t="s">
        <v>1308</v>
      </c>
      <c r="F89" s="1932">
        <f>'WS Data'!I220</f>
        <v>278</v>
      </c>
      <c r="G89" s="1876">
        <f t="shared" ref="G89" si="30">ROUND(D89*F89,0)</f>
        <v>8340</v>
      </c>
      <c r="H89" s="1873"/>
    </row>
    <row r="90" spans="1:8" ht="14.25">
      <c r="A90" s="1872"/>
      <c r="B90" s="1873"/>
      <c r="C90" s="1771" t="s">
        <v>3880</v>
      </c>
      <c r="D90" s="1730"/>
      <c r="E90" s="1873"/>
      <c r="F90" s="1932"/>
      <c r="G90" s="1876"/>
      <c r="H90" s="1873"/>
    </row>
    <row r="91" spans="1:8" ht="45" customHeight="1">
      <c r="A91" s="1872">
        <f>A90+4</f>
        <v>4</v>
      </c>
      <c r="B91" s="1873"/>
      <c r="C91" s="1771" t="s">
        <v>2656</v>
      </c>
      <c r="D91" s="1730">
        <v>2</v>
      </c>
      <c r="E91" s="1872" t="s">
        <v>501</v>
      </c>
      <c r="F91" s="1932">
        <f>'WS Data'!I47</f>
        <v>9779</v>
      </c>
      <c r="G91" s="1876">
        <f t="shared" ref="G91" si="31">ROUND(D91*F91,0)</f>
        <v>19558</v>
      </c>
      <c r="H91" s="1873"/>
    </row>
    <row r="92" spans="1:8" ht="14.25">
      <c r="A92" s="1872"/>
      <c r="B92" s="1873"/>
      <c r="C92" s="1771" t="s">
        <v>3881</v>
      </c>
      <c r="D92" s="1730"/>
      <c r="E92" s="1873"/>
      <c r="F92" s="1932"/>
      <c r="G92" s="1876"/>
      <c r="H92" s="1873"/>
    </row>
    <row r="93" spans="1:8" ht="36.75" customHeight="1">
      <c r="A93" s="1872">
        <f>A92+5</f>
        <v>5</v>
      </c>
      <c r="B93" s="1873"/>
      <c r="C93" s="1771" t="s">
        <v>3818</v>
      </c>
      <c r="D93" s="1730">
        <v>2</v>
      </c>
      <c r="E93" s="1872" t="s">
        <v>501</v>
      </c>
      <c r="F93" s="1932">
        <f>'WS Data'!I495</f>
        <v>2614</v>
      </c>
      <c r="G93" s="1876">
        <f t="shared" ref="G93" si="32">ROUND(D93*F93,0)</f>
        <v>5228</v>
      </c>
      <c r="H93" s="1873"/>
    </row>
    <row r="94" spans="1:8">
      <c r="A94" s="1872"/>
      <c r="B94" s="1873"/>
      <c r="C94" s="1771" t="s">
        <v>3882</v>
      </c>
      <c r="D94" s="1873"/>
      <c r="E94" s="1873"/>
      <c r="F94" s="1872"/>
      <c r="G94" s="1873"/>
      <c r="H94" s="1873"/>
    </row>
    <row r="95" spans="1:8">
      <c r="A95" s="1872"/>
      <c r="B95" s="1873"/>
      <c r="C95" s="1859" t="s">
        <v>3812</v>
      </c>
      <c r="D95" s="1873"/>
      <c r="E95" s="1873"/>
      <c r="F95" s="1872"/>
      <c r="G95" s="1951">
        <f>SUM(G84:G94)</f>
        <v>57706</v>
      </c>
      <c r="H95" s="1873"/>
    </row>
    <row r="96" spans="1:8">
      <c r="A96" s="1872"/>
      <c r="B96" s="1873"/>
      <c r="C96" s="1771"/>
      <c r="D96" s="1873"/>
      <c r="E96" s="1873"/>
      <c r="F96" s="1872"/>
      <c r="G96" s="1873"/>
      <c r="H96" s="1873"/>
    </row>
    <row r="97" spans="1:8">
      <c r="A97" s="1872"/>
      <c r="B97" s="1873"/>
      <c r="C97" s="1863" t="s">
        <v>3713</v>
      </c>
      <c r="D97" s="1873"/>
      <c r="E97" s="1873"/>
      <c r="F97" s="1872"/>
      <c r="G97" s="1873"/>
      <c r="H97" s="1873"/>
    </row>
    <row r="98" spans="1:8" ht="38.25" customHeight="1">
      <c r="A98" s="1872">
        <f>A97+1</f>
        <v>1</v>
      </c>
      <c r="B98" s="1873"/>
      <c r="C98" s="1864" t="s">
        <v>2769</v>
      </c>
      <c r="D98" s="1730">
        <v>65</v>
      </c>
      <c r="E98" s="1872" t="s">
        <v>1308</v>
      </c>
      <c r="F98" s="1872">
        <v>86</v>
      </c>
      <c r="G98" s="1876">
        <f t="shared" ref="G98" si="33">ROUND(D98*F98,0)</f>
        <v>5590</v>
      </c>
      <c r="H98" s="1873"/>
    </row>
    <row r="99" spans="1:8" ht="14.25">
      <c r="A99" s="1872"/>
      <c r="B99" s="1873"/>
      <c r="C99" s="1771" t="s">
        <v>3883</v>
      </c>
      <c r="D99" s="1730"/>
      <c r="E99" s="1872"/>
      <c r="F99" s="1872"/>
      <c r="G99" s="1876"/>
      <c r="H99" s="1873"/>
    </row>
    <row r="100" spans="1:8" ht="14.25">
      <c r="A100" s="1872"/>
      <c r="B100" s="1873"/>
      <c r="C100" s="1953" t="s">
        <v>3839</v>
      </c>
      <c r="D100" s="1730">
        <f>110-65</f>
        <v>45</v>
      </c>
      <c r="E100" s="1873"/>
      <c r="F100" s="1872">
        <v>86</v>
      </c>
      <c r="G100" s="1876">
        <f t="shared" ref="G100:G101" si="34">ROUND(D100*F100,0)</f>
        <v>3870</v>
      </c>
      <c r="H100" s="1873"/>
    </row>
    <row r="101" spans="1:8" ht="55.5" customHeight="1">
      <c r="A101" s="1872">
        <f>A100+2</f>
        <v>2</v>
      </c>
      <c r="B101" s="1873"/>
      <c r="C101" s="1864" t="s">
        <v>3714</v>
      </c>
      <c r="D101" s="1730">
        <v>33</v>
      </c>
      <c r="E101" s="1872" t="s">
        <v>501</v>
      </c>
      <c r="F101" s="1872">
        <v>800</v>
      </c>
      <c r="G101" s="1876">
        <f t="shared" si="34"/>
        <v>26400</v>
      </c>
      <c r="H101" s="1873"/>
    </row>
    <row r="102" spans="1:8">
      <c r="A102" s="1872"/>
      <c r="B102" s="1873"/>
      <c r="C102" s="1771" t="s">
        <v>3884</v>
      </c>
      <c r="D102" s="1730"/>
      <c r="E102" s="1873"/>
      <c r="F102" s="1872"/>
      <c r="G102" s="1873"/>
      <c r="H102" s="1873"/>
    </row>
    <row r="103" spans="1:8" ht="39.75" customHeight="1">
      <c r="A103" s="1872">
        <f>A102+3</f>
        <v>3</v>
      </c>
      <c r="B103" s="1873"/>
      <c r="C103" s="1864" t="s">
        <v>3716</v>
      </c>
      <c r="D103" s="1730">
        <v>3</v>
      </c>
      <c r="E103" s="1872" t="s">
        <v>501</v>
      </c>
      <c r="F103" s="1872">
        <v>573</v>
      </c>
      <c r="G103" s="1876">
        <f t="shared" ref="G103" si="35">ROUND(D103*F103,0)</f>
        <v>1719</v>
      </c>
      <c r="H103" s="1873"/>
    </row>
    <row r="104" spans="1:8">
      <c r="A104" s="1872"/>
      <c r="B104" s="1873"/>
      <c r="C104" s="1856"/>
      <c r="D104" s="1730"/>
      <c r="E104" s="1873"/>
      <c r="F104" s="1872"/>
      <c r="G104" s="1873"/>
      <c r="H104" s="1873"/>
    </row>
    <row r="105" spans="1:8" ht="39" customHeight="1">
      <c r="A105" s="1872">
        <f>A104+4</f>
        <v>4</v>
      </c>
      <c r="B105" s="1873"/>
      <c r="C105" s="1864" t="s">
        <v>3717</v>
      </c>
      <c r="D105" s="1730">
        <v>0</v>
      </c>
      <c r="E105" s="1872" t="s">
        <v>501</v>
      </c>
      <c r="F105" s="1872">
        <v>778</v>
      </c>
      <c r="G105" s="1876">
        <f t="shared" ref="G105" si="36">ROUND(D105*F105,0)</f>
        <v>0</v>
      </c>
      <c r="H105" s="1873"/>
    </row>
    <row r="106" spans="1:8">
      <c r="A106" s="1872"/>
      <c r="B106" s="1873"/>
      <c r="C106" s="1771" t="s">
        <v>3885</v>
      </c>
      <c r="D106" s="1730"/>
      <c r="E106" s="1873"/>
      <c r="F106" s="1872"/>
      <c r="G106" s="1873"/>
      <c r="H106" s="1873"/>
    </row>
    <row r="107" spans="1:8" ht="40.5" customHeight="1">
      <c r="A107" s="1872">
        <f>A106+5</f>
        <v>5</v>
      </c>
      <c r="B107" s="1873"/>
      <c r="C107" s="1864" t="s">
        <v>2859</v>
      </c>
      <c r="D107" s="1730">
        <v>18</v>
      </c>
      <c r="E107" s="1872" t="s">
        <v>501</v>
      </c>
      <c r="F107" s="1872">
        <v>30</v>
      </c>
      <c r="G107" s="1876">
        <f t="shared" ref="G107" si="37">ROUND(D107*F107,0)</f>
        <v>540</v>
      </c>
      <c r="H107" s="1873"/>
    </row>
    <row r="108" spans="1:8">
      <c r="A108" s="1872"/>
      <c r="B108" s="1873"/>
      <c r="C108" s="1771" t="s">
        <v>3885</v>
      </c>
      <c r="D108" s="1730"/>
      <c r="E108" s="1873"/>
      <c r="F108" s="1872"/>
      <c r="G108" s="1873"/>
      <c r="H108" s="1873"/>
    </row>
    <row r="109" spans="1:8" ht="29.25" customHeight="1">
      <c r="A109" s="1872">
        <f>A108+6</f>
        <v>6</v>
      </c>
      <c r="B109" s="1873"/>
      <c r="C109" s="1864" t="s">
        <v>2866</v>
      </c>
      <c r="D109" s="1730">
        <v>60</v>
      </c>
      <c r="E109" s="1872" t="s">
        <v>1308</v>
      </c>
      <c r="F109" s="1872">
        <v>132</v>
      </c>
      <c r="G109" s="1876">
        <f t="shared" ref="G109" si="38">ROUND(D109*F109,0)</f>
        <v>7920</v>
      </c>
      <c r="H109" s="1873"/>
    </row>
    <row r="110" spans="1:8">
      <c r="A110" s="1872"/>
      <c r="B110" s="1873"/>
      <c r="C110" s="1771" t="s">
        <v>3886</v>
      </c>
      <c r="D110" s="1730"/>
      <c r="E110" s="1873"/>
      <c r="F110" s="1872"/>
      <c r="G110" s="1873"/>
      <c r="H110" s="1873"/>
    </row>
    <row r="111" spans="1:8" ht="37.5" customHeight="1">
      <c r="A111" s="1872">
        <f>A110+7</f>
        <v>7</v>
      </c>
      <c r="B111" s="1873"/>
      <c r="C111" s="1864" t="s">
        <v>2868</v>
      </c>
      <c r="D111" s="1730">
        <v>101</v>
      </c>
      <c r="E111" s="1872" t="s">
        <v>1308</v>
      </c>
      <c r="F111" s="1872">
        <v>190</v>
      </c>
      <c r="G111" s="1876">
        <f t="shared" ref="G111" si="39">ROUND(D111*F111,0)</f>
        <v>19190</v>
      </c>
      <c r="H111" s="1873"/>
    </row>
    <row r="112" spans="1:8">
      <c r="A112" s="1872"/>
      <c r="B112" s="1873"/>
      <c r="C112" s="1771" t="s">
        <v>3886</v>
      </c>
      <c r="D112" s="1730"/>
      <c r="E112" s="1873"/>
      <c r="F112" s="1872"/>
      <c r="G112" s="1873"/>
      <c r="H112" s="1873"/>
    </row>
    <row r="113" spans="1:8" ht="48.75" customHeight="1">
      <c r="A113" s="1872">
        <f>A112+8</f>
        <v>8</v>
      </c>
      <c r="B113" s="1873"/>
      <c r="C113" s="1864" t="s">
        <v>3718</v>
      </c>
      <c r="D113" s="1730">
        <v>5</v>
      </c>
      <c r="E113" s="1872" t="s">
        <v>501</v>
      </c>
      <c r="F113" s="1872">
        <v>826</v>
      </c>
      <c r="G113" s="1876">
        <f t="shared" ref="G113" si="40">ROUND(D113*F113,0)</f>
        <v>4130</v>
      </c>
      <c r="H113" s="1873"/>
    </row>
    <row r="114" spans="1:8">
      <c r="A114" s="1872"/>
      <c r="B114" s="1873"/>
      <c r="C114" s="1771" t="s">
        <v>3887</v>
      </c>
      <c r="D114" s="1730"/>
      <c r="E114" s="1873"/>
      <c r="F114" s="1872"/>
      <c r="G114" s="1873"/>
      <c r="H114" s="1873"/>
    </row>
    <row r="115" spans="1:8" ht="53.25" customHeight="1">
      <c r="A115" s="1872">
        <f>A114+9</f>
        <v>9</v>
      </c>
      <c r="B115" s="1873"/>
      <c r="C115" s="1864" t="s">
        <v>3720</v>
      </c>
      <c r="D115" s="1730">
        <v>8</v>
      </c>
      <c r="E115" s="1872" t="s">
        <v>501</v>
      </c>
      <c r="F115" s="1872">
        <v>1780</v>
      </c>
      <c r="G115" s="1876">
        <f t="shared" ref="G115:G116" si="41">ROUND(D115*F115,0)</f>
        <v>14240</v>
      </c>
      <c r="H115" s="1873"/>
    </row>
    <row r="116" spans="1:8" ht="14.25">
      <c r="A116" s="1872"/>
      <c r="B116" s="1873"/>
      <c r="C116" s="1864"/>
      <c r="D116" s="1730">
        <v>2</v>
      </c>
      <c r="E116" s="1873"/>
      <c r="F116" s="1872">
        <v>1780</v>
      </c>
      <c r="G116" s="1876">
        <f t="shared" si="41"/>
        <v>3560</v>
      </c>
      <c r="H116" s="1873"/>
    </row>
    <row r="117" spans="1:8">
      <c r="A117" s="1872"/>
      <c r="B117" s="1873"/>
      <c r="C117" s="1771" t="s">
        <v>3888</v>
      </c>
      <c r="D117" s="1730"/>
      <c r="E117" s="1873"/>
      <c r="F117" s="1872"/>
      <c r="G117" s="1873"/>
      <c r="H117" s="1873"/>
    </row>
    <row r="118" spans="1:8" ht="40.5" customHeight="1">
      <c r="A118" s="1872">
        <f>A117+10</f>
        <v>10</v>
      </c>
      <c r="B118" s="1873"/>
      <c r="C118" s="1864" t="s">
        <v>3721</v>
      </c>
      <c r="D118" s="1730"/>
      <c r="E118" s="1872" t="s">
        <v>501</v>
      </c>
      <c r="F118" s="1872">
        <v>3252</v>
      </c>
      <c r="G118" s="1876">
        <f t="shared" ref="G118" si="42">ROUND(D118*F118,0)</f>
        <v>0</v>
      </c>
      <c r="H118" s="1873"/>
    </row>
    <row r="119" spans="1:8">
      <c r="A119" s="1872"/>
      <c r="B119" s="1873"/>
      <c r="C119" s="1771" t="s">
        <v>3889</v>
      </c>
      <c r="D119" s="1730"/>
      <c r="E119" s="1873"/>
      <c r="F119" s="1872"/>
      <c r="G119" s="1873"/>
      <c r="H119" s="1873"/>
    </row>
    <row r="120" spans="1:8" ht="51">
      <c r="A120" s="1872">
        <f>A119+11</f>
        <v>11</v>
      </c>
      <c r="B120" s="1873"/>
      <c r="C120" s="1864" t="s">
        <v>3722</v>
      </c>
      <c r="D120" s="1730">
        <v>2</v>
      </c>
      <c r="E120" s="1872" t="s">
        <v>501</v>
      </c>
      <c r="F120" s="1872">
        <v>2137</v>
      </c>
      <c r="G120" s="1876">
        <f t="shared" ref="G120" si="43">ROUND(D120*F120,0)</f>
        <v>4274</v>
      </c>
      <c r="H120" s="1873"/>
    </row>
    <row r="121" spans="1:8">
      <c r="A121" s="1872"/>
      <c r="B121" s="1873"/>
      <c r="C121" s="1771" t="s">
        <v>3889</v>
      </c>
      <c r="D121" s="1730"/>
      <c r="E121" s="1873"/>
      <c r="F121" s="1872"/>
      <c r="G121" s="1873"/>
      <c r="H121" s="1873"/>
    </row>
    <row r="122" spans="1:8" ht="30" customHeight="1">
      <c r="A122" s="1872">
        <f>A121+12</f>
        <v>12</v>
      </c>
      <c r="B122" s="1873"/>
      <c r="C122" s="1864" t="s">
        <v>2734</v>
      </c>
      <c r="D122" s="1730">
        <v>2</v>
      </c>
      <c r="E122" s="1872" t="s">
        <v>501</v>
      </c>
      <c r="F122" s="1872">
        <v>619</v>
      </c>
      <c r="G122" s="1876">
        <f t="shared" ref="G122" si="44">ROUND(D122*F122,0)</f>
        <v>1238</v>
      </c>
      <c r="H122" s="1873"/>
    </row>
    <row r="123" spans="1:8">
      <c r="A123" s="1872"/>
      <c r="B123" s="1873"/>
      <c r="C123" s="1771" t="s">
        <v>3889</v>
      </c>
      <c r="D123" s="1730"/>
      <c r="E123" s="1873"/>
      <c r="F123" s="1872"/>
      <c r="G123" s="1873"/>
      <c r="H123" s="1873"/>
    </row>
    <row r="124" spans="1:8" ht="37.5" customHeight="1">
      <c r="A124" s="1872">
        <f>A123+13</f>
        <v>13</v>
      </c>
      <c r="B124" s="1873"/>
      <c r="C124" s="1864" t="s">
        <v>2735</v>
      </c>
      <c r="D124" s="1730">
        <v>2</v>
      </c>
      <c r="E124" s="1872" t="s">
        <v>501</v>
      </c>
      <c r="F124" s="1872">
        <v>163</v>
      </c>
      <c r="G124" s="1876">
        <f t="shared" ref="G124" si="45">ROUND(D124*F124,0)</f>
        <v>326</v>
      </c>
      <c r="H124" s="1873"/>
    </row>
    <row r="125" spans="1:8">
      <c r="A125" s="1872"/>
      <c r="B125" s="1873"/>
      <c r="C125" s="1771" t="s">
        <v>3890</v>
      </c>
      <c r="D125" s="1730"/>
      <c r="E125" s="1873"/>
      <c r="F125" s="1872"/>
      <c r="G125" s="1873"/>
      <c r="H125" s="1873"/>
    </row>
    <row r="126" spans="1:8" ht="38.25">
      <c r="A126" s="1872">
        <f>A125+14</f>
        <v>14</v>
      </c>
      <c r="B126" s="1873"/>
      <c r="C126" s="1864" t="s">
        <v>2738</v>
      </c>
      <c r="D126" s="1730">
        <v>2</v>
      </c>
      <c r="E126" s="1872" t="s">
        <v>501</v>
      </c>
      <c r="F126" s="1872">
        <v>142</v>
      </c>
      <c r="G126" s="1876">
        <f t="shared" ref="G126" si="46">ROUND(D126*F126,0)</f>
        <v>284</v>
      </c>
      <c r="H126" s="1873"/>
    </row>
    <row r="127" spans="1:8">
      <c r="A127" s="1872"/>
      <c r="B127" s="1873"/>
      <c r="C127" s="1771" t="s">
        <v>3890</v>
      </c>
      <c r="D127" s="1730"/>
      <c r="E127" s="1873"/>
      <c r="F127" s="1872"/>
      <c r="G127" s="1873"/>
      <c r="H127" s="1873"/>
    </row>
    <row r="128" spans="1:8" ht="41.25" customHeight="1">
      <c r="A128" s="1872">
        <f>A127+15</f>
        <v>15</v>
      </c>
      <c r="B128" s="1873"/>
      <c r="C128" s="1864" t="s">
        <v>3723</v>
      </c>
      <c r="D128" s="1730">
        <v>3</v>
      </c>
      <c r="E128" s="1872" t="s">
        <v>501</v>
      </c>
      <c r="F128" s="1872">
        <v>46309</v>
      </c>
      <c r="G128" s="1876">
        <f t="shared" ref="G128" si="47">ROUND(D128*F128,0)</f>
        <v>138927</v>
      </c>
      <c r="H128" s="1873"/>
    </row>
    <row r="129" spans="1:8">
      <c r="A129" s="1872"/>
      <c r="B129" s="1873"/>
      <c r="C129" s="1771" t="s">
        <v>3891</v>
      </c>
      <c r="D129" s="1730"/>
      <c r="E129" s="1873"/>
      <c r="F129" s="1872"/>
      <c r="G129" s="1873"/>
      <c r="H129" s="1873"/>
    </row>
    <row r="130" spans="1:8" ht="38.25" customHeight="1">
      <c r="A130" s="1872">
        <f>A129+16</f>
        <v>16</v>
      </c>
      <c r="B130" s="1873"/>
      <c r="C130" s="1864" t="s">
        <v>3724</v>
      </c>
      <c r="D130" s="1730">
        <v>3</v>
      </c>
      <c r="E130" s="1872" t="s">
        <v>501</v>
      </c>
      <c r="F130" s="1872">
        <v>3334</v>
      </c>
      <c r="G130" s="1876">
        <f t="shared" ref="G130" si="48">ROUND(D130*F130,0)</f>
        <v>10002</v>
      </c>
      <c r="H130" s="1873"/>
    </row>
    <row r="131" spans="1:8">
      <c r="A131" s="1872"/>
      <c r="B131" s="1873"/>
      <c r="C131" s="1771" t="s">
        <v>3892</v>
      </c>
      <c r="D131" s="1730"/>
      <c r="E131" s="1873"/>
      <c r="F131" s="1872"/>
      <c r="G131" s="1873"/>
      <c r="H131" s="1873"/>
    </row>
    <row r="132" spans="1:8" ht="27" customHeight="1">
      <c r="A132" s="1872">
        <f>A131+17</f>
        <v>17</v>
      </c>
      <c r="B132" s="1873"/>
      <c r="C132" s="1864" t="s">
        <v>3725</v>
      </c>
      <c r="D132" s="1730">
        <v>2</v>
      </c>
      <c r="E132" s="1872" t="s">
        <v>501</v>
      </c>
      <c r="F132" s="1872">
        <v>1916</v>
      </c>
      <c r="G132" s="1876">
        <f t="shared" ref="G132" si="49">ROUND(D132*F132,0)</f>
        <v>3832</v>
      </c>
      <c r="H132" s="1873"/>
    </row>
    <row r="133" spans="1:8">
      <c r="A133" s="1872"/>
      <c r="B133" s="1873"/>
      <c r="C133" s="1771" t="s">
        <v>3892</v>
      </c>
      <c r="D133" s="1730"/>
      <c r="E133" s="1873"/>
      <c r="F133" s="1872"/>
      <c r="G133" s="1873"/>
      <c r="H133" s="1873"/>
    </row>
    <row r="134" spans="1:8" ht="37.5" customHeight="1">
      <c r="A134" s="1872">
        <f>A133+18</f>
        <v>18</v>
      </c>
      <c r="B134" s="1873"/>
      <c r="C134" s="1864" t="s">
        <v>2737</v>
      </c>
      <c r="D134" s="1730">
        <v>3</v>
      </c>
      <c r="E134" s="1872" t="s">
        <v>501</v>
      </c>
      <c r="F134" s="1872">
        <v>3247</v>
      </c>
      <c r="G134" s="1876">
        <f t="shared" ref="G134" si="50">ROUND(D134*F134,0)</f>
        <v>9741</v>
      </c>
      <c r="H134" s="1873"/>
    </row>
    <row r="135" spans="1:8">
      <c r="A135" s="1872"/>
      <c r="B135" s="1873"/>
      <c r="C135" s="1771" t="s">
        <v>3893</v>
      </c>
      <c r="D135" s="1730"/>
      <c r="E135" s="1873"/>
      <c r="F135" s="1872"/>
      <c r="G135" s="1873"/>
      <c r="H135" s="1873"/>
    </row>
    <row r="136" spans="1:8" ht="37.5" customHeight="1">
      <c r="A136" s="1872">
        <f>A135+19</f>
        <v>19</v>
      </c>
      <c r="B136" s="1873"/>
      <c r="C136" s="1864" t="s">
        <v>3049</v>
      </c>
      <c r="D136" s="1730">
        <v>3</v>
      </c>
      <c r="E136" s="1872" t="s">
        <v>501</v>
      </c>
      <c r="F136" s="1872">
        <v>699</v>
      </c>
      <c r="G136" s="1876">
        <f t="shared" ref="G136" si="51">ROUND(D136*F136,0)</f>
        <v>2097</v>
      </c>
      <c r="H136" s="1873"/>
    </row>
    <row r="137" spans="1:8" ht="14.25">
      <c r="A137" s="1872"/>
      <c r="B137" s="1873"/>
      <c r="C137" s="1771" t="s">
        <v>3894</v>
      </c>
      <c r="D137" s="1730"/>
      <c r="E137" s="1872"/>
      <c r="F137" s="1872"/>
      <c r="G137" s="1876"/>
      <c r="H137" s="1873"/>
    </row>
    <row r="138" spans="1:8">
      <c r="A138" s="1872"/>
      <c r="B138" s="1873"/>
      <c r="C138" s="1882" t="s">
        <v>3738</v>
      </c>
      <c r="D138" s="1873"/>
      <c r="E138" s="1873"/>
      <c r="F138" s="1872"/>
      <c r="G138" s="1880">
        <f>SUM(G98:G136)</f>
        <v>257880</v>
      </c>
      <c r="H138" s="1873"/>
    </row>
    <row r="139" spans="1:8">
      <c r="A139" s="1872"/>
      <c r="B139" s="1873"/>
      <c r="C139" s="1933" t="s">
        <v>3813</v>
      </c>
      <c r="D139" s="1873"/>
      <c r="E139" s="1873"/>
      <c r="F139" s="1872"/>
      <c r="G139" s="1880"/>
      <c r="H139" s="1873"/>
    </row>
    <row r="140" spans="1:8" ht="28.5" customHeight="1">
      <c r="A140" s="1872">
        <f>A139+1</f>
        <v>1</v>
      </c>
      <c r="B140" s="1873"/>
      <c r="C140" s="1864" t="s">
        <v>3820</v>
      </c>
      <c r="D140" s="1730">
        <v>12</v>
      </c>
      <c r="E140" s="1872" t="s">
        <v>501</v>
      </c>
      <c r="F140" s="1932">
        <f>'Ele-Data'!J2050</f>
        <v>1083</v>
      </c>
      <c r="G140" s="1876">
        <f t="shared" ref="G140" si="52">ROUND(D140*F140,0)</f>
        <v>12996</v>
      </c>
      <c r="H140" s="1873"/>
    </row>
    <row r="141" spans="1:8">
      <c r="A141" s="1872"/>
      <c r="B141" s="1873"/>
      <c r="C141" s="1771" t="s">
        <v>3895</v>
      </c>
      <c r="D141" s="1873"/>
      <c r="E141" s="1873"/>
      <c r="F141" s="1872"/>
      <c r="G141" s="1880"/>
      <c r="H141" s="1873"/>
    </row>
    <row r="142" spans="1:8" ht="39.75" customHeight="1">
      <c r="A142" s="1872">
        <f>A141+2</f>
        <v>2</v>
      </c>
      <c r="B142" s="1873"/>
      <c r="C142" s="1864" t="s">
        <v>3896</v>
      </c>
      <c r="D142" s="1730">
        <v>1</v>
      </c>
      <c r="E142" s="1872" t="s">
        <v>501</v>
      </c>
      <c r="F142" s="1932">
        <f>'Ele-Data'!J2061</f>
        <v>10117</v>
      </c>
      <c r="G142" s="1876">
        <f t="shared" ref="G142" si="53">ROUND(D142*F142,0)</f>
        <v>10117</v>
      </c>
      <c r="H142" s="1873"/>
    </row>
    <row r="143" spans="1:8">
      <c r="A143" s="1873"/>
      <c r="B143" s="1873"/>
      <c r="C143" s="1771" t="s">
        <v>3895</v>
      </c>
      <c r="D143" s="1873"/>
      <c r="E143" s="1873"/>
      <c r="F143" s="1872"/>
      <c r="G143" s="1880"/>
      <c r="H143" s="1873"/>
    </row>
    <row r="144" spans="1:8">
      <c r="A144" s="1873"/>
      <c r="B144" s="1873"/>
      <c r="C144" s="1882" t="s">
        <v>3816</v>
      </c>
      <c r="D144" s="1873"/>
      <c r="E144" s="1873"/>
      <c r="F144" s="1872"/>
      <c r="G144" s="1880">
        <f>SUM(G140:G143)</f>
        <v>23113</v>
      </c>
      <c r="H144" s="1873"/>
    </row>
    <row r="145" spans="1:8">
      <c r="A145" s="1873"/>
      <c r="B145" s="1873"/>
      <c r="C145" s="1952" t="s">
        <v>3739</v>
      </c>
      <c r="D145" s="1873"/>
      <c r="E145" s="1873"/>
      <c r="F145" s="1872"/>
      <c r="G145" s="1880">
        <f>G144+G138+G95+G81+G63+G51</f>
        <v>1057960</v>
      </c>
      <c r="H145" s="1873"/>
    </row>
    <row r="146" spans="1:8">
      <c r="F146" s="1879"/>
    </row>
    <row r="147" spans="1:8">
      <c r="F147" s="1879" t="s">
        <v>3729</v>
      </c>
      <c r="G147" t="e">
        <f>#REF!</f>
        <v>#REF!</v>
      </c>
    </row>
    <row r="148" spans="1:8">
      <c r="F148" s="1879" t="s">
        <v>3730</v>
      </c>
      <c r="G148" t="e">
        <f>#REF!</f>
        <v>#REF!</v>
      </c>
    </row>
    <row r="149" spans="1:8">
      <c r="F149" t="s">
        <v>3861</v>
      </c>
      <c r="G149" t="e">
        <f>G147-G148</f>
        <v>#REF!</v>
      </c>
    </row>
  </sheetData>
  <mergeCells count="10">
    <mergeCell ref="D7:E7"/>
    <mergeCell ref="A3:H3"/>
    <mergeCell ref="A4:H4"/>
    <mergeCell ref="A5:H5"/>
    <mergeCell ref="A1:H1"/>
    <mergeCell ref="B2:H2"/>
    <mergeCell ref="A6:B7"/>
    <mergeCell ref="C6:C7"/>
    <mergeCell ref="D6:G6"/>
    <mergeCell ref="H6:H7"/>
  </mergeCells>
  <pageMargins left="0.19685039370078741" right="0.70866141732283472" top="0.74803149606299213" bottom="0.74803149606299213" header="0.31496062992125984" footer="0.31496062992125984"/>
  <pageSetup paperSize="5" scale="99" orientation="portrait" r:id="rId1"/>
  <headerFooter>
    <oddFooter>Page &amp;P of &amp;N</oddFooter>
  </headerFooter>
</worksheet>
</file>

<file path=xl/worksheets/sheet27.xml><?xml version="1.0" encoding="utf-8"?>
<worksheet xmlns="http://schemas.openxmlformats.org/spreadsheetml/2006/main" xmlns:r="http://schemas.openxmlformats.org/officeDocument/2006/relationships">
  <dimension ref="A1:E26"/>
  <sheetViews>
    <sheetView view="pageBreakPreview" zoomScaleSheetLayoutView="100" workbookViewId="0">
      <selection activeCell="E10" sqref="E10"/>
    </sheetView>
  </sheetViews>
  <sheetFormatPr defaultRowHeight="12.75"/>
  <cols>
    <col min="1" max="1" width="6.7109375" customWidth="1"/>
    <col min="2" max="2" width="62.140625" customWidth="1"/>
    <col min="3" max="3" width="18.85546875" bestFit="1" customWidth="1"/>
    <col min="4" max="4" width="20.42578125" bestFit="1" customWidth="1"/>
    <col min="5" max="5" width="17.85546875" customWidth="1"/>
  </cols>
  <sheetData>
    <row r="1" spans="1:5" ht="35.25" customHeight="1">
      <c r="A1" s="2186" t="str">
        <f>Input!C2</f>
        <v>Name of Work:  Creation of Infrastructure Facilities for skill Dvelopment lab at 6th Floor OPD Block-3 in Gandhi Hospital, Secunderabad (Balance Work)</v>
      </c>
      <c r="B1" s="2186"/>
      <c r="C1" s="2186"/>
      <c r="D1" s="2186"/>
      <c r="E1" s="2186"/>
    </row>
    <row r="2" spans="1:5" ht="15.75">
      <c r="A2" s="2187" t="s">
        <v>3740</v>
      </c>
      <c r="B2" s="2187"/>
      <c r="C2" s="2187"/>
      <c r="D2" s="2187"/>
      <c r="E2" s="2187"/>
    </row>
    <row r="3" spans="1:5" ht="15">
      <c r="A3" s="1883"/>
      <c r="B3" s="1883"/>
      <c r="C3" s="1883"/>
      <c r="D3" s="1883"/>
      <c r="E3" s="1883"/>
    </row>
    <row r="4" spans="1:5" ht="36" customHeight="1">
      <c r="A4" s="1884" t="s">
        <v>2447</v>
      </c>
      <c r="B4" s="1884" t="s">
        <v>937</v>
      </c>
      <c r="C4" s="1885" t="s">
        <v>3741</v>
      </c>
      <c r="D4" s="1885" t="s">
        <v>3742</v>
      </c>
      <c r="E4" s="1885" t="s">
        <v>3731</v>
      </c>
    </row>
    <row r="5" spans="1:5" ht="15.75">
      <c r="A5" s="1886">
        <v>1</v>
      </c>
      <c r="B5" s="1887" t="s">
        <v>3909</v>
      </c>
      <c r="C5" s="1888">
        <v>7936808</v>
      </c>
      <c r="D5" s="1888">
        <v>6133892</v>
      </c>
      <c r="E5" s="1889"/>
    </row>
    <row r="6" spans="1:5" ht="15.75">
      <c r="A6" s="1886">
        <v>2</v>
      </c>
      <c r="B6" s="1887" t="s">
        <v>3910</v>
      </c>
      <c r="C6" s="1888">
        <v>975794</v>
      </c>
      <c r="D6" s="1888">
        <v>1040965</v>
      </c>
      <c r="E6" s="1889"/>
    </row>
    <row r="7" spans="1:5" ht="15.75">
      <c r="A7" s="1886">
        <v>3</v>
      </c>
      <c r="B7" s="1887" t="s">
        <v>3911</v>
      </c>
      <c r="C7" s="1888">
        <v>1028692</v>
      </c>
      <c r="D7" s="1888">
        <v>989178</v>
      </c>
      <c r="E7" s="1889"/>
    </row>
    <row r="8" spans="1:5" ht="15.75">
      <c r="A8" s="1886"/>
      <c r="B8" s="1890" t="s">
        <v>3744</v>
      </c>
      <c r="C8" s="1891">
        <f>SUM(C5:C7)</f>
        <v>9941294</v>
      </c>
      <c r="D8" s="1891">
        <f>SUM(D5:D7)</f>
        <v>8164035</v>
      </c>
      <c r="E8" s="1889"/>
    </row>
    <row r="9" spans="1:5" ht="15.75">
      <c r="A9" s="1886"/>
      <c r="B9" s="1892"/>
      <c r="C9" s="1888"/>
      <c r="D9" s="1888"/>
      <c r="E9" s="1889">
        <f>C8-D8</f>
        <v>1777259</v>
      </c>
    </row>
    <row r="10" spans="1:5" ht="15.75">
      <c r="A10" s="1886"/>
      <c r="B10" s="1893" t="s">
        <v>3744</v>
      </c>
      <c r="C10" s="1891">
        <f>SUM(C8:C9)</f>
        <v>9941294</v>
      </c>
      <c r="D10" s="1891">
        <f>SUM(D8:D9)</f>
        <v>8164035</v>
      </c>
      <c r="E10" s="1889"/>
    </row>
    <row r="11" spans="1:5" ht="15.75">
      <c r="A11" s="1886">
        <v>7</v>
      </c>
      <c r="B11" s="1887" t="s">
        <v>3745</v>
      </c>
      <c r="C11" s="1888">
        <f>ROUND(C5*1%,0)</f>
        <v>79368</v>
      </c>
      <c r="D11" s="1888">
        <v>1075</v>
      </c>
      <c r="E11" s="1889"/>
    </row>
    <row r="12" spans="1:5" ht="15.75">
      <c r="A12" s="1886">
        <v>8</v>
      </c>
      <c r="B12" s="1887" t="s">
        <v>3746</v>
      </c>
      <c r="C12" s="1888">
        <f>ROUND(C11*30%,0)</f>
        <v>23810</v>
      </c>
      <c r="D12" s="1888">
        <f>ROUND(D11*30%,0)</f>
        <v>323</v>
      </c>
      <c r="E12" s="1889"/>
    </row>
    <row r="13" spans="1:5" ht="15.75">
      <c r="A13" s="1886">
        <v>9</v>
      </c>
      <c r="B13" s="1887" t="s">
        <v>3747</v>
      </c>
      <c r="C13" s="1888">
        <f>ROUND(C11*2%,0)</f>
        <v>1587</v>
      </c>
      <c r="D13" s="1888">
        <f>ROUND(D11*2%,0)</f>
        <v>22</v>
      </c>
      <c r="E13" s="1889"/>
    </row>
    <row r="14" spans="1:5" ht="15.75">
      <c r="A14" s="1886">
        <v>10</v>
      </c>
      <c r="B14" s="1887" t="s">
        <v>3748</v>
      </c>
      <c r="C14" s="1888">
        <f>ROUND(C10*0.1%,0)</f>
        <v>9941</v>
      </c>
      <c r="D14" s="1888">
        <f>ROUND(D10*0.1%,0)</f>
        <v>8164</v>
      </c>
      <c r="E14" s="1889"/>
    </row>
    <row r="15" spans="1:5" ht="15.75">
      <c r="A15" s="1886"/>
      <c r="B15" s="1893" t="s">
        <v>3744</v>
      </c>
      <c r="C15" s="1891">
        <f>SUM(C10:C14)</f>
        <v>10056000</v>
      </c>
      <c r="D15" s="1891">
        <f>SUM(D10:D14)</f>
        <v>8173619</v>
      </c>
      <c r="E15" s="1889"/>
    </row>
    <row r="16" spans="1:5" ht="15.75">
      <c r="A16" s="1886">
        <v>12</v>
      </c>
      <c r="B16" s="1887" t="s">
        <v>3749</v>
      </c>
      <c r="C16" s="1894">
        <f>ROUND((C15)*18%,0)</f>
        <v>1810080</v>
      </c>
      <c r="D16" s="1894">
        <f>ROUND((D15)*18%,0)</f>
        <v>1471251</v>
      </c>
      <c r="E16" s="1889"/>
    </row>
    <row r="17" spans="1:5" ht="15.75">
      <c r="A17" s="1886">
        <v>13</v>
      </c>
      <c r="B17" s="1895" t="s">
        <v>3750</v>
      </c>
      <c r="C17" s="1888">
        <v>1391</v>
      </c>
      <c r="D17" s="1888">
        <v>2763</v>
      </c>
      <c r="E17" s="1889"/>
    </row>
    <row r="18" spans="1:5" ht="21.75" customHeight="1">
      <c r="A18" s="1886">
        <v>14</v>
      </c>
      <c r="B18" s="1896" t="s">
        <v>3372</v>
      </c>
      <c r="C18" s="1894">
        <f>ROUND((C15+C16)*4%,0)</f>
        <v>474643</v>
      </c>
      <c r="D18" s="1894">
        <f>ROUND((D15+D16)*4%,0)</f>
        <v>385795</v>
      </c>
      <c r="E18" s="1889"/>
    </row>
    <row r="19" spans="1:5" ht="15.75">
      <c r="A19" s="1897"/>
      <c r="B19" s="1893" t="s">
        <v>3744</v>
      </c>
      <c r="C19" s="1898">
        <f>SUM(C15:C18)</f>
        <v>12342114</v>
      </c>
      <c r="D19" s="1898">
        <f>SUM(D15:D18)</f>
        <v>10033428</v>
      </c>
      <c r="E19" s="1889"/>
    </row>
    <row r="20" spans="1:5" ht="15.75">
      <c r="A20" s="1899">
        <v>15</v>
      </c>
      <c r="B20" s="1896" t="s">
        <v>3756</v>
      </c>
      <c r="C20" s="1888"/>
      <c r="D20" s="1888">
        <f>-D9</f>
        <v>0</v>
      </c>
      <c r="E20" s="1889"/>
    </row>
    <row r="21" spans="1:5" ht="15.75">
      <c r="A21" s="1897"/>
      <c r="B21" s="1893" t="s">
        <v>3371</v>
      </c>
      <c r="C21" s="1891">
        <f>SUM(C19:C20)</f>
        <v>12342114</v>
      </c>
      <c r="D21" s="1891">
        <f>SUM(D19:D20)</f>
        <v>10033428</v>
      </c>
      <c r="E21" s="1889"/>
    </row>
    <row r="22" spans="1:5">
      <c r="D22">
        <f>C21-D21</f>
        <v>2308686</v>
      </c>
    </row>
    <row r="23" spans="1:5">
      <c r="A23" s="1873"/>
      <c r="B23" s="1873"/>
      <c r="C23" s="1873"/>
      <c r="D23" s="1873"/>
      <c r="E23" s="1873"/>
    </row>
    <row r="24" spans="1:5">
      <c r="A24" s="1873"/>
      <c r="B24" s="1968" t="s">
        <v>3858</v>
      </c>
      <c r="C24" s="1873">
        <f>C21</f>
        <v>12342114</v>
      </c>
      <c r="D24" s="1968" t="s">
        <v>3729</v>
      </c>
      <c r="E24" s="1873"/>
    </row>
    <row r="25" spans="1:5">
      <c r="A25" s="1873"/>
      <c r="B25" s="1968" t="s">
        <v>3859</v>
      </c>
      <c r="C25" s="1873">
        <f>D21</f>
        <v>10033428</v>
      </c>
      <c r="D25" s="1968" t="s">
        <v>3730</v>
      </c>
      <c r="E25" s="1873"/>
    </row>
    <row r="26" spans="1:5">
      <c r="A26" s="1969"/>
      <c r="B26" s="1968" t="s">
        <v>3860</v>
      </c>
      <c r="C26" s="1873">
        <f>C24-C25</f>
        <v>2308686</v>
      </c>
      <c r="D26" s="1968" t="s">
        <v>3860</v>
      </c>
      <c r="E26" s="1873"/>
    </row>
  </sheetData>
  <mergeCells count="2">
    <mergeCell ref="A1:E1"/>
    <mergeCell ref="A2:E2"/>
  </mergeCells>
  <pageMargins left="0.7" right="0.7" top="0.75" bottom="0.75" header="0.3" footer="0.3"/>
  <pageSetup paperSize="9" orientation="landscape" verticalDpi="0" r:id="rId1"/>
</worksheet>
</file>

<file path=docProps/app.xml><?xml version="1.0" encoding="utf-8"?>
<Properties xmlns="http://schemas.openxmlformats.org/officeDocument/2006/extended-properties" xmlns:vt="http://schemas.openxmlformats.org/officeDocument/2006/docPropsVTypes">
  <TotalTime>23418</TotalTime>
  <Application>Microsoft Excel</Application>
  <DocSecurity>0</DocSecurity>
  <ScaleCrop>false</ScaleCrop>
  <HeadingPairs>
    <vt:vector size="4" baseType="variant">
      <vt:variant>
        <vt:lpstr>Worksheets</vt:lpstr>
      </vt:variant>
      <vt:variant>
        <vt:i4>27</vt:i4>
      </vt:variant>
      <vt:variant>
        <vt:lpstr>Named Ranges</vt:lpstr>
      </vt:variant>
      <vt:variant>
        <vt:i4>44</vt:i4>
      </vt:variant>
    </vt:vector>
  </HeadingPairs>
  <TitlesOfParts>
    <vt:vector size="71" baseType="lpstr">
      <vt:lpstr>conveyance</vt:lpstr>
      <vt:lpstr>Civil-SOR</vt:lpstr>
      <vt:lpstr>WS-SOR</vt:lpstr>
      <vt:lpstr>Input</vt:lpstr>
      <vt:lpstr>LEAD</vt:lpstr>
      <vt:lpstr>C-data</vt:lpstr>
      <vt:lpstr>Joinery</vt:lpstr>
      <vt:lpstr>WS Data</vt:lpstr>
      <vt:lpstr>Civil SoR</vt:lpstr>
      <vt:lpstr>WS SoR</vt:lpstr>
      <vt:lpstr>Checklist</vt:lpstr>
      <vt:lpstr>OT Joinery</vt:lpstr>
      <vt:lpstr>Demand</vt:lpstr>
      <vt:lpstr>Sheet2</vt:lpstr>
      <vt:lpstr>Water Demand</vt:lpstr>
      <vt:lpstr>Civil Estimate</vt:lpstr>
      <vt:lpstr>Oxygen</vt:lpstr>
      <vt:lpstr>Ele-Data</vt:lpstr>
      <vt:lpstr>GA</vt:lpstr>
      <vt:lpstr>Sheet1</vt:lpstr>
      <vt:lpstr>RE</vt:lpstr>
      <vt:lpstr>GA1</vt:lpstr>
      <vt:lpstr>Civil-D</vt:lpstr>
      <vt:lpstr>Sheet3</vt:lpstr>
      <vt:lpstr>CC1st&amp; Final</vt:lpstr>
      <vt:lpstr>SP</vt:lpstr>
      <vt:lpstr>UC</vt:lpstr>
      <vt:lpstr>Joinery!___xlnm_Print_Area</vt:lpstr>
      <vt:lpstr>LEAD!___xlnm_Print_Area</vt:lpstr>
      <vt:lpstr>'Civil SoR'!___xlnm_Print_Titles</vt:lpstr>
      <vt:lpstr>LEAD!___xlnm_Print_Titles</vt:lpstr>
      <vt:lpstr>'WS Data'!___xlnm_Print_Titles</vt:lpstr>
      <vt:lpstr>'WS SoR'!___xlnm_Print_Titles</vt:lpstr>
      <vt:lpstr>Checklist!__xlnm_Print_Area</vt:lpstr>
      <vt:lpstr>Joinery!__xlnm_Print_Area</vt:lpstr>
      <vt:lpstr>LEAD!__xlnm_Print_Area</vt:lpstr>
      <vt:lpstr>'WS Data'!__xlnm_Print_Area</vt:lpstr>
      <vt:lpstr>'Civil SoR'!__xlnm_Print_Titles</vt:lpstr>
      <vt:lpstr>LEAD!__xlnm_Print_Titles</vt:lpstr>
      <vt:lpstr>'WS Data'!__xlnm_Print_Titles</vt:lpstr>
      <vt:lpstr>'WS SoR'!__xlnm_Print_Titles</vt:lpstr>
      <vt:lpstr>'C-data'!Excel_BuiltIn_Print_Area</vt:lpstr>
      <vt:lpstr>Joinery!Excel_BuiltIn_Print_Area</vt:lpstr>
      <vt:lpstr>LEAD!Excel_BuiltIn_Print_Area</vt:lpstr>
      <vt:lpstr>'WS Data'!Excel_BuiltIn_Print_Area</vt:lpstr>
      <vt:lpstr>'C-data'!Excel_BuiltIn_Print_Titles</vt:lpstr>
      <vt:lpstr>'Civil SoR'!Excel_BuiltIn_Print_Titles</vt:lpstr>
      <vt:lpstr>LEAD!Excel_BuiltIn_Print_Titles</vt:lpstr>
      <vt:lpstr>'WS Data'!Excel_BuiltIn_Print_Titles</vt:lpstr>
      <vt:lpstr>'WS SoR'!Excel_BuiltIn_Print_Titles</vt:lpstr>
      <vt:lpstr>'CC1st&amp; Final'!Print_Area</vt:lpstr>
      <vt:lpstr>'C-data'!Print_Area</vt:lpstr>
      <vt:lpstr>'Civil Estimate'!Print_Area</vt:lpstr>
      <vt:lpstr>'Civil-D'!Print_Area</vt:lpstr>
      <vt:lpstr>'Civil-SOR'!Print_Area</vt:lpstr>
      <vt:lpstr>'Ele-Data'!Print_Area</vt:lpstr>
      <vt:lpstr>GA!Print_Area</vt:lpstr>
      <vt:lpstr>'GA1'!Print_Area</vt:lpstr>
      <vt:lpstr>Input!Print_Area</vt:lpstr>
      <vt:lpstr>Joinery!Print_Area</vt:lpstr>
      <vt:lpstr>LEAD!Print_Area</vt:lpstr>
      <vt:lpstr>RE!Print_Area</vt:lpstr>
      <vt:lpstr>SP!Print_Area</vt:lpstr>
      <vt:lpstr>'WS Data'!Print_Area</vt:lpstr>
      <vt:lpstr>'C-data'!Print_Titles</vt:lpstr>
      <vt:lpstr>'Civil Estimate'!Print_Titles</vt:lpstr>
      <vt:lpstr>'Civil SoR'!Print_Titles</vt:lpstr>
      <vt:lpstr>'Civil-D'!Print_Titles</vt:lpstr>
      <vt:lpstr>LEAD!Print_Titles</vt:lpstr>
      <vt:lpstr>'WS Data'!Print_Titles</vt:lpstr>
      <vt:lpstr>'WS SoR'!Print_Titles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MODEL DATA</dc:title>
  <dc:subject>SoR 2015-16</dc:subject>
  <dc:creator>RAVINDRA , DEE;RAVINDRA, DEE</dc:creator>
  <cp:keywords>APMSIDC, APMSIDC, APMSIDC, APMSIDC, APMSIDC, APMSIDC, APMSIDC, APMSIDC, APMSIDC, APMSIDC, APMSIDC, APMSIDC, APMSIDC, APMSIDC, APMSIDC, APMSIDC, APMSIDC, APMSIDC, APMSIDC</cp:keywords>
  <dc:description>DATA as per SoR 2015-16</dc:description>
  <cp:lastModifiedBy>Admin</cp:lastModifiedBy>
  <cp:revision>667</cp:revision>
  <cp:lastPrinted>2023-12-22T09:31:42Z</cp:lastPrinted>
  <dcterms:created xsi:type="dcterms:W3CDTF">2001-01-16T18:27:43Z</dcterms:created>
  <dcterms:modified xsi:type="dcterms:W3CDTF">2024-05-16T07:29:17Z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AKAAR ARCHITECTS</vt:lpwstr>
  </property>
  <property fmtid="{D5CDD505-2E9C-101B-9397-08002B2CF9AE}" pid="4" name="DocSecurity">
    <vt:i4>0</vt:i4>
  </property>
  <property fmtid="{D5CDD505-2E9C-101B-9397-08002B2CF9AE}" pid="5" name="HyperlinksChanged">
    <vt:bool>false</vt:bool>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y fmtid="{D5CDD505-2E9C-101B-9397-08002B2CF9AE}" pid="9" name="category">
    <vt:lpwstr>Andhra Pradesh</vt:lpwstr>
  </property>
</Properties>
</file>